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Giuseppe\Desktop\MYAccounting\apps\api\templates\"/>
    </mc:Choice>
  </mc:AlternateContent>
  <xr:revisionPtr revIDLastSave="0" documentId="13_ncr:1_{7941E763-F61E-4B00-A33C-68E3BA74BF9E}" xr6:coauthVersionLast="47" xr6:coauthVersionMax="47" xr10:uidLastSave="{00000000-0000-0000-0000-000000000000}"/>
  <bookViews>
    <workbookView xWindow="-108" yWindow="-108" windowWidth="23256" windowHeight="12456" tabRatio="764" activeTab="1" xr2:uid="{00000000-000D-0000-FFFF-FFFF00000000}"/>
  </bookViews>
  <sheets>
    <sheet name="PIANO_DEI_CONTI" sheetId="1" r:id="rId1"/>
    <sheet name="LIBRO_GIORNALE" sheetId="5" r:id="rId2"/>
    <sheet name="CONTI_DI_MASTRO" sheetId="2" r:id="rId3"/>
    <sheet name="SIT._CONTABILE" sheetId="11" r:id="rId4"/>
    <sheet name="SIT.PATR._SIT.ECON." sheetId="10" r:id="rId5"/>
    <sheet name="BILANCIO" sheetId="14" r:id="rId6"/>
    <sheet name="VALORI_INIZIALI" sheetId="13" r:id="rId7"/>
    <sheet name="COPIA" sheetId="12" state="hidden" r:id="rId8"/>
  </sheets>
  <definedNames>
    <definedName name="anno_CORRENTE">COPIA!$AP$1</definedName>
    <definedName name="anno_inizio">COPIA!$AP$1</definedName>
    <definedName name="ANNO_SELEZIONATO">COPIA!$AR$1</definedName>
    <definedName name="_xlnm.Print_Area" localSheetId="5">OFFSET(BILANCIO!$B$10,,,COPIA!$AW$4,4)</definedName>
    <definedName name="_xlnm.Print_Area" localSheetId="2">OFFSET(CONTI_DI_MASTRO!$B$8,,,CONTI_DI_MASTRO!$K$9-1,5)</definedName>
    <definedName name="_xlnm.Print_Area" localSheetId="1">OFFSET(LIBRO_GIORNALE!$B$8,,,COPIA!$AL$2+5,7)</definedName>
    <definedName name="_xlnm.Print_Area" localSheetId="0">PIANO_DEI_CONTI!$D$8:$I$345</definedName>
    <definedName name="_xlnm.Print_Area" localSheetId="3">OFFSET(SIT._CONTABILE!$B$6,,,SIT._CONTABILE!$H$9 -5,6)</definedName>
    <definedName name="_xlnm.Print_Area" localSheetId="4">OFFSET('SIT.PATR._SIT.ECON.'!$B$6,,,COPIA!$AW$5,4)</definedName>
    <definedName name="_xlnm.Print_Area" localSheetId="6">OFFSET(VALORI_INIZIALI!$B$7,,,COPIA!$AW$3,8)</definedName>
    <definedName name="ATTIVO">COPIA!$CD$3:$CI$103</definedName>
    <definedName name="AVERE">COPIA!$BE$3:$BE$400</definedName>
    <definedName name="avere_grezzo">COPIA!$AP$3:$AP$400</definedName>
    <definedName name="bilancio">COPIA!$AJ$3:$AJ$400</definedName>
    <definedName name="CLASSIFICAZIONE">COPIA!$AF$3:$AF$400</definedName>
    <definedName name="CODICE">COPIA!$AB$3:$AB$400</definedName>
    <definedName name="CODICE_BILANCIO">COPIA!$DY$3:$DY$400</definedName>
    <definedName name="CONTI_APERTI">COPIA!$CV$2:$CV$401</definedName>
    <definedName name="DARE">COPIA!$BD$3:$BD$400</definedName>
    <definedName name="dare_grezzo">COPIA!$AO$3:$AO$400</definedName>
    <definedName name="DATA">COPIA!$BA$3:$BA$400</definedName>
    <definedName name="data_grezzo">COPIA!$AL$3:$AL$400</definedName>
    <definedName name="DEN_G">COPIA!$BB$3:$BB$400</definedName>
    <definedName name="den_grezzo">COPIA!$AM$3:$AM$400</definedName>
    <definedName name="DEN_PDC">COPIA!$AC$3:$AC$400</definedName>
    <definedName name="DESCRIZIONE">COPIA!$BC$3:$BC$400</definedName>
    <definedName name="dest_grezzo">COPIA!$AK$3:$AK$400</definedName>
    <definedName name="DESTINAZIONE">COPIA!$AG$3:$AG$400</definedName>
    <definedName name="ECCEDENZA">COPIA!$AE$3:$AE$400</definedName>
    <definedName name="ECONOMICO">COPIA!$CD$191:$CI$247</definedName>
    <definedName name="ELENCO_CONTI">COPIA!$U$3:$U$401</definedName>
    <definedName name="FINE_A_PC">COPIA!$AM$2</definedName>
    <definedName name="FINE_AC">COPIA!$AR$2</definedName>
    <definedName name="FINE_ANNO_PREC">COPIA!$AJ$2</definedName>
    <definedName name="FINE_PERIODO">COPIA!$AP$2</definedName>
    <definedName name="FOCUS">OFFSET(COPIA!$CV$2,,,COPIA!$DB$1+1,1)</definedName>
    <definedName name="giornale_grezzo">COPIA!$AL$3:$AP$400</definedName>
    <definedName name="GIORNI">COPIA!$BF$15:$BF$45</definedName>
    <definedName name="INIZIO_A_PC">COPIA!$AO$2</definedName>
    <definedName name="INIZIO_AC">COPIA!$AQ$2</definedName>
    <definedName name="INIZIO_ANNO_PREC">COPIA!$AI$2</definedName>
    <definedName name="LIBRO_GIORNALE">COPIA!$AZ$3:$BE$400</definedName>
    <definedName name="MESI">COPIA!$BF$15:$BF$26</definedName>
    <definedName name="NASCONDI_RIGHE">COPIA!$BF$200:$BF$400</definedName>
    <definedName name="NATURA">COPIA!$AD$3:$AD$400</definedName>
    <definedName name="Num._riga">COPIA!$AZ$3:$AZ$400</definedName>
    <definedName name="PASSIVO">COPIA!$CD$105:$CI$189</definedName>
    <definedName name="PATRIMONIO_REDDITO">COPIA!$AH$3:$AH$400</definedName>
    <definedName name="PDC">COPIA!$AB$3:$AJ$400</definedName>
    <definedName name="progressivo">COPIA!$EP$3:$EP$400</definedName>
    <definedName name="RAGRUPPAMENTO">COPIA!$AI$3:$AI$400</definedName>
    <definedName name="RIGHE_TRA_I_PROSPETTI">COPIA!$BF$102:$BF$142</definedName>
    <definedName name="TENDINA_GIORNALE">OFFSET(COPIA!$U$3,,,COPIA!$V$1)</definedName>
    <definedName name="_xlnm.Print_Titles" localSheetId="1">LIBRO_GIORNALE!$10:$10</definedName>
    <definedName name="_xlnm.Print_Titles" localSheetId="0">PIANO_DEI_CONTI!$8:$8</definedName>
    <definedName name="_xlnm.Print_Titles" localSheetId="3">SIT._CONTABILE!$7:$9</definedName>
    <definedName name="_xlnm.Print_Titles" localSheetId="6">VALORI_INIZIALI!$8:$8</definedName>
    <definedName name="VALORI_INIZIALI">VALORI_INIZIALI!$B$9:$I$108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12" l="1"/>
  <c r="FG303" i="12" l="1"/>
  <c r="FG304" i="12"/>
  <c r="FG305" i="12"/>
  <c r="FG306" i="12"/>
  <c r="FG307" i="12"/>
  <c r="FG308" i="12"/>
  <c r="FG309" i="12"/>
  <c r="FG310" i="12"/>
  <c r="FG311" i="12"/>
  <c r="FG312" i="12"/>
  <c r="FG313" i="12"/>
  <c r="FG314" i="12"/>
  <c r="FG315" i="12"/>
  <c r="FG316" i="12"/>
  <c r="FG317" i="12"/>
  <c r="FG318" i="12"/>
  <c r="FG319" i="12"/>
  <c r="FG320" i="12"/>
  <c r="FG321" i="12"/>
  <c r="FG322" i="12"/>
  <c r="FG323" i="12"/>
  <c r="FG324" i="12"/>
  <c r="FG325" i="12"/>
  <c r="FG326" i="12"/>
  <c r="FG327" i="12"/>
  <c r="FG328" i="12"/>
  <c r="FG329" i="12"/>
  <c r="FG330" i="12"/>
  <c r="FG331" i="12"/>
  <c r="FG332" i="12"/>
  <c r="FG333" i="12"/>
  <c r="FG334" i="12"/>
  <c r="FG335" i="12"/>
  <c r="FG336" i="12"/>
  <c r="FG337" i="12"/>
  <c r="FG338" i="12"/>
  <c r="FG339" i="12"/>
  <c r="FG340" i="12"/>
  <c r="FG341" i="12"/>
  <c r="FG342" i="12"/>
  <c r="FG343" i="12"/>
  <c r="FG344" i="12"/>
  <c r="FG345" i="12"/>
  <c r="FG346" i="12"/>
  <c r="FG347" i="12"/>
  <c r="FG348" i="12"/>
  <c r="FG349" i="12"/>
  <c r="FG350" i="12"/>
  <c r="FG351" i="12"/>
  <c r="FG352" i="12"/>
  <c r="FG353" i="12"/>
  <c r="FG354" i="12"/>
  <c r="FG355" i="12"/>
  <c r="FG356" i="12"/>
  <c r="FG357" i="12"/>
  <c r="FG358" i="12"/>
  <c r="FG359" i="12"/>
  <c r="FG360" i="12"/>
  <c r="FG361" i="12"/>
  <c r="FG362" i="12"/>
  <c r="FG363" i="12"/>
  <c r="FG364" i="12"/>
  <c r="FG365" i="12"/>
  <c r="FG366" i="12"/>
  <c r="FG367" i="12"/>
  <c r="FG368" i="12"/>
  <c r="FG369" i="12"/>
  <c r="FG370" i="12"/>
  <c r="FG371" i="12"/>
  <c r="FG372" i="12"/>
  <c r="FG373" i="12"/>
  <c r="FG374" i="12"/>
  <c r="FG375" i="12"/>
  <c r="FG376" i="12"/>
  <c r="FG377" i="12"/>
  <c r="FG378" i="12"/>
  <c r="FG379" i="12"/>
  <c r="FG380" i="12"/>
  <c r="FG381" i="12"/>
  <c r="FG382" i="12"/>
  <c r="FG383" i="12"/>
  <c r="FG384" i="12"/>
  <c r="FG385" i="12"/>
  <c r="FG386" i="12"/>
  <c r="FG387" i="12"/>
  <c r="FG388" i="12"/>
  <c r="FG389" i="12"/>
  <c r="FG390" i="12"/>
  <c r="FG391" i="12"/>
  <c r="FG392" i="12"/>
  <c r="FG393" i="12"/>
  <c r="FG394" i="12"/>
  <c r="FG395" i="12"/>
  <c r="FG396" i="12"/>
  <c r="FG397" i="12"/>
  <c r="FG398" i="12"/>
  <c r="FG399" i="12"/>
  <c r="FG400" i="12"/>
  <c r="DY97" i="12" l="1"/>
  <c r="BF369" i="12" l="1"/>
  <c r="BF370" i="12"/>
  <c r="BF371" i="12"/>
  <c r="BF372" i="12"/>
  <c r="BF373" i="12"/>
  <c r="BF374" i="12"/>
  <c r="BF375" i="12"/>
  <c r="BF376" i="12"/>
  <c r="BF377" i="12"/>
  <c r="BF378" i="12"/>
  <c r="BF379" i="12"/>
  <c r="BF380" i="12"/>
  <c r="BF381" i="12"/>
  <c r="BF382" i="12"/>
  <c r="BF383" i="12"/>
  <c r="BF384" i="12"/>
  <c r="BF385" i="12"/>
  <c r="BF386" i="12"/>
  <c r="BF387" i="12"/>
  <c r="BF388" i="12"/>
  <c r="BF389" i="12"/>
  <c r="BF390" i="12"/>
  <c r="BF391" i="12"/>
  <c r="BF392" i="12"/>
  <c r="BF393" i="12"/>
  <c r="BF394" i="12"/>
  <c r="BF395" i="12"/>
  <c r="BF396" i="12"/>
  <c r="BF397" i="12"/>
  <c r="BF398" i="12"/>
  <c r="BF399" i="12"/>
  <c r="BF400" i="12"/>
  <c r="BF202" i="12"/>
  <c r="BF203" i="12"/>
  <c r="BF204" i="12"/>
  <c r="BF205" i="12"/>
  <c r="BF206" i="12"/>
  <c r="BF207" i="12"/>
  <c r="BF208" i="12"/>
  <c r="BF209" i="12"/>
  <c r="BF210" i="12"/>
  <c r="BF211" i="12"/>
  <c r="BF212" i="12"/>
  <c r="BF213" i="12"/>
  <c r="BF214" i="12"/>
  <c r="BF215" i="12"/>
  <c r="BF216" i="12"/>
  <c r="BF217" i="12"/>
  <c r="BF218" i="12"/>
  <c r="BF219" i="12"/>
  <c r="BF220" i="12"/>
  <c r="BF221" i="12"/>
  <c r="BF222" i="12"/>
  <c r="BF223" i="12"/>
  <c r="BF224" i="12"/>
  <c r="BF225" i="12"/>
  <c r="BF226" i="12"/>
  <c r="BF227" i="12"/>
  <c r="BF228" i="12"/>
  <c r="BF229" i="12"/>
  <c r="BF230" i="12"/>
  <c r="BF231" i="12"/>
  <c r="BF232" i="12"/>
  <c r="BF233" i="12"/>
  <c r="BF234" i="12"/>
  <c r="BF235" i="12"/>
  <c r="BF236" i="12"/>
  <c r="BF237" i="12"/>
  <c r="BF238" i="12"/>
  <c r="BF239" i="12"/>
  <c r="BF240" i="12"/>
  <c r="BF241" i="12"/>
  <c r="BF242" i="12"/>
  <c r="BF243" i="12"/>
  <c r="BF244" i="12"/>
  <c r="BF245" i="12"/>
  <c r="BF246" i="12"/>
  <c r="BF247" i="12"/>
  <c r="BF248" i="12"/>
  <c r="BF249" i="12"/>
  <c r="BF250" i="12"/>
  <c r="BF251" i="12"/>
  <c r="BF252" i="12"/>
  <c r="BF253" i="12"/>
  <c r="BF254" i="12"/>
  <c r="BF255" i="12"/>
  <c r="BF256" i="12"/>
  <c r="BF257" i="12"/>
  <c r="BF258" i="12"/>
  <c r="BF259" i="12"/>
  <c r="BF260" i="12"/>
  <c r="BF261" i="12"/>
  <c r="BF262" i="12"/>
  <c r="BF263" i="12"/>
  <c r="BF264" i="12"/>
  <c r="BF265" i="12"/>
  <c r="BF266" i="12"/>
  <c r="BF267" i="12"/>
  <c r="BF268" i="12"/>
  <c r="BF269" i="12"/>
  <c r="BF270" i="12"/>
  <c r="BF271" i="12"/>
  <c r="BF272" i="12"/>
  <c r="BF273" i="12"/>
  <c r="BF274" i="12"/>
  <c r="BF275" i="12"/>
  <c r="BF276" i="12"/>
  <c r="BF277" i="12"/>
  <c r="BF278" i="12"/>
  <c r="BF279" i="12"/>
  <c r="BF280" i="12"/>
  <c r="BF281" i="12"/>
  <c r="BF282" i="12"/>
  <c r="BF283" i="12"/>
  <c r="BF284" i="12"/>
  <c r="BF285" i="12"/>
  <c r="BF286" i="12"/>
  <c r="BF287" i="12"/>
  <c r="BF288" i="12"/>
  <c r="BF289" i="12"/>
  <c r="BF290" i="12"/>
  <c r="BF291" i="12"/>
  <c r="BF292" i="12"/>
  <c r="BF293" i="12"/>
  <c r="BF294" i="12"/>
  <c r="BF295" i="12"/>
  <c r="BF296" i="12"/>
  <c r="BF297" i="12"/>
  <c r="BF298" i="12"/>
  <c r="BF299" i="12"/>
  <c r="BF300" i="12"/>
  <c r="BF301" i="12"/>
  <c r="BF302" i="12"/>
  <c r="BF303" i="12"/>
  <c r="BF304" i="12"/>
  <c r="BF305" i="12"/>
  <c r="BF306" i="12"/>
  <c r="BF307" i="12"/>
  <c r="BF308" i="12"/>
  <c r="BF309" i="12"/>
  <c r="BF310" i="12"/>
  <c r="BF311" i="12"/>
  <c r="BF312" i="12"/>
  <c r="BF313" i="12"/>
  <c r="BF314" i="12"/>
  <c r="BF315" i="12"/>
  <c r="BF316" i="12"/>
  <c r="BF317" i="12"/>
  <c r="BF318" i="12"/>
  <c r="BF319" i="12"/>
  <c r="BF320" i="12"/>
  <c r="BF321" i="12"/>
  <c r="BF322" i="12"/>
  <c r="BF323" i="12"/>
  <c r="BF324" i="12"/>
  <c r="BF325" i="12"/>
  <c r="BF326" i="12"/>
  <c r="BF327" i="12"/>
  <c r="BF328" i="12"/>
  <c r="BF329" i="12"/>
  <c r="BF330" i="12"/>
  <c r="BF331" i="12"/>
  <c r="BF332" i="12"/>
  <c r="BF333" i="12"/>
  <c r="BF334" i="12"/>
  <c r="BF335" i="12"/>
  <c r="BF336" i="12"/>
  <c r="BF337" i="12"/>
  <c r="BF338" i="12"/>
  <c r="BF339" i="12"/>
  <c r="BF340" i="12"/>
  <c r="BF341" i="12"/>
  <c r="BF342" i="12"/>
  <c r="BF343" i="12"/>
  <c r="BF344" i="12"/>
  <c r="BF345" i="12"/>
  <c r="BF346" i="12"/>
  <c r="BF347" i="12"/>
  <c r="BF348" i="12"/>
  <c r="BF349" i="12"/>
  <c r="BF350" i="12"/>
  <c r="BF351" i="12"/>
  <c r="BF352" i="12"/>
  <c r="BF353" i="12"/>
  <c r="BF354" i="12"/>
  <c r="BF355" i="12"/>
  <c r="BF356" i="12"/>
  <c r="BF357" i="12"/>
  <c r="BF358" i="12"/>
  <c r="BF359" i="12"/>
  <c r="BF360" i="12"/>
  <c r="BF361" i="12"/>
  <c r="BF362" i="12"/>
  <c r="BF363" i="12"/>
  <c r="BF364" i="12"/>
  <c r="BF365" i="12"/>
  <c r="BF366" i="12"/>
  <c r="BF367" i="12"/>
  <c r="BF368" i="12"/>
  <c r="BF201" i="12"/>
  <c r="AZ198" i="12"/>
  <c r="AZ199" i="12"/>
  <c r="AZ200" i="12"/>
  <c r="AZ190" i="12"/>
  <c r="AZ191" i="12"/>
  <c r="AZ192" i="12"/>
  <c r="AZ193" i="12"/>
  <c r="AZ194" i="12"/>
  <c r="AZ195" i="12"/>
  <c r="AZ196" i="12"/>
  <c r="AZ197" i="12"/>
  <c r="AZ169" i="12"/>
  <c r="AZ170" i="12"/>
  <c r="AZ171" i="12"/>
  <c r="AZ172" i="12"/>
  <c r="AZ173" i="12"/>
  <c r="AZ174" i="12"/>
  <c r="AZ175" i="12"/>
  <c r="AZ176" i="12"/>
  <c r="AZ177" i="12"/>
  <c r="AZ178" i="12"/>
  <c r="AZ179" i="12"/>
  <c r="AZ180" i="12"/>
  <c r="AZ181" i="12"/>
  <c r="AZ182" i="12"/>
  <c r="AZ183" i="12"/>
  <c r="AZ184" i="12"/>
  <c r="AZ185" i="12"/>
  <c r="AZ186" i="12"/>
  <c r="AZ187" i="12"/>
  <c r="AZ188" i="12"/>
  <c r="AZ189" i="12"/>
  <c r="K34" i="13"/>
  <c r="B104" i="5"/>
  <c r="B161" i="5"/>
  <c r="B116" i="5"/>
  <c r="DP5" i="12"/>
  <c r="B90" i="5"/>
  <c r="K69" i="13"/>
  <c r="B133" i="5"/>
  <c r="K49" i="13"/>
  <c r="C83" i="13"/>
  <c r="B61" i="5"/>
  <c r="K101" i="13"/>
  <c r="B167" i="5"/>
  <c r="K104" i="13"/>
  <c r="K88" i="13"/>
  <c r="K46" i="13"/>
  <c r="C37" i="13"/>
  <c r="C86" i="13"/>
  <c r="K14" i="13"/>
  <c r="C61" i="13"/>
  <c r="B110" i="5"/>
  <c r="B141" i="5"/>
  <c r="B179" i="5"/>
  <c r="H7" i="13"/>
  <c r="K84" i="13"/>
  <c r="C99" i="13"/>
  <c r="C85" i="13"/>
  <c r="K27" i="13"/>
  <c r="B92" i="5"/>
  <c r="B58" i="5"/>
  <c r="C71" i="13"/>
  <c r="B170" i="5"/>
  <c r="K62" i="13"/>
  <c r="C48" i="13"/>
  <c r="B76" i="5"/>
  <c r="CF1" i="12"/>
  <c r="K87" i="13"/>
  <c r="C53" i="13"/>
  <c r="B200" i="5"/>
  <c r="C108" i="13"/>
  <c r="B97" i="5"/>
  <c r="B162" i="5"/>
  <c r="K11" i="13"/>
  <c r="B173" i="5"/>
  <c r="K63" i="13"/>
  <c r="K92" i="13"/>
  <c r="K48" i="13"/>
  <c r="K31" i="13"/>
  <c r="K24" i="13"/>
  <c r="C68" i="13"/>
  <c r="K29" i="13"/>
  <c r="B142" i="5"/>
  <c r="B175" i="5"/>
  <c r="C50" i="13"/>
  <c r="B202" i="5"/>
  <c r="C102" i="13"/>
  <c r="B106" i="5"/>
  <c r="EV1" i="12"/>
  <c r="K33" i="13"/>
  <c r="B91" i="5"/>
  <c r="B147" i="5"/>
  <c r="DK1" i="12"/>
  <c r="K81" i="13"/>
  <c r="B199" i="5"/>
  <c r="C9" i="13"/>
  <c r="B84" i="5"/>
  <c r="C18" i="13"/>
  <c r="B135" i="5"/>
  <c r="C41" i="13"/>
  <c r="C13" i="13"/>
  <c r="B129" i="5"/>
  <c r="C45" i="13"/>
  <c r="C84" i="13"/>
  <c r="K10" i="13"/>
  <c r="B81" i="5"/>
  <c r="K74" i="13"/>
  <c r="C106" i="13"/>
  <c r="B108" i="5"/>
  <c r="C92" i="13"/>
  <c r="B189" i="5"/>
  <c r="K72" i="13"/>
  <c r="C75" i="13"/>
  <c r="B59" i="5"/>
  <c r="B72" i="5"/>
  <c r="K60" i="13"/>
  <c r="B203" i="5"/>
  <c r="C15" i="13"/>
  <c r="K79" i="13"/>
  <c r="C35" i="13"/>
  <c r="C16" i="13"/>
  <c r="C39" i="13"/>
  <c r="C59" i="13"/>
  <c r="C79" i="13"/>
  <c r="B62" i="5"/>
  <c r="C74" i="13"/>
  <c r="B201" i="5"/>
  <c r="CE2" i="12"/>
  <c r="B119" i="5"/>
  <c r="K67" i="13"/>
  <c r="DG8" i="12"/>
  <c r="C96" i="13"/>
  <c r="K91" i="13"/>
  <c r="B197" i="5"/>
  <c r="K12" i="13"/>
  <c r="CG1" i="12"/>
  <c r="B164" i="5"/>
  <c r="C30" i="13"/>
  <c r="C65" i="13"/>
  <c r="K93" i="13"/>
  <c r="K80" i="13"/>
  <c r="C10" i="13"/>
  <c r="B185" i="5"/>
  <c r="K86" i="13"/>
  <c r="C98" i="13"/>
  <c r="D10" i="14"/>
  <c r="K17" i="13"/>
  <c r="B160" i="5"/>
  <c r="C29" i="13"/>
  <c r="B121" i="5"/>
  <c r="B118" i="5"/>
  <c r="B79" i="5"/>
  <c r="C57" i="13"/>
  <c r="C43" i="13"/>
  <c r="C32" i="13"/>
  <c r="B122" i="5"/>
  <c r="B181" i="5"/>
  <c r="C46" i="13"/>
  <c r="C40" i="13"/>
  <c r="C22" i="13"/>
  <c r="B132" i="5"/>
  <c r="B125" i="5"/>
  <c r="B186" i="5"/>
  <c r="B8" i="5"/>
  <c r="B139" i="5"/>
  <c r="C67" i="13"/>
  <c r="K13" i="13"/>
  <c r="K35" i="13"/>
  <c r="B63" i="5"/>
  <c r="S2" i="12"/>
  <c r="C52" i="13"/>
  <c r="B204" i="5"/>
  <c r="B103" i="5"/>
  <c r="B146" i="5"/>
  <c r="DM1" i="12"/>
  <c r="K32" i="13"/>
  <c r="K78" i="13"/>
  <c r="DI228" i="12"/>
  <c r="C78" i="13"/>
  <c r="K55" i="13"/>
  <c r="C77" i="13"/>
  <c r="K66" i="13"/>
  <c r="K58" i="13"/>
  <c r="C104" i="13"/>
  <c r="B105" i="5"/>
  <c r="K57" i="13"/>
  <c r="B158" i="5"/>
  <c r="B95" i="5"/>
  <c r="C19" i="13"/>
  <c r="B182" i="5"/>
  <c r="DI226" i="12"/>
  <c r="K77" i="13"/>
  <c r="C58" i="13"/>
  <c r="B177" i="5"/>
  <c r="K15" i="13"/>
  <c r="K19" i="13"/>
  <c r="K97" i="13"/>
  <c r="K100" i="13"/>
  <c r="K42" i="13"/>
  <c r="K89" i="13"/>
  <c r="K47" i="13"/>
  <c r="B117" i="5"/>
  <c r="DC2" i="12"/>
  <c r="B191" i="5"/>
  <c r="K68" i="13"/>
  <c r="K96" i="13"/>
  <c r="C54" i="13"/>
  <c r="K103" i="13"/>
  <c r="C90" i="13"/>
  <c r="BU1" i="12"/>
  <c r="C93" i="13"/>
  <c r="K40" i="13"/>
  <c r="B136" i="5"/>
  <c r="B195" i="5"/>
  <c r="B148" i="5"/>
  <c r="C88" i="13"/>
  <c r="B70" i="5"/>
  <c r="B89" i="5"/>
  <c r="B127" i="5"/>
  <c r="B6" i="11"/>
  <c r="C69" i="13"/>
  <c r="B114" i="5"/>
  <c r="C42" i="13"/>
  <c r="K30" i="13"/>
  <c r="B144" i="5"/>
  <c r="C17" i="13"/>
  <c r="DG5" i="12"/>
  <c r="C94" i="13"/>
  <c r="B74" i="5"/>
  <c r="B166" i="5"/>
  <c r="K75" i="13"/>
  <c r="B107" i="5"/>
  <c r="B192" i="5"/>
  <c r="C49" i="13"/>
  <c r="D6" i="11"/>
  <c r="B193" i="5"/>
  <c r="A1" i="12"/>
  <c r="C55" i="13"/>
  <c r="C25" i="13"/>
  <c r="C34" i="13"/>
  <c r="B190" i="5"/>
  <c r="BF1" i="12"/>
  <c r="C73" i="13"/>
  <c r="K83" i="13"/>
  <c r="B183" i="5"/>
  <c r="K95" i="13"/>
  <c r="B112" i="5"/>
  <c r="DH1" i="12"/>
  <c r="C87" i="13"/>
  <c r="B109" i="5"/>
  <c r="B178" i="5"/>
  <c r="K45" i="13"/>
  <c r="K25" i="13"/>
  <c r="C70" i="13"/>
  <c r="B98" i="5"/>
  <c r="B145" i="5"/>
  <c r="B124" i="5"/>
  <c r="DP7" i="12"/>
  <c r="B208" i="5"/>
  <c r="K43" i="13"/>
  <c r="B94" i="5"/>
  <c r="B187" i="5"/>
  <c r="K82" i="13"/>
  <c r="B151" i="5"/>
  <c r="B205" i="5"/>
  <c r="C33" i="13"/>
  <c r="DG7" i="12"/>
  <c r="B78" i="5"/>
  <c r="C38" i="13"/>
  <c r="C26" i="13"/>
  <c r="B73" i="5"/>
  <c r="B130" i="5"/>
  <c r="B210" i="5"/>
  <c r="B176" i="5"/>
  <c r="C89" i="13"/>
  <c r="K71" i="13"/>
  <c r="B75" i="5"/>
  <c r="K41" i="13"/>
  <c r="C12" i="13"/>
  <c r="K36" i="13"/>
  <c r="K16" i="13"/>
  <c r="B88" i="5"/>
  <c r="B64" i="5"/>
  <c r="K28" i="13"/>
  <c r="B100" i="5"/>
  <c r="B155" i="5"/>
  <c r="C24" i="13"/>
  <c r="B85" i="5"/>
  <c r="K51" i="13"/>
  <c r="B206" i="5"/>
  <c r="DL1" i="12"/>
  <c r="B111" i="5"/>
  <c r="K18" i="13"/>
  <c r="B143" i="5"/>
  <c r="K98" i="13"/>
  <c r="C63" i="13"/>
  <c r="B137" i="5"/>
  <c r="DP8" i="12"/>
  <c r="C21" i="13"/>
  <c r="B140" i="5"/>
  <c r="B87" i="5"/>
  <c r="B71" i="5"/>
  <c r="C56" i="13"/>
  <c r="B99" i="5"/>
  <c r="C107" i="13"/>
  <c r="C103" i="13"/>
  <c r="K64" i="13"/>
  <c r="K38" i="13"/>
  <c r="C36" i="13"/>
  <c r="DI227" i="12"/>
  <c r="C31" i="13"/>
  <c r="K44" i="13"/>
  <c r="C51" i="13"/>
  <c r="B77" i="5"/>
  <c r="E3" i="5"/>
  <c r="B123" i="5"/>
  <c r="C95" i="13"/>
  <c r="C105" i="13"/>
  <c r="B8" i="2"/>
  <c r="B149" i="5"/>
  <c r="C81" i="13"/>
  <c r="B168" i="5"/>
  <c r="K21" i="13"/>
  <c r="B184" i="5"/>
  <c r="BN1" i="12"/>
  <c r="K70" i="13"/>
  <c r="B60" i="5"/>
  <c r="K56" i="13"/>
  <c r="B159" i="5"/>
  <c r="K65" i="13"/>
  <c r="C76" i="13"/>
  <c r="E5" i="5"/>
  <c r="K23" i="13"/>
  <c r="B165" i="5"/>
  <c r="K85" i="13"/>
  <c r="K105" i="13"/>
  <c r="DG6" i="12"/>
  <c r="C60" i="13"/>
  <c r="B66" i="5"/>
  <c r="K53" i="13"/>
  <c r="B131" i="5"/>
  <c r="K90" i="13"/>
  <c r="K108" i="13"/>
  <c r="DR215" i="12"/>
  <c r="K22" i="13"/>
  <c r="B65" i="5"/>
  <c r="K37" i="13"/>
  <c r="C44" i="13"/>
  <c r="K102" i="13"/>
  <c r="B126" i="5"/>
  <c r="B93" i="5"/>
  <c r="C23" i="13"/>
  <c r="B68" i="5"/>
  <c r="C101" i="13"/>
  <c r="C100" i="13"/>
  <c r="B67" i="5"/>
  <c r="C82" i="13"/>
  <c r="DR217" i="12"/>
  <c r="B154" i="5"/>
  <c r="C28" i="13"/>
  <c r="B207" i="5"/>
  <c r="K26" i="13"/>
  <c r="B83" i="5"/>
  <c r="B196" i="5"/>
  <c r="B209" i="5"/>
  <c r="K76" i="13"/>
  <c r="B156" i="5"/>
  <c r="B56" i="5"/>
  <c r="DR216" i="12"/>
  <c r="B152" i="5"/>
  <c r="B171" i="5"/>
  <c r="B57" i="5"/>
  <c r="DP6" i="12"/>
  <c r="B138" i="5"/>
  <c r="C80" i="13"/>
  <c r="E8" i="2"/>
  <c r="C62" i="13"/>
  <c r="K61" i="13"/>
  <c r="K99" i="13"/>
  <c r="K106" i="13"/>
  <c r="B174" i="5"/>
  <c r="B101" i="5"/>
  <c r="K52" i="13"/>
  <c r="K73" i="13"/>
  <c r="B134" i="5"/>
  <c r="C27" i="13"/>
  <c r="B163" i="5"/>
  <c r="C20" i="13"/>
  <c r="K50" i="13"/>
  <c r="K20" i="13"/>
  <c r="DI115" i="12"/>
  <c r="C91" i="13"/>
  <c r="B80" i="5"/>
  <c r="B96" i="5"/>
  <c r="B82" i="5"/>
  <c r="D6" i="10"/>
  <c r="B150" i="5"/>
  <c r="B172" i="5"/>
  <c r="B198" i="5"/>
  <c r="B86" i="5"/>
  <c r="B194" i="5"/>
  <c r="B128" i="5"/>
  <c r="B113" i="5"/>
  <c r="K107" i="13"/>
  <c r="C66" i="13"/>
  <c r="B120" i="5"/>
  <c r="B157" i="5"/>
  <c r="B169" i="5"/>
  <c r="B180" i="5"/>
  <c r="K54" i="13"/>
  <c r="B115" i="5"/>
  <c r="K39" i="13"/>
  <c r="C64" i="13"/>
  <c r="C72" i="13"/>
  <c r="K94" i="13"/>
  <c r="K59" i="13"/>
  <c r="C11" i="13"/>
  <c r="B153" i="5"/>
  <c r="B69" i="5"/>
  <c r="C14" i="13"/>
  <c r="B55" i="5"/>
  <c r="B188" i="5"/>
  <c r="B102" i="5"/>
  <c r="C97" i="13"/>
  <c r="C47" i="13"/>
  <c r="DR6" i="12" l="1"/>
  <c r="DP131" i="12"/>
  <c r="DR131" i="12" s="1"/>
  <c r="DO365" i="12"/>
  <c r="DI4" i="12"/>
  <c r="DI368" i="12"/>
  <c r="DI242" i="12"/>
  <c r="DI6" i="12"/>
  <c r="DI195" i="12"/>
  <c r="DI190" i="12"/>
  <c r="DI153" i="12"/>
  <c r="DI7" i="12"/>
  <c r="DI241" i="12"/>
  <c r="DI205" i="12"/>
  <c r="DI132" i="12"/>
  <c r="DI5" i="12"/>
  <c r="DI200" i="12"/>
  <c r="DI14" i="12"/>
  <c r="DI9" i="12"/>
  <c r="DI8" i="12"/>
  <c r="DR7" i="12"/>
  <c r="DP132" i="12"/>
  <c r="DR132" i="12" s="1"/>
  <c r="DP130" i="12"/>
  <c r="DR130" i="12" s="1"/>
  <c r="DR5" i="12"/>
  <c r="E6" i="13"/>
  <c r="DO364" i="12"/>
  <c r="DP133" i="12"/>
  <c r="DR133" i="12" s="1"/>
  <c r="DR8" i="12"/>
  <c r="H8" i="11"/>
  <c r="A6" i="11"/>
  <c r="E2" i="13"/>
  <c r="DO366" i="12"/>
  <c r="B3" i="12"/>
  <c r="D3" i="12"/>
  <c r="I4" i="1"/>
  <c r="C3" i="12"/>
  <c r="J11" i="1"/>
  <c r="F3" i="12"/>
  <c r="E3" i="12"/>
  <c r="DW38" i="12"/>
  <c r="DW39" i="12"/>
  <c r="DW40" i="12"/>
  <c r="DW41" i="12"/>
  <c r="DW42" i="12"/>
  <c r="DW43" i="12"/>
  <c r="DW44" i="12"/>
  <c r="DW45" i="12"/>
  <c r="DW46" i="12"/>
  <c r="DW47" i="12"/>
  <c r="DW48" i="12"/>
  <c r="DW49" i="12"/>
  <c r="DW70" i="12"/>
  <c r="DW71" i="12"/>
  <c r="DW72" i="12"/>
  <c r="DW75" i="12"/>
  <c r="DW76" i="12"/>
  <c r="DW82" i="12"/>
  <c r="DW143" i="12"/>
  <c r="DW161" i="12"/>
  <c r="DW162" i="12"/>
  <c r="DW201" i="12"/>
  <c r="DW202" i="12"/>
  <c r="DW235" i="12"/>
  <c r="DW236" i="12"/>
  <c r="DW237" i="12"/>
  <c r="DW259" i="12"/>
  <c r="DW260" i="12"/>
  <c r="DW261" i="12"/>
  <c r="DW298" i="12"/>
  <c r="DW300" i="12"/>
  <c r="DW304" i="12"/>
  <c r="DW357" i="12"/>
  <c r="DW358" i="12"/>
  <c r="DW366" i="12"/>
  <c r="DW367" i="12"/>
  <c r="DW368" i="12"/>
  <c r="DW369" i="12"/>
  <c r="DA1290" i="12" l="1"/>
  <c r="DA1277" i="12"/>
  <c r="DA1264" i="12"/>
  <c r="DA1251" i="12"/>
  <c r="DA1238" i="12"/>
  <c r="DA1225" i="12"/>
  <c r="DA1212" i="12"/>
  <c r="DA1199" i="12"/>
  <c r="DA1186" i="12"/>
  <c r="DA1173" i="12"/>
  <c r="DA1160" i="12"/>
  <c r="DA1147" i="12"/>
  <c r="DA1134" i="12"/>
  <c r="DA1121" i="12"/>
  <c r="DA1108" i="12"/>
  <c r="DA1095" i="12"/>
  <c r="DA1082" i="12"/>
  <c r="DA1069" i="12"/>
  <c r="DA1056" i="12"/>
  <c r="DA1043" i="12"/>
  <c r="DA1030" i="12"/>
  <c r="DA1017" i="12"/>
  <c r="DA1004" i="12"/>
  <c r="DA991" i="12"/>
  <c r="DA978" i="12"/>
  <c r="DA965" i="12"/>
  <c r="DA952" i="12"/>
  <c r="DA939" i="12"/>
  <c r="DA926" i="12"/>
  <c r="DA913" i="12"/>
  <c r="DA900" i="12"/>
  <c r="DA887" i="12"/>
  <c r="DA874" i="12"/>
  <c r="DA861" i="12"/>
  <c r="DA848" i="12"/>
  <c r="DA835" i="12"/>
  <c r="DA822" i="12"/>
  <c r="DA809" i="12"/>
  <c r="DA796" i="12"/>
  <c r="DA783" i="12"/>
  <c r="DA770" i="12"/>
  <c r="DA757" i="12"/>
  <c r="DA744" i="12"/>
  <c r="DA731" i="12"/>
  <c r="DA718" i="12"/>
  <c r="DA705" i="12"/>
  <c r="DA692" i="12"/>
  <c r="DA679" i="12"/>
  <c r="DA666" i="12"/>
  <c r="DA653" i="12"/>
  <c r="DA640" i="12"/>
  <c r="DA627" i="12"/>
  <c r="DA614" i="12"/>
  <c r="DA601" i="12"/>
  <c r="DA588" i="12"/>
  <c r="DA575" i="12"/>
  <c r="DA562" i="12"/>
  <c r="DA549" i="12"/>
  <c r="DA536" i="12"/>
  <c r="DA523" i="12"/>
  <c r="DA510" i="12"/>
  <c r="DA497" i="12"/>
  <c r="DA484" i="12"/>
  <c r="DA471" i="12"/>
  <c r="DA458" i="12"/>
  <c r="DA445" i="12"/>
  <c r="DA432" i="12"/>
  <c r="DA419" i="12"/>
  <c r="DA406" i="12"/>
  <c r="DA393" i="12"/>
  <c r="DA380" i="12"/>
  <c r="DA367" i="12"/>
  <c r="DA354" i="12"/>
  <c r="DA341" i="12"/>
  <c r="DA328" i="12"/>
  <c r="DA315" i="12"/>
  <c r="DA302" i="12"/>
  <c r="DA289" i="12"/>
  <c r="DA276" i="12"/>
  <c r="DA263" i="12"/>
  <c r="DA250" i="12"/>
  <c r="DA237" i="12"/>
  <c r="DA224" i="12"/>
  <c r="DA211" i="12"/>
  <c r="DA198" i="12"/>
  <c r="DA185" i="12"/>
  <c r="DA172" i="12"/>
  <c r="DA159" i="12"/>
  <c r="DA146" i="12"/>
  <c r="DA133" i="12"/>
  <c r="EP1" i="12"/>
  <c r="ES401" i="12" l="1"/>
  <c r="ES402" i="12"/>
  <c r="ES403" i="12"/>
  <c r="ES404" i="12"/>
  <c r="ES405" i="12"/>
  <c r="ES406" i="12"/>
  <c r="ES407" i="12"/>
  <c r="ES408" i="12"/>
  <c r="ES409" i="12"/>
  <c r="ES410" i="12"/>
  <c r="ES411" i="12"/>
  <c r="ES412" i="12"/>
  <c r="ES413" i="12"/>
  <c r="ES414" i="12"/>
  <c r="ES415" i="12"/>
  <c r="ES416" i="12"/>
  <c r="ES417" i="12"/>
  <c r="ES418" i="12"/>
  <c r="ES419" i="12"/>
  <c r="ES420" i="12"/>
  <c r="ES421" i="12"/>
  <c r="ES422" i="12"/>
  <c r="ES423" i="12"/>
  <c r="ES424" i="12"/>
  <c r="ES425" i="12"/>
  <c r="ES426" i="12"/>
  <c r="ES427" i="12"/>
  <c r="ES428" i="12"/>
  <c r="ES429" i="12"/>
  <c r="ES430" i="12"/>
  <c r="ES431" i="12"/>
  <c r="ES432" i="12"/>
  <c r="ES433" i="12"/>
  <c r="ES434" i="12"/>
  <c r="ES435" i="12"/>
  <c r="ES436" i="12"/>
  <c r="ES437" i="12"/>
  <c r="ES438" i="12"/>
  <c r="ES439" i="12"/>
  <c r="ES440" i="12"/>
  <c r="ES441" i="12"/>
  <c r="ES442" i="12"/>
  <c r="ES443" i="12"/>
  <c r="ES444" i="12"/>
  <c r="ES445" i="12"/>
  <c r="ES446" i="12"/>
  <c r="ES447" i="12"/>
  <c r="ES448" i="12"/>
  <c r="ES449" i="12"/>
  <c r="ES450" i="12"/>
  <c r="ES451" i="12"/>
  <c r="ES452" i="12"/>
  <c r="ES453" i="12"/>
  <c r="ES454" i="12"/>
  <c r="ES455" i="12"/>
  <c r="ES456" i="12"/>
  <c r="ES457" i="12"/>
  <c r="ES458" i="12"/>
  <c r="ES459" i="12"/>
  <c r="ES460" i="12"/>
  <c r="ES461" i="12"/>
  <c r="ES462" i="12"/>
  <c r="ES463" i="12"/>
  <c r="ES464" i="12"/>
  <c r="ES465" i="12"/>
  <c r="ES466" i="12"/>
  <c r="ES467" i="12"/>
  <c r="ES468" i="12"/>
  <c r="ES469" i="12"/>
  <c r="ES470" i="12"/>
  <c r="ES471" i="12"/>
  <c r="ES472" i="12"/>
  <c r="ES473" i="12"/>
  <c r="ES474" i="12"/>
  <c r="ES475" i="12"/>
  <c r="ES476" i="12"/>
  <c r="ES477" i="12"/>
  <c r="ES478" i="12"/>
  <c r="ES479" i="12"/>
  <c r="ES480" i="12"/>
  <c r="ES481" i="12"/>
  <c r="ES482" i="12"/>
  <c r="ES483" i="12"/>
  <c r="ES484" i="12"/>
  <c r="ES485" i="12"/>
  <c r="ES486" i="12"/>
  <c r="ES487" i="12"/>
  <c r="ES488" i="12"/>
  <c r="ES489" i="12"/>
  <c r="ES490" i="12"/>
  <c r="ES491" i="12"/>
  <c r="ES492" i="12"/>
  <c r="ES493" i="12"/>
  <c r="ES494" i="12"/>
  <c r="ES495" i="12"/>
  <c r="ES496" i="12"/>
  <c r="ES497" i="12"/>
  <c r="ES498" i="12"/>
  <c r="ES499" i="12"/>
  <c r="BF2" i="12" l="1"/>
  <c r="EP4" i="12"/>
  <c r="EP5" i="12"/>
  <c r="EP6" i="12"/>
  <c r="EP7" i="12"/>
  <c r="EP8" i="12"/>
  <c r="EP9" i="12"/>
  <c r="EP10" i="12"/>
  <c r="EP11" i="12"/>
  <c r="EP12" i="12"/>
  <c r="EP13" i="12"/>
  <c r="EP14" i="12"/>
  <c r="EP15" i="12"/>
  <c r="EP16" i="12"/>
  <c r="EP17" i="12"/>
  <c r="EP18" i="12"/>
  <c r="EP19" i="12"/>
  <c r="EP20" i="12"/>
  <c r="EP21" i="12"/>
  <c r="EP22" i="12"/>
  <c r="EP23" i="12"/>
  <c r="EP24" i="12"/>
  <c r="EP25" i="12"/>
  <c r="EP26" i="12"/>
  <c r="EP27" i="12"/>
  <c r="EP28" i="12"/>
  <c r="EP29" i="12"/>
  <c r="EP30" i="12"/>
  <c r="EP31" i="12"/>
  <c r="EP32" i="12"/>
  <c r="EP33" i="12"/>
  <c r="EP34" i="12"/>
  <c r="EP35" i="12"/>
  <c r="EP36" i="12"/>
  <c r="EP37" i="12"/>
  <c r="EP38" i="12"/>
  <c r="EP39" i="12"/>
  <c r="EP40" i="12"/>
  <c r="EP41" i="12"/>
  <c r="EP42" i="12"/>
  <c r="EP43" i="12"/>
  <c r="EP44" i="12"/>
  <c r="EP45" i="12"/>
  <c r="EP46" i="12"/>
  <c r="EP47" i="12"/>
  <c r="EP48" i="12"/>
  <c r="EP49" i="12"/>
  <c r="EP50" i="12"/>
  <c r="EP51" i="12"/>
  <c r="EP52" i="12"/>
  <c r="EP53" i="12"/>
  <c r="EP54" i="12"/>
  <c r="EP55" i="12"/>
  <c r="EP56" i="12"/>
  <c r="EP57" i="12"/>
  <c r="EP58" i="12"/>
  <c r="EP59" i="12"/>
  <c r="EP60" i="12"/>
  <c r="EP61" i="12"/>
  <c r="EP62" i="12"/>
  <c r="EP63" i="12"/>
  <c r="EP64" i="12"/>
  <c r="EP65" i="12"/>
  <c r="EP66" i="12"/>
  <c r="EP67" i="12"/>
  <c r="EP68" i="12"/>
  <c r="EP69" i="12"/>
  <c r="EP70" i="12"/>
  <c r="EP71" i="12"/>
  <c r="EP72" i="12"/>
  <c r="EP73" i="12"/>
  <c r="EP74" i="12"/>
  <c r="EP75" i="12"/>
  <c r="EP76" i="12"/>
  <c r="EP77" i="12"/>
  <c r="EP78" i="12"/>
  <c r="EP79" i="12"/>
  <c r="EP80" i="12"/>
  <c r="EP81" i="12"/>
  <c r="EP82" i="12"/>
  <c r="EP83" i="12"/>
  <c r="EP84" i="12"/>
  <c r="EP85" i="12"/>
  <c r="EP86" i="12"/>
  <c r="EP87" i="12"/>
  <c r="EP88" i="12"/>
  <c r="EP89" i="12"/>
  <c r="EP90" i="12"/>
  <c r="EP91" i="12"/>
  <c r="EP92" i="12"/>
  <c r="EP93" i="12"/>
  <c r="EP94" i="12"/>
  <c r="EP95" i="12"/>
  <c r="EP96" i="12"/>
  <c r="EP97" i="12"/>
  <c r="EP98" i="12"/>
  <c r="EP99" i="12"/>
  <c r="EP100" i="12"/>
  <c r="EP101" i="12"/>
  <c r="EP102" i="12"/>
  <c r="EP103" i="12"/>
  <c r="EP104" i="12"/>
  <c r="EP105" i="12"/>
  <c r="EP106" i="12"/>
  <c r="EP107" i="12"/>
  <c r="EP108" i="12"/>
  <c r="EP109" i="12"/>
  <c r="EP110" i="12"/>
  <c r="EP111" i="12"/>
  <c r="EP112" i="12"/>
  <c r="EP113" i="12"/>
  <c r="EP114" i="12"/>
  <c r="EP115" i="12"/>
  <c r="EP116" i="12"/>
  <c r="EP117" i="12"/>
  <c r="EP118" i="12"/>
  <c r="EP119" i="12"/>
  <c r="EP120" i="12"/>
  <c r="EP121" i="12"/>
  <c r="EP122" i="12"/>
  <c r="EP123" i="12"/>
  <c r="EP124" i="12"/>
  <c r="EP125" i="12"/>
  <c r="EP126" i="12"/>
  <c r="EP127" i="12"/>
  <c r="EP128" i="12"/>
  <c r="EP129" i="12"/>
  <c r="EP130" i="12"/>
  <c r="EP131" i="12"/>
  <c r="EP132" i="12"/>
  <c r="EP133" i="12"/>
  <c r="EP134" i="12"/>
  <c r="EP135" i="12"/>
  <c r="EP136" i="12"/>
  <c r="EP137" i="12"/>
  <c r="EP138" i="12"/>
  <c r="EP139" i="12"/>
  <c r="EP140" i="12"/>
  <c r="EP141" i="12"/>
  <c r="EP142" i="12"/>
  <c r="EP143" i="12"/>
  <c r="EP144" i="12"/>
  <c r="EP145" i="12"/>
  <c r="EP146" i="12"/>
  <c r="EP147" i="12"/>
  <c r="EP148" i="12"/>
  <c r="EP149" i="12"/>
  <c r="EP150" i="12"/>
  <c r="EP151" i="12"/>
  <c r="EP152" i="12"/>
  <c r="EP153" i="12"/>
  <c r="EP154" i="12"/>
  <c r="EP155" i="12"/>
  <c r="EP156" i="12"/>
  <c r="EP157" i="12"/>
  <c r="EP158" i="12"/>
  <c r="EP159" i="12"/>
  <c r="EP160" i="12"/>
  <c r="EP161" i="12"/>
  <c r="EP162" i="12"/>
  <c r="EP163" i="12"/>
  <c r="EP164" i="12"/>
  <c r="EP165" i="12"/>
  <c r="EP166" i="12"/>
  <c r="EP167" i="12"/>
  <c r="EP168" i="12"/>
  <c r="EP169" i="12"/>
  <c r="EP170" i="12"/>
  <c r="EP171" i="12"/>
  <c r="EP172" i="12"/>
  <c r="EP173" i="12"/>
  <c r="EP174" i="12"/>
  <c r="EP175" i="12"/>
  <c r="EP176" i="12"/>
  <c r="EP177" i="12"/>
  <c r="EP178" i="12"/>
  <c r="EP179" i="12"/>
  <c r="EP180" i="12"/>
  <c r="EP181" i="12"/>
  <c r="EP182" i="12"/>
  <c r="EP183" i="12"/>
  <c r="EP184" i="12"/>
  <c r="EP185" i="12"/>
  <c r="EP186" i="12"/>
  <c r="EP187" i="12"/>
  <c r="EP188" i="12"/>
  <c r="EP189" i="12"/>
  <c r="EP190" i="12"/>
  <c r="EP191" i="12"/>
  <c r="EP192" i="12"/>
  <c r="EP193" i="12"/>
  <c r="EP194" i="12"/>
  <c r="EP195" i="12"/>
  <c r="EP196" i="12"/>
  <c r="EP197" i="12"/>
  <c r="EP198" i="12"/>
  <c r="EP199" i="12"/>
  <c r="EP200" i="12"/>
  <c r="EP201" i="12"/>
  <c r="EP202" i="12"/>
  <c r="EP203" i="12"/>
  <c r="EP204" i="12"/>
  <c r="EP205" i="12"/>
  <c r="EP206" i="12"/>
  <c r="EP207" i="12"/>
  <c r="EP208" i="12"/>
  <c r="EP209" i="12"/>
  <c r="EP210" i="12"/>
  <c r="EP211" i="12"/>
  <c r="EP212" i="12"/>
  <c r="EP213" i="12"/>
  <c r="EP214" i="12"/>
  <c r="EP215" i="12"/>
  <c r="EP216" i="12"/>
  <c r="EP217" i="12"/>
  <c r="EP218" i="12"/>
  <c r="EP219" i="12"/>
  <c r="EP220" i="12"/>
  <c r="EP221" i="12"/>
  <c r="EP222" i="12"/>
  <c r="EP223" i="12"/>
  <c r="EP224" i="12"/>
  <c r="EP225" i="12"/>
  <c r="EP226" i="12"/>
  <c r="EP227" i="12"/>
  <c r="EP228" i="12"/>
  <c r="EP229" i="12"/>
  <c r="EP230" i="12"/>
  <c r="EP231" i="12"/>
  <c r="EP232" i="12"/>
  <c r="EP233" i="12"/>
  <c r="EP234" i="12"/>
  <c r="EP235" i="12"/>
  <c r="EP236" i="12"/>
  <c r="EP237" i="12"/>
  <c r="EP238" i="12"/>
  <c r="EP239" i="12"/>
  <c r="EP240" i="12"/>
  <c r="EP241" i="12"/>
  <c r="EP242" i="12"/>
  <c r="EP243" i="12"/>
  <c r="EP244" i="12"/>
  <c r="EP245" i="12"/>
  <c r="EP246" i="12"/>
  <c r="EP247" i="12"/>
  <c r="EP248" i="12"/>
  <c r="EP249" i="12"/>
  <c r="EP250" i="12"/>
  <c r="EP251" i="12"/>
  <c r="EP252" i="12"/>
  <c r="EP253" i="12"/>
  <c r="EP254" i="12"/>
  <c r="EP255" i="12"/>
  <c r="EP256" i="12"/>
  <c r="EP257" i="12"/>
  <c r="EP258" i="12"/>
  <c r="EP259" i="12"/>
  <c r="EP260" i="12"/>
  <c r="EP261" i="12"/>
  <c r="EP262" i="12"/>
  <c r="EP263" i="12"/>
  <c r="EP264" i="12"/>
  <c r="EP265" i="12"/>
  <c r="EP266" i="12"/>
  <c r="EP267" i="12"/>
  <c r="EP268" i="12"/>
  <c r="EP269" i="12"/>
  <c r="EP270" i="12"/>
  <c r="EP271" i="12"/>
  <c r="EP272" i="12"/>
  <c r="EP273" i="12"/>
  <c r="EP274" i="12"/>
  <c r="EP275" i="12"/>
  <c r="EP276" i="12"/>
  <c r="EP277" i="12"/>
  <c r="EP278" i="12"/>
  <c r="EP279" i="12"/>
  <c r="EP280" i="12"/>
  <c r="EP281" i="12"/>
  <c r="EP282" i="12"/>
  <c r="EP283" i="12"/>
  <c r="EP284" i="12"/>
  <c r="EP285" i="12"/>
  <c r="EP286" i="12"/>
  <c r="EP287" i="12"/>
  <c r="EP288" i="12"/>
  <c r="EP289" i="12"/>
  <c r="EP290" i="12"/>
  <c r="EP291" i="12"/>
  <c r="EP292" i="12"/>
  <c r="EP293" i="12"/>
  <c r="EP294" i="12"/>
  <c r="EP295" i="12"/>
  <c r="EP296" i="12"/>
  <c r="EP297" i="12"/>
  <c r="EP298" i="12"/>
  <c r="EP299" i="12"/>
  <c r="EP300" i="12"/>
  <c r="EP301" i="12"/>
  <c r="EP302" i="12"/>
  <c r="EP303" i="12"/>
  <c r="EP304" i="12"/>
  <c r="EP305" i="12"/>
  <c r="EP306" i="12"/>
  <c r="EP307" i="12"/>
  <c r="EP308" i="12"/>
  <c r="EP309" i="12"/>
  <c r="EP310" i="12"/>
  <c r="EP311" i="12"/>
  <c r="EP312" i="12"/>
  <c r="EP313" i="12"/>
  <c r="EP314" i="12"/>
  <c r="EP315" i="12"/>
  <c r="EP316" i="12"/>
  <c r="EP317" i="12"/>
  <c r="EP318" i="12"/>
  <c r="EP319" i="12"/>
  <c r="EP320" i="12"/>
  <c r="EP321" i="12"/>
  <c r="EP322" i="12"/>
  <c r="EP323" i="12"/>
  <c r="EP324" i="12"/>
  <c r="EP325" i="12"/>
  <c r="EP326" i="12"/>
  <c r="EP327" i="12"/>
  <c r="EP328" i="12"/>
  <c r="EP329" i="12"/>
  <c r="EP330" i="12"/>
  <c r="EP331" i="12"/>
  <c r="EP332" i="12"/>
  <c r="EP333" i="12"/>
  <c r="EP334" i="12"/>
  <c r="EP335" i="12"/>
  <c r="EP336" i="12"/>
  <c r="EP337" i="12"/>
  <c r="EP338" i="12"/>
  <c r="EP339" i="12"/>
  <c r="EP340" i="12"/>
  <c r="EP341" i="12"/>
  <c r="EP342" i="12"/>
  <c r="EP343" i="12"/>
  <c r="EP344" i="12"/>
  <c r="EP345" i="12"/>
  <c r="EP346" i="12"/>
  <c r="EP347" i="12"/>
  <c r="EP348" i="12"/>
  <c r="EP349" i="12"/>
  <c r="EP350" i="12"/>
  <c r="EP351" i="12"/>
  <c r="EP352" i="12"/>
  <c r="EP353" i="12"/>
  <c r="EP354" i="12"/>
  <c r="EP355" i="12"/>
  <c r="EP356" i="12"/>
  <c r="EP357" i="12"/>
  <c r="EP358" i="12"/>
  <c r="EP359" i="12"/>
  <c r="EP360" i="12"/>
  <c r="EP361" i="12"/>
  <c r="EP362" i="12"/>
  <c r="EP363" i="12"/>
  <c r="EP364" i="12"/>
  <c r="EP365" i="12"/>
  <c r="EP366" i="12"/>
  <c r="EP367" i="12"/>
  <c r="EP368" i="12"/>
  <c r="EP369" i="12"/>
  <c r="EP370" i="12"/>
  <c r="EP371" i="12"/>
  <c r="EP372" i="12"/>
  <c r="EP373" i="12"/>
  <c r="EP374" i="12"/>
  <c r="EP375" i="12"/>
  <c r="EP376" i="12"/>
  <c r="EP377" i="12"/>
  <c r="EP378" i="12"/>
  <c r="EP379" i="12"/>
  <c r="EP380" i="12"/>
  <c r="EP381" i="12"/>
  <c r="EP382" i="12"/>
  <c r="EP383" i="12"/>
  <c r="EP384" i="12"/>
  <c r="EP385" i="12"/>
  <c r="EP386" i="12"/>
  <c r="EP387" i="12"/>
  <c r="EP388" i="12"/>
  <c r="EP389" i="12"/>
  <c r="EP390" i="12"/>
  <c r="EP391" i="12"/>
  <c r="EP392" i="12"/>
  <c r="EP393" i="12"/>
  <c r="EP394" i="12"/>
  <c r="EP395" i="12"/>
  <c r="EP396" i="12"/>
  <c r="EP397" i="12"/>
  <c r="EP398" i="12"/>
  <c r="EP399" i="12"/>
  <c r="EP400" i="12"/>
  <c r="EP3" i="12"/>
  <c r="CG176" i="12" l="1"/>
  <c r="CG116" i="12" s="1"/>
  <c r="CG173" i="12"/>
  <c r="CG113" i="12" s="1"/>
  <c r="CG103" i="12"/>
  <c r="CI89" i="12"/>
  <c r="CG187" i="12"/>
  <c r="CF195" i="12"/>
  <c r="CE165" i="12" l="1"/>
  <c r="AZ101" i="12"/>
  <c r="B8" i="1"/>
  <c r="D7" i="1" s="1"/>
  <c r="DW3" i="12"/>
  <c r="A3" i="12" s="1"/>
  <c r="AZ102" i="12"/>
  <c r="AZ103" i="12"/>
  <c r="AZ104" i="12"/>
  <c r="AZ105" i="12"/>
  <c r="AZ106" i="12"/>
  <c r="AZ107" i="12"/>
  <c r="AZ108" i="12"/>
  <c r="AZ109" i="12"/>
  <c r="AZ110" i="12"/>
  <c r="AZ111" i="12"/>
  <c r="AZ112" i="12"/>
  <c r="AZ113" i="12"/>
  <c r="AZ114" i="12"/>
  <c r="AZ115" i="12"/>
  <c r="AZ116" i="12"/>
  <c r="AZ117" i="12"/>
  <c r="AZ118" i="12"/>
  <c r="AZ119" i="12"/>
  <c r="AZ120" i="12"/>
  <c r="AZ121" i="12"/>
  <c r="AZ122" i="12"/>
  <c r="AZ123" i="12"/>
  <c r="AZ124" i="12"/>
  <c r="AZ125" i="12"/>
  <c r="AZ126" i="12"/>
  <c r="AZ127" i="12"/>
  <c r="AZ128" i="12"/>
  <c r="AZ129" i="12"/>
  <c r="AZ130" i="12"/>
  <c r="AZ131" i="12"/>
  <c r="AZ132" i="12"/>
  <c r="AZ133" i="12"/>
  <c r="AZ134" i="12"/>
  <c r="AZ135" i="12"/>
  <c r="AZ136" i="12"/>
  <c r="AZ137" i="12"/>
  <c r="AZ138" i="12"/>
  <c r="AZ139" i="12"/>
  <c r="AZ140" i="12"/>
  <c r="AZ141" i="12"/>
  <c r="AZ142" i="12"/>
  <c r="AZ143" i="12"/>
  <c r="AZ144" i="12"/>
  <c r="AZ145" i="12"/>
  <c r="AZ146" i="12"/>
  <c r="AZ147" i="12"/>
  <c r="AZ148" i="12"/>
  <c r="AZ149" i="12"/>
  <c r="AZ150" i="12"/>
  <c r="AZ151" i="12"/>
  <c r="AZ152" i="12"/>
  <c r="AZ153" i="12"/>
  <c r="AZ154" i="12"/>
  <c r="AZ155" i="12"/>
  <c r="AZ156" i="12"/>
  <c r="AZ157" i="12"/>
  <c r="AZ158" i="12"/>
  <c r="AZ159" i="12"/>
  <c r="AZ160" i="12"/>
  <c r="AZ161" i="12"/>
  <c r="AZ162" i="12"/>
  <c r="AZ163" i="12"/>
  <c r="AZ164" i="12"/>
  <c r="AZ165" i="12"/>
  <c r="AZ166" i="12"/>
  <c r="AZ167" i="12"/>
  <c r="AZ168" i="12"/>
  <c r="CG93" i="12"/>
  <c r="CG91" i="12"/>
  <c r="DA120" i="12" l="1"/>
  <c r="DA107" i="12"/>
  <c r="DA94" i="12"/>
  <c r="DA81" i="12"/>
  <c r="DA68" i="12"/>
  <c r="DA55" i="12"/>
  <c r="DA42" i="12"/>
  <c r="DA29" i="12"/>
  <c r="DA16" i="12"/>
  <c r="CG172" i="12"/>
  <c r="CH165" i="12"/>
  <c r="CF189" i="12"/>
  <c r="CF188" i="12"/>
  <c r="CF185" i="12"/>
  <c r="CF173" i="12"/>
  <c r="CF174" i="12"/>
  <c r="CF175" i="12"/>
  <c r="CF176" i="12"/>
  <c r="CF177" i="12"/>
  <c r="CF178" i="12"/>
  <c r="CF180" i="12"/>
  <c r="CF181" i="12"/>
  <c r="CF182" i="12"/>
  <c r="CF183" i="12"/>
  <c r="CF167" i="12"/>
  <c r="CF168" i="12"/>
  <c r="CF169" i="12"/>
  <c r="CF170" i="12"/>
  <c r="CF171" i="12"/>
  <c r="CF166" i="12"/>
  <c r="CG189" i="12"/>
  <c r="CG188" i="12"/>
  <c r="CG186" i="12"/>
  <c r="CG185" i="12"/>
  <c r="CG184" i="12"/>
  <c r="CG182" i="12"/>
  <c r="CG183" i="12"/>
  <c r="CG179" i="12"/>
  <c r="CG177" i="12"/>
  <c r="CG178" i="12"/>
  <c r="CG174" i="12"/>
  <c r="CG175" i="12"/>
  <c r="CG171" i="12"/>
  <c r="CG169" i="12"/>
  <c r="CG170" i="12"/>
  <c r="CG167" i="12"/>
  <c r="CG168" i="12"/>
  <c r="CG166" i="12"/>
  <c r="L212" i="5" l="1"/>
  <c r="CG88" i="12"/>
  <c r="BV1" i="12"/>
  <c r="CG102" i="12" l="1"/>
  <c r="CG101" i="12"/>
  <c r="CG100" i="12"/>
  <c r="CG99" i="12"/>
  <c r="CG98" i="12"/>
  <c r="CG97" i="12"/>
  <c r="CG96" i="12"/>
  <c r="CG95" i="12"/>
  <c r="CG94" i="12"/>
  <c r="CG92" i="12"/>
  <c r="CF90" i="12"/>
  <c r="CF91" i="12"/>
  <c r="CG90" i="12"/>
  <c r="CG89" i="12"/>
  <c r="CF88" i="12"/>
  <c r="DN3" i="12"/>
  <c r="DN4" i="12" l="1"/>
  <c r="H3" i="12"/>
  <c r="FH3" i="12"/>
  <c r="FI3" i="12" s="1"/>
  <c r="FM3" i="12"/>
  <c r="FN3" i="12" l="1"/>
  <c r="DA3" i="12" l="1"/>
  <c r="CU1" i="12" l="1"/>
  <c r="CW1" i="12" l="1"/>
  <c r="CX1" i="12" l="1"/>
  <c r="AP1" i="12"/>
  <c r="AM2" i="12" l="1"/>
  <c r="CQ25" i="12"/>
  <c r="CQ26" i="12"/>
  <c r="CQ23" i="12"/>
  <c r="CQ24" i="12"/>
  <c r="CQ21" i="12"/>
  <c r="CQ22" i="12"/>
  <c r="AP2" i="12"/>
  <c r="K8" i="13"/>
  <c r="CL251" i="12"/>
  <c r="L10" i="5"/>
  <c r="L9" i="5" s="1"/>
  <c r="AO2" i="12"/>
  <c r="CQ34" i="12" l="1"/>
  <c r="CQ48" i="12" s="1"/>
  <c r="CQ75" i="12" s="1"/>
  <c r="CQ32" i="12"/>
  <c r="CQ46" i="12" s="1"/>
  <c r="CQ73" i="12" s="1"/>
  <c r="CQ30" i="12"/>
  <c r="CQ44" i="12" s="1"/>
  <c r="CQ71" i="12" s="1"/>
  <c r="CQ31" i="12"/>
  <c r="CQ45" i="12" s="1"/>
  <c r="CQ72" i="12" s="1"/>
  <c r="CQ33" i="12"/>
  <c r="CQ47" i="12" s="1"/>
  <c r="CQ74" i="12" s="1"/>
  <c r="CQ29" i="12"/>
  <c r="CQ43" i="12" s="1"/>
  <c r="CQ70" i="12" s="1"/>
  <c r="CL252" i="12"/>
  <c r="CQ87" i="12" l="1"/>
  <c r="CQ94" i="12" s="1"/>
  <c r="CQ88" i="12"/>
  <c r="CQ95" i="12" s="1"/>
  <c r="CQ90" i="12"/>
  <c r="CQ97" i="12" s="1"/>
  <c r="CQ91" i="12"/>
  <c r="CQ98" i="12" s="1"/>
  <c r="CQ86" i="12"/>
  <c r="CQ93" i="12" s="1"/>
  <c r="CQ89" i="12"/>
  <c r="CQ96" i="12" s="1"/>
  <c r="CL253" i="12"/>
  <c r="CL254" i="12" l="1"/>
  <c r="M3" i="12" l="1"/>
  <c r="G3" i="12"/>
  <c r="CL255" i="12"/>
  <c r="G9" i="1" l="1"/>
  <c r="F9" i="1" l="1"/>
  <c r="E9" i="1" s="1"/>
  <c r="H9" i="1" s="1"/>
  <c r="Q3" i="12"/>
  <c r="D9" i="1"/>
  <c r="I9" i="1"/>
  <c r="DG157" i="12" l="1"/>
  <c r="DG13" i="12"/>
  <c r="DI13" i="12" s="1"/>
  <c r="DG18" i="12"/>
  <c r="DI18" i="12" s="1"/>
  <c r="DP187" i="12"/>
  <c r="DR187" i="12" s="1"/>
  <c r="DT1" i="12"/>
  <c r="DP197" i="12"/>
  <c r="DR197" i="12" s="1"/>
  <c r="DP157" i="12"/>
  <c r="DR157" i="12" s="1"/>
  <c r="DP192" i="12"/>
  <c r="DR192" i="12" s="1"/>
  <c r="DP11" i="12"/>
  <c r="DR11" i="12" s="1"/>
  <c r="DP196" i="12"/>
  <c r="DR196" i="12" s="1"/>
  <c r="DP186" i="12"/>
  <c r="DR186" i="12" s="1"/>
  <c r="DP191" i="12"/>
  <c r="DR191" i="12" s="1"/>
  <c r="DP10" i="12"/>
  <c r="DR10" i="12" s="1"/>
  <c r="DS1" i="12"/>
  <c r="DP156" i="12"/>
  <c r="DR156" i="12" s="1"/>
  <c r="DG155" i="12"/>
  <c r="DG11" i="12"/>
  <c r="DG16" i="12"/>
  <c r="DI16" i="12" s="1"/>
  <c r="DP198" i="12"/>
  <c r="DR198" i="12" s="1"/>
  <c r="DU1" i="12"/>
  <c r="DP158" i="12"/>
  <c r="DR158" i="12" s="1"/>
  <c r="DP188" i="12"/>
  <c r="DR188" i="12" s="1"/>
  <c r="DP12" i="12"/>
  <c r="DR12" i="12" s="1"/>
  <c r="DP193" i="12"/>
  <c r="DR193" i="12" s="1"/>
  <c r="DG17" i="12"/>
  <c r="DI17" i="12" s="1"/>
  <c r="DG156" i="12"/>
  <c r="DG12" i="12"/>
  <c r="DI12" i="12" s="1"/>
  <c r="DP159" i="12"/>
  <c r="DR159" i="12" s="1"/>
  <c r="DP199" i="12"/>
  <c r="DR199" i="12" s="1"/>
  <c r="DP194" i="12"/>
  <c r="DR194" i="12" s="1"/>
  <c r="DP189" i="12"/>
  <c r="DR189" i="12" s="1"/>
  <c r="DP13" i="12"/>
  <c r="DG15" i="12"/>
  <c r="DI15" i="12" s="1"/>
  <c r="DG10" i="12"/>
  <c r="DG154" i="12"/>
  <c r="DN5" i="12"/>
  <c r="DI11" i="12" l="1"/>
  <c r="DI10" i="12"/>
  <c r="DI155" i="12"/>
  <c r="DG207" i="12"/>
  <c r="DI157" i="12"/>
  <c r="DG209" i="12"/>
  <c r="DI156" i="12"/>
  <c r="DG208" i="12"/>
  <c r="DI154" i="12"/>
  <c r="DG206" i="12"/>
  <c r="DG201" i="12" s="1"/>
  <c r="DP18" i="12"/>
  <c r="DR18" i="12" s="1"/>
  <c r="DR13" i="12"/>
  <c r="DN6" i="12"/>
  <c r="DP16" i="12"/>
  <c r="DR16" i="12" s="1"/>
  <c r="DP17" i="12"/>
  <c r="DR17" i="12" s="1"/>
  <c r="DP15" i="12"/>
  <c r="DR15" i="12" s="1"/>
  <c r="DV1" i="12"/>
  <c r="DR1" i="12" s="1"/>
  <c r="DR129" i="12" s="1"/>
  <c r="DW21" i="12"/>
  <c r="DI201" i="12" l="1"/>
  <c r="DG196" i="12"/>
  <c r="DI209" i="12"/>
  <c r="DG204" i="12"/>
  <c r="DI208" i="12"/>
  <c r="DG203" i="12"/>
  <c r="DI207" i="12"/>
  <c r="DG202" i="12"/>
  <c r="DI206" i="12"/>
  <c r="DR185" i="12"/>
  <c r="DR9" i="12"/>
  <c r="DR190" i="12"/>
  <c r="DR14" i="12"/>
  <c r="DR4" i="12"/>
  <c r="DW4" i="12" s="1"/>
  <c r="DR195" i="12"/>
  <c r="DR155" i="12"/>
  <c r="DN7" i="12"/>
  <c r="DW22" i="12"/>
  <c r="DW5" i="12" l="1"/>
  <c r="DW6" i="12" s="1"/>
  <c r="DI202" i="12"/>
  <c r="DG197" i="12"/>
  <c r="DI204" i="12"/>
  <c r="DG199" i="12"/>
  <c r="DI203" i="12"/>
  <c r="DG198" i="12"/>
  <c r="DG191" i="12"/>
  <c r="DI191" i="12" s="1"/>
  <c r="DI196" i="12"/>
  <c r="DN8" i="12"/>
  <c r="D4" i="12" l="1"/>
  <c r="E4" i="12"/>
  <c r="B4" i="12"/>
  <c r="FM4" i="12" s="1"/>
  <c r="C4" i="12"/>
  <c r="F4" i="12"/>
  <c r="G4" i="12" s="1"/>
  <c r="A4" i="12"/>
  <c r="M4" i="12" s="1"/>
  <c r="Q4" i="12" s="1"/>
  <c r="DW7" i="12"/>
  <c r="DG194" i="12"/>
  <c r="DI194" i="12" s="1"/>
  <c r="DI199" i="12"/>
  <c r="DG193" i="12"/>
  <c r="DI193" i="12" s="1"/>
  <c r="DI198" i="12"/>
  <c r="DG192" i="12"/>
  <c r="DI192" i="12" s="1"/>
  <c r="DI197" i="12"/>
  <c r="DN9" i="12"/>
  <c r="DW25" i="12"/>
  <c r="FH4" i="12" l="1"/>
  <c r="FI4" i="12" s="1"/>
  <c r="E10" i="1"/>
  <c r="AC3" i="12"/>
  <c r="N4" i="12"/>
  <c r="D10" i="1"/>
  <c r="AF3" i="12"/>
  <c r="AD3" i="12"/>
  <c r="AB3" i="12"/>
  <c r="DW8" i="12"/>
  <c r="DW9" i="12" s="1"/>
  <c r="A5" i="12" s="1"/>
  <c r="DN10" i="12"/>
  <c r="FN4" i="12"/>
  <c r="D5" i="12" l="1"/>
  <c r="A10" i="2"/>
  <c r="AA3" i="12"/>
  <c r="DN11" i="12"/>
  <c r="DW10" i="12"/>
  <c r="AP37" i="12"/>
  <c r="L192" i="5"/>
  <c r="AP179" i="12"/>
  <c r="AO78" i="12"/>
  <c r="AP70" i="12"/>
  <c r="L106" i="5"/>
  <c r="L113" i="5"/>
  <c r="L47" i="5"/>
  <c r="AP289" i="12"/>
  <c r="AO6" i="12"/>
  <c r="C157" i="5"/>
  <c r="L26" i="5"/>
  <c r="AO210" i="12"/>
  <c r="AO152" i="12"/>
  <c r="AP41" i="12"/>
  <c r="AL94" i="12"/>
  <c r="AP168" i="12"/>
  <c r="AP92" i="12"/>
  <c r="L206" i="5"/>
  <c r="AP185" i="12"/>
  <c r="AO94" i="12"/>
  <c r="AO21" i="12"/>
  <c r="C108" i="5"/>
  <c r="L29" i="5"/>
  <c r="L56" i="5"/>
  <c r="C98" i="5"/>
  <c r="C129" i="5"/>
  <c r="AL83" i="12"/>
  <c r="L22" i="5"/>
  <c r="C172" i="5"/>
  <c r="AP285" i="12"/>
  <c r="AP36" i="12"/>
  <c r="AO30" i="12"/>
  <c r="AP114" i="12"/>
  <c r="C140" i="5"/>
  <c r="AP73" i="12"/>
  <c r="AP7" i="12"/>
  <c r="AP30" i="12"/>
  <c r="AP116" i="12"/>
  <c r="AO178" i="12"/>
  <c r="L17" i="5"/>
  <c r="L35" i="5"/>
  <c r="W12" i="12"/>
  <c r="C86" i="5"/>
  <c r="L123" i="5"/>
  <c r="L75" i="5"/>
  <c r="C57" i="5"/>
  <c r="C198" i="5"/>
  <c r="C14" i="5"/>
  <c r="L137" i="5"/>
  <c r="C39" i="5"/>
  <c r="AL48" i="12"/>
  <c r="AL3" i="12"/>
  <c r="AP297" i="12"/>
  <c r="AP191" i="12"/>
  <c r="L59" i="5"/>
  <c r="AP44" i="12"/>
  <c r="C38" i="5"/>
  <c r="AO25" i="12"/>
  <c r="AO47" i="12"/>
  <c r="AL89" i="12"/>
  <c r="AL25" i="12"/>
  <c r="L121" i="5"/>
  <c r="AO158" i="12"/>
  <c r="AO137" i="12"/>
  <c r="C163" i="5"/>
  <c r="C102" i="5"/>
  <c r="AO11" i="12"/>
  <c r="L202" i="5"/>
  <c r="AO193" i="12"/>
  <c r="AO31" i="12"/>
  <c r="L191" i="5"/>
  <c r="C192" i="5"/>
  <c r="AO109" i="12"/>
  <c r="AL50" i="12"/>
  <c r="AP64" i="12"/>
  <c r="AO211" i="12"/>
  <c r="AL61" i="12"/>
  <c r="AL16" i="12"/>
  <c r="AP258" i="12"/>
  <c r="AP248" i="12"/>
  <c r="AO7" i="12"/>
  <c r="C149" i="5"/>
  <c r="L63" i="5"/>
  <c r="L23" i="5"/>
  <c r="C204" i="5"/>
  <c r="AL57" i="12"/>
  <c r="AO224" i="12"/>
  <c r="DJ1" i="12"/>
  <c r="DA2" i="12"/>
  <c r="L172" i="5"/>
  <c r="AP21" i="12"/>
  <c r="C127" i="5"/>
  <c r="L62" i="5"/>
  <c r="AL85" i="12"/>
  <c r="C117" i="5"/>
  <c r="AO208" i="12"/>
  <c r="AO204" i="12"/>
  <c r="AP187" i="12"/>
  <c r="AL39" i="12"/>
  <c r="AL37" i="12"/>
  <c r="AL6" i="12"/>
  <c r="AP292" i="12"/>
  <c r="AO38" i="12"/>
  <c r="AO198" i="12"/>
  <c r="L99" i="5"/>
  <c r="AP173" i="12"/>
  <c r="C68" i="5"/>
  <c r="L128" i="5"/>
  <c r="L28" i="5"/>
  <c r="AP262" i="12"/>
  <c r="L201" i="5"/>
  <c r="AP118" i="12"/>
  <c r="L152" i="5"/>
  <c r="AP261" i="12"/>
  <c r="C196" i="5"/>
  <c r="AL84" i="12"/>
  <c r="C13" i="5"/>
  <c r="AP54" i="12"/>
  <c r="AL78" i="12"/>
  <c r="AL52" i="12"/>
  <c r="AP208" i="12"/>
  <c r="AP72" i="12"/>
  <c r="AO244" i="12"/>
  <c r="L166" i="5"/>
  <c r="C197" i="5"/>
  <c r="L19" i="5"/>
  <c r="AO112" i="12"/>
  <c r="L153" i="5"/>
  <c r="AO73" i="12"/>
  <c r="AO295" i="12"/>
  <c r="AO106" i="12"/>
  <c r="AO55" i="12"/>
  <c r="AO113" i="12"/>
  <c r="AO293" i="12"/>
  <c r="AO262" i="12"/>
  <c r="L118" i="5"/>
  <c r="AO234" i="12"/>
  <c r="C12" i="5"/>
  <c r="AP93" i="12"/>
  <c r="AP57" i="12"/>
  <c r="C193" i="5"/>
  <c r="AO103" i="12"/>
  <c r="AO226" i="12"/>
  <c r="C19" i="5"/>
  <c r="L120" i="5"/>
  <c r="C126" i="5"/>
  <c r="AO127" i="12"/>
  <c r="AO59" i="12"/>
  <c r="L24" i="5"/>
  <c r="C47" i="5"/>
  <c r="C147" i="5"/>
  <c r="C24" i="5"/>
  <c r="AO114" i="12"/>
  <c r="AP60" i="12"/>
  <c r="AO130" i="12"/>
  <c r="AP55" i="12"/>
  <c r="AP124" i="12"/>
  <c r="AO247" i="12"/>
  <c r="AO79" i="12"/>
  <c r="AL87" i="12"/>
  <c r="C176" i="5"/>
  <c r="AP224" i="12"/>
  <c r="AP236" i="12"/>
  <c r="AP186" i="12"/>
  <c r="L49" i="5"/>
  <c r="AP95" i="12"/>
  <c r="C137" i="5"/>
  <c r="AL70" i="12"/>
  <c r="AO255" i="12"/>
  <c r="AO222" i="12"/>
  <c r="C191" i="5"/>
  <c r="L138" i="5"/>
  <c r="AP108" i="12"/>
  <c r="AP145" i="12"/>
  <c r="AO58" i="12"/>
  <c r="AO81" i="12"/>
  <c r="AP137" i="12"/>
  <c r="L176" i="5"/>
  <c r="AO45" i="12"/>
  <c r="AO215" i="12"/>
  <c r="AL15" i="12"/>
  <c r="L65" i="5"/>
  <c r="AO300" i="12"/>
  <c r="AP277" i="12"/>
  <c r="L140" i="5"/>
  <c r="AO240" i="12"/>
  <c r="AP192" i="12"/>
  <c r="AP275" i="12"/>
  <c r="AO99" i="12"/>
  <c r="L165" i="5"/>
  <c r="AL45" i="12"/>
  <c r="AO227" i="12"/>
  <c r="AP203" i="12"/>
  <c r="AO111" i="12"/>
  <c r="AO212" i="12"/>
  <c r="L58" i="5"/>
  <c r="AP120" i="12"/>
  <c r="AP211" i="12"/>
  <c r="AO160" i="12"/>
  <c r="L203" i="5"/>
  <c r="AP86" i="12"/>
  <c r="C48" i="5"/>
  <c r="C166" i="5"/>
  <c r="L97" i="5"/>
  <c r="AP230" i="12"/>
  <c r="AP126" i="12"/>
  <c r="AL13" i="12"/>
  <c r="AP174" i="12"/>
  <c r="AL1" i="12"/>
  <c r="C61" i="5"/>
  <c r="C151" i="5"/>
  <c r="AL27" i="12"/>
  <c r="AO123" i="12"/>
  <c r="AP53" i="12"/>
  <c r="AO89" i="12"/>
  <c r="C99" i="5"/>
  <c r="AP61" i="12"/>
  <c r="AO82" i="12"/>
  <c r="AO290" i="12"/>
  <c r="AO273" i="12"/>
  <c r="AP212" i="12"/>
  <c r="L41" i="5"/>
  <c r="AP47" i="12"/>
  <c r="AO74" i="12"/>
  <c r="DC1" i="12"/>
  <c r="L50" i="5"/>
  <c r="L158" i="5"/>
  <c r="AO92" i="12"/>
  <c r="AP139" i="12"/>
  <c r="AO115" i="12"/>
  <c r="AL23" i="12"/>
  <c r="AO50" i="12"/>
  <c r="AL18" i="12"/>
  <c r="AP9" i="12"/>
  <c r="AP50" i="12"/>
  <c r="AP66" i="12"/>
  <c r="L16" i="5"/>
  <c r="L94" i="5"/>
  <c r="L89" i="5"/>
  <c r="AP141" i="12"/>
  <c r="AO49" i="12"/>
  <c r="AO110" i="12"/>
  <c r="AP199" i="12"/>
  <c r="L209" i="5"/>
  <c r="AP106" i="12"/>
  <c r="AP190" i="12"/>
  <c r="AO16" i="12"/>
  <c r="AL99" i="12"/>
  <c r="AP175" i="12"/>
  <c r="AP287" i="12"/>
  <c r="AP286" i="12"/>
  <c r="AO65" i="12"/>
  <c r="AL31" i="12"/>
  <c r="C114" i="5"/>
  <c r="AP62" i="12"/>
  <c r="AL56" i="12"/>
  <c r="L110" i="5"/>
  <c r="C139" i="5"/>
  <c r="C26" i="5"/>
  <c r="AP282" i="12"/>
  <c r="AP46" i="12"/>
  <c r="C16" i="5"/>
  <c r="L100" i="5"/>
  <c r="L135" i="5"/>
  <c r="L67" i="5"/>
  <c r="AP33" i="12"/>
  <c r="AO272" i="12"/>
  <c r="AP225" i="12"/>
  <c r="AO180" i="12"/>
  <c r="AO237" i="12"/>
  <c r="AO167" i="12"/>
  <c r="L196" i="5"/>
  <c r="AP26" i="12"/>
  <c r="L31" i="5"/>
  <c r="AP17" i="12"/>
  <c r="AP231" i="12"/>
  <c r="C71" i="5"/>
  <c r="AO163" i="12"/>
  <c r="AO249" i="12"/>
  <c r="L148" i="5"/>
  <c r="C51" i="5"/>
  <c r="L12" i="5"/>
  <c r="AO62" i="12"/>
  <c r="L189" i="5"/>
  <c r="AP237" i="12"/>
  <c r="L145" i="5"/>
  <c r="AO61" i="12"/>
  <c r="AO105" i="12"/>
  <c r="AO195" i="12"/>
  <c r="AP151" i="12"/>
  <c r="L38" i="5"/>
  <c r="L175" i="5"/>
  <c r="L124" i="5"/>
  <c r="AP153" i="12"/>
  <c r="AP3" i="12"/>
  <c r="L125" i="5"/>
  <c r="AP206" i="12"/>
  <c r="AO63" i="12"/>
  <c r="AL58" i="12"/>
  <c r="G7" i="13"/>
  <c r="R1" i="12"/>
  <c r="AP107" i="12"/>
  <c r="AO104" i="12"/>
  <c r="AP164" i="12"/>
  <c r="AO199" i="12"/>
  <c r="AO44" i="12"/>
  <c r="C35" i="5"/>
  <c r="AP201" i="12"/>
  <c r="C73" i="5"/>
  <c r="AO190" i="12"/>
  <c r="C49" i="5"/>
  <c r="C133" i="5"/>
  <c r="C25" i="5"/>
  <c r="AO133" i="12"/>
  <c r="AO124" i="12"/>
  <c r="L174" i="5"/>
  <c r="AP215" i="12"/>
  <c r="AO4" i="12"/>
  <c r="C187" i="5"/>
  <c r="C145" i="5"/>
  <c r="C195" i="5"/>
  <c r="AP229" i="12"/>
  <c r="AO100" i="12"/>
  <c r="L167" i="5"/>
  <c r="C92" i="5"/>
  <c r="L126" i="5"/>
  <c r="C146" i="5"/>
  <c r="AO280" i="12"/>
  <c r="AO151" i="12"/>
  <c r="C82" i="5"/>
  <c r="C189" i="5"/>
  <c r="AP161" i="12"/>
  <c r="AO281" i="12"/>
  <c r="AS1" i="12"/>
  <c r="C188" i="5"/>
  <c r="L195" i="5"/>
  <c r="AP217" i="12"/>
  <c r="C115" i="5"/>
  <c r="AP27" i="12"/>
  <c r="C40" i="5"/>
  <c r="L91" i="5"/>
  <c r="AP280" i="12"/>
  <c r="AP158" i="12"/>
  <c r="AL19" i="12"/>
  <c r="C156" i="5"/>
  <c r="AO34" i="12"/>
  <c r="AL91" i="12"/>
  <c r="L157" i="5"/>
  <c r="AO220" i="12"/>
  <c r="C15" i="5"/>
  <c r="L119" i="5"/>
  <c r="AO258" i="12"/>
  <c r="L162" i="5"/>
  <c r="AP263" i="12"/>
  <c r="AP291" i="12"/>
  <c r="AO261" i="12"/>
  <c r="AO286" i="12"/>
  <c r="AL66" i="12"/>
  <c r="C60" i="5"/>
  <c r="AO242" i="12"/>
  <c r="AP104" i="12"/>
  <c r="C174" i="5"/>
  <c r="AO251" i="12"/>
  <c r="C165" i="5"/>
  <c r="U2" i="12"/>
  <c r="AO170" i="12"/>
  <c r="W13" i="12"/>
  <c r="C160" i="5"/>
  <c r="AO203" i="12"/>
  <c r="AO287" i="12"/>
  <c r="AP49" i="12"/>
  <c r="AO254" i="12"/>
  <c r="C121" i="5"/>
  <c r="W11" i="12"/>
  <c r="L103" i="5"/>
  <c r="C153" i="5"/>
  <c r="AP221" i="12"/>
  <c r="L61" i="5"/>
  <c r="L64" i="5"/>
  <c r="AP24" i="12"/>
  <c r="AO53" i="12"/>
  <c r="AP48" i="12"/>
  <c r="AL95" i="12"/>
  <c r="AO174" i="12"/>
  <c r="AO182" i="12"/>
  <c r="L178" i="5"/>
  <c r="AO150" i="12"/>
  <c r="AO41" i="12"/>
  <c r="AL102" i="12"/>
  <c r="AO230" i="12"/>
  <c r="AO298" i="12"/>
  <c r="AP228" i="12"/>
  <c r="L11" i="5"/>
  <c r="AL14" i="12"/>
  <c r="C178" i="5"/>
  <c r="AO238" i="12"/>
  <c r="AP65" i="12"/>
  <c r="L193" i="5"/>
  <c r="AO233" i="12"/>
  <c r="AP302" i="12"/>
  <c r="C177" i="5"/>
  <c r="L76" i="5"/>
  <c r="L149" i="5"/>
  <c r="AP246" i="12"/>
  <c r="L85" i="5"/>
  <c r="AP300" i="12"/>
  <c r="AO72" i="12"/>
  <c r="AO77" i="12"/>
  <c r="DD1" i="12"/>
  <c r="AO184" i="12"/>
  <c r="AO253" i="12"/>
  <c r="AO98" i="12"/>
  <c r="AL79" i="12"/>
  <c r="AO52" i="12"/>
  <c r="AO85" i="12"/>
  <c r="L68" i="5"/>
  <c r="AO35" i="12"/>
  <c r="C54" i="5"/>
  <c r="B10" i="14"/>
  <c r="AP101" i="12"/>
  <c r="C142" i="5"/>
  <c r="AO214" i="12"/>
  <c r="AP110" i="12"/>
  <c r="L133" i="5"/>
  <c r="AO171" i="12"/>
  <c r="C75" i="5"/>
  <c r="AP183" i="12"/>
  <c r="AL10" i="12"/>
  <c r="AO97" i="12"/>
  <c r="L93" i="5"/>
  <c r="L179" i="5"/>
  <c r="C207" i="5"/>
  <c r="L44" i="5"/>
  <c r="C69" i="5"/>
  <c r="AP43" i="12"/>
  <c r="AO68" i="12"/>
  <c r="AO12" i="12"/>
  <c r="C148" i="5"/>
  <c r="AO71" i="12"/>
  <c r="AP218" i="12"/>
  <c r="AP71" i="12"/>
  <c r="AL11" i="12"/>
  <c r="AP244" i="12"/>
  <c r="L139" i="5"/>
  <c r="AO216" i="12"/>
  <c r="AP241" i="12"/>
  <c r="C97" i="5"/>
  <c r="AO70" i="12"/>
  <c r="AO183" i="12"/>
  <c r="C125" i="5"/>
  <c r="AO20" i="12"/>
  <c r="C212" i="5"/>
  <c r="AP56" i="12"/>
  <c r="L86" i="5"/>
  <c r="AP132" i="12"/>
  <c r="L30" i="5"/>
  <c r="C120" i="5"/>
  <c r="L90" i="5"/>
  <c r="C104" i="5"/>
  <c r="AO131" i="12"/>
  <c r="AO125" i="12"/>
  <c r="AO218" i="12"/>
  <c r="AP200" i="12"/>
  <c r="BF9" i="12"/>
  <c r="C34" i="5"/>
  <c r="AL26" i="12"/>
  <c r="AP235" i="12"/>
  <c r="C85" i="5"/>
  <c r="AO294" i="12"/>
  <c r="AO143" i="12"/>
  <c r="AP115" i="12"/>
  <c r="AL59" i="12"/>
  <c r="L80" i="5"/>
  <c r="AL81" i="12"/>
  <c r="L161" i="5"/>
  <c r="AO200" i="12"/>
  <c r="C36" i="5"/>
  <c r="AL38" i="12"/>
  <c r="AP45" i="12"/>
  <c r="L136" i="5"/>
  <c r="AP51" i="12"/>
  <c r="AP189" i="12"/>
  <c r="AP157" i="12"/>
  <c r="AO116" i="12"/>
  <c r="C79" i="5"/>
  <c r="L60" i="5"/>
  <c r="C199" i="5"/>
  <c r="AO15" i="12"/>
  <c r="AP214" i="12"/>
  <c r="C122" i="5"/>
  <c r="AP207" i="12"/>
  <c r="AO257" i="12"/>
  <c r="AP240" i="12"/>
  <c r="AO10" i="12"/>
  <c r="AO239" i="12"/>
  <c r="AL67" i="12"/>
  <c r="AP35" i="12"/>
  <c r="C81" i="5"/>
  <c r="AP142" i="12"/>
  <c r="AO179" i="12"/>
  <c r="C185" i="5"/>
  <c r="AP121" i="12"/>
  <c r="AP232" i="12"/>
  <c r="AO202" i="12"/>
  <c r="AO36" i="12"/>
  <c r="AP144" i="12"/>
  <c r="C64" i="5"/>
  <c r="L117" i="5"/>
  <c r="AO252" i="12"/>
  <c r="AL53" i="12"/>
  <c r="L177" i="5"/>
  <c r="L129" i="5"/>
  <c r="AO207" i="12"/>
  <c r="AO126" i="12"/>
  <c r="C45" i="5"/>
  <c r="C76" i="5"/>
  <c r="AO118" i="12"/>
  <c r="L107" i="5"/>
  <c r="AL7" i="12"/>
  <c r="AL82" i="12"/>
  <c r="AP59" i="12"/>
  <c r="AL73" i="12"/>
  <c r="AO225" i="12"/>
  <c r="C208" i="5"/>
  <c r="C53" i="5"/>
  <c r="C52" i="5"/>
  <c r="L14" i="5"/>
  <c r="L66" i="5"/>
  <c r="AO192" i="12"/>
  <c r="AP288" i="12"/>
  <c r="AP255" i="12"/>
  <c r="L95" i="5"/>
  <c r="L163" i="5"/>
  <c r="L84" i="5"/>
  <c r="AL44" i="12"/>
  <c r="AO164" i="12"/>
  <c r="AP6" i="12"/>
  <c r="AL69" i="12"/>
  <c r="AP122" i="12"/>
  <c r="AO191" i="12"/>
  <c r="AP213" i="12"/>
  <c r="AP278" i="12"/>
  <c r="L13" i="5"/>
  <c r="C154" i="5"/>
  <c r="AL90" i="12"/>
  <c r="L173" i="5"/>
  <c r="L187" i="5"/>
  <c r="L147" i="5"/>
  <c r="L36" i="5"/>
  <c r="AO236" i="12"/>
  <c r="AP127" i="12"/>
  <c r="AO141" i="12"/>
  <c r="C11" i="5"/>
  <c r="C152" i="5"/>
  <c r="L115" i="5"/>
  <c r="C74" i="5"/>
  <c r="L27" i="5"/>
  <c r="AP136" i="12"/>
  <c r="AP182" i="12"/>
  <c r="L52" i="5"/>
  <c r="AP193" i="12"/>
  <c r="AO101" i="12"/>
  <c r="AO245" i="12"/>
  <c r="AO149" i="12"/>
  <c r="AP177" i="12"/>
  <c r="L25" i="5"/>
  <c r="C63" i="5"/>
  <c r="AP259" i="12"/>
  <c r="AO129" i="12"/>
  <c r="L51" i="5"/>
  <c r="C80" i="5"/>
  <c r="C100" i="5"/>
  <c r="AP266" i="12"/>
  <c r="AP188" i="12"/>
  <c r="AP249" i="12"/>
  <c r="C56" i="5"/>
  <c r="AP10" i="12"/>
  <c r="AL20" i="12"/>
  <c r="AP170" i="12"/>
  <c r="L180" i="5"/>
  <c r="AO122" i="12"/>
  <c r="L144" i="5"/>
  <c r="C110" i="5"/>
  <c r="C89" i="5"/>
  <c r="AO134" i="12"/>
  <c r="AP98" i="12"/>
  <c r="AO66" i="12"/>
  <c r="AP75" i="12"/>
  <c r="AO87" i="12"/>
  <c r="AP293" i="12"/>
  <c r="L142" i="5"/>
  <c r="L114" i="5"/>
  <c r="AP25" i="12"/>
  <c r="L105" i="5"/>
  <c r="C130" i="5"/>
  <c r="AL75" i="12"/>
  <c r="L77" i="5"/>
  <c r="AP131" i="12"/>
  <c r="AP79" i="12"/>
  <c r="AO267" i="12"/>
  <c r="AO138" i="12"/>
  <c r="AP125" i="12"/>
  <c r="C183" i="5"/>
  <c r="AO54" i="12"/>
  <c r="C210" i="5"/>
  <c r="C135" i="5"/>
  <c r="AO289" i="12"/>
  <c r="AO175" i="12"/>
  <c r="AL29" i="12"/>
  <c r="AL62" i="12"/>
  <c r="AO205" i="12"/>
  <c r="L42" i="5"/>
  <c r="AO157" i="12"/>
  <c r="AO147" i="12"/>
  <c r="L48" i="5"/>
  <c r="AO40" i="12"/>
  <c r="AP135" i="12"/>
  <c r="L109" i="5"/>
  <c r="AP133" i="12"/>
  <c r="AP102" i="12"/>
  <c r="C59" i="5"/>
  <c r="L164" i="5"/>
  <c r="L156" i="5"/>
  <c r="C167" i="5"/>
  <c r="AO243" i="12"/>
  <c r="L87" i="5"/>
  <c r="C182" i="5"/>
  <c r="AO232" i="12"/>
  <c r="AL76" i="12"/>
  <c r="AL34" i="12"/>
  <c r="AO285" i="12"/>
  <c r="C30" i="5"/>
  <c r="L98" i="5"/>
  <c r="AP196" i="12"/>
  <c r="AO221" i="12"/>
  <c r="C93" i="5"/>
  <c r="AL35" i="12"/>
  <c r="L102" i="5"/>
  <c r="L155" i="5"/>
  <c r="AP171" i="12"/>
  <c r="AO201" i="12"/>
  <c r="AO28" i="12"/>
  <c r="C168" i="5"/>
  <c r="AP34" i="12"/>
  <c r="AP19" i="12"/>
  <c r="L198" i="5"/>
  <c r="AP58" i="12"/>
  <c r="AL63" i="12"/>
  <c r="AO48" i="12"/>
  <c r="AP276" i="12"/>
  <c r="AP74" i="12"/>
  <c r="K9" i="13"/>
  <c r="C161" i="5"/>
  <c r="L71" i="5"/>
  <c r="AO135" i="12"/>
  <c r="AP123" i="12"/>
  <c r="AL93" i="12"/>
  <c r="AO268" i="12"/>
  <c r="L141" i="5"/>
  <c r="AO159" i="12"/>
  <c r="L70" i="5"/>
  <c r="L69" i="5"/>
  <c r="AP147" i="12"/>
  <c r="AO277" i="12"/>
  <c r="L208" i="5"/>
  <c r="AP117" i="12"/>
  <c r="AL49" i="12"/>
  <c r="C202" i="5"/>
  <c r="L92" i="5"/>
  <c r="AO231" i="12"/>
  <c r="AO146" i="12"/>
  <c r="AO26" i="12"/>
  <c r="AP176" i="12"/>
  <c r="L127" i="5"/>
  <c r="C211" i="5"/>
  <c r="C162" i="5"/>
  <c r="AO188" i="12"/>
  <c r="AP97" i="12"/>
  <c r="AO282" i="12"/>
  <c r="AT1" i="12"/>
  <c r="I1" i="12"/>
  <c r="AO153" i="12"/>
  <c r="AL42" i="12"/>
  <c r="AO136" i="12"/>
  <c r="C29" i="5"/>
  <c r="AP299" i="12"/>
  <c r="AP242" i="12"/>
  <c r="AO119" i="12"/>
  <c r="AL74" i="12"/>
  <c r="AO265" i="12"/>
  <c r="C119" i="5"/>
  <c r="C22" i="5"/>
  <c r="AP216" i="12"/>
  <c r="C184" i="5"/>
  <c r="AO76" i="12"/>
  <c r="AO67" i="12"/>
  <c r="C31" i="5"/>
  <c r="AP148" i="12"/>
  <c r="AO14" i="12"/>
  <c r="AO9" i="12"/>
  <c r="L151" i="5"/>
  <c r="AL51" i="12"/>
  <c r="AO32" i="12"/>
  <c r="AO209" i="12"/>
  <c r="L205" i="5"/>
  <c r="AO177" i="12"/>
  <c r="AO148" i="12"/>
  <c r="AO84" i="12"/>
  <c r="AO301" i="12"/>
  <c r="AO256" i="12"/>
  <c r="C136" i="5"/>
  <c r="AO139" i="12"/>
  <c r="AP109" i="12"/>
  <c r="AP234" i="12"/>
  <c r="AO75" i="12"/>
  <c r="AO228" i="12"/>
  <c r="AO140" i="12"/>
  <c r="AP130" i="12"/>
  <c r="AP251" i="12"/>
  <c r="L73" i="5"/>
  <c r="AO264" i="12"/>
  <c r="AP103" i="12"/>
  <c r="L169" i="5"/>
  <c r="AO299" i="12"/>
  <c r="C32" i="5"/>
  <c r="C132" i="5"/>
  <c r="L181" i="5"/>
  <c r="AL86" i="12"/>
  <c r="AL24" i="12"/>
  <c r="C105" i="5"/>
  <c r="AP301" i="12"/>
  <c r="AO263" i="12"/>
  <c r="AP167" i="12"/>
  <c r="L21" i="5"/>
  <c r="AP181" i="12"/>
  <c r="AO279" i="12"/>
  <c r="AO165" i="12"/>
  <c r="AP96" i="12"/>
  <c r="L134" i="5"/>
  <c r="L170" i="5"/>
  <c r="C113" i="5"/>
  <c r="AO3" i="12"/>
  <c r="AL54" i="12"/>
  <c r="AP90" i="12"/>
  <c r="AP112" i="12"/>
  <c r="AP254" i="12"/>
  <c r="AO60" i="12"/>
  <c r="AO33" i="12"/>
  <c r="AO213" i="12"/>
  <c r="AO27" i="12"/>
  <c r="AP172" i="12"/>
  <c r="AP219" i="12"/>
  <c r="AP14" i="12"/>
  <c r="AP63" i="12"/>
  <c r="AP270" i="12"/>
  <c r="AP204" i="12"/>
  <c r="AP160" i="12"/>
  <c r="AO288" i="12"/>
  <c r="AP149" i="12"/>
  <c r="AP40" i="12"/>
  <c r="AL21" i="12"/>
  <c r="AP18" i="12"/>
  <c r="L159" i="5"/>
  <c r="AL88" i="12"/>
  <c r="AK2" i="12"/>
  <c r="AO269" i="12"/>
  <c r="AO56" i="12"/>
  <c r="C37" i="5"/>
  <c r="AP11" i="12"/>
  <c r="AO154" i="12"/>
  <c r="AL9" i="12"/>
  <c r="AP250" i="12"/>
  <c r="AO189" i="12"/>
  <c r="C123" i="5"/>
  <c r="AP99" i="12"/>
  <c r="AP146" i="12"/>
  <c r="AP67" i="12"/>
  <c r="L183" i="5"/>
  <c r="AP222" i="12"/>
  <c r="AP111" i="12"/>
  <c r="C180" i="5"/>
  <c r="AL100" i="12"/>
  <c r="C23" i="5"/>
  <c r="AO181" i="12"/>
  <c r="AO64" i="12"/>
  <c r="AP253" i="12"/>
  <c r="L188" i="5"/>
  <c r="L131" i="5"/>
  <c r="L45" i="5"/>
  <c r="C78" i="5"/>
  <c r="AL101" i="12"/>
  <c r="AO275" i="12"/>
  <c r="AL65" i="12"/>
  <c r="AP83" i="12"/>
  <c r="AO246" i="12"/>
  <c r="C91" i="5"/>
  <c r="C106" i="5"/>
  <c r="C41" i="5"/>
  <c r="AO156" i="12"/>
  <c r="L15" i="5"/>
  <c r="C206" i="5"/>
  <c r="AO241" i="12"/>
  <c r="L122" i="5"/>
  <c r="AP210" i="12"/>
  <c r="L143" i="5"/>
  <c r="AP257" i="12"/>
  <c r="C194" i="5"/>
  <c r="C171" i="5"/>
  <c r="C179" i="5"/>
  <c r="L37" i="5"/>
  <c r="AO102" i="12"/>
  <c r="AP252" i="12"/>
  <c r="L111" i="5"/>
  <c r="AP77" i="12"/>
  <c r="AL8" i="12"/>
  <c r="AO22" i="12"/>
  <c r="L82" i="5"/>
  <c r="C203" i="5"/>
  <c r="AL28" i="12"/>
  <c r="L150" i="5"/>
  <c r="AL97" i="12"/>
  <c r="AO284" i="12"/>
  <c r="AO96" i="12"/>
  <c r="AO278" i="12"/>
  <c r="AO117" i="12"/>
  <c r="L108" i="5"/>
  <c r="AP279" i="12"/>
  <c r="AL80" i="12"/>
  <c r="C173" i="5"/>
  <c r="AP31" i="12"/>
  <c r="AL4" i="12"/>
  <c r="AP223" i="12"/>
  <c r="L81" i="5"/>
  <c r="AP82" i="12"/>
  <c r="AP296" i="12"/>
  <c r="AO69" i="12"/>
  <c r="AP81" i="12"/>
  <c r="AO296" i="12"/>
  <c r="AP233" i="12"/>
  <c r="AO274" i="12"/>
  <c r="C141" i="5"/>
  <c r="AO90" i="12"/>
  <c r="C116" i="5"/>
  <c r="L46" i="5"/>
  <c r="AP140" i="12"/>
  <c r="AO187" i="12"/>
  <c r="AL72" i="12"/>
  <c r="AL41" i="12"/>
  <c r="C70" i="5"/>
  <c r="AO235" i="12"/>
  <c r="AP165" i="12"/>
  <c r="AL40" i="12"/>
  <c r="AL98" i="12"/>
  <c r="AP169" i="12"/>
  <c r="W2" i="12"/>
  <c r="AO23" i="12"/>
  <c r="C88" i="5"/>
  <c r="L171" i="5"/>
  <c r="AP290" i="12"/>
  <c r="L72" i="5"/>
  <c r="AO276" i="12"/>
  <c r="L112" i="5"/>
  <c r="C181" i="5"/>
  <c r="AO176" i="12"/>
  <c r="AP281" i="12"/>
  <c r="AP271" i="12"/>
  <c r="C42" i="5"/>
  <c r="C28" i="5"/>
  <c r="C62" i="5"/>
  <c r="AO46" i="12"/>
  <c r="AO39" i="12"/>
  <c r="AO132" i="12"/>
  <c r="C77" i="5"/>
  <c r="AO91" i="12"/>
  <c r="C65" i="5"/>
  <c r="AP152" i="12"/>
  <c r="L54" i="5"/>
  <c r="AO95" i="12"/>
  <c r="AP28" i="12"/>
  <c r="AP243" i="12"/>
  <c r="AO291" i="12"/>
  <c r="C155" i="5"/>
  <c r="AP238" i="12"/>
  <c r="AO217" i="12"/>
  <c r="C27" i="5"/>
  <c r="AO108" i="12"/>
  <c r="AP138" i="12"/>
  <c r="C50" i="5"/>
  <c r="AO29" i="12"/>
  <c r="L130" i="5"/>
  <c r="AP256" i="12"/>
  <c r="AP155" i="12"/>
  <c r="AL33" i="12"/>
  <c r="AO169" i="12"/>
  <c r="AO196" i="12"/>
  <c r="AP100" i="12"/>
  <c r="AP180" i="12"/>
  <c r="AP209" i="12"/>
  <c r="L197" i="5"/>
  <c r="AO51" i="12"/>
  <c r="L39" i="5"/>
  <c r="AP8" i="12"/>
  <c r="AO86" i="12"/>
  <c r="C201" i="5"/>
  <c r="L79" i="5"/>
  <c r="C118" i="5"/>
  <c r="AP39" i="12"/>
  <c r="C55" i="5"/>
  <c r="C200" i="5"/>
  <c r="C209" i="5"/>
  <c r="AP267" i="12"/>
  <c r="C17" i="5"/>
  <c r="AO57" i="12"/>
  <c r="AP166" i="12"/>
  <c r="C72" i="5"/>
  <c r="C21" i="5"/>
  <c r="AP134" i="12"/>
  <c r="C67" i="5"/>
  <c r="AP295" i="12"/>
  <c r="AO24" i="12"/>
  <c r="AP129" i="12"/>
  <c r="C33" i="5"/>
  <c r="AP52" i="12"/>
  <c r="AO223" i="12"/>
  <c r="AL92" i="12"/>
  <c r="L182" i="5"/>
  <c r="AP84" i="12"/>
  <c r="AO19" i="12"/>
  <c r="AL71" i="12"/>
  <c r="AP178" i="12"/>
  <c r="AO259" i="12"/>
  <c r="AO145" i="12"/>
  <c r="AP245" i="12"/>
  <c r="C205" i="5"/>
  <c r="AO5" i="12"/>
  <c r="AO142" i="12"/>
  <c r="AP85" i="12"/>
  <c r="AP284" i="12"/>
  <c r="L101" i="5"/>
  <c r="C83" i="5"/>
  <c r="AL30" i="12"/>
  <c r="AP29" i="12"/>
  <c r="AL96" i="12"/>
  <c r="AO93" i="12"/>
  <c r="AO194" i="12"/>
  <c r="AP195" i="12"/>
  <c r="CP1" i="12"/>
  <c r="AP88" i="12"/>
  <c r="AO144" i="12"/>
  <c r="C170" i="5"/>
  <c r="AL68" i="12"/>
  <c r="AO80" i="12"/>
  <c r="AP227" i="12"/>
  <c r="AL22" i="12"/>
  <c r="AL36" i="12"/>
  <c r="L40" i="5"/>
  <c r="C96" i="5"/>
  <c r="C111" i="5"/>
  <c r="AO266" i="12"/>
  <c r="AP202" i="12"/>
  <c r="AP91" i="12"/>
  <c r="C138" i="5"/>
  <c r="AP80" i="12"/>
  <c r="AO173" i="12"/>
  <c r="L168" i="5"/>
  <c r="AL17" i="12"/>
  <c r="AP42" i="12"/>
  <c r="AP184" i="12"/>
  <c r="C169" i="5"/>
  <c r="AL47" i="12"/>
  <c r="L200" i="5"/>
  <c r="AP298" i="12"/>
  <c r="AP22" i="12"/>
  <c r="AP4" i="12"/>
  <c r="C144" i="5"/>
  <c r="C107" i="5"/>
  <c r="AO248" i="12"/>
  <c r="AP128" i="12"/>
  <c r="AO206" i="12"/>
  <c r="AL32" i="12"/>
  <c r="AP260" i="12"/>
  <c r="L18" i="5"/>
  <c r="AP23" i="12"/>
  <c r="AP113" i="12"/>
  <c r="L184" i="5"/>
  <c r="C159" i="5"/>
  <c r="C58" i="5"/>
  <c r="AL60" i="12"/>
  <c r="AP15" i="12"/>
  <c r="AO302" i="12"/>
  <c r="B6" i="10"/>
  <c r="L210" i="5"/>
  <c r="C131" i="5"/>
  <c r="L20" i="5"/>
  <c r="L88" i="5"/>
  <c r="AP94" i="12"/>
  <c r="L74" i="5"/>
  <c r="C175" i="5"/>
  <c r="AP38" i="12"/>
  <c r="L43" i="5"/>
  <c r="AP264" i="12"/>
  <c r="AP89" i="12"/>
  <c r="L34" i="5"/>
  <c r="AP143" i="12"/>
  <c r="AL55" i="12"/>
  <c r="AO128" i="12"/>
  <c r="C124" i="5"/>
  <c r="L146" i="5"/>
  <c r="AO168" i="12"/>
  <c r="AP194" i="12"/>
  <c r="AO297" i="12"/>
  <c r="AO161" i="12"/>
  <c r="C186" i="5"/>
  <c r="C20" i="5"/>
  <c r="AO271" i="12"/>
  <c r="AP265" i="12"/>
  <c r="C94" i="5"/>
  <c r="AO185" i="12"/>
  <c r="AP32" i="12"/>
  <c r="AP78" i="12"/>
  <c r="AL12" i="12"/>
  <c r="C190" i="5"/>
  <c r="AO283" i="12"/>
  <c r="L32" i="5"/>
  <c r="AO17" i="12"/>
  <c r="AO250" i="12"/>
  <c r="AL46" i="12"/>
  <c r="AP12" i="12"/>
  <c r="L199" i="5"/>
  <c r="C84" i="5"/>
  <c r="C150" i="5"/>
  <c r="AP274" i="12"/>
  <c r="AP247" i="12"/>
  <c r="C66" i="5"/>
  <c r="AP283" i="12"/>
  <c r="L55" i="5"/>
  <c r="C46" i="5"/>
  <c r="L190" i="5"/>
  <c r="AP20" i="12"/>
  <c r="C90" i="5"/>
  <c r="AP220" i="12"/>
  <c r="L185" i="5"/>
  <c r="C43" i="5"/>
  <c r="L104" i="5"/>
  <c r="AO42" i="12"/>
  <c r="AP16" i="12"/>
  <c r="AL5" i="12"/>
  <c r="L132" i="5"/>
  <c r="AP105" i="12"/>
  <c r="C112" i="5"/>
  <c r="AP294" i="12"/>
  <c r="AO260" i="12"/>
  <c r="AP154" i="12"/>
  <c r="AO197" i="12"/>
  <c r="C134" i="5"/>
  <c r="AP269" i="12"/>
  <c r="AO83" i="12"/>
  <c r="C95" i="5"/>
  <c r="AO172" i="12"/>
  <c r="AP226" i="12"/>
  <c r="C128" i="5"/>
  <c r="C44" i="5"/>
  <c r="L207" i="5"/>
  <c r="AO43" i="12"/>
  <c r="AO292" i="12"/>
  <c r="C87" i="5"/>
  <c r="L57" i="5"/>
  <c r="AO155" i="12"/>
  <c r="C103" i="5"/>
  <c r="AP163" i="12"/>
  <c r="L78" i="5"/>
  <c r="AO121" i="12"/>
  <c r="AP268" i="12"/>
  <c r="C158" i="5"/>
  <c r="AO229" i="12"/>
  <c r="AP159" i="12"/>
  <c r="AP68" i="12"/>
  <c r="L154" i="5"/>
  <c r="AO37" i="12"/>
  <c r="AO88" i="12"/>
  <c r="AP150" i="12"/>
  <c r="AO107" i="12"/>
  <c r="L96" i="5"/>
  <c r="AP272" i="12"/>
  <c r="AP13" i="12"/>
  <c r="AL64" i="12"/>
  <c r="AP162" i="12"/>
  <c r="AP87" i="12"/>
  <c r="AP76" i="12"/>
  <c r="W10" i="12"/>
  <c r="AO219" i="12"/>
  <c r="L186" i="5"/>
  <c r="C143" i="5"/>
  <c r="C109" i="5"/>
  <c r="L83" i="5"/>
  <c r="AP273" i="12"/>
  <c r="AP156" i="12"/>
  <c r="C164" i="5"/>
  <c r="AL43" i="12"/>
  <c r="AO8" i="12"/>
  <c r="AO162" i="12"/>
  <c r="L204" i="5"/>
  <c r="AO270" i="12"/>
  <c r="L53" i="5"/>
  <c r="L194" i="5"/>
  <c r="AP197" i="12"/>
  <c r="AL77" i="12"/>
  <c r="C101" i="5"/>
  <c r="L160" i="5"/>
  <c r="AO120" i="12"/>
  <c r="AO13" i="12"/>
  <c r="AP69" i="12"/>
  <c r="AP119" i="12"/>
  <c r="AP205" i="12"/>
  <c r="AP198" i="12"/>
  <c r="AO186" i="12"/>
  <c r="AO18" i="12"/>
  <c r="C18" i="5"/>
  <c r="L33" i="5"/>
  <c r="AP239" i="12"/>
  <c r="L116" i="5"/>
  <c r="AP5" i="12"/>
  <c r="AO166" i="12"/>
  <c r="AM77" i="12" l="1"/>
  <c r="AM43" i="12"/>
  <c r="W15" i="12"/>
  <c r="AM64" i="12"/>
  <c r="AM5" i="12"/>
  <c r="AM46" i="12"/>
  <c r="AM12" i="12"/>
  <c r="AM55" i="12"/>
  <c r="AM60" i="12"/>
  <c r="AM32" i="12"/>
  <c r="AM47" i="12"/>
  <c r="AM17" i="12"/>
  <c r="AM36" i="12"/>
  <c r="AM22" i="12"/>
  <c r="AM68" i="12"/>
  <c r="AM96" i="12"/>
  <c r="AM30" i="12"/>
  <c r="AM71" i="12"/>
  <c r="AM92" i="12"/>
  <c r="AM33" i="12"/>
  <c r="AM98" i="12"/>
  <c r="AM40" i="12"/>
  <c r="AM41" i="12"/>
  <c r="AM72" i="12"/>
  <c r="AM4" i="12"/>
  <c r="AM80" i="12"/>
  <c r="AM97" i="12"/>
  <c r="AM28" i="12"/>
  <c r="AM8" i="12"/>
  <c r="AM65" i="12"/>
  <c r="AM101" i="12"/>
  <c r="AM100" i="12"/>
  <c r="AM9" i="12"/>
  <c r="AM88" i="12"/>
  <c r="AM21" i="12"/>
  <c r="AM54" i="12"/>
  <c r="AM24" i="12"/>
  <c r="AM86" i="12"/>
  <c r="AM51" i="12"/>
  <c r="AM74" i="12"/>
  <c r="AM42" i="12"/>
  <c r="K11" i="14"/>
  <c r="CS74" i="12"/>
  <c r="CT74" i="12"/>
  <c r="CS70" i="12"/>
  <c r="CS73" i="12"/>
  <c r="CS75" i="12"/>
  <c r="K7" i="13"/>
  <c r="H5" i="13" s="1"/>
  <c r="CS72" i="12"/>
  <c r="CS71" i="12"/>
  <c r="CT75" i="12"/>
  <c r="CT72" i="12"/>
  <c r="CT71" i="12"/>
  <c r="L11" i="14"/>
  <c r="CT73" i="12"/>
  <c r="CR22" i="12"/>
  <c r="CR30" i="12" s="1"/>
  <c r="CR26" i="12"/>
  <c r="CR34" i="12" s="1"/>
  <c r="CR48" i="12" s="1"/>
  <c r="CR75" i="12" s="1"/>
  <c r="CR91" i="12" s="1"/>
  <c r="CR98" i="12" s="1"/>
  <c r="CZ1" i="12"/>
  <c r="CR25" i="12"/>
  <c r="CR33" i="12" s="1"/>
  <c r="CR23" i="12"/>
  <c r="CR31" i="12" s="1"/>
  <c r="CR24" i="12"/>
  <c r="CR32" i="12" s="1"/>
  <c r="CR21" i="12"/>
  <c r="CR29" i="12" s="1"/>
  <c r="CR43" i="12" s="1"/>
  <c r="CR70" i="12" s="1"/>
  <c r="CR86" i="12" s="1"/>
  <c r="CR93" i="12" s="1"/>
  <c r="AM49" i="12"/>
  <c r="AM93" i="12"/>
  <c r="AM63" i="12"/>
  <c r="AM35" i="12"/>
  <c r="AM34" i="12"/>
  <c r="AM76" i="12"/>
  <c r="AM62" i="12"/>
  <c r="AM29" i="12"/>
  <c r="AM75" i="12"/>
  <c r="AM20" i="12"/>
  <c r="AM90" i="12"/>
  <c r="AM69" i="12"/>
  <c r="AM44" i="12"/>
  <c r="AM73" i="12"/>
  <c r="AM82" i="12"/>
  <c r="AM7" i="12"/>
  <c r="AM53" i="12"/>
  <c r="AM67" i="12"/>
  <c r="AM38" i="12"/>
  <c r="AM81" i="12"/>
  <c r="AM59" i="12"/>
  <c r="AM26" i="12"/>
  <c r="DX152" i="12"/>
  <c r="DO336" i="12"/>
  <c r="CK46" i="12"/>
  <c r="DO115" i="12"/>
  <c r="DO75" i="12"/>
  <c r="DO329" i="12"/>
  <c r="DX177" i="12"/>
  <c r="DX4" i="12"/>
  <c r="DX322" i="12"/>
  <c r="DO71" i="12"/>
  <c r="DX99" i="12"/>
  <c r="CK50" i="12"/>
  <c r="DO211" i="12"/>
  <c r="DO185" i="12"/>
  <c r="DX183" i="12"/>
  <c r="DX176" i="12"/>
  <c r="DO162" i="12"/>
  <c r="DO117" i="12"/>
  <c r="DX60" i="12"/>
  <c r="DX17" i="12"/>
  <c r="DO106" i="12"/>
  <c r="DX90" i="12"/>
  <c r="DO65" i="12"/>
  <c r="DO171" i="12"/>
  <c r="DX87" i="12"/>
  <c r="DO6" i="12"/>
  <c r="DO10" i="12"/>
  <c r="DX33" i="12"/>
  <c r="DO183" i="12"/>
  <c r="DX158" i="12"/>
  <c r="DX67" i="12"/>
  <c r="DO26" i="12"/>
  <c r="DO215" i="12"/>
  <c r="DO147" i="12"/>
  <c r="DO41" i="12"/>
  <c r="CK27" i="12"/>
  <c r="DX89" i="12"/>
  <c r="DX101" i="12"/>
  <c r="DO46" i="12"/>
  <c r="DO190" i="12"/>
  <c r="DO86" i="12"/>
  <c r="DO52" i="12"/>
  <c r="DX78" i="12"/>
  <c r="DX149" i="12"/>
  <c r="CG227" i="12"/>
  <c r="DO334" i="12"/>
  <c r="DO8" i="12"/>
  <c r="DO160" i="12"/>
  <c r="DX115" i="12"/>
  <c r="DX56" i="12"/>
  <c r="DO4" i="12"/>
  <c r="H4" i="12" s="1"/>
  <c r="AJ3" i="12" s="1"/>
  <c r="DO170" i="12"/>
  <c r="DO95" i="12"/>
  <c r="DO80" i="12"/>
  <c r="DX18" i="12"/>
  <c r="CK49" i="12"/>
  <c r="DO122" i="12"/>
  <c r="DO36" i="12"/>
  <c r="DO204" i="12"/>
  <c r="CK26" i="12"/>
  <c r="DO111" i="12"/>
  <c r="DX53" i="12"/>
  <c r="DX57" i="12"/>
  <c r="DO29" i="12"/>
  <c r="DO209" i="12"/>
  <c r="DO48" i="12"/>
  <c r="DO27" i="12"/>
  <c r="DO155" i="12"/>
  <c r="DO89" i="12"/>
  <c r="DO43" i="12"/>
  <c r="DO34" i="12"/>
  <c r="DO337" i="12"/>
  <c r="DX61" i="12"/>
  <c r="CK48" i="12"/>
  <c r="DO179" i="12"/>
  <c r="DX192" i="12"/>
  <c r="DO144" i="12"/>
  <c r="DX100" i="12"/>
  <c r="DO92" i="12"/>
  <c r="DO217" i="12"/>
  <c r="DO331" i="12"/>
  <c r="DX112" i="12"/>
  <c r="DX206" i="12"/>
  <c r="DO83" i="12"/>
  <c r="DO114" i="12"/>
  <c r="DX55" i="12"/>
  <c r="DO192" i="12"/>
  <c r="DO201" i="12"/>
  <c r="DX35" i="12"/>
  <c r="DX113" i="12"/>
  <c r="DO220" i="12"/>
  <c r="CK25" i="12"/>
  <c r="DX169" i="12"/>
  <c r="DO88" i="12"/>
  <c r="DX191" i="12"/>
  <c r="CG212" i="12"/>
  <c r="DX34" i="12"/>
  <c r="DX160" i="12"/>
  <c r="DO196" i="12"/>
  <c r="DO107" i="12"/>
  <c r="DO49" i="12"/>
  <c r="DO199" i="12"/>
  <c r="DO186" i="12"/>
  <c r="DO213" i="12"/>
  <c r="CD105" i="12"/>
  <c r="DX62" i="12"/>
  <c r="DX32" i="12"/>
  <c r="DO146" i="12"/>
  <c r="DO82" i="12"/>
  <c r="DX198" i="12"/>
  <c r="DO109" i="12"/>
  <c r="DO33" i="12"/>
  <c r="DX186" i="12"/>
  <c r="DX88" i="12"/>
  <c r="DO39" i="12"/>
  <c r="CG194" i="12"/>
  <c r="DO210" i="12"/>
  <c r="DX28" i="12"/>
  <c r="DO7" i="12"/>
  <c r="DO74" i="12"/>
  <c r="DX330" i="12"/>
  <c r="DO116" i="12"/>
  <c r="DX150" i="12"/>
  <c r="DX102" i="12"/>
  <c r="DX199" i="12"/>
  <c r="DO85" i="12"/>
  <c r="CK187" i="12"/>
  <c r="DO100" i="12"/>
  <c r="DX29" i="12"/>
  <c r="DO166" i="12"/>
  <c r="DO73" i="12"/>
  <c r="DO119" i="12"/>
  <c r="DO96" i="12"/>
  <c r="DO205" i="12"/>
  <c r="DX325" i="12"/>
  <c r="DX84" i="12"/>
  <c r="DX59" i="12"/>
  <c r="DO84" i="12"/>
  <c r="DO203" i="12"/>
  <c r="DO15" i="12"/>
  <c r="DX79" i="12"/>
  <c r="DO165" i="12"/>
  <c r="DO11" i="12"/>
  <c r="DO35" i="12"/>
  <c r="DX170" i="12"/>
  <c r="DO62" i="12"/>
  <c r="DO206" i="12"/>
  <c r="DO195" i="12"/>
  <c r="DO184" i="12"/>
  <c r="DX180" i="12"/>
  <c r="DX96" i="12"/>
  <c r="DO156" i="12"/>
  <c r="DX197" i="12"/>
  <c r="DX15" i="12"/>
  <c r="DX118" i="12"/>
  <c r="DO90" i="12"/>
  <c r="DX189" i="12"/>
  <c r="DO60" i="12"/>
  <c r="DX178" i="12"/>
  <c r="DO154" i="12"/>
  <c r="DO72" i="12"/>
  <c r="DO145" i="12"/>
  <c r="DX195" i="12"/>
  <c r="DO61" i="12"/>
  <c r="DO50" i="12"/>
  <c r="DX188" i="12"/>
  <c r="DO63" i="12"/>
  <c r="DO172" i="12"/>
  <c r="DX12" i="12"/>
  <c r="CD104" i="12"/>
  <c r="DO153" i="12"/>
  <c r="DO14" i="12"/>
  <c r="DO200" i="12"/>
  <c r="DX5" i="12"/>
  <c r="DX6" i="12"/>
  <c r="DO13" i="12"/>
  <c r="DO28" i="12"/>
  <c r="DO368" i="12"/>
  <c r="DO104" i="12"/>
  <c r="DO64" i="12"/>
  <c r="DX68" i="12"/>
  <c r="DX105" i="12"/>
  <c r="DX167" i="12"/>
  <c r="DX165" i="12"/>
  <c r="DO23" i="12"/>
  <c r="DX323" i="12"/>
  <c r="DX194" i="12"/>
  <c r="DX10" i="12"/>
  <c r="DX86" i="12"/>
  <c r="DO202" i="12"/>
  <c r="DO44" i="12"/>
  <c r="DO219" i="12"/>
  <c r="DO103" i="12"/>
  <c r="DO187" i="12"/>
  <c r="DO182" i="12"/>
  <c r="DX148" i="12"/>
  <c r="DX58" i="12"/>
  <c r="DO327" i="12"/>
  <c r="DX196" i="12"/>
  <c r="DX8" i="12"/>
  <c r="DO31" i="12"/>
  <c r="DO151" i="12"/>
  <c r="DO25" i="12"/>
  <c r="DO81" i="12"/>
  <c r="DO53" i="12"/>
  <c r="DO108" i="12"/>
  <c r="DO157" i="12"/>
  <c r="CK28" i="12"/>
  <c r="DX80" i="12"/>
  <c r="DX182" i="12"/>
  <c r="DX155" i="12"/>
  <c r="DO330" i="12"/>
  <c r="DO216" i="12"/>
  <c r="DX91" i="12"/>
  <c r="CK24" i="12"/>
  <c r="DO94" i="12"/>
  <c r="DO207" i="12"/>
  <c r="DO181" i="12"/>
  <c r="DO333" i="12"/>
  <c r="DO332" i="12"/>
  <c r="DX175" i="12"/>
  <c r="DX173" i="12"/>
  <c r="DO66" i="12"/>
  <c r="DO198" i="12"/>
  <c r="DX103" i="12"/>
  <c r="DX63" i="12"/>
  <c r="DX187" i="12"/>
  <c r="CK51" i="12"/>
  <c r="DX108" i="12"/>
  <c r="DO45" i="12"/>
  <c r="DO55" i="12"/>
  <c r="DO54" i="12"/>
  <c r="DO69" i="12"/>
  <c r="DO98" i="12"/>
  <c r="DO79" i="12"/>
  <c r="DO30" i="12"/>
  <c r="DO51" i="12"/>
  <c r="CK47" i="12"/>
  <c r="DO24" i="12"/>
  <c r="DX85" i="12"/>
  <c r="DO214" i="12"/>
  <c r="DX193" i="12"/>
  <c r="DX166" i="12"/>
  <c r="DO173" i="12"/>
  <c r="DO67" i="12"/>
  <c r="DO208" i="12"/>
  <c r="DO152" i="12"/>
  <c r="DO194" i="12"/>
  <c r="DX139" i="12"/>
  <c r="DX331" i="12"/>
  <c r="DO70" i="12"/>
  <c r="DO161" i="12"/>
  <c r="DX66" i="12"/>
  <c r="DO21" i="12"/>
  <c r="CK23" i="12"/>
  <c r="DO143" i="12"/>
  <c r="DX95" i="12"/>
  <c r="DO178" i="12"/>
  <c r="DO101" i="12"/>
  <c r="DX74" i="12"/>
  <c r="DX141" i="12"/>
  <c r="DO56" i="12"/>
  <c r="DO105" i="12"/>
  <c r="DO12" i="12"/>
  <c r="DX13" i="12"/>
  <c r="DX16" i="12"/>
  <c r="DO169" i="12"/>
  <c r="DO40" i="12"/>
  <c r="DX92" i="12"/>
  <c r="DO57" i="12"/>
  <c r="CK45" i="12"/>
  <c r="DO32" i="12"/>
  <c r="DX164" i="12"/>
  <c r="DO20" i="12"/>
  <c r="DX324" i="12"/>
  <c r="DX51" i="12"/>
  <c r="DO102" i="12"/>
  <c r="DX30" i="12"/>
  <c r="DO42" i="12"/>
  <c r="DX114" i="12"/>
  <c r="DO18" i="12"/>
  <c r="DO212" i="12"/>
  <c r="DO22" i="12"/>
  <c r="DO197" i="12"/>
  <c r="DO328" i="12"/>
  <c r="DX54" i="12"/>
  <c r="DO87" i="12"/>
  <c r="DO76" i="12"/>
  <c r="DX104" i="12"/>
  <c r="DX52" i="12"/>
  <c r="DO142" i="12"/>
  <c r="DO338" i="12"/>
  <c r="DO164" i="12"/>
  <c r="DX36" i="12"/>
  <c r="DX328" i="12"/>
  <c r="DX106" i="12"/>
  <c r="DX7" i="12"/>
  <c r="DX181" i="12"/>
  <c r="DX111" i="12"/>
  <c r="DO99" i="12"/>
  <c r="DO9" i="12"/>
  <c r="DO159" i="12"/>
  <c r="DX9" i="12"/>
  <c r="DX93" i="12"/>
  <c r="DX159" i="12"/>
  <c r="DX11" i="12"/>
  <c r="DO167" i="12"/>
  <c r="DX14" i="12"/>
  <c r="DX117" i="12"/>
  <c r="DO193" i="12"/>
  <c r="DX109" i="12"/>
  <c r="DX107" i="12"/>
  <c r="DX140" i="12"/>
  <c r="DX326" i="12"/>
  <c r="DO47" i="12"/>
  <c r="DX185" i="12"/>
  <c r="DO158" i="12"/>
  <c r="DX31" i="12"/>
  <c r="DX174" i="12"/>
  <c r="DX156" i="12"/>
  <c r="DO59" i="12"/>
  <c r="DO78" i="12"/>
  <c r="DO191" i="12"/>
  <c r="DO175" i="12"/>
  <c r="DX207" i="12"/>
  <c r="DO121" i="12"/>
  <c r="DO112" i="12"/>
  <c r="DX327" i="12"/>
  <c r="DX157" i="12"/>
  <c r="DO16" i="12"/>
  <c r="DO5" i="12"/>
  <c r="DO174" i="12"/>
  <c r="DO38" i="12"/>
  <c r="DX168" i="12"/>
  <c r="DO118" i="12"/>
  <c r="DO93" i="12"/>
  <c r="DX65" i="12"/>
  <c r="DO163" i="12"/>
  <c r="DX37" i="12"/>
  <c r="DO188" i="12"/>
  <c r="DO97" i="12"/>
  <c r="DX147" i="12"/>
  <c r="DX151" i="12"/>
  <c r="DO180" i="12"/>
  <c r="DX190" i="12"/>
  <c r="DO367" i="12"/>
  <c r="DX64" i="12"/>
  <c r="DO17" i="12"/>
  <c r="DX179" i="12"/>
  <c r="AM11" i="12"/>
  <c r="AM10" i="12"/>
  <c r="AM79" i="12"/>
  <c r="AM14" i="12"/>
  <c r="AM102" i="12"/>
  <c r="AM95" i="12"/>
  <c r="W16" i="12"/>
  <c r="R6" i="12"/>
  <c r="R7" i="12" s="1"/>
  <c r="R8" i="12" s="1"/>
  <c r="R4" i="12"/>
  <c r="R5" i="12"/>
  <c r="R9" i="12"/>
  <c r="AM66" i="12"/>
  <c r="AM91" i="12"/>
  <c r="AM19" i="12"/>
  <c r="CY1" i="12"/>
  <c r="AM58" i="12"/>
  <c r="AM56" i="12"/>
  <c r="AM31" i="12"/>
  <c r="AM99" i="12"/>
  <c r="AM18" i="12"/>
  <c r="AM23" i="12"/>
  <c r="DB2" i="12"/>
  <c r="AM27" i="12"/>
  <c r="K1" i="5"/>
  <c r="G3" i="5" s="1"/>
  <c r="AN1" i="12"/>
  <c r="AR1" i="12" s="1"/>
  <c r="AW1" i="12"/>
  <c r="AK1" i="12"/>
  <c r="AM13" i="12"/>
  <c r="AM45" i="12"/>
  <c r="AM15" i="12"/>
  <c r="AM70" i="12"/>
  <c r="AM87" i="12"/>
  <c r="AM52" i="12"/>
  <c r="AM78" i="12"/>
  <c r="AM84" i="12"/>
  <c r="AM6" i="12"/>
  <c r="AM37" i="12"/>
  <c r="AM39" i="12"/>
  <c r="AM85" i="12"/>
  <c r="AM57" i="12"/>
  <c r="AM16" i="12"/>
  <c r="AM61" i="12"/>
  <c r="AM50" i="12"/>
  <c r="AM25" i="12"/>
  <c r="AM89" i="12"/>
  <c r="AM3" i="12"/>
  <c r="AM48" i="12"/>
  <c r="AM83" i="12"/>
  <c r="AM94" i="12"/>
  <c r="CR41" i="12"/>
  <c r="CR55" i="12" s="1"/>
  <c r="CR65" i="12" s="1"/>
  <c r="CR82" i="12" s="1"/>
  <c r="CQ105" i="12" s="1"/>
  <c r="CR47" i="12"/>
  <c r="CR74" i="12" s="1"/>
  <c r="CR90" i="12" s="1"/>
  <c r="CR97" i="12" s="1"/>
  <c r="CR40" i="12"/>
  <c r="CR54" i="12" s="1"/>
  <c r="CR64" i="12" s="1"/>
  <c r="CR81" i="12" s="1"/>
  <c r="CQ104" i="12" s="1"/>
  <c r="R10" i="12"/>
  <c r="R11" i="12" s="1"/>
  <c r="DN12" i="12"/>
  <c r="DN13" i="12" s="1"/>
  <c r="DW11" i="12"/>
  <c r="G11" i="1"/>
  <c r="M5" i="12"/>
  <c r="Q5" i="12" s="1"/>
  <c r="H5" i="12"/>
  <c r="AL166" i="12"/>
  <c r="AL197" i="12"/>
  <c r="AL271" i="12"/>
  <c r="AL259" i="12"/>
  <c r="AL217" i="12"/>
  <c r="AL278" i="12"/>
  <c r="AL269" i="12"/>
  <c r="F85" i="13"/>
  <c r="F69" i="13"/>
  <c r="F93" i="13"/>
  <c r="F83" i="13"/>
  <c r="F58" i="13"/>
  <c r="F72" i="13"/>
  <c r="F53" i="13"/>
  <c r="F26" i="13"/>
  <c r="F47" i="13"/>
  <c r="F73" i="13"/>
  <c r="F92" i="13"/>
  <c r="F89" i="13"/>
  <c r="AL213" i="12"/>
  <c r="AL264" i="12"/>
  <c r="AL209" i="12"/>
  <c r="AL188" i="12"/>
  <c r="AL135" i="12"/>
  <c r="AL232" i="12"/>
  <c r="AL289" i="12"/>
  <c r="AL149" i="12"/>
  <c r="AL207" i="12"/>
  <c r="AL116" i="12"/>
  <c r="AL183" i="12"/>
  <c r="AL184" i="12"/>
  <c r="AL182" i="12"/>
  <c r="AL261" i="12"/>
  <c r="AL280" i="12"/>
  <c r="AL105" i="12"/>
  <c r="AL290" i="12"/>
  <c r="AL160" i="12"/>
  <c r="AL215" i="12"/>
  <c r="AL127" i="12"/>
  <c r="AL295" i="12"/>
  <c r="AL186" i="12"/>
  <c r="AL260" i="12"/>
  <c r="AL161" i="12"/>
  <c r="AL206" i="12"/>
  <c r="AL291" i="12"/>
  <c r="AL284" i="12"/>
  <c r="AL275" i="12"/>
  <c r="F29" i="13"/>
  <c r="F62" i="13"/>
  <c r="F67" i="13"/>
  <c r="AN61" i="12" s="1"/>
  <c r="F105" i="13"/>
  <c r="F104" i="13"/>
  <c r="F36" i="13"/>
  <c r="F78" i="13"/>
  <c r="F21" i="13"/>
  <c r="F74" i="13"/>
  <c r="F9" i="13"/>
  <c r="F88" i="13"/>
  <c r="F10" i="13"/>
  <c r="F63" i="13"/>
  <c r="AL140" i="12"/>
  <c r="AL146" i="12"/>
  <c r="AL243" i="12"/>
  <c r="AL138" i="12"/>
  <c r="AL245" i="12"/>
  <c r="AL192" i="12"/>
  <c r="AL216" i="12"/>
  <c r="AL233" i="12"/>
  <c r="AL174" i="12"/>
  <c r="AL258" i="12"/>
  <c r="AL124" i="12"/>
  <c r="AL249" i="12"/>
  <c r="AL123" i="12"/>
  <c r="AL212" i="12"/>
  <c r="AL222" i="12"/>
  <c r="AL226" i="12"/>
  <c r="AL112" i="12"/>
  <c r="AL211" i="12"/>
  <c r="AL120" i="12"/>
  <c r="AL107" i="12"/>
  <c r="AL297" i="12"/>
  <c r="AL248" i="12"/>
  <c r="AL144" i="12"/>
  <c r="AL132" i="12"/>
  <c r="AL187" i="12"/>
  <c r="F75" i="13"/>
  <c r="F44" i="13"/>
  <c r="AN38" i="12" s="1"/>
  <c r="F96" i="13"/>
  <c r="F45" i="13"/>
  <c r="F77" i="13"/>
  <c r="F43" i="13"/>
  <c r="F60" i="13"/>
  <c r="F14" i="13"/>
  <c r="F17" i="13"/>
  <c r="F41" i="13"/>
  <c r="F107" i="13"/>
  <c r="AN101" i="12" s="1"/>
  <c r="F11" i="13"/>
  <c r="F28" i="13"/>
  <c r="AL165" i="12"/>
  <c r="AL228" i="12"/>
  <c r="AL265" i="12"/>
  <c r="AL231" i="12"/>
  <c r="AL201" i="12"/>
  <c r="AL147" i="12"/>
  <c r="AL267" i="12"/>
  <c r="AL141" i="12"/>
  <c r="AL225" i="12"/>
  <c r="AL252" i="12"/>
  <c r="AL200" i="12"/>
  <c r="AL238" i="12"/>
  <c r="AL220" i="12"/>
  <c r="AL133" i="12"/>
  <c r="AL163" i="12"/>
  <c r="AL110" i="12"/>
  <c r="AL111" i="12"/>
  <c r="AL255" i="12"/>
  <c r="AL103" i="12"/>
  <c r="AL244" i="12"/>
  <c r="AL204" i="12"/>
  <c r="AL229" i="12"/>
  <c r="AL168" i="12"/>
  <c r="AL194" i="12"/>
  <c r="AL223" i="12"/>
  <c r="AL176" i="12"/>
  <c r="AL274" i="12"/>
  <c r="AL181" i="12"/>
  <c r="F19" i="13"/>
  <c r="F52" i="13"/>
  <c r="F97" i="13"/>
  <c r="F24" i="13"/>
  <c r="F46" i="13"/>
  <c r="F101" i="13"/>
  <c r="AN95" i="12" s="1"/>
  <c r="F86" i="13"/>
  <c r="F61" i="13"/>
  <c r="F18" i="13"/>
  <c r="F56" i="13"/>
  <c r="F13" i="13"/>
  <c r="F25" i="13"/>
  <c r="F84" i="13"/>
  <c r="AL279" i="12"/>
  <c r="AL139" i="12"/>
  <c r="AL157" i="12"/>
  <c r="AL236" i="12"/>
  <c r="AL202" i="12"/>
  <c r="AL190" i="12"/>
  <c r="AL167" i="12"/>
  <c r="AL227" i="12"/>
  <c r="AL234" i="12"/>
  <c r="AL208" i="12"/>
  <c r="AL109" i="12"/>
  <c r="AL178" i="12"/>
  <c r="AL270" i="12"/>
  <c r="AL121" i="12"/>
  <c r="AL250" i="12"/>
  <c r="AL128" i="12"/>
  <c r="AL196" i="12"/>
  <c r="AL276" i="12"/>
  <c r="AL296" i="12"/>
  <c r="F23" i="13"/>
  <c r="F76" i="13"/>
  <c r="F35" i="13"/>
  <c r="F15" i="13"/>
  <c r="F59" i="13"/>
  <c r="F82" i="13"/>
  <c r="F99" i="13"/>
  <c r="F33" i="13"/>
  <c r="F70" i="13"/>
  <c r="F49" i="13"/>
  <c r="F91" i="13"/>
  <c r="F22" i="13"/>
  <c r="F16" i="13"/>
  <c r="AL263" i="12"/>
  <c r="AL256" i="12"/>
  <c r="AL119" i="12"/>
  <c r="AL277" i="12"/>
  <c r="AL221" i="12"/>
  <c r="AL205" i="12"/>
  <c r="AL134" i="12"/>
  <c r="AL179" i="12"/>
  <c r="AL171" i="12"/>
  <c r="AL298" i="12"/>
  <c r="AL254" i="12"/>
  <c r="AL251" i="12"/>
  <c r="AL199" i="12"/>
  <c r="AL237" i="12"/>
  <c r="AN87" i="12"/>
  <c r="AL262" i="12"/>
  <c r="AL193" i="12"/>
  <c r="AL162" i="12"/>
  <c r="AL155" i="12"/>
  <c r="AL283" i="12"/>
  <c r="AL173" i="12"/>
  <c r="AL169" i="12"/>
  <c r="AN4" i="12"/>
  <c r="AL241" i="12"/>
  <c r="AL189" i="12"/>
  <c r="F65" i="13"/>
  <c r="AN59" i="12" s="1"/>
  <c r="F30" i="13"/>
  <c r="F90" i="13"/>
  <c r="F38" i="13"/>
  <c r="F57" i="13"/>
  <c r="F31" i="13"/>
  <c r="F103" i="13"/>
  <c r="F95" i="13"/>
  <c r="AN89" i="12" s="1"/>
  <c r="F54" i="13"/>
  <c r="F94" i="13"/>
  <c r="F50" i="13"/>
  <c r="AN44" i="12" s="1"/>
  <c r="F87" i="13"/>
  <c r="AL301" i="12"/>
  <c r="AL136" i="12"/>
  <c r="AL159" i="12"/>
  <c r="AL285" i="12"/>
  <c r="AL122" i="12"/>
  <c r="AL191" i="12"/>
  <c r="AL143" i="12"/>
  <c r="AL218" i="12"/>
  <c r="AL214" i="12"/>
  <c r="AL230" i="12"/>
  <c r="AL287" i="12"/>
  <c r="AL242" i="12"/>
  <c r="AL104" i="12"/>
  <c r="AL180" i="12"/>
  <c r="AL115" i="12"/>
  <c r="AL240" i="12"/>
  <c r="AL247" i="12"/>
  <c r="AL293" i="12"/>
  <c r="AL224" i="12"/>
  <c r="AL137" i="12"/>
  <c r="AL292" i="12"/>
  <c r="AL302" i="12"/>
  <c r="AL266" i="12"/>
  <c r="AL142" i="12"/>
  <c r="AL156" i="12"/>
  <c r="F98" i="13"/>
  <c r="F20" i="13"/>
  <c r="F102" i="13"/>
  <c r="F27" i="13"/>
  <c r="F39" i="13"/>
  <c r="F55" i="13"/>
  <c r="F71" i="13"/>
  <c r="F40" i="13"/>
  <c r="F48" i="13"/>
  <c r="F106" i="13"/>
  <c r="F80" i="13"/>
  <c r="F81" i="13"/>
  <c r="AL148" i="12"/>
  <c r="AL268" i="12"/>
  <c r="AN20" i="12"/>
  <c r="AL118" i="12"/>
  <c r="AL239" i="12"/>
  <c r="AL294" i="12"/>
  <c r="AL125" i="12"/>
  <c r="AN79" i="12"/>
  <c r="AL203" i="12"/>
  <c r="AL281" i="12"/>
  <c r="AL272" i="12"/>
  <c r="AL300" i="12"/>
  <c r="AL130" i="12"/>
  <c r="AL113" i="12"/>
  <c r="AL198" i="12"/>
  <c r="AL158" i="12"/>
  <c r="AL152" i="12"/>
  <c r="AL219" i="12"/>
  <c r="AL172" i="12"/>
  <c r="AL185" i="12"/>
  <c r="AL145" i="12"/>
  <c r="AL108" i="12"/>
  <c r="AL235" i="12"/>
  <c r="AL117" i="12"/>
  <c r="AL246" i="12"/>
  <c r="AL154" i="12"/>
  <c r="F12" i="13"/>
  <c r="F51" i="13"/>
  <c r="F108" i="13"/>
  <c r="F34" i="13"/>
  <c r="AN28" i="12" s="1"/>
  <c r="F32" i="13"/>
  <c r="F42" i="13"/>
  <c r="F64" i="13"/>
  <c r="F66" i="13"/>
  <c r="F37" i="13"/>
  <c r="F68" i="13"/>
  <c r="F100" i="13"/>
  <c r="F79" i="13"/>
  <c r="AL288" i="12"/>
  <c r="AL299" i="12"/>
  <c r="AL177" i="12"/>
  <c r="AL153" i="12"/>
  <c r="AL282" i="12"/>
  <c r="AL175" i="12"/>
  <c r="AL129" i="12"/>
  <c r="AL164" i="12"/>
  <c r="AL126" i="12"/>
  <c r="AL257" i="12"/>
  <c r="AL131" i="12"/>
  <c r="AL253" i="12"/>
  <c r="AL150" i="12"/>
  <c r="AL170" i="12"/>
  <c r="AL286" i="12"/>
  <c r="AL151" i="12"/>
  <c r="AL195" i="12"/>
  <c r="AL273" i="12"/>
  <c r="AL114" i="12"/>
  <c r="AL106" i="12"/>
  <c r="AL210" i="12"/>
  <c r="AN77" i="12"/>
  <c r="AN42" i="12"/>
  <c r="AN85" i="12"/>
  <c r="AN97" i="12"/>
  <c r="AN26" i="12"/>
  <c r="AN45" i="12"/>
  <c r="AN70" i="12"/>
  <c r="AN51" i="12"/>
  <c r="AN21" i="12"/>
  <c r="AN65" i="12"/>
  <c r="AN58" i="12"/>
  <c r="AN98" i="12"/>
  <c r="AN74" i="12"/>
  <c r="AN84" i="12"/>
  <c r="AN25" i="12"/>
  <c r="AN18" i="12"/>
  <c r="AN83" i="12"/>
  <c r="AN27" i="12"/>
  <c r="AN88" i="12"/>
  <c r="AN37" i="12"/>
  <c r="AN19" i="12"/>
  <c r="AN6" i="12"/>
  <c r="AN22" i="12"/>
  <c r="AN100" i="12"/>
  <c r="AN39" i="12"/>
  <c r="AN86" i="12"/>
  <c r="AN82" i="12"/>
  <c r="AN9" i="12"/>
  <c r="AN60" i="12"/>
  <c r="AN96" i="12"/>
  <c r="AN67" i="12"/>
  <c r="AN92" i="12"/>
  <c r="AN72" i="12"/>
  <c r="AN53" i="12"/>
  <c r="AN56" i="12"/>
  <c r="AN29" i="12"/>
  <c r="AN41" i="12"/>
  <c r="AN69" i="12"/>
  <c r="AN52" i="12"/>
  <c r="AN81" i="12"/>
  <c r="AN50" i="12"/>
  <c r="AN32" i="12"/>
  <c r="AN7" i="12"/>
  <c r="AN93" i="12"/>
  <c r="AN64" i="12"/>
  <c r="AN40" i="12"/>
  <c r="AN62" i="12"/>
  <c r="AN75" i="12"/>
  <c r="AN11" i="12"/>
  <c r="AN49" i="12"/>
  <c r="AN91" i="12"/>
  <c r="AN55" i="12"/>
  <c r="AN10" i="12"/>
  <c r="AN17" i="12"/>
  <c r="AN24" i="12"/>
  <c r="AN36" i="12"/>
  <c r="AN94" i="12"/>
  <c r="AN43" i="12"/>
  <c r="AN73" i="12"/>
  <c r="AN15" i="12"/>
  <c r="AN57" i="12"/>
  <c r="AN34" i="12"/>
  <c r="AN23" i="12"/>
  <c r="AN14" i="12"/>
  <c r="AN99" i="12"/>
  <c r="AN71" i="12"/>
  <c r="AN90" i="12"/>
  <c r="AN13" i="12"/>
  <c r="AN3" i="12"/>
  <c r="AN30" i="12"/>
  <c r="AN33" i="12"/>
  <c r="AN102" i="12"/>
  <c r="AN35" i="12"/>
  <c r="AN12" i="12"/>
  <c r="AN63" i="12"/>
  <c r="AN46" i="12"/>
  <c r="AN76" i="12"/>
  <c r="AN48" i="12"/>
  <c r="AN66" i="12"/>
  <c r="CR36" i="12" l="1"/>
  <c r="CR50" i="12" s="1"/>
  <c r="CR60" i="12" s="1"/>
  <c r="CR77" i="12" s="1"/>
  <c r="CQ100" i="12" s="1"/>
  <c r="AM210" i="12"/>
  <c r="FG210" i="12"/>
  <c r="AM106" i="12"/>
  <c r="FG106" i="12"/>
  <c r="FG114" i="12"/>
  <c r="AM114" i="12"/>
  <c r="AM273" i="12"/>
  <c r="FG273" i="12"/>
  <c r="FG195" i="12"/>
  <c r="AM195" i="12"/>
  <c r="AM151" i="12"/>
  <c r="FG151" i="12"/>
  <c r="FG286" i="12"/>
  <c r="AM286" i="12"/>
  <c r="AM170" i="12"/>
  <c r="FG170" i="12"/>
  <c r="AM150" i="12"/>
  <c r="FG150" i="12"/>
  <c r="AM253" i="12"/>
  <c r="FG253" i="12"/>
  <c r="AM131" i="12"/>
  <c r="FG131" i="12"/>
  <c r="AM257" i="12"/>
  <c r="FG257" i="12"/>
  <c r="FG126" i="12"/>
  <c r="AM126" i="12"/>
  <c r="FG164" i="12"/>
  <c r="AM164" i="12"/>
  <c r="FG129" i="12"/>
  <c r="AM129" i="12"/>
  <c r="AM175" i="12"/>
  <c r="FG175" i="12"/>
  <c r="FG282" i="12"/>
  <c r="AM282" i="12"/>
  <c r="AM153" i="12"/>
  <c r="FG153" i="12"/>
  <c r="AM177" i="12"/>
  <c r="FG177" i="12"/>
  <c r="AM299" i="12"/>
  <c r="FG299" i="12"/>
  <c r="FG288" i="12"/>
  <c r="AM288" i="12"/>
  <c r="BC126" i="12"/>
  <c r="AM154" i="12"/>
  <c r="FG154" i="12"/>
  <c r="FG246" i="12"/>
  <c r="AM246" i="12"/>
  <c r="AM117" i="12"/>
  <c r="FG117" i="12"/>
  <c r="FG235" i="12"/>
  <c r="AM235" i="12"/>
  <c r="FG108" i="12"/>
  <c r="AM108" i="12"/>
  <c r="FG145" i="12"/>
  <c r="AM145" i="12"/>
  <c r="FG185" i="12"/>
  <c r="AM185" i="12"/>
  <c r="AM172" i="12"/>
  <c r="FG172" i="12"/>
  <c r="FG219" i="12"/>
  <c r="AM219" i="12"/>
  <c r="AM152" i="12"/>
  <c r="FG152" i="12"/>
  <c r="FG158" i="12"/>
  <c r="AM158" i="12"/>
  <c r="FG198" i="12"/>
  <c r="AM198" i="12"/>
  <c r="AM113" i="12"/>
  <c r="FG113" i="12"/>
  <c r="AM130" i="12"/>
  <c r="FG130" i="12"/>
  <c r="FG300" i="12"/>
  <c r="AM300" i="12"/>
  <c r="AM272" i="12"/>
  <c r="FG272" i="12"/>
  <c r="FG281" i="12"/>
  <c r="AM281" i="12"/>
  <c r="AM203" i="12"/>
  <c r="FG203" i="12"/>
  <c r="BC177" i="12"/>
  <c r="AM125" i="12"/>
  <c r="FG125" i="12"/>
  <c r="AM294" i="12"/>
  <c r="FG294" i="12"/>
  <c r="FG239" i="12"/>
  <c r="AM239" i="12"/>
  <c r="FG118" i="12"/>
  <c r="AM118" i="12"/>
  <c r="BC118" i="12"/>
  <c r="AM268" i="12"/>
  <c r="FG268" i="12"/>
  <c r="FG148" i="12"/>
  <c r="AM148" i="12"/>
  <c r="AM156" i="12"/>
  <c r="FG156" i="12"/>
  <c r="FG142" i="12"/>
  <c r="AM142" i="12"/>
  <c r="AM266" i="12"/>
  <c r="FG266" i="12"/>
  <c r="AM302" i="12"/>
  <c r="FG302" i="12"/>
  <c r="FG292" i="12"/>
  <c r="AM292" i="12"/>
  <c r="AM137" i="12"/>
  <c r="FG137" i="12"/>
  <c r="FG224" i="12"/>
  <c r="AM224" i="12"/>
  <c r="AM293" i="12"/>
  <c r="FG293" i="12"/>
  <c r="AM247" i="12"/>
  <c r="FG247" i="12"/>
  <c r="FG240" i="12"/>
  <c r="AM240" i="12"/>
  <c r="AM115" i="12"/>
  <c r="FG115" i="12"/>
  <c r="FG180" i="12"/>
  <c r="AM180" i="12"/>
  <c r="FG104" i="12"/>
  <c r="AM104" i="12"/>
  <c r="AM242" i="12"/>
  <c r="FG242" i="12"/>
  <c r="FG287" i="12"/>
  <c r="AM287" i="12"/>
  <c r="FG230" i="12"/>
  <c r="AM230" i="12"/>
  <c r="AM214" i="12"/>
  <c r="FG214" i="12"/>
  <c r="AM218" i="12"/>
  <c r="FG218" i="12"/>
  <c r="FG143" i="12"/>
  <c r="AM143" i="12"/>
  <c r="AM191" i="12"/>
  <c r="FG191" i="12"/>
  <c r="AM122" i="12"/>
  <c r="FG122" i="12"/>
  <c r="FG285" i="12"/>
  <c r="AM285" i="12"/>
  <c r="FG159" i="12"/>
  <c r="AM159" i="12"/>
  <c r="AM136" i="12"/>
  <c r="FG136" i="12"/>
  <c r="FG301" i="12"/>
  <c r="AM301" i="12"/>
  <c r="BC142" i="12"/>
  <c r="BC187" i="12"/>
  <c r="BC157" i="12"/>
  <c r="AM189" i="12"/>
  <c r="FG189" i="12"/>
  <c r="FG241" i="12"/>
  <c r="AM241" i="12"/>
  <c r="BC102" i="12"/>
  <c r="AM169" i="12"/>
  <c r="FG169" i="12"/>
  <c r="AM173" i="12"/>
  <c r="FG173" i="12"/>
  <c r="FG283" i="12"/>
  <c r="AM283" i="12"/>
  <c r="FG155" i="12"/>
  <c r="AM155" i="12"/>
  <c r="FG162" i="12"/>
  <c r="AM162" i="12"/>
  <c r="FG193" i="12"/>
  <c r="AM193" i="12"/>
  <c r="FG262" i="12"/>
  <c r="AM262" i="12"/>
  <c r="BC185" i="12"/>
  <c r="AM237" i="12"/>
  <c r="FG237" i="12"/>
  <c r="FG199" i="12"/>
  <c r="AM199" i="12"/>
  <c r="AM251" i="12"/>
  <c r="FG251" i="12"/>
  <c r="AM254" i="12"/>
  <c r="FG254" i="12"/>
  <c r="FG298" i="12"/>
  <c r="AM298" i="12"/>
  <c r="AM171" i="12"/>
  <c r="FG171" i="12"/>
  <c r="FG179" i="12"/>
  <c r="AM179" i="12"/>
  <c r="AM134" i="12"/>
  <c r="FG134" i="12"/>
  <c r="AM205" i="12"/>
  <c r="FG205" i="12"/>
  <c r="FG221" i="12"/>
  <c r="AM221" i="12"/>
  <c r="AM277" i="12"/>
  <c r="FG277" i="12"/>
  <c r="AM119" i="12"/>
  <c r="FG119" i="12"/>
  <c r="AM256" i="12"/>
  <c r="FG256" i="12"/>
  <c r="AM263" i="12"/>
  <c r="FG263" i="12"/>
  <c r="AM296" i="12"/>
  <c r="FG296" i="12"/>
  <c r="AM276" i="12"/>
  <c r="FG276" i="12"/>
  <c r="FG196" i="12"/>
  <c r="AM196" i="12"/>
  <c r="AM128" i="12"/>
  <c r="FG128" i="12"/>
  <c r="FG250" i="12"/>
  <c r="AM250" i="12"/>
  <c r="AM121" i="12"/>
  <c r="FG121" i="12"/>
  <c r="FG270" i="12"/>
  <c r="AM270" i="12"/>
  <c r="FG178" i="12"/>
  <c r="AM178" i="12"/>
  <c r="AM109" i="12"/>
  <c r="FG109" i="12"/>
  <c r="FG208" i="12"/>
  <c r="AM208" i="12"/>
  <c r="AM234" i="12"/>
  <c r="FG234" i="12"/>
  <c r="FG227" i="12"/>
  <c r="AM227" i="12"/>
  <c r="FG167" i="12"/>
  <c r="AM167" i="12"/>
  <c r="AM190" i="12"/>
  <c r="FG190" i="12"/>
  <c r="FG202" i="12"/>
  <c r="AM202" i="12"/>
  <c r="AM236" i="12"/>
  <c r="FG236" i="12"/>
  <c r="AM157" i="12"/>
  <c r="FG157" i="12"/>
  <c r="AM139" i="12"/>
  <c r="FG139" i="12"/>
  <c r="AM279" i="12"/>
  <c r="FG279" i="12"/>
  <c r="BC193" i="12"/>
  <c r="AM181" i="12"/>
  <c r="FG181" i="12"/>
  <c r="FG274" i="12"/>
  <c r="AM274" i="12"/>
  <c r="AM176" i="12"/>
  <c r="FG176" i="12"/>
  <c r="AM223" i="12"/>
  <c r="FG223" i="12"/>
  <c r="AM194" i="12"/>
  <c r="FG194" i="12"/>
  <c r="FG168" i="12"/>
  <c r="AM168" i="12"/>
  <c r="FG229" i="12"/>
  <c r="AM229" i="12"/>
  <c r="FG204" i="12"/>
  <c r="AM204" i="12"/>
  <c r="FG244" i="12"/>
  <c r="AM244" i="12"/>
  <c r="CS23" i="12"/>
  <c r="CT25" i="12"/>
  <c r="CT22" i="12"/>
  <c r="CS26" i="12"/>
  <c r="CS21" i="12"/>
  <c r="FG103" i="12"/>
  <c r="CT26" i="12"/>
  <c r="CT21" i="12"/>
  <c r="CT24" i="12"/>
  <c r="CS24" i="12"/>
  <c r="CS25" i="12"/>
  <c r="CT23" i="12"/>
  <c r="CS22" i="12"/>
  <c r="AM103" i="12"/>
  <c r="AM255" i="12"/>
  <c r="FG255" i="12"/>
  <c r="AM111" i="12"/>
  <c r="FG111" i="12"/>
  <c r="AM110" i="12"/>
  <c r="FG110" i="12"/>
  <c r="AM163" i="12"/>
  <c r="FG163" i="12"/>
  <c r="FG133" i="12"/>
  <c r="AM133" i="12"/>
  <c r="FG220" i="12"/>
  <c r="AM220" i="12"/>
  <c r="FG238" i="12"/>
  <c r="AM238" i="12"/>
  <c r="FG200" i="12"/>
  <c r="AM200" i="12"/>
  <c r="FG252" i="12"/>
  <c r="AM252" i="12"/>
  <c r="AM225" i="12"/>
  <c r="FG225" i="12"/>
  <c r="FG141" i="12"/>
  <c r="AM141" i="12"/>
  <c r="FG267" i="12"/>
  <c r="AM267" i="12"/>
  <c r="FG147" i="12"/>
  <c r="AM147" i="12"/>
  <c r="AM201" i="12"/>
  <c r="FG201" i="12"/>
  <c r="FG231" i="12"/>
  <c r="AM231" i="12"/>
  <c r="AM265" i="12"/>
  <c r="FG265" i="12"/>
  <c r="FG228" i="12"/>
  <c r="AM228" i="12"/>
  <c r="FG165" i="12"/>
  <c r="AM165" i="12"/>
  <c r="BC199" i="12"/>
  <c r="BC136" i="12"/>
  <c r="FG187" i="12"/>
  <c r="AM187" i="12"/>
  <c r="AM132" i="12"/>
  <c r="FG132" i="12"/>
  <c r="AM144" i="12"/>
  <c r="FG144" i="12"/>
  <c r="AM248" i="12"/>
  <c r="FG248" i="12"/>
  <c r="AM297" i="12"/>
  <c r="FG297" i="12"/>
  <c r="AM107" i="12"/>
  <c r="FG107" i="12"/>
  <c r="AM120" i="12"/>
  <c r="FG120" i="12"/>
  <c r="FG211" i="12"/>
  <c r="AM211" i="12"/>
  <c r="AM112" i="12"/>
  <c r="FG112" i="12"/>
  <c r="AM226" i="12"/>
  <c r="FG226" i="12"/>
  <c r="AM222" i="12"/>
  <c r="FG222" i="12"/>
  <c r="FG212" i="12"/>
  <c r="AM212" i="12"/>
  <c r="AM123" i="12"/>
  <c r="FG123" i="12"/>
  <c r="FG249" i="12"/>
  <c r="AM249" i="12"/>
  <c r="AM124" i="12"/>
  <c r="FG124" i="12"/>
  <c r="FG258" i="12"/>
  <c r="AM258" i="12"/>
  <c r="AM174" i="12"/>
  <c r="FG174" i="12"/>
  <c r="AM233" i="12"/>
  <c r="FG233" i="12"/>
  <c r="AM216" i="12"/>
  <c r="FG216" i="12"/>
  <c r="AM192" i="12"/>
  <c r="FG192" i="12"/>
  <c r="FG245" i="12"/>
  <c r="AM245" i="12"/>
  <c r="FG138" i="12"/>
  <c r="AM138" i="12"/>
  <c r="AM243" i="12"/>
  <c r="FG243" i="12"/>
  <c r="FG146" i="12"/>
  <c r="AM146" i="12"/>
  <c r="FG140" i="12"/>
  <c r="AM140" i="12"/>
  <c r="BC159" i="12"/>
  <c r="FG275" i="12"/>
  <c r="AM275" i="12"/>
  <c r="AM284" i="12"/>
  <c r="FG284" i="12"/>
  <c r="FG291" i="12"/>
  <c r="AM291" i="12"/>
  <c r="AM206" i="12"/>
  <c r="FG206" i="12"/>
  <c r="AM161" i="12"/>
  <c r="FG161" i="12"/>
  <c r="AM260" i="12"/>
  <c r="FG260" i="12"/>
  <c r="AM186" i="12"/>
  <c r="FG186" i="12"/>
  <c r="AM295" i="12"/>
  <c r="FG295" i="12"/>
  <c r="FG127" i="12"/>
  <c r="AM127" i="12"/>
  <c r="FG215" i="12"/>
  <c r="AM215" i="12"/>
  <c r="AM160" i="12"/>
  <c r="FG160" i="12"/>
  <c r="FG290" i="12"/>
  <c r="AM290" i="12"/>
  <c r="AM105" i="12"/>
  <c r="FG105" i="12"/>
  <c r="AM280" i="12"/>
  <c r="FG280" i="12"/>
  <c r="FG261" i="12"/>
  <c r="AM261" i="12"/>
  <c r="AM182" i="12"/>
  <c r="FG182" i="12"/>
  <c r="AM184" i="12"/>
  <c r="FG184" i="12"/>
  <c r="FG183" i="12"/>
  <c r="AM183" i="12"/>
  <c r="FG116" i="12"/>
  <c r="AM116" i="12"/>
  <c r="FG207" i="12"/>
  <c r="AM207" i="12"/>
  <c r="FG149" i="12"/>
  <c r="AM149" i="12"/>
  <c r="FG289" i="12"/>
  <c r="AM289" i="12"/>
  <c r="AM232" i="12"/>
  <c r="FG232" i="12"/>
  <c r="FG135" i="12"/>
  <c r="AM135" i="12"/>
  <c r="AM188" i="12"/>
  <c r="FG188" i="12"/>
  <c r="AM209" i="12"/>
  <c r="FG209" i="12"/>
  <c r="AM264" i="12"/>
  <c r="FG264" i="12"/>
  <c r="AM213" i="12"/>
  <c r="FG213" i="12"/>
  <c r="AM269" i="12"/>
  <c r="FG269" i="12"/>
  <c r="AM278" i="12"/>
  <c r="FG278" i="12"/>
  <c r="AM217" i="12"/>
  <c r="FG217" i="12"/>
  <c r="FG259" i="12"/>
  <c r="AM259" i="12"/>
  <c r="AM271" i="12"/>
  <c r="FG271" i="12"/>
  <c r="FG197" i="12"/>
  <c r="AM197" i="12"/>
  <c r="FG166" i="12"/>
  <c r="AM166" i="12"/>
  <c r="CR46" i="12"/>
  <c r="CR73" i="12" s="1"/>
  <c r="CR89" i="12" s="1"/>
  <c r="CR96" i="12" s="1"/>
  <c r="CR39" i="12"/>
  <c r="CR53" i="12" s="1"/>
  <c r="CR63" i="12" s="1"/>
  <c r="CR80" i="12" s="1"/>
  <c r="CQ103" i="12" s="1"/>
  <c r="CQ107" i="12"/>
  <c r="AQ2" i="12"/>
  <c r="AI2" i="12"/>
  <c r="AR2" i="12"/>
  <c r="CQ36" i="12"/>
  <c r="CQ50" i="12" s="1"/>
  <c r="CQ60" i="12" s="1"/>
  <c r="CQ84" i="12"/>
  <c r="AJ2" i="12"/>
  <c r="CR45" i="12"/>
  <c r="CR72" i="12" s="1"/>
  <c r="CR88" i="12" s="1"/>
  <c r="CR95" i="12" s="1"/>
  <c r="CR38" i="12"/>
  <c r="CR52" i="12" s="1"/>
  <c r="CR62" i="12" s="1"/>
  <c r="CR79" i="12" s="1"/>
  <c r="CQ102" i="12" s="1"/>
  <c r="CR37" i="12"/>
  <c r="CR51" i="12" s="1"/>
  <c r="CR61" i="12" s="1"/>
  <c r="CR78" i="12" s="1"/>
  <c r="CQ101" i="12" s="1"/>
  <c r="CR44" i="12"/>
  <c r="CR71" i="12" s="1"/>
  <c r="CR87" i="12" s="1"/>
  <c r="CR94" i="12" s="1"/>
  <c r="BC144" i="12"/>
  <c r="BC116" i="12"/>
  <c r="BC198" i="12"/>
  <c r="BC112" i="12"/>
  <c r="BC123" i="12"/>
  <c r="BC120" i="12"/>
  <c r="BC188" i="12"/>
  <c r="BC105" i="12"/>
  <c r="BC109" i="12"/>
  <c r="BC130" i="12"/>
  <c r="BC173" i="12"/>
  <c r="BC139" i="12"/>
  <c r="BC161" i="12"/>
  <c r="BC158" i="12"/>
  <c r="BC125" i="12"/>
  <c r="BC200" i="12"/>
  <c r="BC148" i="12"/>
  <c r="BC162" i="12"/>
  <c r="BC155" i="12"/>
  <c r="BC134" i="12"/>
  <c r="BC191" i="12"/>
  <c r="BC137" i="12"/>
  <c r="BC181" i="12"/>
  <c r="BC140" i="12"/>
  <c r="BC121" i="12"/>
  <c r="BC113" i="12"/>
  <c r="BC194" i="12"/>
  <c r="BC133" i="12"/>
  <c r="BC170" i="12"/>
  <c r="BC115" i="12"/>
  <c r="BC149" i="12"/>
  <c r="BC160" i="12"/>
  <c r="BC124" i="12"/>
  <c r="BC164" i="12"/>
  <c r="BC174" i="12"/>
  <c r="BC127" i="12"/>
  <c r="BC101" i="12"/>
  <c r="BC197" i="12"/>
  <c r="BC128" i="12"/>
  <c r="BC172" i="12"/>
  <c r="BC169" i="12"/>
  <c r="BC175" i="12"/>
  <c r="BC104" i="12"/>
  <c r="BC168" i="12"/>
  <c r="BC138" i="12"/>
  <c r="BC184" i="12"/>
  <c r="BC110" i="12"/>
  <c r="BC150" i="12"/>
  <c r="BC163" i="12"/>
  <c r="BC196" i="12"/>
  <c r="BC180" i="12"/>
  <c r="BC141" i="12"/>
  <c r="BC190" i="12"/>
  <c r="BC108" i="12"/>
  <c r="BC189" i="12"/>
  <c r="BC117" i="12"/>
  <c r="BC195" i="12"/>
  <c r="BC179" i="12"/>
  <c r="BC167" i="12"/>
  <c r="BC132" i="12"/>
  <c r="BC156" i="12"/>
  <c r="BC131" i="12"/>
  <c r="BC107" i="12"/>
  <c r="BC146" i="12"/>
  <c r="BC111" i="12"/>
  <c r="BC122" i="12"/>
  <c r="BC192" i="12"/>
  <c r="BC182" i="12"/>
  <c r="BC186" i="12"/>
  <c r="BC165" i="12"/>
  <c r="BC147" i="12"/>
  <c r="BC135" i="12"/>
  <c r="BC143" i="12"/>
  <c r="BC183" i="12"/>
  <c r="BC119" i="12"/>
  <c r="BC171" i="12"/>
  <c r="R12" i="12"/>
  <c r="R13" i="12" s="1"/>
  <c r="DN14" i="12"/>
  <c r="DN15" i="12" s="1"/>
  <c r="DN16" i="12" s="1"/>
  <c r="DN17" i="12" s="1"/>
  <c r="DN18" i="12" s="1"/>
  <c r="DN19" i="12" s="1"/>
  <c r="DN20" i="12" s="1"/>
  <c r="DN21" i="12" s="1"/>
  <c r="DN22" i="12" s="1"/>
  <c r="DN23" i="12" s="1"/>
  <c r="DN24" i="12" s="1"/>
  <c r="DW12" i="12"/>
  <c r="DW13" i="12" s="1"/>
  <c r="N5" i="12"/>
  <c r="D11" i="1"/>
  <c r="BC151" i="12"/>
  <c r="AN210" i="12"/>
  <c r="AN170" i="12"/>
  <c r="AN257" i="12"/>
  <c r="AN175" i="12"/>
  <c r="AN235" i="12"/>
  <c r="AN198" i="12"/>
  <c r="AN143" i="12"/>
  <c r="AN205" i="12"/>
  <c r="AN109" i="12"/>
  <c r="AN157" i="12"/>
  <c r="AN80" i="12"/>
  <c r="AN229" i="12"/>
  <c r="AN238" i="12"/>
  <c r="AN141" i="12"/>
  <c r="AN231" i="12"/>
  <c r="AN144" i="12"/>
  <c r="AN249" i="12"/>
  <c r="AN138" i="12"/>
  <c r="AN186" i="12"/>
  <c r="AN215" i="12"/>
  <c r="AN149" i="12"/>
  <c r="AN188" i="12"/>
  <c r="AN47" i="12"/>
  <c r="AN166" i="12"/>
  <c r="AN154" i="12"/>
  <c r="AN113" i="12"/>
  <c r="AN125" i="12"/>
  <c r="AN118" i="12"/>
  <c r="AN180" i="12"/>
  <c r="AN191" i="12"/>
  <c r="AN159" i="12"/>
  <c r="AN173" i="12"/>
  <c r="AN162" i="12"/>
  <c r="AN256" i="12"/>
  <c r="AN250" i="12"/>
  <c r="AN167" i="12"/>
  <c r="AN223" i="12"/>
  <c r="AN163" i="12"/>
  <c r="AN265" i="12"/>
  <c r="AN8" i="12"/>
  <c r="AN120" i="12"/>
  <c r="AN222" i="12"/>
  <c r="AN124" i="12"/>
  <c r="AN216" i="12"/>
  <c r="AN243" i="12"/>
  <c r="AN160" i="12"/>
  <c r="AN269" i="12"/>
  <c r="AN259" i="12"/>
  <c r="AN106" i="12"/>
  <c r="AN195" i="12"/>
  <c r="AN150" i="12"/>
  <c r="AN108" i="12"/>
  <c r="AN219" i="12"/>
  <c r="AN142" i="12"/>
  <c r="AN247" i="12"/>
  <c r="AN230" i="12"/>
  <c r="AN136" i="12"/>
  <c r="AN189" i="12"/>
  <c r="AN199" i="12"/>
  <c r="AN171" i="12"/>
  <c r="AN121" i="12"/>
  <c r="AN190" i="12"/>
  <c r="AN139" i="12"/>
  <c r="AN181" i="12"/>
  <c r="AN204" i="12"/>
  <c r="AN103" i="12"/>
  <c r="AN200" i="12"/>
  <c r="AN267" i="12"/>
  <c r="AN54" i="12"/>
  <c r="AN248" i="12"/>
  <c r="AN206" i="12"/>
  <c r="AN183" i="12"/>
  <c r="AN209" i="12"/>
  <c r="AN292" i="12"/>
  <c r="AN299" i="12"/>
  <c r="AN151" i="12"/>
  <c r="AN126" i="12"/>
  <c r="AN152" i="12"/>
  <c r="AN130" i="12"/>
  <c r="AN268" i="12"/>
  <c r="AN266" i="12"/>
  <c r="AN137" i="12"/>
  <c r="AN104" i="12"/>
  <c r="AN214" i="12"/>
  <c r="AN122" i="12"/>
  <c r="AN193" i="12"/>
  <c r="AN251" i="12"/>
  <c r="AN221" i="12"/>
  <c r="AN263" i="12"/>
  <c r="AN208" i="12"/>
  <c r="AN194" i="12"/>
  <c r="AN255" i="12"/>
  <c r="AN192" i="12"/>
  <c r="AN253" i="12"/>
  <c r="AN246" i="12"/>
  <c r="AN145" i="12"/>
  <c r="AN242" i="12"/>
  <c r="AN234" i="12"/>
  <c r="AN244" i="12"/>
  <c r="AN133" i="12"/>
  <c r="AN252" i="12"/>
  <c r="AN147" i="12"/>
  <c r="AN228" i="12"/>
  <c r="AN211" i="12"/>
  <c r="AN212" i="12"/>
  <c r="AN258" i="12"/>
  <c r="AN146" i="12"/>
  <c r="AN161" i="12"/>
  <c r="AN261" i="12"/>
  <c r="AN116" i="12"/>
  <c r="AN232" i="12"/>
  <c r="AN264" i="12"/>
  <c r="AN114" i="12"/>
  <c r="AN164" i="12"/>
  <c r="AN153" i="12"/>
  <c r="AN117" i="12"/>
  <c r="AN302" i="12"/>
  <c r="AN240" i="12"/>
  <c r="AN218" i="12"/>
  <c r="AN301" i="12"/>
  <c r="AN241" i="12"/>
  <c r="AN262" i="12"/>
  <c r="AN254" i="12"/>
  <c r="AN179" i="12"/>
  <c r="AN16" i="12"/>
  <c r="AN196" i="12"/>
  <c r="AN270" i="12"/>
  <c r="AN202" i="12"/>
  <c r="AN111" i="12"/>
  <c r="AN225" i="12"/>
  <c r="AN201" i="12"/>
  <c r="AN187" i="12"/>
  <c r="AN112" i="12"/>
  <c r="AN123" i="12"/>
  <c r="AN174" i="12"/>
  <c r="AN182" i="12"/>
  <c r="AN273" i="12"/>
  <c r="AN131" i="12"/>
  <c r="AN185" i="12"/>
  <c r="AN158" i="12"/>
  <c r="AN203" i="12"/>
  <c r="AN148" i="12"/>
  <c r="AN224" i="12"/>
  <c r="AN115" i="12"/>
  <c r="AN134" i="12"/>
  <c r="AN128" i="12"/>
  <c r="AN236" i="12"/>
  <c r="AN168" i="12"/>
  <c r="AN220" i="12"/>
  <c r="AN165" i="12"/>
  <c r="AN132" i="12"/>
  <c r="AN245" i="12"/>
  <c r="AN140" i="12"/>
  <c r="AN260" i="12"/>
  <c r="AN127" i="12"/>
  <c r="AN105" i="12"/>
  <c r="AN207" i="12"/>
  <c r="AN213" i="12"/>
  <c r="AN217" i="12"/>
  <c r="AN197" i="12"/>
  <c r="EM1" i="12"/>
  <c r="EL1" i="12"/>
  <c r="AN129" i="12"/>
  <c r="AN177" i="12"/>
  <c r="AN31" i="12"/>
  <c r="AN172" i="12"/>
  <c r="AN239" i="12"/>
  <c r="AN156" i="12"/>
  <c r="AN169" i="12"/>
  <c r="AN155" i="12"/>
  <c r="AN237" i="12"/>
  <c r="AN119" i="12"/>
  <c r="AN178" i="12"/>
  <c r="AN227" i="12"/>
  <c r="AN78" i="12"/>
  <c r="AN176" i="12"/>
  <c r="AN110" i="12"/>
  <c r="AN5" i="12"/>
  <c r="AN107" i="12"/>
  <c r="AN226" i="12"/>
  <c r="AN233" i="12"/>
  <c r="AN68" i="12"/>
  <c r="AN184" i="12"/>
  <c r="AN135" i="12"/>
  <c r="BA153" i="12" l="1"/>
  <c r="EQ299" i="12"/>
  <c r="ER299" i="12" s="1"/>
  <c r="ES299" i="12" s="1"/>
  <c r="EQ273" i="12"/>
  <c r="ER273" i="12" s="1"/>
  <c r="ES273" i="12" s="1"/>
  <c r="FG2" i="12"/>
  <c r="FG1" i="12" s="1"/>
  <c r="F3" i="5" s="1"/>
  <c r="BA379" i="12"/>
  <c r="BB379" i="12" s="1"/>
  <c r="BC166" i="12"/>
  <c r="BC103" i="12"/>
  <c r="BC176" i="12"/>
  <c r="BC129" i="12"/>
  <c r="BC114" i="12"/>
  <c r="BC106" i="12"/>
  <c r="BC145" i="12"/>
  <c r="BC178" i="12"/>
  <c r="CQ67" i="12"/>
  <c r="CT67" i="12" s="1"/>
  <c r="CT60" i="12"/>
  <c r="BA383" i="12"/>
  <c r="EQ287" i="12"/>
  <c r="ER287" i="12" s="1"/>
  <c r="ES287" i="12" s="1"/>
  <c r="EQ293" i="12"/>
  <c r="ER293" i="12" s="1"/>
  <c r="ES293" i="12" s="1"/>
  <c r="BA400" i="12"/>
  <c r="BA398" i="12"/>
  <c r="BA384" i="12"/>
  <c r="EQ365" i="12"/>
  <c r="ER365" i="12" s="1"/>
  <c r="ES365" i="12" s="1"/>
  <c r="EQ336" i="12"/>
  <c r="ER336" i="12" s="1"/>
  <c r="ES336" i="12" s="1"/>
  <c r="EQ400" i="12"/>
  <c r="ER400" i="12" s="1"/>
  <c r="EQ384" i="12"/>
  <c r="ER384" i="12" s="1"/>
  <c r="ES384" i="12" s="1"/>
  <c r="EQ349" i="12"/>
  <c r="ER349" i="12" s="1"/>
  <c r="ES349" i="12" s="1"/>
  <c r="EQ340" i="12"/>
  <c r="ER340" i="12" s="1"/>
  <c r="ES340" i="12" s="1"/>
  <c r="EQ364" i="12"/>
  <c r="ER364" i="12" s="1"/>
  <c r="ES364" i="12" s="1"/>
  <c r="EQ351" i="12"/>
  <c r="ER351" i="12" s="1"/>
  <c r="ES351" i="12" s="1"/>
  <c r="EQ369" i="12"/>
  <c r="ER369" i="12" s="1"/>
  <c r="ES369" i="12" s="1"/>
  <c r="EQ375" i="12"/>
  <c r="ER375" i="12" s="1"/>
  <c r="ES375" i="12" s="1"/>
  <c r="EQ323" i="12"/>
  <c r="ER323" i="12" s="1"/>
  <c r="ES323" i="12" s="1"/>
  <c r="EQ306" i="12"/>
  <c r="ER306" i="12" s="1"/>
  <c r="ES306" i="12" s="1"/>
  <c r="EQ359" i="12"/>
  <c r="ER359" i="12" s="1"/>
  <c r="ES359" i="12" s="1"/>
  <c r="EQ354" i="12"/>
  <c r="ER354" i="12" s="1"/>
  <c r="ES354" i="12" s="1"/>
  <c r="EQ374" i="12"/>
  <c r="ER374" i="12" s="1"/>
  <c r="ES374" i="12" s="1"/>
  <c r="EQ314" i="12"/>
  <c r="ER314" i="12" s="1"/>
  <c r="ES314" i="12" s="1"/>
  <c r="EQ335" i="12"/>
  <c r="ER335" i="12" s="1"/>
  <c r="ES335" i="12" s="1"/>
  <c r="EQ393" i="12"/>
  <c r="ER393" i="12" s="1"/>
  <c r="ES393" i="12" s="1"/>
  <c r="EQ363" i="12"/>
  <c r="ER363" i="12" s="1"/>
  <c r="ES363" i="12" s="1"/>
  <c r="EQ398" i="12"/>
  <c r="ER398" i="12" s="1"/>
  <c r="ES398" i="12" s="1"/>
  <c r="EQ360" i="12"/>
  <c r="ER360" i="12" s="1"/>
  <c r="ES360" i="12" s="1"/>
  <c r="EQ343" i="12"/>
  <c r="ER343" i="12" s="1"/>
  <c r="ES343" i="12" s="1"/>
  <c r="EQ389" i="12"/>
  <c r="ER389" i="12" s="1"/>
  <c r="ES389" i="12" s="1"/>
  <c r="EQ327" i="12"/>
  <c r="ER327" i="12" s="1"/>
  <c r="ES327" i="12" s="1"/>
  <c r="EQ334" i="12"/>
  <c r="ER334" i="12" s="1"/>
  <c r="ES334" i="12" s="1"/>
  <c r="EQ316" i="12"/>
  <c r="ER316" i="12" s="1"/>
  <c r="ES316" i="12" s="1"/>
  <c r="EQ311" i="12"/>
  <c r="ER311" i="12" s="1"/>
  <c r="ES311" i="12" s="1"/>
  <c r="EQ380" i="12"/>
  <c r="ER380" i="12" s="1"/>
  <c r="ES380" i="12" s="1"/>
  <c r="EQ388" i="12"/>
  <c r="ER388" i="12" s="1"/>
  <c r="ES388" i="12" s="1"/>
  <c r="EQ333" i="12"/>
  <c r="ER333" i="12" s="1"/>
  <c r="ES333" i="12" s="1"/>
  <c r="EQ356" i="12"/>
  <c r="ER356" i="12" s="1"/>
  <c r="ES356" i="12" s="1"/>
  <c r="EQ361" i="12"/>
  <c r="ER361" i="12" s="1"/>
  <c r="ES361" i="12" s="1"/>
  <c r="EQ344" i="12"/>
  <c r="ER344" i="12" s="1"/>
  <c r="ES344" i="12" s="1"/>
  <c r="EQ376" i="12"/>
  <c r="ER376" i="12" s="1"/>
  <c r="ES376" i="12" s="1"/>
  <c r="EQ347" i="12"/>
  <c r="ER347" i="12" s="1"/>
  <c r="ES347" i="12" s="1"/>
  <c r="EQ353" i="12"/>
  <c r="ER353" i="12" s="1"/>
  <c r="ES353" i="12" s="1"/>
  <c r="EQ337" i="12"/>
  <c r="ER337" i="12" s="1"/>
  <c r="ES337" i="12" s="1"/>
  <c r="EQ370" i="12"/>
  <c r="ER370" i="12" s="1"/>
  <c r="ES370" i="12" s="1"/>
  <c r="EQ322" i="12"/>
  <c r="ER322" i="12" s="1"/>
  <c r="ES322" i="12" s="1"/>
  <c r="EQ330" i="12"/>
  <c r="ER330" i="12" s="1"/>
  <c r="ES330" i="12" s="1"/>
  <c r="EQ309" i="12"/>
  <c r="ER309" i="12" s="1"/>
  <c r="ES309" i="12" s="1"/>
  <c r="EQ390" i="12"/>
  <c r="ER390" i="12" s="1"/>
  <c r="ES390" i="12" s="1"/>
  <c r="EQ332" i="12"/>
  <c r="ER332" i="12" s="1"/>
  <c r="ES332" i="12" s="1"/>
  <c r="EQ307" i="12"/>
  <c r="ER307" i="12" s="1"/>
  <c r="ES307" i="12" s="1"/>
  <c r="EQ315" i="12"/>
  <c r="ER315" i="12" s="1"/>
  <c r="ES315" i="12" s="1"/>
  <c r="EQ348" i="12"/>
  <c r="ER348" i="12" s="1"/>
  <c r="ES348" i="12" s="1"/>
  <c r="EQ377" i="12"/>
  <c r="ER377" i="12" s="1"/>
  <c r="ES377" i="12" s="1"/>
  <c r="EQ341" i="12"/>
  <c r="ER341" i="12" s="1"/>
  <c r="ES341" i="12" s="1"/>
  <c r="EQ318" i="12"/>
  <c r="ER318" i="12" s="1"/>
  <c r="ES318" i="12" s="1"/>
  <c r="EQ383" i="12"/>
  <c r="ER383" i="12" s="1"/>
  <c r="ES383" i="12" s="1"/>
  <c r="EQ371" i="12"/>
  <c r="ER371" i="12" s="1"/>
  <c r="ES371" i="12" s="1"/>
  <c r="EQ358" i="12"/>
  <c r="ER358" i="12" s="1"/>
  <c r="ES358" i="12" s="1"/>
  <c r="DA1" i="12"/>
  <c r="EQ386" i="12"/>
  <c r="ER386" i="12" s="1"/>
  <c r="ES386" i="12" s="1"/>
  <c r="EQ373" i="12"/>
  <c r="ER373" i="12" s="1"/>
  <c r="ES373" i="12" s="1"/>
  <c r="EQ397" i="12"/>
  <c r="ER397" i="12" s="1"/>
  <c r="ES397" i="12" s="1"/>
  <c r="EQ319" i="12"/>
  <c r="ER319" i="12" s="1"/>
  <c r="ES319" i="12" s="1"/>
  <c r="EQ317" i="12"/>
  <c r="ER317" i="12" s="1"/>
  <c r="ES317" i="12" s="1"/>
  <c r="EQ329" i="12"/>
  <c r="ER329" i="12" s="1"/>
  <c r="ES329" i="12" s="1"/>
  <c r="EQ345" i="12"/>
  <c r="ER345" i="12" s="1"/>
  <c r="ES345" i="12" s="1"/>
  <c r="EQ342" i="12"/>
  <c r="ER342" i="12" s="1"/>
  <c r="ES342" i="12" s="1"/>
  <c r="EQ346" i="12"/>
  <c r="ER346" i="12" s="1"/>
  <c r="ES346" i="12" s="1"/>
  <c r="EQ338" i="12"/>
  <c r="ER338" i="12" s="1"/>
  <c r="ES338" i="12" s="1"/>
  <c r="EQ352" i="12"/>
  <c r="ER352" i="12" s="1"/>
  <c r="ES352" i="12" s="1"/>
  <c r="EQ385" i="12"/>
  <c r="ER385" i="12" s="1"/>
  <c r="ES385" i="12" s="1"/>
  <c r="EQ399" i="12"/>
  <c r="ER399" i="12" s="1"/>
  <c r="ES399" i="12" s="1"/>
  <c r="EQ368" i="12"/>
  <c r="ER368" i="12" s="1"/>
  <c r="ES368" i="12" s="1"/>
  <c r="EQ310" i="12"/>
  <c r="ER310" i="12" s="1"/>
  <c r="ES310" i="12" s="1"/>
  <c r="EQ396" i="12"/>
  <c r="ER396" i="12" s="1"/>
  <c r="ES396" i="12" s="1"/>
  <c r="EQ367" i="12"/>
  <c r="ER367" i="12" s="1"/>
  <c r="ES367" i="12" s="1"/>
  <c r="EQ305" i="12"/>
  <c r="ER305" i="12" s="1"/>
  <c r="ES305" i="12" s="1"/>
  <c r="EQ362" i="12"/>
  <c r="ER362" i="12" s="1"/>
  <c r="ES362" i="12" s="1"/>
  <c r="EQ366" i="12"/>
  <c r="ER366" i="12" s="1"/>
  <c r="ES366" i="12" s="1"/>
  <c r="EQ328" i="12"/>
  <c r="ER328" i="12" s="1"/>
  <c r="ES328" i="12" s="1"/>
  <c r="EQ350" i="12"/>
  <c r="ER350" i="12" s="1"/>
  <c r="ES350" i="12" s="1"/>
  <c r="EQ372" i="12"/>
  <c r="ER372" i="12" s="1"/>
  <c r="ES372" i="12" s="1"/>
  <c r="EQ382" i="12"/>
  <c r="ER382" i="12" s="1"/>
  <c r="ES382" i="12" s="1"/>
  <c r="EQ394" i="12"/>
  <c r="ER394" i="12" s="1"/>
  <c r="ES394" i="12" s="1"/>
  <c r="EQ312" i="12"/>
  <c r="ER312" i="12" s="1"/>
  <c r="ES312" i="12" s="1"/>
  <c r="EQ325" i="12"/>
  <c r="ER325" i="12" s="1"/>
  <c r="ES325" i="12" s="1"/>
  <c r="EQ313" i="12"/>
  <c r="ER313" i="12" s="1"/>
  <c r="ES313" i="12" s="1"/>
  <c r="EQ357" i="12"/>
  <c r="ER357" i="12" s="1"/>
  <c r="ES357" i="12" s="1"/>
  <c r="EQ331" i="12"/>
  <c r="ER331" i="12" s="1"/>
  <c r="ES331" i="12" s="1"/>
  <c r="EQ308" i="12"/>
  <c r="ER308" i="12" s="1"/>
  <c r="ES308" i="12" s="1"/>
  <c r="EQ324" i="12"/>
  <c r="ER324" i="12" s="1"/>
  <c r="ES324" i="12" s="1"/>
  <c r="EQ391" i="12"/>
  <c r="ER391" i="12" s="1"/>
  <c r="ES391" i="12" s="1"/>
  <c r="EQ395" i="12"/>
  <c r="ER395" i="12" s="1"/>
  <c r="ES395" i="12" s="1"/>
  <c r="EQ321" i="12"/>
  <c r="ER321" i="12" s="1"/>
  <c r="ES321" i="12" s="1"/>
  <c r="EQ378" i="12"/>
  <c r="ER378" i="12" s="1"/>
  <c r="ES378" i="12" s="1"/>
  <c r="EQ387" i="12"/>
  <c r="ER387" i="12" s="1"/>
  <c r="ES387" i="12" s="1"/>
  <c r="EQ381" i="12"/>
  <c r="ER381" i="12" s="1"/>
  <c r="ES381" i="12" s="1"/>
  <c r="EQ304" i="12"/>
  <c r="ER304" i="12" s="1"/>
  <c r="ES304" i="12" s="1"/>
  <c r="EQ326" i="12"/>
  <c r="ER326" i="12" s="1"/>
  <c r="ES326" i="12" s="1"/>
  <c r="EQ355" i="12"/>
  <c r="ER355" i="12" s="1"/>
  <c r="ES355" i="12" s="1"/>
  <c r="EQ339" i="12"/>
  <c r="ER339" i="12" s="1"/>
  <c r="ES339" i="12" s="1"/>
  <c r="EQ392" i="12"/>
  <c r="ER392" i="12" s="1"/>
  <c r="ES392" i="12" s="1"/>
  <c r="EQ303" i="12"/>
  <c r="ER303" i="12" s="1"/>
  <c r="ES303" i="12" s="1"/>
  <c r="EQ320" i="12"/>
  <c r="ER320" i="12" s="1"/>
  <c r="ES320" i="12" s="1"/>
  <c r="EQ379" i="12"/>
  <c r="ER379" i="12" s="1"/>
  <c r="ES379" i="12" s="1"/>
  <c r="BA382" i="12"/>
  <c r="BA395" i="12"/>
  <c r="BA372" i="12"/>
  <c r="BA377" i="12"/>
  <c r="EQ296" i="12"/>
  <c r="ER296" i="12" s="1"/>
  <c r="ES296" i="12" s="1"/>
  <c r="BA375" i="12"/>
  <c r="BA399" i="12"/>
  <c r="EQ285" i="12"/>
  <c r="ER285" i="12" s="1"/>
  <c r="ES285" i="12" s="1"/>
  <c r="EQ300" i="12"/>
  <c r="ER300" i="12" s="1"/>
  <c r="ES300" i="12" s="1"/>
  <c r="BA386" i="12"/>
  <c r="EQ286" i="12"/>
  <c r="ER286" i="12" s="1"/>
  <c r="ES286" i="12" s="1"/>
  <c r="BA388" i="12"/>
  <c r="EQ274" i="12"/>
  <c r="ER274" i="12" s="1"/>
  <c r="ES274" i="12" s="1"/>
  <c r="BA381" i="12"/>
  <c r="BA392" i="12"/>
  <c r="EQ288" i="12"/>
  <c r="ER288" i="12" s="1"/>
  <c r="ES288" i="12" s="1"/>
  <c r="BA151" i="12"/>
  <c r="BA113" i="12"/>
  <c r="BA137" i="12"/>
  <c r="BA179" i="12"/>
  <c r="BB179" i="12" s="1"/>
  <c r="BA192" i="12"/>
  <c r="BB192" i="12" s="1"/>
  <c r="DY192" i="12" s="1"/>
  <c r="BA129" i="12"/>
  <c r="BA109" i="12"/>
  <c r="BA131" i="12"/>
  <c r="BA162" i="12"/>
  <c r="BA104" i="12"/>
  <c r="BA183" i="12"/>
  <c r="BB183" i="12" s="1"/>
  <c r="DY183" i="12" s="1"/>
  <c r="BA149" i="12"/>
  <c r="BA125" i="12"/>
  <c r="BA107" i="12"/>
  <c r="BA121" i="12"/>
  <c r="BA157" i="12"/>
  <c r="BA188" i="12"/>
  <c r="BB188" i="12" s="1"/>
  <c r="DY188" i="12" s="1"/>
  <c r="BA199" i="12"/>
  <c r="BB199" i="12" s="1"/>
  <c r="DY199" i="12" s="1"/>
  <c r="BA127" i="12"/>
  <c r="BA178" i="12"/>
  <c r="BB178" i="12" s="1"/>
  <c r="BA167" i="12"/>
  <c r="BA145" i="12"/>
  <c r="BA108" i="12"/>
  <c r="BA182" i="12"/>
  <c r="BB182" i="12" s="1"/>
  <c r="DY182" i="12" s="1"/>
  <c r="BA185" i="12"/>
  <c r="BB185" i="12" s="1"/>
  <c r="DY185" i="12" s="1"/>
  <c r="BA152" i="12"/>
  <c r="BA105" i="12"/>
  <c r="BA196" i="12"/>
  <c r="BB196" i="12" s="1"/>
  <c r="DY196" i="12" s="1"/>
  <c r="BA158" i="12"/>
  <c r="BA150" i="12"/>
  <c r="BA156" i="12"/>
  <c r="BA116" i="12"/>
  <c r="BA187" i="12"/>
  <c r="BB187" i="12" s="1"/>
  <c r="DY187" i="12" s="1"/>
  <c r="BA147" i="12"/>
  <c r="BA186" i="12"/>
  <c r="BB186" i="12" s="1"/>
  <c r="DY186" i="12" s="1"/>
  <c r="BA146" i="12"/>
  <c r="BA136" i="12"/>
  <c r="BA101" i="12"/>
  <c r="BB101" i="12" s="1"/>
  <c r="BA135" i="12"/>
  <c r="BA130" i="12"/>
  <c r="BA118" i="12"/>
  <c r="BA198" i="12"/>
  <c r="BB198" i="12" s="1"/>
  <c r="DY198" i="12" s="1"/>
  <c r="BA142" i="12"/>
  <c r="BA176" i="12"/>
  <c r="BB176" i="12" s="1"/>
  <c r="BA110" i="12"/>
  <c r="BA103" i="12"/>
  <c r="BA174" i="12"/>
  <c r="BB174" i="12" s="1"/>
  <c r="BA126" i="12"/>
  <c r="BA138" i="12"/>
  <c r="BA122" i="12"/>
  <c r="BA102" i="12"/>
  <c r="BA160" i="12"/>
  <c r="BA117" i="12"/>
  <c r="BA171" i="12"/>
  <c r="BB171" i="12" s="1"/>
  <c r="BA164" i="12"/>
  <c r="BA161" i="12"/>
  <c r="BA170" i="12"/>
  <c r="BB170" i="12" s="1"/>
  <c r="BA197" i="12"/>
  <c r="BB197" i="12" s="1"/>
  <c r="DY197" i="12" s="1"/>
  <c r="BA144" i="12"/>
  <c r="BA155" i="12"/>
  <c r="BA195" i="12"/>
  <c r="BB195" i="12" s="1"/>
  <c r="DY195" i="12" s="1"/>
  <c r="BA190" i="12"/>
  <c r="BB190" i="12" s="1"/>
  <c r="DY190" i="12" s="1"/>
  <c r="W18" i="12"/>
  <c r="BA143" i="12"/>
  <c r="BA172" i="12"/>
  <c r="BB172" i="12" s="1"/>
  <c r="BA193" i="12"/>
  <c r="BB193" i="12" s="1"/>
  <c r="DY193" i="12" s="1"/>
  <c r="BA106" i="12"/>
  <c r="BA120" i="12"/>
  <c r="BA166" i="12"/>
  <c r="BA159" i="12"/>
  <c r="BA181" i="12"/>
  <c r="BB181" i="12" s="1"/>
  <c r="DY181" i="12" s="1"/>
  <c r="BA119" i="12"/>
  <c r="BA165" i="12"/>
  <c r="BA140" i="12"/>
  <c r="BA191" i="12"/>
  <c r="BB191" i="12" s="1"/>
  <c r="DY191" i="12" s="1"/>
  <c r="BA168" i="12"/>
  <c r="BA114" i="12"/>
  <c r="BA163" i="12"/>
  <c r="BA134" i="12"/>
  <c r="BA133" i="12"/>
  <c r="BA200" i="12"/>
  <c r="BB200" i="12" s="1"/>
  <c r="DY200" i="12" s="1"/>
  <c r="BA189" i="12"/>
  <c r="BB189" i="12" s="1"/>
  <c r="DY189" i="12" s="1"/>
  <c r="BA148" i="12"/>
  <c r="BA141" i="12"/>
  <c r="BA124" i="12"/>
  <c r="BA112" i="12"/>
  <c r="BA115" i="12"/>
  <c r="BA128" i="12"/>
  <c r="BA111" i="12"/>
  <c r="BA132" i="12"/>
  <c r="BA194" i="12"/>
  <c r="BB194" i="12" s="1"/>
  <c r="DY194" i="12" s="1"/>
  <c r="BA180" i="12"/>
  <c r="BB180" i="12" s="1"/>
  <c r="BA123" i="12"/>
  <c r="BA169" i="12"/>
  <c r="BA177" i="12"/>
  <c r="BB177" i="12" s="1"/>
  <c r="BA175" i="12"/>
  <c r="BB175" i="12" s="1"/>
  <c r="BA184" i="12"/>
  <c r="BB184" i="12" s="1"/>
  <c r="DY184" i="12" s="1"/>
  <c r="BA173" i="12"/>
  <c r="BB173" i="12" s="1"/>
  <c r="BA139" i="12"/>
  <c r="BA369" i="12"/>
  <c r="BA376" i="12"/>
  <c r="EQ290" i="12"/>
  <c r="ER290" i="12" s="1"/>
  <c r="ES290" i="12" s="1"/>
  <c r="BA393" i="12"/>
  <c r="EQ284" i="12"/>
  <c r="ER284" i="12" s="1"/>
  <c r="ES284" i="12" s="1"/>
  <c r="EQ297" i="12"/>
  <c r="ER297" i="12" s="1"/>
  <c r="ES297" i="12" s="1"/>
  <c r="EQ279" i="12"/>
  <c r="ER279" i="12" s="1"/>
  <c r="ES279" i="12" s="1"/>
  <c r="EQ277" i="12"/>
  <c r="ER277" i="12" s="1"/>
  <c r="ES277" i="12" s="1"/>
  <c r="EQ283" i="12"/>
  <c r="ER283" i="12" s="1"/>
  <c r="ES283" i="12" s="1"/>
  <c r="EQ281" i="12"/>
  <c r="ER281" i="12" s="1"/>
  <c r="ES281" i="12" s="1"/>
  <c r="EQ282" i="12"/>
  <c r="ER282" i="12" s="1"/>
  <c r="ES282" i="12" s="1"/>
  <c r="EQ278" i="12"/>
  <c r="ER278" i="12" s="1"/>
  <c r="ES278" i="12" s="1"/>
  <c r="BA387" i="12"/>
  <c r="BA373" i="12"/>
  <c r="BA374" i="12"/>
  <c r="EQ294" i="12"/>
  <c r="ER294" i="12" s="1"/>
  <c r="ES294" i="12" s="1"/>
  <c r="BA397" i="12"/>
  <c r="BA380" i="12"/>
  <c r="EQ271" i="12"/>
  <c r="ER271" i="12" s="1"/>
  <c r="ES271" i="12" s="1"/>
  <c r="EQ289" i="12"/>
  <c r="ER289" i="12" s="1"/>
  <c r="ES289" i="12" s="1"/>
  <c r="BA378" i="12"/>
  <c r="EQ295" i="12"/>
  <c r="ER295" i="12" s="1"/>
  <c r="ES295" i="12" s="1"/>
  <c r="EQ275" i="12"/>
  <c r="ER275" i="12" s="1"/>
  <c r="ES275" i="12" s="1"/>
  <c r="BA390" i="12"/>
  <c r="BA370" i="12"/>
  <c r="BA389" i="12"/>
  <c r="EQ276" i="12"/>
  <c r="ER276" i="12" s="1"/>
  <c r="ES276" i="12" s="1"/>
  <c r="BA396" i="12"/>
  <c r="BA391" i="12"/>
  <c r="EQ292" i="12"/>
  <c r="ER292" i="12" s="1"/>
  <c r="ES292" i="12" s="1"/>
  <c r="EQ280" i="12"/>
  <c r="ER280" i="12" s="1"/>
  <c r="ES280" i="12" s="1"/>
  <c r="EQ291" i="12"/>
  <c r="ER291" i="12" s="1"/>
  <c r="ES291" i="12" s="1"/>
  <c r="BA394" i="12"/>
  <c r="EQ298" i="12"/>
  <c r="ER298" i="12" s="1"/>
  <c r="ES298" i="12" s="1"/>
  <c r="BA385" i="12"/>
  <c r="EQ272" i="12"/>
  <c r="ER272" i="12" s="1"/>
  <c r="ES272" i="12" s="1"/>
  <c r="BA371" i="12"/>
  <c r="R14" i="12"/>
  <c r="R15" i="12" s="1"/>
  <c r="DW14" i="12"/>
  <c r="A6" i="12" s="1"/>
  <c r="DN26" i="12"/>
  <c r="DN27" i="12" s="1"/>
  <c r="DN28" i="12" s="1"/>
  <c r="DN29" i="12" s="1"/>
  <c r="DN30" i="12" s="1"/>
  <c r="DN31" i="12" s="1"/>
  <c r="DW15" i="12"/>
  <c r="DW16" i="12" s="1"/>
  <c r="DW17" i="12" s="1"/>
  <c r="DW18" i="12" s="1"/>
  <c r="BB153" i="12"/>
  <c r="BD153" i="12"/>
  <c r="BE153" i="12"/>
  <c r="BC152" i="12"/>
  <c r="BA154" i="12"/>
  <c r="AN287" i="12"/>
  <c r="X2" i="12"/>
  <c r="AN274" i="12"/>
  <c r="AN279" i="12"/>
  <c r="W1" i="12"/>
  <c r="AN285" i="12"/>
  <c r="AN297" i="12"/>
  <c r="AN281" i="12"/>
  <c r="AN291" i="12"/>
  <c r="AN276" i="12"/>
  <c r="AN293" i="12"/>
  <c r="AN300" i="12"/>
  <c r="AN295" i="12"/>
  <c r="H4" i="5"/>
  <c r="AN290" i="12"/>
  <c r="AN298" i="12"/>
  <c r="AN275" i="12"/>
  <c r="X1" i="12"/>
  <c r="Y1" i="12"/>
  <c r="AN296" i="12"/>
  <c r="AN288" i="12"/>
  <c r="AN277" i="12"/>
  <c r="AN278" i="12"/>
  <c r="Y2" i="12"/>
  <c r="AN286" i="12"/>
  <c r="AN271" i="12"/>
  <c r="AN289" i="12"/>
  <c r="AN282" i="12"/>
  <c r="G4" i="5"/>
  <c r="AN284" i="12"/>
  <c r="AN283" i="12"/>
  <c r="AN280" i="12"/>
  <c r="AN272" i="12"/>
  <c r="AN294" i="12"/>
  <c r="DY379" i="12" l="1"/>
  <c r="AZ379" i="12"/>
  <c r="BE379" i="12"/>
  <c r="BD379" i="12"/>
  <c r="BC379" i="12"/>
  <c r="Y3" i="12"/>
  <c r="W6" i="12"/>
  <c r="W5" i="12"/>
  <c r="X3" i="12"/>
  <c r="BD166" i="12"/>
  <c r="BE166" i="12"/>
  <c r="BB166" i="12"/>
  <c r="BE374" i="12"/>
  <c r="BD374" i="12"/>
  <c r="BB374" i="12"/>
  <c r="BC374" i="12"/>
  <c r="BE370" i="12"/>
  <c r="BC370" i="12"/>
  <c r="BB370" i="12"/>
  <c r="BD370" i="12"/>
  <c r="BD373" i="12"/>
  <c r="BC373" i="12"/>
  <c r="BB373" i="12"/>
  <c r="BE373" i="12"/>
  <c r="BD132" i="12"/>
  <c r="BB132" i="12"/>
  <c r="BE132" i="12"/>
  <c r="BE140" i="12"/>
  <c r="BB140" i="12"/>
  <c r="BD140" i="12"/>
  <c r="BD122" i="12"/>
  <c r="BE122" i="12"/>
  <c r="BB122" i="12"/>
  <c r="BE147" i="12"/>
  <c r="BD147" i="12"/>
  <c r="BB147" i="12"/>
  <c r="BD152" i="12"/>
  <c r="BE152" i="12"/>
  <c r="BB152" i="12"/>
  <c r="BB104" i="12"/>
  <c r="BE104" i="12"/>
  <c r="BD104" i="12"/>
  <c r="BD113" i="12"/>
  <c r="BE113" i="12"/>
  <c r="BB113" i="12"/>
  <c r="BC388" i="12"/>
  <c r="BE388" i="12"/>
  <c r="BD388" i="12"/>
  <c r="BB388" i="12"/>
  <c r="BE399" i="12"/>
  <c r="BD399" i="12"/>
  <c r="BB399" i="12" s="1"/>
  <c r="BC399" i="12"/>
  <c r="BB114" i="12"/>
  <c r="BD114" i="12"/>
  <c r="BE114" i="12"/>
  <c r="BE390" i="12"/>
  <c r="BC390" i="12"/>
  <c r="BB390" i="12"/>
  <c r="BD390" i="12"/>
  <c r="BB387" i="12"/>
  <c r="BD387" i="12"/>
  <c r="BE387" i="12"/>
  <c r="BC387" i="12"/>
  <c r="BE111" i="12"/>
  <c r="BB111" i="12"/>
  <c r="BD111" i="12"/>
  <c r="BD165" i="12"/>
  <c r="BB165" i="12"/>
  <c r="BE165" i="12"/>
  <c r="BB138" i="12"/>
  <c r="BE138" i="12"/>
  <c r="BD138" i="12"/>
  <c r="BE118" i="12"/>
  <c r="BD118" i="12"/>
  <c r="BB118" i="12"/>
  <c r="BB162" i="12"/>
  <c r="BE162" i="12"/>
  <c r="BD162" i="12"/>
  <c r="BB151" i="12"/>
  <c r="BD151" i="12"/>
  <c r="BE151" i="12"/>
  <c r="BC375" i="12"/>
  <c r="BD375" i="12"/>
  <c r="BE375" i="12"/>
  <c r="BB375" i="12"/>
  <c r="BB383" i="12"/>
  <c r="BE383" i="12"/>
  <c r="BC383" i="12"/>
  <c r="BD383" i="12"/>
  <c r="BC396" i="12"/>
  <c r="BB396" i="12"/>
  <c r="BD396" i="12"/>
  <c r="BE396" i="12"/>
  <c r="BB169" i="12"/>
  <c r="BE169" i="12"/>
  <c r="BD169" i="12"/>
  <c r="BB376" i="12"/>
  <c r="BC376" i="12"/>
  <c r="BD376" i="12"/>
  <c r="BE376" i="12"/>
  <c r="BD393" i="12"/>
  <c r="BB393" i="12"/>
  <c r="BE393" i="12"/>
  <c r="BC393" i="12"/>
  <c r="BE128" i="12"/>
  <c r="BB128" i="12"/>
  <c r="BD128" i="12"/>
  <c r="BD133" i="12"/>
  <c r="BE133" i="12"/>
  <c r="BB133" i="12"/>
  <c r="BB119" i="12"/>
  <c r="BD119" i="12"/>
  <c r="BE119" i="12"/>
  <c r="BD143" i="12"/>
  <c r="BB143" i="12"/>
  <c r="BE143" i="12"/>
  <c r="BB161" i="12"/>
  <c r="BD161" i="12"/>
  <c r="BE161" i="12"/>
  <c r="BD126" i="12"/>
  <c r="BE126" i="12"/>
  <c r="BB126" i="12"/>
  <c r="BE130" i="12"/>
  <c r="BB130" i="12"/>
  <c r="BD130" i="12"/>
  <c r="BB116" i="12"/>
  <c r="BE116" i="12"/>
  <c r="BD116" i="12"/>
  <c r="BB157" i="12"/>
  <c r="BE157" i="12"/>
  <c r="BD157" i="12"/>
  <c r="BD131" i="12"/>
  <c r="BB131" i="12"/>
  <c r="BE131" i="12"/>
  <c r="BC384" i="12"/>
  <c r="BE384" i="12"/>
  <c r="BD384" i="12"/>
  <c r="BB384" i="12"/>
  <c r="BB397" i="12"/>
  <c r="BD397" i="12"/>
  <c r="BE397" i="12"/>
  <c r="BC397" i="12"/>
  <c r="BE385" i="12"/>
  <c r="BB385" i="12"/>
  <c r="BC385" i="12"/>
  <c r="BD385" i="12"/>
  <c r="BB391" i="12"/>
  <c r="BC391" i="12"/>
  <c r="BE391" i="12"/>
  <c r="BD391" i="12"/>
  <c r="BC380" i="12"/>
  <c r="BD380" i="12"/>
  <c r="BE380" i="12"/>
  <c r="BB380" i="12"/>
  <c r="BE115" i="12"/>
  <c r="BB115" i="12"/>
  <c r="BD115" i="12"/>
  <c r="BD134" i="12"/>
  <c r="BB134" i="12"/>
  <c r="BE134" i="12"/>
  <c r="BB164" i="12"/>
  <c r="BD164" i="12"/>
  <c r="BE164" i="12"/>
  <c r="BD135" i="12"/>
  <c r="BB135" i="12"/>
  <c r="BE135" i="12"/>
  <c r="BD156" i="12"/>
  <c r="BB156" i="12"/>
  <c r="BE156" i="12"/>
  <c r="BD108" i="12"/>
  <c r="BE108" i="12"/>
  <c r="BB108" i="12"/>
  <c r="BE121" i="12"/>
  <c r="BB121" i="12"/>
  <c r="BD121" i="12"/>
  <c r="BD109" i="12"/>
  <c r="BB109" i="12"/>
  <c r="BE109" i="12"/>
  <c r="BB386" i="12"/>
  <c r="BE386" i="12"/>
  <c r="BD386" i="12"/>
  <c r="BC386" i="12"/>
  <c r="BD398" i="12"/>
  <c r="BC398" i="12"/>
  <c r="BB398" i="12"/>
  <c r="BE398" i="12"/>
  <c r="BD112" i="12"/>
  <c r="BE112" i="12"/>
  <c r="BB112" i="12"/>
  <c r="BE163" i="12"/>
  <c r="BB163" i="12"/>
  <c r="BD163" i="12"/>
  <c r="BB159" i="12"/>
  <c r="BD159" i="12"/>
  <c r="BE159" i="12"/>
  <c r="BE103" i="12"/>
  <c r="BB103" i="12"/>
  <c r="BD103" i="12"/>
  <c r="BB150" i="12"/>
  <c r="BD150" i="12"/>
  <c r="BE150" i="12"/>
  <c r="BB145" i="12"/>
  <c r="BD145" i="12"/>
  <c r="BE145" i="12"/>
  <c r="BD107" i="12"/>
  <c r="BB107" i="12"/>
  <c r="BE107" i="12"/>
  <c r="BD129" i="12"/>
  <c r="BE129" i="12"/>
  <c r="BB129" i="12"/>
  <c r="BE392" i="12"/>
  <c r="BC392" i="12"/>
  <c r="BD392" i="12"/>
  <c r="BB392" i="12"/>
  <c r="BE377" i="12"/>
  <c r="BB377" i="12"/>
  <c r="BC377" i="12"/>
  <c r="BD377" i="12"/>
  <c r="BC400" i="12"/>
  <c r="BD400" i="12"/>
  <c r="BB400" i="12" s="1"/>
  <c r="BE400" i="12"/>
  <c r="BE117" i="12"/>
  <c r="BB117" i="12"/>
  <c r="BD117" i="12"/>
  <c r="BE136" i="12"/>
  <c r="BB136" i="12"/>
  <c r="BD136" i="12"/>
  <c r="BB158" i="12"/>
  <c r="BE158" i="12"/>
  <c r="BD158" i="12"/>
  <c r="BB167" i="12"/>
  <c r="BD167" i="12"/>
  <c r="BE167" i="12"/>
  <c r="BE125" i="12"/>
  <c r="BD125" i="12"/>
  <c r="BB125" i="12"/>
  <c r="BC381" i="12"/>
  <c r="BD381" i="12"/>
  <c r="BB381" i="12"/>
  <c r="BE381" i="12"/>
  <c r="BC372" i="12"/>
  <c r="BD372" i="12"/>
  <c r="BE372" i="12"/>
  <c r="BB372" i="12"/>
  <c r="BD123" i="12"/>
  <c r="BE123" i="12"/>
  <c r="BB123" i="12"/>
  <c r="BD110" i="12"/>
  <c r="BE110" i="12"/>
  <c r="BB110" i="12"/>
  <c r="BD378" i="12"/>
  <c r="BE378" i="12"/>
  <c r="BC378" i="12"/>
  <c r="BB378" i="12"/>
  <c r="BB369" i="12"/>
  <c r="BD369" i="12"/>
  <c r="BC369" i="12"/>
  <c r="BE369" i="12"/>
  <c r="BD141" i="12"/>
  <c r="BB141" i="12"/>
  <c r="BE141" i="12"/>
  <c r="BE168" i="12"/>
  <c r="BB168" i="12"/>
  <c r="BD168" i="12"/>
  <c r="BD120" i="12"/>
  <c r="BB120" i="12"/>
  <c r="BE120" i="12"/>
  <c r="BD155" i="12"/>
  <c r="BE155" i="12"/>
  <c r="BB155" i="12"/>
  <c r="BE160" i="12"/>
  <c r="BD160" i="12"/>
  <c r="BB160" i="12"/>
  <c r="BE146" i="12"/>
  <c r="BB146" i="12"/>
  <c r="BD146" i="12"/>
  <c r="BB149" i="12"/>
  <c r="BE149" i="12"/>
  <c r="BD149" i="12"/>
  <c r="BC395" i="12"/>
  <c r="BB395" i="12"/>
  <c r="BE395" i="12"/>
  <c r="BD395" i="12"/>
  <c r="BB394" i="12"/>
  <c r="BD394" i="12"/>
  <c r="BC394" i="12"/>
  <c r="BE394" i="12"/>
  <c r="BB124" i="12"/>
  <c r="BD124" i="12"/>
  <c r="BE124" i="12"/>
  <c r="BB371" i="12"/>
  <c r="BD371" i="12"/>
  <c r="BE371" i="12"/>
  <c r="BC371" i="12"/>
  <c r="BE389" i="12"/>
  <c r="BD389" i="12"/>
  <c r="BC389" i="12"/>
  <c r="BB389" i="12"/>
  <c r="BE139" i="12"/>
  <c r="BD139" i="12"/>
  <c r="BB139" i="12"/>
  <c r="BE148" i="12"/>
  <c r="BB148" i="12"/>
  <c r="BD148" i="12"/>
  <c r="BB106" i="12"/>
  <c r="BD106" i="12"/>
  <c r="BE106" i="12"/>
  <c r="BD144" i="12"/>
  <c r="BE144" i="12"/>
  <c r="BB144" i="12"/>
  <c r="BB102" i="12"/>
  <c r="BD102" i="12"/>
  <c r="BE102" i="12"/>
  <c r="BE142" i="12"/>
  <c r="BD142" i="12"/>
  <c r="BB142" i="12"/>
  <c r="BB105" i="12"/>
  <c r="BD105" i="12"/>
  <c r="BE105" i="12"/>
  <c r="BD127" i="12"/>
  <c r="BE127" i="12"/>
  <c r="BB127" i="12"/>
  <c r="BE137" i="12"/>
  <c r="BD137" i="12"/>
  <c r="BB137" i="12"/>
  <c r="BB382" i="12"/>
  <c r="BD382" i="12"/>
  <c r="BE382" i="12"/>
  <c r="BC382" i="12"/>
  <c r="ES400" i="12"/>
  <c r="ES500" i="12"/>
  <c r="R16" i="12"/>
  <c r="DN33" i="12"/>
  <c r="DN35" i="12" s="1"/>
  <c r="DN36" i="12" s="1"/>
  <c r="DN37" i="12" s="1"/>
  <c r="DN38" i="12" s="1"/>
  <c r="DN39" i="12" s="1"/>
  <c r="DN40" i="12" s="1"/>
  <c r="DN41" i="12" s="1"/>
  <c r="DN42" i="12" s="1"/>
  <c r="DN43" i="12" s="1"/>
  <c r="DN44" i="12" s="1"/>
  <c r="DN45" i="12" s="1"/>
  <c r="DN46" i="12" s="1"/>
  <c r="DN47" i="12" s="1"/>
  <c r="DN48" i="12" s="1"/>
  <c r="DN49" i="12" s="1"/>
  <c r="DN50" i="12" s="1"/>
  <c r="DN51" i="12" s="1"/>
  <c r="DN52" i="12" s="1"/>
  <c r="DN53" i="12" s="1"/>
  <c r="DN54" i="12" s="1"/>
  <c r="DN55" i="12" s="1"/>
  <c r="DN56" i="12" s="1"/>
  <c r="DN57" i="12" s="1"/>
  <c r="DN58" i="12" s="1"/>
  <c r="DN59" i="12" s="1"/>
  <c r="DN60" i="12" s="1"/>
  <c r="DN61" i="12" s="1"/>
  <c r="DN62" i="12" s="1"/>
  <c r="DN63" i="12" s="1"/>
  <c r="DN64" i="12" s="1"/>
  <c r="DN65" i="12" s="1"/>
  <c r="DN66" i="12" s="1"/>
  <c r="DN67" i="12" s="1"/>
  <c r="DN68" i="12" s="1"/>
  <c r="DN69" i="12" s="1"/>
  <c r="DN70" i="12" s="1"/>
  <c r="DN71" i="12" s="1"/>
  <c r="DN72" i="12" s="1"/>
  <c r="DN73" i="12" s="1"/>
  <c r="DN75" i="12" s="1"/>
  <c r="DW19" i="12"/>
  <c r="BB154" i="12"/>
  <c r="BD154" i="12"/>
  <c r="BE154" i="12"/>
  <c r="BC153" i="12"/>
  <c r="W8" i="12"/>
  <c r="AZ375" i="12" l="1"/>
  <c r="DY375" i="12"/>
  <c r="AZ394" i="12"/>
  <c r="DY394" i="12"/>
  <c r="AZ372" i="12"/>
  <c r="DY372" i="12"/>
  <c r="AZ400" i="12"/>
  <c r="DY400" i="12"/>
  <c r="DY387" i="12"/>
  <c r="AZ387" i="12"/>
  <c r="AZ381" i="12"/>
  <c r="DY381" i="12"/>
  <c r="AZ378" i="12"/>
  <c r="DY378" i="12"/>
  <c r="DY369" i="12"/>
  <c r="AZ369" i="12"/>
  <c r="DY373" i="12"/>
  <c r="AZ373" i="12"/>
  <c r="DY392" i="12"/>
  <c r="AZ392" i="12"/>
  <c r="DY371" i="12"/>
  <c r="AZ371" i="12"/>
  <c r="AZ386" i="12"/>
  <c r="DY386" i="12"/>
  <c r="DY391" i="12"/>
  <c r="AZ391" i="12"/>
  <c r="DY397" i="12"/>
  <c r="AZ397" i="12"/>
  <c r="DY396" i="12"/>
  <c r="AZ396" i="12"/>
  <c r="DY399" i="12"/>
  <c r="AZ399" i="12"/>
  <c r="AZ370" i="12"/>
  <c r="DY370" i="12"/>
  <c r="AZ389" i="12"/>
  <c r="DY389" i="12"/>
  <c r="DY380" i="12"/>
  <c r="AZ380" i="12"/>
  <c r="AZ384" i="12"/>
  <c r="DY384" i="12"/>
  <c r="AZ390" i="12"/>
  <c r="DY390" i="12"/>
  <c r="AZ395" i="12"/>
  <c r="DY395" i="12"/>
  <c r="DY398" i="12"/>
  <c r="AZ398" i="12"/>
  <c r="AZ376" i="12"/>
  <c r="DY376" i="12"/>
  <c r="AZ388" i="12"/>
  <c r="DY388" i="12"/>
  <c r="DY377" i="12"/>
  <c r="AZ377" i="12"/>
  <c r="DY385" i="12"/>
  <c r="AZ385" i="12"/>
  <c r="DY374" i="12"/>
  <c r="AZ374" i="12"/>
  <c r="DY382" i="12"/>
  <c r="AZ382" i="12"/>
  <c r="DY393" i="12"/>
  <c r="AZ393" i="12"/>
  <c r="DY383" i="12"/>
  <c r="AZ383" i="12"/>
  <c r="R17" i="12"/>
  <c r="R18" i="12" s="1"/>
  <c r="DN76" i="12"/>
  <c r="DN77" i="12" s="1"/>
  <c r="DN78" i="12" s="1"/>
  <c r="DN79" i="12" s="1"/>
  <c r="DN80" i="12" s="1"/>
  <c r="DN81" i="12" s="1"/>
  <c r="DN82" i="12" s="1"/>
  <c r="DN83" i="12" s="1"/>
  <c r="DN84" i="12" s="1"/>
  <c r="DN85" i="12" s="1"/>
  <c r="DN86" i="12" s="1"/>
  <c r="DN87" i="12" s="1"/>
  <c r="DN88" i="12" s="1"/>
  <c r="DN89" i="12" s="1"/>
  <c r="DN90" i="12" s="1"/>
  <c r="DN91" i="12" s="1"/>
  <c r="DN92" i="12" s="1"/>
  <c r="DN93" i="12" s="1"/>
  <c r="DN94" i="12" s="1"/>
  <c r="DN95" i="12" s="1"/>
  <c r="DN96" i="12" s="1"/>
  <c r="DN97" i="12" s="1"/>
  <c r="DN98" i="12" s="1"/>
  <c r="DW20" i="12"/>
  <c r="DW23" i="12"/>
  <c r="DW24" i="12" s="1"/>
  <c r="BC154" i="12"/>
  <c r="R19" i="12" l="1"/>
  <c r="DN99" i="12"/>
  <c r="DN100" i="12" s="1"/>
  <c r="DW26" i="12"/>
  <c r="DW27" i="12" s="1"/>
  <c r="DW28" i="12" s="1"/>
  <c r="DW29" i="12" s="1"/>
  <c r="DN101" i="12" l="1"/>
  <c r="DW30" i="12"/>
  <c r="DW31" i="12" s="1"/>
  <c r="DW32" i="12" s="1"/>
  <c r="DW33" i="12" s="1"/>
  <c r="DW34" i="12" s="1"/>
  <c r="DW35" i="12" s="1"/>
  <c r="DW36" i="12" s="1"/>
  <c r="DW37" i="12" s="1"/>
  <c r="DN102" i="12" l="1"/>
  <c r="DW50" i="12"/>
  <c r="DW51" i="12" s="1"/>
  <c r="DW52" i="12" s="1"/>
  <c r="DW53" i="12" s="1"/>
  <c r="DW54" i="12" s="1"/>
  <c r="DW55" i="12" s="1"/>
  <c r="DW56" i="12" s="1"/>
  <c r="DW57" i="12" s="1"/>
  <c r="DW58" i="12" s="1"/>
  <c r="DW59" i="12" s="1"/>
  <c r="DW60" i="12" s="1"/>
  <c r="DW61" i="12" s="1"/>
  <c r="DW62" i="12" s="1"/>
  <c r="DW63" i="12" s="1"/>
  <c r="DW64" i="12" s="1"/>
  <c r="DW65" i="12" s="1"/>
  <c r="DW66" i="12" s="1"/>
  <c r="DW67" i="12" s="1"/>
  <c r="DW68" i="12" s="1"/>
  <c r="DW69" i="12" s="1"/>
  <c r="DW73" i="12" s="1"/>
  <c r="DW74" i="12" s="1"/>
  <c r="DW77" i="12" s="1"/>
  <c r="DW78" i="12" s="1"/>
  <c r="DW79" i="12" s="1"/>
  <c r="DW80" i="12" s="1"/>
  <c r="DW81" i="12" s="1"/>
  <c r="DW83" i="12" s="1"/>
  <c r="DW84" i="12" s="1"/>
  <c r="DW85" i="12" s="1"/>
  <c r="DW86" i="12" s="1"/>
  <c r="DW87" i="12" s="1"/>
  <c r="DW88" i="12" s="1"/>
  <c r="DW89" i="12" s="1"/>
  <c r="DW90" i="12" s="1"/>
  <c r="DW91" i="12" s="1"/>
  <c r="DW92" i="12" s="1"/>
  <c r="DW93" i="12" s="1"/>
  <c r="DW94" i="12" s="1"/>
  <c r="DW95" i="12" s="1"/>
  <c r="DW96" i="12" s="1"/>
  <c r="DW97" i="12" s="1"/>
  <c r="DW98" i="12" s="1"/>
  <c r="DW99" i="12" s="1"/>
  <c r="DW100" i="12" s="1"/>
  <c r="DW101" i="12" s="1"/>
  <c r="DW102" i="12" s="1"/>
  <c r="DW103" i="12" s="1"/>
  <c r="DW104" i="12" s="1"/>
  <c r="DW105" i="12" s="1"/>
  <c r="DW106" i="12" s="1"/>
  <c r="EQ263" i="12"/>
  <c r="EQ250" i="12"/>
  <c r="EQ248" i="12"/>
  <c r="EQ243" i="12"/>
  <c r="EQ268" i="12"/>
  <c r="EQ251" i="12"/>
  <c r="EQ241" i="12"/>
  <c r="EQ249" i="12"/>
  <c r="EQ258" i="12"/>
  <c r="EQ267" i="12"/>
  <c r="EQ262" i="12"/>
  <c r="EQ255" i="12"/>
  <c r="EQ264" i="12"/>
  <c r="EQ253" i="12"/>
  <c r="EQ240" i="12"/>
  <c r="EQ245" i="12"/>
  <c r="EQ247" i="12"/>
  <c r="EQ269" i="12"/>
  <c r="EQ257" i="12"/>
  <c r="EQ259" i="12"/>
  <c r="EQ242" i="12"/>
  <c r="EQ265" i="12"/>
  <c r="EQ244" i="12"/>
  <c r="EQ256" i="12"/>
  <c r="EQ254" i="12"/>
  <c r="EQ260" i="12"/>
  <c r="EQ266" i="12"/>
  <c r="EQ252" i="12"/>
  <c r="EQ261" i="12"/>
  <c r="EQ246" i="12"/>
  <c r="CT47" i="12"/>
  <c r="CT45" i="12"/>
  <c r="CT46" i="12"/>
  <c r="CT44" i="12"/>
  <c r="CT48" i="12"/>
  <c r="CT43" i="12"/>
  <c r="DN103" i="12" l="1"/>
  <c r="DN104" i="12" s="1"/>
  <c r="DN105" i="12" s="1"/>
  <c r="DN106" i="12" s="1"/>
  <c r="DN107" i="12" s="1"/>
  <c r="DW107" i="12"/>
  <c r="DW108" i="12" s="1"/>
  <c r="DY2" i="12"/>
  <c r="DY1" i="12"/>
  <c r="CS97" i="12"/>
  <c r="CS93" i="12"/>
  <c r="CS91" i="12"/>
  <c r="CS89" i="12"/>
  <c r="CS87" i="12"/>
  <c r="CS95" i="12"/>
  <c r="CS96" i="12"/>
  <c r="CS88" i="12"/>
  <c r="CS94" i="12"/>
  <c r="CS90" i="12"/>
  <c r="CS86" i="12"/>
  <c r="CS98" i="12"/>
  <c r="CT89" i="12"/>
  <c r="CT98" i="12"/>
  <c r="CT87" i="12"/>
  <c r="CT95" i="12"/>
  <c r="CT97" i="12"/>
  <c r="CT90" i="12"/>
  <c r="CT93" i="12"/>
  <c r="CT96" i="12"/>
  <c r="CT91" i="12"/>
  <c r="CT86" i="12"/>
  <c r="CT94" i="12"/>
  <c r="CT88" i="12"/>
  <c r="EL398" i="12"/>
  <c r="EL397" i="12"/>
  <c r="AH1" i="12"/>
  <c r="AE1" i="12"/>
  <c r="AG1" i="12"/>
  <c r="AD1" i="12"/>
  <c r="AY1" i="12"/>
  <c r="EQ229" i="12"/>
  <c r="EQ151" i="12"/>
  <c r="EQ181" i="12"/>
  <c r="EQ152" i="12"/>
  <c r="EQ210" i="12"/>
  <c r="EQ226" i="12"/>
  <c r="EQ161" i="12"/>
  <c r="EQ193" i="12"/>
  <c r="EQ163" i="12"/>
  <c r="EQ239" i="12"/>
  <c r="EQ200" i="12"/>
  <c r="EQ199" i="12"/>
  <c r="EQ209" i="12"/>
  <c r="EQ208" i="12"/>
  <c r="EQ180" i="12"/>
  <c r="EQ171" i="12"/>
  <c r="EQ227" i="12"/>
  <c r="EQ177" i="12"/>
  <c r="EQ224" i="12"/>
  <c r="EQ173" i="12"/>
  <c r="EQ234" i="12"/>
  <c r="EQ159" i="12"/>
  <c r="EQ143" i="12"/>
  <c r="EQ188" i="12"/>
  <c r="EQ211" i="12"/>
  <c r="EQ142" i="12"/>
  <c r="EQ222" i="12"/>
  <c r="EQ214" i="12"/>
  <c r="EQ164" i="12"/>
  <c r="EQ154" i="12"/>
  <c r="EQ182" i="12"/>
  <c r="EQ168" i="12"/>
  <c r="EQ232" i="12"/>
  <c r="EQ147" i="12"/>
  <c r="EQ149" i="12"/>
  <c r="EQ213" i="12"/>
  <c r="EQ153" i="12"/>
  <c r="EQ220" i="12"/>
  <c r="EQ190" i="12"/>
  <c r="EQ169" i="12"/>
  <c r="EQ175" i="12"/>
  <c r="EQ236" i="12"/>
  <c r="EQ238" i="12"/>
  <c r="EQ206" i="12"/>
  <c r="EQ221" i="12"/>
  <c r="EQ219" i="12"/>
  <c r="EQ204" i="12"/>
  <c r="EQ235" i="12"/>
  <c r="EQ233" i="12"/>
  <c r="EQ225" i="12"/>
  <c r="EQ230" i="12"/>
  <c r="EQ223" i="12"/>
  <c r="EQ207" i="12"/>
  <c r="EQ196" i="12"/>
  <c r="EQ145" i="12"/>
  <c r="EQ189" i="12"/>
  <c r="EQ186" i="12"/>
  <c r="EQ205" i="12"/>
  <c r="EQ217" i="12"/>
  <c r="EQ167" i="12"/>
  <c r="EQ158" i="12"/>
  <c r="EQ140" i="12"/>
  <c r="EQ228" i="12"/>
  <c r="EQ212" i="12"/>
  <c r="EQ155" i="12"/>
  <c r="EQ216" i="12"/>
  <c r="EQ184" i="12"/>
  <c r="EQ174" i="12"/>
  <c r="EQ218" i="12"/>
  <c r="EQ172" i="12"/>
  <c r="EQ203" i="12"/>
  <c r="EQ187" i="12"/>
  <c r="EQ195" i="12"/>
  <c r="EQ162" i="12"/>
  <c r="EQ148" i="12"/>
  <c r="EQ166" i="12"/>
  <c r="EQ237" i="12"/>
  <c r="EQ191" i="12"/>
  <c r="EQ183" i="12"/>
  <c r="EQ201" i="12"/>
  <c r="EQ170" i="12"/>
  <c r="EQ192" i="12"/>
  <c r="EQ165" i="12"/>
  <c r="EQ150" i="12"/>
  <c r="EQ176" i="12"/>
  <c r="EQ141" i="12"/>
  <c r="EQ156" i="12"/>
  <c r="EQ157" i="12"/>
  <c r="EQ202" i="12"/>
  <c r="EQ197" i="12"/>
  <c r="EQ185" i="12"/>
  <c r="EQ215" i="12"/>
  <c r="EQ178" i="12"/>
  <c r="EQ160" i="12"/>
  <c r="EQ198" i="12"/>
  <c r="EQ231" i="12"/>
  <c r="EQ146" i="12"/>
  <c r="EQ194" i="12"/>
  <c r="EQ179" i="12"/>
  <c r="BA1" i="12"/>
  <c r="EQ270" i="12"/>
  <c r="CS34" i="12"/>
  <c r="CS33" i="12"/>
  <c r="CS31" i="12"/>
  <c r="CS30" i="12"/>
  <c r="CS32" i="12"/>
  <c r="CS29" i="12"/>
  <c r="DN109" i="12" l="1"/>
  <c r="DW109" i="12"/>
  <c r="CR100" i="12"/>
  <c r="CR101" i="12"/>
  <c r="CS103" i="12"/>
  <c r="CR105" i="12"/>
  <c r="CS102" i="12"/>
  <c r="CS104" i="12"/>
  <c r="CS105" i="12"/>
  <c r="CR104" i="12"/>
  <c r="CR102" i="12"/>
  <c r="CR103" i="12"/>
  <c r="CS101" i="12"/>
  <c r="CS100" i="12"/>
  <c r="EK398" i="12"/>
  <c r="EN398" i="12"/>
  <c r="EK397" i="12"/>
  <c r="EN397" i="12" s="1"/>
  <c r="AI1" i="12"/>
  <c r="AF1" i="12"/>
  <c r="ER270" i="12"/>
  <c r="CT29" i="12"/>
  <c r="CS36" i="12" s="1"/>
  <c r="CT32" i="12"/>
  <c r="CS39" i="12" s="1"/>
  <c r="CT31" i="12"/>
  <c r="CS38" i="12" s="1"/>
  <c r="CT30" i="12"/>
  <c r="CS37" i="12" s="1"/>
  <c r="CT34" i="12"/>
  <c r="CS41" i="12" s="1"/>
  <c r="CT33" i="12"/>
  <c r="CS40" i="12" s="1"/>
  <c r="ER171" i="12"/>
  <c r="ES171" i="12" s="1"/>
  <c r="ER198" i="12"/>
  <c r="ES198" i="12" s="1"/>
  <c r="ER233" i="12"/>
  <c r="ES233" i="12" s="1"/>
  <c r="ER143" i="12"/>
  <c r="ES143" i="12" s="1"/>
  <c r="ER195" i="12"/>
  <c r="ES195" i="12" s="1"/>
  <c r="ER262" i="12"/>
  <c r="ES262" i="12" s="1"/>
  <c r="ER214" i="12"/>
  <c r="ES214" i="12" s="1"/>
  <c r="ER172" i="12"/>
  <c r="ES172" i="12" s="1"/>
  <c r="ER167" i="12"/>
  <c r="ES167" i="12" s="1"/>
  <c r="ER176" i="12"/>
  <c r="ES176" i="12" s="1"/>
  <c r="ER146" i="12"/>
  <c r="ES146" i="12" s="1"/>
  <c r="ER191" i="12"/>
  <c r="ES191" i="12" s="1"/>
  <c r="ER196" i="12"/>
  <c r="ES196" i="12" s="1"/>
  <c r="ER181" i="12"/>
  <c r="ES181" i="12" s="1"/>
  <c r="ER177" i="12"/>
  <c r="ES177" i="12" s="1"/>
  <c r="ER221" i="12"/>
  <c r="ES221" i="12" s="1"/>
  <c r="ER241" i="12"/>
  <c r="ES241" i="12" s="1"/>
  <c r="ER186" i="12"/>
  <c r="ES186" i="12" s="1"/>
  <c r="ER219" i="12"/>
  <c r="ES219" i="12" s="1"/>
  <c r="ER226" i="12"/>
  <c r="ES226" i="12" s="1"/>
  <c r="ER230" i="12"/>
  <c r="ES230" i="12" s="1"/>
  <c r="ER215" i="12"/>
  <c r="ES215" i="12" s="1"/>
  <c r="ER153" i="12"/>
  <c r="ES153" i="12" s="1"/>
  <c r="ER163" i="12"/>
  <c r="ES163" i="12" s="1"/>
  <c r="ER261" i="12"/>
  <c r="ES261" i="12" s="1"/>
  <c r="ER238" i="12"/>
  <c r="ES238" i="12" s="1"/>
  <c r="ER252" i="12"/>
  <c r="ES252" i="12" s="1"/>
  <c r="ER152" i="12"/>
  <c r="ES152" i="12" s="1"/>
  <c r="ER184" i="12"/>
  <c r="ES184" i="12" s="1"/>
  <c r="ER155" i="12"/>
  <c r="ES155" i="12" s="1"/>
  <c r="ER260" i="12"/>
  <c r="ES260" i="12" s="1"/>
  <c r="ER175" i="12"/>
  <c r="ES175" i="12" s="1"/>
  <c r="ER263" i="12"/>
  <c r="ES263" i="12" s="1"/>
  <c r="ER202" i="12"/>
  <c r="ES202" i="12" s="1"/>
  <c r="ER189" i="12"/>
  <c r="ES189" i="12" s="1"/>
  <c r="ER227" i="12"/>
  <c r="ES227" i="12" s="1"/>
  <c r="ER151" i="12"/>
  <c r="ES151" i="12" s="1"/>
  <c r="ER247" i="12"/>
  <c r="ES247" i="12" s="1"/>
  <c r="ER237" i="12"/>
  <c r="ES237" i="12" s="1"/>
  <c r="ER179" i="12"/>
  <c r="ES179" i="12" s="1"/>
  <c r="ER266" i="12"/>
  <c r="ES266" i="12" s="1"/>
  <c r="ER235" i="12"/>
  <c r="ES235" i="12" s="1"/>
  <c r="ER231" i="12"/>
  <c r="ES231" i="12" s="1"/>
  <c r="ER254" i="12"/>
  <c r="ES254" i="12" s="1"/>
  <c r="ER190" i="12"/>
  <c r="ES190" i="12" s="1"/>
  <c r="ER245" i="12"/>
  <c r="ES245" i="12" s="1"/>
  <c r="ER251" i="12"/>
  <c r="ES251" i="12" s="1"/>
  <c r="ER228" i="12"/>
  <c r="ES228" i="12" s="1"/>
  <c r="ER249" i="12"/>
  <c r="ES249" i="12" s="1"/>
  <c r="ER147" i="12"/>
  <c r="ES147" i="12" s="1"/>
  <c r="ER159" i="12"/>
  <c r="ES159" i="12" s="1"/>
  <c r="ER206" i="12"/>
  <c r="ES206" i="12" s="1"/>
  <c r="ER242" i="12"/>
  <c r="ES242" i="12" s="1"/>
  <c r="ER255" i="12"/>
  <c r="ES255" i="12" s="1"/>
  <c r="ER157" i="12"/>
  <c r="ES157" i="12" s="1"/>
  <c r="ER257" i="12"/>
  <c r="ES257" i="12" s="1"/>
  <c r="ER200" i="12"/>
  <c r="ES200" i="12" s="1"/>
  <c r="ER222" i="12"/>
  <c r="ES222" i="12" s="1"/>
  <c r="ER269" i="12"/>
  <c r="ES269" i="12" s="1"/>
  <c r="ER234" i="12"/>
  <c r="ES234" i="12" s="1"/>
  <c r="ER187" i="12"/>
  <c r="ES187" i="12" s="1"/>
  <c r="ER256" i="12"/>
  <c r="ES256" i="12" s="1"/>
  <c r="ER173" i="12"/>
  <c r="ES173" i="12" s="1"/>
  <c r="ER165" i="12"/>
  <c r="ES165" i="12" s="1"/>
  <c r="ER212" i="12"/>
  <c r="ES212" i="12" s="1"/>
  <c r="ER207" i="12"/>
  <c r="ES207" i="12" s="1"/>
  <c r="ER265" i="12"/>
  <c r="ES265" i="12" s="1"/>
  <c r="ER174" i="12"/>
  <c r="ES174" i="12" s="1"/>
  <c r="ER209" i="12"/>
  <c r="ES209" i="12" s="1"/>
  <c r="ER185" i="12"/>
  <c r="ES185" i="12" s="1"/>
  <c r="ER162" i="12"/>
  <c r="ES162" i="12" s="1"/>
  <c r="ER244" i="12"/>
  <c r="ES244" i="12" s="1"/>
  <c r="ER211" i="12"/>
  <c r="ES211" i="12" s="1"/>
  <c r="ER239" i="12"/>
  <c r="ES239" i="12" s="1"/>
  <c r="ER156" i="12"/>
  <c r="ES156" i="12" s="1"/>
  <c r="ER170" i="12"/>
  <c r="ES170" i="12" s="1"/>
  <c r="ER213" i="12"/>
  <c r="ES213" i="12" s="1"/>
  <c r="ER169" i="12"/>
  <c r="ES169" i="12" s="1"/>
  <c r="ER148" i="12"/>
  <c r="ES148" i="12" s="1"/>
  <c r="ER145" i="12"/>
  <c r="ES145" i="12" s="1"/>
  <c r="ER258" i="12"/>
  <c r="ES258" i="12" s="1"/>
  <c r="ER232" i="12"/>
  <c r="ES232" i="12" s="1"/>
  <c r="ER264" i="12"/>
  <c r="ES264" i="12" s="1"/>
  <c r="ER182" i="12"/>
  <c r="ES182" i="12" s="1"/>
  <c r="ER203" i="12"/>
  <c r="ES203" i="12" s="1"/>
  <c r="ER205" i="12"/>
  <c r="ES205" i="12" s="1"/>
  <c r="ER229" i="12"/>
  <c r="ES229" i="12" s="1"/>
  <c r="ER149" i="12"/>
  <c r="ES149" i="12" s="1"/>
  <c r="ER197" i="12"/>
  <c r="ES197" i="12" s="1"/>
  <c r="ER259" i="12"/>
  <c r="ES259" i="12" s="1"/>
  <c r="ER161" i="12"/>
  <c r="ES161" i="12" s="1"/>
  <c r="ER194" i="12"/>
  <c r="ES194" i="12" s="1"/>
  <c r="ER210" i="12"/>
  <c r="ES210" i="12" s="1"/>
  <c r="ER208" i="12"/>
  <c r="ES208" i="12" s="1"/>
  <c r="ER267" i="12"/>
  <c r="ES267" i="12" s="1"/>
  <c r="ER268" i="12"/>
  <c r="ES268" i="12" s="1"/>
  <c r="ER140" i="12"/>
  <c r="ES140" i="12" s="1"/>
  <c r="ER217" i="12"/>
  <c r="ES217" i="12" s="1"/>
  <c r="ER250" i="12"/>
  <c r="ES250" i="12" s="1"/>
  <c r="ER164" i="12"/>
  <c r="ES164" i="12" s="1"/>
  <c r="ER166" i="12"/>
  <c r="ES166" i="12" s="1"/>
  <c r="ER168" i="12"/>
  <c r="ES168" i="12" s="1"/>
  <c r="ER223" i="12"/>
  <c r="ES223" i="12" s="1"/>
  <c r="ER218" i="12"/>
  <c r="ES218" i="12" s="1"/>
  <c r="ER183" i="12"/>
  <c r="ES183" i="12" s="1"/>
  <c r="ER199" i="12"/>
  <c r="ES199" i="12" s="1"/>
  <c r="ER225" i="12"/>
  <c r="ES225" i="12" s="1"/>
  <c r="ER216" i="12"/>
  <c r="ES216" i="12" s="1"/>
  <c r="ER188" i="12"/>
  <c r="ES188" i="12" s="1"/>
  <c r="ER224" i="12"/>
  <c r="ES224" i="12" s="1"/>
  <c r="ER158" i="12"/>
  <c r="ES158" i="12" s="1"/>
  <c r="ER154" i="12"/>
  <c r="ES154" i="12" s="1"/>
  <c r="ER160" i="12"/>
  <c r="ES160" i="12" s="1"/>
  <c r="ER220" i="12"/>
  <c r="ES220" i="12" s="1"/>
  <c r="ER141" i="12"/>
  <c r="ES141" i="12" s="1"/>
  <c r="ER246" i="12"/>
  <c r="ES246" i="12" s="1"/>
  <c r="ER201" i="12"/>
  <c r="ES201" i="12" s="1"/>
  <c r="ER150" i="12"/>
  <c r="ES150" i="12" s="1"/>
  <c r="ER248" i="12"/>
  <c r="ES248" i="12" s="1"/>
  <c r="ER236" i="12"/>
  <c r="ES236" i="12" s="1"/>
  <c r="ER193" i="12"/>
  <c r="ES193" i="12" s="1"/>
  <c r="ER142" i="12"/>
  <c r="ES142" i="12" s="1"/>
  <c r="ER253" i="12"/>
  <c r="ES253" i="12" s="1"/>
  <c r="ER243" i="12"/>
  <c r="ES243" i="12" s="1"/>
  <c r="ER192" i="12"/>
  <c r="ES192" i="12" s="1"/>
  <c r="ER204" i="12"/>
  <c r="ES204" i="12" s="1"/>
  <c r="ER180" i="12"/>
  <c r="ES180" i="12" s="1"/>
  <c r="ER178" i="12"/>
  <c r="ES178" i="12" s="1"/>
  <c r="ER240" i="12"/>
  <c r="ES240" i="12" s="1"/>
  <c r="BA311" i="12"/>
  <c r="BB311" i="12" s="1"/>
  <c r="BA328" i="12"/>
  <c r="BB328" i="12" s="1"/>
  <c r="BA335" i="12"/>
  <c r="BB335" i="12" s="1"/>
  <c r="BA292" i="12"/>
  <c r="BB292" i="12" s="1"/>
  <c r="BA229" i="12"/>
  <c r="BA344" i="12"/>
  <c r="BB344" i="12" s="1"/>
  <c r="BA242" i="12"/>
  <c r="BA207" i="12"/>
  <c r="BA264" i="12"/>
  <c r="BB264" i="12" s="1"/>
  <c r="BA247" i="12"/>
  <c r="BB247" i="12" s="1"/>
  <c r="BA235" i="12"/>
  <c r="BA333" i="12"/>
  <c r="BB333" i="12" s="1"/>
  <c r="BA211" i="12"/>
  <c r="BA357" i="12"/>
  <c r="BB357" i="12" s="1"/>
  <c r="BA214" i="12"/>
  <c r="BA220" i="12"/>
  <c r="BA281" i="12"/>
  <c r="BB281" i="12" s="1"/>
  <c r="BA241" i="12"/>
  <c r="BB241" i="12" s="1"/>
  <c r="BA216" i="12"/>
  <c r="BA215" i="12"/>
  <c r="BA265" i="12"/>
  <c r="BB265" i="12" s="1"/>
  <c r="BA304" i="12"/>
  <c r="BB304" i="12" s="1"/>
  <c r="BA249" i="12"/>
  <c r="BB249" i="12" s="1"/>
  <c r="BA280" i="12"/>
  <c r="BB280" i="12" s="1"/>
  <c r="BA236" i="12"/>
  <c r="BA291" i="12"/>
  <c r="BB291" i="12" s="1"/>
  <c r="BA366" i="12"/>
  <c r="BB366" i="12" s="1"/>
  <c r="BA239" i="12"/>
  <c r="BB239" i="12" s="1"/>
  <c r="BA359" i="12"/>
  <c r="BB359" i="12" s="1"/>
  <c r="BA293" i="12"/>
  <c r="BB293" i="12" s="1"/>
  <c r="BA332" i="12"/>
  <c r="BB332" i="12" s="1"/>
  <c r="BA240" i="12"/>
  <c r="BB240" i="12" s="1"/>
  <c r="BA204" i="12"/>
  <c r="BA218" i="12"/>
  <c r="BA316" i="12"/>
  <c r="BB316" i="12" s="1"/>
  <c r="BA329" i="12"/>
  <c r="BB329" i="12" s="1"/>
  <c r="BA361" i="12"/>
  <c r="BB361" i="12" s="1"/>
  <c r="BA298" i="12"/>
  <c r="BB298" i="12" s="1"/>
  <c r="BA228" i="12"/>
  <c r="BA331" i="12"/>
  <c r="BB331" i="12" s="1"/>
  <c r="BA350" i="12"/>
  <c r="BB350" i="12" s="1"/>
  <c r="BA301" i="12"/>
  <c r="BB301" i="12" s="1"/>
  <c r="BA364" i="12"/>
  <c r="BB364" i="12" s="1"/>
  <c r="BA345" i="12"/>
  <c r="BB345" i="12" s="1"/>
  <c r="BA277" i="12"/>
  <c r="BB277" i="12" s="1"/>
  <c r="BA206" i="12"/>
  <c r="BA213" i="12"/>
  <c r="BA260" i="12"/>
  <c r="BB260" i="12" s="1"/>
  <c r="BA212" i="12"/>
  <c r="BA362" i="12"/>
  <c r="BB362" i="12" s="1"/>
  <c r="BA284" i="12"/>
  <c r="BB284" i="12" s="1"/>
  <c r="BA296" i="12"/>
  <c r="BB296" i="12" s="1"/>
  <c r="BA322" i="12"/>
  <c r="BB322" i="12" s="1"/>
  <c r="BA244" i="12"/>
  <c r="BB244" i="12" s="1"/>
  <c r="BA272" i="12"/>
  <c r="BB272" i="12" s="1"/>
  <c r="BA268" i="12"/>
  <c r="BB268" i="12" s="1"/>
  <c r="BA326" i="12"/>
  <c r="BB326" i="12" s="1"/>
  <c r="BA303" i="12"/>
  <c r="BB303" i="12" s="1"/>
  <c r="BA310" i="12"/>
  <c r="BB310" i="12" s="1"/>
  <c r="BA232" i="12"/>
  <c r="BA336" i="12"/>
  <c r="BB336" i="12" s="1"/>
  <c r="BA285" i="12"/>
  <c r="BB285" i="12" s="1"/>
  <c r="BA294" i="12"/>
  <c r="BB294" i="12" s="1"/>
  <c r="BA219" i="12"/>
  <c r="BA205" i="12"/>
  <c r="BA231" i="12"/>
  <c r="BA314" i="12"/>
  <c r="BB314" i="12" s="1"/>
  <c r="BA315" i="12"/>
  <c r="BB315" i="12" s="1"/>
  <c r="BA278" i="12"/>
  <c r="BB278" i="12" s="1"/>
  <c r="BA223" i="12"/>
  <c r="BA319" i="12"/>
  <c r="BB319" i="12" s="1"/>
  <c r="BA309" i="12"/>
  <c r="BB309" i="12" s="1"/>
  <c r="BA202" i="12"/>
  <c r="BA330" i="12"/>
  <c r="BB330" i="12" s="1"/>
  <c r="BA297" i="12"/>
  <c r="BB297" i="12" s="1"/>
  <c r="BA365" i="12"/>
  <c r="BB365" i="12" s="1"/>
  <c r="BA263" i="12"/>
  <c r="BB263" i="12" s="1"/>
  <c r="BA356" i="12"/>
  <c r="BB356" i="12" s="1"/>
  <c r="BA305" i="12"/>
  <c r="BB305" i="12" s="1"/>
  <c r="BA289" i="12"/>
  <c r="BB289" i="12" s="1"/>
  <c r="BA342" i="12"/>
  <c r="BB342" i="12" s="1"/>
  <c r="BA295" i="12"/>
  <c r="BB295" i="12" s="1"/>
  <c r="BA237" i="12"/>
  <c r="BA337" i="12"/>
  <c r="BB337" i="12" s="1"/>
  <c r="BA266" i="12"/>
  <c r="BB266" i="12" s="1"/>
  <c r="BA307" i="12"/>
  <c r="BB307" i="12" s="1"/>
  <c r="BA363" i="12"/>
  <c r="BB363" i="12" s="1"/>
  <c r="BA238" i="12"/>
  <c r="BB238" i="12" s="1"/>
  <c r="BA230" i="12"/>
  <c r="BA353" i="12"/>
  <c r="BB353" i="12" s="1"/>
  <c r="BA320" i="12"/>
  <c r="BB320" i="12" s="1"/>
  <c r="BA343" i="12"/>
  <c r="BB343" i="12" s="1"/>
  <c r="BA270" i="12"/>
  <c r="BB270" i="12" s="1"/>
  <c r="BA245" i="12"/>
  <c r="BB245" i="12" s="1"/>
  <c r="BA257" i="12"/>
  <c r="BB257" i="12" s="1"/>
  <c r="BA208" i="12"/>
  <c r="BA358" i="12"/>
  <c r="BB358" i="12" s="1"/>
  <c r="BA234" i="12"/>
  <c r="BA251" i="12"/>
  <c r="BB251" i="12" s="1"/>
  <c r="BA368" i="12"/>
  <c r="BA224" i="12"/>
  <c r="BA367" i="12"/>
  <c r="BA321" i="12"/>
  <c r="BB321" i="12" s="1"/>
  <c r="BA354" i="12"/>
  <c r="BB354" i="12" s="1"/>
  <c r="BA283" i="12"/>
  <c r="BB283" i="12" s="1"/>
  <c r="BA253" i="12"/>
  <c r="BB253" i="12" s="1"/>
  <c r="BA256" i="12"/>
  <c r="BB256" i="12" s="1"/>
  <c r="BA351" i="12"/>
  <c r="BB351" i="12" s="1"/>
  <c r="BA225" i="12"/>
  <c r="BA221" i="12"/>
  <c r="BA248" i="12"/>
  <c r="BB248" i="12" s="1"/>
  <c r="BA308" i="12"/>
  <c r="BB308" i="12" s="1"/>
  <c r="BA269" i="12"/>
  <c r="BB269" i="12" s="1"/>
  <c r="BA243" i="12"/>
  <c r="BB243" i="12" s="1"/>
  <c r="BA217" i="12"/>
  <c r="BA290" i="12"/>
  <c r="BB290" i="12" s="1"/>
  <c r="BA340" i="12"/>
  <c r="BB340" i="12" s="1"/>
  <c r="BA203" i="12"/>
  <c r="BA312" i="12"/>
  <c r="BB312" i="12" s="1"/>
  <c r="BA222" i="12"/>
  <c r="BA275" i="12"/>
  <c r="BB275" i="12" s="1"/>
  <c r="BA209" i="12"/>
  <c r="BA288" i="12"/>
  <c r="BB288" i="12" s="1"/>
  <c r="BA276" i="12"/>
  <c r="BB276" i="12" s="1"/>
  <c r="BA341" i="12"/>
  <c r="BB341" i="12" s="1"/>
  <c r="BA327" i="12"/>
  <c r="BB327" i="12" s="1"/>
  <c r="BA258" i="12"/>
  <c r="BB258" i="12" s="1"/>
  <c r="BA318" i="12"/>
  <c r="BB318" i="12" s="1"/>
  <c r="BA233" i="12"/>
  <c r="BA227" i="12"/>
  <c r="BA261" i="12"/>
  <c r="BB261" i="12" s="1"/>
  <c r="BA313" i="12"/>
  <c r="BB313" i="12" s="1"/>
  <c r="BA338" i="12"/>
  <c r="BB338" i="12" s="1"/>
  <c r="BA299" i="12"/>
  <c r="BB299" i="12" s="1"/>
  <c r="BA300" i="12"/>
  <c r="BB300" i="12" s="1"/>
  <c r="BA259" i="12"/>
  <c r="BB259" i="12" s="1"/>
  <c r="BA255" i="12"/>
  <c r="BB255" i="12" s="1"/>
  <c r="BA323" i="12"/>
  <c r="BB323" i="12" s="1"/>
  <c r="BA267" i="12"/>
  <c r="BB267" i="12" s="1"/>
  <c r="BA273" i="12"/>
  <c r="BB273" i="12" s="1"/>
  <c r="BA279" i="12"/>
  <c r="BB279" i="12" s="1"/>
  <c r="BA226" i="12"/>
  <c r="BA246" i="12"/>
  <c r="BB246" i="12" s="1"/>
  <c r="BA355" i="12"/>
  <c r="BB355" i="12" s="1"/>
  <c r="BA347" i="12"/>
  <c r="BB347" i="12" s="1"/>
  <c r="BA317" i="12"/>
  <c r="BB317" i="12" s="1"/>
  <c r="BA271" i="12"/>
  <c r="BB271" i="12" s="1"/>
  <c r="BA287" i="12"/>
  <c r="BB287" i="12" s="1"/>
  <c r="BA324" i="12"/>
  <c r="BB324" i="12" s="1"/>
  <c r="BA252" i="12"/>
  <c r="BB252" i="12" s="1"/>
  <c r="BA286" i="12"/>
  <c r="BB286" i="12" s="1"/>
  <c r="BA262" i="12"/>
  <c r="BB262" i="12" s="1"/>
  <c r="BA325" i="12"/>
  <c r="BB325" i="12" s="1"/>
  <c r="BA306" i="12"/>
  <c r="BB306" i="12" s="1"/>
  <c r="BA339" i="12"/>
  <c r="BB339" i="12" s="1"/>
  <c r="BA250" i="12"/>
  <c r="BB250" i="12" s="1"/>
  <c r="BA348" i="12"/>
  <c r="BB348" i="12" s="1"/>
  <c r="BA282" i="12"/>
  <c r="BB282" i="12" s="1"/>
  <c r="BA210" i="12"/>
  <c r="BA352" i="12"/>
  <c r="BB352" i="12" s="1"/>
  <c r="BA360" i="12"/>
  <c r="BB360" i="12" s="1"/>
  <c r="BA201" i="12"/>
  <c r="BA302" i="12"/>
  <c r="BB302" i="12" s="1"/>
  <c r="BA346" i="12"/>
  <c r="BB346" i="12" s="1"/>
  <c r="BA349" i="12"/>
  <c r="BB349" i="12" s="1"/>
  <c r="BA254" i="12"/>
  <c r="BB254" i="12" s="1"/>
  <c r="BA274" i="12"/>
  <c r="BB274" i="12" s="1"/>
  <c r="BA334" i="12"/>
  <c r="BB334" i="12" s="1"/>
  <c r="DN110" i="12" l="1"/>
  <c r="DN111" i="12" s="1"/>
  <c r="DN112" i="12" s="1"/>
  <c r="DN113" i="12" s="1"/>
  <c r="DN114" i="12" s="1"/>
  <c r="DN115" i="12" s="1"/>
  <c r="DN116" i="12" s="1"/>
  <c r="DN117" i="12" s="1"/>
  <c r="DN118" i="12" s="1"/>
  <c r="DN119" i="12" s="1"/>
  <c r="DN120" i="12" s="1"/>
  <c r="DN121" i="12" s="1"/>
  <c r="DN122" i="12" s="1"/>
  <c r="DN123" i="12" s="1"/>
  <c r="DN124" i="12" s="1"/>
  <c r="DN125" i="12" s="1"/>
  <c r="DN126" i="12" s="1"/>
  <c r="DN127" i="12" s="1"/>
  <c r="DN128" i="12" s="1"/>
  <c r="DN129" i="12" s="1"/>
  <c r="DN130" i="12" s="1"/>
  <c r="DN131" i="12" s="1"/>
  <c r="DN132" i="12" s="1"/>
  <c r="DN133" i="12" s="1"/>
  <c r="DW110" i="12"/>
  <c r="AZ271" i="12"/>
  <c r="DY271" i="12"/>
  <c r="AZ300" i="12"/>
  <c r="DY300" i="12"/>
  <c r="AZ261" i="12"/>
  <c r="DY261" i="12"/>
  <c r="AZ312" i="12"/>
  <c r="DY312" i="12"/>
  <c r="AZ256" i="12"/>
  <c r="DY256" i="12"/>
  <c r="AZ257" i="12"/>
  <c r="DY257" i="12"/>
  <c r="AZ294" i="12"/>
  <c r="DY294" i="12"/>
  <c r="AZ284" i="12"/>
  <c r="DY284" i="12"/>
  <c r="AZ332" i="12"/>
  <c r="DY332" i="12"/>
  <c r="AZ335" i="12"/>
  <c r="DY335" i="12"/>
  <c r="AZ334" i="12"/>
  <c r="DY334" i="12"/>
  <c r="AZ346" i="12"/>
  <c r="DY346" i="12"/>
  <c r="AZ352" i="12"/>
  <c r="DY352" i="12"/>
  <c r="AZ250" i="12"/>
  <c r="DY250" i="12"/>
  <c r="AZ262" i="12"/>
  <c r="DY262" i="12"/>
  <c r="AZ287" i="12"/>
  <c r="DY287" i="12"/>
  <c r="AZ355" i="12"/>
  <c r="DY355" i="12"/>
  <c r="AZ273" i="12"/>
  <c r="DY273" i="12"/>
  <c r="AZ259" i="12"/>
  <c r="DY259" i="12"/>
  <c r="AZ313" i="12"/>
  <c r="DY313" i="12"/>
  <c r="AZ318" i="12"/>
  <c r="DY318" i="12"/>
  <c r="AZ276" i="12"/>
  <c r="DY276" i="12"/>
  <c r="AZ290" i="12"/>
  <c r="DY290" i="12"/>
  <c r="AZ308" i="12"/>
  <c r="DY308" i="12"/>
  <c r="AZ351" i="12"/>
  <c r="DY351" i="12"/>
  <c r="AZ354" i="12"/>
  <c r="DY354" i="12"/>
  <c r="AZ343" i="12"/>
  <c r="DY343" i="12"/>
  <c r="AZ238" i="12"/>
  <c r="DY238" i="12"/>
  <c r="AZ337" i="12"/>
  <c r="DY337" i="12"/>
  <c r="AZ289" i="12"/>
  <c r="DY289" i="12"/>
  <c r="AZ365" i="12"/>
  <c r="DY365" i="12"/>
  <c r="AZ309" i="12"/>
  <c r="DY309" i="12"/>
  <c r="AZ315" i="12"/>
  <c r="DY315" i="12"/>
  <c r="AZ268" i="12"/>
  <c r="DY268" i="12"/>
  <c r="AZ296" i="12"/>
  <c r="DY296" i="12"/>
  <c r="AZ260" i="12"/>
  <c r="DY260" i="12"/>
  <c r="AZ345" i="12"/>
  <c r="DY345" i="12"/>
  <c r="AZ331" i="12"/>
  <c r="DY331" i="12"/>
  <c r="AZ329" i="12"/>
  <c r="DY329" i="12"/>
  <c r="AZ240" i="12"/>
  <c r="DY240" i="12"/>
  <c r="AZ239" i="12"/>
  <c r="DY239" i="12"/>
  <c r="AZ280" i="12"/>
  <c r="DY280" i="12"/>
  <c r="AZ333" i="12"/>
  <c r="DY333" i="12"/>
  <c r="AZ292" i="12"/>
  <c r="DY292" i="12"/>
  <c r="AZ302" i="12"/>
  <c r="DY302" i="12"/>
  <c r="AZ286" i="12"/>
  <c r="DY286" i="12"/>
  <c r="AZ246" i="12"/>
  <c r="DY246" i="12"/>
  <c r="AZ258" i="12"/>
  <c r="DY258" i="12"/>
  <c r="AZ321" i="12"/>
  <c r="DY321" i="12"/>
  <c r="AZ320" i="12"/>
  <c r="DY320" i="12"/>
  <c r="AZ305" i="12"/>
  <c r="DY305" i="12"/>
  <c r="AZ314" i="12"/>
  <c r="DY314" i="12"/>
  <c r="AZ272" i="12"/>
  <c r="DY272" i="12"/>
  <c r="AZ364" i="12"/>
  <c r="DY364" i="12"/>
  <c r="AZ366" i="12"/>
  <c r="DY366" i="12"/>
  <c r="AZ348" i="12"/>
  <c r="DY348" i="12"/>
  <c r="AZ279" i="12"/>
  <c r="DY279" i="12"/>
  <c r="AZ341" i="12"/>
  <c r="DY341" i="12"/>
  <c r="AZ275" i="12"/>
  <c r="DY275" i="12"/>
  <c r="AZ340" i="12"/>
  <c r="DY340" i="12"/>
  <c r="AZ269" i="12"/>
  <c r="DY269" i="12"/>
  <c r="AZ283" i="12"/>
  <c r="DY283" i="12"/>
  <c r="AZ358" i="12"/>
  <c r="DY358" i="12"/>
  <c r="AZ270" i="12"/>
  <c r="DY270" i="12"/>
  <c r="AZ266" i="12"/>
  <c r="DY266" i="12"/>
  <c r="AZ342" i="12"/>
  <c r="DY342" i="12"/>
  <c r="AZ263" i="12"/>
  <c r="DY263" i="12"/>
  <c r="AZ278" i="12"/>
  <c r="DY278" i="12"/>
  <c r="AZ336" i="12"/>
  <c r="DY336" i="12"/>
  <c r="AZ326" i="12"/>
  <c r="DY326" i="12"/>
  <c r="AZ322" i="12"/>
  <c r="DY322" i="12"/>
  <c r="AZ277" i="12"/>
  <c r="DY277" i="12"/>
  <c r="AZ350" i="12"/>
  <c r="DY350" i="12"/>
  <c r="AZ361" i="12"/>
  <c r="DY361" i="12"/>
  <c r="AZ359" i="12"/>
  <c r="DY359" i="12"/>
  <c r="AZ265" i="12"/>
  <c r="DY265" i="12"/>
  <c r="AZ281" i="12"/>
  <c r="DY281" i="12"/>
  <c r="AZ264" i="12"/>
  <c r="DY264" i="12"/>
  <c r="AZ311" i="12"/>
  <c r="DY311" i="12"/>
  <c r="AZ274" i="12"/>
  <c r="DY274" i="12"/>
  <c r="AZ339" i="12"/>
  <c r="DY339" i="12"/>
  <c r="AZ267" i="12"/>
  <c r="DY267" i="12"/>
  <c r="AZ288" i="12"/>
  <c r="DY288" i="12"/>
  <c r="AZ248" i="12"/>
  <c r="DY248" i="12"/>
  <c r="AZ251" i="12"/>
  <c r="DY251" i="12"/>
  <c r="AZ363" i="12"/>
  <c r="DY363" i="12"/>
  <c r="AZ297" i="12"/>
  <c r="DY297" i="12"/>
  <c r="AZ319" i="12"/>
  <c r="DY319" i="12"/>
  <c r="AZ310" i="12"/>
  <c r="DY310" i="12"/>
  <c r="AZ316" i="12"/>
  <c r="DY316" i="12"/>
  <c r="AZ249" i="12"/>
  <c r="DY249" i="12"/>
  <c r="AZ349" i="12"/>
  <c r="DY349" i="12"/>
  <c r="AZ360" i="12"/>
  <c r="DY360" i="12"/>
  <c r="AZ325" i="12"/>
  <c r="DY325" i="12"/>
  <c r="AZ324" i="12"/>
  <c r="DY324" i="12"/>
  <c r="AZ347" i="12"/>
  <c r="DY347" i="12"/>
  <c r="AZ255" i="12"/>
  <c r="DY255" i="12"/>
  <c r="AZ338" i="12"/>
  <c r="DY338" i="12"/>
  <c r="AZ254" i="12"/>
  <c r="DY254" i="12"/>
  <c r="AZ282" i="12"/>
  <c r="DY282" i="12"/>
  <c r="AZ306" i="12"/>
  <c r="DY306" i="12"/>
  <c r="AZ252" i="12"/>
  <c r="DY252" i="12"/>
  <c r="AZ317" i="12"/>
  <c r="DY317" i="12"/>
  <c r="AZ323" i="12"/>
  <c r="DY323" i="12"/>
  <c r="AZ299" i="12"/>
  <c r="DY299" i="12"/>
  <c r="AZ327" i="12"/>
  <c r="DY327" i="12"/>
  <c r="AZ243" i="12"/>
  <c r="DY243" i="12"/>
  <c r="AZ253" i="12"/>
  <c r="DY253" i="12"/>
  <c r="AZ245" i="12"/>
  <c r="DY245" i="12"/>
  <c r="AZ353" i="12"/>
  <c r="DY353" i="12"/>
  <c r="AZ307" i="12"/>
  <c r="DY307" i="12"/>
  <c r="AZ295" i="12"/>
  <c r="DY295" i="12"/>
  <c r="AZ356" i="12"/>
  <c r="DY356" i="12"/>
  <c r="AZ330" i="12"/>
  <c r="DY330" i="12"/>
  <c r="AZ285" i="12"/>
  <c r="DY285" i="12"/>
  <c r="AZ303" i="12"/>
  <c r="DY303" i="12"/>
  <c r="AZ244" i="12"/>
  <c r="DY244" i="12"/>
  <c r="AZ362" i="12"/>
  <c r="DY362" i="12"/>
  <c r="AZ301" i="12"/>
  <c r="DY301" i="12"/>
  <c r="AZ298" i="12"/>
  <c r="DY298" i="12"/>
  <c r="AZ293" i="12"/>
  <c r="DY293" i="12"/>
  <c r="AZ291" i="12"/>
  <c r="DY291" i="12"/>
  <c r="AZ304" i="12"/>
  <c r="DY304" i="12"/>
  <c r="AZ241" i="12"/>
  <c r="DY241" i="12"/>
  <c r="AZ357" i="12"/>
  <c r="DY357" i="12"/>
  <c r="AZ247" i="12"/>
  <c r="DY247" i="12"/>
  <c r="AZ344" i="12"/>
  <c r="DY344" i="12"/>
  <c r="AZ328" i="12"/>
  <c r="DY328" i="12"/>
  <c r="CT100" i="12"/>
  <c r="CT101" i="12"/>
  <c r="CT103" i="12"/>
  <c r="CT102" i="12"/>
  <c r="CT105" i="12"/>
  <c r="CT104" i="12"/>
  <c r="BE197" i="12"/>
  <c r="BE282" i="12"/>
  <c r="BD306" i="12"/>
  <c r="BD287" i="12"/>
  <c r="BE347" i="12"/>
  <c r="BE323" i="12"/>
  <c r="BE299" i="12"/>
  <c r="BD198" i="12"/>
  <c r="BE288" i="12"/>
  <c r="BE312" i="12"/>
  <c r="BD290" i="12"/>
  <c r="BE283" i="12"/>
  <c r="BE251" i="12"/>
  <c r="BE208" i="12"/>
  <c r="BE353" i="12"/>
  <c r="BD307" i="12"/>
  <c r="BE289" i="12"/>
  <c r="BE365" i="12"/>
  <c r="BD315" i="12"/>
  <c r="BE232" i="12"/>
  <c r="BE326" i="12"/>
  <c r="BE362" i="12"/>
  <c r="BE206" i="12"/>
  <c r="BE240" i="12"/>
  <c r="BE239" i="12"/>
  <c r="BE183" i="12"/>
  <c r="BE241" i="12"/>
  <c r="BD333" i="12"/>
  <c r="BD174" i="12"/>
  <c r="BE199" i="12"/>
  <c r="BE292" i="12"/>
  <c r="BE334" i="12"/>
  <c r="BD349" i="12"/>
  <c r="BD201" i="12"/>
  <c r="BD185" i="12"/>
  <c r="BE339" i="12"/>
  <c r="BE262" i="12"/>
  <c r="BE184" i="12"/>
  <c r="BE317" i="12"/>
  <c r="BE267" i="12"/>
  <c r="BE300" i="12"/>
  <c r="BD182" i="12"/>
  <c r="BE227" i="12"/>
  <c r="BE258" i="12"/>
  <c r="BD222" i="12"/>
  <c r="BD340" i="12"/>
  <c r="BE269" i="12"/>
  <c r="BE221" i="12"/>
  <c r="BE253" i="12"/>
  <c r="BD368" i="12"/>
  <c r="BE358" i="12"/>
  <c r="BD173" i="12"/>
  <c r="BE363" i="12"/>
  <c r="BE179" i="12"/>
  <c r="BE263" i="12"/>
  <c r="BE202" i="12"/>
  <c r="BE278" i="12"/>
  <c r="BE205" i="12"/>
  <c r="BE336" i="12"/>
  <c r="BD303" i="12"/>
  <c r="BE244" i="12"/>
  <c r="BE175" i="12"/>
  <c r="BE213" i="12"/>
  <c r="BE345" i="12"/>
  <c r="BE331" i="12"/>
  <c r="BD329" i="12"/>
  <c r="BE172" i="12"/>
  <c r="BE359" i="12"/>
  <c r="BD291" i="12"/>
  <c r="BE180" i="12"/>
  <c r="BE181" i="12"/>
  <c r="BE264" i="12"/>
  <c r="BD229" i="12"/>
  <c r="BE311" i="12"/>
  <c r="BD254" i="12"/>
  <c r="BD302" i="12"/>
  <c r="BE210" i="12"/>
  <c r="BD325" i="12"/>
  <c r="BE324" i="12"/>
  <c r="BE246" i="12"/>
  <c r="BE273" i="12"/>
  <c r="BD259" i="12"/>
  <c r="BE338" i="12"/>
  <c r="BE261" i="12"/>
  <c r="BE318" i="12"/>
  <c r="BE276" i="12"/>
  <c r="BE275" i="12"/>
  <c r="BE203" i="12"/>
  <c r="BE243" i="12"/>
  <c r="BE248" i="12"/>
  <c r="BE256" i="12"/>
  <c r="BD171" i="12"/>
  <c r="BE234" i="12"/>
  <c r="BE245" i="12"/>
  <c r="BE320" i="12"/>
  <c r="BE238" i="12"/>
  <c r="BE337" i="12"/>
  <c r="BE342" i="12"/>
  <c r="BE356" i="12"/>
  <c r="BD330" i="12"/>
  <c r="BE223" i="12"/>
  <c r="BE231" i="12"/>
  <c r="BE285" i="12"/>
  <c r="BE272" i="12"/>
  <c r="BE284" i="12"/>
  <c r="BE260" i="12"/>
  <c r="BE277" i="12"/>
  <c r="BE204" i="12"/>
  <c r="BD195" i="12"/>
  <c r="BE249" i="12"/>
  <c r="BD215" i="12"/>
  <c r="BE220" i="12"/>
  <c r="BE211" i="12"/>
  <c r="BE247" i="12"/>
  <c r="BE187" i="12"/>
  <c r="BE344" i="12"/>
  <c r="BE360" i="12"/>
  <c r="BE286" i="12"/>
  <c r="BD177" i="12"/>
  <c r="BD313" i="12"/>
  <c r="BE327" i="12"/>
  <c r="BE200" i="12"/>
  <c r="BE270" i="12"/>
  <c r="BD237" i="12"/>
  <c r="BE309" i="12"/>
  <c r="BD219" i="12"/>
  <c r="BE322" i="12"/>
  <c r="BE364" i="12"/>
  <c r="BE316" i="12"/>
  <c r="BE236" i="12"/>
  <c r="BE214" i="12"/>
  <c r="BD193" i="12"/>
  <c r="BE352" i="12"/>
  <c r="BE348" i="12"/>
  <c r="BE191" i="12"/>
  <c r="BE252" i="12"/>
  <c r="BD271" i="12"/>
  <c r="BE355" i="12"/>
  <c r="BD279" i="12"/>
  <c r="BE255" i="12"/>
  <c r="BE170" i="12"/>
  <c r="BE233" i="12"/>
  <c r="BE209" i="12"/>
  <c r="BE178" i="12"/>
  <c r="BD217" i="12"/>
  <c r="BE308" i="12"/>
  <c r="BE351" i="12"/>
  <c r="BD354" i="12"/>
  <c r="BD194" i="12"/>
  <c r="BD190" i="12"/>
  <c r="BE257" i="12"/>
  <c r="BE343" i="12"/>
  <c r="BE230" i="12"/>
  <c r="BE266" i="12"/>
  <c r="BE295" i="12"/>
  <c r="BD305" i="12"/>
  <c r="BE297" i="12"/>
  <c r="BE319" i="12"/>
  <c r="BD314" i="12"/>
  <c r="BE294" i="12"/>
  <c r="BD176" i="12"/>
  <c r="BD268" i="12"/>
  <c r="BE296" i="12"/>
  <c r="BE212" i="12"/>
  <c r="BD189" i="12"/>
  <c r="BE301" i="12"/>
  <c r="BE298" i="12"/>
  <c r="BD218" i="12"/>
  <c r="BE332" i="12"/>
  <c r="BE366" i="12"/>
  <c r="BE280" i="12"/>
  <c r="BD265" i="12"/>
  <c r="BE281" i="12"/>
  <c r="BD357" i="12"/>
  <c r="BE235" i="12"/>
  <c r="BD207" i="12"/>
  <c r="BE188" i="12"/>
  <c r="BE335" i="12"/>
  <c r="CT36" i="12"/>
  <c r="ES270" i="12"/>
  <c r="BD223" i="12"/>
  <c r="BD277" i="12"/>
  <c r="BD301" i="12"/>
  <c r="BD359" i="12"/>
  <c r="BE315" i="12"/>
  <c r="BD212" i="12"/>
  <c r="BE357" i="12"/>
  <c r="BD335" i="12"/>
  <c r="BD240" i="12"/>
  <c r="BE265" i="12"/>
  <c r="BD295" i="12"/>
  <c r="BE229" i="12"/>
  <c r="BD362" i="12"/>
  <c r="BD264" i="12"/>
  <c r="BD213" i="12"/>
  <c r="BD366" i="12"/>
  <c r="BD181" i="12"/>
  <c r="BD363" i="12"/>
  <c r="BD336" i="12"/>
  <c r="BD334" i="12"/>
  <c r="BD204" i="12"/>
  <c r="BE224" i="12"/>
  <c r="BD338" i="12"/>
  <c r="BD358" i="12"/>
  <c r="BD296" i="12"/>
  <c r="BD184" i="12"/>
  <c r="BD187" i="12"/>
  <c r="BE171" i="12"/>
  <c r="BD252" i="12"/>
  <c r="BD260" i="12"/>
  <c r="BD312" i="12"/>
  <c r="BD272" i="12"/>
  <c r="BD344" i="12"/>
  <c r="BD292" i="12"/>
  <c r="BD316" i="12"/>
  <c r="BD285" i="12"/>
  <c r="BE195" i="12"/>
  <c r="BD241" i="12"/>
  <c r="BD280" i="12"/>
  <c r="BD247" i="12"/>
  <c r="BD199" i="12"/>
  <c r="BD297" i="12"/>
  <c r="BD221" i="12"/>
  <c r="BD337" i="12"/>
  <c r="BD319" i="12"/>
  <c r="BE237" i="12"/>
  <c r="BD356" i="12"/>
  <c r="BE176" i="12"/>
  <c r="BD205" i="12"/>
  <c r="BD226" i="12"/>
  <c r="BD250" i="12"/>
  <c r="BE198" i="12"/>
  <c r="BE314" i="12"/>
  <c r="BD255" i="12"/>
  <c r="BD263" i="12"/>
  <c r="BD202" i="12"/>
  <c r="BD238" i="12"/>
  <c r="BE291" i="12"/>
  <c r="BD220" i="12"/>
  <c r="BE250" i="12"/>
  <c r="BE333" i="12"/>
  <c r="BD278" i="12"/>
  <c r="BD322" i="12"/>
  <c r="BE201" i="12"/>
  <c r="BD203" i="12"/>
  <c r="BE321" i="12"/>
  <c r="BD321" i="12"/>
  <c r="BD270" i="12"/>
  <c r="BE367" i="12"/>
  <c r="BD273" i="12"/>
  <c r="BE290" i="12"/>
  <c r="BD245" i="12"/>
  <c r="BD224" i="12"/>
  <c r="BE254" i="12"/>
  <c r="BE174" i="12"/>
  <c r="BD275" i="12"/>
  <c r="BE328" i="12"/>
  <c r="BE226" i="12"/>
  <c r="BB226" i="12" s="1"/>
  <c r="BD328" i="12"/>
  <c r="BD283" i="12"/>
  <c r="BD361" i="12"/>
  <c r="BE361" i="12"/>
  <c r="BE350" i="12"/>
  <c r="BE303" i="12"/>
  <c r="BD294" i="12"/>
  <c r="BD235" i="12"/>
  <c r="BD289" i="12"/>
  <c r="BE215" i="12"/>
  <c r="BD239" i="12"/>
  <c r="BE325" i="12"/>
  <c r="BD276" i="12"/>
  <c r="BD249" i="12"/>
  <c r="BD209" i="12"/>
  <c r="BE207" i="12"/>
  <c r="BE307" i="12"/>
  <c r="BD256" i="12"/>
  <c r="BD206" i="12"/>
  <c r="BD299" i="12"/>
  <c r="BD350" i="12"/>
  <c r="BE313" i="12"/>
  <c r="BD300" i="12"/>
  <c r="BD253" i="12"/>
  <c r="BD208" i="12"/>
  <c r="BD232" i="12"/>
  <c r="BD311" i="12"/>
  <c r="BD191" i="12"/>
  <c r="BD236" i="12"/>
  <c r="BD304" i="12"/>
  <c r="BD332" i="12"/>
  <c r="BE193" i="12"/>
  <c r="BE190" i="12"/>
  <c r="BD351" i="12"/>
  <c r="BD180" i="12"/>
  <c r="BD210" i="12"/>
  <c r="BD246" i="12"/>
  <c r="BE346" i="12"/>
  <c r="BD367" i="12"/>
  <c r="BD343" i="12"/>
  <c r="BD200" i="12"/>
  <c r="BD365" i="12"/>
  <c r="BE217" i="12"/>
  <c r="BB217" i="12" s="1"/>
  <c r="BE304" i="12"/>
  <c r="BD231" i="12"/>
  <c r="BD347" i="12"/>
  <c r="BD234" i="12"/>
  <c r="BE173" i="12"/>
  <c r="BE192" i="12"/>
  <c r="BE177" i="12"/>
  <c r="BD339" i="12"/>
  <c r="BD170" i="12"/>
  <c r="BD269" i="12"/>
  <c r="BD211" i="12"/>
  <c r="BE354" i="12"/>
  <c r="BD197" i="12"/>
  <c r="BD286" i="12"/>
  <c r="BD227" i="12"/>
  <c r="BD258" i="12"/>
  <c r="BD360" i="12"/>
  <c r="BD267" i="12"/>
  <c r="BD216" i="12"/>
  <c r="BD274" i="12"/>
  <c r="BD261" i="12"/>
  <c r="BD288" i="12"/>
  <c r="BE302" i="12"/>
  <c r="BD298" i="12"/>
  <c r="BD341" i="12"/>
  <c r="BE216" i="12"/>
  <c r="BE340" i="12"/>
  <c r="BD248" i="12"/>
  <c r="BD192" i="12"/>
  <c r="BE368" i="12"/>
  <c r="BE305" i="12"/>
  <c r="BE186" i="12"/>
  <c r="BD251" i="12"/>
  <c r="BE287" i="12"/>
  <c r="BD309" i="12"/>
  <c r="BD352" i="12"/>
  <c r="BE219" i="12"/>
  <c r="BB219" i="12" s="1"/>
  <c r="BD172" i="12"/>
  <c r="BD324" i="12"/>
  <c r="BD183" i="12"/>
  <c r="BE225" i="12"/>
  <c r="BE218" i="12"/>
  <c r="BE182" i="12"/>
  <c r="BE349" i="12"/>
  <c r="BD345" i="12"/>
  <c r="BE310" i="12"/>
  <c r="BD326" i="12"/>
  <c r="BD262" i="12"/>
  <c r="BD281" i="12"/>
  <c r="BD308" i="12"/>
  <c r="BE259" i="12"/>
  <c r="BD323" i="12"/>
  <c r="BD244" i="12"/>
  <c r="BD284" i="12"/>
  <c r="BE189" i="12"/>
  <c r="BD327" i="12"/>
  <c r="BD230" i="12"/>
  <c r="BD266" i="12"/>
  <c r="BD243" i="12"/>
  <c r="BD310" i="12"/>
  <c r="BE222" i="12"/>
  <c r="BD242" i="12"/>
  <c r="BE306" i="12"/>
  <c r="BD318" i="12"/>
  <c r="BD331" i="12"/>
  <c r="BE330" i="12"/>
  <c r="BE268" i="12"/>
  <c r="BE329" i="12"/>
  <c r="BD293" i="12"/>
  <c r="BD188" i="12"/>
  <c r="BD233" i="12"/>
  <c r="BD214" i="12"/>
  <c r="BD346" i="12"/>
  <c r="BD364" i="12"/>
  <c r="BE242" i="12"/>
  <c r="BB242" i="12" s="1"/>
  <c r="BD348" i="12"/>
  <c r="BE341" i="12"/>
  <c r="BD178" i="12"/>
  <c r="BD282" i="12"/>
  <c r="BE185" i="12"/>
  <c r="BD355" i="12"/>
  <c r="BD353" i="12"/>
  <c r="BD320" i="12"/>
  <c r="BE279" i="12"/>
  <c r="BE271" i="12"/>
  <c r="BD342" i="12"/>
  <c r="BD179" i="12"/>
  <c r="BD317" i="12"/>
  <c r="BE293" i="12"/>
  <c r="BD228" i="12"/>
  <c r="BD225" i="12"/>
  <c r="BD257" i="12"/>
  <c r="BE274" i="12"/>
  <c r="BE228" i="12"/>
  <c r="BD175" i="12"/>
  <c r="BE194" i="12"/>
  <c r="BD186" i="12"/>
  <c r="H14" i="12"/>
  <c r="H15" i="12"/>
  <c r="H19" i="12"/>
  <c r="H9" i="12"/>
  <c r="H10" i="12"/>
  <c r="H21" i="12"/>
  <c r="H20" i="12"/>
  <c r="H16" i="12"/>
  <c r="H7" i="12"/>
  <c r="H8" i="12"/>
  <c r="H23" i="12"/>
  <c r="H13" i="12"/>
  <c r="H12" i="12"/>
  <c r="H24" i="12"/>
  <c r="H18" i="12"/>
  <c r="H6" i="12"/>
  <c r="H11" i="12"/>
  <c r="H17" i="12"/>
  <c r="H22" i="12"/>
  <c r="DN136" i="12" l="1"/>
  <c r="DN137" i="12" s="1"/>
  <c r="DN138" i="12" s="1"/>
  <c r="DN139" i="12" s="1"/>
  <c r="DN140" i="12" s="1"/>
  <c r="DN141" i="12" s="1"/>
  <c r="DN142" i="12" s="1"/>
  <c r="DN144" i="12" s="1"/>
  <c r="DN145" i="12" s="1"/>
  <c r="DN146" i="12" s="1"/>
  <c r="DW111" i="12"/>
  <c r="DW112" i="12" s="1"/>
  <c r="DW113" i="12" s="1"/>
  <c r="BB228" i="12"/>
  <c r="AZ228" i="12" s="1"/>
  <c r="BB215" i="12"/>
  <c r="AZ215" i="12" s="1"/>
  <c r="BB229" i="12"/>
  <c r="AZ229" i="12" s="1"/>
  <c r="BB222" i="12"/>
  <c r="AZ222" i="12" s="1"/>
  <c r="BB237" i="12"/>
  <c r="AZ237" i="12" s="1"/>
  <c r="BB218" i="12"/>
  <c r="AZ218" i="12" s="1"/>
  <c r="BB225" i="12"/>
  <c r="AZ225" i="12" s="1"/>
  <c r="BB224" i="12"/>
  <c r="AZ224" i="12" s="1"/>
  <c r="BB233" i="12"/>
  <c r="AZ233" i="12" s="1"/>
  <c r="BB236" i="12"/>
  <c r="AZ236" i="12" s="1"/>
  <c r="BB231" i="12"/>
  <c r="AZ231" i="12" s="1"/>
  <c r="BB216" i="12"/>
  <c r="AZ216" i="12" s="1"/>
  <c r="BB235" i="12"/>
  <c r="AZ235" i="12" s="1"/>
  <c r="BB227" i="12"/>
  <c r="AZ227" i="12" s="1"/>
  <c r="BB220" i="12"/>
  <c r="AZ220" i="12" s="1"/>
  <c r="BB221" i="12"/>
  <c r="AZ221" i="12" s="1"/>
  <c r="BB232" i="12"/>
  <c r="AZ232" i="12" s="1"/>
  <c r="BB230" i="12"/>
  <c r="AZ230" i="12" s="1"/>
  <c r="BB223" i="12"/>
  <c r="AZ223" i="12" s="1"/>
  <c r="BB234" i="12"/>
  <c r="AZ234" i="12" s="1"/>
  <c r="AZ219" i="12"/>
  <c r="AZ226" i="12"/>
  <c r="AZ217" i="12"/>
  <c r="BB214" i="12"/>
  <c r="AZ214" i="12" s="1"/>
  <c r="BB213" i="12"/>
  <c r="AZ213" i="12" s="1"/>
  <c r="BB212" i="12"/>
  <c r="AZ212" i="12" s="1"/>
  <c r="BB211" i="12"/>
  <c r="AZ242" i="12"/>
  <c r="DY242" i="12"/>
  <c r="BB210" i="12"/>
  <c r="BB209" i="12"/>
  <c r="BB367" i="12"/>
  <c r="BB368" i="12"/>
  <c r="BB208" i="12"/>
  <c r="BB207" i="12"/>
  <c r="BB205" i="12"/>
  <c r="BB206" i="12"/>
  <c r="BB204" i="12"/>
  <c r="H25" i="12"/>
  <c r="BB202" i="12"/>
  <c r="BB203" i="12"/>
  <c r="BB201" i="12"/>
  <c r="CT107" i="12"/>
  <c r="BC341" i="12"/>
  <c r="BC310" i="12"/>
  <c r="BC283" i="12"/>
  <c r="BC257" i="12"/>
  <c r="BC333" i="12"/>
  <c r="BC242" i="12"/>
  <c r="BC229" i="12"/>
  <c r="BC346" i="12"/>
  <c r="BC314" i="12"/>
  <c r="BC281" i="12"/>
  <c r="BC236" i="12"/>
  <c r="BC368" i="12"/>
  <c r="BC315" i="12"/>
  <c r="BC248" i="12"/>
  <c r="BC336" i="12"/>
  <c r="BC320" i="12"/>
  <c r="BC278" i="12"/>
  <c r="BC349" i="12"/>
  <c r="BC319" i="12"/>
  <c r="BC280" i="12"/>
  <c r="BC240" i="12"/>
  <c r="BC224" i="12"/>
  <c r="BC345" i="12"/>
  <c r="BC270" i="12"/>
  <c r="BC351" i="12"/>
  <c r="BC309" i="12"/>
  <c r="BC291" i="12"/>
  <c r="BC243" i="12"/>
  <c r="BC216" i="12"/>
  <c r="BC325" i="12"/>
  <c r="BC237" i="12"/>
  <c r="BC215" i="12"/>
  <c r="BC342" i="12"/>
  <c r="BC321" i="12"/>
  <c r="BC350" i="12"/>
  <c r="BC344" i="12"/>
  <c r="BC331" i="12"/>
  <c r="BC316" i="12"/>
  <c r="BC296" i="12"/>
  <c r="BC277" i="12"/>
  <c r="BC239" i="12"/>
  <c r="BC258" i="12"/>
  <c r="BC231" i="12"/>
  <c r="BC324" i="12"/>
  <c r="BC297" i="12"/>
  <c r="BC264" i="12"/>
  <c r="BC230" i="12"/>
  <c r="BC217" i="12"/>
  <c r="BC365" i="12"/>
  <c r="BC340" i="12"/>
  <c r="BC322" i="12"/>
  <c r="BC317" i="12"/>
  <c r="BC299" i="12"/>
  <c r="BC285" i="12"/>
  <c r="BC253" i="12"/>
  <c r="BC238" i="12"/>
  <c r="BC213" i="12"/>
  <c r="BC209" i="12"/>
  <c r="BC218" i="12"/>
  <c r="BC362" i="12"/>
  <c r="BC343" i="12"/>
  <c r="BC318" i="12"/>
  <c r="BC284" i="12"/>
  <c r="BC266" i="12"/>
  <c r="BC203" i="12"/>
  <c r="BC361" i="12"/>
  <c r="BC348" i="12"/>
  <c r="BC334" i="12"/>
  <c r="BC313" i="12"/>
  <c r="BC304" i="12"/>
  <c r="BC286" i="12"/>
  <c r="BC271" i="12"/>
  <c r="BC267" i="12"/>
  <c r="BC245" i="12"/>
  <c r="BC228" i="12"/>
  <c r="BC220" i="12"/>
  <c r="BC367" i="12"/>
  <c r="BC330" i="12"/>
  <c r="BC287" i="12"/>
  <c r="BC261" i="12"/>
  <c r="BC212" i="12"/>
  <c r="BC219" i="12"/>
  <c r="BC300" i="12"/>
  <c r="BC234" i="12"/>
  <c r="BC360" i="12"/>
  <c r="BC332" i="12"/>
  <c r="BC302" i="12"/>
  <c r="BC247" i="12"/>
  <c r="BC246" i="12"/>
  <c r="BC352" i="12"/>
  <c r="BC290" i="12"/>
  <c r="BC214" i="12"/>
  <c r="BC356" i="12"/>
  <c r="BC327" i="12"/>
  <c r="BC295" i="12"/>
  <c r="BC260" i="12"/>
  <c r="BC252" i="12"/>
  <c r="BC227" i="12"/>
  <c r="BC208" i="12"/>
  <c r="BC366" i="12"/>
  <c r="BC329" i="12"/>
  <c r="BC292" i="12"/>
  <c r="BC265" i="12"/>
  <c r="BC262" i="12"/>
  <c r="BC211" i="12"/>
  <c r="BC308" i="12"/>
  <c r="BC256" i="12"/>
  <c r="BC363" i="12"/>
  <c r="BC338" i="12"/>
  <c r="BC301" i="12"/>
  <c r="BC273" i="12"/>
  <c r="BC235" i="12"/>
  <c r="BC210" i="12"/>
  <c r="BC353" i="12"/>
  <c r="BC289" i="12"/>
  <c r="BC233" i="12"/>
  <c r="BC364" i="12"/>
  <c r="BC323" i="12"/>
  <c r="BC294" i="12"/>
  <c r="BC276" i="12"/>
  <c r="BC255" i="12"/>
  <c r="BC251" i="12"/>
  <c r="BC205" i="12"/>
  <c r="BC207" i="12"/>
  <c r="BC357" i="12"/>
  <c r="BC355" i="12"/>
  <c r="BC335" i="12"/>
  <c r="BC312" i="12"/>
  <c r="BC303" i="12"/>
  <c r="BC288" i="12"/>
  <c r="BC272" i="12"/>
  <c r="BC259" i="12"/>
  <c r="BC263" i="12"/>
  <c r="BC204" i="12"/>
  <c r="BC201" i="12"/>
  <c r="BC306" i="12"/>
  <c r="BC279" i="12"/>
  <c r="BC249" i="12"/>
  <c r="BC206" i="12"/>
  <c r="BC347" i="12"/>
  <c r="BC339" i="12"/>
  <c r="BC328" i="12"/>
  <c r="BC311" i="12"/>
  <c r="BC298" i="12"/>
  <c r="BC274" i="12"/>
  <c r="BC241" i="12"/>
  <c r="BC269" i="12"/>
  <c r="BC221" i="12"/>
  <c r="BC232" i="12"/>
  <c r="BC222" i="12"/>
  <c r="BC358" i="12"/>
  <c r="BC337" i="12"/>
  <c r="BC305" i="12"/>
  <c r="BC275" i="12"/>
  <c r="BC254" i="12"/>
  <c r="BC226" i="12"/>
  <c r="BC359" i="12"/>
  <c r="BC354" i="12"/>
  <c r="BC326" i="12"/>
  <c r="BC307" i="12"/>
  <c r="BC293" i="12"/>
  <c r="BC282" i="12"/>
  <c r="BC244" i="12"/>
  <c r="BC268" i="12"/>
  <c r="BC250" i="12"/>
  <c r="BC225" i="12"/>
  <c r="BC223" i="12"/>
  <c r="M6" i="12"/>
  <c r="DN148" i="12" l="1"/>
  <c r="DN149" i="12" s="1"/>
  <c r="DN150" i="12" s="1"/>
  <c r="DN151" i="12" s="1"/>
  <c r="DN152" i="12" s="1"/>
  <c r="DW114" i="12"/>
  <c r="DW115" i="12" s="1"/>
  <c r="DW116" i="12" s="1"/>
  <c r="AZ211" i="12"/>
  <c r="AZ203" i="12"/>
  <c r="AZ207" i="12"/>
  <c r="AZ201" i="12"/>
  <c r="AZ205" i="12"/>
  <c r="AZ367" i="12"/>
  <c r="DY367" i="12"/>
  <c r="AZ210" i="12"/>
  <c r="AZ202" i="12"/>
  <c r="AZ204" i="12"/>
  <c r="AZ208" i="12"/>
  <c r="AZ206" i="12"/>
  <c r="AZ368" i="12"/>
  <c r="DY368" i="12"/>
  <c r="AZ209" i="12"/>
  <c r="H26" i="12"/>
  <c r="Q6" i="12"/>
  <c r="D12" i="1"/>
  <c r="N6" i="12"/>
  <c r="DW117" i="12" l="1"/>
  <c r="DW118" i="12" s="1"/>
  <c r="DW119" i="12" s="1"/>
  <c r="DW120" i="12" s="1"/>
  <c r="H27" i="12"/>
  <c r="AJ4" i="12"/>
  <c r="AB4" i="12"/>
  <c r="DW121" i="12" l="1"/>
  <c r="DW122" i="12" s="1"/>
  <c r="DW123" i="12" s="1"/>
  <c r="DW124" i="12" s="1"/>
  <c r="DW125" i="12" s="1"/>
  <c r="H28" i="12"/>
  <c r="DW126" i="12" l="1"/>
  <c r="DW127" i="12" s="1"/>
  <c r="DW128" i="12" s="1"/>
  <c r="DW129" i="12" s="1"/>
  <c r="DW130" i="12" s="1"/>
  <c r="DW131" i="12" s="1"/>
  <c r="H29" i="12"/>
  <c r="AJ5" i="12"/>
  <c r="AB5" i="12"/>
  <c r="DW132" i="12" l="1"/>
  <c r="DW133" i="12" l="1"/>
  <c r="DW134" i="12" l="1"/>
  <c r="DW135" i="12" s="1"/>
  <c r="DW136" i="12" s="1"/>
  <c r="DW137" i="12" s="1"/>
  <c r="DW138" i="12"/>
  <c r="DW139" i="12" s="1"/>
  <c r="DW140" i="12" l="1"/>
  <c r="DW141" i="12" l="1"/>
  <c r="DW218" i="12"/>
  <c r="DW142" i="12" l="1"/>
  <c r="DW144" i="12" s="1"/>
  <c r="DW145" i="12" s="1"/>
  <c r="DW203" i="12"/>
  <c r="DW204" i="12" s="1"/>
  <c r="DW219" i="12"/>
  <c r="DW146" i="12" l="1"/>
  <c r="DW147" i="12" s="1"/>
  <c r="DW208" i="12"/>
  <c r="DW209" i="12" s="1"/>
  <c r="DW148" i="12" l="1"/>
  <c r="DW149" i="12" s="1"/>
  <c r="DW150" i="12" s="1"/>
  <c r="DW151" i="12" s="1"/>
  <c r="DW152" i="12" s="1"/>
  <c r="DW153" i="12" s="1"/>
  <c r="DW154" i="12" s="1"/>
  <c r="DW160" i="12" l="1"/>
  <c r="DN158" i="12"/>
  <c r="DW163" i="12" l="1"/>
  <c r="DW164" i="12" s="1"/>
  <c r="DW165" i="12" s="1"/>
  <c r="DW166" i="12" s="1"/>
  <c r="DW167" i="12" s="1"/>
  <c r="DW168" i="12" s="1"/>
  <c r="DW169" i="12" s="1"/>
  <c r="DW170" i="12" s="1"/>
  <c r="DW171" i="12" s="1"/>
  <c r="DW238" i="12"/>
  <c r="DN159" i="12"/>
  <c r="DN160" i="12" s="1"/>
  <c r="DN161" i="12" s="1"/>
  <c r="DN162" i="12" s="1"/>
  <c r="DN163" i="12" s="1"/>
  <c r="DN164" i="12" s="1"/>
  <c r="DN165" i="12" s="1"/>
  <c r="DN166" i="12" s="1"/>
  <c r="DN167" i="12" s="1"/>
  <c r="DN168" i="12" s="1"/>
  <c r="DN169" i="12" s="1"/>
  <c r="DN170" i="12" s="1"/>
  <c r="DN171" i="12" s="1"/>
  <c r="DN172" i="12" l="1"/>
  <c r="DW172" i="12"/>
  <c r="DW173" i="12" s="1"/>
  <c r="DW174" i="12" s="1"/>
  <c r="DW175" i="12" s="1"/>
  <c r="DN189" i="12"/>
  <c r="DW262" i="12"/>
  <c r="DN173" i="12" l="1"/>
  <c r="DN174" i="12" s="1"/>
  <c r="DW176" i="12"/>
  <c r="DW177" i="12" s="1"/>
  <c r="DW178" i="12" s="1"/>
  <c r="DN175" i="12" l="1"/>
  <c r="DN176" i="12" s="1"/>
  <c r="DN177" i="12" s="1"/>
  <c r="DN178" i="12" s="1"/>
  <c r="DN179" i="12" s="1"/>
  <c r="DN180" i="12" s="1"/>
  <c r="DN181" i="12" s="1"/>
  <c r="DN182" i="12" s="1"/>
  <c r="DW179" i="12"/>
  <c r="DW180" i="12" s="1"/>
  <c r="DW181" i="12" s="1"/>
  <c r="DW182" i="12" s="1"/>
  <c r="DW183" i="12" s="1"/>
  <c r="DW184" i="12" s="1"/>
  <c r="DW185" i="12" s="1"/>
  <c r="DW186" i="12" l="1"/>
  <c r="DW187" i="12" s="1"/>
  <c r="DW188" i="12" s="1"/>
  <c r="DW189" i="12" s="1"/>
  <c r="DN183" i="12"/>
  <c r="DN184" i="12" s="1"/>
  <c r="DN185" i="12" s="1"/>
  <c r="DN186" i="12" s="1"/>
  <c r="DN187" i="12" s="1"/>
  <c r="DN188" i="12" s="1"/>
  <c r="DW190" i="12" l="1"/>
  <c r="DW191" i="12" s="1"/>
  <c r="DW192" i="12" s="1"/>
  <c r="DW193" i="12" s="1"/>
  <c r="DW194" i="12" s="1"/>
  <c r="DW200" i="12"/>
  <c r="N3" i="12"/>
  <c r="DW195" i="12" l="1"/>
  <c r="DW196" i="12"/>
  <c r="DW197" i="12" s="1"/>
  <c r="DW198" i="12" s="1"/>
  <c r="DW199" i="12" s="1"/>
  <c r="DN191" i="12"/>
  <c r="DW365" i="12"/>
  <c r="DW205" i="12" l="1"/>
  <c r="DW206" i="12" s="1"/>
  <c r="DW207" i="12" s="1"/>
  <c r="DW210" i="12" s="1"/>
  <c r="DW211" i="12" s="1"/>
  <c r="DW212" i="12" s="1"/>
  <c r="DW213" i="12" s="1"/>
  <c r="DW214" i="12" s="1"/>
  <c r="DW215" i="12" s="1"/>
  <c r="DW216" i="12" s="1"/>
  <c r="DN192" i="12"/>
  <c r="DN193" i="12" s="1"/>
  <c r="DN194" i="12" l="1"/>
  <c r="DN195" i="12" s="1"/>
  <c r="DN196" i="12" s="1"/>
  <c r="DW217" i="12"/>
  <c r="DW220" i="12" s="1"/>
  <c r="DW221" i="12" s="1"/>
  <c r="DW222" i="12" s="1"/>
  <c r="DW223" i="12" s="1"/>
  <c r="DW224" i="12" s="1"/>
  <c r="DW225" i="12" s="1"/>
  <c r="DW226" i="12" s="1"/>
  <c r="DW227" i="12" s="1"/>
  <c r="DW228" i="12" s="1"/>
  <c r="DW229" i="12" s="1"/>
  <c r="DW230" i="12" s="1"/>
  <c r="DW231" i="12" s="1"/>
  <c r="DW232" i="12" s="1"/>
  <c r="DW233" i="12"/>
  <c r="DW234" i="12" s="1"/>
  <c r="AE4" i="12"/>
  <c r="DW239" i="12" l="1"/>
  <c r="DW240" i="12" s="1"/>
  <c r="DW241" i="12" s="1"/>
  <c r="DW242" i="12" s="1"/>
  <c r="DW243" i="12" s="1"/>
  <c r="DW244" i="12" s="1"/>
  <c r="DW245" i="12" s="1"/>
  <c r="DW246" i="12" s="1"/>
  <c r="DW247" i="12" s="1"/>
  <c r="DW248" i="12" s="1"/>
  <c r="DW249" i="12" s="1"/>
  <c r="DW250" i="12" s="1"/>
  <c r="DW251" i="12" s="1"/>
  <c r="DW252" i="12" s="1"/>
  <c r="DW253" i="12" s="1"/>
  <c r="DW254" i="12" s="1"/>
  <c r="DW255" i="12" s="1"/>
  <c r="DW256" i="12" s="1"/>
  <c r="DN197" i="12"/>
  <c r="DN198" i="12" s="1"/>
  <c r="DN199" i="12" s="1"/>
  <c r="AG3" i="12"/>
  <c r="G10" i="1"/>
  <c r="F10" i="1" s="1"/>
  <c r="H10" i="1" s="1"/>
  <c r="AE3" i="12"/>
  <c r="I10" i="1"/>
  <c r="DN201" i="12" l="1"/>
  <c r="DW257" i="12"/>
  <c r="DW258" i="12" s="1"/>
  <c r="EL3" i="12"/>
  <c r="AH3" i="12"/>
  <c r="DN202" i="12" l="1"/>
  <c r="DN203" i="12" s="1"/>
  <c r="DN204" i="12" s="1"/>
  <c r="DW263" i="12"/>
  <c r="DW264" i="12" s="1"/>
  <c r="DW265" i="12" s="1"/>
  <c r="DW266" i="12" s="1"/>
  <c r="DW267" i="12" s="1"/>
  <c r="DW268" i="12" s="1"/>
  <c r="AQ3" i="12"/>
  <c r="DN205" i="12" l="1"/>
  <c r="DN206" i="12" s="1"/>
  <c r="DN207" i="12" s="1"/>
  <c r="DN208" i="12" s="1"/>
  <c r="DN209" i="12" s="1"/>
  <c r="DW269" i="12"/>
  <c r="DW270" i="12" s="1"/>
  <c r="DW271" i="12" s="1"/>
  <c r="DW272" i="12" s="1"/>
  <c r="DW273" i="12" s="1"/>
  <c r="AR3" i="12"/>
  <c r="AS3" i="12"/>
  <c r="DN210" i="12" l="1"/>
  <c r="DN211" i="12" s="1"/>
  <c r="DN212" i="12" s="1"/>
  <c r="DN213" i="12" s="1"/>
  <c r="DN214" i="12" s="1"/>
  <c r="DN215" i="12" s="1"/>
  <c r="DN216" i="12" s="1"/>
  <c r="DN217" i="12" s="1"/>
  <c r="DW274" i="12"/>
  <c r="DW275" i="12" s="1"/>
  <c r="DW276" i="12" s="1"/>
  <c r="DW277" i="12" s="1"/>
  <c r="H65" i="12"/>
  <c r="H107" i="12"/>
  <c r="H53" i="12"/>
  <c r="H69" i="12"/>
  <c r="H114" i="12"/>
  <c r="H96" i="12"/>
  <c r="H72" i="12"/>
  <c r="H104" i="12"/>
  <c r="H93" i="12"/>
  <c r="H68" i="12"/>
  <c r="H99" i="12"/>
  <c r="H110" i="12"/>
  <c r="H118" i="12"/>
  <c r="H78" i="12"/>
  <c r="H119" i="12"/>
  <c r="H101" i="12"/>
  <c r="H100" i="12"/>
  <c r="H81" i="12"/>
  <c r="H98" i="12"/>
  <c r="H112" i="12"/>
  <c r="H73" i="12"/>
  <c r="H59" i="12"/>
  <c r="H103" i="12"/>
  <c r="H71" i="12"/>
  <c r="H111" i="12"/>
  <c r="H82" i="12"/>
  <c r="H87" i="12"/>
  <c r="H84" i="12"/>
  <c r="H120" i="12"/>
  <c r="H76" i="12"/>
  <c r="H77" i="12"/>
  <c r="H95" i="12"/>
  <c r="H116" i="12"/>
  <c r="H115" i="12"/>
  <c r="H90" i="12"/>
  <c r="H109" i="12"/>
  <c r="H113" i="12"/>
  <c r="H79" i="12"/>
  <c r="H117" i="12"/>
  <c r="H66" i="12"/>
  <c r="H70" i="12"/>
  <c r="H67" i="12"/>
  <c r="H62" i="12"/>
  <c r="H75" i="12"/>
  <c r="H105" i="12"/>
  <c r="H102" i="12"/>
  <c r="H108" i="12"/>
  <c r="H74" i="12"/>
  <c r="H56" i="12"/>
  <c r="DN218" i="12" l="1"/>
  <c r="DN219" i="12" s="1"/>
  <c r="DN220" i="12" s="1"/>
  <c r="DN221" i="12" s="1"/>
  <c r="DN222" i="12" s="1"/>
  <c r="DN223" i="12" s="1"/>
  <c r="DN224" i="12" s="1"/>
  <c r="DN225" i="12" s="1"/>
  <c r="DN226" i="12" s="1"/>
  <c r="DN227" i="12" s="1"/>
  <c r="DN228" i="12" s="1"/>
  <c r="DN229" i="12" s="1"/>
  <c r="DW278" i="12"/>
  <c r="DW279" i="12" s="1"/>
  <c r="DW280" i="12" s="1"/>
  <c r="DW281" i="12" s="1"/>
  <c r="DW282" i="12" s="1"/>
  <c r="DW283" i="12" s="1"/>
  <c r="DW284" i="12" s="1"/>
  <c r="DW285" i="12" s="1"/>
  <c r="DW286" i="12" s="1"/>
  <c r="DW287" i="12" s="1"/>
  <c r="DW288" i="12" s="1"/>
  <c r="DW289" i="12" s="1"/>
  <c r="DW290" i="12" s="1"/>
  <c r="DW292" i="12" s="1"/>
  <c r="DW293" i="12" s="1"/>
  <c r="DW294" i="12" s="1"/>
  <c r="DW295" i="12" s="1"/>
  <c r="DW296" i="12" s="1"/>
  <c r="DW297" i="12" s="1"/>
  <c r="DW299" i="12" s="1"/>
  <c r="DW305" i="12" l="1"/>
  <c r="DW301" i="12"/>
  <c r="DW302" i="12" s="1"/>
  <c r="DW303" i="12" s="1"/>
  <c r="DW306" i="12" l="1"/>
  <c r="DW307" i="12" s="1"/>
  <c r="DN230" i="12"/>
  <c r="DN231" i="12" s="1"/>
  <c r="DN232" i="12" s="1"/>
  <c r="DN233" i="12" s="1"/>
  <c r="DN234" i="12" s="1"/>
  <c r="DN235" i="12" s="1"/>
  <c r="DN236" i="12" s="1"/>
  <c r="DN237" i="12" s="1"/>
  <c r="DN238" i="12" s="1"/>
  <c r="DN239" i="12" s="1"/>
  <c r="DN240" i="12" s="1"/>
  <c r="DN241" i="12" s="1"/>
  <c r="DN242" i="12" s="1"/>
  <c r="DN243" i="12" s="1"/>
  <c r="DN244" i="12" s="1"/>
  <c r="DW308" i="12" l="1"/>
  <c r="DW309" i="12" s="1"/>
  <c r="DN245" i="12"/>
  <c r="DN246" i="12" s="1"/>
  <c r="DN247" i="12" s="1"/>
  <c r="DN248" i="12" l="1"/>
  <c r="DN249" i="12" s="1"/>
  <c r="DN250" i="12" s="1"/>
  <c r="DW310" i="12"/>
  <c r="DW311" i="12" s="1"/>
  <c r="DW312" i="12" s="1"/>
  <c r="DW313" i="12" s="1"/>
  <c r="DW314" i="12" s="1"/>
  <c r="DN251" i="12" l="1"/>
  <c r="DN252" i="12" s="1"/>
  <c r="DN253" i="12" s="1"/>
  <c r="DN254" i="12" s="1"/>
  <c r="DN255" i="12" s="1"/>
  <c r="DN256" i="12" s="1"/>
  <c r="DN257" i="12" s="1"/>
  <c r="DN258" i="12" s="1"/>
  <c r="DN259" i="12" s="1"/>
  <c r="DN260" i="12" s="1"/>
  <c r="DN261" i="12" s="1"/>
  <c r="DN262" i="12" s="1"/>
  <c r="DN263" i="12" s="1"/>
  <c r="DW315" i="12"/>
  <c r="DW316" i="12" s="1"/>
  <c r="DW317" i="12" l="1"/>
  <c r="DW318" i="12" s="1"/>
  <c r="DW319" i="12" s="1"/>
  <c r="DW320" i="12" s="1"/>
  <c r="DN360" i="12"/>
  <c r="DN264" i="12" l="1"/>
  <c r="DN265" i="12" s="1"/>
  <c r="DN266" i="12" s="1"/>
  <c r="DN267" i="12" s="1"/>
  <c r="DN268" i="12" s="1"/>
  <c r="DW321" i="12"/>
  <c r="DW322" i="12" s="1"/>
  <c r="DW323" i="12" s="1"/>
  <c r="DW324" i="12" s="1"/>
  <c r="DN269" i="12" l="1"/>
  <c r="DN270" i="12" s="1"/>
  <c r="DN271" i="12" s="1"/>
  <c r="DN272" i="12" s="1"/>
  <c r="DN273" i="12" s="1"/>
  <c r="DN276" i="12"/>
  <c r="DN277" i="12" s="1"/>
  <c r="DW325" i="12"/>
  <c r="DW326" i="12" s="1"/>
  <c r="DW327" i="12" s="1"/>
  <c r="DW328" i="12" s="1"/>
  <c r="DW329" i="12" s="1"/>
  <c r="DW330" i="12" s="1"/>
  <c r="DW331" i="12" s="1"/>
  <c r="DW332" i="12" s="1"/>
  <c r="DN274" i="12" l="1"/>
  <c r="DN275" i="12" s="1"/>
  <c r="DN278" i="12" s="1"/>
  <c r="DN279" i="12" s="1"/>
  <c r="DN280" i="12" s="1"/>
  <c r="DN281" i="12" s="1"/>
  <c r="DN282" i="12" s="1"/>
  <c r="DW333" i="12"/>
  <c r="DW334" i="12" s="1"/>
  <c r="H34" i="12"/>
  <c r="H41" i="12"/>
  <c r="H31" i="12"/>
  <c r="H33" i="12"/>
  <c r="H30" i="12"/>
  <c r="H43" i="12"/>
  <c r="H32" i="12"/>
  <c r="H39" i="12"/>
  <c r="H44" i="12"/>
  <c r="H36" i="12"/>
  <c r="H38" i="12"/>
  <c r="H40" i="12"/>
  <c r="H37" i="12"/>
  <c r="H46" i="12"/>
  <c r="H49" i="12"/>
  <c r="H45" i="12"/>
  <c r="H47" i="12"/>
  <c r="H48" i="12"/>
  <c r="H42" i="12"/>
  <c r="H35" i="12"/>
  <c r="H50" i="12"/>
  <c r="H52" i="12"/>
  <c r="H51" i="12"/>
  <c r="H159" i="12"/>
  <c r="H172" i="12"/>
  <c r="H162" i="12"/>
  <c r="H166" i="12"/>
  <c r="H163" i="12"/>
  <c r="H168" i="12"/>
  <c r="H171" i="12"/>
  <c r="H160" i="12"/>
  <c r="DN283" i="12" l="1"/>
  <c r="DN284" i="12" s="1"/>
  <c r="DN285" i="12" s="1"/>
  <c r="DN286" i="12" s="1"/>
  <c r="DN287" i="12" s="1"/>
  <c r="DN288" i="12" s="1"/>
  <c r="DN289" i="12" s="1"/>
  <c r="DN290" i="12" s="1"/>
  <c r="DW335" i="12"/>
  <c r="DW336" i="12" l="1"/>
  <c r="DW337" i="12" s="1"/>
  <c r="DW338" i="12" s="1"/>
  <c r="DN291" i="12" l="1"/>
  <c r="DN292" i="12" s="1"/>
  <c r="DN293" i="12" s="1"/>
  <c r="DN294" i="12" s="1"/>
  <c r="DN295" i="12" s="1"/>
  <c r="DN296" i="12" s="1"/>
  <c r="DN297" i="12" s="1"/>
  <c r="DN298" i="12" s="1"/>
  <c r="DN299" i="12" s="1"/>
  <c r="DN300" i="12" s="1"/>
  <c r="DN301" i="12" s="1"/>
  <c r="DW339" i="12"/>
  <c r="DN302" i="12" l="1"/>
  <c r="DN303" i="12" s="1"/>
  <c r="DN304" i="12" s="1"/>
  <c r="DN305" i="12" s="1"/>
  <c r="DN306" i="12" s="1"/>
  <c r="DW340" i="12"/>
  <c r="DN307" i="12" l="1"/>
  <c r="DW341" i="12"/>
  <c r="DW342" i="12" l="1"/>
  <c r="DW343" i="12" l="1"/>
  <c r="DW344" i="12"/>
  <c r="F68" i="12" l="1"/>
  <c r="G68" i="12" s="1"/>
  <c r="F22" i="12"/>
  <c r="G22" i="12" s="1"/>
  <c r="F119" i="12"/>
  <c r="G119" i="12" s="1"/>
  <c r="F14" i="12"/>
  <c r="G14" i="12" s="1"/>
  <c r="F33" i="12"/>
  <c r="G33" i="12" s="1"/>
  <c r="F166" i="12"/>
  <c r="G166" i="12" s="1"/>
  <c r="F91" i="12"/>
  <c r="G91" i="12" s="1"/>
  <c r="F139" i="12"/>
  <c r="G139" i="12" s="1"/>
  <c r="F9" i="12"/>
  <c r="G9" i="12" s="1"/>
  <c r="F132" i="12"/>
  <c r="G132" i="12" s="1"/>
  <c r="F143" i="12"/>
  <c r="G143" i="12" s="1"/>
  <c r="F121" i="12"/>
  <c r="G121" i="12" s="1"/>
  <c r="F45" i="12"/>
  <c r="G45" i="12" s="1"/>
  <c r="F135" i="12"/>
  <c r="G135" i="12" s="1"/>
  <c r="F192" i="12"/>
  <c r="G192" i="12" s="1"/>
  <c r="F77" i="12"/>
  <c r="G77" i="12" s="1"/>
  <c r="F162" i="12"/>
  <c r="G162" i="12" s="1"/>
  <c r="F158" i="12"/>
  <c r="G158" i="12" s="1"/>
  <c r="F110" i="12"/>
  <c r="G110" i="12" s="1"/>
  <c r="F69" i="12"/>
  <c r="G69" i="12" s="1"/>
  <c r="F174" i="12"/>
  <c r="G174" i="12" s="1"/>
  <c r="F99" i="12"/>
  <c r="G99" i="12" s="1"/>
  <c r="F129" i="12"/>
  <c r="G129" i="12" s="1"/>
  <c r="F10" i="12"/>
  <c r="G10" i="12" s="1"/>
  <c r="F79" i="12"/>
  <c r="G79" i="12" s="1"/>
  <c r="F172" i="12"/>
  <c r="G172" i="12" s="1"/>
  <c r="F191" i="12"/>
  <c r="G191" i="12" s="1"/>
  <c r="F8" i="12"/>
  <c r="G8" i="12" s="1"/>
  <c r="F108" i="12"/>
  <c r="G108" i="12" s="1"/>
  <c r="F171" i="12"/>
  <c r="G171" i="12" s="1"/>
  <c r="F15" i="12"/>
  <c r="G15" i="12" s="1"/>
  <c r="F134" i="12"/>
  <c r="G134" i="12" s="1"/>
  <c r="F13" i="12"/>
  <c r="G13" i="12" s="1"/>
  <c r="F101" i="12"/>
  <c r="G101" i="12" s="1"/>
  <c r="F193" i="12"/>
  <c r="G193" i="12" s="1"/>
  <c r="F176" i="12"/>
  <c r="G176" i="12" s="1"/>
  <c r="F46" i="12"/>
  <c r="G46" i="12" s="1"/>
  <c r="F35" i="12"/>
  <c r="G35" i="12" s="1"/>
  <c r="F146" i="12"/>
  <c r="G146" i="12" s="1"/>
  <c r="F41" i="12"/>
  <c r="G41" i="12" s="1"/>
  <c r="F179" i="12"/>
  <c r="G179" i="12" s="1"/>
  <c r="F152" i="12"/>
  <c r="G152" i="12" s="1"/>
  <c r="F92" i="12"/>
  <c r="G92" i="12" s="1"/>
  <c r="F85" i="12"/>
  <c r="G85" i="12" s="1"/>
  <c r="F204" i="12"/>
  <c r="G204" i="12" s="1"/>
  <c r="F81" i="12"/>
  <c r="G81" i="12" s="1"/>
  <c r="F75" i="12"/>
  <c r="G75" i="12" s="1"/>
  <c r="F165" i="12"/>
  <c r="G165" i="12" s="1"/>
  <c r="F145" i="12"/>
  <c r="G145" i="12" s="1"/>
  <c r="F104" i="12"/>
  <c r="G104" i="12" s="1"/>
  <c r="F16" i="12"/>
  <c r="G16" i="12" s="1"/>
  <c r="F157" i="12"/>
  <c r="G157" i="12" s="1"/>
  <c r="F90" i="12"/>
  <c r="G90" i="12" s="1"/>
  <c r="F167" i="12"/>
  <c r="G167" i="12" s="1"/>
  <c r="F11" i="12"/>
  <c r="G11" i="12" s="1"/>
  <c r="F37" i="12"/>
  <c r="G37" i="12" s="1"/>
  <c r="F181" i="12"/>
  <c r="G181" i="12" s="1"/>
  <c r="F18" i="12"/>
  <c r="G18" i="12" s="1"/>
  <c r="F95" i="12"/>
  <c r="G95" i="12" s="1"/>
  <c r="F147" i="12"/>
  <c r="G147" i="12" s="1"/>
  <c r="F73" i="12"/>
  <c r="G73" i="12" s="1"/>
  <c r="F57" i="12"/>
  <c r="G57" i="12" s="1"/>
  <c r="F168" i="12"/>
  <c r="G168" i="12" s="1"/>
  <c r="F175" i="12"/>
  <c r="G175" i="12" s="1"/>
  <c r="F140" i="12"/>
  <c r="G140" i="12" s="1"/>
  <c r="F111" i="12"/>
  <c r="G111" i="12" s="1"/>
  <c r="F102" i="12"/>
  <c r="G102" i="12" s="1"/>
  <c r="F148" i="12"/>
  <c r="G148" i="12" s="1"/>
  <c r="F149" i="12"/>
  <c r="G149" i="12" s="1"/>
  <c r="F201" i="12"/>
  <c r="G201" i="12" s="1"/>
  <c r="F200" i="12"/>
  <c r="G200" i="12" s="1"/>
  <c r="F53" i="12"/>
  <c r="G53" i="12" s="1"/>
  <c r="F156" i="12"/>
  <c r="G156" i="12" s="1"/>
  <c r="F178" i="12"/>
  <c r="G178" i="12" s="1"/>
  <c r="F205" i="12"/>
  <c r="G205" i="12" s="1"/>
  <c r="F138" i="12"/>
  <c r="G138" i="12" s="1"/>
  <c r="F202" i="12"/>
  <c r="G202" i="12" s="1"/>
  <c r="F137" i="12"/>
  <c r="G137" i="12" s="1"/>
  <c r="F96" i="12"/>
  <c r="G96" i="12" s="1"/>
  <c r="F164" i="12"/>
  <c r="G164" i="12" s="1"/>
  <c r="F136" i="12"/>
  <c r="G136" i="12" s="1"/>
  <c r="F76" i="12"/>
  <c r="G76" i="12" s="1"/>
  <c r="F34" i="12"/>
  <c r="G34" i="12" s="1"/>
  <c r="F93" i="12"/>
  <c r="G93" i="12" s="1"/>
  <c r="F19" i="12"/>
  <c r="G19" i="12" s="1"/>
  <c r="F84" i="12"/>
  <c r="G84" i="12" s="1"/>
  <c r="F63" i="12"/>
  <c r="G63" i="12" s="1"/>
  <c r="F88" i="12"/>
  <c r="G88" i="12" s="1"/>
  <c r="F114" i="12"/>
  <c r="G114" i="12" s="1"/>
  <c r="F40" i="12"/>
  <c r="G40" i="12" s="1"/>
  <c r="F98" i="12"/>
  <c r="G98" i="12" s="1"/>
  <c r="F120" i="12"/>
  <c r="G120" i="12" s="1"/>
  <c r="F67" i="12"/>
  <c r="G67" i="12" s="1"/>
  <c r="F25" i="12"/>
  <c r="G25" i="12" s="1"/>
  <c r="F29" i="12"/>
  <c r="G29" i="12" s="1"/>
  <c r="F51" i="12"/>
  <c r="G51" i="12" s="1"/>
  <c r="F38" i="12"/>
  <c r="G38" i="12" s="1"/>
  <c r="F44" i="12"/>
  <c r="G44" i="12" s="1"/>
  <c r="F185" i="12"/>
  <c r="G185" i="12" s="1"/>
  <c r="F17" i="12"/>
  <c r="G17" i="12" s="1"/>
  <c r="F87" i="12"/>
  <c r="G87" i="12" s="1"/>
  <c r="F26" i="12"/>
  <c r="G26" i="12" s="1"/>
  <c r="F12" i="12"/>
  <c r="G12" i="12" s="1"/>
  <c r="F105" i="12"/>
  <c r="G105" i="12" s="1"/>
  <c r="F82" i="12"/>
  <c r="G82" i="12" s="1"/>
  <c r="F161" i="12"/>
  <c r="G161" i="12" s="1"/>
  <c r="F100" i="12"/>
  <c r="G100" i="12" s="1"/>
  <c r="F115" i="12"/>
  <c r="G115" i="12" s="1"/>
  <c r="F97" i="12"/>
  <c r="G97" i="12" s="1"/>
  <c r="F47" i="12"/>
  <c r="G47" i="12" s="1"/>
  <c r="F86" i="12"/>
  <c r="G86" i="12" s="1"/>
  <c r="F126" i="12"/>
  <c r="G126" i="12" s="1"/>
  <c r="F122" i="12"/>
  <c r="G122" i="12" s="1"/>
  <c r="F30" i="12"/>
  <c r="G30" i="12" s="1"/>
  <c r="F123" i="12"/>
  <c r="G123" i="12" s="1"/>
  <c r="F133" i="12"/>
  <c r="G133" i="12" s="1"/>
  <c r="F72" i="12"/>
  <c r="G72" i="12" s="1"/>
  <c r="F210" i="12"/>
  <c r="G210" i="12" s="1"/>
  <c r="F194" i="12"/>
  <c r="G194" i="12" s="1"/>
  <c r="F195" i="12"/>
  <c r="G195" i="12" s="1"/>
  <c r="F142" i="12"/>
  <c r="G142" i="12" s="1"/>
  <c r="F141" i="12"/>
  <c r="G141" i="12" s="1"/>
  <c r="F64" i="12"/>
  <c r="G64" i="12" s="1"/>
  <c r="F94" i="12"/>
  <c r="G94" i="12" s="1"/>
  <c r="F131" i="12"/>
  <c r="G131" i="12" s="1"/>
  <c r="F127" i="12"/>
  <c r="G127" i="12" s="1"/>
  <c r="F112" i="12"/>
  <c r="G112" i="12" s="1"/>
  <c r="F196" i="12"/>
  <c r="G196" i="12" s="1"/>
  <c r="F5" i="12"/>
  <c r="G5" i="12" s="1"/>
  <c r="F49" i="12"/>
  <c r="G49" i="12" s="1"/>
  <c r="F27" i="12"/>
  <c r="G27" i="12" s="1"/>
  <c r="F199" i="12"/>
  <c r="G199" i="12" s="1"/>
  <c r="F184" i="12"/>
  <c r="G184" i="12" s="1"/>
  <c r="F125" i="12"/>
  <c r="G125" i="12" s="1"/>
  <c r="F159" i="12"/>
  <c r="G159" i="12" s="1"/>
  <c r="F54" i="12"/>
  <c r="G54" i="12" s="1"/>
  <c r="F109" i="12"/>
  <c r="G109" i="12" s="1"/>
  <c r="F182" i="12"/>
  <c r="G182" i="12" s="1"/>
  <c r="F59" i="12"/>
  <c r="G59" i="12" s="1"/>
  <c r="F190" i="12"/>
  <c r="G190" i="12" s="1"/>
  <c r="F154" i="12"/>
  <c r="G154" i="12" s="1"/>
  <c r="F180" i="12"/>
  <c r="G180" i="12" s="1"/>
  <c r="F153" i="12"/>
  <c r="G153" i="12" s="1"/>
  <c r="F183" i="12"/>
  <c r="G183" i="12" s="1"/>
  <c r="F177" i="12"/>
  <c r="G177" i="12" s="1"/>
  <c r="F60" i="12"/>
  <c r="G60" i="12" s="1"/>
  <c r="F207" i="12"/>
  <c r="G207" i="12" s="1"/>
  <c r="F170" i="12"/>
  <c r="G170" i="12" s="1"/>
  <c r="F74" i="12"/>
  <c r="G74" i="12" s="1"/>
  <c r="F24" i="12"/>
  <c r="G24" i="12" s="1"/>
  <c r="F71" i="12"/>
  <c r="G71" i="12" s="1"/>
  <c r="F20" i="12"/>
  <c r="G20" i="12" s="1"/>
  <c r="F56" i="12"/>
  <c r="G56" i="12" s="1"/>
  <c r="F58" i="12"/>
  <c r="G58" i="12" s="1"/>
  <c r="F118" i="12"/>
  <c r="G118" i="12" s="1"/>
  <c r="F206" i="12"/>
  <c r="G206" i="12" s="1"/>
  <c r="F106" i="12"/>
  <c r="G106" i="12" s="1"/>
  <c r="F144" i="12"/>
  <c r="G144" i="12" s="1"/>
  <c r="F70" i="12"/>
  <c r="G70" i="12" s="1"/>
  <c r="F103" i="12"/>
  <c r="G103" i="12" s="1"/>
  <c r="F188" i="12"/>
  <c r="G188" i="12" s="1"/>
  <c r="F163" i="12"/>
  <c r="G163" i="12" s="1"/>
  <c r="F116" i="12"/>
  <c r="G116" i="12" s="1"/>
  <c r="F189" i="12"/>
  <c r="G189" i="12" s="1"/>
  <c r="F117" i="12"/>
  <c r="G117" i="12" s="1"/>
  <c r="F6" i="12"/>
  <c r="G6" i="12" s="1"/>
  <c r="F61" i="12"/>
  <c r="G61" i="12" s="1"/>
  <c r="F7" i="12"/>
  <c r="G7" i="12" s="1"/>
  <c r="F62" i="12"/>
  <c r="G62" i="12" s="1"/>
  <c r="F186" i="12"/>
  <c r="G186" i="12" s="1"/>
  <c r="F169" i="12"/>
  <c r="G169" i="12" s="1"/>
  <c r="F187" i="12"/>
  <c r="G187" i="12" s="1"/>
  <c r="F42" i="12"/>
  <c r="G42" i="12" s="1"/>
  <c r="F155" i="12"/>
  <c r="G155" i="12" s="1"/>
  <c r="F48" i="12"/>
  <c r="G48" i="12" s="1"/>
  <c r="F78" i="12"/>
  <c r="G78" i="12" s="1"/>
  <c r="F211" i="12"/>
  <c r="G211" i="12" s="1"/>
  <c r="F113" i="12"/>
  <c r="G113" i="12" s="1"/>
  <c r="F36" i="12"/>
  <c r="G36" i="12" s="1"/>
  <c r="F160" i="12"/>
  <c r="G160" i="12" s="1"/>
  <c r="F23" i="12"/>
  <c r="G23" i="12" s="1"/>
  <c r="F21" i="12"/>
  <c r="G21" i="12" s="1"/>
  <c r="F128" i="12"/>
  <c r="G128" i="12" s="1"/>
  <c r="F65" i="12"/>
  <c r="G65" i="12" s="1"/>
  <c r="F198" i="12"/>
  <c r="G198" i="12" s="1"/>
  <c r="F43" i="12"/>
  <c r="G43" i="12" s="1"/>
  <c r="F173" i="12"/>
  <c r="G173" i="12" s="1"/>
  <c r="F208" i="12"/>
  <c r="G208" i="12" s="1"/>
  <c r="F83" i="12"/>
  <c r="G83" i="12" s="1"/>
  <c r="F89" i="12"/>
  <c r="G89" i="12" s="1"/>
  <c r="F66" i="12"/>
  <c r="G66" i="12" s="1"/>
  <c r="F203" i="12"/>
  <c r="G203" i="12" s="1"/>
  <c r="F130" i="12"/>
  <c r="G130" i="12" s="1"/>
  <c r="F50" i="12"/>
  <c r="G50" i="12" s="1"/>
  <c r="F28" i="12"/>
  <c r="G28" i="12" s="1"/>
  <c r="F39" i="12"/>
  <c r="G39" i="12" s="1"/>
  <c r="F32" i="12"/>
  <c r="G32" i="12" s="1"/>
  <c r="F52" i="12"/>
  <c r="G52" i="12" s="1"/>
  <c r="F55" i="12"/>
  <c r="G55" i="12" s="1"/>
  <c r="F124" i="12"/>
  <c r="G124" i="12" s="1"/>
  <c r="F31" i="12"/>
  <c r="G31" i="12" s="1"/>
  <c r="F80" i="12"/>
  <c r="G80" i="12" s="1"/>
  <c r="F107" i="12"/>
  <c r="G107" i="12" s="1"/>
  <c r="F150" i="12"/>
  <c r="G150" i="12" s="1"/>
  <c r="F197" i="12"/>
  <c r="G197" i="12" s="1"/>
  <c r="F209" i="12"/>
  <c r="G209" i="12" s="1"/>
  <c r="F151" i="12"/>
  <c r="G151" i="12" s="1"/>
  <c r="E68" i="12"/>
  <c r="E25" i="12"/>
  <c r="E19" i="12"/>
  <c r="E7" i="12"/>
  <c r="E50" i="12"/>
  <c r="E87" i="12"/>
  <c r="E60" i="12"/>
  <c r="E49" i="12"/>
  <c r="E159" i="12"/>
  <c r="E11" i="12"/>
  <c r="E130" i="12"/>
  <c r="E200" i="12"/>
  <c r="E70" i="12"/>
  <c r="E111" i="12"/>
  <c r="E59" i="12"/>
  <c r="E206" i="12"/>
  <c r="E117" i="12"/>
  <c r="E189" i="12"/>
  <c r="E44" i="12"/>
  <c r="E194" i="12"/>
  <c r="E160" i="12"/>
  <c r="E30" i="12"/>
  <c r="E98" i="12"/>
  <c r="E73" i="12"/>
  <c r="E76" i="12"/>
  <c r="E24" i="12"/>
  <c r="E65" i="12"/>
  <c r="E123" i="12"/>
  <c r="E124" i="12"/>
  <c r="E55" i="12"/>
  <c r="E89" i="12"/>
  <c r="E186" i="12"/>
  <c r="E164" i="12"/>
  <c r="E168" i="12"/>
  <c r="E102" i="12"/>
  <c r="E184" i="12"/>
  <c r="E91" i="12"/>
  <c r="E116" i="12"/>
  <c r="E5" i="12"/>
  <c r="AF4" i="12" s="1"/>
  <c r="E205" i="12"/>
  <c r="E209" i="12"/>
  <c r="E126" i="12"/>
  <c r="E191" i="12"/>
  <c r="E101" i="12"/>
  <c r="E146" i="12"/>
  <c r="E181" i="12"/>
  <c r="E21" i="12"/>
  <c r="E67" i="12"/>
  <c r="E99" i="12"/>
  <c r="E22" i="12"/>
  <c r="E57" i="12"/>
  <c r="E211" i="12"/>
  <c r="E197" i="12"/>
  <c r="E48" i="12"/>
  <c r="E16" i="12"/>
  <c r="E118" i="12"/>
  <c r="E127" i="12"/>
  <c r="E119" i="12"/>
  <c r="E66" i="12"/>
  <c r="E61" i="12"/>
  <c r="E166" i="12"/>
  <c r="E171" i="12"/>
  <c r="E54" i="12"/>
  <c r="E58" i="12"/>
  <c r="E120" i="12"/>
  <c r="E75" i="12"/>
  <c r="E178" i="12"/>
  <c r="E36" i="12"/>
  <c r="E10" i="12"/>
  <c r="E122" i="12"/>
  <c r="E29" i="12"/>
  <c r="E86" i="12"/>
  <c r="E82" i="12"/>
  <c r="E106" i="12"/>
  <c r="E31" i="12"/>
  <c r="E71" i="12"/>
  <c r="E151" i="12"/>
  <c r="E199" i="12"/>
  <c r="E156" i="12"/>
  <c r="E51" i="12"/>
  <c r="E158" i="12"/>
  <c r="E103" i="12"/>
  <c r="E148" i="12"/>
  <c r="E163" i="12"/>
  <c r="E133" i="12"/>
  <c r="E169" i="12"/>
  <c r="E85" i="12"/>
  <c r="E95" i="12"/>
  <c r="E193" i="12"/>
  <c r="E139" i="12"/>
  <c r="E208" i="12"/>
  <c r="E110" i="12"/>
  <c r="E202" i="12"/>
  <c r="E43" i="12"/>
  <c r="E170" i="12"/>
  <c r="E90" i="12"/>
  <c r="E149" i="12"/>
  <c r="E204" i="12"/>
  <c r="E179" i="12"/>
  <c r="E121" i="12"/>
  <c r="E138" i="12"/>
  <c r="E33" i="12"/>
  <c r="E93" i="12"/>
  <c r="E56" i="12"/>
  <c r="E45" i="12"/>
  <c r="E100" i="12"/>
  <c r="E203" i="12"/>
  <c r="E129" i="12"/>
  <c r="E140" i="12"/>
  <c r="E34" i="12"/>
  <c r="E153" i="12"/>
  <c r="E132" i="12"/>
  <c r="E83" i="12"/>
  <c r="E142" i="12"/>
  <c r="E109" i="12"/>
  <c r="E81" i="12"/>
  <c r="E64" i="12"/>
  <c r="E198" i="12"/>
  <c r="E162" i="12"/>
  <c r="E12" i="12"/>
  <c r="E40" i="12"/>
  <c r="E94" i="12"/>
  <c r="E23" i="12"/>
  <c r="E128" i="12"/>
  <c r="E145" i="12"/>
  <c r="E63" i="12"/>
  <c r="E62" i="12"/>
  <c r="E173" i="12"/>
  <c r="E108" i="12"/>
  <c r="E114" i="12"/>
  <c r="E105" i="12"/>
  <c r="E141" i="12"/>
  <c r="E201" i="12"/>
  <c r="E41" i="12"/>
  <c r="E84" i="12"/>
  <c r="E192" i="12"/>
  <c r="E155" i="12"/>
  <c r="E143" i="12"/>
  <c r="E18" i="12"/>
  <c r="E150" i="12"/>
  <c r="E37" i="12"/>
  <c r="E107" i="12"/>
  <c r="E144" i="12"/>
  <c r="E17" i="12"/>
  <c r="E28" i="12"/>
  <c r="E125" i="12"/>
  <c r="E131" i="12"/>
  <c r="E78" i="12"/>
  <c r="E176" i="12"/>
  <c r="E136" i="12"/>
  <c r="E35" i="12"/>
  <c r="E77" i="12"/>
  <c r="E112" i="12"/>
  <c r="E88" i="12"/>
  <c r="E32" i="12"/>
  <c r="E46" i="12"/>
  <c r="E72" i="12"/>
  <c r="E53" i="12"/>
  <c r="E52" i="12"/>
  <c r="E26" i="12"/>
  <c r="E20" i="12"/>
  <c r="E175" i="12"/>
  <c r="E47" i="12"/>
  <c r="E188" i="12"/>
  <c r="E69" i="12"/>
  <c r="E183" i="12"/>
  <c r="E147" i="12"/>
  <c r="E182" i="12"/>
  <c r="E92" i="12"/>
  <c r="E115" i="12"/>
  <c r="E137" i="12"/>
  <c r="E152" i="12"/>
  <c r="E187" i="12"/>
  <c r="E8" i="12"/>
  <c r="E80" i="12"/>
  <c r="E190" i="12"/>
  <c r="E167" i="12"/>
  <c r="E196" i="12"/>
  <c r="E38" i="12"/>
  <c r="E39" i="12"/>
  <c r="E104" i="12"/>
  <c r="E113" i="12"/>
  <c r="E6" i="12"/>
  <c r="AF5" i="12" s="1"/>
  <c r="E207" i="12"/>
  <c r="E134" i="12"/>
  <c r="E165" i="12"/>
  <c r="E135" i="12"/>
  <c r="E15" i="12"/>
  <c r="E9" i="12"/>
  <c r="E154" i="12"/>
  <c r="E79" i="12"/>
  <c r="E27" i="12"/>
  <c r="E195" i="12"/>
  <c r="E180" i="12"/>
  <c r="E42" i="12"/>
  <c r="E177" i="12"/>
  <c r="E210" i="12"/>
  <c r="E161" i="12"/>
  <c r="E13" i="12"/>
  <c r="E157" i="12"/>
  <c r="E14" i="12"/>
  <c r="E74" i="12"/>
  <c r="E172" i="12"/>
  <c r="E185" i="12"/>
  <c r="E174" i="12"/>
  <c r="E97" i="12"/>
  <c r="E96" i="12"/>
  <c r="D68" i="12"/>
  <c r="G74" i="1" s="1"/>
  <c r="D173" i="12"/>
  <c r="G179" i="1" s="1"/>
  <c r="D192" i="12"/>
  <c r="G198" i="1" s="1"/>
  <c r="D166" i="12"/>
  <c r="G172" i="1" s="1"/>
  <c r="D84" i="12"/>
  <c r="G90" i="1" s="1"/>
  <c r="D55" i="12"/>
  <c r="G61" i="1" s="1"/>
  <c r="D26" i="12"/>
  <c r="G32" i="1" s="1"/>
  <c r="D19" i="12"/>
  <c r="G25" i="1" s="1"/>
  <c r="D39" i="12"/>
  <c r="G45" i="1" s="1"/>
  <c r="D135" i="12"/>
  <c r="G141" i="1" s="1"/>
  <c r="D143" i="12"/>
  <c r="G149" i="1" s="1"/>
  <c r="D139" i="12"/>
  <c r="G145" i="1" s="1"/>
  <c r="D122" i="12"/>
  <c r="G128" i="1" s="1"/>
  <c r="D104" i="12"/>
  <c r="G110" i="1" s="1"/>
  <c r="D74" i="12"/>
  <c r="G80" i="1" s="1"/>
  <c r="D49" i="12"/>
  <c r="G55" i="1" s="1"/>
  <c r="D153" i="12"/>
  <c r="G159" i="1" s="1"/>
  <c r="D181" i="12"/>
  <c r="G187" i="1" s="1"/>
  <c r="D189" i="12"/>
  <c r="G195" i="1" s="1"/>
  <c r="D70" i="12"/>
  <c r="G76" i="1" s="1"/>
  <c r="D60" i="12"/>
  <c r="G66" i="1" s="1"/>
  <c r="D66" i="12"/>
  <c r="G72" i="1" s="1"/>
  <c r="D15" i="12"/>
  <c r="G21" i="1" s="1"/>
  <c r="D202" i="12"/>
  <c r="G208" i="1" s="1"/>
  <c r="D9" i="12"/>
  <c r="G15" i="1" s="1"/>
  <c r="D140" i="12"/>
  <c r="G146" i="1" s="1"/>
  <c r="D16" i="12"/>
  <c r="G22" i="1" s="1"/>
  <c r="D179" i="12"/>
  <c r="G185" i="1" s="1"/>
  <c r="D187" i="12"/>
  <c r="G193" i="1" s="1"/>
  <c r="D164" i="12"/>
  <c r="G170" i="1" s="1"/>
  <c r="D205" i="12"/>
  <c r="G211" i="1" s="1"/>
  <c r="D133" i="12"/>
  <c r="G139" i="1" s="1"/>
  <c r="D134" i="12"/>
  <c r="G140" i="1" s="1"/>
  <c r="D33" i="12"/>
  <c r="G39" i="1" s="1"/>
  <c r="D184" i="12"/>
  <c r="G190" i="1" s="1"/>
  <c r="D51" i="12"/>
  <c r="G57" i="1" s="1"/>
  <c r="D46" i="12"/>
  <c r="G52" i="1" s="1"/>
  <c r="D109" i="12"/>
  <c r="G115" i="1" s="1"/>
  <c r="D125" i="12"/>
  <c r="G131" i="1" s="1"/>
  <c r="D129" i="12"/>
  <c r="G135" i="1" s="1"/>
  <c r="D14" i="12"/>
  <c r="G20" i="1" s="1"/>
  <c r="D146" i="12"/>
  <c r="G152" i="1" s="1"/>
  <c r="D96" i="12"/>
  <c r="G102" i="1" s="1"/>
  <c r="D8" i="12"/>
  <c r="G14" i="1" s="1"/>
  <c r="D177" i="12"/>
  <c r="G183" i="1" s="1"/>
  <c r="D99" i="12"/>
  <c r="G105" i="1" s="1"/>
  <c r="D83" i="12"/>
  <c r="G89" i="1" s="1"/>
  <c r="D107" i="12"/>
  <c r="G113" i="1" s="1"/>
  <c r="D24" i="12"/>
  <c r="G30" i="1" s="1"/>
  <c r="D34" i="12"/>
  <c r="G40" i="1" s="1"/>
  <c r="D147" i="12"/>
  <c r="G153" i="1" s="1"/>
  <c r="D176" i="12"/>
  <c r="G182" i="1" s="1"/>
  <c r="D106" i="12"/>
  <c r="G112" i="1" s="1"/>
  <c r="D59" i="12"/>
  <c r="G65" i="1" s="1"/>
  <c r="D35" i="12"/>
  <c r="G41" i="1" s="1"/>
  <c r="D160" i="12"/>
  <c r="G166" i="1" s="1"/>
  <c r="D170" i="12"/>
  <c r="G176" i="1" s="1"/>
  <c r="D123" i="12"/>
  <c r="G129" i="1" s="1"/>
  <c r="D116" i="12"/>
  <c r="G122" i="1" s="1"/>
  <c r="D73" i="12"/>
  <c r="G79" i="1" s="1"/>
  <c r="D154" i="12"/>
  <c r="G160" i="1" s="1"/>
  <c r="D43" i="12"/>
  <c r="G49" i="1" s="1"/>
  <c r="D40" i="12"/>
  <c r="G46" i="1" s="1"/>
  <c r="D72" i="12"/>
  <c r="G78" i="1" s="1"/>
  <c r="D87" i="12"/>
  <c r="G93" i="1" s="1"/>
  <c r="D57" i="12"/>
  <c r="G63" i="1" s="1"/>
  <c r="D94" i="12"/>
  <c r="G100" i="1" s="1"/>
  <c r="D78" i="12"/>
  <c r="G84" i="1" s="1"/>
  <c r="D175" i="12"/>
  <c r="G181" i="1" s="1"/>
  <c r="D150" i="12"/>
  <c r="G156" i="1" s="1"/>
  <c r="D120" i="12"/>
  <c r="G126" i="1" s="1"/>
  <c r="D180" i="12"/>
  <c r="G186" i="1" s="1"/>
  <c r="D25" i="12"/>
  <c r="G31" i="1" s="1"/>
  <c r="D195" i="12"/>
  <c r="G201" i="1" s="1"/>
  <c r="D10" i="12"/>
  <c r="G16" i="1" s="1"/>
  <c r="D119" i="12"/>
  <c r="G125" i="1" s="1"/>
  <c r="D47" i="12"/>
  <c r="G53" i="1" s="1"/>
  <c r="D100" i="12"/>
  <c r="G106" i="1" s="1"/>
  <c r="D194" i="12"/>
  <c r="G200" i="1" s="1"/>
  <c r="D203" i="12"/>
  <c r="G209" i="1" s="1"/>
  <c r="D204" i="12"/>
  <c r="G210" i="1" s="1"/>
  <c r="D201" i="12"/>
  <c r="G207" i="1" s="1"/>
  <c r="D89" i="12"/>
  <c r="G95" i="1" s="1"/>
  <c r="D76" i="12"/>
  <c r="G82" i="1" s="1"/>
  <c r="D171" i="12"/>
  <c r="G177" i="1" s="1"/>
  <c r="D197" i="12"/>
  <c r="G203" i="1" s="1"/>
  <c r="D137" i="12"/>
  <c r="G143" i="1" s="1"/>
  <c r="D110" i="12"/>
  <c r="G116" i="1" s="1"/>
  <c r="D63" i="12"/>
  <c r="G69" i="1" s="1"/>
  <c r="D158" i="12"/>
  <c r="G164" i="1" s="1"/>
  <c r="D174" i="12"/>
  <c r="G180" i="1" s="1"/>
  <c r="D188" i="12"/>
  <c r="G194" i="1" s="1"/>
  <c r="D186" i="12"/>
  <c r="G192" i="1" s="1"/>
  <c r="D126" i="12"/>
  <c r="G132" i="1" s="1"/>
  <c r="D182" i="12"/>
  <c r="G188" i="1" s="1"/>
  <c r="D128" i="12"/>
  <c r="G134" i="1" s="1"/>
  <c r="D151" i="12"/>
  <c r="G157" i="1" s="1"/>
  <c r="D127" i="12"/>
  <c r="G133" i="1" s="1"/>
  <c r="D167" i="12"/>
  <c r="G173" i="1" s="1"/>
  <c r="D85" i="12"/>
  <c r="G91" i="1" s="1"/>
  <c r="D82" i="12"/>
  <c r="G88" i="1" s="1"/>
  <c r="D38" i="12"/>
  <c r="G44" i="1" s="1"/>
  <c r="D52" i="12"/>
  <c r="G58" i="1" s="1"/>
  <c r="D13" i="12"/>
  <c r="G19" i="1" s="1"/>
  <c r="D69" i="12"/>
  <c r="G75" i="1" s="1"/>
  <c r="D169" i="12"/>
  <c r="G175" i="1" s="1"/>
  <c r="D208" i="12"/>
  <c r="G214" i="1" s="1"/>
  <c r="D29" i="12"/>
  <c r="G35" i="1" s="1"/>
  <c r="D161" i="12"/>
  <c r="G167" i="1" s="1"/>
  <c r="D79" i="12"/>
  <c r="G85" i="1" s="1"/>
  <c r="D108" i="12"/>
  <c r="G114" i="1" s="1"/>
  <c r="D115" i="12"/>
  <c r="G121" i="1" s="1"/>
  <c r="D131" i="12"/>
  <c r="G137" i="1" s="1"/>
  <c r="D121" i="12"/>
  <c r="G127" i="1" s="1"/>
  <c r="D7" i="12"/>
  <c r="G13" i="1" s="1"/>
  <c r="D92" i="12"/>
  <c r="G98" i="1" s="1"/>
  <c r="D103" i="12"/>
  <c r="G109" i="1" s="1"/>
  <c r="D193" i="12"/>
  <c r="G199" i="1" s="1"/>
  <c r="D142" i="12"/>
  <c r="G148" i="1" s="1"/>
  <c r="D105" i="12"/>
  <c r="G111" i="1" s="1"/>
  <c r="D22" i="12"/>
  <c r="G28" i="1" s="1"/>
  <c r="D36" i="12"/>
  <c r="G42" i="1" s="1"/>
  <c r="D210" i="12"/>
  <c r="D71" i="12"/>
  <c r="G77" i="1" s="1"/>
  <c r="D118" i="12"/>
  <c r="G124" i="1" s="1"/>
  <c r="D207" i="12"/>
  <c r="G213" i="1" s="1"/>
  <c r="D44" i="12"/>
  <c r="G50" i="1" s="1"/>
  <c r="D45" i="12"/>
  <c r="G51" i="1" s="1"/>
  <c r="D75" i="12"/>
  <c r="G81" i="1" s="1"/>
  <c r="D48" i="12"/>
  <c r="G54" i="1" s="1"/>
  <c r="D163" i="12"/>
  <c r="G169" i="1" s="1"/>
  <c r="D113" i="12"/>
  <c r="G119" i="1" s="1"/>
  <c r="D67" i="12"/>
  <c r="G73" i="1" s="1"/>
  <c r="D124" i="12"/>
  <c r="G130" i="1" s="1"/>
  <c r="D183" i="12"/>
  <c r="G189" i="1" s="1"/>
  <c r="D101" i="12"/>
  <c r="G107" i="1" s="1"/>
  <c r="D97" i="12"/>
  <c r="G103" i="1" s="1"/>
  <c r="D64" i="12"/>
  <c r="G70" i="1" s="1"/>
  <c r="D50" i="12"/>
  <c r="G56" i="1" s="1"/>
  <c r="D42" i="12"/>
  <c r="G48" i="1" s="1"/>
  <c r="D81" i="12"/>
  <c r="G87" i="1" s="1"/>
  <c r="D20" i="12"/>
  <c r="G26" i="1" s="1"/>
  <c r="D130" i="12"/>
  <c r="G136" i="1" s="1"/>
  <c r="D209" i="12"/>
  <c r="D132" i="12"/>
  <c r="G138" i="1" s="1"/>
  <c r="D111" i="12"/>
  <c r="G117" i="1" s="1"/>
  <c r="D12" i="12"/>
  <c r="G18" i="1" s="1"/>
  <c r="D178" i="12"/>
  <c r="G184" i="1" s="1"/>
  <c r="D156" i="12"/>
  <c r="G162" i="1" s="1"/>
  <c r="D54" i="12"/>
  <c r="G60" i="1" s="1"/>
  <c r="D112" i="12"/>
  <c r="G118" i="1" s="1"/>
  <c r="D141" i="12"/>
  <c r="G147" i="1" s="1"/>
  <c r="D159" i="12"/>
  <c r="G165" i="1" s="1"/>
  <c r="D93" i="12"/>
  <c r="G99" i="1" s="1"/>
  <c r="D23" i="12"/>
  <c r="G29" i="1" s="1"/>
  <c r="D53" i="12"/>
  <c r="G59" i="1" s="1"/>
  <c r="D149" i="12"/>
  <c r="G155" i="1" s="1"/>
  <c r="D199" i="12"/>
  <c r="G205" i="1" s="1"/>
  <c r="D31" i="12"/>
  <c r="G37" i="1" s="1"/>
  <c r="D30" i="12"/>
  <c r="G36" i="1" s="1"/>
  <c r="D61" i="12"/>
  <c r="G67" i="1" s="1"/>
  <c r="D138" i="12"/>
  <c r="G144" i="1" s="1"/>
  <c r="D98" i="12"/>
  <c r="G104" i="1" s="1"/>
  <c r="D32" i="12"/>
  <c r="G38" i="1" s="1"/>
  <c r="D102" i="12"/>
  <c r="G108" i="1" s="1"/>
  <c r="D144" i="12"/>
  <c r="G150" i="1" s="1"/>
  <c r="D185" i="12"/>
  <c r="G191" i="1" s="1"/>
  <c r="D155" i="12"/>
  <c r="G161" i="1" s="1"/>
  <c r="D200" i="12"/>
  <c r="G206" i="1" s="1"/>
  <c r="D28" i="12"/>
  <c r="G34" i="1" s="1"/>
  <c r="D148" i="12"/>
  <c r="G154" i="1" s="1"/>
  <c r="D86" i="12"/>
  <c r="G92" i="1" s="1"/>
  <c r="D41" i="12"/>
  <c r="G47" i="1" s="1"/>
  <c r="D37" i="12"/>
  <c r="G43" i="1" s="1"/>
  <c r="D58" i="12"/>
  <c r="G64" i="1" s="1"/>
  <c r="D114" i="12"/>
  <c r="G120" i="1" s="1"/>
  <c r="D168" i="12"/>
  <c r="G174" i="1" s="1"/>
  <c r="D27" i="12"/>
  <c r="G33" i="1" s="1"/>
  <c r="D88" i="12"/>
  <c r="G94" i="1" s="1"/>
  <c r="D17" i="12"/>
  <c r="G23" i="1" s="1"/>
  <c r="D80" i="12"/>
  <c r="G86" i="1" s="1"/>
  <c r="D162" i="12"/>
  <c r="G168" i="1" s="1"/>
  <c r="D136" i="12"/>
  <c r="G142" i="1" s="1"/>
  <c r="D6" i="12"/>
  <c r="D152" i="12"/>
  <c r="G158" i="1" s="1"/>
  <c r="D62" i="12"/>
  <c r="G68" i="1" s="1"/>
  <c r="D21" i="12"/>
  <c r="G27" i="1" s="1"/>
  <c r="D211" i="12"/>
  <c r="D91" i="12"/>
  <c r="G97" i="1" s="1"/>
  <c r="D77" i="12"/>
  <c r="G83" i="1" s="1"/>
  <c r="D117" i="12"/>
  <c r="G123" i="1" s="1"/>
  <c r="D190" i="12"/>
  <c r="G196" i="1" s="1"/>
  <c r="D95" i="12"/>
  <c r="G101" i="1" s="1"/>
  <c r="D191" i="12"/>
  <c r="G197" i="1" s="1"/>
  <c r="D198" i="12"/>
  <c r="G204" i="1" s="1"/>
  <c r="D172" i="12"/>
  <c r="G178" i="1" s="1"/>
  <c r="D56" i="12"/>
  <c r="G62" i="1" s="1"/>
  <c r="D157" i="12"/>
  <c r="G163" i="1" s="1"/>
  <c r="D145" i="12"/>
  <c r="G151" i="1" s="1"/>
  <c r="D165" i="12"/>
  <c r="G171" i="1" s="1"/>
  <c r="D90" i="12"/>
  <c r="G96" i="1" s="1"/>
  <c r="D11" i="12"/>
  <c r="G17" i="1" s="1"/>
  <c r="D206" i="12"/>
  <c r="G212" i="1" s="1"/>
  <c r="D65" i="12"/>
  <c r="G71" i="1" s="1"/>
  <c r="D18" i="12"/>
  <c r="G24" i="1" s="1"/>
  <c r="D196" i="12"/>
  <c r="G202" i="1" s="1"/>
  <c r="C68" i="12"/>
  <c r="F74" i="1" s="1"/>
  <c r="C130" i="12"/>
  <c r="F136" i="1" s="1"/>
  <c r="C199" i="12"/>
  <c r="F205" i="1" s="1"/>
  <c r="C121" i="12"/>
  <c r="F127" i="1" s="1"/>
  <c r="C25" i="12"/>
  <c r="F31" i="1" s="1"/>
  <c r="C24" i="12"/>
  <c r="F30" i="1" s="1"/>
  <c r="C106" i="12"/>
  <c r="F112" i="1" s="1"/>
  <c r="C166" i="12"/>
  <c r="F172" i="1" s="1"/>
  <c r="C170" i="12"/>
  <c r="F176" i="1" s="1"/>
  <c r="C86" i="12"/>
  <c r="F92" i="1" s="1"/>
  <c r="C100" i="12"/>
  <c r="F106" i="1" s="1"/>
  <c r="C20" i="12"/>
  <c r="F26" i="1" s="1"/>
  <c r="C13" i="12"/>
  <c r="F19" i="1" s="1"/>
  <c r="C196" i="12"/>
  <c r="F202" i="1" s="1"/>
  <c r="C107" i="12"/>
  <c r="F113" i="1" s="1"/>
  <c r="C57" i="12"/>
  <c r="F63" i="1" s="1"/>
  <c r="C41" i="12"/>
  <c r="F47" i="1" s="1"/>
  <c r="C87" i="12"/>
  <c r="F93" i="1" s="1"/>
  <c r="C96" i="12"/>
  <c r="F102" i="1" s="1"/>
  <c r="C132" i="12"/>
  <c r="F138" i="1" s="1"/>
  <c r="C74" i="12"/>
  <c r="F80" i="1" s="1"/>
  <c r="C98" i="12"/>
  <c r="F104" i="1" s="1"/>
  <c r="C204" i="12"/>
  <c r="F210" i="1" s="1"/>
  <c r="C140" i="12"/>
  <c r="F146" i="1" s="1"/>
  <c r="C22" i="12"/>
  <c r="F28" i="1" s="1"/>
  <c r="C210" i="12"/>
  <c r="C139" i="12"/>
  <c r="F145" i="1" s="1"/>
  <c r="C184" i="12"/>
  <c r="F190" i="1" s="1"/>
  <c r="C45" i="12"/>
  <c r="F51" i="1" s="1"/>
  <c r="C93" i="12"/>
  <c r="F99" i="1" s="1"/>
  <c r="C21" i="12"/>
  <c r="F27" i="1" s="1"/>
  <c r="C171" i="12"/>
  <c r="F177" i="1" s="1"/>
  <c r="C193" i="12"/>
  <c r="F199" i="1" s="1"/>
  <c r="C112" i="12"/>
  <c r="F118" i="1" s="1"/>
  <c r="C54" i="12"/>
  <c r="F60" i="1" s="1"/>
  <c r="C58" i="12"/>
  <c r="F64" i="1" s="1"/>
  <c r="C110" i="12"/>
  <c r="F116" i="1" s="1"/>
  <c r="C115" i="12"/>
  <c r="F121" i="1" s="1"/>
  <c r="C30" i="12"/>
  <c r="F36" i="1" s="1"/>
  <c r="C72" i="12"/>
  <c r="F78" i="1" s="1"/>
  <c r="C78" i="12"/>
  <c r="F84" i="1" s="1"/>
  <c r="C59" i="12"/>
  <c r="F65" i="1" s="1"/>
  <c r="C19" i="12"/>
  <c r="F25" i="1" s="1"/>
  <c r="C168" i="12"/>
  <c r="F174" i="1" s="1"/>
  <c r="C47" i="12"/>
  <c r="F53" i="1" s="1"/>
  <c r="C61" i="12"/>
  <c r="F67" i="1" s="1"/>
  <c r="C17" i="12"/>
  <c r="F23" i="1" s="1"/>
  <c r="C26" i="12"/>
  <c r="F32" i="1" s="1"/>
  <c r="C104" i="12"/>
  <c r="F110" i="1" s="1"/>
  <c r="C64" i="12"/>
  <c r="F70" i="1" s="1"/>
  <c r="C143" i="12"/>
  <c r="F149" i="1" s="1"/>
  <c r="C113" i="12"/>
  <c r="F119" i="1" s="1"/>
  <c r="C102" i="12"/>
  <c r="F108" i="1" s="1"/>
  <c r="C133" i="12"/>
  <c r="F139" i="1" s="1"/>
  <c r="C127" i="12"/>
  <c r="F133" i="1" s="1"/>
  <c r="C189" i="12"/>
  <c r="F195" i="1" s="1"/>
  <c r="C122" i="12"/>
  <c r="F128" i="1" s="1"/>
  <c r="C28" i="12"/>
  <c r="F34" i="1" s="1"/>
  <c r="C99" i="12"/>
  <c r="F105" i="1" s="1"/>
  <c r="C165" i="12"/>
  <c r="F171" i="1" s="1"/>
  <c r="C151" i="12"/>
  <c r="F157" i="1" s="1"/>
  <c r="C129" i="12"/>
  <c r="F135" i="1" s="1"/>
  <c r="C5" i="12"/>
  <c r="C10" i="12"/>
  <c r="F16" i="1" s="1"/>
  <c r="C114" i="12"/>
  <c r="F120" i="1" s="1"/>
  <c r="C178" i="12"/>
  <c r="F184" i="1" s="1"/>
  <c r="C111" i="12"/>
  <c r="F117" i="1" s="1"/>
  <c r="C29" i="12"/>
  <c r="F35" i="1" s="1"/>
  <c r="C160" i="12"/>
  <c r="F166" i="1" s="1"/>
  <c r="C12" i="12"/>
  <c r="F18" i="1" s="1"/>
  <c r="C27" i="12"/>
  <c r="F33" i="1" s="1"/>
  <c r="C161" i="12"/>
  <c r="F167" i="1" s="1"/>
  <c r="C97" i="12"/>
  <c r="F103" i="1" s="1"/>
  <c r="C125" i="12"/>
  <c r="F131" i="1" s="1"/>
  <c r="C109" i="12"/>
  <c r="F115" i="1" s="1"/>
  <c r="C67" i="12"/>
  <c r="F73" i="1" s="1"/>
  <c r="C163" i="12"/>
  <c r="F169" i="1" s="1"/>
  <c r="C32" i="12"/>
  <c r="F38" i="1" s="1"/>
  <c r="C206" i="12"/>
  <c r="F212" i="1" s="1"/>
  <c r="C134" i="12"/>
  <c r="F140" i="1" s="1"/>
  <c r="C75" i="12"/>
  <c r="F81" i="1" s="1"/>
  <c r="C124" i="12"/>
  <c r="F130" i="1" s="1"/>
  <c r="C40" i="12"/>
  <c r="F46" i="1" s="1"/>
  <c r="C198" i="12"/>
  <c r="F204" i="1" s="1"/>
  <c r="C175" i="12"/>
  <c r="F181" i="1" s="1"/>
  <c r="C194" i="12"/>
  <c r="F200" i="1" s="1"/>
  <c r="C84" i="12"/>
  <c r="F90" i="1" s="1"/>
  <c r="C174" i="12"/>
  <c r="F180" i="1" s="1"/>
  <c r="C167" i="12"/>
  <c r="F173" i="1" s="1"/>
  <c r="C131" i="12"/>
  <c r="F137" i="1" s="1"/>
  <c r="C39" i="12"/>
  <c r="F45" i="1" s="1"/>
  <c r="C94" i="12"/>
  <c r="F100" i="1" s="1"/>
  <c r="C76" i="12"/>
  <c r="F82" i="1" s="1"/>
  <c r="C119" i="12"/>
  <c r="F125" i="1" s="1"/>
  <c r="C208" i="12"/>
  <c r="F214" i="1" s="1"/>
  <c r="C201" i="12"/>
  <c r="F207" i="1" s="1"/>
  <c r="C95" i="12"/>
  <c r="F101" i="1" s="1"/>
  <c r="C118" i="12"/>
  <c r="F124" i="1" s="1"/>
  <c r="C137" i="12"/>
  <c r="F143" i="1" s="1"/>
  <c r="C138" i="12"/>
  <c r="F144" i="1" s="1"/>
  <c r="C85" i="12"/>
  <c r="F91" i="1" s="1"/>
  <c r="C205" i="12"/>
  <c r="F211" i="1" s="1"/>
  <c r="C91" i="12"/>
  <c r="F97" i="1" s="1"/>
  <c r="C172" i="12"/>
  <c r="F178" i="1" s="1"/>
  <c r="C9" i="12"/>
  <c r="F15" i="1" s="1"/>
  <c r="C200" i="12"/>
  <c r="F206" i="1" s="1"/>
  <c r="C101" i="12"/>
  <c r="F107" i="1" s="1"/>
  <c r="C116" i="12"/>
  <c r="F122" i="1" s="1"/>
  <c r="C158" i="12"/>
  <c r="F164" i="1" s="1"/>
  <c r="C144" i="12"/>
  <c r="F150" i="1" s="1"/>
  <c r="C82" i="12"/>
  <c r="F88" i="1" s="1"/>
  <c r="C187" i="12"/>
  <c r="F193" i="1" s="1"/>
  <c r="C56" i="12"/>
  <c r="F62" i="1" s="1"/>
  <c r="C145" i="12"/>
  <c r="F151" i="1" s="1"/>
  <c r="C195" i="12"/>
  <c r="F201" i="1" s="1"/>
  <c r="C51" i="12"/>
  <c r="F57" i="1" s="1"/>
  <c r="C6" i="12"/>
  <c r="C62" i="12"/>
  <c r="F68" i="1" s="1"/>
  <c r="C92" i="12"/>
  <c r="F98" i="1" s="1"/>
  <c r="C211" i="12"/>
  <c r="C146" i="12"/>
  <c r="F152" i="1" s="1"/>
  <c r="C103" i="12"/>
  <c r="F109" i="1" s="1"/>
  <c r="C16" i="12"/>
  <c r="F22" i="1" s="1"/>
  <c r="C153" i="12"/>
  <c r="F159" i="1" s="1"/>
  <c r="C159" i="12"/>
  <c r="F165" i="1" s="1"/>
  <c r="C108" i="12"/>
  <c r="F114" i="1" s="1"/>
  <c r="C70" i="12"/>
  <c r="F76" i="1" s="1"/>
  <c r="C169" i="12"/>
  <c r="F175" i="1" s="1"/>
  <c r="C89" i="12"/>
  <c r="F95" i="1" s="1"/>
  <c r="C88" i="12"/>
  <c r="F94" i="1" s="1"/>
  <c r="C203" i="12"/>
  <c r="F209" i="1" s="1"/>
  <c r="C117" i="12"/>
  <c r="F123" i="1" s="1"/>
  <c r="C42" i="12"/>
  <c r="F48" i="1" s="1"/>
  <c r="C49" i="12"/>
  <c r="F55" i="1" s="1"/>
  <c r="C69" i="12"/>
  <c r="F75" i="1" s="1"/>
  <c r="C154" i="12"/>
  <c r="F160" i="1" s="1"/>
  <c r="C7" i="12"/>
  <c r="F13" i="1" s="1"/>
  <c r="C81" i="12"/>
  <c r="F87" i="1" s="1"/>
  <c r="C71" i="12"/>
  <c r="F77" i="1" s="1"/>
  <c r="C43" i="12"/>
  <c r="F49" i="1" s="1"/>
  <c r="C149" i="12"/>
  <c r="F155" i="1" s="1"/>
  <c r="C188" i="12"/>
  <c r="F194" i="1" s="1"/>
  <c r="C120" i="12"/>
  <c r="F126" i="1" s="1"/>
  <c r="C77" i="12"/>
  <c r="F83" i="1" s="1"/>
  <c r="C14" i="12"/>
  <c r="F20" i="1" s="1"/>
  <c r="C35" i="12"/>
  <c r="F41" i="1" s="1"/>
  <c r="C23" i="12"/>
  <c r="F29" i="1" s="1"/>
  <c r="C79" i="12"/>
  <c r="F85" i="1" s="1"/>
  <c r="C176" i="12"/>
  <c r="F182" i="1" s="1"/>
  <c r="C48" i="12"/>
  <c r="F54" i="1" s="1"/>
  <c r="C34" i="12"/>
  <c r="F40" i="1" s="1"/>
  <c r="C183" i="12"/>
  <c r="F189" i="1" s="1"/>
  <c r="C60" i="12"/>
  <c r="F66" i="1" s="1"/>
  <c r="C53" i="12"/>
  <c r="F59" i="1" s="1"/>
  <c r="C37" i="12"/>
  <c r="F43" i="1" s="1"/>
  <c r="C33" i="12"/>
  <c r="F39" i="1" s="1"/>
  <c r="C156" i="12"/>
  <c r="F162" i="1" s="1"/>
  <c r="C44" i="12"/>
  <c r="F50" i="1" s="1"/>
  <c r="C46" i="12"/>
  <c r="F52" i="1" s="1"/>
  <c r="C147" i="12"/>
  <c r="F153" i="1" s="1"/>
  <c r="C36" i="12"/>
  <c r="F42" i="1" s="1"/>
  <c r="C182" i="12"/>
  <c r="F188" i="1" s="1"/>
  <c r="C209" i="12"/>
  <c r="C185" i="12"/>
  <c r="F191" i="1" s="1"/>
  <c r="C150" i="12"/>
  <c r="F156" i="1" s="1"/>
  <c r="C55" i="12"/>
  <c r="F61" i="1" s="1"/>
  <c r="C186" i="12"/>
  <c r="F192" i="1" s="1"/>
  <c r="C157" i="12"/>
  <c r="F163" i="1" s="1"/>
  <c r="C50" i="12"/>
  <c r="F56" i="1" s="1"/>
  <c r="C148" i="12"/>
  <c r="F154" i="1" s="1"/>
  <c r="C135" i="12"/>
  <c r="F141" i="1" s="1"/>
  <c r="C136" i="12"/>
  <c r="F142" i="1" s="1"/>
  <c r="C123" i="12"/>
  <c r="F129" i="1" s="1"/>
  <c r="C197" i="12"/>
  <c r="F203" i="1" s="1"/>
  <c r="C164" i="12"/>
  <c r="F170" i="1" s="1"/>
  <c r="C38" i="12"/>
  <c r="F44" i="1" s="1"/>
  <c r="C126" i="12"/>
  <c r="F132" i="1" s="1"/>
  <c r="C65" i="12"/>
  <c r="F71" i="1" s="1"/>
  <c r="C162" i="12"/>
  <c r="F168" i="1" s="1"/>
  <c r="C83" i="12"/>
  <c r="F89" i="1" s="1"/>
  <c r="C66" i="12"/>
  <c r="F72" i="1" s="1"/>
  <c r="C80" i="12"/>
  <c r="F86" i="1" s="1"/>
  <c r="C52" i="12"/>
  <c r="F58" i="1" s="1"/>
  <c r="C141" i="12"/>
  <c r="F147" i="1" s="1"/>
  <c r="C190" i="12"/>
  <c r="F196" i="1" s="1"/>
  <c r="C180" i="12"/>
  <c r="F186" i="1" s="1"/>
  <c r="C63" i="12"/>
  <c r="F69" i="1" s="1"/>
  <c r="C15" i="12"/>
  <c r="F21" i="1" s="1"/>
  <c r="C177" i="12"/>
  <c r="F183" i="1" s="1"/>
  <c r="C90" i="12"/>
  <c r="F96" i="1" s="1"/>
  <c r="C8" i="12"/>
  <c r="F14" i="1" s="1"/>
  <c r="C31" i="12"/>
  <c r="F37" i="1" s="1"/>
  <c r="C73" i="12"/>
  <c r="F79" i="1" s="1"/>
  <c r="C155" i="12"/>
  <c r="F161" i="1" s="1"/>
  <c r="C152" i="12"/>
  <c r="F158" i="1" s="1"/>
  <c r="C191" i="12"/>
  <c r="F197" i="1" s="1"/>
  <c r="C192" i="12"/>
  <c r="F198" i="1" s="1"/>
  <c r="C207" i="12"/>
  <c r="F213" i="1" s="1"/>
  <c r="C202" i="12"/>
  <c r="F208" i="1" s="1"/>
  <c r="C179" i="12"/>
  <c r="F185" i="1" s="1"/>
  <c r="C142" i="12"/>
  <c r="F148" i="1" s="1"/>
  <c r="C181" i="12"/>
  <c r="F187" i="1" s="1"/>
  <c r="C105" i="12"/>
  <c r="F111" i="1" s="1"/>
  <c r="C128" i="12"/>
  <c r="F134" i="1" s="1"/>
  <c r="C173" i="12"/>
  <c r="F179" i="1" s="1"/>
  <c r="C11" i="12"/>
  <c r="F17" i="1" s="1"/>
  <c r="C18" i="12"/>
  <c r="F24" i="1" s="1"/>
  <c r="B19" i="12"/>
  <c r="B105" i="12"/>
  <c r="B156" i="12"/>
  <c r="B56" i="12"/>
  <c r="B94" i="12"/>
  <c r="E100" i="1" s="1"/>
  <c r="B151" i="12"/>
  <c r="B57" i="12"/>
  <c r="B122" i="12"/>
  <c r="E128" i="1" s="1"/>
  <c r="B50" i="12"/>
  <c r="B77" i="12"/>
  <c r="E83" i="1" s="1"/>
  <c r="B131" i="12"/>
  <c r="B98" i="12"/>
  <c r="B83" i="12"/>
  <c r="E89" i="1" s="1"/>
  <c r="B62" i="12"/>
  <c r="B120" i="12"/>
  <c r="B82" i="12"/>
  <c r="E88" i="1" s="1"/>
  <c r="B161" i="12"/>
  <c r="E167" i="1" s="1"/>
  <c r="B25" i="12"/>
  <c r="B90" i="12"/>
  <c r="E96" i="1" s="1"/>
  <c r="B39" i="12"/>
  <c r="B183" i="12"/>
  <c r="B115" i="12"/>
  <c r="B104" i="12"/>
  <c r="B124" i="12"/>
  <c r="B17" i="12"/>
  <c r="B132" i="12"/>
  <c r="B192" i="12"/>
  <c r="B78" i="12"/>
  <c r="B15" i="12"/>
  <c r="B53" i="12"/>
  <c r="B154" i="12"/>
  <c r="B155" i="12"/>
  <c r="B27" i="12"/>
  <c r="B169" i="12"/>
  <c r="B188" i="12"/>
  <c r="B193" i="12"/>
  <c r="B81" i="12"/>
  <c r="E87" i="1" s="1"/>
  <c r="B148" i="12"/>
  <c r="B47" i="12"/>
  <c r="B95" i="12"/>
  <c r="E101" i="1" s="1"/>
  <c r="B42" i="12"/>
  <c r="B67" i="12"/>
  <c r="B61" i="12"/>
  <c r="E67" i="1" s="1"/>
  <c r="B46" i="12"/>
  <c r="B204" i="12"/>
  <c r="B180" i="12"/>
  <c r="B93" i="12"/>
  <c r="E99" i="1" s="1"/>
  <c r="B170" i="12"/>
  <c r="E176" i="1" s="1"/>
  <c r="B125" i="12"/>
  <c r="B97" i="12"/>
  <c r="E103" i="1" s="1"/>
  <c r="B110" i="12"/>
  <c r="E116" i="1" s="1"/>
  <c r="B36" i="12"/>
  <c r="B41" i="12"/>
  <c r="B8" i="12"/>
  <c r="B89" i="12"/>
  <c r="E95" i="1" s="1"/>
  <c r="B69" i="12"/>
  <c r="E75" i="1" s="1"/>
  <c r="B102" i="12"/>
  <c r="B64" i="12"/>
  <c r="E70" i="1" s="1"/>
  <c r="B208" i="12"/>
  <c r="B10" i="12"/>
  <c r="B37" i="12"/>
  <c r="B141" i="12"/>
  <c r="B153" i="12"/>
  <c r="B134" i="12"/>
  <c r="B127" i="12"/>
  <c r="B20" i="12"/>
  <c r="B164" i="12"/>
  <c r="B96" i="12"/>
  <c r="B210" i="12"/>
  <c r="B163" i="12"/>
  <c r="B200" i="12"/>
  <c r="B181" i="12"/>
  <c r="B111" i="12"/>
  <c r="E117" i="1" s="1"/>
  <c r="B60" i="12"/>
  <c r="B65" i="12"/>
  <c r="B24" i="12"/>
  <c r="B184" i="12"/>
  <c r="B9" i="12"/>
  <c r="B52" i="12"/>
  <c r="B68" i="12"/>
  <c r="B75" i="12"/>
  <c r="B7" i="12"/>
  <c r="B48" i="12"/>
  <c r="B166" i="12"/>
  <c r="B118" i="12"/>
  <c r="E124" i="1" s="1"/>
  <c r="B191" i="12"/>
  <c r="B12" i="12"/>
  <c r="B103" i="12"/>
  <c r="B179" i="12"/>
  <c r="B117" i="12"/>
  <c r="B146" i="12"/>
  <c r="B114" i="12"/>
  <c r="B66" i="12"/>
  <c r="B201" i="12"/>
  <c r="B45" i="12"/>
  <c r="B196" i="12"/>
  <c r="B59" i="12"/>
  <c r="B135" i="12"/>
  <c r="B142" i="12"/>
  <c r="B13" i="12"/>
  <c r="B21" i="12"/>
  <c r="B144" i="12"/>
  <c r="B189" i="12"/>
  <c r="B35" i="12"/>
  <c r="B63" i="12"/>
  <c r="B172" i="12"/>
  <c r="B44" i="12"/>
  <c r="B129" i="12"/>
  <c r="B71" i="12"/>
  <c r="B18" i="12"/>
  <c r="B207" i="12"/>
  <c r="FM207" i="12" s="1"/>
  <c r="FN207" i="12" s="1"/>
  <c r="B51" i="12"/>
  <c r="B107" i="12"/>
  <c r="E113" i="1" s="1"/>
  <c r="B195" i="12"/>
  <c r="B109" i="12"/>
  <c r="E115" i="1" s="1"/>
  <c r="B116" i="12"/>
  <c r="B211" i="12"/>
  <c r="B187" i="12"/>
  <c r="B43" i="12"/>
  <c r="B34" i="12"/>
  <c r="B190" i="12"/>
  <c r="B173" i="12"/>
  <c r="E179" i="1" s="1"/>
  <c r="B84" i="12"/>
  <c r="B158" i="12"/>
  <c r="B160" i="12"/>
  <c r="B123" i="12"/>
  <c r="B203" i="12"/>
  <c r="B205" i="12"/>
  <c r="B72" i="12"/>
  <c r="B74" i="12"/>
  <c r="B162" i="12"/>
  <c r="B40" i="12"/>
  <c r="B22" i="12"/>
  <c r="B26" i="12"/>
  <c r="B209" i="12"/>
  <c r="B87" i="12"/>
  <c r="B136" i="12"/>
  <c r="B76" i="12"/>
  <c r="E82" i="1" s="1"/>
  <c r="B186" i="12"/>
  <c r="B49" i="12"/>
  <c r="B149" i="12"/>
  <c r="B112" i="12"/>
  <c r="E118" i="1" s="1"/>
  <c r="B194" i="12"/>
  <c r="B80" i="12"/>
  <c r="E86" i="1" s="1"/>
  <c r="B133" i="12"/>
  <c r="B79" i="12"/>
  <c r="E85" i="1" s="1"/>
  <c r="B159" i="12"/>
  <c r="B199" i="12"/>
  <c r="B58" i="12"/>
  <c r="B198" i="12"/>
  <c r="B6" i="12"/>
  <c r="B137" i="12"/>
  <c r="B70" i="12"/>
  <c r="B14" i="12"/>
  <c r="B113" i="12"/>
  <c r="B121" i="12"/>
  <c r="E127" i="1" s="1"/>
  <c r="B54" i="12"/>
  <c r="B197" i="12"/>
  <c r="B176" i="12"/>
  <c r="B206" i="12"/>
  <c r="FM206" i="12" s="1"/>
  <c r="FN206" i="12" s="1"/>
  <c r="B185" i="12"/>
  <c r="B119" i="12"/>
  <c r="E125" i="1" s="1"/>
  <c r="B168" i="12"/>
  <c r="B100" i="12"/>
  <c r="B130" i="12"/>
  <c r="B31" i="12"/>
  <c r="B32" i="12"/>
  <c r="B138" i="12"/>
  <c r="B143" i="12"/>
  <c r="B182" i="12"/>
  <c r="B55" i="12"/>
  <c r="B38" i="12"/>
  <c r="B177" i="12"/>
  <c r="B11" i="12"/>
  <c r="B140" i="12"/>
  <c r="B101" i="12"/>
  <c r="B88" i="12"/>
  <c r="B23" i="12"/>
  <c r="B165" i="12"/>
  <c r="B99" i="12"/>
  <c r="B91" i="12"/>
  <c r="E97" i="1" s="1"/>
  <c r="B33" i="12"/>
  <c r="B202" i="12"/>
  <c r="B157" i="12"/>
  <c r="B5" i="12"/>
  <c r="B108" i="12"/>
  <c r="E114" i="1" s="1"/>
  <c r="B30" i="12"/>
  <c r="B85" i="12"/>
  <c r="E91" i="1" s="1"/>
  <c r="B175" i="12"/>
  <c r="B73" i="12"/>
  <c r="B178" i="12"/>
  <c r="B147" i="12"/>
  <c r="B171" i="12"/>
  <c r="B145" i="12"/>
  <c r="B29" i="12"/>
  <c r="B106" i="12"/>
  <c r="E112" i="1" s="1"/>
  <c r="B139" i="12"/>
  <c r="B126" i="12"/>
  <c r="B86" i="12"/>
  <c r="E92" i="1" s="1"/>
  <c r="B16" i="12"/>
  <c r="B174" i="12"/>
  <c r="B92" i="12"/>
  <c r="E98" i="1" s="1"/>
  <c r="B167" i="12"/>
  <c r="E173" i="1" s="1"/>
  <c r="B28" i="12"/>
  <c r="B150" i="12"/>
  <c r="E156" i="1" s="1"/>
  <c r="B152" i="12"/>
  <c r="B128" i="12"/>
  <c r="DW345" i="12"/>
  <c r="A209" i="12" s="1"/>
  <c r="A137" i="12"/>
  <c r="A53" i="12"/>
  <c r="A17" i="12"/>
  <c r="A100" i="12"/>
  <c r="A34" i="12"/>
  <c r="A98" i="12"/>
  <c r="A92" i="12"/>
  <c r="A181" i="12"/>
  <c r="A119" i="12"/>
  <c r="A122" i="12"/>
  <c r="A167" i="12"/>
  <c r="A45" i="12"/>
  <c r="A155" i="12"/>
  <c r="A54" i="12"/>
  <c r="A29" i="12"/>
  <c r="A194" i="12"/>
  <c r="A113" i="12"/>
  <c r="A23" i="12"/>
  <c r="A135" i="12"/>
  <c r="A85" i="12"/>
  <c r="A139" i="12"/>
  <c r="A132" i="12"/>
  <c r="A11" i="12"/>
  <c r="A58" i="12"/>
  <c r="A171" i="12"/>
  <c r="A13" i="12"/>
  <c r="A8" i="12"/>
  <c r="A60" i="12"/>
  <c r="A37" i="12"/>
  <c r="A142" i="12"/>
  <c r="A148" i="12"/>
  <c r="A94" i="12"/>
  <c r="A204" i="12"/>
  <c r="A96" i="12"/>
  <c r="A24" i="12"/>
  <c r="A170" i="12"/>
  <c r="A162" i="12"/>
  <c r="A121" i="12"/>
  <c r="A176" i="12"/>
  <c r="A70" i="12"/>
  <c r="A174" i="12"/>
  <c r="A106" i="12"/>
  <c r="A149" i="12"/>
  <c r="A49" i="12"/>
  <c r="A136" i="12"/>
  <c r="A165" i="12"/>
  <c r="A141" i="12"/>
  <c r="A147" i="12"/>
  <c r="A190" i="12"/>
  <c r="A105" i="12"/>
  <c r="A50" i="12"/>
  <c r="A88" i="12"/>
  <c r="A206" i="12"/>
  <c r="A178" i="12"/>
  <c r="A86" i="12"/>
  <c r="A133" i="12"/>
  <c r="A177" i="12"/>
  <c r="A179" i="12"/>
  <c r="A38" i="12"/>
  <c r="A39" i="12"/>
  <c r="A51" i="12"/>
  <c r="A55" i="12"/>
  <c r="A52" i="12"/>
  <c r="A36" i="12"/>
  <c r="A26" i="12"/>
  <c r="A120" i="12"/>
  <c r="A158" i="12"/>
  <c r="A183" i="12"/>
  <c r="A173" i="12"/>
  <c r="A89" i="12"/>
  <c r="A103" i="12"/>
  <c r="A151" i="12"/>
  <c r="A33" i="12"/>
  <c r="A99" i="12"/>
  <c r="A61" i="12"/>
  <c r="A192" i="12"/>
  <c r="A68" i="12"/>
  <c r="A48" i="12"/>
  <c r="A127" i="12"/>
  <c r="A125" i="12"/>
  <c r="A161" i="12"/>
  <c r="A166" i="12"/>
  <c r="A164" i="12"/>
  <c r="A63" i="12"/>
  <c r="A208" i="12"/>
  <c r="A197" i="12"/>
  <c r="A12" i="12"/>
  <c r="A143" i="12"/>
  <c r="A182" i="12"/>
  <c r="A184" i="12"/>
  <c r="A10" i="12"/>
  <c r="A20" i="12"/>
  <c r="A32" i="12"/>
  <c r="A69" i="12"/>
  <c r="A180" i="12"/>
  <c r="A138" i="12"/>
  <c r="A130" i="12"/>
  <c r="A27" i="12"/>
  <c r="A104" i="12"/>
  <c r="A44" i="12"/>
  <c r="A175" i="12"/>
  <c r="A97" i="12"/>
  <c r="A196" i="12"/>
  <c r="A101" i="12"/>
  <c r="A140" i="12"/>
  <c r="A56" i="12"/>
  <c r="A30" i="12"/>
  <c r="A189" i="12"/>
  <c r="A64" i="12"/>
  <c r="A80" i="12"/>
  <c r="A47" i="12"/>
  <c r="A41" i="12"/>
  <c r="A154" i="12"/>
  <c r="A117" i="12"/>
  <c r="A19" i="12"/>
  <c r="A102" i="12"/>
  <c r="A157" i="12"/>
  <c r="A79" i="12"/>
  <c r="A87" i="12"/>
  <c r="A129" i="12"/>
  <c r="A169" i="12"/>
  <c r="A73" i="12"/>
  <c r="A31" i="12"/>
  <c r="A144" i="12"/>
  <c r="A201" i="12"/>
  <c r="A159" i="12"/>
  <c r="A187" i="12"/>
  <c r="A205" i="12"/>
  <c r="A198" i="12"/>
  <c r="A191" i="12"/>
  <c r="A83" i="12"/>
  <c r="A42" i="12"/>
  <c r="A76" i="12"/>
  <c r="A199" i="12"/>
  <c r="A75" i="12"/>
  <c r="A146" i="12"/>
  <c r="A71" i="12"/>
  <c r="A16" i="12"/>
  <c r="A90" i="12"/>
  <c r="A108" i="12"/>
  <c r="A186" i="12"/>
  <c r="A22" i="12"/>
  <c r="A134" i="12"/>
  <c r="A14" i="12"/>
  <c r="A160" i="12"/>
  <c r="A84" i="12"/>
  <c r="A67" i="12"/>
  <c r="A15" i="12"/>
  <c r="A124" i="12"/>
  <c r="A59" i="12"/>
  <c r="A25" i="12"/>
  <c r="A168" i="12"/>
  <c r="A172" i="12"/>
  <c r="A207" i="12"/>
  <c r="A18" i="12"/>
  <c r="A128" i="12"/>
  <c r="A203" i="12"/>
  <c r="A46" i="12"/>
  <c r="A65" i="12"/>
  <c r="A153" i="12"/>
  <c r="A93" i="12"/>
  <c r="A193" i="12"/>
  <c r="A114" i="12"/>
  <c r="A111" i="12"/>
  <c r="A95" i="12"/>
  <c r="A28" i="12"/>
  <c r="A82" i="12"/>
  <c r="A116" i="12"/>
  <c r="A163" i="12"/>
  <c r="A77" i="12"/>
  <c r="A72" i="12"/>
  <c r="A188" i="12"/>
  <c r="A126" i="12"/>
  <c r="A195" i="12"/>
  <c r="A156" i="12"/>
  <c r="A123" i="12"/>
  <c r="A185" i="12"/>
  <c r="A9" i="12"/>
  <c r="A110" i="12"/>
  <c r="A118" i="12"/>
  <c r="A62" i="12"/>
  <c r="A57" i="12"/>
  <c r="A109" i="12"/>
  <c r="A145" i="12"/>
  <c r="A152" i="12"/>
  <c r="A107" i="12"/>
  <c r="A78" i="12"/>
  <c r="A40" i="12"/>
  <c r="A131" i="12"/>
  <c r="A115" i="12"/>
  <c r="A66" i="12"/>
  <c r="A150" i="12"/>
  <c r="A21" i="12"/>
  <c r="A200" i="12"/>
  <c r="A35" i="12"/>
  <c r="A81" i="12"/>
  <c r="A112" i="12"/>
  <c r="A74" i="12"/>
  <c r="A43" i="12"/>
  <c r="A91" i="12"/>
  <c r="A202" i="12"/>
  <c r="H124" i="1" l="1"/>
  <c r="H176" i="1"/>
  <c r="DN308" i="12"/>
  <c r="H113" i="1"/>
  <c r="H85" i="1"/>
  <c r="H96" i="1"/>
  <c r="H118" i="1"/>
  <c r="H83" i="1"/>
  <c r="H82" i="1"/>
  <c r="FM69" i="12"/>
  <c r="FN69" i="12" s="1"/>
  <c r="H179" i="1"/>
  <c r="H99" i="1"/>
  <c r="I213" i="1"/>
  <c r="H86" i="1"/>
  <c r="H127" i="1"/>
  <c r="H87" i="1"/>
  <c r="H125" i="1"/>
  <c r="H67" i="1"/>
  <c r="H101" i="1"/>
  <c r="H88" i="1"/>
  <c r="H89" i="1"/>
  <c r="H167" i="1"/>
  <c r="H112" i="1"/>
  <c r="H103" i="1"/>
  <c r="H75" i="1"/>
  <c r="H116" i="1"/>
  <c r="H100" i="1"/>
  <c r="H92" i="1"/>
  <c r="H114" i="1"/>
  <c r="H70" i="1"/>
  <c r="I214" i="1"/>
  <c r="H115" i="1"/>
  <c r="H117" i="1"/>
  <c r="H128" i="1"/>
  <c r="H173" i="1"/>
  <c r="H91" i="1"/>
  <c r="H97" i="1"/>
  <c r="H95" i="1"/>
  <c r="H156" i="1"/>
  <c r="H98" i="1"/>
  <c r="FH207" i="12"/>
  <c r="FH107" i="12"/>
  <c r="FI107" i="12" s="1"/>
  <c r="I113" i="1"/>
  <c r="FH124" i="12"/>
  <c r="FI124" i="12" s="1"/>
  <c r="I130" i="1"/>
  <c r="FH52" i="12"/>
  <c r="FI52" i="12" s="1"/>
  <c r="I58" i="1"/>
  <c r="FH28" i="12"/>
  <c r="FI28" i="12" s="1"/>
  <c r="I34" i="1"/>
  <c r="FH89" i="12"/>
  <c r="FI89" i="12" s="1"/>
  <c r="I95" i="1"/>
  <c r="FH78" i="12"/>
  <c r="FI78" i="12" s="1"/>
  <c r="I84" i="1"/>
  <c r="I161" i="1"/>
  <c r="FH155" i="12"/>
  <c r="FH187" i="12"/>
  <c r="FI187" i="12" s="1"/>
  <c r="I193" i="1"/>
  <c r="FH62" i="12"/>
  <c r="FI62" i="12" s="1"/>
  <c r="I68" i="1"/>
  <c r="FH6" i="12"/>
  <c r="FI6" i="12" s="1"/>
  <c r="I12" i="1"/>
  <c r="AH5" i="12"/>
  <c r="AG5" i="12"/>
  <c r="FH116" i="12"/>
  <c r="FI116" i="12" s="1"/>
  <c r="I122" i="1"/>
  <c r="I194" i="1"/>
  <c r="FH188" i="12"/>
  <c r="FH70" i="12"/>
  <c r="FI70" i="12" s="1"/>
  <c r="I76" i="1"/>
  <c r="FH206" i="12"/>
  <c r="I212" i="1"/>
  <c r="FH20" i="12"/>
  <c r="FI20" i="12" s="1"/>
  <c r="I26" i="1"/>
  <c r="FH74" i="12"/>
  <c r="FI74" i="12" s="1"/>
  <c r="I80" i="1"/>
  <c r="FH153" i="12"/>
  <c r="I159" i="1"/>
  <c r="I196" i="1"/>
  <c r="FH190" i="12"/>
  <c r="FH54" i="12"/>
  <c r="FI54" i="12" s="1"/>
  <c r="I60" i="1"/>
  <c r="FH27" i="12"/>
  <c r="FI27" i="12" s="1"/>
  <c r="I33" i="1"/>
  <c r="FH196" i="12"/>
  <c r="I202" i="1"/>
  <c r="I137" i="1"/>
  <c r="FH131" i="12"/>
  <c r="FH123" i="12"/>
  <c r="FI123" i="12" s="1"/>
  <c r="I129" i="1"/>
  <c r="I132" i="1"/>
  <c r="FH126" i="12"/>
  <c r="FI126" i="12" s="1"/>
  <c r="FH97" i="12"/>
  <c r="FI97" i="12" s="1"/>
  <c r="I103" i="1"/>
  <c r="FH17" i="12"/>
  <c r="FI17" i="12" s="1"/>
  <c r="I23" i="1"/>
  <c r="FH38" i="12"/>
  <c r="FI38" i="12" s="1"/>
  <c r="I44" i="1"/>
  <c r="FH67" i="12"/>
  <c r="FI67" i="12" s="1"/>
  <c r="I73" i="1"/>
  <c r="FH40" i="12"/>
  <c r="FI40" i="12" s="1"/>
  <c r="I46" i="1"/>
  <c r="FH88" i="12"/>
  <c r="FI88" i="12" s="1"/>
  <c r="I94" i="1"/>
  <c r="FH63" i="12"/>
  <c r="FI63" i="12" s="1"/>
  <c r="I69" i="1"/>
  <c r="FH34" i="12"/>
  <c r="FI34" i="12" s="1"/>
  <c r="I40" i="1"/>
  <c r="FH164" i="12"/>
  <c r="FI164" i="12" s="1"/>
  <c r="I170" i="1"/>
  <c r="FH138" i="12"/>
  <c r="FI138" i="12" s="1"/>
  <c r="I144" i="1"/>
  <c r="FH156" i="12"/>
  <c r="FI156" i="12" s="1"/>
  <c r="I162" i="1"/>
  <c r="FH168" i="12"/>
  <c r="FI168" i="12" s="1"/>
  <c r="I174" i="1"/>
  <c r="FH73" i="12"/>
  <c r="FI73" i="12" s="1"/>
  <c r="I79" i="1"/>
  <c r="FH90" i="12"/>
  <c r="FI90" i="12" s="1"/>
  <c r="I96" i="1"/>
  <c r="FH104" i="12"/>
  <c r="FI104" i="12" s="1"/>
  <c r="I110" i="1"/>
  <c r="FH75" i="12"/>
  <c r="FI75" i="12" s="1"/>
  <c r="I81" i="1"/>
  <c r="FH85" i="12"/>
  <c r="FI85" i="12" s="1"/>
  <c r="I91" i="1"/>
  <c r="I185" i="1"/>
  <c r="FH146" i="12"/>
  <c r="I152" i="1"/>
  <c r="I182" i="1"/>
  <c r="FH13" i="12"/>
  <c r="FI13" i="12" s="1"/>
  <c r="I19" i="1"/>
  <c r="FH134" i="12"/>
  <c r="FI134" i="12" s="1"/>
  <c r="I140" i="1"/>
  <c r="FH171" i="12"/>
  <c r="FI171" i="12" s="1"/>
  <c r="I177" i="1"/>
  <c r="FH172" i="12"/>
  <c r="FI172" i="12" s="1"/>
  <c r="I178" i="1"/>
  <c r="FH158" i="12"/>
  <c r="FI158" i="12" s="1"/>
  <c r="I164" i="1"/>
  <c r="FH162" i="12"/>
  <c r="FI162" i="12" s="1"/>
  <c r="I168" i="1"/>
  <c r="FH14" i="12"/>
  <c r="FI14" i="12" s="1"/>
  <c r="I20" i="1"/>
  <c r="I157" i="1"/>
  <c r="FH151" i="12"/>
  <c r="FH197" i="12"/>
  <c r="I203" i="1"/>
  <c r="FH80" i="12"/>
  <c r="FI80" i="12" s="1"/>
  <c r="I86" i="1"/>
  <c r="FH50" i="12"/>
  <c r="FI50" i="12" s="1"/>
  <c r="I56" i="1"/>
  <c r="FH43" i="12"/>
  <c r="FI43" i="12" s="1"/>
  <c r="I49" i="1"/>
  <c r="I204" i="1"/>
  <c r="FH198" i="12"/>
  <c r="FH128" i="12"/>
  <c r="I134" i="1"/>
  <c r="FH160" i="12"/>
  <c r="FI160" i="12" s="1"/>
  <c r="I166" i="1"/>
  <c r="FH144" i="12"/>
  <c r="I150" i="1"/>
  <c r="FH118" i="12"/>
  <c r="FI118" i="12" s="1"/>
  <c r="I124" i="1"/>
  <c r="FH71" i="12"/>
  <c r="FI71" i="12" s="1"/>
  <c r="I77" i="1"/>
  <c r="FH24" i="12"/>
  <c r="FI24" i="12" s="1"/>
  <c r="I30" i="1"/>
  <c r="I186" i="1"/>
  <c r="FH180" i="12"/>
  <c r="FI180" i="12" s="1"/>
  <c r="FH59" i="12"/>
  <c r="FI59" i="12" s="1"/>
  <c r="I65" i="1"/>
  <c r="I190" i="1"/>
  <c r="FH184" i="12"/>
  <c r="FH49" i="12"/>
  <c r="FI49" i="12" s="1"/>
  <c r="I55" i="1"/>
  <c r="FH141" i="12"/>
  <c r="FI141" i="12" s="1"/>
  <c r="I147" i="1"/>
  <c r="FH72" i="12"/>
  <c r="FI72" i="12" s="1"/>
  <c r="I78" i="1"/>
  <c r="FH30" i="12"/>
  <c r="FI30" i="12" s="1"/>
  <c r="I36" i="1"/>
  <c r="FH86" i="12"/>
  <c r="FI86" i="12" s="1"/>
  <c r="I92" i="1"/>
  <c r="FH115" i="12"/>
  <c r="FI115" i="12" s="1"/>
  <c r="I121" i="1"/>
  <c r="FH161" i="12"/>
  <c r="FI161" i="12" s="1"/>
  <c r="I167" i="1"/>
  <c r="FH12" i="12"/>
  <c r="FI12" i="12" s="1"/>
  <c r="I18" i="1"/>
  <c r="FH44" i="12"/>
  <c r="FI44" i="12" s="1"/>
  <c r="I50" i="1"/>
  <c r="FH51" i="12"/>
  <c r="FI51" i="12" s="1"/>
  <c r="I57" i="1"/>
  <c r="FH98" i="12"/>
  <c r="FI98" i="12" s="1"/>
  <c r="I104" i="1"/>
  <c r="FH19" i="12"/>
  <c r="FI19" i="12" s="1"/>
  <c r="I25" i="1"/>
  <c r="FH96" i="12"/>
  <c r="FI96" i="12" s="1"/>
  <c r="I102" i="1"/>
  <c r="FH200" i="12"/>
  <c r="I206" i="1"/>
  <c r="I154" i="1"/>
  <c r="FH148" i="12"/>
  <c r="FH111" i="12"/>
  <c r="FI111" i="12" s="1"/>
  <c r="I117" i="1"/>
  <c r="FH57" i="12"/>
  <c r="FI57" i="12" s="1"/>
  <c r="I63" i="1"/>
  <c r="FH18" i="12"/>
  <c r="FI18" i="12" s="1"/>
  <c r="I24" i="1"/>
  <c r="FH37" i="12"/>
  <c r="FI37" i="12" s="1"/>
  <c r="I43" i="1"/>
  <c r="FH157" i="12"/>
  <c r="FI157" i="12" s="1"/>
  <c r="I163" i="1"/>
  <c r="FH145" i="12"/>
  <c r="I151" i="1"/>
  <c r="FH81" i="12"/>
  <c r="FI81" i="12" s="1"/>
  <c r="I87" i="1"/>
  <c r="FH92" i="12"/>
  <c r="FI92" i="12" s="1"/>
  <c r="I98" i="1"/>
  <c r="FH35" i="12"/>
  <c r="FI35" i="12" s="1"/>
  <c r="I41" i="1"/>
  <c r="FH193" i="12"/>
  <c r="I199" i="1"/>
  <c r="FH108" i="12"/>
  <c r="FI108" i="12" s="1"/>
  <c r="I114" i="1"/>
  <c r="FH79" i="12"/>
  <c r="FI79" i="12" s="1"/>
  <c r="I85" i="1"/>
  <c r="FH99" i="12"/>
  <c r="FI99" i="12" s="1"/>
  <c r="I105" i="1"/>
  <c r="FH77" i="12"/>
  <c r="FI77" i="12" s="1"/>
  <c r="I83" i="1"/>
  <c r="I141" i="1"/>
  <c r="FH135" i="12"/>
  <c r="FH143" i="12"/>
  <c r="I149" i="1"/>
  <c r="FH166" i="12"/>
  <c r="FI166" i="12" s="1"/>
  <c r="I172" i="1"/>
  <c r="FH119" i="12"/>
  <c r="FI119" i="12" s="1"/>
  <c r="I125" i="1"/>
  <c r="I156" i="1"/>
  <c r="FH150" i="12"/>
  <c r="FH55" i="12"/>
  <c r="FI55" i="12" s="1"/>
  <c r="I61" i="1"/>
  <c r="FH32" i="12"/>
  <c r="FI32" i="12" s="1"/>
  <c r="I38" i="1"/>
  <c r="I209" i="1"/>
  <c r="FH203" i="12"/>
  <c r="FH83" i="12"/>
  <c r="FI83" i="12" s="1"/>
  <c r="I89" i="1"/>
  <c r="FH21" i="12"/>
  <c r="FI21" i="12" s="1"/>
  <c r="I27" i="1"/>
  <c r="FH36" i="12"/>
  <c r="FI36" i="12" s="1"/>
  <c r="I42" i="1"/>
  <c r="FH113" i="12"/>
  <c r="FI113" i="12" s="1"/>
  <c r="I119" i="1"/>
  <c r="FH42" i="12"/>
  <c r="FI42" i="12" s="1"/>
  <c r="I48" i="1"/>
  <c r="FH169" i="12"/>
  <c r="FI169" i="12" s="1"/>
  <c r="I175" i="1"/>
  <c r="FH7" i="12"/>
  <c r="FI7" i="12" s="1"/>
  <c r="I13" i="1"/>
  <c r="FH117" i="12"/>
  <c r="FI117" i="12" s="1"/>
  <c r="I123" i="1"/>
  <c r="FH103" i="12"/>
  <c r="FI103" i="12" s="1"/>
  <c r="I109" i="1"/>
  <c r="FH106" i="12"/>
  <c r="FI106" i="12" s="1"/>
  <c r="I112" i="1"/>
  <c r="FH58" i="12"/>
  <c r="FI58" i="12" s="1"/>
  <c r="I64" i="1"/>
  <c r="FH170" i="12"/>
  <c r="FI170" i="12" s="1"/>
  <c r="I176" i="1"/>
  <c r="FH60" i="12"/>
  <c r="FI60" i="12" s="1"/>
  <c r="I66" i="1"/>
  <c r="I160" i="1"/>
  <c r="FH154" i="12"/>
  <c r="FH182" i="12"/>
  <c r="I188" i="1"/>
  <c r="FH159" i="12"/>
  <c r="FI159" i="12" s="1"/>
  <c r="I165" i="1"/>
  <c r="FH5" i="12"/>
  <c r="FI5" i="12" s="1"/>
  <c r="I11" i="1"/>
  <c r="AH4" i="12"/>
  <c r="AG4" i="12"/>
  <c r="FH112" i="12"/>
  <c r="FI112" i="12" s="1"/>
  <c r="I118" i="1"/>
  <c r="FH94" i="12"/>
  <c r="FI94" i="12" s="1"/>
  <c r="I100" i="1"/>
  <c r="FH195" i="12"/>
  <c r="I201" i="1"/>
  <c r="FH82" i="12"/>
  <c r="FI82" i="12" s="1"/>
  <c r="I88" i="1"/>
  <c r="FH105" i="12"/>
  <c r="FI105" i="12" s="1"/>
  <c r="I111" i="1"/>
  <c r="FH26" i="12"/>
  <c r="FI26" i="12" s="1"/>
  <c r="I32" i="1"/>
  <c r="FH29" i="12"/>
  <c r="FI29" i="12" s="1"/>
  <c r="I35" i="1"/>
  <c r="FH114" i="12"/>
  <c r="FI114" i="12" s="1"/>
  <c r="I120" i="1"/>
  <c r="FH84" i="12"/>
  <c r="FI84" i="12" s="1"/>
  <c r="I90" i="1"/>
  <c r="FH76" i="12"/>
  <c r="FI76" i="12" s="1"/>
  <c r="I82" i="1"/>
  <c r="FH137" i="12"/>
  <c r="FI137" i="12" s="1"/>
  <c r="I143" i="1"/>
  <c r="FH205" i="12"/>
  <c r="I211" i="1"/>
  <c r="I207" i="1"/>
  <c r="FH201" i="12"/>
  <c r="FH140" i="12"/>
  <c r="FI140" i="12" s="1"/>
  <c r="I146" i="1"/>
  <c r="I181" i="1"/>
  <c r="I153" i="1"/>
  <c r="FH147" i="12"/>
  <c r="FH11" i="12"/>
  <c r="FI11" i="12" s="1"/>
  <c r="I17" i="1"/>
  <c r="FH16" i="12"/>
  <c r="FI16" i="12" s="1"/>
  <c r="I22" i="1"/>
  <c r="FH204" i="12"/>
  <c r="I210" i="1"/>
  <c r="FH152" i="12"/>
  <c r="I158" i="1"/>
  <c r="FH46" i="12"/>
  <c r="FI46" i="12" s="1"/>
  <c r="I52" i="1"/>
  <c r="FH101" i="12"/>
  <c r="FI101" i="12" s="1"/>
  <c r="I107" i="1"/>
  <c r="FH15" i="12"/>
  <c r="FI15" i="12" s="1"/>
  <c r="I21" i="1"/>
  <c r="FH8" i="12"/>
  <c r="FI8" i="12" s="1"/>
  <c r="I14" i="1"/>
  <c r="FH10" i="12"/>
  <c r="FI10" i="12" s="1"/>
  <c r="I16" i="1"/>
  <c r="FH110" i="12"/>
  <c r="FI110" i="12" s="1"/>
  <c r="I116" i="1"/>
  <c r="FH192" i="12"/>
  <c r="I198" i="1"/>
  <c r="FH45" i="12"/>
  <c r="FI45" i="12" s="1"/>
  <c r="I51" i="1"/>
  <c r="FH132" i="12"/>
  <c r="I138" i="1"/>
  <c r="FH139" i="12"/>
  <c r="FI139" i="12" s="1"/>
  <c r="I145" i="1"/>
  <c r="FH33" i="12"/>
  <c r="FI33" i="12" s="1"/>
  <c r="I39" i="1"/>
  <c r="FH22" i="12"/>
  <c r="FI22" i="12" s="1"/>
  <c r="I28" i="1"/>
  <c r="FH31" i="12"/>
  <c r="FI31" i="12" s="1"/>
  <c r="I37" i="1"/>
  <c r="FH39" i="12"/>
  <c r="FI39" i="12" s="1"/>
  <c r="I45" i="1"/>
  <c r="FH130" i="12"/>
  <c r="I136" i="1"/>
  <c r="FH66" i="12"/>
  <c r="FI66" i="12" s="1"/>
  <c r="I72" i="1"/>
  <c r="FH173" i="12"/>
  <c r="FI173" i="12" s="1"/>
  <c r="I179" i="1"/>
  <c r="FH65" i="12"/>
  <c r="FI65" i="12" s="1"/>
  <c r="I71" i="1"/>
  <c r="FH23" i="12"/>
  <c r="FI23" i="12" s="1"/>
  <c r="I29" i="1"/>
  <c r="FH48" i="12"/>
  <c r="FI48" i="12" s="1"/>
  <c r="I54" i="1"/>
  <c r="FH186" i="12"/>
  <c r="I192" i="1"/>
  <c r="FH61" i="12"/>
  <c r="FI61" i="12" s="1"/>
  <c r="I67" i="1"/>
  <c r="I195" i="1"/>
  <c r="FH189" i="12"/>
  <c r="FH163" i="12"/>
  <c r="FI163" i="12" s="1"/>
  <c r="I169" i="1"/>
  <c r="FH56" i="12"/>
  <c r="FI56" i="12" s="1"/>
  <c r="I62" i="1"/>
  <c r="I183" i="1"/>
  <c r="I189" i="1"/>
  <c r="FH183" i="12"/>
  <c r="FH109" i="12"/>
  <c r="FI109" i="12" s="1"/>
  <c r="I115" i="1"/>
  <c r="FH125" i="12"/>
  <c r="FI125" i="12" s="1"/>
  <c r="I131" i="1"/>
  <c r="FH199" i="12"/>
  <c r="I205" i="1"/>
  <c r="FH127" i="12"/>
  <c r="FI127" i="12" s="1"/>
  <c r="I133" i="1"/>
  <c r="FH64" i="12"/>
  <c r="FI64" i="12" s="1"/>
  <c r="I70" i="1"/>
  <c r="FH142" i="12"/>
  <c r="I148" i="1"/>
  <c r="I200" i="1"/>
  <c r="FH194" i="12"/>
  <c r="I139" i="1"/>
  <c r="FH133" i="12"/>
  <c r="FH122" i="12"/>
  <c r="FI122" i="12" s="1"/>
  <c r="I128" i="1"/>
  <c r="FH47" i="12"/>
  <c r="FI47" i="12" s="1"/>
  <c r="I53" i="1"/>
  <c r="FH100" i="12"/>
  <c r="FI100" i="12" s="1"/>
  <c r="I106" i="1"/>
  <c r="FH87" i="12"/>
  <c r="FI87" i="12" s="1"/>
  <c r="I93" i="1"/>
  <c r="FH185" i="12"/>
  <c r="I191" i="1"/>
  <c r="FH25" i="12"/>
  <c r="FI25" i="12" s="1"/>
  <c r="I31" i="1"/>
  <c r="FH120" i="12"/>
  <c r="FI120" i="12" s="1"/>
  <c r="I126" i="1"/>
  <c r="FH93" i="12"/>
  <c r="FI93" i="12" s="1"/>
  <c r="I99" i="1"/>
  <c r="FH136" i="12"/>
  <c r="FI136" i="12" s="1"/>
  <c r="I142" i="1"/>
  <c r="I208" i="1"/>
  <c r="FH202" i="12"/>
  <c r="I184" i="1"/>
  <c r="FH53" i="12"/>
  <c r="FI53" i="12" s="1"/>
  <c r="I59" i="1"/>
  <c r="FH149" i="12"/>
  <c r="I155" i="1"/>
  <c r="FH102" i="12"/>
  <c r="FI102" i="12" s="1"/>
  <c r="I108" i="1"/>
  <c r="FH95" i="12"/>
  <c r="FI95" i="12" s="1"/>
  <c r="I101" i="1"/>
  <c r="FH181" i="12"/>
  <c r="I187" i="1"/>
  <c r="FH167" i="12"/>
  <c r="FI167" i="12" s="1"/>
  <c r="I173" i="1"/>
  <c r="FH165" i="12"/>
  <c r="FI165" i="12" s="1"/>
  <c r="I171" i="1"/>
  <c r="FH41" i="12"/>
  <c r="FI41" i="12" s="1"/>
  <c r="I47" i="1"/>
  <c r="I197" i="1"/>
  <c r="FH191" i="12"/>
  <c r="I135" i="1"/>
  <c r="FH129" i="12"/>
  <c r="I180" i="1"/>
  <c r="FH69" i="12"/>
  <c r="FI69" i="12" s="1"/>
  <c r="I75" i="1"/>
  <c r="FH121" i="12"/>
  <c r="FI121" i="12" s="1"/>
  <c r="I127" i="1"/>
  <c r="FH9" i="12"/>
  <c r="FI9" i="12" s="1"/>
  <c r="I15" i="1"/>
  <c r="FH91" i="12"/>
  <c r="FI91" i="12" s="1"/>
  <c r="I97" i="1"/>
  <c r="FH68" i="12"/>
  <c r="FI68" i="12" s="1"/>
  <c r="I74" i="1"/>
  <c r="G12" i="1"/>
  <c r="AE5" i="12"/>
  <c r="E213" i="1"/>
  <c r="H213" i="1" s="1"/>
  <c r="F12" i="1"/>
  <c r="AD5" i="12"/>
  <c r="F11" i="1"/>
  <c r="AD4" i="12"/>
  <c r="E212" i="1"/>
  <c r="H212" i="1" s="1"/>
  <c r="FM171" i="12"/>
  <c r="FN171" i="12" s="1"/>
  <c r="E177" i="1"/>
  <c r="H177" i="1" s="1"/>
  <c r="FM73" i="12"/>
  <c r="FN73" i="12" s="1"/>
  <c r="E79" i="1"/>
  <c r="H79" i="1" s="1"/>
  <c r="FM157" i="12"/>
  <c r="FN157" i="12" s="1"/>
  <c r="E163" i="1"/>
  <c r="H163" i="1" s="1"/>
  <c r="E29" i="1"/>
  <c r="H29" i="1" s="1"/>
  <c r="FM23" i="12"/>
  <c r="FN23" i="12" s="1"/>
  <c r="FM140" i="12"/>
  <c r="FN140" i="12" s="1"/>
  <c r="E146" i="1"/>
  <c r="H146" i="1" s="1"/>
  <c r="FM31" i="12"/>
  <c r="FN31" i="12" s="1"/>
  <c r="E37" i="1"/>
  <c r="H37" i="1" s="1"/>
  <c r="FM168" i="12"/>
  <c r="FN168" i="12" s="1"/>
  <c r="E174" i="1"/>
  <c r="H174" i="1" s="1"/>
  <c r="FM197" i="12"/>
  <c r="FN197" i="12" s="1"/>
  <c r="E203" i="1"/>
  <c r="H203" i="1" s="1"/>
  <c r="FM113" i="12"/>
  <c r="FN113" i="12" s="1"/>
  <c r="E119" i="1"/>
  <c r="H119" i="1" s="1"/>
  <c r="FM14" i="12"/>
  <c r="FN14" i="12" s="1"/>
  <c r="E20" i="1"/>
  <c r="H20" i="1" s="1"/>
  <c r="FM6" i="12"/>
  <c r="FN6" i="12" s="1"/>
  <c r="E12" i="1"/>
  <c r="H12" i="1" s="1"/>
  <c r="AC5" i="12"/>
  <c r="E64" i="1"/>
  <c r="H64" i="1" s="1"/>
  <c r="FM22" i="12"/>
  <c r="FN22" i="12" s="1"/>
  <c r="E28" i="1"/>
  <c r="H28" i="1" s="1"/>
  <c r="FM74" i="12"/>
  <c r="FN74" i="12" s="1"/>
  <c r="E80" i="1"/>
  <c r="H80" i="1" s="1"/>
  <c r="FM123" i="12"/>
  <c r="FN123" i="12" s="1"/>
  <c r="E129" i="1"/>
  <c r="H129" i="1" s="1"/>
  <c r="FM84" i="12"/>
  <c r="FN84" i="12" s="1"/>
  <c r="E90" i="1"/>
  <c r="H90" i="1" s="1"/>
  <c r="FM43" i="12"/>
  <c r="FN43" i="12" s="1"/>
  <c r="E49" i="1"/>
  <c r="H49" i="1" s="1"/>
  <c r="FM71" i="12"/>
  <c r="FN71" i="12" s="1"/>
  <c r="E77" i="1"/>
  <c r="H77" i="1" s="1"/>
  <c r="E69" i="1"/>
  <c r="H69" i="1" s="1"/>
  <c r="E19" i="1"/>
  <c r="H19" i="1" s="1"/>
  <c r="FM13" i="12"/>
  <c r="FN13" i="12" s="1"/>
  <c r="E72" i="1"/>
  <c r="H72" i="1" s="1"/>
  <c r="FM103" i="12"/>
  <c r="FN103" i="12" s="1"/>
  <c r="E109" i="1"/>
  <c r="H109" i="1" s="1"/>
  <c r="E13" i="1"/>
  <c r="H13" i="1" s="1"/>
  <c r="FM7" i="12"/>
  <c r="FN7" i="12" s="1"/>
  <c r="FM52" i="12"/>
  <c r="FN52" i="12" s="1"/>
  <c r="E58" i="1"/>
  <c r="H58" i="1" s="1"/>
  <c r="FM163" i="12"/>
  <c r="FN163" i="12" s="1"/>
  <c r="E169" i="1"/>
  <c r="H169" i="1" s="1"/>
  <c r="FM20" i="12"/>
  <c r="FN20" i="12" s="1"/>
  <c r="E26" i="1"/>
  <c r="H26" i="1" s="1"/>
  <c r="FM10" i="12"/>
  <c r="FN10" i="12" s="1"/>
  <c r="E16" i="1"/>
  <c r="H16" i="1" s="1"/>
  <c r="FM36" i="12"/>
  <c r="FN36" i="12" s="1"/>
  <c r="E42" i="1"/>
  <c r="H42" i="1" s="1"/>
  <c r="FM46" i="12"/>
  <c r="FN46" i="12" s="1"/>
  <c r="E52" i="1"/>
  <c r="H52" i="1" s="1"/>
  <c r="FM193" i="12"/>
  <c r="FN193" i="12" s="1"/>
  <c r="E199" i="1"/>
  <c r="H199" i="1" s="1"/>
  <c r="FM53" i="12"/>
  <c r="FN53" i="12" s="1"/>
  <c r="E59" i="1"/>
  <c r="H59" i="1" s="1"/>
  <c r="FM78" i="12"/>
  <c r="FN78" i="12" s="1"/>
  <c r="E84" i="1"/>
  <c r="H84" i="1" s="1"/>
  <c r="FM104" i="12"/>
  <c r="FN104" i="12" s="1"/>
  <c r="E110" i="1"/>
  <c r="H110" i="1" s="1"/>
  <c r="E68" i="1"/>
  <c r="H68" i="1" s="1"/>
  <c r="FM62" i="12"/>
  <c r="FN62" i="12" s="1"/>
  <c r="FM131" i="12"/>
  <c r="FN131" i="12" s="1"/>
  <c r="E137" i="1"/>
  <c r="H137" i="1" s="1"/>
  <c r="E63" i="1"/>
  <c r="H63" i="1" s="1"/>
  <c r="E62" i="1"/>
  <c r="H62" i="1" s="1"/>
  <c r="FM56" i="12"/>
  <c r="FN56" i="12" s="1"/>
  <c r="FM28" i="12"/>
  <c r="FN28" i="12" s="1"/>
  <c r="E34" i="1"/>
  <c r="H34" i="1" s="1"/>
  <c r="FM174" i="12"/>
  <c r="FN174" i="12" s="1"/>
  <c r="FH174" i="12"/>
  <c r="E180" i="1"/>
  <c r="H180" i="1" s="1"/>
  <c r="FM145" i="12"/>
  <c r="FN145" i="12" s="1"/>
  <c r="E151" i="1"/>
  <c r="H151" i="1" s="1"/>
  <c r="FM147" i="12"/>
  <c r="FN147" i="12" s="1"/>
  <c r="E153" i="1"/>
  <c r="H153" i="1" s="1"/>
  <c r="FM30" i="12"/>
  <c r="FN30" i="12" s="1"/>
  <c r="E36" i="1"/>
  <c r="H36" i="1" s="1"/>
  <c r="FM202" i="12"/>
  <c r="FN202" i="12" s="1"/>
  <c r="E208" i="1"/>
  <c r="H208" i="1" s="1"/>
  <c r="FM99" i="12"/>
  <c r="FN99" i="12" s="1"/>
  <c r="E105" i="1"/>
  <c r="H105" i="1" s="1"/>
  <c r="E94" i="1"/>
  <c r="H94" i="1" s="1"/>
  <c r="FM11" i="12"/>
  <c r="FN11" i="12" s="1"/>
  <c r="E17" i="1"/>
  <c r="H17" i="1" s="1"/>
  <c r="E61" i="1"/>
  <c r="H61" i="1" s="1"/>
  <c r="FM55" i="12"/>
  <c r="FN55" i="12" s="1"/>
  <c r="FM138" i="12"/>
  <c r="FN138" i="12" s="1"/>
  <c r="E144" i="1"/>
  <c r="H144" i="1" s="1"/>
  <c r="FM130" i="12"/>
  <c r="FN130" i="12" s="1"/>
  <c r="E136" i="1"/>
  <c r="H136" i="1" s="1"/>
  <c r="FM176" i="12"/>
  <c r="FN176" i="12" s="1"/>
  <c r="FH176" i="12"/>
  <c r="E182" i="1"/>
  <c r="H182" i="1" s="1"/>
  <c r="E76" i="1"/>
  <c r="H76" i="1" s="1"/>
  <c r="FM199" i="12"/>
  <c r="FN199" i="12" s="1"/>
  <c r="E205" i="1"/>
  <c r="H205" i="1" s="1"/>
  <c r="FM133" i="12"/>
  <c r="FN133" i="12" s="1"/>
  <c r="E139" i="1"/>
  <c r="H139" i="1" s="1"/>
  <c r="FM149" i="12"/>
  <c r="FN149" i="12" s="1"/>
  <c r="E155" i="1"/>
  <c r="H155" i="1" s="1"/>
  <c r="E93" i="1"/>
  <c r="H93" i="1" s="1"/>
  <c r="FM87" i="12"/>
  <c r="FN87" i="12" s="1"/>
  <c r="FM72" i="12"/>
  <c r="FN72" i="12" s="1"/>
  <c r="E78" i="1"/>
  <c r="H78" i="1" s="1"/>
  <c r="FM160" i="12"/>
  <c r="FN160" i="12" s="1"/>
  <c r="E166" i="1"/>
  <c r="H166" i="1" s="1"/>
  <c r="E122" i="1"/>
  <c r="H122" i="1" s="1"/>
  <c r="FM51" i="12"/>
  <c r="FN51" i="12" s="1"/>
  <c r="E57" i="1"/>
  <c r="H57" i="1" s="1"/>
  <c r="FM129" i="12"/>
  <c r="FN129" i="12" s="1"/>
  <c r="E135" i="1"/>
  <c r="H135" i="1" s="1"/>
  <c r="FM21" i="12"/>
  <c r="FN21" i="12" s="1"/>
  <c r="E27" i="1"/>
  <c r="H27" i="1" s="1"/>
  <c r="E65" i="1"/>
  <c r="H65" i="1" s="1"/>
  <c r="FM59" i="12"/>
  <c r="FN59" i="12" s="1"/>
  <c r="FM45" i="12"/>
  <c r="FN45" i="12" s="1"/>
  <c r="E51" i="1"/>
  <c r="H51" i="1" s="1"/>
  <c r="FM114" i="12"/>
  <c r="FN114" i="12" s="1"/>
  <c r="E120" i="1"/>
  <c r="H120" i="1" s="1"/>
  <c r="FM12" i="12"/>
  <c r="FN12" i="12" s="1"/>
  <c r="E18" i="1"/>
  <c r="H18" i="1" s="1"/>
  <c r="FM75" i="12"/>
  <c r="FN75" i="12" s="1"/>
  <c r="E81" i="1"/>
  <c r="H81" i="1" s="1"/>
  <c r="FM9" i="12"/>
  <c r="FN9" i="12" s="1"/>
  <c r="E15" i="1"/>
  <c r="H15" i="1" s="1"/>
  <c r="E71" i="1"/>
  <c r="H71" i="1" s="1"/>
  <c r="FM65" i="12"/>
  <c r="FN65" i="12" s="1"/>
  <c r="FM181" i="12"/>
  <c r="FN181" i="12" s="1"/>
  <c r="E187" i="1"/>
  <c r="H187" i="1" s="1"/>
  <c r="FM127" i="12"/>
  <c r="FN127" i="12" s="1"/>
  <c r="E133" i="1"/>
  <c r="H133" i="1" s="1"/>
  <c r="FM102" i="12"/>
  <c r="FN102" i="12" s="1"/>
  <c r="E108" i="1"/>
  <c r="H108" i="1" s="1"/>
  <c r="FM8" i="12"/>
  <c r="FN8" i="12" s="1"/>
  <c r="E14" i="1"/>
  <c r="H14" i="1" s="1"/>
  <c r="FM180" i="12"/>
  <c r="FN180" i="12" s="1"/>
  <c r="E186" i="1"/>
  <c r="H186" i="1" s="1"/>
  <c r="FM42" i="12"/>
  <c r="FN42" i="12" s="1"/>
  <c r="E48" i="1"/>
  <c r="H48" i="1" s="1"/>
  <c r="FM188" i="12"/>
  <c r="FN188" i="12" s="1"/>
  <c r="E194" i="1"/>
  <c r="H194" i="1" s="1"/>
  <c r="FM27" i="12"/>
  <c r="FN27" i="12" s="1"/>
  <c r="E33" i="1"/>
  <c r="H33" i="1" s="1"/>
  <c r="FM192" i="12"/>
  <c r="FN192" i="12" s="1"/>
  <c r="E198" i="1"/>
  <c r="H198" i="1" s="1"/>
  <c r="FM115" i="12"/>
  <c r="FN115" i="12" s="1"/>
  <c r="E121" i="1"/>
  <c r="H121" i="1" s="1"/>
  <c r="FM151" i="12"/>
  <c r="FN151" i="12" s="1"/>
  <c r="E157" i="1"/>
  <c r="H157" i="1" s="1"/>
  <c r="E162" i="1"/>
  <c r="H162" i="1" s="1"/>
  <c r="FM126" i="12"/>
  <c r="FN126" i="12" s="1"/>
  <c r="E132" i="1"/>
  <c r="H132" i="1" s="1"/>
  <c r="FM175" i="12"/>
  <c r="FN175" i="12" s="1"/>
  <c r="FH175" i="12"/>
  <c r="E181" i="1"/>
  <c r="H181" i="1" s="1"/>
  <c r="FM165" i="12"/>
  <c r="FN165" i="12" s="1"/>
  <c r="E171" i="1"/>
  <c r="H171" i="1" s="1"/>
  <c r="FM101" i="12"/>
  <c r="FN101" i="12" s="1"/>
  <c r="E107" i="1"/>
  <c r="H107" i="1" s="1"/>
  <c r="FM177" i="12"/>
  <c r="FN177" i="12" s="1"/>
  <c r="FH177" i="12"/>
  <c r="E183" i="1"/>
  <c r="H183" i="1" s="1"/>
  <c r="FM182" i="12"/>
  <c r="FN182" i="12" s="1"/>
  <c r="E188" i="1"/>
  <c r="H188" i="1" s="1"/>
  <c r="FM32" i="12"/>
  <c r="FN32" i="12" s="1"/>
  <c r="E38" i="1"/>
  <c r="H38" i="1" s="1"/>
  <c r="FM54" i="12"/>
  <c r="FN54" i="12" s="1"/>
  <c r="E60" i="1"/>
  <c r="H60" i="1" s="1"/>
  <c r="FM137" i="12"/>
  <c r="FN137" i="12" s="1"/>
  <c r="E143" i="1"/>
  <c r="H143" i="1" s="1"/>
  <c r="FM198" i="12"/>
  <c r="FN198" i="12" s="1"/>
  <c r="E204" i="1"/>
  <c r="H204" i="1" s="1"/>
  <c r="FM49" i="12"/>
  <c r="FN49" i="12" s="1"/>
  <c r="E55" i="1"/>
  <c r="H55" i="1" s="1"/>
  <c r="FM136" i="12"/>
  <c r="FN136" i="12" s="1"/>
  <c r="E142" i="1"/>
  <c r="H142" i="1" s="1"/>
  <c r="FM40" i="12"/>
  <c r="FN40" i="12" s="1"/>
  <c r="E46" i="1"/>
  <c r="H46" i="1" s="1"/>
  <c r="E211" i="1"/>
  <c r="H211" i="1" s="1"/>
  <c r="FM205" i="12"/>
  <c r="FN205" i="12" s="1"/>
  <c r="FM190" i="12"/>
  <c r="FN190" i="12" s="1"/>
  <c r="E196" i="1"/>
  <c r="H196" i="1" s="1"/>
  <c r="FM18" i="12"/>
  <c r="FN18" i="12" s="1"/>
  <c r="E24" i="1"/>
  <c r="H24" i="1" s="1"/>
  <c r="FM44" i="12"/>
  <c r="FN44" i="12" s="1"/>
  <c r="E50" i="1"/>
  <c r="H50" i="1" s="1"/>
  <c r="FM35" i="12"/>
  <c r="FN35" i="12" s="1"/>
  <c r="E41" i="1"/>
  <c r="H41" i="1" s="1"/>
  <c r="FM142" i="12"/>
  <c r="FN142" i="12" s="1"/>
  <c r="E148" i="1"/>
  <c r="H148" i="1" s="1"/>
  <c r="FM196" i="12"/>
  <c r="FN196" i="12" s="1"/>
  <c r="E202" i="1"/>
  <c r="H202" i="1" s="1"/>
  <c r="FM201" i="12"/>
  <c r="FN201" i="12" s="1"/>
  <c r="E207" i="1"/>
  <c r="H207" i="1" s="1"/>
  <c r="FM146" i="12"/>
  <c r="FN146" i="12" s="1"/>
  <c r="E152" i="1"/>
  <c r="H152" i="1" s="1"/>
  <c r="FM179" i="12"/>
  <c r="FN179" i="12" s="1"/>
  <c r="E185" i="1"/>
  <c r="H185" i="1" s="1"/>
  <c r="FH179" i="12"/>
  <c r="FM191" i="12"/>
  <c r="FN191" i="12" s="1"/>
  <c r="E197" i="1"/>
  <c r="H197" i="1" s="1"/>
  <c r="FM166" i="12"/>
  <c r="FN166" i="12" s="1"/>
  <c r="E172" i="1"/>
  <c r="H172" i="1" s="1"/>
  <c r="FM184" i="12"/>
  <c r="FN184" i="12" s="1"/>
  <c r="E190" i="1"/>
  <c r="H190" i="1" s="1"/>
  <c r="E66" i="1"/>
  <c r="H66" i="1" s="1"/>
  <c r="FM96" i="12"/>
  <c r="FN96" i="12" s="1"/>
  <c r="E102" i="1"/>
  <c r="H102" i="1" s="1"/>
  <c r="FM134" i="12"/>
  <c r="FN134" i="12" s="1"/>
  <c r="E140" i="1"/>
  <c r="H140" i="1" s="1"/>
  <c r="FM41" i="12"/>
  <c r="FN41" i="12" s="1"/>
  <c r="E47" i="1"/>
  <c r="H47" i="1" s="1"/>
  <c r="FM204" i="12"/>
  <c r="FN204" i="12" s="1"/>
  <c r="E210" i="1"/>
  <c r="H210" i="1" s="1"/>
  <c r="FM148" i="12"/>
  <c r="FN148" i="12" s="1"/>
  <c r="E154" i="1"/>
  <c r="H154" i="1" s="1"/>
  <c r="FM155" i="12"/>
  <c r="FN155" i="12" s="1"/>
  <c r="E161" i="1"/>
  <c r="H161" i="1" s="1"/>
  <c r="FM15" i="12"/>
  <c r="FN15" i="12" s="1"/>
  <c r="E21" i="1"/>
  <c r="H21" i="1" s="1"/>
  <c r="FM132" i="12"/>
  <c r="FN132" i="12" s="1"/>
  <c r="E138" i="1"/>
  <c r="H138" i="1" s="1"/>
  <c r="FM183" i="12"/>
  <c r="FN183" i="12" s="1"/>
  <c r="E189" i="1"/>
  <c r="H189" i="1" s="1"/>
  <c r="FM25" i="12"/>
  <c r="FN25" i="12" s="1"/>
  <c r="E31" i="1"/>
  <c r="H31" i="1" s="1"/>
  <c r="FM50" i="12"/>
  <c r="FN50" i="12" s="1"/>
  <c r="E56" i="1"/>
  <c r="H56" i="1" s="1"/>
  <c r="FM105" i="12"/>
  <c r="FN105" i="12" s="1"/>
  <c r="E111" i="1"/>
  <c r="H111" i="1" s="1"/>
  <c r="FM128" i="12"/>
  <c r="FN128" i="12" s="1"/>
  <c r="E134" i="1"/>
  <c r="H134" i="1" s="1"/>
  <c r="FM152" i="12"/>
  <c r="FN152" i="12" s="1"/>
  <c r="E158" i="1"/>
  <c r="H158" i="1" s="1"/>
  <c r="FM16" i="12"/>
  <c r="FN16" i="12" s="1"/>
  <c r="E22" i="1"/>
  <c r="H22" i="1" s="1"/>
  <c r="FM139" i="12"/>
  <c r="FN139" i="12" s="1"/>
  <c r="E145" i="1"/>
  <c r="H145" i="1" s="1"/>
  <c r="FM29" i="12"/>
  <c r="FN29" i="12" s="1"/>
  <c r="E35" i="1"/>
  <c r="H35" i="1" s="1"/>
  <c r="FM178" i="12"/>
  <c r="FN178" i="12" s="1"/>
  <c r="FH178" i="12"/>
  <c r="E184" i="1"/>
  <c r="H184" i="1" s="1"/>
  <c r="FM5" i="12"/>
  <c r="FN5" i="12" s="1"/>
  <c r="E11" i="1"/>
  <c r="H11" i="1" s="1"/>
  <c r="AC4" i="12"/>
  <c r="FM33" i="12"/>
  <c r="FN33" i="12" s="1"/>
  <c r="E39" i="1"/>
  <c r="H39" i="1" s="1"/>
  <c r="FM38" i="12"/>
  <c r="FN38" i="12" s="1"/>
  <c r="E44" i="1"/>
  <c r="H44" i="1" s="1"/>
  <c r="FM143" i="12"/>
  <c r="FN143" i="12" s="1"/>
  <c r="E149" i="1"/>
  <c r="H149" i="1" s="1"/>
  <c r="FM100" i="12"/>
  <c r="FN100" i="12" s="1"/>
  <c r="E106" i="1"/>
  <c r="H106" i="1" s="1"/>
  <c r="FM185" i="12"/>
  <c r="FN185" i="12" s="1"/>
  <c r="E191" i="1"/>
  <c r="H191" i="1" s="1"/>
  <c r="E165" i="1"/>
  <c r="H165" i="1" s="1"/>
  <c r="FM194" i="12"/>
  <c r="FN194" i="12" s="1"/>
  <c r="E200" i="1"/>
  <c r="H200" i="1" s="1"/>
  <c r="FM186" i="12"/>
  <c r="FN186" i="12" s="1"/>
  <c r="E192" i="1"/>
  <c r="H192" i="1" s="1"/>
  <c r="FM26" i="12"/>
  <c r="FN26" i="12" s="1"/>
  <c r="E32" i="1"/>
  <c r="H32" i="1" s="1"/>
  <c r="E168" i="1"/>
  <c r="H168" i="1" s="1"/>
  <c r="FM203" i="12"/>
  <c r="FN203" i="12" s="1"/>
  <c r="E209" i="1"/>
  <c r="H209" i="1" s="1"/>
  <c r="FM158" i="12"/>
  <c r="FN158" i="12" s="1"/>
  <c r="E164" i="1"/>
  <c r="H164" i="1" s="1"/>
  <c r="FM34" i="12"/>
  <c r="FN34" i="12" s="1"/>
  <c r="E40" i="1"/>
  <c r="H40" i="1" s="1"/>
  <c r="FM187" i="12"/>
  <c r="FN187" i="12" s="1"/>
  <c r="E193" i="1"/>
  <c r="H193" i="1" s="1"/>
  <c r="FM195" i="12"/>
  <c r="FN195" i="12" s="1"/>
  <c r="E201" i="1"/>
  <c r="H201" i="1" s="1"/>
  <c r="FM172" i="12"/>
  <c r="FN172" i="12" s="1"/>
  <c r="E178" i="1"/>
  <c r="H178" i="1" s="1"/>
  <c r="FM189" i="12"/>
  <c r="FN189" i="12" s="1"/>
  <c r="E195" i="1"/>
  <c r="H195" i="1" s="1"/>
  <c r="FM144" i="12"/>
  <c r="FN144" i="12" s="1"/>
  <c r="E150" i="1"/>
  <c r="H150" i="1" s="1"/>
  <c r="FM135" i="12"/>
  <c r="FN135" i="12" s="1"/>
  <c r="E141" i="1"/>
  <c r="H141" i="1" s="1"/>
  <c r="FM117" i="12"/>
  <c r="FN117" i="12" s="1"/>
  <c r="E123" i="1"/>
  <c r="H123" i="1" s="1"/>
  <c r="FM48" i="12"/>
  <c r="FN48" i="12" s="1"/>
  <c r="E54" i="1"/>
  <c r="H54" i="1" s="1"/>
  <c r="FM68" i="12"/>
  <c r="FN68" i="12" s="1"/>
  <c r="E74" i="1"/>
  <c r="H74" i="1" s="1"/>
  <c r="FM24" i="12"/>
  <c r="FN24" i="12" s="1"/>
  <c r="E30" i="1"/>
  <c r="H30" i="1" s="1"/>
  <c r="FM200" i="12"/>
  <c r="FN200" i="12" s="1"/>
  <c r="E206" i="1"/>
  <c r="H206" i="1" s="1"/>
  <c r="FM164" i="12"/>
  <c r="FN164" i="12" s="1"/>
  <c r="E170" i="1"/>
  <c r="H170" i="1" s="1"/>
  <c r="E159" i="1"/>
  <c r="H159" i="1" s="1"/>
  <c r="FM141" i="12"/>
  <c r="FN141" i="12" s="1"/>
  <c r="E147" i="1"/>
  <c r="H147" i="1" s="1"/>
  <c r="FM37" i="12"/>
  <c r="FN37" i="12" s="1"/>
  <c r="E43" i="1"/>
  <c r="H43" i="1" s="1"/>
  <c r="FM125" i="12"/>
  <c r="FN125" i="12" s="1"/>
  <c r="E131" i="1"/>
  <c r="H131" i="1" s="1"/>
  <c r="E73" i="1"/>
  <c r="H73" i="1" s="1"/>
  <c r="FM67" i="12"/>
  <c r="FN67" i="12" s="1"/>
  <c r="FM47" i="12"/>
  <c r="FN47" i="12" s="1"/>
  <c r="E53" i="1"/>
  <c r="H53" i="1" s="1"/>
  <c r="FM169" i="12"/>
  <c r="FN169" i="12" s="1"/>
  <c r="E175" i="1"/>
  <c r="H175" i="1" s="1"/>
  <c r="FM154" i="12"/>
  <c r="FN154" i="12" s="1"/>
  <c r="E160" i="1"/>
  <c r="H160" i="1" s="1"/>
  <c r="E23" i="1"/>
  <c r="H23" i="1" s="1"/>
  <c r="FM17" i="12"/>
  <c r="FN17" i="12" s="1"/>
  <c r="FM124" i="12"/>
  <c r="FN124" i="12" s="1"/>
  <c r="E130" i="1"/>
  <c r="H130" i="1" s="1"/>
  <c r="FM39" i="12"/>
  <c r="FN39" i="12" s="1"/>
  <c r="E45" i="1"/>
  <c r="H45" i="1" s="1"/>
  <c r="FM120" i="12"/>
  <c r="FN120" i="12" s="1"/>
  <c r="E126" i="1"/>
  <c r="H126" i="1" s="1"/>
  <c r="FM98" i="12"/>
  <c r="FN98" i="12" s="1"/>
  <c r="E104" i="1"/>
  <c r="H104" i="1" s="1"/>
  <c r="FM19" i="12"/>
  <c r="FN19" i="12" s="1"/>
  <c r="E25" i="1"/>
  <c r="H25" i="1" s="1"/>
  <c r="FH208" i="12"/>
  <c r="G215" i="1"/>
  <c r="F215" i="1"/>
  <c r="FM208" i="12"/>
  <c r="FN208" i="12" s="1"/>
  <c r="E214" i="1"/>
  <c r="H214" i="1" s="1"/>
  <c r="DW346" i="12"/>
  <c r="G216" i="1" s="1"/>
  <c r="N200" i="12"/>
  <c r="D206" i="1"/>
  <c r="N131" i="12"/>
  <c r="D137" i="1"/>
  <c r="D124" i="1"/>
  <c r="N118" i="12"/>
  <c r="D52" i="1"/>
  <c r="N46" i="12"/>
  <c r="D211" i="1"/>
  <c r="N205" i="12"/>
  <c r="N64" i="12"/>
  <c r="D70" i="1"/>
  <c r="N104" i="12"/>
  <c r="D110" i="1"/>
  <c r="N158" i="12"/>
  <c r="D164" i="1"/>
  <c r="N26" i="12"/>
  <c r="D32" i="1"/>
  <c r="D185" i="1"/>
  <c r="N179" i="12"/>
  <c r="M8" i="12"/>
  <c r="D14" i="1"/>
  <c r="N8" i="12"/>
  <c r="N54" i="12"/>
  <c r="D60" i="1"/>
  <c r="N91" i="12"/>
  <c r="D97" i="1"/>
  <c r="D115" i="1"/>
  <c r="N109" i="12"/>
  <c r="D207" i="1"/>
  <c r="N201" i="12"/>
  <c r="N102" i="12"/>
  <c r="D108" i="1"/>
  <c r="N154" i="12"/>
  <c r="D160" i="1"/>
  <c r="D202" i="1"/>
  <c r="N196" i="12"/>
  <c r="M33" i="12"/>
  <c r="D39" i="1"/>
  <c r="N33" i="12"/>
  <c r="N39" i="12"/>
  <c r="D45" i="1"/>
  <c r="D212" i="1"/>
  <c r="N206" i="12"/>
  <c r="N146" i="12"/>
  <c r="D152" i="1"/>
  <c r="D150" i="1"/>
  <c r="N144" i="12"/>
  <c r="D175" i="1"/>
  <c r="N169" i="12"/>
  <c r="D85" i="1"/>
  <c r="N79" i="12"/>
  <c r="N80" i="12"/>
  <c r="D86" i="1"/>
  <c r="D107" i="1"/>
  <c r="N101" i="12"/>
  <c r="N97" i="12"/>
  <c r="D103" i="1"/>
  <c r="N32" i="12"/>
  <c r="D38" i="1"/>
  <c r="M32" i="12"/>
  <c r="N12" i="12"/>
  <c r="D18" i="1"/>
  <c r="D214" i="1"/>
  <c r="N208" i="12"/>
  <c r="N161" i="12"/>
  <c r="D167" i="1"/>
  <c r="D54" i="1"/>
  <c r="N48" i="12"/>
  <c r="D74" i="1"/>
  <c r="N68" i="12"/>
  <c r="D198" i="1"/>
  <c r="N192" i="12"/>
  <c r="D105" i="1"/>
  <c r="N99" i="12"/>
  <c r="N173" i="12"/>
  <c r="D179" i="1"/>
  <c r="N120" i="12"/>
  <c r="D126" i="1"/>
  <c r="D61" i="1"/>
  <c r="N55" i="12"/>
  <c r="N38" i="12"/>
  <c r="D44" i="1"/>
  <c r="N177" i="12"/>
  <c r="D183" i="1"/>
  <c r="N88" i="12"/>
  <c r="D94" i="1"/>
  <c r="N147" i="12"/>
  <c r="D153" i="1"/>
  <c r="N49" i="12"/>
  <c r="D55" i="1"/>
  <c r="N149" i="12"/>
  <c r="D155" i="1"/>
  <c r="N162" i="12"/>
  <c r="D168" i="1"/>
  <c r="D210" i="1"/>
  <c r="N204" i="12"/>
  <c r="D43" i="1"/>
  <c r="N37" i="12"/>
  <c r="N13" i="12"/>
  <c r="D19" i="1"/>
  <c r="D64" i="1"/>
  <c r="N58" i="12"/>
  <c r="D138" i="1"/>
  <c r="N132" i="12"/>
  <c r="N85" i="12"/>
  <c r="D91" i="1"/>
  <c r="N23" i="12"/>
  <c r="D29" i="1"/>
  <c r="D35" i="1"/>
  <c r="N29" i="12"/>
  <c r="D161" i="1"/>
  <c r="N155" i="12"/>
  <c r="D98" i="1"/>
  <c r="N92" i="12"/>
  <c r="N17" i="12"/>
  <c r="D23" i="1"/>
  <c r="N137" i="12"/>
  <c r="D143" i="1"/>
  <c r="N93" i="12"/>
  <c r="D99" i="1"/>
  <c r="D24" i="1"/>
  <c r="N18" i="12"/>
  <c r="N59" i="12"/>
  <c r="D65" i="1"/>
  <c r="N160" i="12"/>
  <c r="D166" i="1"/>
  <c r="D28" i="1"/>
  <c r="N22" i="12"/>
  <c r="D205" i="1"/>
  <c r="N199" i="12"/>
  <c r="N42" i="12"/>
  <c r="D48" i="1"/>
  <c r="N73" i="12"/>
  <c r="D79" i="1"/>
  <c r="N140" i="12"/>
  <c r="D146" i="1"/>
  <c r="D75" i="1"/>
  <c r="N69" i="12"/>
  <c r="D142" i="1"/>
  <c r="N136" i="12"/>
  <c r="N122" i="12"/>
  <c r="D128" i="1"/>
  <c r="D40" i="1"/>
  <c r="N34" i="12"/>
  <c r="N66" i="12"/>
  <c r="D72" i="1"/>
  <c r="D46" i="1"/>
  <c r="N40" i="12"/>
  <c r="D113" i="1"/>
  <c r="N107" i="12"/>
  <c r="D116" i="1"/>
  <c r="N110" i="12"/>
  <c r="D129" i="1"/>
  <c r="N123" i="12"/>
  <c r="D159" i="1"/>
  <c r="N153" i="12"/>
  <c r="D213" i="1"/>
  <c r="N207" i="12"/>
  <c r="D192" i="1"/>
  <c r="N186" i="12"/>
  <c r="D22" i="1"/>
  <c r="N16" i="12"/>
  <c r="D49" i="1"/>
  <c r="N43" i="12"/>
  <c r="N35" i="12"/>
  <c r="D41" i="1"/>
  <c r="N115" i="12"/>
  <c r="D121" i="1"/>
  <c r="D158" i="1"/>
  <c r="N152" i="12"/>
  <c r="N9" i="12"/>
  <c r="D15" i="1"/>
  <c r="M9" i="12"/>
  <c r="N156" i="12"/>
  <c r="D162" i="1"/>
  <c r="N163" i="12"/>
  <c r="D169" i="1"/>
  <c r="N95" i="12"/>
  <c r="D101" i="1"/>
  <c r="D120" i="1"/>
  <c r="N114" i="12"/>
  <c r="D134" i="1"/>
  <c r="N128" i="12"/>
  <c r="D21" i="1"/>
  <c r="N15" i="12"/>
  <c r="M15" i="12"/>
  <c r="D20" i="1"/>
  <c r="N14" i="12"/>
  <c r="M14" i="12"/>
  <c r="D96" i="1"/>
  <c r="N90" i="12"/>
  <c r="D81" i="1"/>
  <c r="N75" i="12"/>
  <c r="D197" i="1"/>
  <c r="N191" i="12"/>
  <c r="N129" i="12"/>
  <c r="D135" i="1"/>
  <c r="D47" i="1"/>
  <c r="N41" i="12"/>
  <c r="N30" i="12"/>
  <c r="D36" i="1"/>
  <c r="M30" i="12"/>
  <c r="N175" i="12"/>
  <c r="D181" i="1"/>
  <c r="N27" i="12"/>
  <c r="D33" i="1"/>
  <c r="M27" i="12"/>
  <c r="N180" i="12"/>
  <c r="D186" i="1"/>
  <c r="N197" i="12"/>
  <c r="D203" i="1"/>
  <c r="N63" i="12"/>
  <c r="D69" i="1"/>
  <c r="N166" i="12"/>
  <c r="D172" i="1"/>
  <c r="D131" i="1"/>
  <c r="N125" i="12"/>
  <c r="D157" i="1"/>
  <c r="N151" i="12"/>
  <c r="N36" i="12"/>
  <c r="D42" i="1"/>
  <c r="D58" i="1"/>
  <c r="N52" i="12"/>
  <c r="N86" i="12"/>
  <c r="D92" i="1"/>
  <c r="N50" i="12"/>
  <c r="D56" i="1"/>
  <c r="D147" i="1"/>
  <c r="N141" i="12"/>
  <c r="D112" i="1"/>
  <c r="N106" i="12"/>
  <c r="N170" i="12"/>
  <c r="D176" i="1"/>
  <c r="D100" i="1"/>
  <c r="N94" i="12"/>
  <c r="N142" i="12"/>
  <c r="D148" i="1"/>
  <c r="D17" i="1"/>
  <c r="M11" i="12"/>
  <c r="N11" i="12"/>
  <c r="N135" i="12"/>
  <c r="D141" i="1"/>
  <c r="N113" i="12"/>
  <c r="D119" i="1"/>
  <c r="D125" i="1"/>
  <c r="N119" i="12"/>
  <c r="N98" i="12"/>
  <c r="D104" i="1"/>
  <c r="N53" i="12"/>
  <c r="D59" i="1"/>
  <c r="D132" i="1"/>
  <c r="N126" i="12"/>
  <c r="D83" i="1"/>
  <c r="N77" i="12"/>
  <c r="N82" i="12"/>
  <c r="D88" i="1"/>
  <c r="D73" i="1"/>
  <c r="N67" i="12"/>
  <c r="D93" i="1"/>
  <c r="N87" i="12"/>
  <c r="N56" i="12"/>
  <c r="D62" i="1"/>
  <c r="N138" i="12"/>
  <c r="D144" i="1"/>
  <c r="D133" i="1"/>
  <c r="N127" i="12"/>
  <c r="D95" i="1"/>
  <c r="N89" i="12"/>
  <c r="D76" i="1"/>
  <c r="N70" i="12"/>
  <c r="N96" i="12"/>
  <c r="D102" i="1"/>
  <c r="N209" i="12"/>
  <c r="D215" i="1"/>
  <c r="D173" i="1"/>
  <c r="N167" i="12"/>
  <c r="N100" i="12"/>
  <c r="D106" i="1"/>
  <c r="D118" i="1"/>
  <c r="N112" i="12"/>
  <c r="D27" i="1"/>
  <c r="N21" i="12"/>
  <c r="M21" i="12"/>
  <c r="D63" i="1"/>
  <c r="N57" i="12"/>
  <c r="D209" i="1"/>
  <c r="N203" i="12"/>
  <c r="N168" i="12"/>
  <c r="D174" i="1"/>
  <c r="D130" i="1"/>
  <c r="N124" i="12"/>
  <c r="D82" i="1"/>
  <c r="N76" i="12"/>
  <c r="D208" i="1"/>
  <c r="N202" i="12"/>
  <c r="N74" i="12"/>
  <c r="D80" i="1"/>
  <c r="D87" i="1"/>
  <c r="N81" i="12"/>
  <c r="D156" i="1"/>
  <c r="N150" i="12"/>
  <c r="D84" i="1"/>
  <c r="N78" i="12"/>
  <c r="N145" i="12"/>
  <c r="D151" i="1"/>
  <c r="N62" i="12"/>
  <c r="D68" i="1"/>
  <c r="N195" i="12"/>
  <c r="D201" i="1"/>
  <c r="D78" i="1"/>
  <c r="N72" i="12"/>
  <c r="N116" i="12"/>
  <c r="D122" i="1"/>
  <c r="D34" i="1"/>
  <c r="N28" i="12"/>
  <c r="D117" i="1"/>
  <c r="N111" i="12"/>
  <c r="N193" i="12"/>
  <c r="D199" i="1"/>
  <c r="D71" i="1"/>
  <c r="N65" i="12"/>
  <c r="N172" i="12"/>
  <c r="D178" i="1"/>
  <c r="D31" i="1"/>
  <c r="N25" i="12"/>
  <c r="D90" i="1"/>
  <c r="N84" i="12"/>
  <c r="D140" i="1"/>
  <c r="N134" i="12"/>
  <c r="D114" i="1"/>
  <c r="N108" i="12"/>
  <c r="N71" i="12"/>
  <c r="D77" i="1"/>
  <c r="D89" i="1"/>
  <c r="N83" i="12"/>
  <c r="D204" i="1"/>
  <c r="N198" i="12"/>
  <c r="N159" i="12"/>
  <c r="D165" i="1"/>
  <c r="D37" i="1"/>
  <c r="N31" i="12"/>
  <c r="D163" i="1"/>
  <c r="N157" i="12"/>
  <c r="D25" i="1"/>
  <c r="N19" i="12"/>
  <c r="D123" i="1"/>
  <c r="N117" i="12"/>
  <c r="N47" i="12"/>
  <c r="D53" i="1"/>
  <c r="D50" i="1"/>
  <c r="N44" i="12"/>
  <c r="D136" i="1"/>
  <c r="N130" i="12"/>
  <c r="D26" i="1"/>
  <c r="N20" i="12"/>
  <c r="M20" i="12"/>
  <c r="N10" i="12"/>
  <c r="D16" i="1"/>
  <c r="D149" i="1"/>
  <c r="N143" i="12"/>
  <c r="N164" i="12"/>
  <c r="D170" i="1"/>
  <c r="D67" i="1"/>
  <c r="N61" i="12"/>
  <c r="D109" i="1"/>
  <c r="N103" i="12"/>
  <c r="D57" i="1"/>
  <c r="N51" i="12"/>
  <c r="N133" i="12"/>
  <c r="D139" i="1"/>
  <c r="D184" i="1"/>
  <c r="N178" i="12"/>
  <c r="N105" i="12"/>
  <c r="D111" i="1"/>
  <c r="D171" i="1"/>
  <c r="N165" i="12"/>
  <c r="N174" i="12"/>
  <c r="D180" i="1"/>
  <c r="N176" i="12"/>
  <c r="D182" i="1"/>
  <c r="N121" i="12"/>
  <c r="D127" i="1"/>
  <c r="D30" i="1"/>
  <c r="N24" i="12"/>
  <c r="N148" i="12"/>
  <c r="D154" i="1"/>
  <c r="D66" i="1"/>
  <c r="N60" i="12"/>
  <c r="D177" i="1"/>
  <c r="N171" i="12"/>
  <c r="N139" i="12"/>
  <c r="D145" i="1"/>
  <c r="N194" i="12"/>
  <c r="D200" i="1"/>
  <c r="D51" i="1"/>
  <c r="N45" i="12"/>
  <c r="N181" i="12"/>
  <c r="D187" i="1"/>
  <c r="FM90" i="12"/>
  <c r="FN90" i="12" s="1"/>
  <c r="FI128" i="12" l="1"/>
  <c r="FI129" i="12" s="1"/>
  <c r="FM57" i="12"/>
  <c r="FN57" i="12" s="1"/>
  <c r="DN309" i="12"/>
  <c r="DN310" i="12"/>
  <c r="DN311" i="12" s="1"/>
  <c r="DN312" i="12" s="1"/>
  <c r="DN313" i="12" s="1"/>
  <c r="DN314" i="12" s="1"/>
  <c r="DN315" i="12" s="1"/>
  <c r="DN316" i="12" s="1"/>
  <c r="DN317" i="12" s="1"/>
  <c r="DN318" i="12" s="1"/>
  <c r="DN319" i="12" s="1"/>
  <c r="DN320" i="12" s="1"/>
  <c r="DN321" i="12" s="1"/>
  <c r="DN322" i="12" s="1"/>
  <c r="DN323" i="12" s="1"/>
  <c r="DN324" i="12" s="1"/>
  <c r="DN325" i="12" s="1"/>
  <c r="FI135" i="12"/>
  <c r="FI147" i="12"/>
  <c r="FI148" i="12" s="1"/>
  <c r="FI149" i="12" s="1"/>
  <c r="FI150" i="12" s="1"/>
  <c r="FI151" i="12" s="1"/>
  <c r="FI152" i="12" s="1"/>
  <c r="FI153" i="12" s="1"/>
  <c r="FI154" i="12" s="1"/>
  <c r="FI155" i="12" s="1"/>
  <c r="FI133" i="12"/>
  <c r="AA4" i="12"/>
  <c r="A11" i="2"/>
  <c r="EL4" i="12"/>
  <c r="AQ4" i="12"/>
  <c r="FM61" i="12"/>
  <c r="EL5" i="12"/>
  <c r="AA5" i="12"/>
  <c r="A12" i="2"/>
  <c r="AQ5" i="12"/>
  <c r="I216" i="1"/>
  <c r="I215" i="1"/>
  <c r="FH209" i="12"/>
  <c r="FM209" i="12"/>
  <c r="FN209" i="12" s="1"/>
  <c r="E215" i="1"/>
  <c r="H215" i="1" s="1"/>
  <c r="A210" i="12"/>
  <c r="F216" i="1"/>
  <c r="DW347" i="12"/>
  <c r="FI194" i="12"/>
  <c r="FM81" i="12"/>
  <c r="M23" i="12"/>
  <c r="M40" i="12"/>
  <c r="FI130" i="12" l="1"/>
  <c r="FI131" i="12" s="1"/>
  <c r="FI132" i="12" s="1"/>
  <c r="FM58" i="12"/>
  <c r="FN58" i="12" s="1"/>
  <c r="FI142" i="12"/>
  <c r="FI143" i="12" s="1"/>
  <c r="FI144" i="12" s="1"/>
  <c r="FM63" i="12"/>
  <c r="FN63" i="12" s="1"/>
  <c r="DN326" i="12"/>
  <c r="AR4" i="12"/>
  <c r="AS4" i="12"/>
  <c r="AR5" i="12"/>
  <c r="AS5" i="12"/>
  <c r="FN61" i="12"/>
  <c r="DW348" i="12"/>
  <c r="FH210" i="12"/>
  <c r="G217" i="1"/>
  <c r="FM211" i="12"/>
  <c r="FN211" i="12" s="1"/>
  <c r="D216" i="1"/>
  <c r="N210" i="12"/>
  <c r="F217" i="1"/>
  <c r="E216" i="1"/>
  <c r="H216" i="1" s="1"/>
  <c r="FM210" i="12"/>
  <c r="FN210" i="12" s="1"/>
  <c r="A211" i="12"/>
  <c r="N211" i="12" s="1"/>
  <c r="M17" i="12"/>
  <c r="FN81" i="12"/>
  <c r="FM60" i="12" l="1"/>
  <c r="FN60" i="12" s="1"/>
  <c r="C212" i="12"/>
  <c r="F218" i="1" s="1"/>
  <c r="B212" i="12"/>
  <c r="F212" i="12"/>
  <c r="G212" i="12" s="1"/>
  <c r="E212" i="12"/>
  <c r="D212" i="12"/>
  <c r="G218" i="1" s="1"/>
  <c r="FI145" i="12"/>
  <c r="FM64" i="12"/>
  <c r="DW349" i="12"/>
  <c r="FM66" i="12"/>
  <c r="FN66" i="12" s="1"/>
  <c r="DN327" i="12"/>
  <c r="AT5" i="12"/>
  <c r="AT4" i="12"/>
  <c r="AU5" i="12"/>
  <c r="AU4" i="12"/>
  <c r="FH211" i="12"/>
  <c r="I217" i="1"/>
  <c r="A212" i="12"/>
  <c r="N212" i="12" s="1"/>
  <c r="E217" i="1"/>
  <c r="H217" i="1" s="1"/>
  <c r="D217" i="1"/>
  <c r="M26" i="12"/>
  <c r="FM95" i="12"/>
  <c r="FM170" i="12"/>
  <c r="M51" i="12"/>
  <c r="E213" i="12" l="1"/>
  <c r="B213" i="12"/>
  <c r="E219" i="1" s="1"/>
  <c r="C213" i="12"/>
  <c r="F219" i="1" s="1"/>
  <c r="F213" i="12"/>
  <c r="G213" i="12" s="1"/>
  <c r="D213" i="12"/>
  <c r="FN64" i="12"/>
  <c r="FI146" i="12"/>
  <c r="FI174" i="12"/>
  <c r="DW350" i="12"/>
  <c r="FM70" i="12"/>
  <c r="FM76" i="12" s="1"/>
  <c r="FI181" i="12"/>
  <c r="DN328" i="12"/>
  <c r="FI211" i="12"/>
  <c r="D218" i="1"/>
  <c r="E218" i="1"/>
  <c r="H218" i="1" s="1"/>
  <c r="FH212" i="12"/>
  <c r="FI212" i="12" s="1"/>
  <c r="I218" i="1"/>
  <c r="A213" i="12"/>
  <c r="N213" i="12" s="1"/>
  <c r="M35" i="12"/>
  <c r="FN170" i="12"/>
  <c r="FN95" i="12"/>
  <c r="FM97" i="12"/>
  <c r="FM106" i="12" s="1"/>
  <c r="FN106" i="12" s="1"/>
  <c r="M82" i="12"/>
  <c r="F214" i="12" l="1"/>
  <c r="G214" i="12" s="1"/>
  <c r="C214" i="12"/>
  <c r="F220" i="1" s="1"/>
  <c r="E214" i="12"/>
  <c r="B214" i="12"/>
  <c r="E220" i="1" s="1"/>
  <c r="D214" i="12"/>
  <c r="G220" i="1" s="1"/>
  <c r="FN76" i="12"/>
  <c r="FI175" i="12"/>
  <c r="FI176" i="12" s="1"/>
  <c r="FI177" i="12" s="1"/>
  <c r="FI178" i="12" s="1"/>
  <c r="FI179" i="12" s="1"/>
  <c r="FM77" i="12"/>
  <c r="FN77" i="12" s="1"/>
  <c r="FN70" i="12"/>
  <c r="FM212" i="12"/>
  <c r="FN212" i="12" s="1"/>
  <c r="DW351" i="12"/>
  <c r="FI182" i="12"/>
  <c r="DN329" i="12"/>
  <c r="FM213" i="12"/>
  <c r="FN213" i="12" s="1"/>
  <c r="H219" i="1"/>
  <c r="A214" i="12"/>
  <c r="I219" i="1"/>
  <c r="FH213" i="12"/>
  <c r="FI213" i="12" s="1"/>
  <c r="D219" i="1"/>
  <c r="M36" i="12"/>
  <c r="M38" i="12" s="1"/>
  <c r="M42" i="12" s="1"/>
  <c r="M41" i="12"/>
  <c r="FM107" i="12"/>
  <c r="M44" i="12"/>
  <c r="FN97" i="12"/>
  <c r="FM118" i="12"/>
  <c r="M48" i="12"/>
  <c r="M47" i="12"/>
  <c r="I220" i="1" l="1"/>
  <c r="C215" i="12"/>
  <c r="B215" i="12"/>
  <c r="E215" i="12"/>
  <c r="F215" i="12"/>
  <c r="G215" i="12" s="1"/>
  <c r="D215" i="12"/>
  <c r="G221" i="1" s="1"/>
  <c r="DW352" i="12"/>
  <c r="FM79" i="12"/>
  <c r="G219" i="1"/>
  <c r="FI183" i="12"/>
  <c r="DN330" i="12"/>
  <c r="H220" i="1"/>
  <c r="FM214" i="12"/>
  <c r="FN214" i="12" s="1"/>
  <c r="FH214" i="12"/>
  <c r="FI214" i="12" s="1"/>
  <c r="N214" i="12"/>
  <c r="D220" i="1"/>
  <c r="A215" i="12"/>
  <c r="N215" i="12" s="1"/>
  <c r="FN107" i="12"/>
  <c r="FM109" i="12"/>
  <c r="FN118" i="12"/>
  <c r="FM119" i="12"/>
  <c r="E216" i="12" l="1"/>
  <c r="C216" i="12"/>
  <c r="D216" i="12"/>
  <c r="DW353" i="12"/>
  <c r="E217" i="12" s="1"/>
  <c r="B216" i="12"/>
  <c r="FM80" i="12"/>
  <c r="FN79" i="12"/>
  <c r="FM83" i="12"/>
  <c r="FN83" i="12" s="1"/>
  <c r="FI184" i="12"/>
  <c r="DN331" i="12"/>
  <c r="D221" i="1"/>
  <c r="A216" i="12"/>
  <c r="FN109" i="12"/>
  <c r="FM110" i="12"/>
  <c r="FM111" i="12" s="1"/>
  <c r="FN111" i="12" s="1"/>
  <c r="FN119" i="12"/>
  <c r="FM121" i="12"/>
  <c r="D188" i="1"/>
  <c r="N182" i="12"/>
  <c r="F217" i="12" l="1"/>
  <c r="G217" i="12" s="1"/>
  <c r="D217" i="12"/>
  <c r="B217" i="12"/>
  <c r="DW354" i="12"/>
  <c r="FM82" i="12"/>
  <c r="FN82" i="12" s="1"/>
  <c r="FN80" i="12"/>
  <c r="FM85" i="12"/>
  <c r="FI185" i="12"/>
  <c r="DN332" i="12"/>
  <c r="N216" i="12"/>
  <c r="D222" i="1"/>
  <c r="A217" i="12"/>
  <c r="DW356" i="12"/>
  <c r="A218" i="12" s="1"/>
  <c r="N218" i="12" s="1"/>
  <c r="FN110" i="12"/>
  <c r="FM112" i="12"/>
  <c r="FN121" i="12"/>
  <c r="FM122" i="12"/>
  <c r="M54" i="12"/>
  <c r="DW355" i="12" l="1"/>
  <c r="DW359" i="12" s="1"/>
  <c r="FN112" i="12"/>
  <c r="FN85" i="12"/>
  <c r="FI186" i="12"/>
  <c r="FM86" i="12"/>
  <c r="DN333" i="12"/>
  <c r="FM161" i="12"/>
  <c r="FN161" i="12" s="1"/>
  <c r="D224" i="1"/>
  <c r="N217" i="12"/>
  <c r="D223" i="1"/>
  <c r="FM167" i="12"/>
  <c r="FN167" i="12" s="1"/>
  <c r="FM173" i="12"/>
  <c r="FN173" i="12" s="1"/>
  <c r="FN122" i="12"/>
  <c r="M60" i="12"/>
  <c r="DW360" i="12" l="1"/>
  <c r="DW361" i="12" s="1"/>
  <c r="DW362" i="12" s="1"/>
  <c r="DW363" i="12" s="1"/>
  <c r="DW364" i="12" s="1"/>
  <c r="DW370" i="12" s="1"/>
  <c r="DW371" i="12" s="1"/>
  <c r="DW372" i="12" s="1"/>
  <c r="DW373" i="12" s="1"/>
  <c r="DW374" i="12" s="1"/>
  <c r="DW375" i="12" s="1"/>
  <c r="DW376" i="12" s="1"/>
  <c r="DW377" i="12" s="1"/>
  <c r="DW378" i="12" s="1"/>
  <c r="DW379" i="12" s="1"/>
  <c r="DW380" i="12" s="1"/>
  <c r="D226" i="12" s="1"/>
  <c r="G232" i="1" s="1"/>
  <c r="FM88" i="12"/>
  <c r="FN86" i="12"/>
  <c r="FI188" i="12"/>
  <c r="DN334" i="12"/>
  <c r="A220" i="12"/>
  <c r="D226" i="1" s="1"/>
  <c r="A219" i="12"/>
  <c r="A221" i="12"/>
  <c r="N221" i="12" s="1"/>
  <c r="A222" i="12"/>
  <c r="D228" i="1" s="1"/>
  <c r="F371" i="1"/>
  <c r="F399" i="1"/>
  <c r="A7" i="12"/>
  <c r="F357" i="1"/>
  <c r="G223" i="1"/>
  <c r="F370" i="1"/>
  <c r="G222" i="1"/>
  <c r="F222" i="1"/>
  <c r="F221" i="1"/>
  <c r="F365" i="1"/>
  <c r="F354" i="1"/>
  <c r="F349" i="1"/>
  <c r="F352" i="1"/>
  <c r="F360" i="1"/>
  <c r="F350" i="1"/>
  <c r="F355" i="1"/>
  <c r="F353" i="1"/>
  <c r="F361" i="1"/>
  <c r="F351" i="1"/>
  <c r="F364" i="1"/>
  <c r="F356" i="1"/>
  <c r="F359" i="1"/>
  <c r="F363" i="1"/>
  <c r="F362" i="1"/>
  <c r="F358" i="1"/>
  <c r="F366" i="1"/>
  <c r="F367" i="1"/>
  <c r="F368" i="1"/>
  <c r="F369" i="1"/>
  <c r="F381" i="1"/>
  <c r="F395" i="1"/>
  <c r="F375" i="1"/>
  <c r="F377" i="1"/>
  <c r="F383" i="1"/>
  <c r="F384" i="1"/>
  <c r="F391" i="1"/>
  <c r="F397" i="1"/>
  <c r="F396" i="1"/>
  <c r="F392" i="1"/>
  <c r="F379" i="1"/>
  <c r="F385" i="1"/>
  <c r="F372" i="1"/>
  <c r="F398" i="1"/>
  <c r="F374" i="1"/>
  <c r="F376" i="1"/>
  <c r="F394" i="1"/>
  <c r="F380" i="1"/>
  <c r="F387" i="1"/>
  <c r="F373" i="1"/>
  <c r="F388" i="1"/>
  <c r="F389" i="1"/>
  <c r="F378" i="1"/>
  <c r="F390" i="1"/>
  <c r="F386" i="1"/>
  <c r="F382" i="1"/>
  <c r="F393" i="1"/>
  <c r="M58" i="12"/>
  <c r="M63" i="12" s="1"/>
  <c r="M71" i="12"/>
  <c r="A224" i="12" l="1"/>
  <c r="D230" i="1" s="1"/>
  <c r="H225" i="12"/>
  <c r="A225" i="12"/>
  <c r="D231" i="1" s="1"/>
  <c r="A223" i="12"/>
  <c r="D229" i="1" s="1"/>
  <c r="H227" i="12"/>
  <c r="A226" i="12"/>
  <c r="N226" i="12" s="1"/>
  <c r="H241" i="12"/>
  <c r="H240" i="12"/>
  <c r="H229" i="12"/>
  <c r="H236" i="12"/>
  <c r="H233" i="12"/>
  <c r="H232" i="12"/>
  <c r="A235" i="12"/>
  <c r="N235" i="12" s="1"/>
  <c r="A229" i="12"/>
  <c r="D235" i="1" s="1"/>
  <c r="H235" i="12"/>
  <c r="H231" i="12"/>
  <c r="H226" i="12"/>
  <c r="A237" i="12"/>
  <c r="N237" i="12" s="1"/>
  <c r="H239" i="12"/>
  <c r="H234" i="12"/>
  <c r="H237" i="12"/>
  <c r="A234" i="12"/>
  <c r="D240" i="1" s="1"/>
  <c r="A232" i="12"/>
  <c r="D238" i="1" s="1"/>
  <c r="C233" i="12"/>
  <c r="F239" i="1" s="1"/>
  <c r="F230" i="12"/>
  <c r="G230" i="12" s="1"/>
  <c r="F233" i="12"/>
  <c r="G233" i="12" s="1"/>
  <c r="E232" i="12"/>
  <c r="E229" i="12"/>
  <c r="E228" i="12"/>
  <c r="C232" i="12"/>
  <c r="F238" i="1" s="1"/>
  <c r="E260" i="12"/>
  <c r="F224" i="12"/>
  <c r="G224" i="12" s="1"/>
  <c r="F216" i="12"/>
  <c r="G216" i="12" s="1"/>
  <c r="E224" i="12"/>
  <c r="D223" i="12"/>
  <c r="G229" i="1" s="1"/>
  <c r="F225" i="12"/>
  <c r="G225" i="12" s="1"/>
  <c r="E220" i="12"/>
  <c r="D225" i="12"/>
  <c r="G231" i="1" s="1"/>
  <c r="F218" i="12"/>
  <c r="G218" i="12" s="1"/>
  <c r="B222" i="12"/>
  <c r="E228" i="1" s="1"/>
  <c r="C223" i="12"/>
  <c r="F229" i="1" s="1"/>
  <c r="B225" i="12"/>
  <c r="D218" i="12"/>
  <c r="G224" i="1" s="1"/>
  <c r="D220" i="12"/>
  <c r="G226" i="1" s="1"/>
  <c r="E219" i="12"/>
  <c r="E222" i="12"/>
  <c r="F221" i="12"/>
  <c r="G221" i="12" s="1"/>
  <c r="B218" i="12"/>
  <c r="FM218" i="12" s="1"/>
  <c r="FN218" i="12" s="1"/>
  <c r="C218" i="12"/>
  <c r="F224" i="1" s="1"/>
  <c r="B221" i="12"/>
  <c r="D222" i="12"/>
  <c r="G228" i="1" s="1"/>
  <c r="F219" i="12"/>
  <c r="G219" i="12" s="1"/>
  <c r="C222" i="12"/>
  <c r="F228" i="1" s="1"/>
  <c r="C219" i="12"/>
  <c r="F225" i="1" s="1"/>
  <c r="E221" i="12"/>
  <c r="D224" i="12"/>
  <c r="G230" i="1" s="1"/>
  <c r="C220" i="12"/>
  <c r="F226" i="1" s="1"/>
  <c r="C221" i="12"/>
  <c r="F227" i="1" s="1"/>
  <c r="E218" i="12"/>
  <c r="B219" i="12"/>
  <c r="FM219" i="12" s="1"/>
  <c r="FN219" i="12" s="1"/>
  <c r="C225" i="12"/>
  <c r="F231" i="1" s="1"/>
  <c r="C217" i="12"/>
  <c r="F223" i="1" s="1"/>
  <c r="E223" i="12"/>
  <c r="C224" i="12"/>
  <c r="F230" i="1" s="1"/>
  <c r="B220" i="12"/>
  <c r="E226" i="1" s="1"/>
  <c r="H226" i="1" s="1"/>
  <c r="B224" i="12"/>
  <c r="F223" i="12"/>
  <c r="G223" i="12" s="1"/>
  <c r="E225" i="12"/>
  <c r="D221" i="12"/>
  <c r="G227" i="1" s="1"/>
  <c r="F220" i="12"/>
  <c r="G220" i="12" s="1"/>
  <c r="F222" i="12"/>
  <c r="G222" i="12" s="1"/>
  <c r="D219" i="12"/>
  <c r="G225" i="1" s="1"/>
  <c r="B223" i="12"/>
  <c r="FM223" i="12" s="1"/>
  <c r="FN223" i="12" s="1"/>
  <c r="D227" i="12"/>
  <c r="G233" i="1" s="1"/>
  <c r="E226" i="12"/>
  <c r="B226" i="12"/>
  <c r="E232" i="1" s="1"/>
  <c r="F226" i="12"/>
  <c r="G226" i="12" s="1"/>
  <c r="E231" i="12"/>
  <c r="B230" i="12"/>
  <c r="E236" i="1" s="1"/>
  <c r="C227" i="12"/>
  <c r="F233" i="1" s="1"/>
  <c r="B232" i="12"/>
  <c r="FM232" i="12" s="1"/>
  <c r="FN232" i="12" s="1"/>
  <c r="F232" i="12"/>
  <c r="G232" i="12" s="1"/>
  <c r="B227" i="12"/>
  <c r="FM227" i="12" s="1"/>
  <c r="FN227" i="12" s="1"/>
  <c r="D232" i="12"/>
  <c r="G238" i="1" s="1"/>
  <c r="E230" i="12"/>
  <c r="H238" i="12"/>
  <c r="H243" i="12"/>
  <c r="A236" i="12"/>
  <c r="D242" i="1" s="1"/>
  <c r="A228" i="12"/>
  <c r="D234" i="1" s="1"/>
  <c r="A231" i="12"/>
  <c r="D237" i="1" s="1"/>
  <c r="F229" i="12"/>
  <c r="G229" i="12" s="1"/>
  <c r="F231" i="12"/>
  <c r="G231" i="12" s="1"/>
  <c r="E233" i="12"/>
  <c r="D230" i="12"/>
  <c r="G236" i="1" s="1"/>
  <c r="C229" i="12"/>
  <c r="F235" i="1" s="1"/>
  <c r="F228" i="12"/>
  <c r="G228" i="12" s="1"/>
  <c r="D228" i="12"/>
  <c r="G234" i="1" s="1"/>
  <c r="D229" i="12"/>
  <c r="G235" i="1" s="1"/>
  <c r="E227" i="12"/>
  <c r="H242" i="12"/>
  <c r="H230" i="12"/>
  <c r="H228" i="12"/>
  <c r="A227" i="12"/>
  <c r="N227" i="12" s="1"/>
  <c r="A230" i="12"/>
  <c r="N230" i="12" s="1"/>
  <c r="A233" i="12"/>
  <c r="D239" i="1" s="1"/>
  <c r="C226" i="12"/>
  <c r="F232" i="1" s="1"/>
  <c r="D231" i="12"/>
  <c r="G237" i="1" s="1"/>
  <c r="B231" i="12"/>
  <c r="FM231" i="12" s="1"/>
  <c r="FN231" i="12" s="1"/>
  <c r="C231" i="12"/>
  <c r="F237" i="1" s="1"/>
  <c r="F227" i="12"/>
  <c r="G227" i="12" s="1"/>
  <c r="C230" i="12"/>
  <c r="F236" i="1" s="1"/>
  <c r="B229" i="12"/>
  <c r="FM229" i="12" s="1"/>
  <c r="FN229" i="12" s="1"/>
  <c r="B228" i="12"/>
  <c r="E234" i="1" s="1"/>
  <c r="H234" i="1" s="1"/>
  <c r="C228" i="12"/>
  <c r="F234" i="1" s="1"/>
  <c r="A238" i="12"/>
  <c r="N238" i="12" s="1"/>
  <c r="H245" i="12"/>
  <c r="H244" i="12"/>
  <c r="H253" i="12"/>
  <c r="H262" i="12"/>
  <c r="H254" i="12"/>
  <c r="H260" i="12"/>
  <c r="H248" i="12"/>
  <c r="A260" i="12"/>
  <c r="N260" i="12" s="1"/>
  <c r="H246" i="12"/>
  <c r="H249" i="12"/>
  <c r="H256" i="12"/>
  <c r="H252" i="12"/>
  <c r="A255" i="12"/>
  <c r="N255" i="12" s="1"/>
  <c r="DO1" i="12"/>
  <c r="A244" i="12"/>
  <c r="D250" i="1" s="1"/>
  <c r="H250" i="12"/>
  <c r="H261" i="12"/>
  <c r="H263" i="12"/>
  <c r="H251" i="12"/>
  <c r="A243" i="12"/>
  <c r="D249" i="1" s="1"/>
  <c r="H264" i="12"/>
  <c r="H258" i="12"/>
  <c r="A253" i="12"/>
  <c r="D259" i="1" s="1"/>
  <c r="A247" i="12"/>
  <c r="D253" i="1" s="1"/>
  <c r="A241" i="12"/>
  <c r="D247" i="1" s="1"/>
  <c r="A239" i="12"/>
  <c r="N239" i="12" s="1"/>
  <c r="H266" i="12"/>
  <c r="H255" i="12"/>
  <c r="H247" i="12"/>
  <c r="H259" i="12"/>
  <c r="H257" i="12"/>
  <c r="A242" i="12"/>
  <c r="N242" i="12" s="1"/>
  <c r="A251" i="12"/>
  <c r="N251" i="12" s="1"/>
  <c r="A259" i="12"/>
  <c r="D265" i="1" s="1"/>
  <c r="H265" i="12"/>
  <c r="A250" i="12"/>
  <c r="N250" i="12" s="1"/>
  <c r="A248" i="12"/>
  <c r="D254" i="1" s="1"/>
  <c r="A246" i="12"/>
  <c r="D252" i="1" s="1"/>
  <c r="A240" i="12"/>
  <c r="D246" i="1" s="1"/>
  <c r="A263" i="12"/>
  <c r="D269" i="1" s="1"/>
  <c r="A245" i="12"/>
  <c r="D251" i="1" s="1"/>
  <c r="F264" i="12"/>
  <c r="G264" i="12" s="1"/>
  <c r="A257" i="12"/>
  <c r="N257" i="12" s="1"/>
  <c r="A256" i="12"/>
  <c r="D262" i="1" s="1"/>
  <c r="F266" i="12"/>
  <c r="G266" i="12" s="1"/>
  <c r="F265" i="12"/>
  <c r="G265" i="12" s="1"/>
  <c r="B262" i="12"/>
  <c r="FM262" i="12" s="1"/>
  <c r="FN262" i="12" s="1"/>
  <c r="A262" i="12"/>
  <c r="D268" i="1" s="1"/>
  <c r="A261" i="12"/>
  <c r="N261" i="12" s="1"/>
  <c r="A265" i="12"/>
  <c r="N265" i="12" s="1"/>
  <c r="A254" i="12"/>
  <c r="N254" i="12" s="1"/>
  <c r="C260" i="12"/>
  <c r="F266" i="1" s="1"/>
  <c r="F262" i="12"/>
  <c r="G262" i="12" s="1"/>
  <c r="A252" i="12"/>
  <c r="N252" i="12" s="1"/>
  <c r="A264" i="12"/>
  <c r="N264" i="12" s="1"/>
  <c r="A258" i="12"/>
  <c r="D264" i="1" s="1"/>
  <c r="A266" i="12"/>
  <c r="D272" i="1" s="1"/>
  <c r="C259" i="12"/>
  <c r="F265" i="1" s="1"/>
  <c r="C261" i="12"/>
  <c r="F267" i="1" s="1"/>
  <c r="D266" i="12"/>
  <c r="G272" i="1" s="1"/>
  <c r="D265" i="12"/>
  <c r="G271" i="1" s="1"/>
  <c r="E266" i="12"/>
  <c r="D262" i="12"/>
  <c r="G268" i="1" s="1"/>
  <c r="E261" i="12"/>
  <c r="C262" i="12"/>
  <c r="F268" i="1" s="1"/>
  <c r="F263" i="12"/>
  <c r="G263" i="12" s="1"/>
  <c r="D263" i="12"/>
  <c r="G269" i="1" s="1"/>
  <c r="F261" i="12"/>
  <c r="G261" i="12" s="1"/>
  <c r="A249" i="12"/>
  <c r="N249" i="12" s="1"/>
  <c r="B267" i="12"/>
  <c r="FM267" i="12" s="1"/>
  <c r="FN267" i="12" s="1"/>
  <c r="E265" i="12"/>
  <c r="B265" i="12"/>
  <c r="FM265" i="12" s="1"/>
  <c r="FN265" i="12" s="1"/>
  <c r="C263" i="12"/>
  <c r="F269" i="1" s="1"/>
  <c r="B260" i="12"/>
  <c r="FM260" i="12" s="1"/>
  <c r="FN260" i="12" s="1"/>
  <c r="E263" i="12"/>
  <c r="D264" i="12"/>
  <c r="G270" i="1" s="1"/>
  <c r="B264" i="12"/>
  <c r="FM264" i="12" s="1"/>
  <c r="FN264" i="12" s="1"/>
  <c r="B263" i="12"/>
  <c r="FM263" i="12" s="1"/>
  <c r="FN263" i="12" s="1"/>
  <c r="B266" i="12"/>
  <c r="E272" i="1" s="1"/>
  <c r="C265" i="12"/>
  <c r="F271" i="1" s="1"/>
  <c r="E264" i="12"/>
  <c r="E262" i="12"/>
  <c r="B261" i="12"/>
  <c r="FM261" i="12" s="1"/>
  <c r="FN261" i="12" s="1"/>
  <c r="D261" i="12"/>
  <c r="G267" i="1" s="1"/>
  <c r="C264" i="12"/>
  <c r="F270" i="1" s="1"/>
  <c r="F260" i="12"/>
  <c r="G260" i="12" s="1"/>
  <c r="C244" i="12"/>
  <c r="F250" i="1" s="1"/>
  <c r="B251" i="12"/>
  <c r="FM251" i="12" s="1"/>
  <c r="FN251" i="12" s="1"/>
  <c r="D255" i="12"/>
  <c r="G261" i="1" s="1"/>
  <c r="E252" i="12"/>
  <c r="F252" i="12"/>
  <c r="G252" i="12" s="1"/>
  <c r="C255" i="12"/>
  <c r="F261" i="1" s="1"/>
  <c r="F244" i="12"/>
  <c r="G244" i="12" s="1"/>
  <c r="F238" i="12"/>
  <c r="G238" i="12" s="1"/>
  <c r="F257" i="12"/>
  <c r="G257" i="12" s="1"/>
  <c r="E246" i="12"/>
  <c r="E245" i="12"/>
  <c r="C235" i="12"/>
  <c r="F241" i="1" s="1"/>
  <c r="F258" i="12"/>
  <c r="G258" i="12" s="1"/>
  <c r="B236" i="12"/>
  <c r="FM236" i="12" s="1"/>
  <c r="FN236" i="12" s="1"/>
  <c r="B240" i="12"/>
  <c r="E246" i="1" s="1"/>
  <c r="D250" i="12"/>
  <c r="G256" i="1" s="1"/>
  <c r="F241" i="12"/>
  <c r="G241" i="12" s="1"/>
  <c r="F255" i="12"/>
  <c r="G255" i="12" s="1"/>
  <c r="F251" i="12"/>
  <c r="G251" i="12" s="1"/>
  <c r="D242" i="12"/>
  <c r="G248" i="1" s="1"/>
  <c r="C234" i="12"/>
  <c r="F240" i="1" s="1"/>
  <c r="F239" i="12"/>
  <c r="G239" i="12" s="1"/>
  <c r="B233" i="12"/>
  <c r="E239" i="1" s="1"/>
  <c r="B256" i="12"/>
  <c r="FM256" i="12" s="1"/>
  <c r="FN256" i="12" s="1"/>
  <c r="E250" i="12"/>
  <c r="C237" i="12"/>
  <c r="F243" i="1" s="1"/>
  <c r="C251" i="12"/>
  <c r="F257" i="1" s="1"/>
  <c r="C258" i="12"/>
  <c r="F264" i="1" s="1"/>
  <c r="E243" i="12"/>
  <c r="F250" i="12"/>
  <c r="G250" i="12" s="1"/>
  <c r="F254" i="12"/>
  <c r="G254" i="12" s="1"/>
  <c r="D244" i="12"/>
  <c r="G250" i="1" s="1"/>
  <c r="E248" i="12"/>
  <c r="C236" i="12"/>
  <c r="F242" i="1" s="1"/>
  <c r="B243" i="12"/>
  <c r="E249" i="1" s="1"/>
  <c r="D239" i="12"/>
  <c r="G245" i="1" s="1"/>
  <c r="F245" i="12"/>
  <c r="G245" i="12" s="1"/>
  <c r="E240" i="12"/>
  <c r="B244" i="12"/>
  <c r="FM244" i="12" s="1"/>
  <c r="FN244" i="12" s="1"/>
  <c r="D235" i="12"/>
  <c r="G241" i="1" s="1"/>
  <c r="E235" i="12"/>
  <c r="D256" i="12"/>
  <c r="G262" i="1" s="1"/>
  <c r="E242" i="12"/>
  <c r="D252" i="12"/>
  <c r="G258" i="1" s="1"/>
  <c r="F237" i="12"/>
  <c r="G237" i="12" s="1"/>
  <c r="C247" i="12"/>
  <c r="F253" i="1" s="1"/>
  <c r="C241" i="12"/>
  <c r="F247" i="1" s="1"/>
  <c r="F242" i="12"/>
  <c r="G242" i="12" s="1"/>
  <c r="E258" i="12"/>
  <c r="E236" i="12"/>
  <c r="B253" i="12"/>
  <c r="E259" i="1" s="1"/>
  <c r="B248" i="12"/>
  <c r="E254" i="1" s="1"/>
  <c r="B242" i="12"/>
  <c r="E248" i="1" s="1"/>
  <c r="E256" i="12"/>
  <c r="C254" i="12"/>
  <c r="F260" i="1" s="1"/>
  <c r="D259" i="12"/>
  <c r="G265" i="1" s="1"/>
  <c r="B238" i="12"/>
  <c r="FM238" i="12" s="1"/>
  <c r="FN238" i="12" s="1"/>
  <c r="F234" i="12"/>
  <c r="G234" i="12" s="1"/>
  <c r="B257" i="12"/>
  <c r="FM257" i="12" s="1"/>
  <c r="FN257" i="12" s="1"/>
  <c r="E251" i="12"/>
  <c r="D237" i="12"/>
  <c r="G243" i="1" s="1"/>
  <c r="F240" i="12"/>
  <c r="G240" i="12" s="1"/>
  <c r="C257" i="12"/>
  <c r="F263" i="1" s="1"/>
  <c r="E253" i="12"/>
  <c r="C256" i="12"/>
  <c r="F262" i="1" s="1"/>
  <c r="D236" i="12"/>
  <c r="G242" i="1" s="1"/>
  <c r="C249" i="12"/>
  <c r="F255" i="1" s="1"/>
  <c r="D257" i="12"/>
  <c r="G263" i="1" s="1"/>
  <c r="E255" i="12"/>
  <c r="D241" i="12"/>
  <c r="G247" i="1" s="1"/>
  <c r="E249" i="12"/>
  <c r="E247" i="12"/>
  <c r="C253" i="12"/>
  <c r="F259" i="1" s="1"/>
  <c r="C246" i="12"/>
  <c r="F252" i="1" s="1"/>
  <c r="B246" i="12"/>
  <c r="FM246" i="12" s="1"/>
  <c r="FN246" i="12" s="1"/>
  <c r="D249" i="12"/>
  <c r="G255" i="1" s="1"/>
  <c r="F249" i="12"/>
  <c r="G249" i="12" s="1"/>
  <c r="F248" i="12"/>
  <c r="G248" i="12" s="1"/>
  <c r="D258" i="12"/>
  <c r="G264" i="1" s="1"/>
  <c r="B249" i="12"/>
  <c r="FM249" i="12" s="1"/>
  <c r="FN249" i="12" s="1"/>
  <c r="B239" i="12"/>
  <c r="E245" i="1" s="1"/>
  <c r="B255" i="12"/>
  <c r="E261" i="1" s="1"/>
  <c r="B254" i="12"/>
  <c r="FM254" i="12" s="1"/>
  <c r="FN254" i="12" s="1"/>
  <c r="B235" i="12"/>
  <c r="E241" i="1" s="1"/>
  <c r="E237" i="12"/>
  <c r="C240" i="12"/>
  <c r="F246" i="1" s="1"/>
  <c r="F246" i="12"/>
  <c r="G246" i="12" s="1"/>
  <c r="E238" i="12"/>
  <c r="B245" i="12"/>
  <c r="FM245" i="12" s="1"/>
  <c r="FN245" i="12" s="1"/>
  <c r="E241" i="12"/>
  <c r="F243" i="12"/>
  <c r="G243" i="12" s="1"/>
  <c r="B258" i="12"/>
  <c r="FM258" i="12" s="1"/>
  <c r="FN258" i="12" s="1"/>
  <c r="C250" i="12"/>
  <c r="F256" i="1" s="1"/>
  <c r="E234" i="12"/>
  <c r="D238" i="12"/>
  <c r="G244" i="1" s="1"/>
  <c r="D254" i="12"/>
  <c r="G260" i="1" s="1"/>
  <c r="F253" i="12"/>
  <c r="G253" i="12" s="1"/>
  <c r="D245" i="12"/>
  <c r="G251" i="1" s="1"/>
  <c r="E254" i="12"/>
  <c r="F247" i="12"/>
  <c r="G247" i="12" s="1"/>
  <c r="D234" i="12"/>
  <c r="G240" i="1" s="1"/>
  <c r="D246" i="12"/>
  <c r="G252" i="1" s="1"/>
  <c r="D233" i="12"/>
  <c r="G239" i="1" s="1"/>
  <c r="D243" i="12"/>
  <c r="G249" i="1" s="1"/>
  <c r="D248" i="12"/>
  <c r="G254" i="1" s="1"/>
  <c r="E257" i="12"/>
  <c r="C252" i="12"/>
  <c r="F258" i="1" s="1"/>
  <c r="D253" i="12"/>
  <c r="G259" i="1" s="1"/>
  <c r="C239" i="12"/>
  <c r="F245" i="1" s="1"/>
  <c r="B241" i="12"/>
  <c r="FM241" i="12" s="1"/>
  <c r="FN241" i="12" s="1"/>
  <c r="D240" i="12"/>
  <c r="G246" i="1" s="1"/>
  <c r="E244" i="12"/>
  <c r="C242" i="12"/>
  <c r="F248" i="1" s="1"/>
  <c r="C245" i="12"/>
  <c r="F251" i="1" s="1"/>
  <c r="D260" i="12"/>
  <c r="G266" i="1" s="1"/>
  <c r="B234" i="12"/>
  <c r="FM234" i="12" s="1"/>
  <c r="FN234" i="12" s="1"/>
  <c r="E239" i="12"/>
  <c r="F235" i="12"/>
  <c r="G235" i="12" s="1"/>
  <c r="B237" i="12"/>
  <c r="FM237" i="12" s="1"/>
  <c r="FN237" i="12" s="1"/>
  <c r="D251" i="12"/>
  <c r="G257" i="1" s="1"/>
  <c r="C248" i="12"/>
  <c r="F254" i="1" s="1"/>
  <c r="F256" i="12"/>
  <c r="G256" i="12" s="1"/>
  <c r="C238" i="12"/>
  <c r="F244" i="1" s="1"/>
  <c r="C243" i="12"/>
  <c r="F249" i="1" s="1"/>
  <c r="E259" i="12"/>
  <c r="D247" i="12"/>
  <c r="G253" i="1" s="1"/>
  <c r="F259" i="12"/>
  <c r="G259" i="12" s="1"/>
  <c r="B259" i="12"/>
  <c r="FM259" i="12" s="1"/>
  <c r="FN259" i="12" s="1"/>
  <c r="B252" i="12"/>
  <c r="FM252" i="12" s="1"/>
  <c r="FN252" i="12" s="1"/>
  <c r="F236" i="12"/>
  <c r="G236" i="12" s="1"/>
  <c r="B247" i="12"/>
  <c r="FM247" i="12" s="1"/>
  <c r="FN247" i="12" s="1"/>
  <c r="B250" i="12"/>
  <c r="E256" i="1" s="1"/>
  <c r="FN88" i="12"/>
  <c r="FO3" i="12" s="1"/>
  <c r="FM89" i="12"/>
  <c r="FI189" i="12"/>
  <c r="N220" i="12"/>
  <c r="H267" i="12"/>
  <c r="D267" i="12"/>
  <c r="G273" i="1" s="1"/>
  <c r="A267" i="12"/>
  <c r="D273" i="1" s="1"/>
  <c r="C267" i="12"/>
  <c r="F273" i="1" s="1"/>
  <c r="DN335" i="12"/>
  <c r="F268" i="12" s="1"/>
  <c r="D227" i="1"/>
  <c r="N223" i="12"/>
  <c r="N224" i="12"/>
  <c r="N222" i="12"/>
  <c r="N225" i="12"/>
  <c r="N219" i="12"/>
  <c r="D225" i="1"/>
  <c r="N229" i="12"/>
  <c r="D232" i="1"/>
  <c r="N231" i="12"/>
  <c r="D244" i="1"/>
  <c r="D243" i="1"/>
  <c r="FM217" i="12"/>
  <c r="FN217" i="12" s="1"/>
  <c r="E223" i="1"/>
  <c r="H223" i="1" s="1"/>
  <c r="FH223" i="12"/>
  <c r="FM215" i="12"/>
  <c r="E221" i="1"/>
  <c r="H221" i="1" s="1"/>
  <c r="FM225" i="12"/>
  <c r="FN225" i="12" s="1"/>
  <c r="E231" i="1"/>
  <c r="FM224" i="12"/>
  <c r="FN224" i="12" s="1"/>
  <c r="E230" i="1"/>
  <c r="H230" i="1" s="1"/>
  <c r="N7" i="12"/>
  <c r="D13" i="1"/>
  <c r="M7" i="12"/>
  <c r="I236" i="1"/>
  <c r="FM216" i="12"/>
  <c r="FN216" i="12" s="1"/>
  <c r="E222" i="1"/>
  <c r="H222" i="1" s="1"/>
  <c r="I239" i="1"/>
  <c r="FH233" i="12"/>
  <c r="FI233" i="12" s="1"/>
  <c r="FH215" i="12"/>
  <c r="FI215" i="12" s="1"/>
  <c r="I221" i="1"/>
  <c r="FH232" i="12"/>
  <c r="FI232" i="12" s="1"/>
  <c r="I238" i="1"/>
  <c r="FH217" i="12"/>
  <c r="I223" i="1"/>
  <c r="FM221" i="12"/>
  <c r="FN221" i="12" s="1"/>
  <c r="E227" i="1"/>
  <c r="D191" i="1"/>
  <c r="N185" i="12"/>
  <c r="D190" i="1"/>
  <c r="N184" i="12"/>
  <c r="FH220" i="12" l="1"/>
  <c r="I233" i="1"/>
  <c r="N234" i="12"/>
  <c r="FM230" i="12"/>
  <c r="FN230" i="12" s="1"/>
  <c r="FH227" i="12"/>
  <c r="FI227" i="12" s="1"/>
  <c r="I226" i="1"/>
  <c r="FH222" i="12"/>
  <c r="H227" i="1"/>
  <c r="E233" i="1"/>
  <c r="H233" i="1" s="1"/>
  <c r="I224" i="1"/>
  <c r="I235" i="1"/>
  <c r="FH221" i="12"/>
  <c r="FH218" i="12"/>
  <c r="FH229" i="12"/>
  <c r="FI229" i="12" s="1"/>
  <c r="I227" i="1"/>
  <c r="I229" i="1"/>
  <c r="D233" i="1"/>
  <c r="I228" i="1"/>
  <c r="N232" i="12"/>
  <c r="H232" i="1"/>
  <c r="N233" i="12"/>
  <c r="FH219" i="12"/>
  <c r="FM222" i="12"/>
  <c r="FN222" i="12" s="1"/>
  <c r="I230" i="1"/>
  <c r="FM226" i="12"/>
  <c r="FN226" i="12" s="1"/>
  <c r="I260" i="1"/>
  <c r="FH224" i="12"/>
  <c r="E225" i="1"/>
  <c r="H225" i="1" s="1"/>
  <c r="N248" i="12"/>
  <c r="H228" i="1"/>
  <c r="E235" i="1"/>
  <c r="H235" i="1" s="1"/>
  <c r="E237" i="1"/>
  <c r="H237" i="1" s="1"/>
  <c r="H231" i="1"/>
  <c r="I252" i="1"/>
  <c r="N241" i="12"/>
  <c r="D267" i="1"/>
  <c r="E224" i="1"/>
  <c r="H224" i="1" s="1"/>
  <c r="I231" i="1"/>
  <c r="I234" i="1"/>
  <c r="I237" i="1"/>
  <c r="D236" i="1"/>
  <c r="N245" i="12"/>
  <c r="N236" i="12"/>
  <c r="FH225" i="12"/>
  <c r="FI225" i="12" s="1"/>
  <c r="I225" i="1"/>
  <c r="FH228" i="12"/>
  <c r="FI228" i="12" s="1"/>
  <c r="FH231" i="12"/>
  <c r="FI231" i="12" s="1"/>
  <c r="D261" i="1"/>
  <c r="FM253" i="12"/>
  <c r="FN253" i="12" s="1"/>
  <c r="E264" i="1"/>
  <c r="H264" i="1" s="1"/>
  <c r="E238" i="1"/>
  <c r="H238" i="1" s="1"/>
  <c r="I270" i="1"/>
  <c r="E229" i="1"/>
  <c r="H229" i="1" s="1"/>
  <c r="FM248" i="12"/>
  <c r="FN248" i="12" s="1"/>
  <c r="FH216" i="12"/>
  <c r="FI216" i="12" s="1"/>
  <c r="FI217" i="12" s="1"/>
  <c r="D241" i="1"/>
  <c r="I266" i="1"/>
  <c r="FM220" i="12"/>
  <c r="FN220" i="12" s="1"/>
  <c r="I232" i="1"/>
  <c r="I244" i="1"/>
  <c r="FH260" i="12"/>
  <c r="FI260" i="12" s="1"/>
  <c r="FH264" i="12"/>
  <c r="FI264" i="12" s="1"/>
  <c r="FM235" i="12"/>
  <c r="FN235" i="12" s="1"/>
  <c r="E273" i="1"/>
  <c r="H236" i="1"/>
  <c r="FH230" i="12"/>
  <c r="FI230" i="12" s="1"/>
  <c r="I269" i="1"/>
  <c r="FH238" i="12"/>
  <c r="FI238" i="12" s="1"/>
  <c r="D245" i="1"/>
  <c r="D271" i="1"/>
  <c r="H239" i="1"/>
  <c r="I271" i="1"/>
  <c r="E269" i="1"/>
  <c r="H269" i="1" s="1"/>
  <c r="E262" i="1"/>
  <c r="H262" i="1" s="1"/>
  <c r="FM228" i="12"/>
  <c r="FN228" i="12" s="1"/>
  <c r="E240" i="1"/>
  <c r="H240" i="1" s="1"/>
  <c r="I248" i="1"/>
  <c r="E266" i="1"/>
  <c r="H266" i="1" s="1"/>
  <c r="FH263" i="12"/>
  <c r="FI263" i="12" s="1"/>
  <c r="I222" i="1"/>
  <c r="N259" i="12"/>
  <c r="D258" i="1"/>
  <c r="FH265" i="12"/>
  <c r="FI265" i="12" s="1"/>
  <c r="FH242" i="12"/>
  <c r="FI242" i="12" s="1"/>
  <c r="FH226" i="12"/>
  <c r="FI226" i="12" s="1"/>
  <c r="N228" i="12"/>
  <c r="N246" i="12"/>
  <c r="H272" i="1"/>
  <c r="E243" i="1"/>
  <c r="H243" i="1" s="1"/>
  <c r="I257" i="1"/>
  <c r="I249" i="1"/>
  <c r="E270" i="1"/>
  <c r="H270" i="1" s="1"/>
  <c r="I272" i="1"/>
  <c r="E250" i="1"/>
  <c r="H250" i="1" s="1"/>
  <c r="D257" i="1"/>
  <c r="FM243" i="12"/>
  <c r="FN243" i="12" s="1"/>
  <c r="FH262" i="12"/>
  <c r="FI262" i="12" s="1"/>
  <c r="FH244" i="12"/>
  <c r="FI244" i="12" s="1"/>
  <c r="FM240" i="12"/>
  <c r="FN240" i="12" s="1"/>
  <c r="FM233" i="12"/>
  <c r="FN233" i="12" s="1"/>
  <c r="H248" i="1"/>
  <c r="E260" i="1"/>
  <c r="H260" i="1" s="1"/>
  <c r="FH251" i="12"/>
  <c r="FI251" i="12" s="1"/>
  <c r="FH243" i="12"/>
  <c r="FI243" i="12" s="1"/>
  <c r="FH266" i="12"/>
  <c r="FI266" i="12" s="1"/>
  <c r="D255" i="1"/>
  <c r="FH254" i="12"/>
  <c r="FI254" i="12" s="1"/>
  <c r="I268" i="1"/>
  <c r="I250" i="1"/>
  <c r="N266" i="12"/>
  <c r="E251" i="1"/>
  <c r="H251" i="1" s="1"/>
  <c r="I243" i="1"/>
  <c r="FM250" i="12"/>
  <c r="FN250" i="12" s="1"/>
  <c r="E268" i="1"/>
  <c r="H268" i="1" s="1"/>
  <c r="D270" i="1"/>
  <c r="I251" i="1"/>
  <c r="N253" i="12"/>
  <c r="N244" i="12"/>
  <c r="I255" i="1"/>
  <c r="D263" i="1"/>
  <c r="N240" i="12"/>
  <c r="H256" i="1"/>
  <c r="E267" i="1"/>
  <c r="H267" i="1" s="1"/>
  <c r="FH252" i="12"/>
  <c r="FI252" i="12" s="1"/>
  <c r="H254" i="1"/>
  <c r="FM266" i="12"/>
  <c r="FN266" i="12" s="1"/>
  <c r="FM239" i="12"/>
  <c r="FN239" i="12" s="1"/>
  <c r="D260" i="1"/>
  <c r="FH250" i="12"/>
  <c r="FI250" i="12" s="1"/>
  <c r="FM255" i="12"/>
  <c r="FN255" i="12" s="1"/>
  <c r="I245" i="1"/>
  <c r="I241" i="1"/>
  <c r="E242" i="1"/>
  <c r="H242" i="1" s="1"/>
  <c r="D256" i="1"/>
  <c r="I240" i="1"/>
  <c r="E263" i="1"/>
  <c r="H263" i="1" s="1"/>
  <c r="I253" i="1"/>
  <c r="E255" i="1"/>
  <c r="H255" i="1" s="1"/>
  <c r="E265" i="1"/>
  <c r="H265" i="1" s="1"/>
  <c r="I265" i="1"/>
  <c r="FH246" i="12"/>
  <c r="FI246" i="12" s="1"/>
  <c r="E252" i="1"/>
  <c r="H252" i="1" s="1"/>
  <c r="H259" i="1"/>
  <c r="FH247" i="12"/>
  <c r="FI247" i="12" s="1"/>
  <c r="FH239" i="12"/>
  <c r="FI239" i="12" s="1"/>
  <c r="E247" i="1"/>
  <c r="H247" i="1" s="1"/>
  <c r="N243" i="12"/>
  <c r="E271" i="1"/>
  <c r="H271" i="1" s="1"/>
  <c r="E257" i="1"/>
  <c r="H257" i="1" s="1"/>
  <c r="I261" i="1"/>
  <c r="FH234" i="12"/>
  <c r="FI234" i="12" s="1"/>
  <c r="D266" i="1"/>
  <c r="FH235" i="12"/>
  <c r="FI235" i="12" s="1"/>
  <c r="I242" i="1"/>
  <c r="FH240" i="12"/>
  <c r="FI240" i="12" s="1"/>
  <c r="N247" i="12"/>
  <c r="FH255" i="12"/>
  <c r="FI255" i="12" s="1"/>
  <c r="I267" i="1"/>
  <c r="I262" i="1"/>
  <c r="I254" i="1"/>
  <c r="FH236" i="12"/>
  <c r="FI236" i="12" s="1"/>
  <c r="I246" i="1"/>
  <c r="N258" i="12"/>
  <c r="FH261" i="12"/>
  <c r="FI261" i="12" s="1"/>
  <c r="I256" i="1"/>
  <c r="FH256" i="12"/>
  <c r="FI256" i="12" s="1"/>
  <c r="FH248" i="12"/>
  <c r="FI248" i="12" s="1"/>
  <c r="H246" i="1"/>
  <c r="N256" i="12"/>
  <c r="N262" i="12"/>
  <c r="N263" i="12"/>
  <c r="D248" i="1"/>
  <c r="H245" i="1"/>
  <c r="FH249" i="12"/>
  <c r="FI249" i="12" s="1"/>
  <c r="FH237" i="12"/>
  <c r="FI237" i="12" s="1"/>
  <c r="FH245" i="12"/>
  <c r="FI245" i="12" s="1"/>
  <c r="I259" i="1"/>
  <c r="E258" i="1"/>
  <c r="H258" i="1" s="1"/>
  <c r="H249" i="1"/>
  <c r="E244" i="1"/>
  <c r="H244" i="1" s="1"/>
  <c r="I264" i="1"/>
  <c r="E253" i="1"/>
  <c r="H253" i="1" s="1"/>
  <c r="H241" i="1"/>
  <c r="FH253" i="12"/>
  <c r="FI253" i="12" s="1"/>
  <c r="FM242" i="12"/>
  <c r="FN242" i="12" s="1"/>
  <c r="H261" i="1"/>
  <c r="I263" i="1"/>
  <c r="I247" i="1"/>
  <c r="FH258" i="12"/>
  <c r="FI258" i="12" s="1"/>
  <c r="FH259" i="12"/>
  <c r="FI259" i="12" s="1"/>
  <c r="FH257" i="12"/>
  <c r="FI257" i="12" s="1"/>
  <c r="FH241" i="12"/>
  <c r="FI241" i="12" s="1"/>
  <c r="I258" i="1"/>
  <c r="FN89" i="12"/>
  <c r="FM91" i="12"/>
  <c r="FI190" i="12"/>
  <c r="M10" i="12"/>
  <c r="M12" i="12" s="1"/>
  <c r="G268" i="12"/>
  <c r="I274" i="1"/>
  <c r="FH268" i="12"/>
  <c r="FI268" i="12" s="1"/>
  <c r="A268" i="12"/>
  <c r="N267" i="12"/>
  <c r="B268" i="12"/>
  <c r="H268" i="12"/>
  <c r="DN336" i="12"/>
  <c r="H269" i="12" s="1"/>
  <c r="Q7" i="12"/>
  <c r="FN215" i="12"/>
  <c r="M72" i="12"/>
  <c r="N183" i="12"/>
  <c r="D189" i="1"/>
  <c r="FI218" i="12" l="1"/>
  <c r="FI219" i="12" s="1"/>
  <c r="FI220" i="12" s="1"/>
  <c r="FI221" i="12" s="1"/>
  <c r="FI222" i="12" s="1"/>
  <c r="FI223" i="12" s="1"/>
  <c r="FI224" i="12" s="1"/>
  <c r="FO4" i="12"/>
  <c r="FM92" i="12"/>
  <c r="FN91" i="12"/>
  <c r="M13" i="12"/>
  <c r="M16" i="12" s="1"/>
  <c r="FI191" i="12"/>
  <c r="D274" i="1"/>
  <c r="N268" i="12"/>
  <c r="E274" i="1"/>
  <c r="FM268" i="12"/>
  <c r="FN268" i="12" s="1"/>
  <c r="A269" i="12"/>
  <c r="D275" i="1" s="1"/>
  <c r="DN337" i="12"/>
  <c r="H270" i="12" s="1"/>
  <c r="Q8" i="12"/>
  <c r="AB6" i="12" s="1"/>
  <c r="M18" i="12" l="1"/>
  <c r="M19" i="12"/>
  <c r="FO5" i="12"/>
  <c r="FM93" i="12"/>
  <c r="FN92" i="12"/>
  <c r="FO6" i="12" s="1"/>
  <c r="FI192" i="12"/>
  <c r="M25" i="12"/>
  <c r="N269" i="12"/>
  <c r="A270" i="12"/>
  <c r="DN338" i="12"/>
  <c r="AE6" i="12"/>
  <c r="AG6" i="12"/>
  <c r="AF6" i="12"/>
  <c r="AC6" i="12"/>
  <c r="AJ6" i="12"/>
  <c r="AH6" i="12"/>
  <c r="Q9" i="12"/>
  <c r="AE7" i="12" s="1"/>
  <c r="AD6" i="12"/>
  <c r="M57" i="12"/>
  <c r="M22" i="12" l="1"/>
  <c r="M24" i="12"/>
  <c r="FN93" i="12"/>
  <c r="FM94" i="12"/>
  <c r="FI193" i="12"/>
  <c r="M28" i="12"/>
  <c r="N270" i="12"/>
  <c r="D276" i="1"/>
  <c r="DN339" i="12"/>
  <c r="A271" i="12" s="1"/>
  <c r="D277" i="1" s="1"/>
  <c r="AQ6" i="12"/>
  <c r="AS6" i="12" s="1"/>
  <c r="A13" i="2"/>
  <c r="AA6" i="12"/>
  <c r="Q10" i="12"/>
  <c r="AD8" i="12" s="1"/>
  <c r="AJ7" i="12"/>
  <c r="AD7" i="12"/>
  <c r="AF7" i="12"/>
  <c r="AG7" i="12"/>
  <c r="AC7" i="12"/>
  <c r="AB7" i="12"/>
  <c r="AH7" i="12"/>
  <c r="FM116" i="12" l="1"/>
  <c r="FN116" i="12" s="1"/>
  <c r="FM108" i="12"/>
  <c r="FN108" i="12" s="1"/>
  <c r="FM153" i="12"/>
  <c r="M29" i="12"/>
  <c r="M31" i="12" s="1"/>
  <c r="FN94" i="12"/>
  <c r="FM162" i="12"/>
  <c r="FN162" i="12" s="1"/>
  <c r="FI195" i="12"/>
  <c r="M50" i="12"/>
  <c r="H271" i="12"/>
  <c r="N271" i="12"/>
  <c r="DN340" i="12"/>
  <c r="H272" i="12" s="1"/>
  <c r="AB8" i="12"/>
  <c r="AF8" i="12"/>
  <c r="AJ8" i="12"/>
  <c r="AR6" i="12"/>
  <c r="AU6" i="12" s="1"/>
  <c r="AG8" i="12"/>
  <c r="AE8" i="12"/>
  <c r="AH8" i="12"/>
  <c r="A14" i="2"/>
  <c r="EL7" i="12"/>
  <c r="AQ7" i="12"/>
  <c r="AA7" i="12"/>
  <c r="Q11" i="12"/>
  <c r="AC8" i="12"/>
  <c r="FM150" i="12" l="1"/>
  <c r="FN150" i="12" s="1"/>
  <c r="FO7" i="12"/>
  <c r="FN153" i="12"/>
  <c r="FM156" i="12"/>
  <c r="FM159" i="12" s="1"/>
  <c r="FN159" i="12" s="1"/>
  <c r="M34" i="12"/>
  <c r="FI196" i="12"/>
  <c r="A272" i="12"/>
  <c r="DN341" i="12"/>
  <c r="M69" i="12"/>
  <c r="AT6" i="12"/>
  <c r="A15" i="2"/>
  <c r="AQ8" i="12"/>
  <c r="EL8" i="12"/>
  <c r="AA8" i="12"/>
  <c r="AJ9" i="12"/>
  <c r="AR7" i="12"/>
  <c r="AS7" i="12"/>
  <c r="AG9" i="12"/>
  <c r="AB9" i="12"/>
  <c r="AC9" i="12"/>
  <c r="AD9" i="12"/>
  <c r="AF9" i="12"/>
  <c r="AH9" i="12"/>
  <c r="AE9" i="12"/>
  <c r="Q12" i="12"/>
  <c r="M86" i="12"/>
  <c r="M112" i="12"/>
  <c r="D193" i="1"/>
  <c r="N187" i="12"/>
  <c r="M37" i="12" l="1"/>
  <c r="M39" i="12" s="1"/>
  <c r="FN156" i="12"/>
  <c r="M46" i="12"/>
  <c r="M55" i="12"/>
  <c r="FI197" i="12"/>
  <c r="A273" i="12"/>
  <c r="D279" i="1" s="1"/>
  <c r="D278" i="1"/>
  <c r="N272" i="12"/>
  <c r="H273" i="12"/>
  <c r="DN342" i="12"/>
  <c r="H274" i="12" s="1"/>
  <c r="AT7" i="12"/>
  <c r="AU7" i="12"/>
  <c r="AC10" i="12"/>
  <c r="AH10" i="12"/>
  <c r="AG10" i="12"/>
  <c r="Q13" i="12"/>
  <c r="AC11" i="12" s="1"/>
  <c r="AB10" i="12"/>
  <c r="A16" i="2"/>
  <c r="EL9" i="12"/>
  <c r="AQ9" i="12"/>
  <c r="AA9" i="12"/>
  <c r="AD10" i="12"/>
  <c r="AF10" i="12"/>
  <c r="AE10" i="12"/>
  <c r="AS8" i="12"/>
  <c r="AR8" i="12"/>
  <c r="M76" i="12"/>
  <c r="M43" i="12" l="1"/>
  <c r="M45" i="12" s="1"/>
  <c r="M49" i="12"/>
  <c r="M52" i="12" s="1"/>
  <c r="A17" i="2"/>
  <c r="M65" i="12"/>
  <c r="FI198" i="12"/>
  <c r="N273" i="12"/>
  <c r="A274" i="12"/>
  <c r="DN343" i="12"/>
  <c r="H275" i="12" s="1"/>
  <c r="AA10" i="12"/>
  <c r="AB11" i="12"/>
  <c r="AA11" i="12" s="1"/>
  <c r="AH11" i="12"/>
  <c r="AQ11" i="12" s="1"/>
  <c r="AT8" i="12"/>
  <c r="AJ11" i="12"/>
  <c r="AG11" i="12"/>
  <c r="AF11" i="12"/>
  <c r="AQ10" i="12"/>
  <c r="AR10" i="12" s="1"/>
  <c r="EL10" i="12"/>
  <c r="AE11" i="12"/>
  <c r="Q14" i="12"/>
  <c r="A18" i="2"/>
  <c r="AU8" i="12"/>
  <c r="AS9" i="12"/>
  <c r="AR9" i="12"/>
  <c r="M88" i="12"/>
  <c r="M53" i="12" l="1"/>
  <c r="M56" i="12" s="1"/>
  <c r="M59" i="12" s="1"/>
  <c r="M67" i="12"/>
  <c r="M66" i="12"/>
  <c r="M73" i="12"/>
  <c r="FI199" i="12"/>
  <c r="A275" i="12"/>
  <c r="N275" i="12" s="1"/>
  <c r="N274" i="12"/>
  <c r="D280" i="1"/>
  <c r="DN344" i="12"/>
  <c r="DN345" i="12" s="1"/>
  <c r="DN346" i="12" s="1"/>
  <c r="DN347" i="12" s="1"/>
  <c r="DN348" i="12" s="1"/>
  <c r="EL11" i="12"/>
  <c r="AS10" i="12"/>
  <c r="AT10" i="12" s="1"/>
  <c r="AT9" i="12"/>
  <c r="AR11" i="12"/>
  <c r="AS11" i="12"/>
  <c r="AH12" i="12"/>
  <c r="AF12" i="12"/>
  <c r="AG12" i="12"/>
  <c r="Q15" i="12"/>
  <c r="AD12" i="12"/>
  <c r="AB12" i="12"/>
  <c r="AU9" i="12"/>
  <c r="M90" i="12"/>
  <c r="M94" i="12"/>
  <c r="M96" i="12"/>
  <c r="N190" i="12"/>
  <c r="D196" i="1"/>
  <c r="N189" i="12"/>
  <c r="D195" i="1"/>
  <c r="M61" i="12" l="1"/>
  <c r="M62" i="12"/>
  <c r="M87" i="12"/>
  <c r="FI200" i="12"/>
  <c r="D281" i="1"/>
  <c r="A276" i="12"/>
  <c r="N276" i="12" s="1"/>
  <c r="DN349" i="12"/>
  <c r="DN350" i="12" s="1"/>
  <c r="H276" i="12"/>
  <c r="A277" i="12"/>
  <c r="D283" i="1" s="1"/>
  <c r="H277" i="12"/>
  <c r="H279" i="12"/>
  <c r="A279" i="12"/>
  <c r="N279" i="12" s="1"/>
  <c r="A278" i="12"/>
  <c r="D284" i="1" s="1"/>
  <c r="A280" i="12"/>
  <c r="N280" i="12" s="1"/>
  <c r="H280" i="12"/>
  <c r="H278" i="12"/>
  <c r="AU10" i="12"/>
  <c r="AT11" i="12"/>
  <c r="AE12" i="12"/>
  <c r="AU11" i="12"/>
  <c r="Q16" i="12"/>
  <c r="Q17" i="12" s="1"/>
  <c r="N188" i="12"/>
  <c r="D194" i="1"/>
  <c r="M64" i="12" l="1"/>
  <c r="M70" i="12"/>
  <c r="M80" i="12"/>
  <c r="M83" i="12" s="1"/>
  <c r="FI201" i="12"/>
  <c r="A282" i="12"/>
  <c r="D288" i="1" s="1"/>
  <c r="A281" i="12"/>
  <c r="D287" i="1" s="1"/>
  <c r="H282" i="12"/>
  <c r="H281" i="12"/>
  <c r="D282" i="1"/>
  <c r="DN351" i="12"/>
  <c r="DN352" i="12" s="1"/>
  <c r="N278" i="12"/>
  <c r="D285" i="1"/>
  <c r="D286" i="1"/>
  <c r="N277" i="12"/>
  <c r="Q18" i="12"/>
  <c r="Q19" i="12" s="1"/>
  <c r="Q20" i="12" s="1"/>
  <c r="M98" i="12"/>
  <c r="M68" i="12" l="1"/>
  <c r="M84" i="12"/>
  <c r="M93" i="12"/>
  <c r="FI202" i="12"/>
  <c r="N281" i="12"/>
  <c r="N282" i="12"/>
  <c r="H283" i="12"/>
  <c r="A283" i="12"/>
  <c r="AD16" i="12"/>
  <c r="AC17" i="12"/>
  <c r="Q21" i="12"/>
  <c r="M100" i="12"/>
  <c r="M74" i="12" l="1"/>
  <c r="M75" i="12" s="1"/>
  <c r="M78" i="12" s="1"/>
  <c r="M79" i="12" s="1"/>
  <c r="M81" i="12" s="1"/>
  <c r="M97" i="12"/>
  <c r="FI203" i="12"/>
  <c r="N283" i="12"/>
  <c r="D289" i="1"/>
  <c r="DN353" i="12"/>
  <c r="DN354" i="12" s="1"/>
  <c r="DN355" i="12" s="1"/>
  <c r="DN356" i="12" s="1"/>
  <c r="DN357" i="12" s="1"/>
  <c r="DN358" i="12" s="1"/>
  <c r="AF18" i="12"/>
  <c r="Q22" i="12"/>
  <c r="A24" i="2"/>
  <c r="M101" i="12"/>
  <c r="M77" i="12" l="1"/>
  <c r="FI204" i="12"/>
  <c r="A284" i="12"/>
  <c r="H284" i="12"/>
  <c r="H285" i="12"/>
  <c r="A285" i="12"/>
  <c r="E275" i="12"/>
  <c r="E278" i="12"/>
  <c r="C266" i="12"/>
  <c r="F272" i="1" s="1"/>
  <c r="F279" i="12"/>
  <c r="D282" i="12"/>
  <c r="G288" i="1" s="1"/>
  <c r="F277" i="12"/>
  <c r="E283" i="12"/>
  <c r="D271" i="12"/>
  <c r="G277" i="1" s="1"/>
  <c r="E272" i="12"/>
  <c r="F267" i="12"/>
  <c r="E269" i="12"/>
  <c r="C274" i="12"/>
  <c r="F280" i="1" s="1"/>
  <c r="D268" i="12"/>
  <c r="G274" i="1" s="1"/>
  <c r="E281" i="12"/>
  <c r="C268" i="12"/>
  <c r="F274" i="1" s="1"/>
  <c r="F285" i="12"/>
  <c r="F278" i="12"/>
  <c r="D283" i="12"/>
  <c r="G289" i="1" s="1"/>
  <c r="E267" i="12"/>
  <c r="H273" i="1" s="1"/>
  <c r="E268" i="12"/>
  <c r="H274" i="1" s="1"/>
  <c r="E276" i="12"/>
  <c r="C277" i="12"/>
  <c r="F283" i="1" s="1"/>
  <c r="E271" i="12"/>
  <c r="B274" i="12"/>
  <c r="D280" i="12"/>
  <c r="G286" i="1" s="1"/>
  <c r="B276" i="12"/>
  <c r="E279" i="12"/>
  <c r="D284" i="12"/>
  <c r="G290" i="1" s="1"/>
  <c r="C275" i="12"/>
  <c r="F281" i="1" s="1"/>
  <c r="F269" i="12"/>
  <c r="B270" i="12"/>
  <c r="C270" i="12"/>
  <c r="F276" i="1" s="1"/>
  <c r="F280" i="12"/>
  <c r="F271" i="12"/>
  <c r="F284" i="12"/>
  <c r="E284" i="12"/>
  <c r="F276" i="12"/>
  <c r="B279" i="12"/>
  <c r="B275" i="12"/>
  <c r="C272" i="12"/>
  <c r="F278" i="1" s="1"/>
  <c r="C285" i="12"/>
  <c r="F291" i="1" s="1"/>
  <c r="E273" i="12"/>
  <c r="B271" i="12"/>
  <c r="F274" i="12"/>
  <c r="B272" i="12"/>
  <c r="B284" i="12"/>
  <c r="D276" i="12"/>
  <c r="G282" i="1" s="1"/>
  <c r="C278" i="12"/>
  <c r="F284" i="1" s="1"/>
  <c r="D277" i="12"/>
  <c r="G283" i="1" s="1"/>
  <c r="E282" i="12"/>
  <c r="C269" i="12"/>
  <c r="F275" i="1" s="1"/>
  <c r="D272" i="12"/>
  <c r="G278" i="1" s="1"/>
  <c r="D279" i="12"/>
  <c r="G285" i="1" s="1"/>
  <c r="B282" i="12"/>
  <c r="D278" i="12"/>
  <c r="G284" i="1" s="1"/>
  <c r="C281" i="12"/>
  <c r="F287" i="1" s="1"/>
  <c r="C284" i="12"/>
  <c r="F290" i="1" s="1"/>
  <c r="D281" i="12"/>
  <c r="G287" i="1" s="1"/>
  <c r="D269" i="12"/>
  <c r="G275" i="1" s="1"/>
  <c r="C271" i="12"/>
  <c r="F277" i="1" s="1"/>
  <c r="B283" i="12"/>
  <c r="C279" i="12"/>
  <c r="F285" i="1" s="1"/>
  <c r="C280" i="12"/>
  <c r="F286" i="1" s="1"/>
  <c r="F275" i="12"/>
  <c r="B269" i="12"/>
  <c r="D274" i="12"/>
  <c r="G280" i="1" s="1"/>
  <c r="F273" i="12"/>
  <c r="B278" i="12"/>
  <c r="C276" i="12"/>
  <c r="F282" i="1" s="1"/>
  <c r="F283" i="12"/>
  <c r="D275" i="12"/>
  <c r="G281" i="1" s="1"/>
  <c r="B273" i="12"/>
  <c r="F281" i="12"/>
  <c r="C273" i="12"/>
  <c r="F279" i="1" s="1"/>
  <c r="E274" i="12"/>
  <c r="D270" i="12"/>
  <c r="G276" i="1" s="1"/>
  <c r="D273" i="12"/>
  <c r="G279" i="1" s="1"/>
  <c r="E277" i="12"/>
  <c r="E280" i="12"/>
  <c r="C282" i="12"/>
  <c r="F288" i="1" s="1"/>
  <c r="B281" i="12"/>
  <c r="F270" i="12"/>
  <c r="E270" i="12"/>
  <c r="F272" i="12"/>
  <c r="B277" i="12"/>
  <c r="F282" i="12"/>
  <c r="B280" i="12"/>
  <c r="C283" i="12"/>
  <c r="F289" i="1" s="1"/>
  <c r="Q23" i="12"/>
  <c r="M116" i="12"/>
  <c r="M85" i="12" l="1"/>
  <c r="FI205" i="12"/>
  <c r="FJ5" i="12"/>
  <c r="FJ6" i="12"/>
  <c r="D285" i="12"/>
  <c r="G291" i="1" s="1"/>
  <c r="B285" i="12"/>
  <c r="E291" i="1" s="1"/>
  <c r="E285" i="12"/>
  <c r="N284" i="12"/>
  <c r="D290" i="1"/>
  <c r="N285" i="12"/>
  <c r="D291" i="1"/>
  <c r="G282" i="12"/>
  <c r="FH282" i="12"/>
  <c r="FI282" i="12" s="1"/>
  <c r="I288" i="1"/>
  <c r="G270" i="12"/>
  <c r="FH270" i="12"/>
  <c r="FI270" i="12" s="1"/>
  <c r="I276" i="1"/>
  <c r="FM273" i="12"/>
  <c r="FN273" i="12" s="1"/>
  <c r="E279" i="1"/>
  <c r="H279" i="1" s="1"/>
  <c r="FM269" i="12"/>
  <c r="E275" i="1"/>
  <c r="H275" i="1" s="1"/>
  <c r="E285" i="1"/>
  <c r="H285" i="1" s="1"/>
  <c r="FM279" i="12"/>
  <c r="FN279" i="12" s="1"/>
  <c r="G267" i="12"/>
  <c r="FH267" i="12"/>
  <c r="FI267" i="12" s="1"/>
  <c r="I273" i="1"/>
  <c r="G279" i="12"/>
  <c r="FH279" i="12"/>
  <c r="FI279" i="12" s="1"/>
  <c r="I285" i="1"/>
  <c r="FM278" i="12"/>
  <c r="FN278" i="12" s="1"/>
  <c r="E284" i="1"/>
  <c r="H284" i="1" s="1"/>
  <c r="E278" i="1"/>
  <c r="H278" i="1" s="1"/>
  <c r="FM272" i="12"/>
  <c r="FN272" i="12" s="1"/>
  <c r="G274" i="12"/>
  <c r="FH274" i="12"/>
  <c r="FI274" i="12" s="1"/>
  <c r="I280" i="1"/>
  <c r="G280" i="12"/>
  <c r="I286" i="1"/>
  <c r="FH280" i="12"/>
  <c r="FI280" i="12" s="1"/>
  <c r="G269" i="12"/>
  <c r="FH269" i="12"/>
  <c r="FI269" i="12" s="1"/>
  <c r="I275" i="1"/>
  <c r="FM277" i="12"/>
  <c r="FN277" i="12" s="1"/>
  <c r="E283" i="1"/>
  <c r="H283" i="1" s="1"/>
  <c r="G272" i="12"/>
  <c r="I278" i="1"/>
  <c r="FH272" i="12"/>
  <c r="FI272" i="12" s="1"/>
  <c r="G273" i="12"/>
  <c r="FH273" i="12"/>
  <c r="FI273" i="12" s="1"/>
  <c r="I279" i="1"/>
  <c r="G275" i="12"/>
  <c r="FH275" i="12"/>
  <c r="FI275" i="12" s="1"/>
  <c r="I281" i="1"/>
  <c r="E289" i="1"/>
  <c r="H289" i="1" s="1"/>
  <c r="FM283" i="12"/>
  <c r="FN283" i="12" s="1"/>
  <c r="FM284" i="12"/>
  <c r="FN284" i="12" s="1"/>
  <c r="E290" i="1"/>
  <c r="H290" i="1" s="1"/>
  <c r="FM271" i="12"/>
  <c r="FN271" i="12" s="1"/>
  <c r="E277" i="1"/>
  <c r="H277" i="1" s="1"/>
  <c r="E281" i="1"/>
  <c r="H281" i="1" s="1"/>
  <c r="FM275" i="12"/>
  <c r="FN275" i="12" s="1"/>
  <c r="G284" i="12"/>
  <c r="FH284" i="12"/>
  <c r="FI284" i="12" s="1"/>
  <c r="I290" i="1"/>
  <c r="E282" i="1"/>
  <c r="H282" i="1" s="1"/>
  <c r="FM276" i="12"/>
  <c r="FN276" i="12" s="1"/>
  <c r="G285" i="12"/>
  <c r="FH285" i="12"/>
  <c r="FI285" i="12" s="1"/>
  <c r="I291" i="1"/>
  <c r="G277" i="12"/>
  <c r="FH277" i="12"/>
  <c r="FI277" i="12" s="1"/>
  <c r="I283" i="1"/>
  <c r="FM280" i="12"/>
  <c r="FN280" i="12" s="1"/>
  <c r="E286" i="1"/>
  <c r="H286" i="1" s="1"/>
  <c r="E287" i="1"/>
  <c r="H287" i="1" s="1"/>
  <c r="FM281" i="12"/>
  <c r="FN281" i="12" s="1"/>
  <c r="G281" i="12"/>
  <c r="FH281" i="12"/>
  <c r="FI281" i="12" s="1"/>
  <c r="I287" i="1"/>
  <c r="G283" i="12"/>
  <c r="FH283" i="12"/>
  <c r="FI283" i="12" s="1"/>
  <c r="I289" i="1"/>
  <c r="FM282" i="12"/>
  <c r="FN282" i="12" s="1"/>
  <c r="E288" i="1"/>
  <c r="H288" i="1" s="1"/>
  <c r="G276" i="12"/>
  <c r="I282" i="1"/>
  <c r="FH276" i="12"/>
  <c r="FI276" i="12" s="1"/>
  <c r="G271" i="12"/>
  <c r="FH271" i="12"/>
  <c r="FI271" i="12" s="1"/>
  <c r="I277" i="1"/>
  <c r="FM270" i="12"/>
  <c r="FN270" i="12" s="1"/>
  <c r="E276" i="1"/>
  <c r="H276" i="1" s="1"/>
  <c r="FM274" i="12"/>
  <c r="FN274" i="12" s="1"/>
  <c r="E280" i="1"/>
  <c r="H280" i="1" s="1"/>
  <c r="G278" i="12"/>
  <c r="FH278" i="12"/>
  <c r="FI278" i="12" s="1"/>
  <c r="I284" i="1"/>
  <c r="Q24" i="12"/>
  <c r="M103" i="12"/>
  <c r="M109" i="12"/>
  <c r="M113" i="12"/>
  <c r="M89" i="12" l="1"/>
  <c r="M91" i="12"/>
  <c r="FI206" i="12"/>
  <c r="FJ7" i="12"/>
  <c r="FM285" i="12"/>
  <c r="FN285" i="12" s="1"/>
  <c r="H291" i="1"/>
  <c r="H286" i="12"/>
  <c r="E286" i="12"/>
  <c r="C286" i="12"/>
  <c r="F292" i="1" s="1"/>
  <c r="B286" i="12"/>
  <c r="F286" i="12"/>
  <c r="A286" i="12"/>
  <c r="D286" i="12"/>
  <c r="G292" i="1" s="1"/>
  <c r="H287" i="12"/>
  <c r="FN269" i="12"/>
  <c r="Q25" i="12"/>
  <c r="M104" i="12"/>
  <c r="M119" i="12"/>
  <c r="M99" i="12" l="1"/>
  <c r="M92" i="12"/>
  <c r="M95" i="12" s="1"/>
  <c r="FI207" i="12"/>
  <c r="FI208" i="12" s="1"/>
  <c r="FI209" i="12" s="1"/>
  <c r="FI210" i="12" s="1"/>
  <c r="E287" i="12"/>
  <c r="FM286" i="12"/>
  <c r="FN286" i="12" s="1"/>
  <c r="E292" i="1"/>
  <c r="H292" i="1" s="1"/>
  <c r="F287" i="12"/>
  <c r="FH287" i="12" s="1"/>
  <c r="FI287" i="12" s="1"/>
  <c r="B287" i="12"/>
  <c r="E293" i="1" s="1"/>
  <c r="A287" i="12"/>
  <c r="D293" i="1" s="1"/>
  <c r="D292" i="1"/>
  <c r="N286" i="12"/>
  <c r="C287" i="12"/>
  <c r="F293" i="1" s="1"/>
  <c r="D287" i="12"/>
  <c r="G293" i="1" s="1"/>
  <c r="FH286" i="12"/>
  <c r="FI286" i="12" s="1"/>
  <c r="G286" i="12"/>
  <c r="I292" i="1"/>
  <c r="A288" i="12"/>
  <c r="Q26" i="12"/>
  <c r="M102" i="12" l="1"/>
  <c r="M105" i="12" s="1"/>
  <c r="M106" i="12"/>
  <c r="M120" i="12" s="1"/>
  <c r="FM287" i="12"/>
  <c r="FN287" i="12" s="1"/>
  <c r="H293" i="1"/>
  <c r="G287" i="12"/>
  <c r="I293" i="1"/>
  <c r="N288" i="12"/>
  <c r="D294" i="1"/>
  <c r="C288" i="12"/>
  <c r="F294" i="1" s="1"/>
  <c r="H288" i="12"/>
  <c r="N287" i="12"/>
  <c r="D288" i="12"/>
  <c r="G294" i="1" s="1"/>
  <c r="F288" i="12"/>
  <c r="E288" i="12"/>
  <c r="B288" i="12"/>
  <c r="B289" i="12"/>
  <c r="D289" i="12"/>
  <c r="G295" i="1" s="1"/>
  <c r="F289" i="12"/>
  <c r="C289" i="12"/>
  <c r="F295" i="1" s="1"/>
  <c r="M107" i="12"/>
  <c r="Q27" i="12"/>
  <c r="M108" i="12" l="1"/>
  <c r="M110" i="12" s="1"/>
  <c r="H289" i="12"/>
  <c r="E289" i="12"/>
  <c r="G288" i="12"/>
  <c r="I294" i="1"/>
  <c r="FH288" i="12"/>
  <c r="FI288" i="12" s="1"/>
  <c r="FM288" i="12"/>
  <c r="E294" i="1"/>
  <c r="H294" i="1" s="1"/>
  <c r="G289" i="12"/>
  <c r="I295" i="1"/>
  <c r="FH289" i="12"/>
  <c r="FI289" i="12" s="1"/>
  <c r="E295" i="1"/>
  <c r="FM289" i="12"/>
  <c r="DN359" i="12"/>
  <c r="Q28" i="12"/>
  <c r="FN288" i="12" l="1"/>
  <c r="M111" i="12"/>
  <c r="H295" i="1"/>
  <c r="H290" i="12"/>
  <c r="B290" i="12"/>
  <c r="F290" i="12"/>
  <c r="D290" i="12"/>
  <c r="G296" i="1" s="1"/>
  <c r="E290" i="12"/>
  <c r="C290" i="12"/>
  <c r="F296" i="1" s="1"/>
  <c r="A290" i="12"/>
  <c r="FN289" i="12"/>
  <c r="DN361" i="12"/>
  <c r="D291" i="12" s="1"/>
  <c r="G297" i="1" s="1"/>
  <c r="Q29" i="12"/>
  <c r="M123" i="12"/>
  <c r="M114" i="12" l="1"/>
  <c r="A291" i="12"/>
  <c r="D297" i="1" s="1"/>
  <c r="F291" i="12"/>
  <c r="G291" i="12" s="1"/>
  <c r="B291" i="12"/>
  <c r="FM291" i="12" s="1"/>
  <c r="H291" i="12"/>
  <c r="E291" i="12"/>
  <c r="C291" i="12"/>
  <c r="F297" i="1" s="1"/>
  <c r="N290" i="12"/>
  <c r="D296" i="1"/>
  <c r="I296" i="1"/>
  <c r="G290" i="12"/>
  <c r="FH290" i="12"/>
  <c r="FI290" i="12" s="1"/>
  <c r="E296" i="1"/>
  <c r="H296" i="1" s="1"/>
  <c r="FM290" i="12"/>
  <c r="FN290" i="12" s="1"/>
  <c r="DN362" i="12"/>
  <c r="C292" i="12" s="1"/>
  <c r="F298" i="1" s="1"/>
  <c r="Q30" i="12"/>
  <c r="M124" i="12"/>
  <c r="M117" i="12" l="1"/>
  <c r="M118" i="12" s="1"/>
  <c r="M115" i="12"/>
  <c r="N291" i="12"/>
  <c r="E297" i="1"/>
  <c r="H297" i="1" s="1"/>
  <c r="I297" i="1"/>
  <c r="FH291" i="12"/>
  <c r="FI291" i="12" s="1"/>
  <c r="E292" i="12"/>
  <c r="A292" i="12"/>
  <c r="B292" i="12"/>
  <c r="F292" i="12"/>
  <c r="H292" i="12"/>
  <c r="D292" i="12"/>
  <c r="G298" i="1" s="1"/>
  <c r="FN291" i="12"/>
  <c r="DN363" i="12"/>
  <c r="B293" i="12" s="1"/>
  <c r="FM293" i="12" s="1"/>
  <c r="FN293" i="12" s="1"/>
  <c r="Q31" i="12"/>
  <c r="M121" i="12" l="1"/>
  <c r="M122" i="12" s="1"/>
  <c r="E293" i="12"/>
  <c r="G292" i="12"/>
  <c r="I298" i="1"/>
  <c r="FH292" i="12"/>
  <c r="FI292" i="12" s="1"/>
  <c r="E299" i="1"/>
  <c r="FM292" i="12"/>
  <c r="FN292" i="12" s="1"/>
  <c r="E298" i="1"/>
  <c r="H298" i="1" s="1"/>
  <c r="C293" i="12"/>
  <c r="F299" i="1" s="1"/>
  <c r="N292" i="12"/>
  <c r="D298" i="1"/>
  <c r="F293" i="12"/>
  <c r="I299" i="1" s="1"/>
  <c r="D293" i="12"/>
  <c r="G299" i="1" s="1"/>
  <c r="DN364" i="12"/>
  <c r="F294" i="12" s="1"/>
  <c r="I300" i="1" s="1"/>
  <c r="Q32" i="12"/>
  <c r="M179" i="12"/>
  <c r="M125" i="12" l="1"/>
  <c r="M126" i="12" s="1"/>
  <c r="M127" i="12"/>
  <c r="H299" i="1"/>
  <c r="H294" i="12"/>
  <c r="G293" i="12"/>
  <c r="G294" i="12"/>
  <c r="FH293" i="12"/>
  <c r="FI293" i="12" s="1"/>
  <c r="FH294" i="12"/>
  <c r="FI294" i="12" s="1"/>
  <c r="E294" i="12"/>
  <c r="B294" i="12"/>
  <c r="D294" i="12"/>
  <c r="G300" i="1" s="1"/>
  <c r="C294" i="12"/>
  <c r="F300" i="1" s="1"/>
  <c r="DN365" i="12"/>
  <c r="B295" i="12" s="1"/>
  <c r="Q33" i="12"/>
  <c r="M142" i="12"/>
  <c r="M128" i="12" l="1"/>
  <c r="M132" i="12"/>
  <c r="F295" i="12"/>
  <c r="FH295" i="12" s="1"/>
  <c r="FI295" i="12" s="1"/>
  <c r="DN366" i="12"/>
  <c r="DN367" i="12" s="1"/>
  <c r="DN368" i="12" s="1"/>
  <c r="DN369" i="12" s="1"/>
  <c r="DN370" i="12" s="1"/>
  <c r="DN371" i="12" s="1"/>
  <c r="H295" i="12"/>
  <c r="E295" i="12"/>
  <c r="D295" i="12"/>
  <c r="G301" i="1" s="1"/>
  <c r="C295" i="12"/>
  <c r="F301" i="1" s="1"/>
  <c r="FM294" i="12"/>
  <c r="FN294" i="12" s="1"/>
  <c r="E300" i="1"/>
  <c r="H300" i="1" s="1"/>
  <c r="FM295" i="12"/>
  <c r="E301" i="1"/>
  <c r="Q34" i="12"/>
  <c r="M145" i="12"/>
  <c r="M129" i="12" l="1"/>
  <c r="M134" i="12"/>
  <c r="G295" i="12"/>
  <c r="D296" i="12"/>
  <c r="G302" i="1" s="1"/>
  <c r="C296" i="12"/>
  <c r="F302" i="1" s="1"/>
  <c r="I301" i="1"/>
  <c r="B296" i="12"/>
  <c r="F296" i="12"/>
  <c r="G296" i="12" s="1"/>
  <c r="H301" i="1"/>
  <c r="E296" i="12"/>
  <c r="FN295" i="12"/>
  <c r="Q35" i="12"/>
  <c r="M146" i="12"/>
  <c r="M131" i="12" l="1"/>
  <c r="M130" i="12"/>
  <c r="M136" i="12"/>
  <c r="M138" i="12"/>
  <c r="I302" i="1"/>
  <c r="FH296" i="12"/>
  <c r="FI296" i="12" s="1"/>
  <c r="E302" i="1"/>
  <c r="H302" i="1" s="1"/>
  <c r="FM296" i="12"/>
  <c r="FN296" i="12" s="1"/>
  <c r="C297" i="12"/>
  <c r="F303" i="1" s="1"/>
  <c r="F297" i="12"/>
  <c r="B297" i="12"/>
  <c r="D297" i="12"/>
  <c r="G303" i="1" s="1"/>
  <c r="E297" i="12"/>
  <c r="H297" i="12"/>
  <c r="H296" i="12"/>
  <c r="H293" i="12"/>
  <c r="Q36" i="12"/>
  <c r="M135" i="12" l="1"/>
  <c r="M133" i="12"/>
  <c r="M137" i="12"/>
  <c r="M139" i="12"/>
  <c r="FM297" i="12"/>
  <c r="FN297" i="12" s="1"/>
  <c r="E303" i="1"/>
  <c r="H303" i="1" s="1"/>
  <c r="FH297" i="12"/>
  <c r="FI297" i="12" s="1"/>
  <c r="I303" i="1"/>
  <c r="G297" i="12"/>
  <c r="B298" i="12"/>
  <c r="D298" i="12"/>
  <c r="G304" i="1" s="1"/>
  <c r="A289" i="12"/>
  <c r="A297" i="12"/>
  <c r="A294" i="12"/>
  <c r="A293" i="12"/>
  <c r="A296" i="12"/>
  <c r="A295" i="12"/>
  <c r="Q37" i="12"/>
  <c r="M148" i="12"/>
  <c r="M140" i="12" l="1"/>
  <c r="M141" i="12"/>
  <c r="A298" i="12"/>
  <c r="F298" i="12"/>
  <c r="H298" i="12"/>
  <c r="E298" i="12"/>
  <c r="C298" i="12"/>
  <c r="F304" i="1" s="1"/>
  <c r="E304" i="1"/>
  <c r="FM298" i="12"/>
  <c r="FN298" i="12" s="1"/>
  <c r="D299" i="12"/>
  <c r="G305" i="1" s="1"/>
  <c r="B299" i="12"/>
  <c r="F299" i="12"/>
  <c r="C299" i="12"/>
  <c r="F305" i="1" s="1"/>
  <c r="E299" i="12"/>
  <c r="H299" i="12"/>
  <c r="N295" i="12"/>
  <c r="D301" i="1"/>
  <c r="D295" i="1"/>
  <c r="N289" i="12"/>
  <c r="N293" i="12"/>
  <c r="D299" i="1"/>
  <c r="N296" i="12"/>
  <c r="D302" i="1"/>
  <c r="N294" i="12"/>
  <c r="D300" i="1"/>
  <c r="N297" i="12"/>
  <c r="D303" i="1"/>
  <c r="Q38" i="12"/>
  <c r="Q39" i="12" s="1"/>
  <c r="M151" i="12"/>
  <c r="M160" i="12"/>
  <c r="M169" i="12"/>
  <c r="M143" i="12" l="1"/>
  <c r="M144" i="12"/>
  <c r="H304" i="1"/>
  <c r="I304" i="1"/>
  <c r="FH298" i="12"/>
  <c r="FI298" i="12" s="1"/>
  <c r="G298" i="12"/>
  <c r="N298" i="12"/>
  <c r="D304" i="1"/>
  <c r="A299" i="12"/>
  <c r="FM299" i="12"/>
  <c r="FN299" i="12" s="1"/>
  <c r="E305" i="1"/>
  <c r="H305" i="1" s="1"/>
  <c r="F300" i="12"/>
  <c r="A300" i="12"/>
  <c r="G299" i="12"/>
  <c r="I305" i="1"/>
  <c r="FH299" i="12"/>
  <c r="FI299" i="12" s="1"/>
  <c r="Q40" i="12"/>
  <c r="M152" i="12"/>
  <c r="M153" i="12" s="1"/>
  <c r="M147" i="12" l="1"/>
  <c r="M149" i="12"/>
  <c r="M150" i="12"/>
  <c r="D300" i="12"/>
  <c r="G306" i="1" s="1"/>
  <c r="C300" i="12"/>
  <c r="F306" i="1" s="1"/>
  <c r="FH300" i="12"/>
  <c r="FI300" i="12" s="1"/>
  <c r="G300" i="12"/>
  <c r="I306" i="1"/>
  <c r="B300" i="12"/>
  <c r="H300" i="12"/>
  <c r="N299" i="12"/>
  <c r="D305" i="1"/>
  <c r="E300" i="12"/>
  <c r="D306" i="1"/>
  <c r="N300" i="12"/>
  <c r="DN372" i="12"/>
  <c r="E301" i="12" s="1"/>
  <c r="D301" i="12"/>
  <c r="G307" i="1" s="1"/>
  <c r="C301" i="12"/>
  <c r="F307" i="1" s="1"/>
  <c r="Q41" i="12"/>
  <c r="M154" i="12"/>
  <c r="A301" i="12" l="1"/>
  <c r="E306" i="1"/>
  <c r="H306" i="1" s="1"/>
  <c r="FM300" i="12"/>
  <c r="FN300" i="12" s="1"/>
  <c r="H301" i="12"/>
  <c r="B301" i="12"/>
  <c r="F301" i="12"/>
  <c r="DN373" i="12"/>
  <c r="B302" i="12" s="1"/>
  <c r="FM302" i="12" s="1"/>
  <c r="Q42" i="12"/>
  <c r="Q43" i="12" s="1"/>
  <c r="M157" i="12"/>
  <c r="M155" i="12"/>
  <c r="M172" i="12"/>
  <c r="M173" i="12"/>
  <c r="F302" i="12" l="1"/>
  <c r="FH302" i="12" s="1"/>
  <c r="FI302" i="12" s="1"/>
  <c r="E302" i="12"/>
  <c r="A302" i="12"/>
  <c r="N302" i="12" s="1"/>
  <c r="D307" i="1"/>
  <c r="N301" i="12"/>
  <c r="E307" i="1"/>
  <c r="H307" i="1" s="1"/>
  <c r="FM301" i="12"/>
  <c r="FN301" i="12" s="1"/>
  <c r="C302" i="12"/>
  <c r="F308" i="1" s="1"/>
  <c r="D302" i="12"/>
  <c r="G308" i="1" s="1"/>
  <c r="G301" i="12"/>
  <c r="FH301" i="12"/>
  <c r="FI301" i="12" s="1"/>
  <c r="I307" i="1"/>
  <c r="H302" i="12"/>
  <c r="E308" i="1"/>
  <c r="FN302" i="12"/>
  <c r="DN374" i="12"/>
  <c r="C303" i="12" s="1"/>
  <c r="F309" i="1" s="1"/>
  <c r="Q44" i="12"/>
  <c r="M156" i="12"/>
  <c r="M158" i="12" s="1"/>
  <c r="M166" i="12"/>
  <c r="M174" i="12"/>
  <c r="M176" i="12"/>
  <c r="G302" i="12" l="1"/>
  <c r="D308" i="1"/>
  <c r="I308" i="1"/>
  <c r="H308" i="1"/>
  <c r="B303" i="12"/>
  <c r="FM303" i="12" s="1"/>
  <c r="D303" i="12"/>
  <c r="G309" i="1" s="1"/>
  <c r="H303" i="12"/>
  <c r="A303" i="12"/>
  <c r="N303" i="12" s="1"/>
  <c r="F303" i="12"/>
  <c r="E303" i="12"/>
  <c r="DN375" i="12"/>
  <c r="A304" i="12" s="1"/>
  <c r="B304" i="12"/>
  <c r="D304" i="12"/>
  <c r="G310" i="1" s="1"/>
  <c r="M159" i="12"/>
  <c r="M161" i="12" s="1"/>
  <c r="Q45" i="12"/>
  <c r="M162" i="12"/>
  <c r="M163" i="12" s="1"/>
  <c r="M164" i="12" s="1"/>
  <c r="M165" i="12" s="1"/>
  <c r="M167" i="12"/>
  <c r="E309" i="1" l="1"/>
  <c r="H309" i="1" s="1"/>
  <c r="D309" i="1"/>
  <c r="E304" i="12"/>
  <c r="G303" i="12"/>
  <c r="FH303" i="12"/>
  <c r="FI303" i="12" s="1"/>
  <c r="I309" i="1"/>
  <c r="H304" i="12"/>
  <c r="C304" i="12"/>
  <c r="F310" i="1" s="1"/>
  <c r="M168" i="12"/>
  <c r="D310" i="1"/>
  <c r="N304" i="12"/>
  <c r="FN303" i="12"/>
  <c r="E310" i="1"/>
  <c r="FM304" i="12"/>
  <c r="FN304" i="12" s="1"/>
  <c r="DN376" i="12"/>
  <c r="H305" i="12" s="1"/>
  <c r="Q46" i="12"/>
  <c r="M170" i="12"/>
  <c r="M175" i="12" l="1"/>
  <c r="M178" i="12" s="1"/>
  <c r="H310" i="1"/>
  <c r="M171" i="12"/>
  <c r="M177" i="12" s="1"/>
  <c r="E305" i="12"/>
  <c r="A305" i="12"/>
  <c r="DN377" i="12"/>
  <c r="H306" i="12" s="1"/>
  <c r="Q47" i="12"/>
  <c r="M195" i="12"/>
  <c r="M180" i="12" l="1"/>
  <c r="N305" i="12"/>
  <c r="D311" i="1"/>
  <c r="DN378" i="12"/>
  <c r="DN379" i="12" s="1"/>
  <c r="DN380" i="12" s="1"/>
  <c r="DN381" i="12" s="1"/>
  <c r="DN382" i="12" s="1"/>
  <c r="DN383" i="12" s="1"/>
  <c r="DN384" i="12" s="1"/>
  <c r="DN385" i="12" s="1"/>
  <c r="DN386" i="12" s="1"/>
  <c r="DN387" i="12" s="1"/>
  <c r="DN388" i="12" s="1"/>
  <c r="DN389" i="12" s="1"/>
  <c r="DN390" i="12" s="1"/>
  <c r="DN391" i="12" s="1"/>
  <c r="DN392" i="12" s="1"/>
  <c r="DN393" i="12" s="1"/>
  <c r="DN394" i="12" s="1"/>
  <c r="DN395" i="12" s="1"/>
  <c r="DN396" i="12" s="1"/>
  <c r="DN397" i="12" s="1"/>
  <c r="DN398" i="12" s="1"/>
  <c r="DN399" i="12" s="1"/>
  <c r="DN400" i="12" s="1"/>
  <c r="Q48" i="12"/>
  <c r="M186" i="12"/>
  <c r="M181" i="12" l="1"/>
  <c r="M182" i="12"/>
  <c r="C307" i="12"/>
  <c r="F313" i="1" s="1"/>
  <c r="H307" i="12"/>
  <c r="M190" i="12"/>
  <c r="Q49" i="12"/>
  <c r="M183" i="12" l="1"/>
  <c r="M184" i="12" s="1"/>
  <c r="M185" i="12"/>
  <c r="B308" i="12"/>
  <c r="E314" i="1" s="1"/>
  <c r="A309" i="12"/>
  <c r="D315" i="1" s="1"/>
  <c r="H308" i="12"/>
  <c r="A312" i="12"/>
  <c r="D318" i="1" s="1"/>
  <c r="A311" i="12"/>
  <c r="N311" i="12" s="1"/>
  <c r="F326" i="12"/>
  <c r="G326" i="12" s="1"/>
  <c r="D320" i="12"/>
  <c r="G326" i="1" s="1"/>
  <c r="D318" i="12"/>
  <c r="G324" i="1" s="1"/>
  <c r="C322" i="12"/>
  <c r="F328" i="1" s="1"/>
  <c r="F312" i="12"/>
  <c r="G312" i="12" s="1"/>
  <c r="C323" i="12"/>
  <c r="F329" i="1" s="1"/>
  <c r="A323" i="12"/>
  <c r="D329" i="1" s="1"/>
  <c r="A321" i="12"/>
  <c r="D327" i="1" s="1"/>
  <c r="A313" i="12"/>
  <c r="N313" i="12" s="1"/>
  <c r="E325" i="12"/>
  <c r="A326" i="12"/>
  <c r="N326" i="12" s="1"/>
  <c r="A322" i="12"/>
  <c r="D328" i="1" s="1"/>
  <c r="D328" i="12"/>
  <c r="G334" i="1" s="1"/>
  <c r="D324" i="12"/>
  <c r="G330" i="1" s="1"/>
  <c r="A315" i="12"/>
  <c r="N315" i="12" s="1"/>
  <c r="F311" i="12"/>
  <c r="I317" i="1" s="1"/>
  <c r="E329" i="12"/>
  <c r="C325" i="12"/>
  <c r="F331" i="1" s="1"/>
  <c r="E326" i="12"/>
  <c r="A325" i="12"/>
  <c r="D331" i="1" s="1"/>
  <c r="B317" i="12"/>
  <c r="E323" i="1" s="1"/>
  <c r="E322" i="12"/>
  <c r="D321" i="12"/>
  <c r="G327" i="1" s="1"/>
  <c r="D327" i="12"/>
  <c r="G333" i="1" s="1"/>
  <c r="A328" i="12"/>
  <c r="N328" i="12" s="1"/>
  <c r="H328" i="12"/>
  <c r="B393" i="12"/>
  <c r="H322" i="12"/>
  <c r="B343" i="12"/>
  <c r="H362" i="12"/>
  <c r="B360" i="12"/>
  <c r="H383" i="12"/>
  <c r="H324" i="12"/>
  <c r="H354" i="12"/>
  <c r="B377" i="12"/>
  <c r="H387" i="12"/>
  <c r="B349" i="12"/>
  <c r="H352" i="12"/>
  <c r="H357" i="12"/>
  <c r="B361" i="12"/>
  <c r="B384" i="12"/>
  <c r="H381" i="12"/>
  <c r="H371" i="12"/>
  <c r="H310" i="12"/>
  <c r="H389" i="12"/>
  <c r="H398" i="12"/>
  <c r="H366" i="12"/>
  <c r="B352" i="12"/>
  <c r="B374" i="12"/>
  <c r="H397" i="12"/>
  <c r="H370" i="12"/>
  <c r="H341" i="12"/>
  <c r="B369" i="12"/>
  <c r="B383" i="12"/>
  <c r="H395" i="12"/>
  <c r="H374" i="12"/>
  <c r="H325" i="12"/>
  <c r="H311" i="12"/>
  <c r="H346" i="12"/>
  <c r="H327" i="12"/>
  <c r="H323" i="12"/>
  <c r="B376" i="12"/>
  <c r="B364" i="12"/>
  <c r="H364" i="12"/>
  <c r="B365" i="12"/>
  <c r="H314" i="12"/>
  <c r="H317" i="12"/>
  <c r="B367" i="12"/>
  <c r="H363" i="12"/>
  <c r="H373" i="12"/>
  <c r="B396" i="12"/>
  <c r="FM396" i="12" s="1"/>
  <c r="FN396" i="12" s="1"/>
  <c r="H361" i="12"/>
  <c r="H399" i="12"/>
  <c r="H351" i="12"/>
  <c r="B385" i="12"/>
  <c r="H396" i="12"/>
  <c r="B378" i="12"/>
  <c r="B355" i="12"/>
  <c r="H331" i="12"/>
  <c r="H342" i="12"/>
  <c r="H378" i="12"/>
  <c r="H359" i="12"/>
  <c r="H385" i="12"/>
  <c r="H350" i="12"/>
  <c r="H394" i="12"/>
  <c r="B357" i="12"/>
  <c r="H386" i="12"/>
  <c r="B372" i="12"/>
  <c r="B362" i="12"/>
  <c r="B345" i="12"/>
  <c r="H355" i="12"/>
  <c r="H318" i="12"/>
  <c r="H377" i="12"/>
  <c r="B395" i="12"/>
  <c r="FM395" i="12" s="1"/>
  <c r="FN395" i="12" s="1"/>
  <c r="H321" i="12"/>
  <c r="H375" i="12"/>
  <c r="H339" i="12"/>
  <c r="H336" i="12"/>
  <c r="H379" i="12"/>
  <c r="H392" i="12"/>
  <c r="H345" i="12"/>
  <c r="B389" i="12"/>
  <c r="B391" i="12"/>
  <c r="B347" i="12"/>
  <c r="H309" i="12"/>
  <c r="B379" i="12"/>
  <c r="H367" i="12"/>
  <c r="H349" i="12"/>
  <c r="B375" i="12"/>
  <c r="B394" i="12"/>
  <c r="FM394" i="12" s="1"/>
  <c r="FN394" i="12" s="1"/>
  <c r="B388" i="12"/>
  <c r="H319" i="12"/>
  <c r="B392" i="12"/>
  <c r="H390" i="12"/>
  <c r="H315" i="12"/>
  <c r="H388" i="12"/>
  <c r="B390" i="12"/>
  <c r="H353" i="12"/>
  <c r="B397" i="12"/>
  <c r="FM397" i="12" s="1"/>
  <c r="FN397" i="12" s="1"/>
  <c r="H369" i="12"/>
  <c r="H343" i="12"/>
  <c r="H330" i="12"/>
  <c r="H376" i="12"/>
  <c r="H337" i="12"/>
  <c r="H400" i="12"/>
  <c r="H326" i="12"/>
  <c r="B399" i="12"/>
  <c r="FM399" i="12" s="1"/>
  <c r="FN399" i="12" s="1"/>
  <c r="H360" i="12"/>
  <c r="B359" i="12"/>
  <c r="B386" i="12"/>
  <c r="B350" i="12"/>
  <c r="H368" i="12"/>
  <c r="H358" i="12"/>
  <c r="H313" i="12"/>
  <c r="B346" i="12"/>
  <c r="B354" i="12"/>
  <c r="H344" i="12"/>
  <c r="H348" i="12"/>
  <c r="B387" i="12"/>
  <c r="B381" i="12"/>
  <c r="H329" i="12"/>
  <c r="H312" i="12"/>
  <c r="B366" i="12"/>
  <c r="B400" i="12"/>
  <c r="FM400" i="12" s="1"/>
  <c r="H335" i="12"/>
  <c r="B373" i="12"/>
  <c r="B358" i="12"/>
  <c r="B356" i="12"/>
  <c r="H372" i="12"/>
  <c r="H347" i="12"/>
  <c r="H332" i="12"/>
  <c r="H380" i="12"/>
  <c r="H320" i="12"/>
  <c r="B380" i="12"/>
  <c r="H382" i="12"/>
  <c r="H391" i="12"/>
  <c r="H316" i="12"/>
  <c r="B371" i="12"/>
  <c r="H334" i="12"/>
  <c r="H338" i="12"/>
  <c r="B382" i="12"/>
  <c r="B353" i="12"/>
  <c r="B344" i="12"/>
  <c r="H356" i="12"/>
  <c r="B363" i="12"/>
  <c r="B348" i="12"/>
  <c r="H333" i="12"/>
  <c r="B368" i="12"/>
  <c r="E330" i="12"/>
  <c r="B351" i="12"/>
  <c r="H384" i="12"/>
  <c r="B370" i="12"/>
  <c r="H340" i="12"/>
  <c r="B398" i="12"/>
  <c r="FM398" i="12" s="1"/>
  <c r="FN398" i="12" s="1"/>
  <c r="M191" i="12"/>
  <c r="Q50" i="12"/>
  <c r="FM308" i="12" l="1"/>
  <c r="FN308" i="12" s="1"/>
  <c r="M187" i="12"/>
  <c r="M188" i="12" s="1"/>
  <c r="M189" i="12"/>
  <c r="D317" i="1"/>
  <c r="N321" i="12"/>
  <c r="N309" i="12"/>
  <c r="N323" i="12"/>
  <c r="FH311" i="12"/>
  <c r="FI311" i="12" s="1"/>
  <c r="FM317" i="12"/>
  <c r="FN317" i="12" s="1"/>
  <c r="F330" i="12"/>
  <c r="G330" i="12" s="1"/>
  <c r="N312" i="12"/>
  <c r="B330" i="12"/>
  <c r="E336" i="1" s="1"/>
  <c r="H336" i="1" s="1"/>
  <c r="D330" i="12"/>
  <c r="G336" i="1" s="1"/>
  <c r="D332" i="1"/>
  <c r="D321" i="1"/>
  <c r="G311" i="12"/>
  <c r="N322" i="12"/>
  <c r="FH326" i="12"/>
  <c r="FI326" i="12" s="1"/>
  <c r="FH312" i="12"/>
  <c r="FI312" i="12" s="1"/>
  <c r="D319" i="1"/>
  <c r="D334" i="1"/>
  <c r="I332" i="1"/>
  <c r="I318" i="1"/>
  <c r="N325" i="12"/>
  <c r="E384" i="1"/>
  <c r="FM378" i="12"/>
  <c r="FN378" i="12" s="1"/>
  <c r="E371" i="1"/>
  <c r="FM365" i="12"/>
  <c r="FN365" i="12" s="1"/>
  <c r="FM369" i="12"/>
  <c r="FN369" i="12" s="1"/>
  <c r="E375" i="1"/>
  <c r="FM374" i="12"/>
  <c r="FN374" i="12" s="1"/>
  <c r="E380" i="1"/>
  <c r="FM384" i="12"/>
  <c r="FN384" i="12" s="1"/>
  <c r="E390" i="1"/>
  <c r="E355" i="1"/>
  <c r="FM349" i="12"/>
  <c r="FN349" i="12" s="1"/>
  <c r="FM343" i="12"/>
  <c r="FN343" i="12" s="1"/>
  <c r="E349" i="1"/>
  <c r="FM363" i="12"/>
  <c r="FN363" i="12" s="1"/>
  <c r="E369" i="1"/>
  <c r="E365" i="1"/>
  <c r="FM359" i="12"/>
  <c r="FN359" i="12" s="1"/>
  <c r="E396" i="1"/>
  <c r="FM390" i="12"/>
  <c r="FN390" i="12" s="1"/>
  <c r="FM370" i="12"/>
  <c r="FN370" i="12" s="1"/>
  <c r="E376" i="1"/>
  <c r="E374" i="1"/>
  <c r="FM368" i="12"/>
  <c r="FN368" i="12" s="1"/>
  <c r="FM356" i="12"/>
  <c r="FN356" i="12" s="1"/>
  <c r="E362" i="1"/>
  <c r="FN400" i="12"/>
  <c r="FM381" i="12"/>
  <c r="FN381" i="12" s="1"/>
  <c r="E387" i="1"/>
  <c r="FM354" i="12"/>
  <c r="FN354" i="12" s="1"/>
  <c r="E360" i="1"/>
  <c r="E353" i="1"/>
  <c r="FM347" i="12"/>
  <c r="FN347" i="12" s="1"/>
  <c r="E378" i="1"/>
  <c r="FM372" i="12"/>
  <c r="FN372" i="12" s="1"/>
  <c r="E373" i="1"/>
  <c r="FM367" i="12"/>
  <c r="FN367" i="12" s="1"/>
  <c r="E358" i="1"/>
  <c r="FM352" i="12"/>
  <c r="FN352" i="12" s="1"/>
  <c r="E367" i="1"/>
  <c r="FM361" i="12"/>
  <c r="FN361" i="12" s="1"/>
  <c r="E388" i="1"/>
  <c r="FM382" i="12"/>
  <c r="FN382" i="12" s="1"/>
  <c r="E381" i="1"/>
  <c r="FM375" i="12"/>
  <c r="FN375" i="12" s="1"/>
  <c r="E350" i="1"/>
  <c r="FM344" i="12"/>
  <c r="FN344" i="12" s="1"/>
  <c r="E364" i="1"/>
  <c r="FM358" i="12"/>
  <c r="FN358" i="12" s="1"/>
  <c r="E372" i="1"/>
  <c r="FM366" i="12"/>
  <c r="FN366" i="12" s="1"/>
  <c r="FM387" i="12"/>
  <c r="FN387" i="12" s="1"/>
  <c r="E393" i="1"/>
  <c r="FM346" i="12"/>
  <c r="FN346" i="12" s="1"/>
  <c r="E352" i="1"/>
  <c r="E356" i="1"/>
  <c r="FM350" i="12"/>
  <c r="FN350" i="12" s="1"/>
  <c r="FM388" i="12"/>
  <c r="FN388" i="12" s="1"/>
  <c r="E394" i="1"/>
  <c r="FM391" i="12"/>
  <c r="FN391" i="12" s="1"/>
  <c r="E397" i="1"/>
  <c r="FM385" i="12"/>
  <c r="FN385" i="12" s="1"/>
  <c r="E391" i="1"/>
  <c r="FM364" i="12"/>
  <c r="FN364" i="12" s="1"/>
  <c r="E370" i="1"/>
  <c r="FM377" i="12"/>
  <c r="FN377" i="12" s="1"/>
  <c r="E383" i="1"/>
  <c r="E366" i="1"/>
  <c r="FM360" i="12"/>
  <c r="FN360" i="12" s="1"/>
  <c r="FM393" i="12"/>
  <c r="FN393" i="12" s="1"/>
  <c r="E399" i="1"/>
  <c r="B309" i="12"/>
  <c r="F304" i="12"/>
  <c r="C312" i="12"/>
  <c r="F318" i="1" s="1"/>
  <c r="E323" i="12"/>
  <c r="B323" i="12"/>
  <c r="D329" i="12"/>
  <c r="G335" i="1" s="1"/>
  <c r="D309" i="12"/>
  <c r="G315" i="1" s="1"/>
  <c r="D310" i="12"/>
  <c r="G316" i="1" s="1"/>
  <c r="C313" i="12"/>
  <c r="F319" i="1" s="1"/>
  <c r="A307" i="12"/>
  <c r="F305" i="12"/>
  <c r="D317" i="12"/>
  <c r="G323" i="1" s="1"/>
  <c r="D315" i="12"/>
  <c r="G321" i="1" s="1"/>
  <c r="C319" i="12"/>
  <c r="F325" i="1" s="1"/>
  <c r="F313" i="12"/>
  <c r="E318" i="12"/>
  <c r="B311" i="12"/>
  <c r="B310" i="12"/>
  <c r="E321" i="12"/>
  <c r="B313" i="12"/>
  <c r="E316" i="12"/>
  <c r="D323" i="12"/>
  <c r="G329" i="1" s="1"/>
  <c r="E327" i="12"/>
  <c r="B328" i="12"/>
  <c r="D313" i="12"/>
  <c r="G319" i="1" s="1"/>
  <c r="C324" i="12"/>
  <c r="F330" i="1" s="1"/>
  <c r="C305" i="12"/>
  <c r="F311" i="1" s="1"/>
  <c r="C306" i="12"/>
  <c r="F312" i="1" s="1"/>
  <c r="F306" i="12"/>
  <c r="A316" i="12"/>
  <c r="F329" i="12"/>
  <c r="C318" i="12"/>
  <c r="F324" i="1" s="1"/>
  <c r="B319" i="12"/>
  <c r="B326" i="12"/>
  <c r="F308" i="12"/>
  <c r="F322" i="12"/>
  <c r="F315" i="12"/>
  <c r="F323" i="12"/>
  <c r="D311" i="12"/>
  <c r="G317" i="1" s="1"/>
  <c r="B318" i="12"/>
  <c r="E311" i="12"/>
  <c r="E328" i="12"/>
  <c r="D305" i="12"/>
  <c r="G311" i="1" s="1"/>
  <c r="D326" i="12"/>
  <c r="G332" i="1" s="1"/>
  <c r="B321" i="12"/>
  <c r="B315" i="12"/>
  <c r="E324" i="12"/>
  <c r="E309" i="12"/>
  <c r="D312" i="12"/>
  <c r="G318" i="1" s="1"/>
  <c r="F318" i="12"/>
  <c r="E314" i="12"/>
  <c r="D319" i="12"/>
  <c r="G325" i="1" s="1"/>
  <c r="C321" i="12"/>
  <c r="F327" i="1" s="1"/>
  <c r="B307" i="12"/>
  <c r="F319" i="12"/>
  <c r="F320" i="12"/>
  <c r="F328" i="12"/>
  <c r="E319" i="12"/>
  <c r="E310" i="12"/>
  <c r="B325" i="12"/>
  <c r="D314" i="12"/>
  <c r="G320" i="1" s="1"/>
  <c r="E317" i="12"/>
  <c r="H323" i="1" s="1"/>
  <c r="D306" i="12"/>
  <c r="G312" i="1" s="1"/>
  <c r="D322" i="12"/>
  <c r="G328" i="1" s="1"/>
  <c r="C320" i="12"/>
  <c r="F326" i="1" s="1"/>
  <c r="A314" i="12"/>
  <c r="E312" i="12"/>
  <c r="C328" i="12"/>
  <c r="F334" i="1" s="1"/>
  <c r="A306" i="12"/>
  <c r="B314" i="12"/>
  <c r="F325" i="12"/>
  <c r="C314" i="12"/>
  <c r="F320" i="1" s="1"/>
  <c r="A308" i="12"/>
  <c r="E320" i="12"/>
  <c r="C317" i="12"/>
  <c r="F323" i="1" s="1"/>
  <c r="F324" i="12"/>
  <c r="F307" i="12"/>
  <c r="C329" i="12"/>
  <c r="F335" i="1" s="1"/>
  <c r="E306" i="12"/>
  <c r="C311" i="12"/>
  <c r="F317" i="1" s="1"/>
  <c r="E307" i="12"/>
  <c r="C310" i="12"/>
  <c r="F316" i="1" s="1"/>
  <c r="B322" i="12"/>
  <c r="E315" i="12"/>
  <c r="D325" i="12"/>
  <c r="G331" i="1" s="1"/>
  <c r="F317" i="12"/>
  <c r="B320" i="12"/>
  <c r="C315" i="12"/>
  <c r="F321" i="1" s="1"/>
  <c r="F327" i="12"/>
  <c r="C326" i="12"/>
  <c r="F332" i="1" s="1"/>
  <c r="B305" i="12"/>
  <c r="C309" i="12"/>
  <c r="F315" i="1" s="1"/>
  <c r="D308" i="12"/>
  <c r="G314" i="1" s="1"/>
  <c r="B306" i="12"/>
  <c r="C327" i="12"/>
  <c r="F333" i="1" s="1"/>
  <c r="A310" i="12"/>
  <c r="F321" i="12"/>
  <c r="A317" i="12"/>
  <c r="C316" i="12"/>
  <c r="F322" i="1" s="1"/>
  <c r="B312" i="12"/>
  <c r="A320" i="12"/>
  <c r="A361" i="12"/>
  <c r="B329" i="12"/>
  <c r="B316" i="12"/>
  <c r="C308" i="12"/>
  <c r="F314" i="1" s="1"/>
  <c r="F314" i="12"/>
  <c r="E308" i="12"/>
  <c r="H314" i="1" s="1"/>
  <c r="F309" i="12"/>
  <c r="D307" i="12"/>
  <c r="G313" i="1" s="1"/>
  <c r="F316" i="12"/>
  <c r="D316" i="12"/>
  <c r="G322" i="1" s="1"/>
  <c r="F310" i="12"/>
  <c r="A327" i="12"/>
  <c r="A383" i="12"/>
  <c r="D364" i="12"/>
  <c r="G370" i="1" s="1"/>
  <c r="E339" i="12"/>
  <c r="E395" i="12"/>
  <c r="E313" i="12"/>
  <c r="A379" i="12"/>
  <c r="D392" i="12"/>
  <c r="G398" i="1" s="1"/>
  <c r="A366" i="12"/>
  <c r="D386" i="12"/>
  <c r="G392" i="1" s="1"/>
  <c r="D397" i="12"/>
  <c r="A329" i="12"/>
  <c r="D353" i="12"/>
  <c r="G359" i="1" s="1"/>
  <c r="D380" i="12"/>
  <c r="G386" i="1" s="1"/>
  <c r="F343" i="12"/>
  <c r="E356" i="12"/>
  <c r="F337" i="12"/>
  <c r="E338" i="12"/>
  <c r="E357" i="12"/>
  <c r="E334" i="12"/>
  <c r="D375" i="12"/>
  <c r="G381" i="1" s="1"/>
  <c r="E353" i="12"/>
  <c r="E342" i="12"/>
  <c r="A369" i="12"/>
  <c r="E351" i="12"/>
  <c r="F346" i="12"/>
  <c r="B338" i="12"/>
  <c r="E363" i="12"/>
  <c r="A336" i="12"/>
  <c r="D345" i="12"/>
  <c r="G351" i="1" s="1"/>
  <c r="F342" i="12"/>
  <c r="B340" i="12"/>
  <c r="E400" i="12"/>
  <c r="F369" i="12"/>
  <c r="E331" i="12"/>
  <c r="F388" i="12"/>
  <c r="F384" i="12"/>
  <c r="D347" i="12"/>
  <c r="G353" i="1" s="1"/>
  <c r="F393" i="12"/>
  <c r="F351" i="12"/>
  <c r="F368" i="12"/>
  <c r="E336" i="12"/>
  <c r="D383" i="12"/>
  <c r="G389" i="1" s="1"/>
  <c r="F362" i="12"/>
  <c r="D387" i="12"/>
  <c r="G393" i="1" s="1"/>
  <c r="F333" i="12"/>
  <c r="D332" i="12"/>
  <c r="G338" i="1" s="1"/>
  <c r="F376" i="12"/>
  <c r="D394" i="12"/>
  <c r="E371" i="12"/>
  <c r="A394" i="12"/>
  <c r="A373" i="12"/>
  <c r="F366" i="12"/>
  <c r="E392" i="12"/>
  <c r="E347" i="12"/>
  <c r="B335" i="12"/>
  <c r="E366" i="12"/>
  <c r="C338" i="12"/>
  <c r="F344" i="1" s="1"/>
  <c r="E386" i="12"/>
  <c r="C336" i="12"/>
  <c r="F342" i="1" s="1"/>
  <c r="B336" i="12"/>
  <c r="E391" i="12"/>
  <c r="D391" i="12"/>
  <c r="G397" i="1" s="1"/>
  <c r="D384" i="12"/>
  <c r="G390" i="1" s="1"/>
  <c r="F360" i="12"/>
  <c r="A359" i="12"/>
  <c r="E364" i="12"/>
  <c r="E370" i="12"/>
  <c r="D377" i="12"/>
  <c r="G383" i="1" s="1"/>
  <c r="F396" i="12"/>
  <c r="E384" i="12"/>
  <c r="B332" i="12"/>
  <c r="C340" i="12"/>
  <c r="F346" i="1" s="1"/>
  <c r="A351" i="12"/>
  <c r="D379" i="12"/>
  <c r="G385" i="1" s="1"/>
  <c r="D348" i="12"/>
  <c r="G354" i="1" s="1"/>
  <c r="A341" i="12"/>
  <c r="A339" i="12"/>
  <c r="E385" i="12"/>
  <c r="A355" i="12"/>
  <c r="D350" i="12"/>
  <c r="G356" i="1" s="1"/>
  <c r="D373" i="12"/>
  <c r="G379" i="1" s="1"/>
  <c r="F372" i="12"/>
  <c r="A319" i="12"/>
  <c r="A330" i="12"/>
  <c r="B333" i="12"/>
  <c r="D389" i="12"/>
  <c r="G395" i="1" s="1"/>
  <c r="F380" i="12"/>
  <c r="F359" i="12"/>
  <c r="A318" i="12"/>
  <c r="F394" i="12"/>
  <c r="A333" i="12"/>
  <c r="D399" i="12"/>
  <c r="A374" i="12"/>
  <c r="B342" i="12"/>
  <c r="A400" i="12"/>
  <c r="D359" i="12"/>
  <c r="G365" i="1" s="1"/>
  <c r="A343" i="12"/>
  <c r="D381" i="12"/>
  <c r="G387" i="1" s="1"/>
  <c r="E354" i="12"/>
  <c r="E372" i="12"/>
  <c r="D363" i="12"/>
  <c r="G369" i="1" s="1"/>
  <c r="F364" i="12"/>
  <c r="A384" i="12"/>
  <c r="E367" i="12"/>
  <c r="D346" i="12"/>
  <c r="G352" i="1" s="1"/>
  <c r="A391" i="12"/>
  <c r="F354" i="12"/>
  <c r="E398" i="12"/>
  <c r="D343" i="12"/>
  <c r="G349" i="1" s="1"/>
  <c r="D395" i="12"/>
  <c r="F335" i="12"/>
  <c r="F358" i="12"/>
  <c r="F395" i="12"/>
  <c r="A396" i="12"/>
  <c r="F371" i="12"/>
  <c r="F341" i="12"/>
  <c r="F398" i="12"/>
  <c r="D341" i="12"/>
  <c r="G347" i="1" s="1"/>
  <c r="E397" i="12"/>
  <c r="F332" i="12"/>
  <c r="F370" i="12"/>
  <c r="F379" i="12"/>
  <c r="F397" i="12"/>
  <c r="A382" i="12"/>
  <c r="F378" i="12"/>
  <c r="D344" i="12"/>
  <c r="G350" i="1" s="1"/>
  <c r="F347" i="12"/>
  <c r="E383" i="12"/>
  <c r="F383" i="12"/>
  <c r="E348" i="12"/>
  <c r="A334" i="12"/>
  <c r="A392" i="12"/>
  <c r="A356" i="12"/>
  <c r="E362" i="12"/>
  <c r="A368" i="12"/>
  <c r="A385" i="12"/>
  <c r="A358" i="12"/>
  <c r="F374" i="12"/>
  <c r="H393" i="12"/>
  <c r="A393" i="12"/>
  <c r="E355" i="12"/>
  <c r="A381" i="12"/>
  <c r="E350" i="12"/>
  <c r="E394" i="12"/>
  <c r="D400" i="12"/>
  <c r="F334" i="12"/>
  <c r="E346" i="12"/>
  <c r="E345" i="12"/>
  <c r="A344" i="12"/>
  <c r="E333" i="12"/>
  <c r="A364" i="12"/>
  <c r="F353" i="12"/>
  <c r="C337" i="12"/>
  <c r="F343" i="1" s="1"/>
  <c r="E359" i="12"/>
  <c r="D354" i="12"/>
  <c r="G360" i="1" s="1"/>
  <c r="E360" i="12"/>
  <c r="F356" i="12"/>
  <c r="A377" i="12"/>
  <c r="B327" i="12"/>
  <c r="D366" i="12"/>
  <c r="G372" i="1" s="1"/>
  <c r="D357" i="12"/>
  <c r="G363" i="1" s="1"/>
  <c r="C330" i="12"/>
  <c r="F336" i="1" s="1"/>
  <c r="F365" i="12"/>
  <c r="A372" i="12"/>
  <c r="D368" i="12"/>
  <c r="G374" i="1" s="1"/>
  <c r="B331" i="12"/>
  <c r="A398" i="12"/>
  <c r="E382" i="12"/>
  <c r="F385" i="12"/>
  <c r="E387" i="12"/>
  <c r="A324" i="12"/>
  <c r="F361" i="12"/>
  <c r="F375" i="12"/>
  <c r="A378" i="12"/>
  <c r="E393" i="12"/>
  <c r="A360" i="12"/>
  <c r="D372" i="12"/>
  <c r="G378" i="1" s="1"/>
  <c r="F390" i="12"/>
  <c r="D396" i="12"/>
  <c r="A375" i="12"/>
  <c r="B334" i="12"/>
  <c r="A346" i="12"/>
  <c r="E369" i="12"/>
  <c r="E344" i="12"/>
  <c r="D352" i="12"/>
  <c r="G358" i="1" s="1"/>
  <c r="C331" i="12"/>
  <c r="F337" i="1" s="1"/>
  <c r="A354" i="12"/>
  <c r="E377" i="12"/>
  <c r="A342" i="12"/>
  <c r="D340" i="12"/>
  <c r="G346" i="1" s="1"/>
  <c r="F387" i="12"/>
  <c r="A397" i="12"/>
  <c r="E335" i="12"/>
  <c r="F344" i="12"/>
  <c r="F363" i="12"/>
  <c r="A353" i="12"/>
  <c r="A363" i="12"/>
  <c r="A388" i="12"/>
  <c r="F352" i="12"/>
  <c r="E337" i="12"/>
  <c r="B341" i="12"/>
  <c r="D370" i="12"/>
  <c r="G376" i="1" s="1"/>
  <c r="D338" i="12"/>
  <c r="G344" i="1" s="1"/>
  <c r="A376" i="12"/>
  <c r="D378" i="12"/>
  <c r="G384" i="1" s="1"/>
  <c r="A349" i="12"/>
  <c r="D361" i="12"/>
  <c r="G367" i="1" s="1"/>
  <c r="E396" i="12"/>
  <c r="E381" i="12"/>
  <c r="E352" i="12"/>
  <c r="F349" i="12"/>
  <c r="D355" i="12"/>
  <c r="G361" i="1" s="1"/>
  <c r="A367" i="12"/>
  <c r="E374" i="12"/>
  <c r="F386" i="12"/>
  <c r="F345" i="12"/>
  <c r="D369" i="12"/>
  <c r="G375" i="1" s="1"/>
  <c r="D358" i="12"/>
  <c r="G364" i="1" s="1"/>
  <c r="A389" i="12"/>
  <c r="A401" i="12"/>
  <c r="A365" i="12"/>
  <c r="B337" i="12"/>
  <c r="A362" i="12"/>
  <c r="D362" i="12"/>
  <c r="G368" i="1" s="1"/>
  <c r="DN1" i="12"/>
  <c r="DP1" i="12" s="1"/>
  <c r="C339" i="12"/>
  <c r="F345" i="1" s="1"/>
  <c r="A338" i="12"/>
  <c r="A399" i="12"/>
  <c r="A345" i="12"/>
  <c r="E378" i="12"/>
  <c r="A386" i="12"/>
  <c r="E340" i="12"/>
  <c r="F400" i="12"/>
  <c r="D365" i="12"/>
  <c r="G371" i="1" s="1"/>
  <c r="D334" i="12"/>
  <c r="G340" i="1" s="1"/>
  <c r="E368" i="12"/>
  <c r="D331" i="12"/>
  <c r="G337" i="1" s="1"/>
  <c r="A387" i="12"/>
  <c r="A390" i="12"/>
  <c r="D349" i="12"/>
  <c r="G355" i="1" s="1"/>
  <c r="E373" i="12"/>
  <c r="D356" i="12"/>
  <c r="G362" i="1" s="1"/>
  <c r="F339" i="12"/>
  <c r="D374" i="12"/>
  <c r="G380" i="1" s="1"/>
  <c r="H365" i="12"/>
  <c r="D335" i="12"/>
  <c r="G341" i="1" s="1"/>
  <c r="B339" i="12"/>
  <c r="B324" i="12"/>
  <c r="F389" i="12"/>
  <c r="D371" i="12"/>
  <c r="G377" i="1" s="1"/>
  <c r="D390" i="12"/>
  <c r="G396" i="1" s="1"/>
  <c r="F391" i="12"/>
  <c r="F392" i="12"/>
  <c r="A371" i="12"/>
  <c r="E376" i="12"/>
  <c r="C333" i="12"/>
  <c r="F339" i="1" s="1"/>
  <c r="A370" i="12"/>
  <c r="D336" i="12"/>
  <c r="G342" i="1" s="1"/>
  <c r="D342" i="12"/>
  <c r="G348" i="1" s="1"/>
  <c r="D351" i="12"/>
  <c r="G357" i="1" s="1"/>
  <c r="F355" i="12"/>
  <c r="D367" i="12"/>
  <c r="G373" i="1" s="1"/>
  <c r="E375" i="12"/>
  <c r="D385" i="12"/>
  <c r="G391" i="1" s="1"/>
  <c r="A350" i="12"/>
  <c r="F399" i="12"/>
  <c r="E361" i="12"/>
  <c r="D388" i="12"/>
  <c r="G394" i="1" s="1"/>
  <c r="A335" i="12"/>
  <c r="E358" i="12"/>
  <c r="E349" i="12"/>
  <c r="E343" i="12"/>
  <c r="D382" i="12"/>
  <c r="G388" i="1" s="1"/>
  <c r="F340" i="12"/>
  <c r="E390" i="12"/>
  <c r="F367" i="12"/>
  <c r="C341" i="12"/>
  <c r="F347" i="1" s="1"/>
  <c r="E388" i="12"/>
  <c r="D376" i="12"/>
  <c r="G382" i="1" s="1"/>
  <c r="D360" i="12"/>
  <c r="G366" i="1" s="1"/>
  <c r="A340" i="12"/>
  <c r="F338" i="12"/>
  <c r="F348" i="12"/>
  <c r="F331" i="12"/>
  <c r="F350" i="12"/>
  <c r="A380" i="12"/>
  <c r="D337" i="12"/>
  <c r="G343" i="1" s="1"/>
  <c r="F382" i="12"/>
  <c r="F373" i="12"/>
  <c r="C335" i="12"/>
  <c r="F341" i="1" s="1"/>
  <c r="D393" i="12"/>
  <c r="G399" i="1" s="1"/>
  <c r="C332" i="12"/>
  <c r="F338" i="1" s="1"/>
  <c r="A395" i="12"/>
  <c r="E332" i="12"/>
  <c r="A337" i="12"/>
  <c r="A332" i="12"/>
  <c r="E365" i="12"/>
  <c r="E379" i="12"/>
  <c r="C342" i="12"/>
  <c r="F348" i="1" s="1"/>
  <c r="A352" i="12"/>
  <c r="E389" i="12"/>
  <c r="F377" i="12"/>
  <c r="D398" i="12"/>
  <c r="F357" i="12"/>
  <c r="E399" i="12"/>
  <c r="E380" i="12"/>
  <c r="D333" i="12"/>
  <c r="G339" i="1" s="1"/>
  <c r="A348" i="12"/>
  <c r="A357" i="12"/>
  <c r="A347" i="12"/>
  <c r="A331" i="12"/>
  <c r="F381" i="12"/>
  <c r="F336" i="12"/>
  <c r="E341" i="12"/>
  <c r="D339" i="12"/>
  <c r="G345" i="1" s="1"/>
  <c r="C334" i="12"/>
  <c r="F340" i="1" s="1"/>
  <c r="E398" i="1"/>
  <c r="H398" i="1" s="1"/>
  <c r="FM392" i="12"/>
  <c r="FN392" i="12" s="1"/>
  <c r="E368" i="1"/>
  <c r="FM362" i="12"/>
  <c r="FN362" i="12" s="1"/>
  <c r="E357" i="1"/>
  <c r="FM351" i="12"/>
  <c r="FN351" i="12" s="1"/>
  <c r="E354" i="1"/>
  <c r="FM348" i="12"/>
  <c r="FN348" i="12" s="1"/>
  <c r="FM353" i="12"/>
  <c r="FN353" i="12" s="1"/>
  <c r="E359" i="1"/>
  <c r="FM371" i="12"/>
  <c r="FN371" i="12" s="1"/>
  <c r="E377" i="1"/>
  <c r="E386" i="1"/>
  <c r="FM380" i="12"/>
  <c r="FN380" i="12" s="1"/>
  <c r="FM373" i="12"/>
  <c r="FN373" i="12" s="1"/>
  <c r="E379" i="1"/>
  <c r="E392" i="1"/>
  <c r="FM386" i="12"/>
  <c r="FN386" i="12" s="1"/>
  <c r="E385" i="1"/>
  <c r="FM379" i="12"/>
  <c r="FN379" i="12" s="1"/>
  <c r="FM389" i="12"/>
  <c r="FN389" i="12" s="1"/>
  <c r="E395" i="1"/>
  <c r="E351" i="1"/>
  <c r="FM345" i="12"/>
  <c r="FN345" i="12" s="1"/>
  <c r="E363" i="1"/>
  <c r="FM357" i="12"/>
  <c r="FN357" i="12" s="1"/>
  <c r="FM355" i="12"/>
  <c r="FN355" i="12" s="1"/>
  <c r="E361" i="1"/>
  <c r="E382" i="1"/>
  <c r="FM376" i="12"/>
  <c r="FN376" i="12" s="1"/>
  <c r="E389" i="1"/>
  <c r="FM383" i="12"/>
  <c r="FN383" i="12" s="1"/>
  <c r="Q51" i="12"/>
  <c r="M193" i="12"/>
  <c r="M194" i="12" s="1"/>
  <c r="M192" i="12" l="1"/>
  <c r="M197" i="12"/>
  <c r="M196" i="12"/>
  <c r="FM330" i="12"/>
  <c r="FN330" i="12" s="1"/>
  <c r="FH330" i="12"/>
  <c r="FI330" i="12" s="1"/>
  <c r="I336" i="1"/>
  <c r="H389" i="1"/>
  <c r="H351" i="1"/>
  <c r="H357" i="1"/>
  <c r="H359" i="1"/>
  <c r="H385" i="1"/>
  <c r="H354" i="1"/>
  <c r="H368" i="1"/>
  <c r="H382" i="1"/>
  <c r="H363" i="1"/>
  <c r="H392" i="1"/>
  <c r="H386" i="1"/>
  <c r="N357" i="12"/>
  <c r="D363" i="1"/>
  <c r="N395" i="12"/>
  <c r="M395" i="12"/>
  <c r="G355" i="12"/>
  <c r="I361" i="1"/>
  <c r="FH355" i="12"/>
  <c r="FI355" i="12" s="1"/>
  <c r="D373" i="1"/>
  <c r="N367" i="12"/>
  <c r="N363" i="12"/>
  <c r="D369" i="1"/>
  <c r="E340" i="1"/>
  <c r="H340" i="1" s="1"/>
  <c r="FM334" i="12"/>
  <c r="FN334" i="12" s="1"/>
  <c r="D350" i="1"/>
  <c r="N344" i="12"/>
  <c r="D362" i="1"/>
  <c r="N356" i="12"/>
  <c r="G398" i="12"/>
  <c r="FH398" i="12"/>
  <c r="FI398" i="12" s="1"/>
  <c r="N374" i="12"/>
  <c r="D380" i="1"/>
  <c r="E339" i="1"/>
  <c r="H339" i="1" s="1"/>
  <c r="FM333" i="12"/>
  <c r="FN333" i="12" s="1"/>
  <c r="N339" i="12"/>
  <c r="D345" i="1"/>
  <c r="FH396" i="12"/>
  <c r="FI396" i="12" s="1"/>
  <c r="G396" i="12"/>
  <c r="G333" i="12"/>
  <c r="FH333" i="12"/>
  <c r="FI333" i="12" s="1"/>
  <c r="I339" i="1"/>
  <c r="G369" i="12"/>
  <c r="FH369" i="12"/>
  <c r="FI369" i="12" s="1"/>
  <c r="I375" i="1"/>
  <c r="FH346" i="12"/>
  <c r="FI346" i="12" s="1"/>
  <c r="I352" i="1"/>
  <c r="G346" i="12"/>
  <c r="D389" i="1"/>
  <c r="N383" i="12"/>
  <c r="FH316" i="12"/>
  <c r="FI316" i="12" s="1"/>
  <c r="I322" i="1"/>
  <c r="G316" i="12"/>
  <c r="G314" i="12"/>
  <c r="FH314" i="12"/>
  <c r="FI314" i="12" s="1"/>
  <c r="I320" i="1"/>
  <c r="N361" i="12"/>
  <c r="D367" i="1"/>
  <c r="N317" i="12"/>
  <c r="D323" i="1"/>
  <c r="FM306" i="12"/>
  <c r="FN306" i="12" s="1"/>
  <c r="E312" i="1"/>
  <c r="H312" i="1" s="1"/>
  <c r="FH317" i="12"/>
  <c r="FI317" i="12" s="1"/>
  <c r="I323" i="1"/>
  <c r="G317" i="12"/>
  <c r="FM314" i="12"/>
  <c r="FN314" i="12" s="1"/>
  <c r="E320" i="1"/>
  <c r="H320" i="1" s="1"/>
  <c r="D320" i="1"/>
  <c r="N314" i="12"/>
  <c r="E313" i="1"/>
  <c r="H313" i="1" s="1"/>
  <c r="FM307" i="12"/>
  <c r="FN307" i="12" s="1"/>
  <c r="I324" i="1"/>
  <c r="G318" i="12"/>
  <c r="FH318" i="12"/>
  <c r="FI318" i="12" s="1"/>
  <c r="E321" i="1"/>
  <c r="H321" i="1" s="1"/>
  <c r="FM315" i="12"/>
  <c r="FN315" i="12" s="1"/>
  <c r="I329" i="1"/>
  <c r="G323" i="12"/>
  <c r="FH323" i="12"/>
  <c r="FI323" i="12" s="1"/>
  <c r="FM326" i="12"/>
  <c r="FN326" i="12" s="1"/>
  <c r="E332" i="1"/>
  <c r="H332" i="1" s="1"/>
  <c r="D322" i="1"/>
  <c r="N316" i="12"/>
  <c r="FM310" i="12"/>
  <c r="FN310" i="12" s="1"/>
  <c r="E316" i="1"/>
  <c r="H316" i="1" s="1"/>
  <c r="D313" i="1"/>
  <c r="N307" i="12"/>
  <c r="G304" i="12"/>
  <c r="FH304" i="12"/>
  <c r="FI304" i="12" s="1"/>
  <c r="I310" i="1"/>
  <c r="H370" i="1"/>
  <c r="H397" i="1"/>
  <c r="H393" i="1"/>
  <c r="H358" i="1"/>
  <c r="H378" i="1"/>
  <c r="H374" i="1"/>
  <c r="H396" i="1"/>
  <c r="H380" i="1"/>
  <c r="I379" i="1"/>
  <c r="FH373" i="12"/>
  <c r="FI373" i="12" s="1"/>
  <c r="G373" i="12"/>
  <c r="N370" i="12"/>
  <c r="D376" i="1"/>
  <c r="N365" i="12"/>
  <c r="D371" i="1"/>
  <c r="I391" i="1"/>
  <c r="FH385" i="12"/>
  <c r="FI385" i="12" s="1"/>
  <c r="G385" i="12"/>
  <c r="D364" i="1"/>
  <c r="N358" i="12"/>
  <c r="G370" i="12"/>
  <c r="I376" i="1"/>
  <c r="FH370" i="12"/>
  <c r="FI370" i="12" s="1"/>
  <c r="FH395" i="12"/>
  <c r="FI395" i="12" s="1"/>
  <c r="G395" i="12"/>
  <c r="N343" i="12"/>
  <c r="D349" i="1"/>
  <c r="N318" i="12"/>
  <c r="D324" i="1"/>
  <c r="D357" i="1"/>
  <c r="N351" i="12"/>
  <c r="N359" i="12"/>
  <c r="D365" i="1"/>
  <c r="H361" i="1"/>
  <c r="H379" i="1"/>
  <c r="H377" i="1"/>
  <c r="I387" i="1"/>
  <c r="FH381" i="12"/>
  <c r="FI381" i="12" s="1"/>
  <c r="G381" i="12"/>
  <c r="N348" i="12"/>
  <c r="D354" i="1"/>
  <c r="FH357" i="12"/>
  <c r="FI357" i="12" s="1"/>
  <c r="G357" i="12"/>
  <c r="I363" i="1"/>
  <c r="N352" i="12"/>
  <c r="D358" i="1"/>
  <c r="D338" i="1"/>
  <c r="N332" i="12"/>
  <c r="FH382" i="12"/>
  <c r="FI382" i="12" s="1"/>
  <c r="I388" i="1"/>
  <c r="G382" i="12"/>
  <c r="G331" i="12"/>
  <c r="FH331" i="12"/>
  <c r="FI331" i="12" s="1"/>
  <c r="I337" i="1"/>
  <c r="G367" i="12"/>
  <c r="I373" i="1"/>
  <c r="FH367" i="12"/>
  <c r="FI367" i="12" s="1"/>
  <c r="I397" i="1"/>
  <c r="G391" i="12"/>
  <c r="FH391" i="12"/>
  <c r="FI391" i="12" s="1"/>
  <c r="FM324" i="12"/>
  <c r="FN324" i="12" s="1"/>
  <c r="E330" i="1"/>
  <c r="H330" i="1" s="1"/>
  <c r="N399" i="12"/>
  <c r="M399" i="12"/>
  <c r="G345" i="12"/>
  <c r="FH345" i="12"/>
  <c r="FI345" i="12" s="1"/>
  <c r="I351" i="1"/>
  <c r="D382" i="1"/>
  <c r="N376" i="12"/>
  <c r="N353" i="12"/>
  <c r="D359" i="1"/>
  <c r="N397" i="12"/>
  <c r="M397" i="12"/>
  <c r="N375" i="12"/>
  <c r="D381" i="1"/>
  <c r="N360" i="12"/>
  <c r="D366" i="1"/>
  <c r="FH361" i="12"/>
  <c r="FI361" i="12" s="1"/>
  <c r="I367" i="1"/>
  <c r="G361" i="12"/>
  <c r="N372" i="12"/>
  <c r="D378" i="1"/>
  <c r="G353" i="12"/>
  <c r="FH353" i="12"/>
  <c r="FI353" i="12" s="1"/>
  <c r="I359" i="1"/>
  <c r="N393" i="12"/>
  <c r="D399" i="1"/>
  <c r="N385" i="12"/>
  <c r="D391" i="1"/>
  <c r="D398" i="1"/>
  <c r="N392" i="12"/>
  <c r="D388" i="1"/>
  <c r="N382" i="12"/>
  <c r="G332" i="12"/>
  <c r="FH332" i="12"/>
  <c r="FI332" i="12" s="1"/>
  <c r="I338" i="1"/>
  <c r="FH341" i="12"/>
  <c r="FI341" i="12" s="1"/>
  <c r="G341" i="12"/>
  <c r="I347" i="1"/>
  <c r="G358" i="12"/>
  <c r="I364" i="1"/>
  <c r="FH358" i="12"/>
  <c r="FI358" i="12" s="1"/>
  <c r="FH359" i="12"/>
  <c r="FI359" i="12" s="1"/>
  <c r="G359" i="12"/>
  <c r="I365" i="1"/>
  <c r="D336" i="1"/>
  <c r="N330" i="12"/>
  <c r="N341" i="12"/>
  <c r="D347" i="1"/>
  <c r="FH360" i="12"/>
  <c r="FI360" i="12" s="1"/>
  <c r="I366" i="1"/>
  <c r="G360" i="12"/>
  <c r="FM336" i="12"/>
  <c r="FN336" i="12" s="1"/>
  <c r="E342" i="1"/>
  <c r="H342" i="1" s="1"/>
  <c r="FH366" i="12"/>
  <c r="FI366" i="12" s="1"/>
  <c r="I372" i="1"/>
  <c r="G366" i="12"/>
  <c r="I374" i="1"/>
  <c r="G368" i="12"/>
  <c r="FH368" i="12"/>
  <c r="FI368" i="12" s="1"/>
  <c r="I390" i="1"/>
  <c r="G384" i="12"/>
  <c r="FH384" i="12"/>
  <c r="FI384" i="12" s="1"/>
  <c r="N336" i="12"/>
  <c r="D342" i="1"/>
  <c r="FH337" i="12"/>
  <c r="FI337" i="12" s="1"/>
  <c r="G337" i="12"/>
  <c r="I343" i="1"/>
  <c r="D372" i="1"/>
  <c r="N366" i="12"/>
  <c r="N327" i="12"/>
  <c r="D333" i="1"/>
  <c r="N320" i="12"/>
  <c r="D326" i="1"/>
  <c r="G321" i="12"/>
  <c r="FH321" i="12"/>
  <c r="FI321" i="12" s="1"/>
  <c r="I327" i="1"/>
  <c r="FH327" i="12"/>
  <c r="FI327" i="12" s="1"/>
  <c r="I333" i="1"/>
  <c r="G327" i="12"/>
  <c r="G307" i="12"/>
  <c r="I313" i="1"/>
  <c r="FH307" i="12"/>
  <c r="FI307" i="12" s="1"/>
  <c r="N308" i="12"/>
  <c r="D314" i="1"/>
  <c r="D312" i="1"/>
  <c r="N306" i="12"/>
  <c r="P76" i="12"/>
  <c r="P54" i="12"/>
  <c r="P72" i="12"/>
  <c r="P78" i="12"/>
  <c r="P81" i="12"/>
  <c r="P68" i="12"/>
  <c r="P73" i="12"/>
  <c r="P69" i="12"/>
  <c r="P75" i="12"/>
  <c r="P57" i="12"/>
  <c r="P58" i="12"/>
  <c r="P70" i="12"/>
  <c r="P52" i="12"/>
  <c r="P77" i="12"/>
  <c r="P64" i="12"/>
  <c r="P66" i="12"/>
  <c r="P56" i="12"/>
  <c r="P67" i="12"/>
  <c r="P79" i="12"/>
  <c r="P62" i="12"/>
  <c r="P71" i="12"/>
  <c r="P80" i="12"/>
  <c r="P53" i="12"/>
  <c r="P63" i="12"/>
  <c r="P61" i="12"/>
  <c r="P55" i="12"/>
  <c r="P60" i="12"/>
  <c r="P74" i="12"/>
  <c r="P65" i="12"/>
  <c r="P59" i="12"/>
  <c r="G328" i="12"/>
  <c r="I334" i="1"/>
  <c r="FH328" i="12"/>
  <c r="FI328" i="12" s="1"/>
  <c r="FM321" i="12"/>
  <c r="FN321" i="12" s="1"/>
  <c r="E327" i="1"/>
  <c r="H327" i="1" s="1"/>
  <c r="FH315" i="12"/>
  <c r="FI315" i="12" s="1"/>
  <c r="I321" i="1"/>
  <c r="G315" i="12"/>
  <c r="FM319" i="12"/>
  <c r="FN319" i="12" s="1"/>
  <c r="E325" i="1"/>
  <c r="H325" i="1" s="1"/>
  <c r="FH306" i="12"/>
  <c r="FI306" i="12" s="1"/>
  <c r="I312" i="1"/>
  <c r="G306" i="12"/>
  <c r="E317" i="1"/>
  <c r="H317" i="1" s="1"/>
  <c r="FM311" i="12"/>
  <c r="FN311" i="12" s="1"/>
  <c r="FM323" i="12"/>
  <c r="FN323" i="12" s="1"/>
  <c r="E329" i="1"/>
  <c r="H329" i="1" s="1"/>
  <c r="E315" i="1"/>
  <c r="H315" i="1" s="1"/>
  <c r="FM309" i="12"/>
  <c r="FN309" i="12" s="1"/>
  <c r="H366" i="1"/>
  <c r="H356" i="1"/>
  <c r="H364" i="1"/>
  <c r="H381" i="1"/>
  <c r="H387" i="1"/>
  <c r="H362" i="1"/>
  <c r="H376" i="1"/>
  <c r="H355" i="1"/>
  <c r="H371" i="1"/>
  <c r="I342" i="1"/>
  <c r="G336" i="12"/>
  <c r="FH336" i="12"/>
  <c r="FI336" i="12" s="1"/>
  <c r="N340" i="12"/>
  <c r="D346" i="1"/>
  <c r="D356" i="1"/>
  <c r="N350" i="12"/>
  <c r="G389" i="12"/>
  <c r="FH389" i="12"/>
  <c r="FI389" i="12" s="1"/>
  <c r="I395" i="1"/>
  <c r="G400" i="12"/>
  <c r="FH400" i="12"/>
  <c r="FI400" i="12" s="1"/>
  <c r="FM341" i="12"/>
  <c r="FN341" i="12" s="1"/>
  <c r="E347" i="1"/>
  <c r="H347" i="1" s="1"/>
  <c r="N342" i="12"/>
  <c r="D348" i="1"/>
  <c r="FH375" i="12"/>
  <c r="FI375" i="12" s="1"/>
  <c r="I381" i="1"/>
  <c r="G375" i="12"/>
  <c r="G356" i="12"/>
  <c r="FH356" i="12"/>
  <c r="FI356" i="12" s="1"/>
  <c r="I362" i="1"/>
  <c r="I389" i="1"/>
  <c r="FH383" i="12"/>
  <c r="FI383" i="12" s="1"/>
  <c r="G383" i="12"/>
  <c r="D337" i="1"/>
  <c r="N331" i="12"/>
  <c r="N337" i="12"/>
  <c r="D343" i="1"/>
  <c r="FH348" i="12"/>
  <c r="FI348" i="12" s="1"/>
  <c r="G348" i="12"/>
  <c r="I354" i="1"/>
  <c r="FM339" i="12"/>
  <c r="FN339" i="12" s="1"/>
  <c r="E345" i="1"/>
  <c r="H345" i="1" s="1"/>
  <c r="G339" i="12"/>
  <c r="FH339" i="12"/>
  <c r="FI339" i="12" s="1"/>
  <c r="I345" i="1"/>
  <c r="D396" i="1"/>
  <c r="N390" i="12"/>
  <c r="N386" i="12"/>
  <c r="D392" i="1"/>
  <c r="D344" i="1"/>
  <c r="N338" i="12"/>
  <c r="N362" i="12"/>
  <c r="D368" i="1"/>
  <c r="D395" i="1"/>
  <c r="N389" i="12"/>
  <c r="I392" i="1"/>
  <c r="FH386" i="12"/>
  <c r="FI386" i="12" s="1"/>
  <c r="G386" i="12"/>
  <c r="I355" i="1"/>
  <c r="G349" i="12"/>
  <c r="FH349" i="12"/>
  <c r="FI349" i="12" s="1"/>
  <c r="G352" i="12"/>
  <c r="FH352" i="12"/>
  <c r="FI352" i="12" s="1"/>
  <c r="I358" i="1"/>
  <c r="G363" i="12"/>
  <c r="FH363" i="12"/>
  <c r="FI363" i="12" s="1"/>
  <c r="I369" i="1"/>
  <c r="G387" i="12"/>
  <c r="FH387" i="12"/>
  <c r="FI387" i="12" s="1"/>
  <c r="I393" i="1"/>
  <c r="D360" i="1"/>
  <c r="N354" i="12"/>
  <c r="N324" i="12"/>
  <c r="D330" i="1"/>
  <c r="N398" i="12"/>
  <c r="M398" i="12"/>
  <c r="I371" i="1"/>
  <c r="G365" i="12"/>
  <c r="FH365" i="12"/>
  <c r="FI365" i="12" s="1"/>
  <c r="FM327" i="12"/>
  <c r="FN327" i="12" s="1"/>
  <c r="E333" i="1"/>
  <c r="H333" i="1" s="1"/>
  <c r="D370" i="1"/>
  <c r="N364" i="12"/>
  <c r="N368" i="12"/>
  <c r="D374" i="1"/>
  <c r="N334" i="12"/>
  <c r="D340" i="1"/>
  <c r="G347" i="12"/>
  <c r="I353" i="1"/>
  <c r="FH347" i="12"/>
  <c r="FI347" i="12" s="1"/>
  <c r="G397" i="12"/>
  <c r="FH397" i="12"/>
  <c r="FI397" i="12" s="1"/>
  <c r="FH371" i="12"/>
  <c r="FI371" i="12" s="1"/>
  <c r="G371" i="12"/>
  <c r="I377" i="1"/>
  <c r="I341" i="1"/>
  <c r="G335" i="12"/>
  <c r="FH335" i="12"/>
  <c r="FI335" i="12" s="1"/>
  <c r="FH354" i="12"/>
  <c r="FI354" i="12" s="1"/>
  <c r="I360" i="1"/>
  <c r="G354" i="12"/>
  <c r="N384" i="12"/>
  <c r="D390" i="1"/>
  <c r="N400" i="12"/>
  <c r="M400" i="12"/>
  <c r="D339" i="1"/>
  <c r="N333" i="12"/>
  <c r="FH380" i="12"/>
  <c r="FI380" i="12" s="1"/>
  <c r="I386" i="1"/>
  <c r="G380" i="12"/>
  <c r="N319" i="12"/>
  <c r="D325" i="1"/>
  <c r="D361" i="1"/>
  <c r="N355" i="12"/>
  <c r="E338" i="1"/>
  <c r="H338" i="1" s="1"/>
  <c r="FM332" i="12"/>
  <c r="FN332" i="12" s="1"/>
  <c r="E341" i="1"/>
  <c r="H341" i="1" s="1"/>
  <c r="FM335" i="12"/>
  <c r="FN335" i="12" s="1"/>
  <c r="D379" i="1"/>
  <c r="N373" i="12"/>
  <c r="FH376" i="12"/>
  <c r="FI376" i="12" s="1"/>
  <c r="G376" i="12"/>
  <c r="I382" i="1"/>
  <c r="FH362" i="12"/>
  <c r="FI362" i="12" s="1"/>
  <c r="G362" i="12"/>
  <c r="I368" i="1"/>
  <c r="I357" i="1"/>
  <c r="FH351" i="12"/>
  <c r="FI351" i="12" s="1"/>
  <c r="G351" i="12"/>
  <c r="FH388" i="12"/>
  <c r="FI388" i="12" s="1"/>
  <c r="I394" i="1"/>
  <c r="G388" i="12"/>
  <c r="FM340" i="12"/>
  <c r="FN340" i="12" s="1"/>
  <c r="E346" i="1"/>
  <c r="H346" i="1" s="1"/>
  <c r="N369" i="12"/>
  <c r="D375" i="1"/>
  <c r="N329" i="12"/>
  <c r="D335" i="1"/>
  <c r="G310" i="12"/>
  <c r="FH310" i="12"/>
  <c r="FI310" i="12" s="1"/>
  <c r="I316" i="1"/>
  <c r="FH309" i="12"/>
  <c r="FI309" i="12" s="1"/>
  <c r="G309" i="12"/>
  <c r="I315" i="1"/>
  <c r="E322" i="1"/>
  <c r="H322" i="1" s="1"/>
  <c r="FM316" i="12"/>
  <c r="FN316" i="12" s="1"/>
  <c r="FM312" i="12"/>
  <c r="FN312" i="12" s="1"/>
  <c r="E318" i="1"/>
  <c r="H318" i="1" s="1"/>
  <c r="D316" i="1"/>
  <c r="N310" i="12"/>
  <c r="FH324" i="12"/>
  <c r="FI324" i="12" s="1"/>
  <c r="G324" i="12"/>
  <c r="I330" i="1"/>
  <c r="E331" i="1"/>
  <c r="H331" i="1" s="1"/>
  <c r="FM325" i="12"/>
  <c r="FN325" i="12" s="1"/>
  <c r="I326" i="1"/>
  <c r="G320" i="12"/>
  <c r="FH320" i="12"/>
  <c r="FI320" i="12" s="1"/>
  <c r="E324" i="1"/>
  <c r="H324" i="1" s="1"/>
  <c r="FM318" i="12"/>
  <c r="FN318" i="12" s="1"/>
  <c r="G322" i="12"/>
  <c r="FH322" i="12"/>
  <c r="FI322" i="12" s="1"/>
  <c r="I328" i="1"/>
  <c r="E334" i="1"/>
  <c r="H334" i="1" s="1"/>
  <c r="FM328" i="12"/>
  <c r="FN328" i="12" s="1"/>
  <c r="E319" i="1"/>
  <c r="H319" i="1" s="1"/>
  <c r="FM313" i="12"/>
  <c r="FN313" i="12" s="1"/>
  <c r="H399" i="1"/>
  <c r="H383" i="1"/>
  <c r="H391" i="1"/>
  <c r="H394" i="1"/>
  <c r="H352" i="1"/>
  <c r="H367" i="1"/>
  <c r="H373" i="1"/>
  <c r="H353" i="1"/>
  <c r="H365" i="1"/>
  <c r="H349" i="1"/>
  <c r="H390" i="1"/>
  <c r="H375" i="1"/>
  <c r="I356" i="1"/>
  <c r="G350" i="12"/>
  <c r="FH350" i="12"/>
  <c r="FI350" i="12" s="1"/>
  <c r="N335" i="12"/>
  <c r="D341" i="1"/>
  <c r="G392" i="12"/>
  <c r="FH392" i="12"/>
  <c r="FI392" i="12" s="1"/>
  <c r="I398" i="1"/>
  <c r="D351" i="1"/>
  <c r="N345" i="12"/>
  <c r="G378" i="12"/>
  <c r="FH378" i="12"/>
  <c r="FI378" i="12" s="1"/>
  <c r="I384" i="1"/>
  <c r="H395" i="1"/>
  <c r="N347" i="12"/>
  <c r="D353" i="1"/>
  <c r="I383" i="1"/>
  <c r="FH377" i="12"/>
  <c r="FI377" i="12" s="1"/>
  <c r="G377" i="12"/>
  <c r="D386" i="1"/>
  <c r="N380" i="12"/>
  <c r="I344" i="1"/>
  <c r="FH338" i="12"/>
  <c r="FI338" i="12" s="1"/>
  <c r="G338" i="12"/>
  <c r="FH340" i="12"/>
  <c r="FI340" i="12" s="1"/>
  <c r="I346" i="1"/>
  <c r="G340" i="12"/>
  <c r="FH399" i="12"/>
  <c r="FI399" i="12" s="1"/>
  <c r="G399" i="12"/>
  <c r="D377" i="1"/>
  <c r="N371" i="12"/>
  <c r="N387" i="12"/>
  <c r="D393" i="1"/>
  <c r="FM337" i="12"/>
  <c r="FN337" i="12" s="1"/>
  <c r="E343" i="1"/>
  <c r="H343" i="1" s="1"/>
  <c r="N349" i="12"/>
  <c r="D355" i="1"/>
  <c r="N388" i="12"/>
  <c r="D394" i="1"/>
  <c r="I350" i="1"/>
  <c r="FH344" i="12"/>
  <c r="FI344" i="12" s="1"/>
  <c r="G344" i="12"/>
  <c r="N346" i="12"/>
  <c r="D352" i="1"/>
  <c r="G390" i="12"/>
  <c r="FH390" i="12"/>
  <c r="FI390" i="12" s="1"/>
  <c r="I396" i="1"/>
  <c r="N378" i="12"/>
  <c r="D384" i="1"/>
  <c r="E337" i="1"/>
  <c r="H337" i="1" s="1"/>
  <c r="FM331" i="12"/>
  <c r="FN331" i="12" s="1"/>
  <c r="N377" i="12"/>
  <c r="D383" i="1"/>
  <c r="FH334" i="12"/>
  <c r="FI334" i="12" s="1"/>
  <c r="G334" i="12"/>
  <c r="I340" i="1"/>
  <c r="N381" i="12"/>
  <c r="D387" i="1"/>
  <c r="FH374" i="12"/>
  <c r="FI374" i="12" s="1"/>
  <c r="G374" i="12"/>
  <c r="I380" i="1"/>
  <c r="G379" i="12"/>
  <c r="I385" i="1"/>
  <c r="FH379" i="12"/>
  <c r="FI379" i="12" s="1"/>
  <c r="N396" i="12"/>
  <c r="M396" i="12"/>
  <c r="N391" i="12"/>
  <c r="D397" i="1"/>
  <c r="G364" i="12"/>
  <c r="FH364" i="12"/>
  <c r="FI364" i="12" s="1"/>
  <c r="I370" i="1"/>
  <c r="E348" i="1"/>
  <c r="H348" i="1" s="1"/>
  <c r="FM342" i="12"/>
  <c r="FN342" i="12" s="1"/>
  <c r="FH394" i="12"/>
  <c r="FI394" i="12" s="1"/>
  <c r="G394" i="12"/>
  <c r="FH372" i="12"/>
  <c r="FI372" i="12" s="1"/>
  <c r="G372" i="12"/>
  <c r="I378" i="1"/>
  <c r="N394" i="12"/>
  <c r="M394" i="12"/>
  <c r="I399" i="1"/>
  <c r="G393" i="12"/>
  <c r="FH393" i="12"/>
  <c r="FI393" i="12" s="1"/>
  <c r="I348" i="1"/>
  <c r="G342" i="12"/>
  <c r="FH342" i="12"/>
  <c r="FI342" i="12" s="1"/>
  <c r="FM338" i="12"/>
  <c r="FN338" i="12" s="1"/>
  <c r="E344" i="1"/>
  <c r="H344" i="1" s="1"/>
  <c r="G343" i="12"/>
  <c r="I349" i="1"/>
  <c r="FH343" i="12"/>
  <c r="FI343" i="12" s="1"/>
  <c r="N379" i="12"/>
  <c r="D385" i="1"/>
  <c r="E335" i="1"/>
  <c r="H335" i="1" s="1"/>
  <c r="FM329" i="12"/>
  <c r="FN329" i="12" s="1"/>
  <c r="E311" i="1"/>
  <c r="H311" i="1" s="1"/>
  <c r="FM305" i="12"/>
  <c r="E326" i="1"/>
  <c r="H326" i="1" s="1"/>
  <c r="FM320" i="12"/>
  <c r="FN320" i="12" s="1"/>
  <c r="E328" i="1"/>
  <c r="H328" i="1" s="1"/>
  <c r="FM322" i="12"/>
  <c r="FN322" i="12" s="1"/>
  <c r="G325" i="12"/>
  <c r="I331" i="1"/>
  <c r="FH325" i="12"/>
  <c r="FI325" i="12" s="1"/>
  <c r="I325" i="1"/>
  <c r="FH319" i="12"/>
  <c r="FI319" i="12" s="1"/>
  <c r="G319" i="12"/>
  <c r="FH308" i="12"/>
  <c r="FI308" i="12" s="1"/>
  <c r="I314" i="1"/>
  <c r="G308" i="12"/>
  <c r="I335" i="1"/>
  <c r="G329" i="12"/>
  <c r="FH329" i="12"/>
  <c r="FI329" i="12" s="1"/>
  <c r="G313" i="12"/>
  <c r="FH313" i="12"/>
  <c r="FI313" i="12" s="1"/>
  <c r="I319" i="1"/>
  <c r="G305" i="12"/>
  <c r="FH305" i="12"/>
  <c r="FI305" i="12" s="1"/>
  <c r="I311" i="1"/>
  <c r="H372" i="1"/>
  <c r="H350" i="1"/>
  <c r="H388" i="1"/>
  <c r="H360" i="1"/>
  <c r="H369" i="1"/>
  <c r="H384" i="1"/>
  <c r="Q52" i="12"/>
  <c r="M198" i="12"/>
  <c r="M199" i="12" s="1"/>
  <c r="FO8" i="12" l="1"/>
  <c r="FJ8" i="12"/>
  <c r="FJ3" i="12"/>
  <c r="FJ4" i="12"/>
  <c r="FN305" i="12"/>
  <c r="FO397" i="12"/>
  <c r="FO389" i="12"/>
  <c r="FO179" i="12"/>
  <c r="FO122" i="12"/>
  <c r="FO361" i="12"/>
  <c r="FO157" i="12"/>
  <c r="FO378" i="12"/>
  <c r="FO327" i="12"/>
  <c r="FO398" i="12"/>
  <c r="FO354" i="12"/>
  <c r="FO32" i="12"/>
  <c r="FO155" i="12"/>
  <c r="FO39" i="12"/>
  <c r="FO132" i="12"/>
  <c r="FO106" i="12"/>
  <c r="FO88" i="12"/>
  <c r="FO70" i="12"/>
  <c r="FO110" i="12"/>
  <c r="FO184" i="12"/>
  <c r="FO278" i="12"/>
  <c r="FO35" i="12"/>
  <c r="FO87" i="12"/>
  <c r="FO249" i="12"/>
  <c r="FO307" i="12"/>
  <c r="FO382" i="12"/>
  <c r="FO386" i="12"/>
  <c r="FO14" i="12"/>
  <c r="FO9" i="12"/>
  <c r="FO343" i="12"/>
  <c r="FO275" i="12"/>
  <c r="FO320" i="12"/>
  <c r="FO193" i="12"/>
  <c r="FO207" i="12"/>
  <c r="FO364" i="12"/>
  <c r="FO234" i="12"/>
  <c r="FO216" i="12"/>
  <c r="FO19" i="12"/>
  <c r="FO141" i="12"/>
  <c r="FO71" i="12"/>
  <c r="FO133" i="12"/>
  <c r="FO345" i="12"/>
  <c r="FO82" i="12"/>
  <c r="FO308" i="12"/>
  <c r="FO288" i="12"/>
  <c r="FO125" i="12"/>
  <c r="FO362" i="12"/>
  <c r="FO317" i="12"/>
  <c r="FO165" i="12"/>
  <c r="FO25" i="12"/>
  <c r="FO387" i="12"/>
  <c r="FO187" i="12"/>
  <c r="FO250" i="12"/>
  <c r="FO263" i="12"/>
  <c r="FO347" i="12"/>
  <c r="FO394" i="12"/>
  <c r="FO95" i="12"/>
  <c r="FO145" i="12"/>
  <c r="FO238" i="12"/>
  <c r="FO135" i="12"/>
  <c r="FO269" i="12"/>
  <c r="FO126" i="12"/>
  <c r="FO178" i="12"/>
  <c r="FO45" i="12"/>
  <c r="FO47" i="12"/>
  <c r="FO68" i="12"/>
  <c r="FO24" i="12"/>
  <c r="FO129" i="12"/>
  <c r="FO399" i="12"/>
  <c r="FO239" i="12"/>
  <c r="FO293" i="12"/>
  <c r="FO52" i="12"/>
  <c r="FO331" i="12"/>
  <c r="FO49" i="12"/>
  <c r="FO130" i="12"/>
  <c r="FO176" i="12"/>
  <c r="FO315" i="12"/>
  <c r="FO123" i="12"/>
  <c r="FO64" i="12"/>
  <c r="FO149" i="12"/>
  <c r="FO107" i="12"/>
  <c r="FO159" i="12"/>
  <c r="FO377" i="12"/>
  <c r="FO277" i="12"/>
  <c r="FO222" i="12"/>
  <c r="FO53" i="12"/>
  <c r="FO98" i="12"/>
  <c r="FO43" i="12"/>
  <c r="FO213" i="12"/>
  <c r="FO99" i="12"/>
  <c r="FO27" i="12"/>
  <c r="FO131" i="12"/>
  <c r="FO323" i="12"/>
  <c r="FO264" i="12"/>
  <c r="FO92" i="12"/>
  <c r="FO374" i="12"/>
  <c r="FO325" i="12"/>
  <c r="FO260" i="12"/>
  <c r="FO266" i="12"/>
  <c r="FO40" i="12"/>
  <c r="FO349" i="12"/>
  <c r="FO359" i="12"/>
  <c r="FO341" i="12"/>
  <c r="FO332" i="12"/>
  <c r="FO311" i="12"/>
  <c r="FO42" i="12"/>
  <c r="FO56" i="12"/>
  <c r="FO321" i="12"/>
  <c r="FO274" i="12"/>
  <c r="FO183" i="12"/>
  <c r="FO23" i="12"/>
  <c r="FO97" i="12"/>
  <c r="FO276" i="12"/>
  <c r="FO298" i="12"/>
  <c r="FO300" i="12"/>
  <c r="FO113" i="12"/>
  <c r="FO105" i="12"/>
  <c r="FO253" i="12"/>
  <c r="FO164" i="12"/>
  <c r="FO148" i="12"/>
  <c r="FO344" i="12"/>
  <c r="FO209" i="12"/>
  <c r="FO144" i="12"/>
  <c r="FO294" i="12"/>
  <c r="FO252" i="12"/>
  <c r="FO102" i="12"/>
  <c r="FO48" i="12"/>
  <c r="FO316" i="12"/>
  <c r="FO258" i="12"/>
  <c r="FO196" i="12"/>
  <c r="FO231" i="12"/>
  <c r="FO243" i="12"/>
  <c r="FO200" i="12"/>
  <c r="FO142" i="12"/>
  <c r="FO335" i="12"/>
  <c r="FO153" i="12"/>
  <c r="FO185" i="12"/>
  <c r="FO334" i="12"/>
  <c r="FO254" i="12"/>
  <c r="FO63" i="12"/>
  <c r="FO326" i="12"/>
  <c r="FO220" i="12"/>
  <c r="FO257" i="12"/>
  <c r="FO247" i="12"/>
  <c r="FO396" i="12"/>
  <c r="FO15" i="12"/>
  <c r="FO26" i="12"/>
  <c r="FO172" i="12"/>
  <c r="FO191" i="12"/>
  <c r="FO93" i="12"/>
  <c r="FO143" i="12"/>
  <c r="FO350" i="12"/>
  <c r="FO270" i="12"/>
  <c r="FO338" i="12"/>
  <c r="FO356" i="12"/>
  <c r="FO226" i="12"/>
  <c r="FO395" i="12"/>
  <c r="FO44" i="12"/>
  <c r="FO137" i="12"/>
  <c r="FO190" i="12"/>
  <c r="FO224" i="12"/>
  <c r="FO17" i="12"/>
  <c r="FO163" i="12"/>
  <c r="FO192" i="12"/>
  <c r="FO134" i="12"/>
  <c r="FO267" i="12"/>
  <c r="FO355" i="12"/>
  <c r="FO59" i="12"/>
  <c r="FO360" i="12"/>
  <c r="FO390" i="12"/>
  <c r="FO96" i="12"/>
  <c r="FO284" i="12"/>
  <c r="FO358" i="12"/>
  <c r="FO272" i="12"/>
  <c r="FO268" i="12"/>
  <c r="FO240" i="12"/>
  <c r="FO54" i="12"/>
  <c r="FO177" i="12"/>
  <c r="FO388" i="12"/>
  <c r="FO296" i="12"/>
  <c r="FO62" i="12"/>
  <c r="FO384" i="12"/>
  <c r="FO282" i="12"/>
  <c r="FO205" i="12"/>
  <c r="FO314" i="12"/>
  <c r="FO292" i="12"/>
  <c r="FO318" i="12"/>
  <c r="FO119" i="12"/>
  <c r="FO369" i="12"/>
  <c r="FO80" i="12"/>
  <c r="FO251" i="12"/>
  <c r="FO372" i="12"/>
  <c r="FO365" i="12"/>
  <c r="FO120" i="12"/>
  <c r="FO10" i="12"/>
  <c r="FO154" i="12"/>
  <c r="FO244" i="12"/>
  <c r="FO363" i="12"/>
  <c r="FO75" i="12"/>
  <c r="FO18" i="12"/>
  <c r="FO262" i="12"/>
  <c r="FO400" i="12"/>
  <c r="FO152" i="12"/>
  <c r="FO330" i="12"/>
  <c r="FO214" i="12"/>
  <c r="FO41" i="12"/>
  <c r="FO28" i="12"/>
  <c r="FO289" i="12"/>
  <c r="FO304" i="12"/>
  <c r="FO393" i="12"/>
  <c r="FO29" i="12"/>
  <c r="FO197" i="12"/>
  <c r="FO375" i="12"/>
  <c r="FO204" i="12"/>
  <c r="FO170" i="12"/>
  <c r="FO180" i="12"/>
  <c r="FO223" i="12"/>
  <c r="FO46" i="12"/>
  <c r="FO13" i="12"/>
  <c r="FO78" i="12"/>
  <c r="FO306" i="12"/>
  <c r="FO380" i="12"/>
  <c r="FO212" i="12"/>
  <c r="FO188" i="12"/>
  <c r="FO319" i="12"/>
  <c r="FO280" i="12"/>
  <c r="FO124" i="12"/>
  <c r="FO117" i="12"/>
  <c r="FO391" i="12"/>
  <c r="FO86" i="12"/>
  <c r="FO174" i="12"/>
  <c r="FO379" i="12"/>
  <c r="FO312" i="12"/>
  <c r="FO286" i="12"/>
  <c r="FO67" i="12"/>
  <c r="FO115" i="12"/>
  <c r="FO94" i="12"/>
  <c r="FO58" i="12"/>
  <c r="FO233" i="12"/>
  <c r="FO215" i="12"/>
  <c r="FO297" i="12"/>
  <c r="FO91" i="12"/>
  <c r="FO232" i="12"/>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="12"/>
  <c r="FO228" i="12"/>
  <c r="FO37" i="12"/>
  <c r="FO139" i="12"/>
  <c r="FO66" i="12"/>
  <c r="FO283" i="12"/>
  <c r="FO89" i="12"/>
  <c r="FO173" i="12"/>
  <c r="FO33" i="12"/>
  <c r="FO246" i="12"/>
  <c r="FO116" i="12"/>
  <c r="FO158" i="12"/>
  <c r="FO353" i="12"/>
  <c r="FO392" i="12"/>
  <c r="FO351" i="12"/>
  <c r="FO79" i="12"/>
  <c r="FO73" i="12"/>
  <c r="FO336" i="12"/>
  <c r="FO108" i="12"/>
  <c r="FO342" i="12"/>
  <c r="FO31" i="12"/>
  <c r="FO261" i="12"/>
  <c r="FO147" i="12"/>
  <c r="FO186" i="12"/>
  <c r="FO291" i="12"/>
  <c r="FO36" i="12"/>
  <c r="FO61" i="12"/>
  <c r="FO85" i="12"/>
  <c r="FO285" i="12"/>
  <c r="FO265" i="12"/>
  <c r="FO221" i="12"/>
  <c r="FO182" i="12"/>
  <c r="FO301" i="12"/>
  <c r="FO166" i="12"/>
  <c r="FO385" i="12"/>
  <c r="FO65" i="12"/>
  <c r="FO138" i="12"/>
  <c r="FO230" i="12"/>
  <c r="FO227" i="12"/>
  <c r="FO160" i="12"/>
  <c r="FO229" i="12"/>
  <c r="FO255" i="12"/>
  <c r="FO357" i="12"/>
  <c r="FO60" i="12"/>
  <c r="FO242" i="12"/>
  <c r="FO235" i="12"/>
  <c r="FO81" i="12"/>
  <c r="FO329" i="12"/>
  <c r="FO333" i="12"/>
  <c r="FO371" i="12"/>
  <c r="FO366" i="12"/>
  <c r="FO279" i="12"/>
  <c r="FO322" i="12"/>
  <c r="FO259" i="12"/>
  <c r="FO69" i="12"/>
  <c r="FO241" i="12"/>
  <c r="FO118" i="12"/>
  <c r="FO206" i="12"/>
  <c r="FO121" i="12"/>
  <c r="FO373" i="12"/>
  <c r="FO103" i="12"/>
  <c r="FO16" i="12"/>
  <c r="FO248" i="12"/>
  <c r="FO256" i="12"/>
  <c r="FO112" i="12"/>
  <c r="FO290" i="12"/>
  <c r="FO352" i="12"/>
  <c r="FO175" i="12"/>
  <c r="FO76" i="12"/>
  <c r="FO287" i="12"/>
  <c r="FO169" i="12"/>
  <c r="FO34" i="12"/>
  <c r="FO90" i="12"/>
  <c r="FO236" i="12"/>
  <c r="FO83" i="12"/>
  <c r="FO305" i="12"/>
  <c r="FO136" i="12"/>
  <c r="FO21" i="12"/>
  <c r="FO111" i="12"/>
  <c r="FO309" i="12"/>
  <c r="FO202" i="12"/>
  <c r="FO84" i="12"/>
  <c r="FO167" i="12"/>
  <c r="FO237" i="12"/>
  <c r="FO271" i="12"/>
  <c r="FO181" i="12"/>
  <c r="FO57" i="12"/>
  <c r="FO367" i="12"/>
  <c r="FO161" i="12"/>
  <c r="FO194" i="12"/>
  <c r="FO217" i="12"/>
  <c r="FO77" i="12"/>
  <c r="FO225" i="12"/>
  <c r="FO146" i="12"/>
  <c r="FO189" i="12"/>
  <c r="FO51" i="12"/>
  <c r="FO219" i="12"/>
  <c r="FO348" i="12"/>
  <c r="FO151" i="12"/>
  <c r="FO100" i="12"/>
  <c r="FO198" i="12"/>
  <c r="FO195" i="12"/>
  <c r="FO12" i="12"/>
  <c r="FO302" i="12"/>
  <c r="FO150" i="12"/>
  <c r="FO368" i="12"/>
  <c r="FO313" i="12"/>
  <c r="FO295" i="12"/>
  <c r="FO128" i="12"/>
  <c r="FO340" i="12"/>
  <c r="FO55" i="12"/>
  <c r="FO162" i="12"/>
  <c r="FO50" i="12"/>
  <c r="FO171" i="12"/>
  <c r="FO211" i="12"/>
  <c r="FO22" i="12"/>
  <c r="FO109" i="12"/>
  <c r="FO337" i="12"/>
  <c r="FO72" i="12"/>
  <c r="FO201" i="12"/>
  <c r="FO208" i="12"/>
  <c r="FO339" i="12"/>
  <c r="FO303" i="12"/>
  <c r="FO324" i="12"/>
  <c r="FO11" i="12"/>
  <c r="FO376" i="12"/>
  <c r="FO156" i="12"/>
  <c r="FO140" i="12"/>
  <c r="FO168" i="12"/>
  <c r="FO74" i="12"/>
  <c r="FO38" i="12"/>
  <c r="FO370" i="12"/>
  <c r="FO381" i="12"/>
  <c r="FO281" i="12"/>
  <c r="FO101" i="12"/>
  <c r="FO210" i="12"/>
  <c r="FO383" i="12"/>
  <c r="FO199" i="12"/>
  <c r="FO30" i="12"/>
  <c r="FJ84" i="12"/>
  <c r="FJ152" i="12"/>
  <c r="FJ378" i="12"/>
  <c r="FJ314" i="12"/>
  <c r="FJ339" i="12"/>
  <c r="FJ56" i="12"/>
  <c r="FJ363" i="12"/>
  <c r="FJ97" i="12"/>
  <c r="FJ132" i="12"/>
  <c r="FJ135" i="12"/>
  <c r="FJ258" i="12"/>
  <c r="FJ112" i="12"/>
  <c r="FJ147" i="12"/>
  <c r="FJ149" i="12"/>
  <c r="FJ194" i="12"/>
  <c r="FJ266" i="12"/>
  <c r="FJ206" i="12"/>
  <c r="FJ375" i="12"/>
  <c r="FJ286" i="12"/>
  <c r="FJ216" i="12"/>
  <c r="FJ137" i="12"/>
  <c r="FJ204" i="12"/>
  <c r="FJ306" i="12"/>
  <c r="FJ230" i="12"/>
  <c r="FJ261" i="12"/>
  <c r="FJ46" i="12"/>
  <c r="FJ13" i="12"/>
  <c r="FJ66" i="12"/>
  <c r="FJ159" i="12"/>
  <c r="FJ86" i="12"/>
  <c r="FJ200" i="12"/>
  <c r="FJ15" i="12"/>
  <c r="FJ29" i="12"/>
  <c r="FJ30" i="12"/>
  <c r="FJ384" i="12"/>
  <c r="FJ366" i="12"/>
  <c r="FJ280" i="12"/>
  <c r="FJ140" i="12"/>
  <c r="FJ195" i="12"/>
  <c r="FJ337" i="12"/>
  <c r="FJ324" i="12"/>
  <c r="FJ139" i="12"/>
  <c r="FJ392" i="12"/>
  <c r="FJ187" i="12"/>
  <c r="FJ299" i="12"/>
  <c r="FJ49" i="12"/>
  <c r="FJ52" i="12"/>
  <c r="FJ393" i="12"/>
  <c r="FJ199" i="12"/>
  <c r="FJ338" i="12"/>
  <c r="FJ34" i="12"/>
  <c r="FJ279" i="12"/>
  <c r="FJ252" i="12"/>
  <c r="FJ186" i="12"/>
  <c r="FJ45" i="12"/>
  <c r="FJ82" i="12"/>
  <c r="FJ107" i="12"/>
  <c r="FJ292" i="12"/>
  <c r="FJ223" i="12"/>
  <c r="FJ27" i="12"/>
  <c r="FJ76" i="12"/>
  <c r="FJ91" i="12"/>
  <c r="FJ185" i="12"/>
  <c r="FJ387" i="12"/>
  <c r="FJ165" i="12"/>
  <c r="FJ341" i="12"/>
  <c r="FJ381" i="12"/>
  <c r="FJ382" i="12"/>
  <c r="FJ93" i="12"/>
  <c r="FJ243" i="12"/>
  <c r="FJ284" i="12"/>
  <c r="FJ130" i="12"/>
  <c r="FJ96" i="12"/>
  <c r="FJ391" i="12"/>
  <c r="FJ285" i="12"/>
  <c r="FJ224" i="12"/>
  <c r="FJ358" i="12"/>
  <c r="FJ289" i="12"/>
  <c r="FJ400" i="12"/>
  <c r="FJ121" i="12"/>
  <c r="FJ241" i="12"/>
  <c r="FJ307" i="12"/>
  <c r="FJ328" i="12"/>
  <c r="FJ182" i="12"/>
  <c r="FJ207" i="12"/>
  <c r="FJ295" i="12"/>
  <c r="FJ64" i="12"/>
  <c r="FJ282" i="12"/>
  <c r="FJ20" i="12"/>
  <c r="FJ368" i="12"/>
  <c r="FJ221" i="12"/>
  <c r="FJ148" i="12"/>
  <c r="FJ151" i="12"/>
  <c r="FJ379" i="12"/>
  <c r="FJ103" i="12"/>
  <c r="FJ274" i="12"/>
  <c r="FJ259" i="12"/>
  <c r="FJ351" i="12"/>
  <c r="FJ273" i="12"/>
  <c r="FJ12" i="12"/>
  <c r="FJ172" i="12"/>
  <c r="FJ310" i="12"/>
  <c r="FJ260" i="12"/>
  <c r="FJ369" i="12"/>
  <c r="FJ211" i="12"/>
  <c r="FJ168" i="12"/>
  <c r="FJ44" i="12"/>
  <c r="FJ163" i="12"/>
  <c r="FJ303" i="12"/>
  <c r="FJ26" i="12"/>
  <c r="FJ78" i="12"/>
  <c r="FJ144" i="12"/>
  <c r="FJ170" i="12"/>
  <c r="FJ311" i="12"/>
  <c r="FJ77" i="12"/>
  <c r="FJ145" i="12"/>
  <c r="FJ389" i="12"/>
  <c r="FJ127" i="12"/>
  <c r="FJ50" i="12"/>
  <c r="FJ390" i="12"/>
  <c r="FJ108" i="12"/>
  <c r="FJ250" i="12"/>
  <c r="FJ68" i="12"/>
  <c r="FJ88" i="12"/>
  <c r="FJ293" i="12"/>
  <c r="FJ297" i="12"/>
  <c r="FJ189" i="12"/>
  <c r="FJ109" i="12"/>
  <c r="FJ174" i="12"/>
  <c r="FJ235" i="12"/>
  <c r="FJ251" i="12"/>
  <c r="FJ117" i="12"/>
  <c r="FJ336" i="12"/>
  <c r="FJ55" i="12"/>
  <c r="FJ330" i="12"/>
  <c r="FJ17" i="12"/>
  <c r="FJ106" i="12"/>
  <c r="FJ267" i="12"/>
  <c r="FJ183" i="12"/>
  <c r="FJ99" i="12"/>
  <c r="FJ372" i="12"/>
  <c r="FJ246" i="12"/>
  <c r="FJ290" i="12"/>
  <c r="FJ59" i="12"/>
  <c r="FJ257" i="12"/>
  <c r="FJ153" i="12"/>
  <c r="FJ304" i="12"/>
  <c r="FJ41" i="12"/>
  <c r="FJ238" i="12"/>
  <c r="FJ360" i="12"/>
  <c r="FJ101" i="12"/>
  <c r="FJ288" i="12"/>
  <c r="FJ394" i="12"/>
  <c r="FJ14" i="12"/>
  <c r="FJ313" i="12"/>
  <c r="FJ213" i="12"/>
  <c r="FJ361" i="12"/>
  <c r="FJ237" i="12"/>
  <c r="FJ305" i="12"/>
  <c r="FJ48" i="12"/>
  <c r="FJ90" i="12"/>
  <c r="FJ356" i="12"/>
  <c r="FJ62" i="12"/>
  <c r="FJ380" i="12"/>
  <c r="FJ120" i="12"/>
  <c r="FJ269" i="12"/>
  <c r="FJ383" i="12"/>
  <c r="FJ23" i="12"/>
  <c r="FJ113" i="12"/>
  <c r="FJ325" i="12"/>
  <c r="FJ234" i="12"/>
  <c r="FJ262" i="12"/>
  <c r="FJ118" i="12"/>
  <c r="FJ79" i="12"/>
  <c r="FJ326" i="12"/>
  <c r="FJ102" i="12"/>
  <c r="FJ327" i="12"/>
  <c r="FJ270" i="12"/>
  <c r="FJ396" i="12"/>
  <c r="FJ167" i="12"/>
  <c r="FJ201" i="12"/>
  <c r="FJ169" i="12"/>
  <c r="FJ171" i="12"/>
  <c r="FJ128" i="12"/>
  <c r="FJ188" i="12"/>
  <c r="FJ308" i="12"/>
  <c r="FJ263" i="12"/>
  <c r="FJ35" i="12"/>
  <c r="FJ166" i="12"/>
  <c r="FJ264" i="12"/>
  <c r="FJ331" i="12"/>
  <c r="FJ210" i="12"/>
  <c r="FJ302" i="12"/>
  <c r="FJ245" i="12"/>
  <c r="FJ150" i="12"/>
  <c r="FJ276" i="12"/>
  <c r="FJ362" i="12"/>
  <c r="FJ39" i="12"/>
  <c r="FJ33" i="12"/>
  <c r="FJ312" i="12"/>
  <c r="FJ178" i="12"/>
  <c r="FJ192" i="12"/>
  <c r="FJ321" i="12"/>
  <c r="FJ342" i="12"/>
  <c r="FJ193" i="12"/>
  <c r="FJ226" i="12"/>
  <c r="FJ176" i="12"/>
  <c r="FJ92" i="12"/>
  <c r="FJ10" i="12"/>
  <c r="FJ397" i="12"/>
  <c r="FJ272" i="12"/>
  <c r="FJ239" i="12"/>
  <c r="FJ318" i="12"/>
  <c r="FJ370" i="12"/>
  <c r="FJ320" i="12"/>
  <c r="FJ25" i="12"/>
  <c r="FJ220" i="12"/>
  <c r="FJ119" i="12"/>
  <c r="FJ126" i="12"/>
  <c r="FJ240" i="12"/>
  <c r="FJ114" i="12"/>
  <c r="FJ323" i="12"/>
  <c r="FJ177" i="12"/>
  <c r="FJ343" i="12"/>
  <c r="FJ95" i="12"/>
  <c r="FJ227" i="12"/>
  <c r="FJ32" i="12"/>
  <c r="FJ191" i="12"/>
  <c r="FJ254" i="12"/>
  <c r="FJ115" i="12"/>
  <c r="FJ19" i="12"/>
  <c r="FJ205" i="12"/>
  <c r="FJ376" i="12"/>
  <c r="FJ124" i="12"/>
  <c r="FJ74" i="12"/>
  <c r="FJ377" i="12"/>
  <c r="FJ253" i="12"/>
  <c r="FJ373" i="12"/>
  <c r="FJ142" i="12"/>
  <c r="FJ340" i="12"/>
  <c r="FJ214" i="12"/>
  <c r="FJ278" i="12"/>
  <c r="FJ335" i="12"/>
  <c r="FJ398" i="12"/>
  <c r="FJ346" i="12"/>
  <c r="FJ332" i="12"/>
  <c r="FJ317" i="12"/>
  <c r="FJ244" i="12"/>
  <c r="FJ354" i="12"/>
  <c r="FJ111" i="12"/>
  <c r="FJ249" i="12"/>
  <c r="FJ228" i="12"/>
  <c r="FJ256" i="12"/>
  <c r="FJ236" i="12"/>
  <c r="FJ136" i="12"/>
  <c r="FJ133" i="12"/>
  <c r="FJ43" i="12"/>
  <c r="FJ333" i="12"/>
  <c r="FJ334" i="12"/>
  <c r="FJ138" i="12"/>
  <c r="FJ173" i="12"/>
  <c r="FJ53" i="12"/>
  <c r="FJ71" i="12"/>
  <c r="FJ215" i="12"/>
  <c r="FJ329" i="12"/>
  <c r="FJ247" i="12"/>
  <c r="FJ225" i="12"/>
  <c r="FJ374" i="12"/>
  <c r="FJ129" i="12"/>
  <c r="FJ67" i="12"/>
  <c r="FJ296" i="12"/>
  <c r="FJ196" i="12"/>
  <c r="FJ110" i="12"/>
  <c r="FJ143" i="12"/>
  <c r="FJ364" i="12"/>
  <c r="FJ61" i="12"/>
  <c r="FJ309" i="12"/>
  <c r="FJ242" i="12"/>
  <c r="FJ248" i="12"/>
  <c r="FJ349" i="12"/>
  <c r="FJ63" i="12"/>
  <c r="FJ158" i="12"/>
  <c r="FJ160" i="12"/>
  <c r="FJ281" i="12"/>
  <c r="FJ208" i="12"/>
  <c r="FJ209" i="12"/>
  <c r="FJ18" i="12"/>
  <c r="FJ184" i="12"/>
  <c r="FJ134" i="12"/>
  <c r="FJ16" i="12"/>
  <c r="FJ190" i="12"/>
  <c r="FJ294" i="12"/>
  <c r="FJ352" i="12"/>
  <c r="FJ357" i="12"/>
  <c r="FJ233" i="12"/>
  <c r="FJ123" i="12"/>
  <c r="FJ277" i="12"/>
  <c r="FJ81" i="12"/>
  <c r="FJ222" i="12"/>
  <c r="FJ87" i="12"/>
  <c r="FJ162" i="12"/>
  <c r="FJ65" i="12"/>
  <c r="FJ105" i="12"/>
  <c r="FJ70" i="12"/>
  <c r="FJ180" i="12"/>
  <c r="FJ202" i="12"/>
  <c r="FJ164" i="12"/>
  <c r="FJ89" i="12"/>
  <c r="FJ54" i="12"/>
  <c r="FJ355" i="12"/>
  <c r="FJ348" i="12"/>
  <c r="FJ219" i="12"/>
  <c r="FJ155" i="12"/>
  <c r="FJ271" i="12"/>
  <c r="FJ104" i="12"/>
  <c r="FJ322" i="12"/>
  <c r="FJ58" i="12"/>
  <c r="FJ218" i="12"/>
  <c r="FJ161" i="12"/>
  <c r="FJ232" i="12"/>
  <c r="FJ131" i="12"/>
  <c r="FJ316" i="12"/>
  <c r="FJ198" i="12"/>
  <c r="FJ24" i="12"/>
  <c r="FJ154" i="12"/>
  <c r="FJ75" i="12"/>
  <c r="FJ350" i="12"/>
  <c r="FJ359" i="12"/>
  <c r="FJ51" i="12"/>
  <c r="FJ255" i="12"/>
  <c r="FJ275" i="12"/>
  <c r="FJ315" i="12"/>
  <c r="FJ319" i="12"/>
  <c r="FJ146" i="12"/>
  <c r="FJ36" i="12"/>
  <c r="FJ371" i="12"/>
  <c r="FJ229" i="12"/>
  <c r="FJ37" i="12"/>
  <c r="FJ47" i="12"/>
  <c r="FJ156" i="12"/>
  <c r="FJ116" i="12"/>
  <c r="FJ181" i="12"/>
  <c r="FJ31" i="12"/>
  <c r="FJ197" i="12"/>
  <c r="FJ22" i="12"/>
  <c r="FJ388" i="12"/>
  <c r="FJ157" i="12"/>
  <c r="FJ21" i="12"/>
  <c r="FJ287" i="12"/>
  <c r="FJ399" i="12"/>
  <c r="FJ98" i="12"/>
  <c r="FJ347" i="12"/>
  <c r="FJ72" i="12"/>
  <c r="FJ385" i="12"/>
  <c r="FJ28" i="12"/>
  <c r="FJ300" i="12"/>
  <c r="FJ217" i="12"/>
  <c r="FJ141" i="12"/>
  <c r="FJ231" i="12"/>
  <c r="FJ38" i="12"/>
  <c r="FJ265" i="12"/>
  <c r="FJ212" i="12"/>
  <c r="FJ353" i="12"/>
  <c r="FJ9" i="12"/>
  <c r="FJ365" i="12"/>
  <c r="FJ85" i="12"/>
  <c r="FJ367" i="12"/>
  <c r="FJ57" i="12"/>
  <c r="FJ122" i="12"/>
  <c r="FJ395" i="12"/>
  <c r="FJ344" i="12"/>
  <c r="FJ298" i="12"/>
  <c r="FJ94" i="12"/>
  <c r="FJ345" i="12"/>
  <c r="FJ283" i="12"/>
  <c r="FJ291" i="12"/>
  <c r="FJ40" i="12"/>
  <c r="FJ203" i="12"/>
  <c r="FJ69" i="12"/>
  <c r="FJ386" i="12"/>
  <c r="FJ80" i="12"/>
  <c r="FJ73" i="12"/>
  <c r="FJ100" i="12"/>
  <c r="FJ11" i="12"/>
  <c r="FJ42" i="12"/>
  <c r="FJ268" i="12"/>
  <c r="FJ125" i="12"/>
  <c r="FJ179" i="12"/>
  <c r="FJ83" i="12"/>
  <c r="FJ175" i="12"/>
  <c r="FJ60" i="12"/>
  <c r="FJ301" i="12"/>
  <c r="M200" i="12"/>
  <c r="M201" i="12" s="1"/>
  <c r="M202" i="12" s="1"/>
  <c r="M203" i="12" s="1"/>
  <c r="Q53" i="12"/>
  <c r="M204" i="12" l="1"/>
  <c r="Q54" i="12"/>
  <c r="M205" i="12" l="1"/>
  <c r="M206" i="12" s="1"/>
  <c r="Q55" i="12"/>
  <c r="Q56" i="12" s="1"/>
  <c r="M207" i="12" l="1"/>
  <c r="M208" i="12"/>
  <c r="Q57" i="12"/>
  <c r="M224" i="12"/>
  <c r="M210" i="12" l="1"/>
  <c r="M209" i="12"/>
  <c r="M211" i="12"/>
  <c r="Q58" i="12"/>
  <c r="M212" i="12" l="1"/>
  <c r="Q59" i="12"/>
  <c r="M213" i="12" l="1"/>
  <c r="M214" i="12"/>
  <c r="Q60" i="12"/>
  <c r="M217" i="12" l="1"/>
  <c r="M215" i="12"/>
  <c r="M216" i="12" s="1"/>
  <c r="Q61" i="12"/>
  <c r="M218" i="12" l="1"/>
  <c r="M221" i="12"/>
  <c r="Q62" i="12"/>
  <c r="M222" i="12" l="1"/>
  <c r="M219" i="12"/>
  <c r="M228" i="12"/>
  <c r="M233" i="12"/>
  <c r="Q63" i="12"/>
  <c r="M220" i="12" l="1"/>
  <c r="M223" i="12" s="1"/>
  <c r="M227" i="12"/>
  <c r="M230" i="12"/>
  <c r="M235" i="12"/>
  <c r="Q64" i="12"/>
  <c r="M226" i="12" l="1"/>
  <c r="M229" i="12" s="1"/>
  <c r="M225" i="12"/>
  <c r="M232" i="12"/>
  <c r="M231" i="12"/>
  <c r="Q65" i="12"/>
  <c r="M241" i="12"/>
  <c r="M234" i="12" l="1"/>
  <c r="M237" i="12"/>
  <c r="M236" i="12"/>
  <c r="M245" i="12"/>
  <c r="M250" i="12"/>
  <c r="Q66" i="12"/>
  <c r="Q67" i="12" s="1"/>
  <c r="M238" i="12" l="1"/>
  <c r="M243" i="12"/>
  <c r="M251" i="12"/>
  <c r="M253" i="12"/>
  <c r="Q68" i="12"/>
  <c r="M239" i="12" l="1"/>
  <c r="M256" i="12"/>
  <c r="M257" i="12"/>
  <c r="Q69" i="12"/>
  <c r="M240" i="12" l="1"/>
  <c r="M242" i="12" s="1"/>
  <c r="M244" i="12"/>
  <c r="M247" i="12" s="1"/>
  <c r="M246" i="12"/>
  <c r="M248" i="12" s="1"/>
  <c r="M258" i="12"/>
  <c r="M260" i="12"/>
  <c r="Q70" i="12"/>
  <c r="Q71" i="12" s="1"/>
  <c r="Q72" i="12" s="1"/>
  <c r="M252" i="12" l="1"/>
  <c r="M259" i="12" s="1"/>
  <c r="M249" i="12"/>
  <c r="M254" i="12" s="1"/>
  <c r="M255" i="12" s="1"/>
  <c r="Q73" i="12"/>
  <c r="Q74" i="12" s="1"/>
  <c r="M261" i="12" l="1"/>
  <c r="M263" i="12"/>
  <c r="M262" i="12"/>
  <c r="Q75" i="12"/>
  <c r="M265" i="12" l="1"/>
  <c r="M264" i="12"/>
  <c r="M266" i="12"/>
  <c r="M267" i="12"/>
  <c r="Q76" i="12"/>
  <c r="M269" i="12" l="1"/>
  <c r="M268" i="12"/>
  <c r="Q77" i="12"/>
  <c r="M273" i="12" l="1"/>
  <c r="M270" i="12"/>
  <c r="M271" i="12" s="1"/>
  <c r="M274" i="12" s="1"/>
  <c r="Q78" i="12"/>
  <c r="M374" i="12"/>
  <c r="M272" i="12" l="1"/>
  <c r="M275" i="12"/>
  <c r="M276" i="12"/>
  <c r="Q79" i="12"/>
  <c r="M277" i="12" l="1"/>
  <c r="M278" i="12"/>
  <c r="Q80" i="12"/>
  <c r="M279" i="12" l="1"/>
  <c r="M281" i="12" s="1"/>
  <c r="M280" i="12"/>
  <c r="M282" i="12"/>
  <c r="M288" i="12"/>
  <c r="Q81" i="12"/>
  <c r="M283" i="12" l="1"/>
  <c r="M294" i="12"/>
  <c r="Q82" i="12"/>
  <c r="M284" i="12" l="1"/>
  <c r="M289" i="12"/>
  <c r="Q83" i="12"/>
  <c r="Q84" i="12" s="1"/>
  <c r="Q85" i="12" s="1"/>
  <c r="M292" i="12"/>
  <c r="M286" i="12"/>
  <c r="M290" i="12" s="1"/>
  <c r="M302" i="12"/>
  <c r="M295" i="12"/>
  <c r="M287" i="12" l="1"/>
  <c r="M285" i="12"/>
  <c r="Q86" i="12"/>
  <c r="Q87" i="12" s="1"/>
  <c r="Q88" i="12" s="1"/>
  <c r="Q89" i="12" s="1"/>
  <c r="Q90" i="12" s="1"/>
  <c r="M291" i="12"/>
  <c r="M299" i="12"/>
  <c r="M301" i="12"/>
  <c r="M303" i="12" s="1"/>
  <c r="M306" i="12"/>
  <c r="M293" i="12" l="1"/>
  <c r="M296" i="12"/>
  <c r="Q91" i="12"/>
  <c r="M297" i="12" l="1"/>
  <c r="M298" i="12"/>
  <c r="Q92" i="12"/>
  <c r="Q93" i="12" s="1"/>
  <c r="M309" i="12"/>
  <c r="M310" i="12" s="1"/>
  <c r="M311" i="12"/>
  <c r="M300" i="12" l="1"/>
  <c r="O111" i="12" s="1"/>
  <c r="P111" i="12" s="1"/>
  <c r="O314" i="12"/>
  <c r="P314" i="12" s="1"/>
  <c r="O162" i="12"/>
  <c r="P162" i="12" s="1"/>
  <c r="O159" i="12"/>
  <c r="P159" i="12" s="1"/>
  <c r="O329" i="12"/>
  <c r="P329" i="12" s="1"/>
  <c r="O233" i="12"/>
  <c r="P233" i="12" s="1"/>
  <c r="O357" i="12"/>
  <c r="P357" i="12" s="1"/>
  <c r="O396" i="12"/>
  <c r="P396" i="12" s="1"/>
  <c r="O282" i="12"/>
  <c r="P282" i="12" s="1"/>
  <c r="O319" i="12"/>
  <c r="P319" i="12" s="1"/>
  <c r="O286" i="12"/>
  <c r="P286" i="12" s="1"/>
  <c r="O144" i="12"/>
  <c r="P144" i="12" s="1"/>
  <c r="O191" i="12"/>
  <c r="P191" i="12" s="1"/>
  <c r="O135" i="12"/>
  <c r="P135" i="12" s="1"/>
  <c r="O284" i="12"/>
  <c r="P284" i="12" s="1"/>
  <c r="O207" i="12"/>
  <c r="P207" i="12" s="1"/>
  <c r="O290" i="12"/>
  <c r="P290" i="12" s="1"/>
  <c r="O334" i="12"/>
  <c r="P334" i="12" s="1"/>
  <c r="O190" i="12"/>
  <c r="P190" i="12" s="1"/>
  <c r="O268" i="12"/>
  <c r="P268" i="12" s="1"/>
  <c r="O331" i="12"/>
  <c r="P331" i="12" s="1"/>
  <c r="O113" i="12"/>
  <c r="P113" i="12" s="1"/>
  <c r="O152" i="12"/>
  <c r="P152" i="12" s="1"/>
  <c r="O125" i="12"/>
  <c r="P125" i="12" s="1"/>
  <c r="O209" i="12"/>
  <c r="P209" i="12" s="1"/>
  <c r="O220" i="12"/>
  <c r="P220" i="12" s="1"/>
  <c r="O279" i="12"/>
  <c r="P279" i="12" s="1"/>
  <c r="O217" i="12"/>
  <c r="P217" i="12" s="1"/>
  <c r="O176" i="12"/>
  <c r="P176" i="12" s="1"/>
  <c r="O179" i="12"/>
  <c r="P179" i="12" s="1"/>
  <c r="O184" i="12"/>
  <c r="P184" i="12" s="1"/>
  <c r="O322" i="12"/>
  <c r="P322" i="12" s="1"/>
  <c r="O375" i="12"/>
  <c r="P375" i="12" s="1"/>
  <c r="O215" i="12"/>
  <c r="P215" i="12" s="1"/>
  <c r="O199" i="12"/>
  <c r="P199" i="12" s="1"/>
  <c r="O198" i="12"/>
  <c r="P198" i="12" s="1"/>
  <c r="O249" i="12"/>
  <c r="P249" i="12" s="1"/>
  <c r="O222" i="12"/>
  <c r="P222" i="12" s="1"/>
  <c r="O200" i="12"/>
  <c r="P200" i="12" s="1"/>
  <c r="O107" i="12"/>
  <c r="P107" i="12" s="1"/>
  <c r="O85" i="12"/>
  <c r="P85" i="12" s="1"/>
  <c r="O379" i="12"/>
  <c r="P379" i="12" s="1"/>
  <c r="O372" i="12"/>
  <c r="P372" i="12" s="1"/>
  <c r="O347" i="12"/>
  <c r="P347" i="12" s="1"/>
  <c r="O285" i="12"/>
  <c r="P285" i="12" s="1"/>
  <c r="O243" i="12"/>
  <c r="P243" i="12" s="1"/>
  <c r="O387" i="12"/>
  <c r="P387" i="12" s="1"/>
  <c r="O353" i="12"/>
  <c r="P353" i="12" s="1"/>
  <c r="O246" i="12"/>
  <c r="P246" i="12" s="1"/>
  <c r="O281" i="12"/>
  <c r="P281" i="12" s="1"/>
  <c r="O99" i="12"/>
  <c r="P99" i="12" s="1"/>
  <c r="O342" i="12"/>
  <c r="P342" i="12" s="1"/>
  <c r="O174" i="12"/>
  <c r="P174" i="12" s="1"/>
  <c r="O384" i="12"/>
  <c r="P384" i="12" s="1"/>
  <c r="O345" i="12"/>
  <c r="P345" i="12" s="1"/>
  <c r="O133" i="12"/>
  <c r="P133" i="12" s="1"/>
  <c r="O380" i="12"/>
  <c r="P380" i="12" s="1"/>
  <c r="O255" i="12"/>
  <c r="P255" i="12" s="1"/>
  <c r="O383" i="12"/>
  <c r="P383" i="12" s="1"/>
  <c r="O367" i="12"/>
  <c r="P367" i="12" s="1"/>
  <c r="O361" i="12"/>
  <c r="P361" i="12" s="1"/>
  <c r="O385" i="12"/>
  <c r="P385" i="12" s="1"/>
  <c r="O92" i="12"/>
  <c r="P92" i="12" s="1"/>
  <c r="O323" i="12"/>
  <c r="P323" i="12" s="1"/>
  <c r="O204" i="12"/>
  <c r="P204" i="12" s="1"/>
  <c r="O332" i="12"/>
  <c r="P332" i="12" s="1"/>
  <c r="O280" i="12"/>
  <c r="P280" i="12" s="1"/>
  <c r="O94" i="12"/>
  <c r="P94" i="12" s="1"/>
  <c r="O321" i="12"/>
  <c r="P321" i="12" s="1"/>
  <c r="O275" i="12"/>
  <c r="P275" i="12" s="1"/>
  <c r="O376" i="12"/>
  <c r="P376" i="12" s="1"/>
  <c r="O221" i="12"/>
  <c r="P221" i="12" s="1"/>
  <c r="O103" i="12"/>
  <c r="P103" i="12" s="1"/>
  <c r="O340" i="12"/>
  <c r="P340" i="12" s="1"/>
  <c r="O146" i="12"/>
  <c r="P146" i="12" s="1"/>
  <c r="O390" i="12"/>
  <c r="P390" i="12" s="1"/>
  <c r="O180" i="12"/>
  <c r="P180" i="12" s="1"/>
  <c r="O251" i="12"/>
  <c r="P251" i="12" s="1"/>
  <c r="O185" i="12"/>
  <c r="P185" i="12" s="1"/>
  <c r="O256" i="12"/>
  <c r="P256" i="12" s="1"/>
  <c r="O126" i="12"/>
  <c r="P126" i="12" s="1"/>
  <c r="O301" i="12"/>
  <c r="P301" i="12" s="1"/>
  <c r="O136" i="12"/>
  <c r="P136" i="12" s="1"/>
  <c r="O363" i="12"/>
  <c r="P363" i="12" s="1"/>
  <c r="O86" i="12"/>
  <c r="P86" i="12" s="1"/>
  <c r="O344" i="12"/>
  <c r="P344" i="12" s="1"/>
  <c r="O225" i="12"/>
  <c r="P225" i="12" s="1"/>
  <c r="O142" i="12"/>
  <c r="P142" i="12" s="1"/>
  <c r="O350" i="12"/>
  <c r="P350" i="12" s="1"/>
  <c r="O82" i="12"/>
  <c r="P82" i="12" s="1"/>
  <c r="O156" i="12"/>
  <c r="P156" i="12" s="1"/>
  <c r="O236" i="12"/>
  <c r="P236" i="12" s="1"/>
  <c r="O252" i="12"/>
  <c r="P252" i="12" s="1"/>
  <c r="O288" i="12"/>
  <c r="P288" i="12" s="1"/>
  <c r="O138" i="12"/>
  <c r="P138" i="12" s="1"/>
  <c r="O362" i="12"/>
  <c r="P362" i="12" s="1"/>
  <c r="O391" i="12"/>
  <c r="P391" i="12" s="1"/>
  <c r="O227" i="12"/>
  <c r="P227" i="12" s="1"/>
  <c r="O272" i="12"/>
  <c r="P272" i="12" s="1"/>
  <c r="O308" i="12"/>
  <c r="P308" i="12" s="1"/>
  <c r="O371" i="12"/>
  <c r="P371" i="12" s="1"/>
  <c r="O294" i="12"/>
  <c r="P294" i="12" s="1"/>
  <c r="O373" i="12"/>
  <c r="P373" i="12" s="1"/>
  <c r="O214" i="12"/>
  <c r="P214" i="12" s="1"/>
  <c r="O262" i="12"/>
  <c r="P262" i="12" s="1"/>
  <c r="O224" i="12"/>
  <c r="P224" i="12" s="1"/>
  <c r="O382" i="12"/>
  <c r="P382" i="12" s="1"/>
  <c r="O399" i="12"/>
  <c r="P399" i="12" s="1"/>
  <c r="O189" i="12"/>
  <c r="P189" i="12" s="1"/>
  <c r="O240" i="12"/>
  <c r="P240" i="12" s="1"/>
  <c r="O265" i="12"/>
  <c r="P265" i="12" s="1"/>
  <c r="O274" i="12"/>
  <c r="P274" i="12" s="1"/>
  <c r="O213" i="12"/>
  <c r="P213" i="12" s="1"/>
  <c r="O187" i="12"/>
  <c r="P187" i="12" s="1"/>
  <c r="O388" i="12"/>
  <c r="P388" i="12" s="1"/>
  <c r="O201" i="12"/>
  <c r="P201" i="12" s="1"/>
  <c r="O168" i="12"/>
  <c r="P168" i="12" s="1"/>
  <c r="O277" i="12"/>
  <c r="P277" i="12" s="1"/>
  <c r="O90" i="12"/>
  <c r="P90" i="12" s="1"/>
  <c r="O269" i="12"/>
  <c r="P269" i="12" s="1"/>
  <c r="O197" i="12"/>
  <c r="P197" i="12" s="1"/>
  <c r="O112" i="12"/>
  <c r="P112" i="12" s="1"/>
  <c r="O177" i="12"/>
  <c r="P177" i="12" s="1"/>
  <c r="O164" i="12"/>
  <c r="P164" i="12" s="1"/>
  <c r="O208" i="12"/>
  <c r="P208" i="12" s="1"/>
  <c r="O258" i="12"/>
  <c r="P258" i="12" s="1"/>
  <c r="O239" i="12"/>
  <c r="P239" i="12" s="1"/>
  <c r="O270" i="12"/>
  <c r="P270" i="12" s="1"/>
  <c r="O241" i="12"/>
  <c r="P241" i="12" s="1"/>
  <c r="O355" i="12"/>
  <c r="P355" i="12" s="1"/>
  <c r="O257" i="12"/>
  <c r="P257" i="12" s="1"/>
  <c r="O192" i="12"/>
  <c r="P192" i="12" s="1"/>
  <c r="O114" i="12"/>
  <c r="P114" i="12" s="1"/>
  <c r="O206" i="12"/>
  <c r="P206" i="12" s="1"/>
  <c r="O181" i="12"/>
  <c r="P181" i="12" s="1"/>
  <c r="O349" i="12"/>
  <c r="P349" i="12" s="1"/>
  <c r="O254" i="12"/>
  <c r="P254" i="12" s="1"/>
  <c r="O237" i="12"/>
  <c r="P237" i="12" s="1"/>
  <c r="O289" i="12"/>
  <c r="P289" i="12" s="1"/>
  <c r="O106" i="12"/>
  <c r="P106" i="12" s="1"/>
  <c r="O327" i="12"/>
  <c r="P327" i="12" s="1"/>
  <c r="O293" i="12"/>
  <c r="P293" i="12" s="1"/>
  <c r="O287" i="12"/>
  <c r="P287" i="12" s="1"/>
  <c r="O123" i="12"/>
  <c r="P123" i="12" s="1"/>
  <c r="O118" i="12"/>
  <c r="P118" i="12" s="1"/>
  <c r="O178" i="12"/>
  <c r="P178" i="12" s="1"/>
  <c r="O366" i="12"/>
  <c r="P366" i="12" s="1"/>
  <c r="O336" i="12"/>
  <c r="P336" i="12" s="1"/>
  <c r="O235" i="12"/>
  <c r="P235" i="12" s="1"/>
  <c r="O193" i="12"/>
  <c r="P193" i="12" s="1"/>
  <c r="O166" i="12"/>
  <c r="P166" i="12" s="1"/>
  <c r="O83" i="12"/>
  <c r="P83" i="12" s="1"/>
  <c r="O186" i="12"/>
  <c r="P186" i="12" s="1"/>
  <c r="O115" i="12"/>
  <c r="P115" i="12" s="1"/>
  <c r="O128" i="12"/>
  <c r="P128" i="12" s="1"/>
  <c r="O100" i="12"/>
  <c r="P100" i="12" s="1"/>
  <c r="O317" i="12"/>
  <c r="P317" i="12" s="1"/>
  <c r="O333" i="12"/>
  <c r="P333" i="12" s="1"/>
  <c r="O374" i="12"/>
  <c r="P374" i="12" s="1"/>
  <c r="O378" i="12"/>
  <c r="P378" i="12" s="1"/>
  <c r="O117" i="12"/>
  <c r="P117" i="12" s="1"/>
  <c r="O104" i="12"/>
  <c r="P104" i="12" s="1"/>
  <c r="O303" i="12"/>
  <c r="P303" i="12" s="1"/>
  <c r="O398" i="12"/>
  <c r="P398" i="12" s="1"/>
  <c r="O315" i="12"/>
  <c r="P315" i="12" s="1"/>
  <c r="O386" i="12"/>
  <c r="P386" i="12" s="1"/>
  <c r="O140" i="12"/>
  <c r="P140" i="12" s="1"/>
  <c r="O312" i="12"/>
  <c r="P312" i="12" s="1"/>
  <c r="O132" i="12"/>
  <c r="P132" i="12" s="1"/>
  <c r="O170" i="12"/>
  <c r="P170" i="12" s="1"/>
  <c r="O212" i="12"/>
  <c r="P212" i="12" s="1"/>
  <c r="O305" i="12"/>
  <c r="P305" i="12" s="1"/>
  <c r="O219" i="12"/>
  <c r="P219" i="12" s="1"/>
  <c r="O292" i="12"/>
  <c r="P292" i="12" s="1"/>
  <c r="O194" i="12"/>
  <c r="P194" i="12" s="1"/>
  <c r="O365" i="12"/>
  <c r="P365" i="12" s="1"/>
  <c r="O247" i="12"/>
  <c r="P247" i="12" s="1"/>
  <c r="O389" i="12"/>
  <c r="P389" i="12" s="1"/>
  <c r="O155" i="12"/>
  <c r="P155" i="12" s="1"/>
  <c r="O310" i="12"/>
  <c r="P310" i="12" s="1"/>
  <c r="O354" i="12"/>
  <c r="P354" i="12" s="1"/>
  <c r="O216" i="12"/>
  <c r="P216" i="12" s="1"/>
  <c r="O261" i="12"/>
  <c r="P261" i="12" s="1"/>
  <c r="O231" i="12"/>
  <c r="P231" i="12" s="1"/>
  <c r="O264" i="12"/>
  <c r="P264" i="12" s="1"/>
  <c r="O109" i="12"/>
  <c r="P109" i="12" s="1"/>
  <c r="O101" i="12"/>
  <c r="P101" i="12" s="1"/>
  <c r="O302" i="12"/>
  <c r="P302" i="12" s="1"/>
  <c r="O129" i="12"/>
  <c r="P129" i="12" s="1"/>
  <c r="O326" i="12"/>
  <c r="P326" i="12" s="1"/>
  <c r="O134" i="12"/>
  <c r="P134" i="12" s="1"/>
  <c r="O381" i="12"/>
  <c r="P381" i="12" s="1"/>
  <c r="O320" i="12"/>
  <c r="P320" i="12" s="1"/>
  <c r="O291" i="12"/>
  <c r="P291" i="12" s="1"/>
  <c r="O316" i="12"/>
  <c r="P316" i="12" s="1"/>
  <c r="O205" i="12"/>
  <c r="P205" i="12" s="1"/>
  <c r="O242" i="12"/>
  <c r="P242" i="12" s="1"/>
  <c r="O97" i="12"/>
  <c r="P97" i="12" s="1"/>
  <c r="O299" i="12"/>
  <c r="P299" i="12" s="1"/>
  <c r="O266" i="12"/>
  <c r="P266" i="12" s="1"/>
  <c r="O343" i="12"/>
  <c r="P343" i="12" s="1"/>
  <c r="O121" i="12"/>
  <c r="P121" i="12" s="1"/>
  <c r="O346" i="12"/>
  <c r="P346" i="12" s="1"/>
  <c r="O122" i="12"/>
  <c r="P122" i="12" s="1"/>
  <c r="O127" i="12"/>
  <c r="P127" i="12" s="1"/>
  <c r="O395" i="12"/>
  <c r="P395" i="12" s="1"/>
  <c r="O150" i="12"/>
  <c r="P150" i="12" s="1"/>
  <c r="O141" i="12"/>
  <c r="P141" i="12" s="1"/>
  <c r="O145" i="12"/>
  <c r="P145" i="12" s="1"/>
  <c r="O105" i="12"/>
  <c r="P105" i="12" s="1"/>
  <c r="O234" i="12"/>
  <c r="P234" i="12" s="1"/>
  <c r="O298" i="12"/>
  <c r="P298" i="12" s="1"/>
  <c r="O195" i="12"/>
  <c r="P195" i="12" s="1"/>
  <c r="O130" i="12"/>
  <c r="P130" i="12" s="1"/>
  <c r="O297" i="12"/>
  <c r="P297" i="12" s="1"/>
  <c r="O359" i="12"/>
  <c r="P359" i="12" s="1"/>
  <c r="O158" i="12"/>
  <c r="P158" i="12" s="1"/>
  <c r="O253" i="12"/>
  <c r="P253" i="12" s="1"/>
  <c r="O143" i="12"/>
  <c r="P143" i="12" s="1"/>
  <c r="O148" i="12"/>
  <c r="P148" i="12" s="1"/>
  <c r="O368" i="12"/>
  <c r="P368" i="12" s="1"/>
  <c r="O283" i="12"/>
  <c r="P283" i="12" s="1"/>
  <c r="O119" i="12"/>
  <c r="P119" i="12" s="1"/>
  <c r="O278" i="12"/>
  <c r="P278" i="12" s="1"/>
  <c r="O172" i="12"/>
  <c r="P172" i="12" s="1"/>
  <c r="O154" i="12"/>
  <c r="P154" i="12" s="1"/>
  <c r="O307" i="12"/>
  <c r="P307" i="12" s="1"/>
  <c r="O171" i="12"/>
  <c r="P171" i="12" s="1"/>
  <c r="O202" i="12"/>
  <c r="P202" i="12" s="1"/>
  <c r="O328" i="12"/>
  <c r="P328" i="12" s="1"/>
  <c r="O108" i="12"/>
  <c r="P108" i="12" s="1"/>
  <c r="O175" i="12"/>
  <c r="P175" i="12" s="1"/>
  <c r="O267" i="12"/>
  <c r="P267" i="12" s="1"/>
  <c r="O377" i="12"/>
  <c r="P377" i="12" s="1"/>
  <c r="O238" i="12"/>
  <c r="P238" i="12" s="1"/>
  <c r="O244" i="12"/>
  <c r="P244" i="12" s="1"/>
  <c r="O218" i="12"/>
  <c r="P218" i="12" s="1"/>
  <c r="O160" i="12"/>
  <c r="P160" i="12" s="1"/>
  <c r="O183" i="12"/>
  <c r="P183" i="12" s="1"/>
  <c r="O360" i="12"/>
  <c r="P360" i="12" s="1"/>
  <c r="O163" i="12"/>
  <c r="P163" i="12" s="1"/>
  <c r="O324" i="12"/>
  <c r="P324" i="12" s="1"/>
  <c r="O338" i="12"/>
  <c r="P338" i="12" s="1"/>
  <c r="O147" i="12"/>
  <c r="P147" i="12" s="1"/>
  <c r="O356" i="12"/>
  <c r="P356" i="12" s="1"/>
  <c r="O223" i="12"/>
  <c r="P223" i="12" s="1"/>
  <c r="O304" i="12"/>
  <c r="P304" i="12" s="1"/>
  <c r="O271" i="12"/>
  <c r="P271" i="12" s="1"/>
  <c r="O311" i="12"/>
  <c r="P311" i="12" s="1"/>
  <c r="O169" i="12"/>
  <c r="P169" i="12" s="1"/>
  <c r="O84" i="12"/>
  <c r="P84" i="12" s="1"/>
  <c r="O95" i="12"/>
  <c r="P95" i="12" s="1"/>
  <c r="O335" i="12"/>
  <c r="P335" i="12" s="1"/>
  <c r="O116" i="12"/>
  <c r="P116" i="12" s="1"/>
  <c r="O98" i="12"/>
  <c r="P98" i="12" s="1"/>
  <c r="O330" i="12"/>
  <c r="P330" i="12" s="1"/>
  <c r="O102" i="12"/>
  <c r="P102" i="12" s="1"/>
  <c r="O96" i="12"/>
  <c r="P96" i="12" s="1"/>
  <c r="O337" i="12"/>
  <c r="P337" i="12" s="1"/>
  <c r="O139" i="12"/>
  <c r="P139" i="12" s="1"/>
  <c r="O339" i="12"/>
  <c r="P339" i="12" s="1"/>
  <c r="O161" i="12"/>
  <c r="P161" i="12" s="1"/>
  <c r="O228" i="12"/>
  <c r="P228" i="12" s="1"/>
  <c r="O203" i="12"/>
  <c r="P203" i="12" s="1"/>
  <c r="O153" i="12"/>
  <c r="P153" i="12" s="1"/>
  <c r="O309" i="12"/>
  <c r="P309" i="12" s="1"/>
  <c r="O232" i="12"/>
  <c r="P232" i="12" s="1"/>
  <c r="O157" i="12"/>
  <c r="P157" i="12" s="1"/>
  <c r="O351" i="12"/>
  <c r="P351" i="12" s="1"/>
  <c r="O120" i="12"/>
  <c r="P120" i="12" s="1"/>
  <c r="O196" i="12"/>
  <c r="P196" i="12" s="1"/>
  <c r="O341" i="12"/>
  <c r="P341" i="12" s="1"/>
  <c r="O260" i="12"/>
  <c r="P260" i="12" s="1"/>
  <c r="O348" i="12"/>
  <c r="P348" i="12" s="1"/>
  <c r="O110" i="12"/>
  <c r="P110" i="12" s="1"/>
  <c r="O131" i="12"/>
  <c r="P131" i="12" s="1"/>
  <c r="O88" i="12"/>
  <c r="P88" i="12" s="1"/>
  <c r="O370" i="12"/>
  <c r="P370" i="12" s="1"/>
  <c r="O369" i="12"/>
  <c r="P369" i="12" s="1"/>
  <c r="O273" i="12"/>
  <c r="P273" i="12" s="1"/>
  <c r="O137" i="12"/>
  <c r="P137" i="12" s="1"/>
  <c r="O392" i="12"/>
  <c r="P392" i="12" s="1"/>
  <c r="O151" i="12"/>
  <c r="P151" i="12" s="1"/>
  <c r="O165" i="12"/>
  <c r="P165" i="12" s="1"/>
  <c r="O318" i="12"/>
  <c r="P318" i="12" s="1"/>
  <c r="O149" i="12"/>
  <c r="P149" i="12" s="1"/>
  <c r="O393" i="12"/>
  <c r="P393" i="12" s="1"/>
  <c r="O352" i="12"/>
  <c r="P352" i="12" s="1"/>
  <c r="O210" i="12"/>
  <c r="P210" i="12" s="1"/>
  <c r="O400" i="12"/>
  <c r="P400" i="12" s="1"/>
  <c r="O276" i="12"/>
  <c r="P276" i="12" s="1"/>
  <c r="O296" i="12"/>
  <c r="P296" i="12" s="1"/>
  <c r="O87" i="12"/>
  <c r="P87" i="12" s="1"/>
  <c r="O295" i="12"/>
  <c r="P295" i="12" s="1"/>
  <c r="O364" i="12"/>
  <c r="P364" i="12" s="1"/>
  <c r="O226" i="12"/>
  <c r="P226" i="12" s="1"/>
  <c r="O173" i="12"/>
  <c r="P173" i="12" s="1"/>
  <c r="O325" i="12"/>
  <c r="P325" i="12" s="1"/>
  <c r="O167" i="12"/>
  <c r="P167" i="12" s="1"/>
  <c r="O259" i="12"/>
  <c r="P259" i="12" s="1"/>
  <c r="O263" i="12"/>
  <c r="P263" i="12" s="1"/>
  <c r="O397" i="12"/>
  <c r="P397" i="12" s="1"/>
  <c r="O306" i="12"/>
  <c r="P306" i="12" s="1"/>
  <c r="O91" i="12"/>
  <c r="P91" i="12" s="1"/>
  <c r="O182" i="12"/>
  <c r="P182" i="12" s="1"/>
  <c r="O248" i="12"/>
  <c r="P248" i="12" s="1"/>
  <c r="O245" i="12"/>
  <c r="P245" i="12" s="1"/>
  <c r="O93" i="12"/>
  <c r="P93" i="12" s="1"/>
  <c r="O229" i="12"/>
  <c r="P229" i="12" s="1"/>
  <c r="O124" i="12"/>
  <c r="P124" i="12" s="1"/>
  <c r="O89" i="12"/>
  <c r="P89" i="12" s="1"/>
  <c r="Q94" i="12"/>
  <c r="Q95" i="12" s="1"/>
  <c r="M314" i="12"/>
  <c r="M316" i="12"/>
  <c r="O394" i="12" l="1"/>
  <c r="P394" i="12" s="1"/>
  <c r="O230" i="12"/>
  <c r="P230" i="12" s="1"/>
  <c r="O188" i="12"/>
  <c r="P188" i="12" s="1"/>
  <c r="O211" i="12"/>
  <c r="P211" i="12" s="1"/>
  <c r="O358" i="12"/>
  <c r="P358" i="12" s="1"/>
  <c r="O250" i="12"/>
  <c r="P250" i="12" s="1"/>
  <c r="O300" i="12"/>
  <c r="P300" i="12" s="1"/>
  <c r="M304" i="12"/>
  <c r="O313" i="12"/>
  <c r="P313" i="12" s="1"/>
  <c r="Q96" i="12"/>
  <c r="M315" i="12"/>
  <c r="M317" i="12"/>
  <c r="M372" i="12"/>
  <c r="M307" i="12" l="1"/>
  <c r="M308" i="12" s="1"/>
  <c r="M312" i="12"/>
  <c r="M313" i="12" s="1"/>
  <c r="M305" i="12"/>
  <c r="Q97" i="12"/>
  <c r="Q98" i="12" s="1"/>
  <c r="M318" i="12"/>
  <c r="M375" i="12"/>
  <c r="Q99" i="12" l="1"/>
  <c r="Q100" i="12" s="1"/>
  <c r="Q101" i="12" s="1"/>
  <c r="M320" i="12"/>
  <c r="M323" i="12" s="1"/>
  <c r="M321" i="12"/>
  <c r="M319" i="12"/>
  <c r="M322" i="12" s="1"/>
  <c r="Q102" i="12" l="1"/>
  <c r="Q103" i="12" s="1"/>
  <c r="Q104" i="12" s="1"/>
  <c r="M324" i="12"/>
  <c r="Q105" i="12" l="1"/>
  <c r="Q106" i="12" s="1"/>
  <c r="M325" i="12"/>
  <c r="M327" i="12" s="1"/>
  <c r="M328" i="12" s="1"/>
  <c r="M326" i="12"/>
  <c r="M329" i="12" s="1"/>
  <c r="M331" i="12" l="1"/>
  <c r="Q107" i="12"/>
  <c r="M330" i="12"/>
  <c r="M332" i="12" l="1"/>
  <c r="Q108" i="12"/>
  <c r="M333" i="12" l="1"/>
  <c r="M334" i="12"/>
  <c r="Q109" i="12"/>
  <c r="M344" i="12"/>
  <c r="M345" i="12" s="1"/>
  <c r="M348" i="12"/>
  <c r="M335" i="12" l="1"/>
  <c r="M336" i="12"/>
  <c r="M337" i="12" s="1"/>
  <c r="Q110" i="12"/>
  <c r="M338" i="12" l="1"/>
  <c r="Q111" i="12"/>
  <c r="M351" i="12"/>
  <c r="M339" i="12" l="1"/>
  <c r="Q112" i="12"/>
  <c r="M352" i="12"/>
  <c r="O21" i="12"/>
  <c r="P21" i="12" s="1"/>
  <c r="S38" i="12" s="1"/>
  <c r="M340" i="12" l="1"/>
  <c r="Q113" i="12"/>
  <c r="M354" i="12"/>
  <c r="M355" i="12" s="1"/>
  <c r="M358" i="12"/>
  <c r="O23" i="12" s="1"/>
  <c r="P23" i="12" s="1"/>
  <c r="S40" i="12" s="1"/>
  <c r="M359" i="12"/>
  <c r="O5" i="12"/>
  <c r="P5" i="12" s="1"/>
  <c r="O7" i="12"/>
  <c r="P7" i="12" s="1"/>
  <c r="S24" i="12" s="1"/>
  <c r="O9" i="12"/>
  <c r="P9" i="12" s="1"/>
  <c r="S26" i="12" s="1"/>
  <c r="O13" i="12"/>
  <c r="P13" i="12" s="1"/>
  <c r="S30" i="12" s="1"/>
  <c r="O30" i="12"/>
  <c r="P30" i="12" s="1"/>
  <c r="S47" i="12" s="1"/>
  <c r="O11" i="12"/>
  <c r="P11" i="12" s="1"/>
  <c r="S28" i="12" s="1"/>
  <c r="O3" i="12"/>
  <c r="O10" i="12"/>
  <c r="P10" i="12" s="1"/>
  <c r="S27" i="12" s="1"/>
  <c r="O34" i="12"/>
  <c r="P34" i="12" s="1"/>
  <c r="S51" i="12" s="1"/>
  <c r="O22" i="12"/>
  <c r="P22" i="12" s="1"/>
  <c r="S39" i="12" s="1"/>
  <c r="O14" i="12"/>
  <c r="P14" i="12" s="1"/>
  <c r="S31" i="12" s="1"/>
  <c r="O27" i="12"/>
  <c r="P27" i="12" s="1"/>
  <c r="S44" i="12" s="1"/>
  <c r="O4" i="12"/>
  <c r="P4" i="12" s="1"/>
  <c r="O8" i="12"/>
  <c r="P8" i="12" s="1"/>
  <c r="S25" i="12" s="1"/>
  <c r="O33" i="12"/>
  <c r="P33" i="12" s="1"/>
  <c r="S50" i="12" s="1"/>
  <c r="O18" i="12"/>
  <c r="P18" i="12" s="1"/>
  <c r="S35" i="12" s="1"/>
  <c r="O17" i="12"/>
  <c r="P17" i="12" s="1"/>
  <c r="S34" i="12" s="1"/>
  <c r="O15" i="12"/>
  <c r="P15" i="12" s="1"/>
  <c r="S32" i="12" s="1"/>
  <c r="O24" i="12"/>
  <c r="P24" i="12" s="1"/>
  <c r="S41" i="12" s="1"/>
  <c r="O26" i="12"/>
  <c r="P26" i="12" s="1"/>
  <c r="S43" i="12" s="1"/>
  <c r="O25" i="12"/>
  <c r="P25" i="12" s="1"/>
  <c r="S42" i="12" s="1"/>
  <c r="O31" i="12"/>
  <c r="P31" i="12" s="1"/>
  <c r="S48" i="12" s="1"/>
  <c r="O19" i="12"/>
  <c r="P19" i="12" s="1"/>
  <c r="S36" i="12" s="1"/>
  <c r="O32" i="12"/>
  <c r="P32" i="12" s="1"/>
  <c r="S49" i="12" s="1"/>
  <c r="O20" i="12"/>
  <c r="P20" i="12" s="1"/>
  <c r="S37" i="12" s="1"/>
  <c r="O6" i="12"/>
  <c r="P6" i="12" s="1"/>
  <c r="S23" i="12" s="1"/>
  <c r="O16" i="12"/>
  <c r="P16" i="12" s="1"/>
  <c r="S33" i="12" s="1"/>
  <c r="O29" i="12"/>
  <c r="P29" i="12" s="1"/>
  <c r="S46" i="12" s="1"/>
  <c r="O12" i="12"/>
  <c r="P12" i="12" s="1"/>
  <c r="S29" i="12" s="1"/>
  <c r="M341" i="12" l="1"/>
  <c r="M342" i="12" s="1"/>
  <c r="M343" i="12"/>
  <c r="M357" i="12"/>
  <c r="O28" i="12" s="1"/>
  <c r="P28" i="12" s="1"/>
  <c r="S45" i="12" s="1"/>
  <c r="Q114" i="12"/>
  <c r="M361" i="12"/>
  <c r="S22" i="12"/>
  <c r="S21" i="12"/>
  <c r="P3" i="12"/>
  <c r="AI9" i="12" s="1"/>
  <c r="M347" i="12" l="1"/>
  <c r="M346" i="12"/>
  <c r="M360" i="12"/>
  <c r="Q115" i="12"/>
  <c r="M362" i="12"/>
  <c r="S20" i="12"/>
  <c r="R20" i="12" s="1"/>
  <c r="AI4" i="12"/>
  <c r="AI8" i="12"/>
  <c r="AI5" i="12"/>
  <c r="AI3" i="12"/>
  <c r="AI6" i="12"/>
  <c r="AI7" i="12"/>
  <c r="AI11" i="12"/>
  <c r="AI10" i="12"/>
  <c r="M349" i="12" l="1"/>
  <c r="M350" i="12"/>
  <c r="M363" i="12"/>
  <c r="Q116" i="12"/>
  <c r="M364" i="12"/>
  <c r="M365" i="12"/>
  <c r="R21" i="12"/>
  <c r="M353" i="12" l="1"/>
  <c r="M356" i="12" s="1"/>
  <c r="Q117" i="12"/>
  <c r="M366" i="12"/>
  <c r="M367" i="12" s="1"/>
  <c r="M370" i="12"/>
  <c r="R22" i="12"/>
  <c r="M368" i="12"/>
  <c r="M369" i="12" s="1"/>
  <c r="Q118" i="12" l="1"/>
  <c r="M373" i="12"/>
  <c r="M376" i="12" s="1"/>
  <c r="R23" i="12"/>
  <c r="M371" i="12"/>
  <c r="Q119" i="12" l="1"/>
  <c r="M379" i="12"/>
  <c r="M377" i="12"/>
  <c r="R24" i="12"/>
  <c r="AD53" i="12"/>
  <c r="AH51" i="12"/>
  <c r="AE39" i="12"/>
  <c r="AH46" i="12"/>
  <c r="AG40" i="12"/>
  <c r="AC63" i="12"/>
  <c r="AE49" i="12"/>
  <c r="AC54" i="12"/>
  <c r="AF45" i="12"/>
  <c r="AC64" i="12"/>
  <c r="AE52" i="12"/>
  <c r="AF42" i="12"/>
  <c r="AB54" i="12"/>
  <c r="AB44" i="12"/>
  <c r="AD58" i="12"/>
  <c r="AB48" i="12"/>
  <c r="AH64" i="12"/>
  <c r="AH50" i="12"/>
  <c r="AD45" i="12"/>
  <c r="AE46" i="12"/>
  <c r="AH42" i="12"/>
  <c r="AF48" i="12"/>
  <c r="AH47" i="12"/>
  <c r="AG54" i="12"/>
  <c r="AE48" i="12"/>
  <c r="AC45" i="12"/>
  <c r="AB53" i="12"/>
  <c r="AD44" i="12"/>
  <c r="AB39" i="12"/>
  <c r="AG64" i="12"/>
  <c r="AD52" i="12"/>
  <c r="AB41" i="12"/>
  <c r="AF50" i="12"/>
  <c r="AF41" i="12"/>
  <c r="AE44" i="12"/>
  <c r="AB52" i="12"/>
  <c r="AC52" i="12"/>
  <c r="AG46" i="12"/>
  <c r="AG51" i="12"/>
  <c r="AE37" i="12"/>
  <c r="AE54" i="12"/>
  <c r="AF54" i="12"/>
  <c r="AD51" i="12"/>
  <c r="AD40" i="12"/>
  <c r="AF46" i="12"/>
  <c r="AE65" i="12"/>
  <c r="AG42" i="12"/>
  <c r="AD42" i="12"/>
  <c r="AH54" i="12"/>
  <c r="AH44" i="12"/>
  <c r="AF43" i="12"/>
  <c r="AE38" i="12"/>
  <c r="AG39" i="12"/>
  <c r="AF44" i="12"/>
  <c r="AB42" i="12"/>
  <c r="AC46" i="12"/>
  <c r="AC62" i="12"/>
  <c r="A69" i="2" s="1"/>
  <c r="AE41" i="12"/>
  <c r="AD54" i="12"/>
  <c r="AF49" i="12"/>
  <c r="AB63" i="12"/>
  <c r="AD63" i="12"/>
  <c r="AD46" i="12"/>
  <c r="AG45" i="12"/>
  <c r="AH39" i="12"/>
  <c r="AF52" i="12"/>
  <c r="AG63" i="12"/>
  <c r="AF51" i="12"/>
  <c r="AD41" i="12"/>
  <c r="AG48" i="12"/>
  <c r="AD50" i="12"/>
  <c r="AH61" i="12"/>
  <c r="AH53" i="12"/>
  <c r="AC55" i="12"/>
  <c r="A62" i="2" s="1"/>
  <c r="AC42" i="12"/>
  <c r="AC61" i="12"/>
  <c r="A68" i="2" s="1"/>
  <c r="AF39" i="12"/>
  <c r="AC41" i="12"/>
  <c r="AG38" i="12"/>
  <c r="AG62" i="12"/>
  <c r="AG43" i="12"/>
  <c r="AH49" i="12"/>
  <c r="AF53" i="12"/>
  <c r="AB43" i="12"/>
  <c r="AC37" i="12"/>
  <c r="AB37" i="12"/>
  <c r="AC53" i="12"/>
  <c r="AE43" i="12"/>
  <c r="AE51" i="12"/>
  <c r="AD38" i="12"/>
  <c r="AH43" i="12"/>
  <c r="AD48" i="12"/>
  <c r="AG47" i="12"/>
  <c r="AH65" i="12"/>
  <c r="AC38" i="12"/>
  <c r="AC40" i="12"/>
  <c r="AG37" i="12"/>
  <c r="AB38" i="12"/>
  <c r="AC39" i="12"/>
  <c r="AH40" i="12"/>
  <c r="AB47" i="12"/>
  <c r="AE50" i="12"/>
  <c r="AF37" i="12"/>
  <c r="AD43" i="12"/>
  <c r="AH37" i="12"/>
  <c r="AG57" i="12"/>
  <c r="AB51" i="12"/>
  <c r="AF47" i="12"/>
  <c r="AC50" i="12"/>
  <c r="AE42" i="12"/>
  <c r="AD56" i="12"/>
  <c r="AC43" i="12"/>
  <c r="AH48" i="12"/>
  <c r="AC49" i="12"/>
  <c r="AH63" i="12"/>
  <c r="AG44" i="12"/>
  <c r="AF65" i="12"/>
  <c r="AB49" i="12"/>
  <c r="AE40" i="12"/>
  <c r="AH38" i="12"/>
  <c r="AE64" i="12"/>
  <c r="AD39" i="12"/>
  <c r="AG52" i="12"/>
  <c r="AH41" i="12"/>
  <c r="AE47" i="12"/>
  <c r="AH45" i="12"/>
  <c r="AC44" i="12"/>
  <c r="AC47" i="12"/>
  <c r="AC56" i="12"/>
  <c r="A63" i="2" s="1"/>
  <c r="AG41" i="12"/>
  <c r="AB64" i="12"/>
  <c r="AD37" i="12"/>
  <c r="AD49" i="12"/>
  <c r="AB40" i="12"/>
  <c r="AG50" i="12"/>
  <c r="AF40" i="12"/>
  <c r="AB46" i="12"/>
  <c r="AE53" i="12"/>
  <c r="AE45" i="12"/>
  <c r="AF64" i="12"/>
  <c r="AB50" i="12"/>
  <c r="AB57" i="12"/>
  <c r="AD55" i="12"/>
  <c r="AC58" i="12"/>
  <c r="AF56" i="12"/>
  <c r="AF55" i="12"/>
  <c r="AH56" i="12"/>
  <c r="AE55" i="12"/>
  <c r="AB55" i="12"/>
  <c r="AB56" i="12"/>
  <c r="AH55" i="12"/>
  <c r="AG56" i="12"/>
  <c r="AH57" i="12"/>
  <c r="AD57" i="12"/>
  <c r="AE56" i="12"/>
  <c r="AC57" i="12"/>
  <c r="AG59" i="12"/>
  <c r="AG58" i="12"/>
  <c r="AF57" i="12"/>
  <c r="AE57" i="12"/>
  <c r="AC59" i="12"/>
  <c r="AE58" i="12"/>
  <c r="AF59" i="12"/>
  <c r="AH58" i="12"/>
  <c r="AF58" i="12"/>
  <c r="AE59" i="12"/>
  <c r="AH60" i="12"/>
  <c r="AD59" i="12"/>
  <c r="AH59" i="12"/>
  <c r="AH62" i="12"/>
  <c r="AB62" i="12"/>
  <c r="AJ67" i="12"/>
  <c r="AJ27" i="12"/>
  <c r="AJ40" i="12"/>
  <c r="AJ15" i="12"/>
  <c r="AJ41" i="12"/>
  <c r="AJ28" i="12"/>
  <c r="AJ14" i="12"/>
  <c r="AJ30" i="12"/>
  <c r="AJ101" i="12"/>
  <c r="AJ37" i="12"/>
  <c r="AJ10" i="12"/>
  <c r="AJ44" i="12"/>
  <c r="AJ13" i="12"/>
  <c r="AJ29" i="12"/>
  <c r="AJ103" i="12"/>
  <c r="AJ62" i="12"/>
  <c r="AJ65" i="12"/>
  <c r="AJ25" i="12"/>
  <c r="AJ36" i="12"/>
  <c r="AJ12" i="12"/>
  <c r="AJ39" i="12"/>
  <c r="AJ68" i="12"/>
  <c r="AJ26" i="12"/>
  <c r="AJ102" i="12"/>
  <c r="AJ100" i="12"/>
  <c r="AJ38" i="12"/>
  <c r="AJ20" i="12"/>
  <c r="AJ24" i="12"/>
  <c r="AJ22" i="12"/>
  <c r="AJ45" i="12"/>
  <c r="AJ43" i="12"/>
  <c r="AJ31" i="12"/>
  <c r="AJ42" i="12"/>
  <c r="AJ17" i="12"/>
  <c r="AJ16" i="12"/>
  <c r="AJ32" i="12"/>
  <c r="AJ23" i="12"/>
  <c r="AJ18" i="12"/>
  <c r="AJ19" i="12"/>
  <c r="AJ66" i="12"/>
  <c r="AJ46" i="12"/>
  <c r="AJ21" i="12"/>
  <c r="AJ33" i="12"/>
  <c r="AJ35" i="12"/>
  <c r="AJ34" i="12"/>
  <c r="AH29" i="12"/>
  <c r="AH22" i="12"/>
  <c r="AC29" i="12"/>
  <c r="AG25" i="12"/>
  <c r="AB27" i="12"/>
  <c r="AF27" i="12"/>
  <c r="AB28" i="12"/>
  <c r="AE24" i="12"/>
  <c r="AB22" i="12"/>
  <c r="AF23" i="12"/>
  <c r="AH27" i="12"/>
  <c r="AB24" i="12"/>
  <c r="AG19" i="12"/>
  <c r="AD18" i="12"/>
  <c r="AE26" i="12"/>
  <c r="AH24" i="12"/>
  <c r="AD20" i="12"/>
  <c r="AE23" i="12"/>
  <c r="AC18" i="12"/>
  <c r="AG23" i="12"/>
  <c r="AH30" i="12"/>
  <c r="AC28" i="12"/>
  <c r="AG20" i="12"/>
  <c r="AF24" i="12"/>
  <c r="AB25" i="12"/>
  <c r="AE21" i="12"/>
  <c r="AC22" i="12"/>
  <c r="AH28" i="12"/>
  <c r="AF19" i="12"/>
  <c r="AD28" i="12"/>
  <c r="AC25" i="12"/>
  <c r="AD29" i="12"/>
  <c r="AF21" i="12"/>
  <c r="AB30" i="12"/>
  <c r="AG28" i="12"/>
  <c r="AE27" i="12"/>
  <c r="AC20" i="12"/>
  <c r="AG27" i="12"/>
  <c r="AH25" i="12"/>
  <c r="AB21" i="12"/>
  <c r="AF20" i="12"/>
  <c r="AC23" i="12"/>
  <c r="AB29" i="12"/>
  <c r="AB20" i="12"/>
  <c r="AG30" i="12"/>
  <c r="AE28" i="12"/>
  <c r="AE29" i="12"/>
  <c r="AF28" i="12"/>
  <c r="AD26" i="12"/>
  <c r="AF29" i="12"/>
  <c r="AE30" i="12"/>
  <c r="AF26" i="12"/>
  <c r="AC24" i="12"/>
  <c r="AE20" i="12"/>
  <c r="AH19" i="12"/>
  <c r="AG29" i="12"/>
  <c r="AD23" i="12"/>
  <c r="AF25" i="12"/>
  <c r="AE22" i="12"/>
  <c r="AB26" i="12"/>
  <c r="AG24" i="12"/>
  <c r="AD30" i="12"/>
  <c r="AD27" i="12"/>
  <c r="AC21" i="12"/>
  <c r="AD21" i="12"/>
  <c r="AD22" i="12"/>
  <c r="AD25" i="12"/>
  <c r="AB23" i="12"/>
  <c r="AG21" i="12"/>
  <c r="AF22" i="12"/>
  <c r="AE25" i="12"/>
  <c r="AC27" i="12"/>
  <c r="AG22" i="12"/>
  <c r="AC26" i="12"/>
  <c r="AH26" i="12"/>
  <c r="AC60" i="12"/>
  <c r="AB60" i="12"/>
  <c r="AB59" i="12"/>
  <c r="AD60" i="12"/>
  <c r="AF60" i="12"/>
  <c r="AE60" i="12"/>
  <c r="AG60" i="12"/>
  <c r="AF62" i="12"/>
  <c r="AE62" i="12"/>
  <c r="AD62" i="12"/>
  <c r="AG61" i="12"/>
  <c r="AF61" i="12"/>
  <c r="AB61" i="12"/>
  <c r="AD61" i="12"/>
  <c r="AE61" i="12"/>
  <c r="AE63" i="12"/>
  <c r="AF63" i="12"/>
  <c r="AD65" i="12"/>
  <c r="AB94" i="12"/>
  <c r="AF85" i="12"/>
  <c r="AE88" i="12"/>
  <c r="AH93" i="12"/>
  <c r="AF90" i="12"/>
  <c r="AC102" i="12"/>
  <c r="AD92" i="12"/>
  <c r="AF75" i="12"/>
  <c r="AG89" i="12"/>
  <c r="AE90" i="12"/>
  <c r="AE93" i="12"/>
  <c r="AD74" i="12"/>
  <c r="AB83" i="12"/>
  <c r="AH97" i="12"/>
  <c r="AH94" i="12"/>
  <c r="AB87" i="12"/>
  <c r="AE99" i="12"/>
  <c r="AB92" i="12"/>
  <c r="AE83" i="12"/>
  <c r="AC97" i="12"/>
  <c r="AD88" i="12"/>
  <c r="AF92" i="12"/>
  <c r="AG85" i="12"/>
  <c r="AB74" i="12"/>
  <c r="AC94" i="12"/>
  <c r="AC76" i="12"/>
  <c r="AF100" i="12"/>
  <c r="AF83" i="12"/>
  <c r="AE70" i="12"/>
  <c r="AB103" i="12"/>
  <c r="AE69" i="12"/>
  <c r="AC65" i="12"/>
  <c r="AF97" i="12"/>
  <c r="AC69" i="12"/>
  <c r="AC84" i="12"/>
  <c r="AF71" i="12"/>
  <c r="AB77" i="12"/>
  <c r="AH102" i="12"/>
  <c r="AD68" i="12"/>
  <c r="AD66" i="12"/>
  <c r="AC87" i="12"/>
  <c r="AF99" i="12"/>
  <c r="AD86" i="12"/>
  <c r="AF101" i="12"/>
  <c r="AD87" i="12"/>
  <c r="AE91" i="12"/>
  <c r="AE66" i="12"/>
  <c r="AB99" i="12"/>
  <c r="AC68" i="12"/>
  <c r="AC81" i="12"/>
  <c r="AC75" i="12"/>
  <c r="AG74" i="12"/>
  <c r="AD73" i="12"/>
  <c r="AD71" i="12"/>
  <c r="AF77" i="12"/>
  <c r="AB85" i="12"/>
  <c r="AD83" i="12"/>
  <c r="AB96" i="12"/>
  <c r="AB98" i="12"/>
  <c r="AG100" i="12"/>
  <c r="AD84" i="12"/>
  <c r="AB68" i="12"/>
  <c r="AH66" i="12"/>
  <c r="AE84" i="12"/>
  <c r="AE102" i="12"/>
  <c r="AD85" i="12"/>
  <c r="AE72" i="12"/>
  <c r="AC66" i="12"/>
  <c r="AG82" i="12"/>
  <c r="AE74" i="12"/>
  <c r="AF68" i="12"/>
  <c r="AG94" i="12"/>
  <c r="AF72" i="12"/>
  <c r="AH88" i="12"/>
  <c r="AG77" i="12"/>
  <c r="AD81" i="12"/>
  <c r="AC96" i="12"/>
  <c r="AB67" i="12"/>
  <c r="AB101" i="12"/>
  <c r="AB65" i="12"/>
  <c r="AF76" i="12"/>
  <c r="AE89" i="12"/>
  <c r="AG103" i="12"/>
  <c r="AF95" i="12"/>
  <c r="AG93" i="12"/>
  <c r="AG86" i="12"/>
  <c r="AF89" i="12"/>
  <c r="AD101" i="12"/>
  <c r="AG84" i="12"/>
  <c r="AH67" i="12"/>
  <c r="AG96" i="12"/>
  <c r="AF70" i="12"/>
  <c r="AE85" i="12"/>
  <c r="AE78" i="12"/>
  <c r="AE71" i="12"/>
  <c r="AD102" i="12"/>
  <c r="AE82" i="12"/>
  <c r="AE75" i="12"/>
  <c r="AC74" i="12"/>
  <c r="AH90" i="12"/>
  <c r="AH69" i="12"/>
  <c r="AE80" i="12"/>
  <c r="AE73" i="12"/>
  <c r="AG101" i="12"/>
  <c r="AF86" i="12"/>
  <c r="AF82" i="12"/>
  <c r="AE87" i="12"/>
  <c r="AG81" i="12"/>
  <c r="AB91" i="12"/>
  <c r="AD76" i="12"/>
  <c r="AF93" i="12"/>
  <c r="AB80" i="12"/>
  <c r="AE81" i="12"/>
  <c r="AF88" i="12"/>
  <c r="AB73" i="12"/>
  <c r="AG99" i="12"/>
  <c r="AH75" i="12"/>
  <c r="AG90" i="12"/>
  <c r="AB93" i="12"/>
  <c r="AG75" i="12"/>
  <c r="AH68" i="12"/>
  <c r="AH89" i="12"/>
  <c r="AD69" i="12"/>
  <c r="AE98" i="12"/>
  <c r="AC91" i="12"/>
  <c r="AG97" i="12"/>
  <c r="AF79" i="12"/>
  <c r="AH98" i="12"/>
  <c r="AD94" i="12"/>
  <c r="AF94" i="12"/>
  <c r="AH87" i="12"/>
  <c r="AE67" i="12"/>
  <c r="AC86" i="12"/>
  <c r="AB89" i="12"/>
  <c r="AD70" i="12"/>
  <c r="AC98" i="12"/>
  <c r="AD79" i="12"/>
  <c r="AD82" i="12"/>
  <c r="AB79" i="12"/>
  <c r="AF96" i="12"/>
  <c r="AB97" i="12"/>
  <c r="AC99" i="12"/>
  <c r="AH99" i="12"/>
  <c r="AH80" i="12"/>
  <c r="AF91" i="12"/>
  <c r="AC89" i="12"/>
  <c r="AG80" i="12"/>
  <c r="AF84" i="12"/>
  <c r="AH86" i="12"/>
  <c r="AH92" i="12"/>
  <c r="AB72" i="12"/>
  <c r="AH101" i="12"/>
  <c r="AG87" i="12"/>
  <c r="AB75" i="12"/>
  <c r="AD77" i="12"/>
  <c r="AD90" i="12"/>
  <c r="AC100" i="12"/>
  <c r="AC71" i="12"/>
  <c r="AH78" i="12"/>
  <c r="AH95" i="12"/>
  <c r="AB82" i="12"/>
  <c r="AF66" i="12"/>
  <c r="AF102" i="12"/>
  <c r="AH77" i="12"/>
  <c r="AD75" i="12"/>
  <c r="AG92" i="12"/>
  <c r="AD72" i="12"/>
  <c r="AH100" i="12"/>
  <c r="AF73" i="12"/>
  <c r="AC73" i="12"/>
  <c r="AC92" i="12"/>
  <c r="AF103" i="12"/>
  <c r="AG91" i="12"/>
  <c r="AC79" i="12"/>
  <c r="AC78" i="12"/>
  <c r="AB69" i="12"/>
  <c r="AD100" i="12"/>
  <c r="AC85" i="12"/>
  <c r="AB102" i="12"/>
  <c r="AG73" i="12"/>
  <c r="AG68" i="12"/>
  <c r="AD89" i="12"/>
  <c r="AG79" i="12"/>
  <c r="AG102" i="12"/>
  <c r="AB90" i="12"/>
  <c r="AC67" i="12"/>
  <c r="AB71" i="12"/>
  <c r="AF74" i="12"/>
  <c r="AG88" i="12"/>
  <c r="AD99" i="12"/>
  <c r="AB66" i="12"/>
  <c r="AE97" i="12"/>
  <c r="AE92" i="12"/>
  <c r="AB81" i="12"/>
  <c r="AC80" i="12"/>
  <c r="AE77" i="12"/>
  <c r="AD93" i="12"/>
  <c r="AD91" i="12"/>
  <c r="AG70" i="12"/>
  <c r="AE96" i="12"/>
  <c r="AD80" i="12"/>
  <c r="AH81" i="12"/>
  <c r="AE68" i="12"/>
  <c r="AF67" i="12"/>
  <c r="AF80" i="12"/>
  <c r="AG72" i="12"/>
  <c r="AD67" i="12"/>
  <c r="AD103" i="12"/>
  <c r="AH73" i="12"/>
  <c r="AE103" i="12"/>
  <c r="AD98" i="12"/>
  <c r="AD97" i="12"/>
  <c r="AF81" i="12"/>
  <c r="AG78" i="12"/>
  <c r="AD78" i="12"/>
  <c r="AH79" i="12"/>
  <c r="AC101" i="12"/>
  <c r="AC82" i="12"/>
  <c r="AH71" i="12"/>
  <c r="AH76" i="12"/>
  <c r="AE79" i="12"/>
  <c r="AF87" i="12"/>
  <c r="AB100" i="12"/>
  <c r="AH96" i="12"/>
  <c r="AG98" i="12"/>
  <c r="AC88" i="12"/>
  <c r="AG66" i="12"/>
  <c r="AH91" i="12"/>
  <c r="AF98" i="12"/>
  <c r="AD95" i="12"/>
  <c r="AH103" i="12"/>
  <c r="AH85" i="12"/>
  <c r="AE86" i="12"/>
  <c r="AE101" i="12"/>
  <c r="AG95" i="12"/>
  <c r="AC72" i="12"/>
  <c r="AG83" i="12"/>
  <c r="AC93" i="12"/>
  <c r="AB86" i="12"/>
  <c r="AF78" i="12"/>
  <c r="AC103" i="12"/>
  <c r="AE76" i="12"/>
  <c r="AH72" i="12"/>
  <c r="AB70" i="12"/>
  <c r="AH70" i="12"/>
  <c r="AD96" i="12"/>
  <c r="AG71" i="12"/>
  <c r="AE95" i="12"/>
  <c r="AB76" i="12"/>
  <c r="AG67" i="12"/>
  <c r="AG76" i="12"/>
  <c r="AB88" i="12"/>
  <c r="AC83" i="12"/>
  <c r="AB78" i="12"/>
  <c r="AF69" i="12"/>
  <c r="AH74" i="12"/>
  <c r="AH84" i="12"/>
  <c r="AG69" i="12"/>
  <c r="AC70" i="12"/>
  <c r="AE94" i="12"/>
  <c r="AE100" i="12"/>
  <c r="AH83" i="12"/>
  <c r="AH82" i="12"/>
  <c r="AC90" i="12"/>
  <c r="AC95" i="12"/>
  <c r="AC77" i="12"/>
  <c r="AB95" i="12"/>
  <c r="AB84" i="12"/>
  <c r="B106" i="13"/>
  <c r="B107" i="13"/>
  <c r="B101" i="13"/>
  <c r="B104" i="13"/>
  <c r="B105" i="13"/>
  <c r="B108" i="13"/>
  <c r="B99" i="13"/>
  <c r="B93" i="13"/>
  <c r="B89" i="13"/>
  <c r="B95" i="13"/>
  <c r="B91" i="13"/>
  <c r="B97" i="13"/>
  <c r="B92" i="13"/>
  <c r="B94" i="13"/>
  <c r="B96" i="13"/>
  <c r="B100" i="13"/>
  <c r="B102" i="13"/>
  <c r="B103" i="13"/>
  <c r="B90" i="13"/>
  <c r="B98" i="13"/>
  <c r="M378" i="12" l="1"/>
  <c r="AA55" i="12"/>
  <c r="AI55" i="12" s="1"/>
  <c r="EL89" i="12"/>
  <c r="Q120" i="12"/>
  <c r="M380" i="12"/>
  <c r="R25" i="12"/>
  <c r="DY236" i="12"/>
  <c r="DY237" i="12"/>
  <c r="EQ139" i="12"/>
  <c r="ER139" i="12" s="1"/>
  <c r="ES139" i="12" s="1"/>
  <c r="EQ138" i="12"/>
  <c r="ER138" i="12" s="1"/>
  <c r="ES138" i="12" s="1"/>
  <c r="EQ301" i="12"/>
  <c r="EQ302" i="12"/>
  <c r="ER302" i="12" s="1"/>
  <c r="ES302" i="12" s="1"/>
  <c r="EQ144" i="12"/>
  <c r="ER144" i="12" s="1"/>
  <c r="ES144" i="12" s="1"/>
  <c r="AA56" i="12"/>
  <c r="AI56" i="12" s="1"/>
  <c r="AA62" i="12"/>
  <c r="AI62" i="12" s="1"/>
  <c r="AA61" i="12"/>
  <c r="AI61" i="12" s="1"/>
  <c r="EL62" i="12"/>
  <c r="EL63" i="12"/>
  <c r="EL50" i="12"/>
  <c r="AA50" i="12"/>
  <c r="AI50" i="12" s="1"/>
  <c r="A57" i="2"/>
  <c r="EL37" i="12"/>
  <c r="A44" i="2"/>
  <c r="AA37" i="12"/>
  <c r="AI37" i="12" s="1"/>
  <c r="A59" i="2"/>
  <c r="EL52" i="12"/>
  <c r="AA52" i="12"/>
  <c r="AI52" i="12" s="1"/>
  <c r="AA49" i="12"/>
  <c r="AI49" i="12" s="1"/>
  <c r="A56" i="2"/>
  <c r="EL41" i="12"/>
  <c r="A48" i="2"/>
  <c r="AA41" i="12"/>
  <c r="AI41" i="12" s="1"/>
  <c r="A52" i="2"/>
  <c r="EL45" i="12"/>
  <c r="A71" i="2"/>
  <c r="AA64" i="12"/>
  <c r="AI64" i="12" s="1"/>
  <c r="EL64" i="12"/>
  <c r="AA63" i="12"/>
  <c r="AI63" i="12" s="1"/>
  <c r="A70" i="2"/>
  <c r="EL44" i="12"/>
  <c r="AA44" i="12"/>
  <c r="AI44" i="12" s="1"/>
  <c r="A51" i="2"/>
  <c r="EL39" i="12"/>
  <c r="A46" i="2"/>
  <c r="AA39" i="12"/>
  <c r="AI39" i="12" s="1"/>
  <c r="A45" i="2"/>
  <c r="EL38" i="12"/>
  <c r="AA38" i="12"/>
  <c r="AI38" i="12" s="1"/>
  <c r="A60" i="2"/>
  <c r="AA53" i="12"/>
  <c r="AI53" i="12" s="1"/>
  <c r="EL42" i="12"/>
  <c r="AA42" i="12"/>
  <c r="AI42" i="12" s="1"/>
  <c r="A49" i="2"/>
  <c r="EL47" i="12"/>
  <c r="AA47" i="12"/>
  <c r="AI47" i="12" s="1"/>
  <c r="A54" i="2"/>
  <c r="A50" i="2"/>
  <c r="AA43" i="12"/>
  <c r="AI43" i="12" s="1"/>
  <c r="EL43" i="12"/>
  <c r="A47" i="2"/>
  <c r="AA40" i="12"/>
  <c r="AI40" i="12" s="1"/>
  <c r="EL40" i="12"/>
  <c r="A53" i="2"/>
  <c r="EL46" i="12"/>
  <c r="AA46" i="12"/>
  <c r="AI46" i="12" s="1"/>
  <c r="EL54" i="12"/>
  <c r="AA54" i="12"/>
  <c r="AI54" i="12" s="1"/>
  <c r="A61" i="2"/>
  <c r="EL83" i="12"/>
  <c r="EL61" i="12"/>
  <c r="EL88" i="12"/>
  <c r="EL82" i="12"/>
  <c r="EL90" i="12"/>
  <c r="EL77" i="12"/>
  <c r="EL103" i="12"/>
  <c r="EL79" i="12"/>
  <c r="EL93" i="12"/>
  <c r="EL72" i="12"/>
  <c r="EL85" i="12"/>
  <c r="EL99" i="12"/>
  <c r="EL27" i="12"/>
  <c r="EL80" i="12"/>
  <c r="EL67" i="12"/>
  <c r="EL20" i="12"/>
  <c r="EL70" i="12"/>
  <c r="EL100" i="12"/>
  <c r="EL74" i="12"/>
  <c r="EL81" i="12"/>
  <c r="EL69" i="12"/>
  <c r="EL94" i="12"/>
  <c r="EL23" i="12"/>
  <c r="EL28" i="12"/>
  <c r="EL59" i="12"/>
  <c r="EL101" i="12"/>
  <c r="EL73" i="12"/>
  <c r="EL71" i="12"/>
  <c r="EL98" i="12"/>
  <c r="EL76" i="12"/>
  <c r="EL102" i="12"/>
  <c r="EL60" i="12"/>
  <c r="EL25" i="12"/>
  <c r="EL22" i="12"/>
  <c r="EL29" i="12"/>
  <c r="EL95" i="12"/>
  <c r="EL78" i="12"/>
  <c r="EL92" i="12"/>
  <c r="EL86" i="12"/>
  <c r="EL91" i="12"/>
  <c r="EL75" i="12"/>
  <c r="EL21" i="12"/>
  <c r="EL56" i="12"/>
  <c r="EL96" i="12"/>
  <c r="EL66" i="12"/>
  <c r="EL68" i="12"/>
  <c r="EL87" i="12"/>
  <c r="EL84" i="12"/>
  <c r="EL97" i="12"/>
  <c r="EL24" i="12"/>
  <c r="EL57" i="12"/>
  <c r="EL58" i="12"/>
  <c r="EQ85" i="12"/>
  <c r="EQ83" i="12"/>
  <c r="EQ102" i="12"/>
  <c r="EQ100" i="12"/>
  <c r="EQ101" i="12"/>
  <c r="EQ98" i="12"/>
  <c r="EQ88" i="12"/>
  <c r="EQ91" i="12"/>
  <c r="EQ90" i="12"/>
  <c r="EQ89" i="12"/>
  <c r="EQ92" i="12"/>
  <c r="EQ99" i="12"/>
  <c r="EQ87" i="12"/>
  <c r="EQ94" i="12"/>
  <c r="EQ86" i="12"/>
  <c r="EQ96" i="12"/>
  <c r="EQ97" i="12"/>
  <c r="EQ95" i="12"/>
  <c r="EQ84" i="12"/>
  <c r="EQ93" i="12"/>
  <c r="A97" i="2"/>
  <c r="A100" i="2"/>
  <c r="A79" i="2"/>
  <c r="A108" i="2"/>
  <c r="A80" i="2"/>
  <c r="A78" i="2"/>
  <c r="A105" i="2"/>
  <c r="A72" i="2"/>
  <c r="A83" i="2"/>
  <c r="A109" i="2"/>
  <c r="A67" i="2"/>
  <c r="A32" i="2"/>
  <c r="A29" i="2"/>
  <c r="A36" i="2"/>
  <c r="A66" i="2"/>
  <c r="A102" i="2"/>
  <c r="A90" i="2"/>
  <c r="A92" i="2"/>
  <c r="A85" i="2"/>
  <c r="A99" i="2"/>
  <c r="A106" i="2"/>
  <c r="A93" i="2"/>
  <c r="A98" i="2"/>
  <c r="A82" i="2"/>
  <c r="A34" i="2"/>
  <c r="A28" i="2"/>
  <c r="A84" i="2"/>
  <c r="A110" i="2"/>
  <c r="A87" i="2"/>
  <c r="A74" i="2"/>
  <c r="A86" i="2"/>
  <c r="A103" i="2"/>
  <c r="A73" i="2"/>
  <c r="A75" i="2"/>
  <c r="A94" i="2"/>
  <c r="A91" i="2"/>
  <c r="A104" i="2"/>
  <c r="A31" i="2"/>
  <c r="A27" i="2"/>
  <c r="A77" i="2"/>
  <c r="A95" i="2"/>
  <c r="A89" i="2"/>
  <c r="A107" i="2"/>
  <c r="A96" i="2"/>
  <c r="A81" i="2"/>
  <c r="A88" i="2"/>
  <c r="A76" i="2"/>
  <c r="A101" i="2"/>
  <c r="A33" i="2"/>
  <c r="A30" i="2"/>
  <c r="A35" i="2"/>
  <c r="AA59" i="12"/>
  <c r="AI59" i="12" s="1"/>
  <c r="A64" i="2"/>
  <c r="AA57" i="12"/>
  <c r="AI57" i="12" s="1"/>
  <c r="A65" i="2"/>
  <c r="A25" i="2"/>
  <c r="AA100" i="12"/>
  <c r="AI100" i="12" s="1"/>
  <c r="AA24" i="12"/>
  <c r="AI24" i="12" s="1"/>
  <c r="AA20" i="12"/>
  <c r="AI20" i="12" s="1"/>
  <c r="AA26" i="12"/>
  <c r="AI26" i="12" s="1"/>
  <c r="AA23" i="12"/>
  <c r="AI23" i="12" s="1"/>
  <c r="AA28" i="12"/>
  <c r="AI28" i="12" s="1"/>
  <c r="AA25" i="12"/>
  <c r="AI25" i="12" s="1"/>
  <c r="AA22" i="12"/>
  <c r="AI22" i="12" s="1"/>
  <c r="AA29" i="12"/>
  <c r="AI29" i="12" s="1"/>
  <c r="AA27" i="12"/>
  <c r="AI27" i="12" s="1"/>
  <c r="AA21" i="12"/>
  <c r="AI21" i="12" s="1"/>
  <c r="AA60" i="12"/>
  <c r="AI60" i="12" s="1"/>
  <c r="AA70" i="12"/>
  <c r="AI70" i="12" s="1"/>
  <c r="AA83" i="12"/>
  <c r="AI83" i="12" s="1"/>
  <c r="AA103" i="12"/>
  <c r="AI103" i="12" s="1"/>
  <c r="AA72" i="12"/>
  <c r="AI72" i="12" s="1"/>
  <c r="AA88" i="12"/>
  <c r="AI88" i="12" s="1"/>
  <c r="AA92" i="12"/>
  <c r="AI92" i="12" s="1"/>
  <c r="AA71" i="12"/>
  <c r="AI71" i="12" s="1"/>
  <c r="AA98" i="12"/>
  <c r="AI98" i="12" s="1"/>
  <c r="AA86" i="12"/>
  <c r="AI86" i="12" s="1"/>
  <c r="AA75" i="12"/>
  <c r="AI75" i="12" s="1"/>
  <c r="AA84" i="12"/>
  <c r="AI84" i="12" s="1"/>
  <c r="AA69" i="12"/>
  <c r="AI69" i="12" s="1"/>
  <c r="AA76" i="12"/>
  <c r="AI76" i="12" s="1"/>
  <c r="AA93" i="12"/>
  <c r="AI93" i="12" s="1"/>
  <c r="AA90" i="12"/>
  <c r="AI90" i="12" s="1"/>
  <c r="AA78" i="12"/>
  <c r="AI78" i="12" s="1"/>
  <c r="AA79" i="12"/>
  <c r="AI79" i="12" s="1"/>
  <c r="AA89" i="12"/>
  <c r="AI89" i="12" s="1"/>
  <c r="AA96" i="12"/>
  <c r="AI96" i="12" s="1"/>
  <c r="AA66" i="12"/>
  <c r="AI66" i="12" s="1"/>
  <c r="AA68" i="12"/>
  <c r="AI68" i="12" s="1"/>
  <c r="AA102" i="12"/>
  <c r="AI102" i="12" s="1"/>
  <c r="AA95" i="12"/>
  <c r="AI95" i="12" s="1"/>
  <c r="AA82" i="12"/>
  <c r="AI82" i="12" s="1"/>
  <c r="AA80" i="12"/>
  <c r="AI80" i="12" s="1"/>
  <c r="AA67" i="12"/>
  <c r="AI67" i="12" s="1"/>
  <c r="AA81" i="12"/>
  <c r="AI81" i="12" s="1"/>
  <c r="AA77" i="12"/>
  <c r="AI77" i="12" s="1"/>
  <c r="AA101" i="12"/>
  <c r="AI101" i="12" s="1"/>
  <c r="AA85" i="12"/>
  <c r="AI85" i="12" s="1"/>
  <c r="AA73" i="12"/>
  <c r="AI73" i="12" s="1"/>
  <c r="AA99" i="12"/>
  <c r="AI99" i="12" s="1"/>
  <c r="AA91" i="12"/>
  <c r="AI91" i="12" s="1"/>
  <c r="AA74" i="12"/>
  <c r="AI74" i="12" s="1"/>
  <c r="AA87" i="12"/>
  <c r="AI87" i="12" s="1"/>
  <c r="AA65" i="12"/>
  <c r="AI65" i="12" s="1"/>
  <c r="AA94" i="12"/>
  <c r="AI94" i="12" s="1"/>
  <c r="AA97" i="12"/>
  <c r="AI97" i="12" s="1"/>
  <c r="AE104" i="12" l="1"/>
  <c r="AF104" i="12"/>
  <c r="AG104" i="12"/>
  <c r="AD104" i="12"/>
  <c r="AB104" i="12"/>
  <c r="AH104" i="12"/>
  <c r="AJ104" i="12"/>
  <c r="AC104" i="12"/>
  <c r="Q121" i="12"/>
  <c r="M381" i="12"/>
  <c r="M382" i="12" s="1"/>
  <c r="R26" i="12"/>
  <c r="EL6" i="12"/>
  <c r="BD101" i="12"/>
  <c r="BE101" i="12"/>
  <c r="CO1" i="12"/>
  <c r="CT70" i="12"/>
  <c r="CS77" i="12" s="1"/>
  <c r="CS78" i="12"/>
  <c r="CS79" i="12"/>
  <c r="CS80" i="12"/>
  <c r="CS82" i="12"/>
  <c r="CS81" i="12"/>
  <c r="ER96" i="12"/>
  <c r="ES96" i="12" s="1"/>
  <c r="ER93" i="12"/>
  <c r="ES93" i="12" s="1"/>
  <c r="ER102" i="12"/>
  <c r="ES102" i="12" s="1"/>
  <c r="ER92" i="12"/>
  <c r="ES92" i="12" s="1"/>
  <c r="ER100" i="12"/>
  <c r="ES100" i="12" s="1"/>
  <c r="AA104" i="12" l="1"/>
  <c r="AI104" i="12" s="1"/>
  <c r="EL104" i="12"/>
  <c r="A111" i="2"/>
  <c r="Q122" i="12"/>
  <c r="AD105" i="12" s="1"/>
  <c r="M383" i="12"/>
  <c r="M384" i="12" s="1"/>
  <c r="R27" i="12"/>
  <c r="H9" i="14"/>
  <c r="CQ3" i="12"/>
  <c r="CQ13" i="12"/>
  <c r="CQ4" i="12"/>
  <c r="CT81" i="12"/>
  <c r="CT80" i="12"/>
  <c r="CT77" i="12"/>
  <c r="CT82" i="12"/>
  <c r="CT79" i="12"/>
  <c r="CT78" i="12"/>
  <c r="CG191" i="12"/>
  <c r="CH191" i="12" s="1"/>
  <c r="EJ2" i="12"/>
  <c r="B7" i="10"/>
  <c r="EG2" i="12"/>
  <c r="B11" i="14"/>
  <c r="EF2" i="12"/>
  <c r="B9" i="2"/>
  <c r="C7" i="11"/>
  <c r="EK2" i="12"/>
  <c r="EF1" i="12"/>
  <c r="AF105" i="12" l="1"/>
  <c r="AH105" i="12"/>
  <c r="AC105" i="12"/>
  <c r="A112" i="2" s="1"/>
  <c r="AB105" i="12"/>
  <c r="AG105" i="12"/>
  <c r="AE105" i="12"/>
  <c r="Q123" i="12"/>
  <c r="AE106" i="12" s="1"/>
  <c r="M386" i="12"/>
  <c r="M385" i="12"/>
  <c r="R28" i="12"/>
  <c r="BC202" i="12"/>
  <c r="K23" i="5"/>
  <c r="K20" i="5"/>
  <c r="K25" i="5"/>
  <c r="K29" i="5"/>
  <c r="K33" i="5"/>
  <c r="K94" i="5"/>
  <c r="K98" i="5"/>
  <c r="K102" i="5"/>
  <c r="K106" i="5"/>
  <c r="K110" i="5"/>
  <c r="K114" i="5"/>
  <c r="K118" i="5"/>
  <c r="K122" i="5"/>
  <c r="K126" i="5"/>
  <c r="K130" i="5"/>
  <c r="K134" i="5"/>
  <c r="K138" i="5"/>
  <c r="K142" i="5"/>
  <c r="K146" i="5"/>
  <c r="K150" i="5"/>
  <c r="K154" i="5"/>
  <c r="K158" i="5"/>
  <c r="K162" i="5"/>
  <c r="K166" i="5"/>
  <c r="K170" i="5"/>
  <c r="K174" i="5"/>
  <c r="K178" i="5"/>
  <c r="K182" i="5"/>
  <c r="K186" i="5"/>
  <c r="K190" i="5"/>
  <c r="K194" i="5"/>
  <c r="K198" i="5"/>
  <c r="K202" i="5"/>
  <c r="K206" i="5"/>
  <c r="K210" i="5"/>
  <c r="K15" i="5"/>
  <c r="K212" i="5"/>
  <c r="K11" i="5"/>
  <c r="K17" i="5"/>
  <c r="K34" i="5"/>
  <c r="K99" i="5"/>
  <c r="K107" i="5"/>
  <c r="K115" i="5"/>
  <c r="K123" i="5"/>
  <c r="K131" i="5"/>
  <c r="K139" i="5"/>
  <c r="K147" i="5"/>
  <c r="K155" i="5"/>
  <c r="K163" i="5"/>
  <c r="K171" i="5"/>
  <c r="K179" i="5"/>
  <c r="K187" i="5"/>
  <c r="K195" i="5"/>
  <c r="K203" i="5"/>
  <c r="K211" i="5"/>
  <c r="K16" i="5"/>
  <c r="K37" i="5"/>
  <c r="K19" i="5"/>
  <c r="K24" i="5"/>
  <c r="K28" i="5"/>
  <c r="K32" i="5"/>
  <c r="K63" i="5"/>
  <c r="K97" i="5"/>
  <c r="K101" i="5"/>
  <c r="K105" i="5"/>
  <c r="K109" i="5"/>
  <c r="K113" i="5"/>
  <c r="K117" i="5"/>
  <c r="K121" i="5"/>
  <c r="K125" i="5"/>
  <c r="K129" i="5"/>
  <c r="K133" i="5"/>
  <c r="K137" i="5"/>
  <c r="K141" i="5"/>
  <c r="K145" i="5"/>
  <c r="K149" i="5"/>
  <c r="K153" i="5"/>
  <c r="K157" i="5"/>
  <c r="K161" i="5"/>
  <c r="K165" i="5"/>
  <c r="K169" i="5"/>
  <c r="K173" i="5"/>
  <c r="K177" i="5"/>
  <c r="K181" i="5"/>
  <c r="K185" i="5"/>
  <c r="K189" i="5"/>
  <c r="K193" i="5"/>
  <c r="K197" i="5"/>
  <c r="K201" i="5"/>
  <c r="K205" i="5"/>
  <c r="K209" i="5"/>
  <c r="K14" i="5"/>
  <c r="K18" i="5"/>
  <c r="K22" i="5"/>
  <c r="K27" i="5"/>
  <c r="K31" i="5"/>
  <c r="K35" i="5"/>
  <c r="K96" i="5"/>
  <c r="K100" i="5"/>
  <c r="K104" i="5"/>
  <c r="K108" i="5"/>
  <c r="K112" i="5"/>
  <c r="K116" i="5"/>
  <c r="K120" i="5"/>
  <c r="K124" i="5"/>
  <c r="K128" i="5"/>
  <c r="K132" i="5"/>
  <c r="K136" i="5"/>
  <c r="K140" i="5"/>
  <c r="K144" i="5"/>
  <c r="K148" i="5"/>
  <c r="K152" i="5"/>
  <c r="K156" i="5"/>
  <c r="K160" i="5"/>
  <c r="K164" i="5"/>
  <c r="K168" i="5"/>
  <c r="K172" i="5"/>
  <c r="K176" i="5"/>
  <c r="K180" i="5"/>
  <c r="K184" i="5"/>
  <c r="K188" i="5"/>
  <c r="K192" i="5"/>
  <c r="K196" i="5"/>
  <c r="K200" i="5"/>
  <c r="K204" i="5"/>
  <c r="K208" i="5"/>
  <c r="K13" i="5"/>
  <c r="K93" i="5"/>
  <c r="K21" i="5"/>
  <c r="K26" i="5"/>
  <c r="K30" i="5"/>
  <c r="K95" i="5"/>
  <c r="K103" i="5"/>
  <c r="K111" i="5"/>
  <c r="K119" i="5"/>
  <c r="K127" i="5"/>
  <c r="K135" i="5"/>
  <c r="K143" i="5"/>
  <c r="K151" i="5"/>
  <c r="K159" i="5"/>
  <c r="K167" i="5"/>
  <c r="K175" i="5"/>
  <c r="K183" i="5"/>
  <c r="K191" i="5"/>
  <c r="K199" i="5"/>
  <c r="K207" i="5"/>
  <c r="K12" i="5"/>
  <c r="K87" i="5"/>
  <c r="K83" i="5"/>
  <c r="K88" i="5"/>
  <c r="K72" i="5"/>
  <c r="K56" i="5"/>
  <c r="K85" i="5"/>
  <c r="K69" i="5"/>
  <c r="K53" i="5"/>
  <c r="K86" i="5"/>
  <c r="K70" i="5"/>
  <c r="K54" i="5"/>
  <c r="K39" i="5"/>
  <c r="K36" i="5"/>
  <c r="K46" i="5"/>
  <c r="K55" i="5"/>
  <c r="K75" i="5"/>
  <c r="K80" i="5"/>
  <c r="K64" i="5"/>
  <c r="K38" i="5"/>
  <c r="K77" i="5"/>
  <c r="K61" i="5"/>
  <c r="K90" i="5"/>
  <c r="K78" i="5"/>
  <c r="K62" i="5"/>
  <c r="K47" i="5"/>
  <c r="K44" i="5"/>
  <c r="K45" i="5"/>
  <c r="K67" i="5"/>
  <c r="K92" i="5"/>
  <c r="K59" i="5"/>
  <c r="K76" i="5"/>
  <c r="K60" i="5"/>
  <c r="K89" i="5"/>
  <c r="K73" i="5"/>
  <c r="K57" i="5"/>
  <c r="K91" i="5"/>
  <c r="K74" i="5"/>
  <c r="K58" i="5"/>
  <c r="K43" i="5"/>
  <c r="K40" i="5"/>
  <c r="K41" i="5"/>
  <c r="K79" i="5"/>
  <c r="K71" i="5"/>
  <c r="K50" i="5"/>
  <c r="K84" i="5"/>
  <c r="K68" i="5"/>
  <c r="K52" i="5"/>
  <c r="K81" i="5"/>
  <c r="K65" i="5"/>
  <c r="K42" i="5"/>
  <c r="K82" i="5"/>
  <c r="K66" i="5"/>
  <c r="K51" i="5"/>
  <c r="K48" i="5"/>
  <c r="K49" i="5"/>
  <c r="CT84" i="12"/>
  <c r="M150" i="5"/>
  <c r="M178" i="5"/>
  <c r="M202" i="5"/>
  <c r="M64" i="5"/>
  <c r="M168" i="5"/>
  <c r="M141" i="5"/>
  <c r="M145" i="5"/>
  <c r="M155" i="5"/>
  <c r="M200" i="5"/>
  <c r="M130" i="5"/>
  <c r="M81" i="5"/>
  <c r="M139" i="5"/>
  <c r="M90" i="5"/>
  <c r="M144" i="5"/>
  <c r="M198" i="5"/>
  <c r="M82" i="5"/>
  <c r="M140" i="5"/>
  <c r="M67" i="5"/>
  <c r="M175" i="5"/>
  <c r="M74" i="5"/>
  <c r="M84" i="5"/>
  <c r="M204" i="5"/>
  <c r="M49" i="5"/>
  <c r="M58" i="5"/>
  <c r="M164" i="5"/>
  <c r="M11" i="5"/>
  <c r="M169" i="5"/>
  <c r="M99" i="5"/>
  <c r="M86" i="5"/>
  <c r="M158" i="5"/>
  <c r="M192" i="5"/>
  <c r="M190" i="5"/>
  <c r="M196" i="5"/>
  <c r="M146" i="5"/>
  <c r="M48" i="5"/>
  <c r="M134" i="5"/>
  <c r="M126" i="5"/>
  <c r="M159" i="5"/>
  <c r="M118" i="5"/>
  <c r="M92" i="5"/>
  <c r="M172" i="5"/>
  <c r="M135" i="5"/>
  <c r="M188" i="5"/>
  <c r="M117" i="5"/>
  <c r="M201" i="5"/>
  <c r="M44" i="5"/>
  <c r="M63" i="5"/>
  <c r="M153" i="5"/>
  <c r="M184" i="5"/>
  <c r="M79" i="5"/>
  <c r="M78" i="5"/>
  <c r="M100" i="5"/>
  <c r="M133" i="5"/>
  <c r="M76" i="5"/>
  <c r="M72" i="5"/>
  <c r="M152" i="5"/>
  <c r="M89" i="5"/>
  <c r="M147" i="5"/>
  <c r="M46" i="5"/>
  <c r="M108" i="5"/>
  <c r="M95" i="5"/>
  <c r="M125" i="5"/>
  <c r="M62" i="5"/>
  <c r="M88" i="5"/>
  <c r="M71" i="5"/>
  <c r="M170" i="5"/>
  <c r="M177" i="5"/>
  <c r="M94" i="5"/>
  <c r="M174" i="5"/>
  <c r="M51" i="5"/>
  <c r="M98" i="5"/>
  <c r="M61" i="5"/>
  <c r="M157" i="5"/>
  <c r="M149" i="5"/>
  <c r="M210" i="5"/>
  <c r="M35" i="5"/>
  <c r="M50" i="5"/>
  <c r="M104" i="5"/>
  <c r="M197" i="5"/>
  <c r="M151" i="5"/>
  <c r="M173" i="5"/>
  <c r="M103" i="5"/>
  <c r="M137" i="5"/>
  <c r="M138" i="5"/>
  <c r="M66" i="5"/>
  <c r="M83" i="5"/>
  <c r="M80" i="5"/>
  <c r="M39" i="5"/>
  <c r="M121" i="5"/>
  <c r="M119" i="5"/>
  <c r="M57" i="5"/>
  <c r="M209" i="5"/>
  <c r="M131" i="5"/>
  <c r="M112" i="5"/>
  <c r="M59" i="5"/>
  <c r="M181" i="5"/>
  <c r="M132" i="5"/>
  <c r="M69" i="5"/>
  <c r="M193" i="5"/>
  <c r="M102" i="5"/>
  <c r="M110" i="5"/>
  <c r="M120" i="5"/>
  <c r="M161" i="5"/>
  <c r="M162" i="5"/>
  <c r="M73" i="5"/>
  <c r="M91" i="5"/>
  <c r="M179" i="5"/>
  <c r="M124" i="5"/>
  <c r="M127" i="5"/>
  <c r="M142" i="5"/>
  <c r="M68" i="5"/>
  <c r="M85" i="5"/>
  <c r="M129" i="5"/>
  <c r="M163" i="5"/>
  <c r="M165" i="5"/>
  <c r="M156" i="5"/>
  <c r="M56" i="5"/>
  <c r="M55" i="5"/>
  <c r="M60" i="5"/>
  <c r="M23" i="5"/>
  <c r="M70" i="5"/>
  <c r="M208" i="5"/>
  <c r="M185" i="5"/>
  <c r="M75" i="5"/>
  <c r="M54" i="5"/>
  <c r="M101" i="5"/>
  <c r="M154" i="5"/>
  <c r="M111" i="5"/>
  <c r="M205" i="5"/>
  <c r="M166" i="5"/>
  <c r="M37" i="5"/>
  <c r="M189" i="5"/>
  <c r="M180" i="5"/>
  <c r="M122" i="5"/>
  <c r="M183" i="5"/>
  <c r="M160" i="5"/>
  <c r="M187" i="5"/>
  <c r="M65" i="5"/>
  <c r="M87" i="5"/>
  <c r="M182" i="5"/>
  <c r="M194" i="5"/>
  <c r="M186" i="5"/>
  <c r="M105" i="5"/>
  <c r="M96" i="5"/>
  <c r="M109" i="5"/>
  <c r="M106" i="5"/>
  <c r="M114" i="5"/>
  <c r="M203" i="5"/>
  <c r="M191" i="5"/>
  <c r="M113" i="5"/>
  <c r="M199" i="5"/>
  <c r="M136" i="5"/>
  <c r="M143" i="5"/>
  <c r="M207" i="5"/>
  <c r="M97" i="5"/>
  <c r="M93" i="5"/>
  <c r="M176" i="5"/>
  <c r="M171" i="5"/>
  <c r="M148" i="5"/>
  <c r="M116" i="5"/>
  <c r="M195" i="5"/>
  <c r="M167" i="5"/>
  <c r="M21" i="5"/>
  <c r="M107" i="5"/>
  <c r="M115" i="5"/>
  <c r="M123" i="5"/>
  <c r="M77" i="5"/>
  <c r="M53" i="5"/>
  <c r="M206" i="5"/>
  <c r="M52" i="5"/>
  <c r="M128" i="5"/>
  <c r="M387" i="12" l="1"/>
  <c r="AA105" i="12"/>
  <c r="AI105" i="12" s="1"/>
  <c r="EL105" i="12"/>
  <c r="AD106" i="12"/>
  <c r="AB106" i="12"/>
  <c r="AC106" i="12"/>
  <c r="AG106" i="12"/>
  <c r="AH106" i="12"/>
  <c r="AF106" i="12"/>
  <c r="Q124" i="12"/>
  <c r="M388" i="12"/>
  <c r="R29" i="12"/>
  <c r="F2" i="5"/>
  <c r="N51" i="5"/>
  <c r="N65" i="5"/>
  <c r="N84" i="5"/>
  <c r="N74" i="5"/>
  <c r="N89" i="5"/>
  <c r="N92" i="5"/>
  <c r="N61" i="5"/>
  <c r="N80" i="5"/>
  <c r="N86" i="5"/>
  <c r="N56" i="5"/>
  <c r="N87" i="5"/>
  <c r="N191" i="5"/>
  <c r="N159" i="5"/>
  <c r="N127" i="5"/>
  <c r="N95" i="5"/>
  <c r="N93" i="5"/>
  <c r="N200" i="5"/>
  <c r="N184" i="5"/>
  <c r="N168" i="5"/>
  <c r="N152" i="5"/>
  <c r="N136" i="5"/>
  <c r="N120" i="5"/>
  <c r="N104" i="5"/>
  <c r="N197" i="5"/>
  <c r="N181" i="5"/>
  <c r="N165" i="5"/>
  <c r="N149" i="5"/>
  <c r="N133" i="5"/>
  <c r="N117" i="5"/>
  <c r="N101" i="5"/>
  <c r="N187" i="5"/>
  <c r="N155" i="5"/>
  <c r="N123" i="5"/>
  <c r="N198" i="5"/>
  <c r="N182" i="5"/>
  <c r="N166" i="5"/>
  <c r="N150" i="5"/>
  <c r="N134" i="5"/>
  <c r="N118" i="5"/>
  <c r="N102" i="5"/>
  <c r="N48" i="5"/>
  <c r="N68" i="5"/>
  <c r="N79" i="5"/>
  <c r="N58" i="5"/>
  <c r="N73" i="5"/>
  <c r="N59" i="5"/>
  <c r="N44" i="5"/>
  <c r="N90" i="5"/>
  <c r="N64" i="5"/>
  <c r="N46" i="5"/>
  <c r="N70" i="5"/>
  <c r="N85" i="5"/>
  <c r="N83" i="5"/>
  <c r="N199" i="5"/>
  <c r="N167" i="5"/>
  <c r="N135" i="5"/>
  <c r="N103" i="5"/>
  <c r="N21" i="5"/>
  <c r="N204" i="5"/>
  <c r="N188" i="5"/>
  <c r="N172" i="5"/>
  <c r="N156" i="5"/>
  <c r="N140" i="5"/>
  <c r="N124" i="5"/>
  <c r="N108" i="5"/>
  <c r="N35" i="5"/>
  <c r="N201" i="5"/>
  <c r="N185" i="5"/>
  <c r="N169" i="5"/>
  <c r="N153" i="5"/>
  <c r="N137" i="5"/>
  <c r="N121" i="5"/>
  <c r="N105" i="5"/>
  <c r="N37" i="5"/>
  <c r="N195" i="5"/>
  <c r="N163" i="5"/>
  <c r="N131" i="5"/>
  <c r="N99" i="5"/>
  <c r="N202" i="5"/>
  <c r="N186" i="5"/>
  <c r="N170" i="5"/>
  <c r="N154" i="5"/>
  <c r="N138" i="5"/>
  <c r="N122" i="5"/>
  <c r="N106" i="5"/>
  <c r="N23" i="5"/>
  <c r="N49" i="5"/>
  <c r="N82" i="5"/>
  <c r="N52" i="5"/>
  <c r="N71" i="5"/>
  <c r="N57" i="5"/>
  <c r="N76" i="5"/>
  <c r="N78" i="5"/>
  <c r="N55" i="5"/>
  <c r="N54" i="5"/>
  <c r="N69" i="5"/>
  <c r="N88" i="5"/>
  <c r="N207" i="5"/>
  <c r="N175" i="5"/>
  <c r="N143" i="5"/>
  <c r="N111" i="5"/>
  <c r="N208" i="5"/>
  <c r="N192" i="5"/>
  <c r="N176" i="5"/>
  <c r="N160" i="5"/>
  <c r="N144" i="5"/>
  <c r="N128" i="5"/>
  <c r="N112" i="5"/>
  <c r="N96" i="5"/>
  <c r="N205" i="5"/>
  <c r="N189" i="5"/>
  <c r="N173" i="5"/>
  <c r="N157" i="5"/>
  <c r="N141" i="5"/>
  <c r="N125" i="5"/>
  <c r="N109" i="5"/>
  <c r="N63" i="5"/>
  <c r="N203" i="5"/>
  <c r="N171" i="5"/>
  <c r="N139" i="5"/>
  <c r="N107" i="5"/>
  <c r="N206" i="5"/>
  <c r="N190" i="5"/>
  <c r="N174" i="5"/>
  <c r="N158" i="5"/>
  <c r="N142" i="5"/>
  <c r="N126" i="5"/>
  <c r="N110" i="5"/>
  <c r="N94" i="5"/>
  <c r="N66" i="5"/>
  <c r="N81" i="5"/>
  <c r="N50" i="5"/>
  <c r="N91" i="5"/>
  <c r="N60" i="5"/>
  <c r="N67" i="5"/>
  <c r="N62" i="5"/>
  <c r="N77" i="5"/>
  <c r="N75" i="5"/>
  <c r="N39" i="5"/>
  <c r="N53" i="5"/>
  <c r="N72" i="5"/>
  <c r="N183" i="5"/>
  <c r="N151" i="5"/>
  <c r="N119" i="5"/>
  <c r="N196" i="5"/>
  <c r="N180" i="5"/>
  <c r="N164" i="5"/>
  <c r="N148" i="5"/>
  <c r="N132" i="5"/>
  <c r="N116" i="5"/>
  <c r="N100" i="5"/>
  <c r="N209" i="5"/>
  <c r="N193" i="5"/>
  <c r="N177" i="5"/>
  <c r="N161" i="5"/>
  <c r="N145" i="5"/>
  <c r="N129" i="5"/>
  <c r="N113" i="5"/>
  <c r="N97" i="5"/>
  <c r="N179" i="5"/>
  <c r="N147" i="5"/>
  <c r="N115" i="5"/>
  <c r="N210" i="5"/>
  <c r="N194" i="5"/>
  <c r="N178" i="5"/>
  <c r="N162" i="5"/>
  <c r="N146" i="5"/>
  <c r="N130" i="5"/>
  <c r="N114" i="5"/>
  <c r="N98" i="5"/>
  <c r="N11" i="5"/>
  <c r="M12" i="5"/>
  <c r="M389" i="12" l="1"/>
  <c r="A113" i="2"/>
  <c r="EL106" i="12"/>
  <c r="AA106" i="12"/>
  <c r="AI106" i="12" s="1"/>
  <c r="Q125" i="12"/>
  <c r="AH107" i="12" s="1"/>
  <c r="M390" i="12"/>
  <c r="M392" i="12"/>
  <c r="R30" i="12"/>
  <c r="N12" i="5"/>
  <c r="M14" i="5"/>
  <c r="M13" i="5"/>
  <c r="AG107" i="12" l="1"/>
  <c r="AD107" i="12"/>
  <c r="AB107" i="12"/>
  <c r="AC107" i="12"/>
  <c r="A114" i="2" s="1"/>
  <c r="AF107" i="12"/>
  <c r="AE107" i="12"/>
  <c r="M391" i="12"/>
  <c r="Q126" i="12"/>
  <c r="AG108" i="12" s="1"/>
  <c r="M393" i="12"/>
  <c r="O35" i="12" s="1"/>
  <c r="P35" i="12" s="1"/>
  <c r="S52" i="12" s="1"/>
  <c r="R31" i="12"/>
  <c r="N13" i="5"/>
  <c r="N14" i="5"/>
  <c r="M19" i="5"/>
  <c r="M18" i="5"/>
  <c r="M16" i="5"/>
  <c r="M20" i="5"/>
  <c r="M15" i="5"/>
  <c r="M17" i="5"/>
  <c r="N16" i="5" l="1"/>
  <c r="O36" i="12"/>
  <c r="P36" i="12" s="1"/>
  <c r="S53" i="12" s="1"/>
  <c r="EL107" i="12"/>
  <c r="AA107" i="12"/>
  <c r="AI107" i="12" s="1"/>
  <c r="AB108" i="12"/>
  <c r="AF108" i="12"/>
  <c r="AD108" i="12"/>
  <c r="AE108" i="12"/>
  <c r="AC108" i="12"/>
  <c r="AH108" i="12"/>
  <c r="O44" i="12"/>
  <c r="P44" i="12" s="1"/>
  <c r="S61" i="12" s="1"/>
  <c r="R61" i="12" s="1"/>
  <c r="O37" i="12"/>
  <c r="P37" i="12" s="1"/>
  <c r="S54" i="12" s="1"/>
  <c r="O38" i="12"/>
  <c r="P38" i="12" s="1"/>
  <c r="S55" i="12" s="1"/>
  <c r="Q127" i="12"/>
  <c r="AD109" i="12" s="1"/>
  <c r="O50" i="12"/>
  <c r="P50" i="12" s="1"/>
  <c r="O42" i="12"/>
  <c r="P42" i="12" s="1"/>
  <c r="S59" i="12" s="1"/>
  <c r="R59" i="12" s="1"/>
  <c r="O46" i="12"/>
  <c r="P46" i="12" s="1"/>
  <c r="S63" i="12" s="1"/>
  <c r="R63" i="12" s="1"/>
  <c r="O47" i="12"/>
  <c r="P47" i="12" s="1"/>
  <c r="S64" i="12" s="1"/>
  <c r="R64" i="12" s="1"/>
  <c r="O39" i="12"/>
  <c r="P39" i="12" s="1"/>
  <c r="S56" i="12" s="1"/>
  <c r="O43" i="12"/>
  <c r="P43" i="12" s="1"/>
  <c r="S60" i="12" s="1"/>
  <c r="R60" i="12" s="1"/>
  <c r="O40" i="12"/>
  <c r="P40" i="12" s="1"/>
  <c r="S57" i="12" s="1"/>
  <c r="O41" i="12"/>
  <c r="P41" i="12" s="1"/>
  <c r="S58" i="12" s="1"/>
  <c r="R58" i="12" s="1"/>
  <c r="O49" i="12"/>
  <c r="P49" i="12" s="1"/>
  <c r="O48" i="12"/>
  <c r="P48" i="12" s="1"/>
  <c r="O45" i="12"/>
  <c r="P45" i="12" s="1"/>
  <c r="S62" i="12" s="1"/>
  <c r="R62" i="12" s="1"/>
  <c r="R32" i="12"/>
  <c r="N15" i="5"/>
  <c r="N19" i="5"/>
  <c r="N17" i="5"/>
  <c r="N20" i="5"/>
  <c r="N18" i="5"/>
  <c r="M22" i="5"/>
  <c r="EL108" i="12" l="1"/>
  <c r="AA108" i="12"/>
  <c r="AI108" i="12" s="1"/>
  <c r="AF109" i="12"/>
  <c r="A115" i="2"/>
  <c r="AG109" i="12"/>
  <c r="AE109" i="12"/>
  <c r="AC109" i="12"/>
  <c r="AH109" i="12"/>
  <c r="Q128" i="12"/>
  <c r="AH110" i="12" s="1"/>
  <c r="R33" i="12"/>
  <c r="N22" i="5"/>
  <c r="M30" i="5"/>
  <c r="M38" i="5"/>
  <c r="M26" i="5"/>
  <c r="M42" i="5"/>
  <c r="M25" i="5"/>
  <c r="M29" i="5"/>
  <c r="M41" i="5"/>
  <c r="M27" i="5"/>
  <c r="M33" i="5"/>
  <c r="M28" i="5"/>
  <c r="M34" i="5"/>
  <c r="M31" i="5"/>
  <c r="M24" i="5"/>
  <c r="M40" i="5"/>
  <c r="M32" i="5"/>
  <c r="N42" i="5" l="1"/>
  <c r="N40" i="5"/>
  <c r="N33" i="5"/>
  <c r="N29" i="5"/>
  <c r="N27" i="5"/>
  <c r="EL109" i="12"/>
  <c r="A116" i="2"/>
  <c r="AG110" i="12"/>
  <c r="AF110" i="12"/>
  <c r="AE110" i="12"/>
  <c r="AB110" i="12"/>
  <c r="AC110" i="12"/>
  <c r="A117" i="2" s="1"/>
  <c r="Q129" i="12"/>
  <c r="AG111" i="12" s="1"/>
  <c r="R34" i="12"/>
  <c r="N31" i="5"/>
  <c r="N25" i="5"/>
  <c r="N41" i="5"/>
  <c r="N38" i="5"/>
  <c r="N34" i="5"/>
  <c r="N32" i="5"/>
  <c r="N30" i="5"/>
  <c r="N28" i="5"/>
  <c r="N26" i="5"/>
  <c r="N24" i="5"/>
  <c r="T13" i="12"/>
  <c r="T6" i="12"/>
  <c r="T7" i="12"/>
  <c r="T8" i="12"/>
  <c r="T11" i="12"/>
  <c r="T12" i="12"/>
  <c r="T5" i="12"/>
  <c r="T9" i="12"/>
  <c r="T10" i="12"/>
  <c r="T4" i="12"/>
  <c r="T14" i="12"/>
  <c r="T15" i="12"/>
  <c r="T17" i="12"/>
  <c r="T16" i="12"/>
  <c r="M47" i="5"/>
  <c r="M45" i="5"/>
  <c r="M36" i="5"/>
  <c r="M43" i="5"/>
  <c r="T18" i="12" l="1"/>
  <c r="N36" i="5"/>
  <c r="AD111" i="12"/>
  <c r="AF111" i="12"/>
  <c r="AC111" i="12"/>
  <c r="AB111" i="12"/>
  <c r="AA110" i="12"/>
  <c r="AI110" i="12" s="1"/>
  <c r="AE111" i="12"/>
  <c r="EL110" i="12"/>
  <c r="Q130" i="12"/>
  <c r="AD112" i="12" s="1"/>
  <c r="R35" i="12"/>
  <c r="N45" i="5"/>
  <c r="O1" i="5" s="1"/>
  <c r="N43" i="5"/>
  <c r="N47" i="5"/>
  <c r="O2" i="5"/>
  <c r="EL111" i="12" l="1"/>
  <c r="AA111" i="12"/>
  <c r="AI111" i="12" s="1"/>
  <c r="A118" i="2"/>
  <c r="AH112" i="12"/>
  <c r="AE112" i="12"/>
  <c r="AC112" i="12"/>
  <c r="A119" i="2" s="1"/>
  <c r="AF112" i="12"/>
  <c r="AG112" i="12"/>
  <c r="AB112" i="12"/>
  <c r="Q131" i="12"/>
  <c r="AD113" i="12" s="1"/>
  <c r="R36" i="12"/>
  <c r="T19" i="12"/>
  <c r="O42" i="5"/>
  <c r="O59" i="5"/>
  <c r="P59" i="5" s="1"/>
  <c r="O102" i="5"/>
  <c r="P102" i="5" s="1"/>
  <c r="O25" i="5"/>
  <c r="P25" i="5" s="1"/>
  <c r="O48" i="5"/>
  <c r="P48" i="5" s="1"/>
  <c r="O206" i="5"/>
  <c r="P206" i="5" s="1"/>
  <c r="O70" i="5"/>
  <c r="P70" i="5" s="1"/>
  <c r="O65" i="5"/>
  <c r="P65" i="5" s="1"/>
  <c r="O85" i="5"/>
  <c r="P85" i="5" s="1"/>
  <c r="O58" i="5"/>
  <c r="P58" i="5" s="1"/>
  <c r="O185" i="5"/>
  <c r="P185" i="5" s="1"/>
  <c r="O144" i="5"/>
  <c r="P144" i="5" s="1"/>
  <c r="O166" i="5"/>
  <c r="P166" i="5" s="1"/>
  <c r="O40" i="5"/>
  <c r="P40" i="5" s="1"/>
  <c r="O60" i="5"/>
  <c r="P60" i="5" s="1"/>
  <c r="O142" i="5"/>
  <c r="P142" i="5" s="1"/>
  <c r="O76" i="5"/>
  <c r="P76" i="5" s="1"/>
  <c r="O168" i="5"/>
  <c r="P168" i="5" s="1"/>
  <c r="O93" i="5"/>
  <c r="P93" i="5" s="1"/>
  <c r="O129" i="5"/>
  <c r="P129" i="5" s="1"/>
  <c r="O140" i="5"/>
  <c r="P140" i="5" s="1"/>
  <c r="O110" i="5"/>
  <c r="P110" i="5" s="1"/>
  <c r="O186" i="5"/>
  <c r="P186" i="5" s="1"/>
  <c r="O89" i="5"/>
  <c r="P89" i="5" s="1"/>
  <c r="O41" i="5"/>
  <c r="P41" i="5" s="1"/>
  <c r="O141" i="5"/>
  <c r="P141" i="5" s="1"/>
  <c r="O20" i="5"/>
  <c r="P20" i="5" s="1"/>
  <c r="O62" i="5"/>
  <c r="P62" i="5" s="1"/>
  <c r="O15" i="5"/>
  <c r="P15" i="5" s="1"/>
  <c r="O180" i="5"/>
  <c r="P180" i="5" s="1"/>
  <c r="O11" i="5"/>
  <c r="P11" i="5" s="1"/>
  <c r="O27" i="5"/>
  <c r="P27" i="5" s="1"/>
  <c r="O63" i="5"/>
  <c r="P63" i="5" s="1"/>
  <c r="O53" i="5"/>
  <c r="P53" i="5" s="1"/>
  <c r="O52" i="5"/>
  <c r="P52" i="5" s="1"/>
  <c r="O38" i="5"/>
  <c r="P38" i="5" s="1"/>
  <c r="O31" i="5"/>
  <c r="P31" i="5" s="1"/>
  <c r="O145" i="5"/>
  <c r="P145" i="5" s="1"/>
  <c r="O57" i="5"/>
  <c r="P57" i="5" s="1"/>
  <c r="O64" i="5"/>
  <c r="P64" i="5" s="1"/>
  <c r="O172" i="5"/>
  <c r="P172" i="5" s="1"/>
  <c r="O207" i="5"/>
  <c r="P207" i="5" s="1"/>
  <c r="O190" i="5"/>
  <c r="P190" i="5" s="1"/>
  <c r="O98" i="5"/>
  <c r="P98" i="5" s="1"/>
  <c r="O135" i="5"/>
  <c r="P135" i="5" s="1"/>
  <c r="O75" i="5"/>
  <c r="P75" i="5" s="1"/>
  <c r="O175" i="5"/>
  <c r="P175" i="5" s="1"/>
  <c r="O30" i="5"/>
  <c r="P30" i="5" s="1"/>
  <c r="O147" i="5"/>
  <c r="P147" i="5" s="1"/>
  <c r="O54" i="5"/>
  <c r="P54" i="5" s="1"/>
  <c r="O148" i="5"/>
  <c r="P148" i="5" s="1"/>
  <c r="O133" i="5"/>
  <c r="P133" i="5" s="1"/>
  <c r="O13" i="5"/>
  <c r="O56" i="5"/>
  <c r="P56" i="5" s="1"/>
  <c r="O131" i="5"/>
  <c r="P131" i="5" s="1"/>
  <c r="O188" i="5"/>
  <c r="P188" i="5" s="1"/>
  <c r="O94" i="5"/>
  <c r="P94" i="5" s="1"/>
  <c r="O46" i="5"/>
  <c r="O114" i="5"/>
  <c r="P114" i="5" s="1"/>
  <c r="O154" i="5"/>
  <c r="P154" i="5" s="1"/>
  <c r="O189" i="5"/>
  <c r="P189" i="5" s="1"/>
  <c r="O44" i="5"/>
  <c r="O197" i="5"/>
  <c r="P197" i="5" s="1"/>
  <c r="O12" i="5"/>
  <c r="O199" i="5"/>
  <c r="P199" i="5" s="1"/>
  <c r="O163" i="5"/>
  <c r="P163" i="5" s="1"/>
  <c r="O187" i="5"/>
  <c r="P187" i="5" s="1"/>
  <c r="O107" i="5"/>
  <c r="P107" i="5" s="1"/>
  <c r="O96" i="5"/>
  <c r="P96" i="5" s="1"/>
  <c r="O156" i="5"/>
  <c r="P156" i="5" s="1"/>
  <c r="O209" i="5"/>
  <c r="P209" i="5" s="1"/>
  <c r="O109" i="5"/>
  <c r="P109" i="5" s="1"/>
  <c r="O153" i="5"/>
  <c r="P153" i="5" s="1"/>
  <c r="O28" i="5"/>
  <c r="O67" i="5"/>
  <c r="P67" i="5" s="1"/>
  <c r="O125" i="5"/>
  <c r="P125" i="5" s="1"/>
  <c r="O169" i="5"/>
  <c r="P169" i="5" s="1"/>
  <c r="O160" i="5"/>
  <c r="P160" i="5" s="1"/>
  <c r="O32" i="5"/>
  <c r="O134" i="5"/>
  <c r="P134" i="5" s="1"/>
  <c r="O24" i="5"/>
  <c r="O80" i="5"/>
  <c r="P80" i="5" s="1"/>
  <c r="O99" i="5"/>
  <c r="P99" i="5" s="1"/>
  <c r="O124" i="5"/>
  <c r="P124" i="5" s="1"/>
  <c r="O201" i="5"/>
  <c r="P201" i="5" s="1"/>
  <c r="O37" i="5"/>
  <c r="P37" i="5" s="1"/>
  <c r="O208" i="5"/>
  <c r="P208" i="5" s="1"/>
  <c r="O193" i="5"/>
  <c r="P193" i="5" s="1"/>
  <c r="O103" i="5"/>
  <c r="P103" i="5" s="1"/>
  <c r="O100" i="5"/>
  <c r="P100" i="5" s="1"/>
  <c r="O137" i="5"/>
  <c r="P137" i="5" s="1"/>
  <c r="O14" i="5"/>
  <c r="O177" i="5"/>
  <c r="P177" i="5" s="1"/>
  <c r="O82" i="5"/>
  <c r="P82" i="5" s="1"/>
  <c r="O115" i="5"/>
  <c r="P115" i="5" s="1"/>
  <c r="O192" i="5"/>
  <c r="P192" i="5" s="1"/>
  <c r="O66" i="5"/>
  <c r="P66" i="5" s="1"/>
  <c r="O36" i="5"/>
  <c r="P36" i="5" s="1"/>
  <c r="O72" i="5"/>
  <c r="P72" i="5" s="1"/>
  <c r="O16" i="5"/>
  <c r="P16" i="5" s="1"/>
  <c r="O21" i="5"/>
  <c r="O158" i="5"/>
  <c r="P158" i="5" s="1"/>
  <c r="O104" i="5"/>
  <c r="P104" i="5" s="1"/>
  <c r="O191" i="5"/>
  <c r="P191" i="5" s="1"/>
  <c r="O139" i="5"/>
  <c r="P139" i="5" s="1"/>
  <c r="O120" i="5"/>
  <c r="P120" i="5" s="1"/>
  <c r="O174" i="5"/>
  <c r="P174" i="5" s="1"/>
  <c r="O194" i="5"/>
  <c r="P194" i="5" s="1"/>
  <c r="O151" i="5"/>
  <c r="P151" i="5" s="1"/>
  <c r="O183" i="5"/>
  <c r="P183" i="5" s="1"/>
  <c r="O146" i="5"/>
  <c r="P146" i="5" s="1"/>
  <c r="O45" i="5"/>
  <c r="O68" i="5"/>
  <c r="P68" i="5" s="1"/>
  <c r="O136" i="5"/>
  <c r="P136" i="5" s="1"/>
  <c r="O113" i="5"/>
  <c r="P113" i="5" s="1"/>
  <c r="O81" i="5"/>
  <c r="P81" i="5" s="1"/>
  <c r="O86" i="5"/>
  <c r="P86" i="5" s="1"/>
  <c r="O204" i="5"/>
  <c r="P204" i="5" s="1"/>
  <c r="O203" i="5"/>
  <c r="P203" i="5" s="1"/>
  <c r="O26" i="5"/>
  <c r="P26" i="5" s="1"/>
  <c r="O74" i="5"/>
  <c r="P74" i="5" s="1"/>
  <c r="O43" i="5"/>
  <c r="O132" i="5"/>
  <c r="P132" i="5" s="1"/>
  <c r="O51" i="5"/>
  <c r="P51" i="5" s="1"/>
  <c r="O159" i="5"/>
  <c r="P159" i="5" s="1"/>
  <c r="O79" i="5"/>
  <c r="P79" i="5" s="1"/>
  <c r="O170" i="5"/>
  <c r="P170" i="5" s="1"/>
  <c r="O164" i="5"/>
  <c r="P164" i="5" s="1"/>
  <c r="O130" i="5"/>
  <c r="P130" i="5" s="1"/>
  <c r="O90" i="5"/>
  <c r="P90" i="5" s="1"/>
  <c r="O157" i="5"/>
  <c r="P157" i="5" s="1"/>
  <c r="O23" i="5"/>
  <c r="O77" i="5"/>
  <c r="P77" i="5" s="1"/>
  <c r="O184" i="5"/>
  <c r="P184" i="5" s="1"/>
  <c r="O73" i="5"/>
  <c r="P73" i="5" s="1"/>
  <c r="O118" i="5"/>
  <c r="P118" i="5" s="1"/>
  <c r="O84" i="5"/>
  <c r="P84" i="5" s="1"/>
  <c r="O112" i="5"/>
  <c r="P112" i="5" s="1"/>
  <c r="O143" i="5"/>
  <c r="P143" i="5" s="1"/>
  <c r="O95" i="5"/>
  <c r="P95" i="5" s="1"/>
  <c r="O202" i="5"/>
  <c r="P202" i="5" s="1"/>
  <c r="O17" i="5"/>
  <c r="P17" i="5" s="1"/>
  <c r="O149" i="5"/>
  <c r="P149" i="5" s="1"/>
  <c r="O111" i="5"/>
  <c r="P111" i="5" s="1"/>
  <c r="O101" i="5"/>
  <c r="P101" i="5" s="1"/>
  <c r="O83" i="5"/>
  <c r="P83" i="5" s="1"/>
  <c r="O35" i="5"/>
  <c r="P35" i="5" s="1"/>
  <c r="O71" i="5"/>
  <c r="P71" i="5" s="1"/>
  <c r="O116" i="5"/>
  <c r="P116" i="5" s="1"/>
  <c r="O195" i="5"/>
  <c r="P195" i="5" s="1"/>
  <c r="O126" i="5"/>
  <c r="P126" i="5" s="1"/>
  <c r="O200" i="5"/>
  <c r="P200" i="5" s="1"/>
  <c r="O127" i="5"/>
  <c r="P127" i="5" s="1"/>
  <c r="O34" i="5"/>
  <c r="P34" i="5" s="1"/>
  <c r="O150" i="5"/>
  <c r="P150" i="5" s="1"/>
  <c r="O49" i="5"/>
  <c r="P49" i="5" s="1"/>
  <c r="O162" i="5"/>
  <c r="P162" i="5" s="1"/>
  <c r="O78" i="5"/>
  <c r="P78" i="5" s="1"/>
  <c r="O176" i="5"/>
  <c r="P176" i="5" s="1"/>
  <c r="O50" i="5"/>
  <c r="P50" i="5" s="1"/>
  <c r="O182" i="5"/>
  <c r="P182" i="5" s="1"/>
  <c r="O138" i="5"/>
  <c r="P138" i="5" s="1"/>
  <c r="O33" i="5"/>
  <c r="O117" i="5"/>
  <c r="P117" i="5" s="1"/>
  <c r="O29" i="5"/>
  <c r="O18" i="5"/>
  <c r="P18" i="5" s="1"/>
  <c r="O105" i="5"/>
  <c r="P105" i="5" s="1"/>
  <c r="O39" i="5"/>
  <c r="P39" i="5" s="1"/>
  <c r="O173" i="5"/>
  <c r="P173" i="5" s="1"/>
  <c r="O106" i="5"/>
  <c r="P106" i="5" s="1"/>
  <c r="O121" i="5"/>
  <c r="P121" i="5" s="1"/>
  <c r="O92" i="5"/>
  <c r="P92" i="5" s="1"/>
  <c r="O123" i="5"/>
  <c r="P123" i="5" s="1"/>
  <c r="O122" i="5"/>
  <c r="P122" i="5" s="1"/>
  <c r="O167" i="5"/>
  <c r="P167" i="5" s="1"/>
  <c r="O69" i="5"/>
  <c r="P69" i="5" s="1"/>
  <c r="O179" i="5"/>
  <c r="P179" i="5" s="1"/>
  <c r="O161" i="5"/>
  <c r="P161" i="5" s="1"/>
  <c r="O128" i="5"/>
  <c r="P128" i="5" s="1"/>
  <c r="O87" i="5"/>
  <c r="P87" i="5" s="1"/>
  <c r="O210" i="5"/>
  <c r="P210" i="5" s="1"/>
  <c r="O88" i="5"/>
  <c r="P88" i="5" s="1"/>
  <c r="O165" i="5"/>
  <c r="P165" i="5" s="1"/>
  <c r="O108" i="5"/>
  <c r="P108" i="5" s="1"/>
  <c r="O47" i="5"/>
  <c r="O152" i="5"/>
  <c r="P152" i="5" s="1"/>
  <c r="O155" i="5"/>
  <c r="P155" i="5" s="1"/>
  <c r="O22" i="5"/>
  <c r="O178" i="5"/>
  <c r="P178" i="5" s="1"/>
  <c r="O91" i="5"/>
  <c r="P91" i="5" s="1"/>
  <c r="O198" i="5"/>
  <c r="P198" i="5" s="1"/>
  <c r="O19" i="5"/>
  <c r="P19" i="5" s="1"/>
  <c r="O196" i="5"/>
  <c r="P196" i="5" s="1"/>
  <c r="O55" i="5"/>
  <c r="P55" i="5" s="1"/>
  <c r="O171" i="5"/>
  <c r="P171" i="5" s="1"/>
  <c r="O119" i="5"/>
  <c r="P119" i="5" s="1"/>
  <c r="O181" i="5"/>
  <c r="P181" i="5" s="1"/>
  <c r="O61" i="5"/>
  <c r="P61" i="5" s="1"/>
  <c r="O97" i="5"/>
  <c r="P97" i="5" s="1"/>
  <c r="O205" i="5"/>
  <c r="P205" i="5" s="1"/>
  <c r="EL112" i="12" l="1"/>
  <c r="AA112" i="12"/>
  <c r="AI112" i="12" s="1"/>
  <c r="AB113" i="12"/>
  <c r="AH113" i="12"/>
  <c r="AG113" i="12"/>
  <c r="AC113" i="12"/>
  <c r="AE113" i="12"/>
  <c r="AF113" i="12"/>
  <c r="Q132" i="12"/>
  <c r="P12" i="5"/>
  <c r="P13" i="5" s="1"/>
  <c r="R37" i="12"/>
  <c r="P14" i="5"/>
  <c r="P21" i="5"/>
  <c r="P22" i="5"/>
  <c r="ER95" i="12"/>
  <c r="EL113" i="12" l="1"/>
  <c r="A120" i="2"/>
  <c r="AA113" i="12"/>
  <c r="AI113" i="12" s="1"/>
  <c r="Q133" i="12"/>
  <c r="AC114" i="12" s="1"/>
  <c r="A121" i="2" s="1"/>
  <c r="R38" i="12"/>
  <c r="P23" i="5"/>
  <c r="P24" i="5"/>
  <c r="ES95" i="12"/>
  <c r="P28" i="5" l="1"/>
  <c r="P29" i="5" s="1"/>
  <c r="AE114" i="12"/>
  <c r="AD114" i="12"/>
  <c r="AH114" i="12"/>
  <c r="AG114" i="12"/>
  <c r="AB114" i="12"/>
  <c r="AA114" i="12" s="1"/>
  <c r="AI114" i="12" s="1"/>
  <c r="AF114" i="12"/>
  <c r="Q134" i="12"/>
  <c r="AG115" i="12" s="1"/>
  <c r="R39" i="12"/>
  <c r="P42" i="5"/>
  <c r="P46" i="5"/>
  <c r="P32" i="5" l="1"/>
  <c r="P33" i="5" s="1"/>
  <c r="P43" i="5" s="1"/>
  <c r="EL114" i="12"/>
  <c r="AE115" i="12"/>
  <c r="AF115" i="12"/>
  <c r="AB115" i="12"/>
  <c r="AD115" i="12"/>
  <c r="AC115" i="12"/>
  <c r="AH115" i="12"/>
  <c r="Q135" i="12"/>
  <c r="AD116" i="12" s="1"/>
  <c r="R40" i="12"/>
  <c r="P47" i="5"/>
  <c r="P44" i="5" l="1"/>
  <c r="P45" i="5" s="1"/>
  <c r="EL115" i="12"/>
  <c r="AA115" i="12"/>
  <c r="AI115" i="12" s="1"/>
  <c r="A122" i="2"/>
  <c r="AB116" i="12"/>
  <c r="AG116" i="12"/>
  <c r="AC116" i="12"/>
  <c r="A123" i="2" s="1"/>
  <c r="AF116" i="12"/>
  <c r="Q136" i="12"/>
  <c r="AG117" i="12" s="1"/>
  <c r="EV3" i="12"/>
  <c r="EW3" i="12" s="1"/>
  <c r="R41" i="12"/>
  <c r="EV205" i="12"/>
  <c r="EW205" i="12" s="1"/>
  <c r="EV355" i="12"/>
  <c r="EW355" i="12" s="1"/>
  <c r="EV18" i="12"/>
  <c r="EW18" i="12" s="1"/>
  <c r="EV15" i="12"/>
  <c r="EW15" i="12" s="1"/>
  <c r="EV237" i="12"/>
  <c r="EW237" i="12" s="1"/>
  <c r="EV298" i="12"/>
  <c r="EW298" i="12" s="1"/>
  <c r="EV66" i="12"/>
  <c r="EW66" i="12" s="1"/>
  <c r="EV12" i="12"/>
  <c r="EW12" i="12" s="1"/>
  <c r="EV159" i="12"/>
  <c r="EW159" i="12" s="1"/>
  <c r="EV199" i="12"/>
  <c r="EW199" i="12" s="1"/>
  <c r="EV251" i="12"/>
  <c r="EW251" i="12" s="1"/>
  <c r="EV371" i="12"/>
  <c r="EW371" i="12" s="1"/>
  <c r="EV263" i="12"/>
  <c r="EW263" i="12" s="1"/>
  <c r="EV343" i="12"/>
  <c r="EW343" i="12" s="1"/>
  <c r="EV323" i="12"/>
  <c r="EW323" i="12" s="1"/>
  <c r="EV145" i="12"/>
  <c r="EW145" i="12" s="1"/>
  <c r="EV187" i="12"/>
  <c r="EW187" i="12" s="1"/>
  <c r="EV197" i="12"/>
  <c r="EW197" i="12" s="1"/>
  <c r="EV280" i="12"/>
  <c r="EW280" i="12" s="1"/>
  <c r="EV268" i="12"/>
  <c r="EW268" i="12" s="1"/>
  <c r="EV95" i="12"/>
  <c r="EW95" i="12" s="1"/>
  <c r="EV394" i="12"/>
  <c r="EW394" i="12" s="1"/>
  <c r="EV49" i="12"/>
  <c r="EW49" i="12" s="1"/>
  <c r="EV151" i="12"/>
  <c r="EW151" i="12" s="1"/>
  <c r="EV174" i="12"/>
  <c r="EW174" i="12" s="1"/>
  <c r="EV181" i="12"/>
  <c r="EW181" i="12" s="1"/>
  <c r="EV113" i="12"/>
  <c r="EW113" i="12" s="1"/>
  <c r="EV101" i="12"/>
  <c r="EW101" i="12" s="1"/>
  <c r="EV155" i="12"/>
  <c r="EW155" i="12" s="1"/>
  <c r="EV118" i="12"/>
  <c r="EW118" i="12" s="1"/>
  <c r="EV236" i="12"/>
  <c r="EW236" i="12" s="1"/>
  <c r="EV88" i="12"/>
  <c r="EW88" i="12" s="1"/>
  <c r="EV166" i="12"/>
  <c r="EW166" i="12" s="1"/>
  <c r="EV44" i="12"/>
  <c r="EW44" i="12" s="1"/>
  <c r="EV5" i="12"/>
  <c r="EW5" i="12" s="1"/>
  <c r="EV62" i="12"/>
  <c r="EW62" i="12" s="1"/>
  <c r="EV48" i="12"/>
  <c r="EW48" i="12" s="1"/>
  <c r="EV398" i="12"/>
  <c r="EW398" i="12" s="1"/>
  <c r="EV352" i="12"/>
  <c r="EW352" i="12" s="1"/>
  <c r="EV348" i="12"/>
  <c r="EW348" i="12" s="1"/>
  <c r="EV23" i="12" l="1"/>
  <c r="EW23" i="12" s="1"/>
  <c r="EV91" i="12"/>
  <c r="EW91" i="12" s="1"/>
  <c r="EV283" i="12"/>
  <c r="EW283" i="12" s="1"/>
  <c r="EV332" i="12"/>
  <c r="EW332" i="12" s="1"/>
  <c r="EV249" i="12"/>
  <c r="EW249" i="12" s="1"/>
  <c r="EV213" i="12"/>
  <c r="EW213" i="12" s="1"/>
  <c r="EV244" i="12"/>
  <c r="EW244" i="12" s="1"/>
  <c r="EV123" i="12"/>
  <c r="EW123" i="12" s="1"/>
  <c r="EV173" i="12"/>
  <c r="EW173" i="12" s="1"/>
  <c r="EV73" i="12"/>
  <c r="EW73" i="12" s="1"/>
  <c r="EV234" i="12"/>
  <c r="EW234" i="12" s="1"/>
  <c r="EV358" i="12"/>
  <c r="EW358" i="12" s="1"/>
  <c r="EV52" i="12"/>
  <c r="EW52" i="12" s="1"/>
  <c r="EV57" i="12"/>
  <c r="EW57" i="12" s="1"/>
  <c r="EV67" i="12"/>
  <c r="EW67" i="12" s="1"/>
  <c r="EX67" i="12" s="1"/>
  <c r="EY67" i="12" s="1"/>
  <c r="EV282" i="12"/>
  <c r="EW282" i="12" s="1"/>
  <c r="EV47" i="12"/>
  <c r="EW47" i="12" s="1"/>
  <c r="EV387" i="12"/>
  <c r="EW387" i="12" s="1"/>
  <c r="EV45" i="12"/>
  <c r="EW45" i="12" s="1"/>
  <c r="EV112" i="12"/>
  <c r="EW112" i="12" s="1"/>
  <c r="EV380" i="12"/>
  <c r="EW380" i="12" s="1"/>
  <c r="EV365" i="12"/>
  <c r="EW365" i="12" s="1"/>
  <c r="EV146" i="12"/>
  <c r="EW146" i="12" s="1"/>
  <c r="EV230" i="12"/>
  <c r="EW230" i="12" s="1"/>
  <c r="EV172" i="12"/>
  <c r="EW172" i="12" s="1"/>
  <c r="EV258" i="12"/>
  <c r="EW258" i="12" s="1"/>
  <c r="EV200" i="12"/>
  <c r="EW200" i="12" s="1"/>
  <c r="EV306" i="12"/>
  <c r="EW306" i="12" s="1"/>
  <c r="EV53" i="12"/>
  <c r="EW53" i="12" s="1"/>
  <c r="EV124" i="12"/>
  <c r="EW124" i="12" s="1"/>
  <c r="EV265" i="12"/>
  <c r="EW265" i="12" s="1"/>
  <c r="EV325" i="12"/>
  <c r="EW325" i="12" s="1"/>
  <c r="EV59" i="12"/>
  <c r="EW59" i="12" s="1"/>
  <c r="EV154" i="12"/>
  <c r="EW154" i="12" s="1"/>
  <c r="EV176" i="12"/>
  <c r="EW176" i="12" s="1"/>
  <c r="EV356" i="12"/>
  <c r="EW356" i="12" s="1"/>
  <c r="EV271" i="12"/>
  <c r="EW271" i="12" s="1"/>
  <c r="EV335" i="12"/>
  <c r="EW335" i="12" s="1"/>
  <c r="EV8" i="12"/>
  <c r="EW8" i="12" s="1"/>
  <c r="EV314" i="12"/>
  <c r="EW314" i="12" s="1"/>
  <c r="EV285" i="12"/>
  <c r="EW285" i="12" s="1"/>
  <c r="EV248" i="12"/>
  <c r="EW248" i="12" s="1"/>
  <c r="EV11" i="12"/>
  <c r="EW11" i="12" s="1"/>
  <c r="EX12" i="12" s="1"/>
  <c r="EY12" i="12" s="1"/>
  <c r="EV4" i="12"/>
  <c r="EW4" i="12" s="1"/>
  <c r="EV177" i="12"/>
  <c r="EW177" i="12" s="1"/>
  <c r="EV254" i="12"/>
  <c r="EW254" i="12" s="1"/>
  <c r="EV184" i="12"/>
  <c r="EW184" i="12" s="1"/>
  <c r="EV289" i="12"/>
  <c r="EW289" i="12" s="1"/>
  <c r="EV77" i="12"/>
  <c r="EW77" i="12" s="1"/>
  <c r="EV85" i="12"/>
  <c r="EW85" i="12" s="1"/>
  <c r="EV33" i="12"/>
  <c r="EW33" i="12" s="1"/>
  <c r="EV294" i="12"/>
  <c r="EW294" i="12" s="1"/>
  <c r="EV308" i="12"/>
  <c r="EW308" i="12" s="1"/>
  <c r="EV129" i="12"/>
  <c r="EW129" i="12" s="1"/>
  <c r="EV311" i="12"/>
  <c r="EW311" i="12" s="1"/>
  <c r="EV223" i="12"/>
  <c r="EW223" i="12" s="1"/>
  <c r="EV180" i="12"/>
  <c r="EW180" i="12" s="1"/>
  <c r="EV40" i="12"/>
  <c r="EW40" i="12" s="1"/>
  <c r="EV279" i="12"/>
  <c r="EW279" i="12" s="1"/>
  <c r="EV72" i="12"/>
  <c r="EW72" i="12" s="1"/>
  <c r="EX73" i="12" s="1"/>
  <c r="EY73" i="12" s="1"/>
  <c r="EV83" i="12"/>
  <c r="EW83" i="12" s="1"/>
  <c r="EV376" i="12"/>
  <c r="EW376" i="12" s="1"/>
  <c r="EV22" i="12"/>
  <c r="EW22" i="12" s="1"/>
  <c r="EX23" i="12" s="1"/>
  <c r="EY23" i="12" s="1"/>
  <c r="EV344" i="12"/>
  <c r="EW344" i="12" s="1"/>
  <c r="EX344" i="12" s="1"/>
  <c r="EY344" i="12" s="1"/>
  <c r="EV54" i="12"/>
  <c r="EW54" i="12" s="1"/>
  <c r="EV226" i="12"/>
  <c r="EW226" i="12" s="1"/>
  <c r="EV276" i="12"/>
  <c r="EW276" i="12" s="1"/>
  <c r="EV152" i="12"/>
  <c r="EW152" i="12" s="1"/>
  <c r="EX152" i="12" s="1"/>
  <c r="EY152" i="12" s="1"/>
  <c r="EV42" i="12"/>
  <c r="EW42" i="12" s="1"/>
  <c r="EV92" i="12"/>
  <c r="EW92" i="12" s="1"/>
  <c r="EV14" i="12"/>
  <c r="EW14" i="12" s="1"/>
  <c r="EX15" i="12" s="1"/>
  <c r="EY15" i="12" s="1"/>
  <c r="EV39" i="12"/>
  <c r="EW39" i="12" s="1"/>
  <c r="EV169" i="12"/>
  <c r="EW169" i="12" s="1"/>
  <c r="EV100" i="12"/>
  <c r="EW100" i="12" s="1"/>
  <c r="EV345" i="12"/>
  <c r="EW345" i="12" s="1"/>
  <c r="EV191" i="12"/>
  <c r="EW191" i="12" s="1"/>
  <c r="EV243" i="12"/>
  <c r="EW243" i="12" s="1"/>
  <c r="EV259" i="12"/>
  <c r="EW259" i="12" s="1"/>
  <c r="EV107" i="12"/>
  <c r="EW107" i="12" s="1"/>
  <c r="EV217" i="12"/>
  <c r="EW217" i="12" s="1"/>
  <c r="EV16" i="12"/>
  <c r="EW16" i="12" s="1"/>
  <c r="EV379" i="12"/>
  <c r="EW379" i="12" s="1"/>
  <c r="EV165" i="12"/>
  <c r="EW165" i="12" s="1"/>
  <c r="EV208" i="12"/>
  <c r="EW208" i="12" s="1"/>
  <c r="EV350" i="12"/>
  <c r="EW350" i="12" s="1"/>
  <c r="EV6" i="12"/>
  <c r="EW6" i="12" s="1"/>
  <c r="EV336" i="12"/>
  <c r="EW336" i="12" s="1"/>
  <c r="EX336" i="12" s="1"/>
  <c r="EY336" i="12" s="1"/>
  <c r="EV24" i="12"/>
  <c r="EW24" i="12" s="1"/>
  <c r="EV304" i="12"/>
  <c r="EW304" i="12" s="1"/>
  <c r="EV370" i="12"/>
  <c r="EW370" i="12" s="1"/>
  <c r="EX371" i="12" s="1"/>
  <c r="EY371" i="12" s="1"/>
  <c r="EV98" i="12"/>
  <c r="EW98" i="12" s="1"/>
  <c r="EV300" i="12"/>
  <c r="EW300" i="12" s="1"/>
  <c r="EV369" i="12"/>
  <c r="EW369" i="12" s="1"/>
  <c r="EV185" i="12"/>
  <c r="EW185" i="12" s="1"/>
  <c r="EV202" i="12"/>
  <c r="EW202" i="12" s="1"/>
  <c r="EV167" i="12"/>
  <c r="EW167" i="12" s="1"/>
  <c r="EX167" i="12" s="1"/>
  <c r="EY167" i="12" s="1"/>
  <c r="EV183" i="12"/>
  <c r="EW183" i="12" s="1"/>
  <c r="EV273" i="12"/>
  <c r="EW273" i="12" s="1"/>
  <c r="EV351" i="12"/>
  <c r="EW351" i="12" s="1"/>
  <c r="EX352" i="12" s="1"/>
  <c r="EY352" i="12" s="1"/>
  <c r="EV130" i="12"/>
  <c r="EW130" i="12" s="1"/>
  <c r="EX130" i="12" s="1"/>
  <c r="EY130" i="12" s="1"/>
  <c r="EV111" i="12"/>
  <c r="EW111" i="12" s="1"/>
  <c r="EX112" i="12" s="1"/>
  <c r="EY112" i="12" s="1"/>
  <c r="EV225" i="12"/>
  <c r="EW225" i="12" s="1"/>
  <c r="EV299" i="12"/>
  <c r="EW299" i="12" s="1"/>
  <c r="EX299" i="12" s="1"/>
  <c r="EY299" i="12" s="1"/>
  <c r="EV65" i="12"/>
  <c r="EW65" i="12" s="1"/>
  <c r="EV127" i="12"/>
  <c r="EW127" i="12" s="1"/>
  <c r="EV363" i="12"/>
  <c r="EW363" i="12" s="1"/>
  <c r="EV270" i="12"/>
  <c r="EW270" i="12" s="1"/>
  <c r="EV220" i="12"/>
  <c r="EW220" i="12" s="1"/>
  <c r="EV125" i="12"/>
  <c r="EW125" i="12" s="1"/>
  <c r="EV389" i="12"/>
  <c r="EW389" i="12" s="1"/>
  <c r="EV79" i="12"/>
  <c r="EW79" i="12" s="1"/>
  <c r="EV148" i="12"/>
  <c r="EW148" i="12" s="1"/>
  <c r="EV76" i="12"/>
  <c r="EW76" i="12" s="1"/>
  <c r="EV35" i="12"/>
  <c r="EW35" i="12" s="1"/>
  <c r="EV313" i="12"/>
  <c r="EW313" i="12" s="1"/>
  <c r="EV51" i="12"/>
  <c r="EW51" i="12" s="1"/>
  <c r="EX52" i="12" s="1"/>
  <c r="EY52" i="12" s="1"/>
  <c r="EV38" i="12"/>
  <c r="EW38" i="12" s="1"/>
  <c r="EV368" i="12"/>
  <c r="EW368" i="12" s="1"/>
  <c r="EV233" i="12"/>
  <c r="EW233" i="12" s="1"/>
  <c r="EX234" i="12" s="1"/>
  <c r="EY234" i="12" s="1"/>
  <c r="EV82" i="12"/>
  <c r="EW82" i="12" s="1"/>
  <c r="EV97" i="12"/>
  <c r="EW97" i="12" s="1"/>
  <c r="EV222" i="12"/>
  <c r="EW222" i="12" s="1"/>
  <c r="EV150" i="12"/>
  <c r="EW150" i="12" s="1"/>
  <c r="EX151" i="12" s="1"/>
  <c r="EY151" i="12" s="1"/>
  <c r="EV211" i="12"/>
  <c r="EW211" i="12" s="1"/>
  <c r="EV310" i="12"/>
  <c r="EW310" i="12" s="1"/>
  <c r="EV250" i="12"/>
  <c r="EW250" i="12" s="1"/>
  <c r="EV90" i="12"/>
  <c r="EW90" i="12" s="1"/>
  <c r="EX91" i="12" s="1"/>
  <c r="EY91" i="12" s="1"/>
  <c r="EV275" i="12"/>
  <c r="EW275" i="12" s="1"/>
  <c r="EV207" i="12"/>
  <c r="EW207" i="12" s="1"/>
  <c r="EV163" i="12"/>
  <c r="EW163" i="12" s="1"/>
  <c r="EV339" i="12"/>
  <c r="EW339" i="12" s="1"/>
  <c r="EV307" i="12"/>
  <c r="EW307" i="12" s="1"/>
  <c r="EX307" i="12" s="1"/>
  <c r="EY307" i="12" s="1"/>
  <c r="EV133" i="12"/>
  <c r="EW133" i="12" s="1"/>
  <c r="EV99" i="12"/>
  <c r="EW99" i="12" s="1"/>
  <c r="EV272" i="12"/>
  <c r="EW272" i="12" s="1"/>
  <c r="EX272" i="12" s="1"/>
  <c r="EY272" i="12" s="1"/>
  <c r="EV105" i="12"/>
  <c r="EW105" i="12" s="1"/>
  <c r="EV81" i="12"/>
  <c r="EW81" i="12" s="1"/>
  <c r="EV193" i="12"/>
  <c r="EW193" i="12" s="1"/>
  <c r="EV126" i="12"/>
  <c r="EW126" i="12" s="1"/>
  <c r="EV301" i="12"/>
  <c r="EW301" i="12" s="1"/>
  <c r="EX301" i="12" s="1"/>
  <c r="EY301" i="12" s="1"/>
  <c r="EV41" i="12"/>
  <c r="EW41" i="12" s="1"/>
  <c r="EV321" i="12"/>
  <c r="EW321" i="12" s="1"/>
  <c r="EV333" i="12"/>
  <c r="EW333" i="12" s="1"/>
  <c r="EX333" i="12" s="1"/>
  <c r="EY333" i="12" s="1"/>
  <c r="EV132" i="12"/>
  <c r="EW132" i="12" s="1"/>
  <c r="EV381" i="12"/>
  <c r="EW381" i="12" s="1"/>
  <c r="EV43" i="12"/>
  <c r="EW43" i="12" s="1"/>
  <c r="EV367" i="12"/>
  <c r="EW367" i="12" s="1"/>
  <c r="EX368" i="12" s="1"/>
  <c r="EY368" i="12" s="1"/>
  <c r="EV399" i="12"/>
  <c r="EW399" i="12" s="1"/>
  <c r="EV286" i="12"/>
  <c r="EW286" i="12" s="1"/>
  <c r="EV277" i="12"/>
  <c r="EW277" i="12" s="1"/>
  <c r="EV109" i="12"/>
  <c r="EW109" i="12" s="1"/>
  <c r="EV13" i="12"/>
  <c r="EW13" i="12" s="1"/>
  <c r="EX13" i="12" s="1"/>
  <c r="EY13" i="12" s="1"/>
  <c r="EV141" i="12"/>
  <c r="EW141" i="12" s="1"/>
  <c r="EV122" i="12"/>
  <c r="EW122" i="12" s="1"/>
  <c r="EV281" i="12"/>
  <c r="EW281" i="12" s="1"/>
  <c r="EX281" i="12" s="1"/>
  <c r="EY281" i="12" s="1"/>
  <c r="EV303" i="12"/>
  <c r="EW303" i="12" s="1"/>
  <c r="EV171" i="12"/>
  <c r="EW171" i="12" s="1"/>
  <c r="EV157" i="12"/>
  <c r="EW157" i="12" s="1"/>
  <c r="EV260" i="12"/>
  <c r="EW260" i="12" s="1"/>
  <c r="EX260" i="12" s="1"/>
  <c r="EY260" i="12" s="1"/>
  <c r="EV221" i="12"/>
  <c r="EW221" i="12" s="1"/>
  <c r="EX222" i="12" s="1"/>
  <c r="EY222" i="12" s="1"/>
  <c r="EV195" i="12"/>
  <c r="EW195" i="12" s="1"/>
  <c r="EV138" i="12"/>
  <c r="EW138" i="12" s="1"/>
  <c r="EV228" i="12"/>
  <c r="EW228" i="12" s="1"/>
  <c r="EV361" i="12"/>
  <c r="EW361" i="12" s="1"/>
  <c r="EV196" i="12"/>
  <c r="EW196" i="12" s="1"/>
  <c r="EV142" i="12"/>
  <c r="EW142" i="12" s="1"/>
  <c r="EV378" i="12"/>
  <c r="EW378" i="12" s="1"/>
  <c r="EX379" i="12" s="1"/>
  <c r="EY379" i="12" s="1"/>
  <c r="EV34" i="12"/>
  <c r="EW34" i="12" s="1"/>
  <c r="EX35" i="12" s="1"/>
  <c r="EY35" i="12" s="1"/>
  <c r="EV218" i="12"/>
  <c r="EW218" i="12" s="1"/>
  <c r="EV347" i="12"/>
  <c r="EW347" i="12" s="1"/>
  <c r="EV329" i="12"/>
  <c r="EW329" i="12" s="1"/>
  <c r="EV131" i="12"/>
  <c r="EW131" i="12" s="1"/>
  <c r="EX131" i="12" s="1"/>
  <c r="EY131" i="12" s="1"/>
  <c r="EV149" i="12"/>
  <c r="EW149" i="12" s="1"/>
  <c r="EV58" i="12"/>
  <c r="EW58" i="12" s="1"/>
  <c r="EX59" i="12" s="1"/>
  <c r="EY59" i="12" s="1"/>
  <c r="EV269" i="12"/>
  <c r="EW269" i="12" s="1"/>
  <c r="EX269" i="12" s="1"/>
  <c r="EY269" i="12" s="1"/>
  <c r="EV74" i="12"/>
  <c r="EW74" i="12" s="1"/>
  <c r="EX74" i="12" s="1"/>
  <c r="EY74" i="12" s="1"/>
  <c r="EV27" i="12"/>
  <c r="EW27" i="12" s="1"/>
  <c r="EV328" i="12"/>
  <c r="EW328" i="12" s="1"/>
  <c r="EV135" i="12"/>
  <c r="EW135" i="12" s="1"/>
  <c r="EV293" i="12"/>
  <c r="EW293" i="12" s="1"/>
  <c r="EV327" i="12"/>
  <c r="EW327" i="12" s="1"/>
  <c r="EV366" i="12"/>
  <c r="EW366" i="12" s="1"/>
  <c r="EX366" i="12" s="1"/>
  <c r="EY366" i="12" s="1"/>
  <c r="EV164" i="12"/>
  <c r="EW164" i="12" s="1"/>
  <c r="EV256" i="12"/>
  <c r="EW256" i="12" s="1"/>
  <c r="EV331" i="12"/>
  <c r="EW331" i="12" s="1"/>
  <c r="EX332" i="12" s="1"/>
  <c r="EY332" i="12" s="1"/>
  <c r="EV359" i="12"/>
  <c r="EW359" i="12" s="1"/>
  <c r="EV382" i="12"/>
  <c r="EW382" i="12" s="1"/>
  <c r="EV86" i="12"/>
  <c r="EW86" i="12" s="1"/>
  <c r="EX86" i="12" s="1"/>
  <c r="EY86" i="12" s="1"/>
  <c r="EV373" i="12"/>
  <c r="EW373" i="12" s="1"/>
  <c r="EV84" i="12"/>
  <c r="EW84" i="12" s="1"/>
  <c r="EX84" i="12" s="1"/>
  <c r="EY84" i="12" s="1"/>
  <c r="EV10" i="12"/>
  <c r="EW10" i="12" s="1"/>
  <c r="EV385" i="12"/>
  <c r="EW385" i="12" s="1"/>
  <c r="EV235" i="12"/>
  <c r="EW235" i="12" s="1"/>
  <c r="EX236" i="12" s="1"/>
  <c r="EY236" i="12" s="1"/>
  <c r="EV162" i="12"/>
  <c r="EW162" i="12" s="1"/>
  <c r="EX163" i="12" s="1"/>
  <c r="EY163" i="12" s="1"/>
  <c r="EV338" i="12"/>
  <c r="EW338" i="12" s="1"/>
  <c r="EV346" i="12"/>
  <c r="EW346" i="12" s="1"/>
  <c r="EV374" i="12"/>
  <c r="EW374" i="12" s="1"/>
  <c r="EX374" i="12" s="1"/>
  <c r="EY374" i="12" s="1"/>
  <c r="EV106" i="12"/>
  <c r="EW106" i="12" s="1"/>
  <c r="EV70" i="12"/>
  <c r="EW70" i="12" s="1"/>
  <c r="EV75" i="12"/>
  <c r="EW75" i="12" s="1"/>
  <c r="EX75" i="12" s="1"/>
  <c r="EY75" i="12" s="1"/>
  <c r="EV360" i="12"/>
  <c r="EW360" i="12" s="1"/>
  <c r="EV25" i="12"/>
  <c r="EW25" i="12" s="1"/>
  <c r="EV317" i="12"/>
  <c r="EW317" i="12" s="1"/>
  <c r="EV312" i="12"/>
  <c r="EW312" i="12" s="1"/>
  <c r="EV158" i="12"/>
  <c r="EW158" i="12" s="1"/>
  <c r="EX158" i="12" s="1"/>
  <c r="EY158" i="12" s="1"/>
  <c r="EV326" i="12"/>
  <c r="EW326" i="12" s="1"/>
  <c r="EV278" i="12"/>
  <c r="EW278" i="12" s="1"/>
  <c r="EX278" i="12" s="1"/>
  <c r="EY278" i="12" s="1"/>
  <c r="EV264" i="12"/>
  <c r="EW264" i="12" s="1"/>
  <c r="EX264" i="12" s="1"/>
  <c r="EY264" i="12" s="1"/>
  <c r="EV383" i="12"/>
  <c r="EW383" i="12" s="1"/>
  <c r="EV117" i="12"/>
  <c r="EW117" i="12" s="1"/>
  <c r="EX118" i="12" s="1"/>
  <c r="EY118" i="12" s="1"/>
  <c r="EV400" i="12"/>
  <c r="EW400" i="12" s="1"/>
  <c r="EV121" i="12"/>
  <c r="EW121" i="12" s="1"/>
  <c r="EX122" i="12" s="1"/>
  <c r="EY122" i="12" s="1"/>
  <c r="EV246" i="12"/>
  <c r="EW246" i="12" s="1"/>
  <c r="EV139" i="12"/>
  <c r="EW139" i="12" s="1"/>
  <c r="EX139" i="12" s="1"/>
  <c r="EY139" i="12" s="1"/>
  <c r="EV395" i="12"/>
  <c r="EW395" i="12" s="1"/>
  <c r="EX395" i="12" s="1"/>
  <c r="EY395" i="12" s="1"/>
  <c r="EV239" i="12"/>
  <c r="EW239" i="12" s="1"/>
  <c r="EV215" i="12"/>
  <c r="EW215" i="12" s="1"/>
  <c r="EV388" i="12"/>
  <c r="EW388" i="12" s="1"/>
  <c r="EX389" i="12" s="1"/>
  <c r="EY389" i="12" s="1"/>
  <c r="EV161" i="12"/>
  <c r="EW161" i="12" s="1"/>
  <c r="EV209" i="12"/>
  <c r="EW209" i="12" s="1"/>
  <c r="EV192" i="12"/>
  <c r="EW192" i="12" s="1"/>
  <c r="EV227" i="12"/>
  <c r="EW227" i="12" s="1"/>
  <c r="EV341" i="12"/>
  <c r="EW341" i="12" s="1"/>
  <c r="EV87" i="12"/>
  <c r="EW87" i="12" s="1"/>
  <c r="EX87" i="12" s="1"/>
  <c r="EY87" i="12" s="1"/>
  <c r="EV50" i="12"/>
  <c r="EW50" i="12" s="1"/>
  <c r="EX50" i="12" s="1"/>
  <c r="EY50" i="12" s="1"/>
  <c r="EV296" i="12"/>
  <c r="EW296" i="12" s="1"/>
  <c r="EV353" i="12"/>
  <c r="EW353" i="12" s="1"/>
  <c r="EX353" i="12" s="1"/>
  <c r="EY353" i="12" s="1"/>
  <c r="EV337" i="12"/>
  <c r="EW337" i="12" s="1"/>
  <c r="EV261" i="12"/>
  <c r="EW261" i="12" s="1"/>
  <c r="EV144" i="12"/>
  <c r="EW144" i="12" s="1"/>
  <c r="EX145" i="12" s="1"/>
  <c r="EY145" i="12" s="1"/>
  <c r="EV231" i="12"/>
  <c r="EW231" i="12" s="1"/>
  <c r="EV29" i="12"/>
  <c r="EW29" i="12" s="1"/>
  <c r="EV102" i="12"/>
  <c r="EW102" i="12" s="1"/>
  <c r="EX102" i="12" s="1"/>
  <c r="EY102" i="12" s="1"/>
  <c r="EV334" i="12"/>
  <c r="EW334" i="12" s="1"/>
  <c r="EV128" i="12"/>
  <c r="EW128" i="12" s="1"/>
  <c r="EX129" i="12" s="1"/>
  <c r="EY129" i="12" s="1"/>
  <c r="EV7" i="12"/>
  <c r="EW7" i="12" s="1"/>
  <c r="EV295" i="12"/>
  <c r="EW295" i="12" s="1"/>
  <c r="EV168" i="12"/>
  <c r="EW168" i="12" s="1"/>
  <c r="EV80" i="12"/>
  <c r="EW80" i="12" s="1"/>
  <c r="EX80" i="12" s="1"/>
  <c r="EY80" i="12" s="1"/>
  <c r="EV219" i="12"/>
  <c r="EW219" i="12" s="1"/>
  <c r="EV189" i="12"/>
  <c r="EW189" i="12" s="1"/>
  <c r="EV104" i="12"/>
  <c r="EW104" i="12" s="1"/>
  <c r="EV397" i="12"/>
  <c r="EW397" i="12" s="1"/>
  <c r="EX398" i="12" s="1"/>
  <c r="EY398" i="12" s="1"/>
  <c r="EV393" i="12"/>
  <c r="EW393" i="12" s="1"/>
  <c r="EV32" i="12"/>
  <c r="EW32" i="12" s="1"/>
  <c r="EX33" i="12" s="1"/>
  <c r="EY33" i="12" s="1"/>
  <c r="EV377" i="12"/>
  <c r="EW377" i="12" s="1"/>
  <c r="EX377" i="12" s="1"/>
  <c r="EY377" i="12" s="1"/>
  <c r="EV31" i="12"/>
  <c r="EW31" i="12" s="1"/>
  <c r="EV252" i="12"/>
  <c r="EW252" i="12" s="1"/>
  <c r="EX252" i="12" s="1"/>
  <c r="EY252" i="12" s="1"/>
  <c r="EV390" i="12"/>
  <c r="EW390" i="12" s="1"/>
  <c r="EX390" i="12" s="1"/>
  <c r="EY390" i="12" s="1"/>
  <c r="EV64" i="12"/>
  <c r="EW64" i="12" s="1"/>
  <c r="EV288" i="12"/>
  <c r="EW288" i="12" s="1"/>
  <c r="EV175" i="12"/>
  <c r="EW175" i="12" s="1"/>
  <c r="EX176" i="12" s="1"/>
  <c r="EY176" i="12" s="1"/>
  <c r="EV115" i="12"/>
  <c r="EW115" i="12" s="1"/>
  <c r="EV37" i="12"/>
  <c r="EW37" i="12" s="1"/>
  <c r="EV240" i="12"/>
  <c r="EW240" i="12" s="1"/>
  <c r="EV305" i="12"/>
  <c r="EW305" i="12" s="1"/>
  <c r="EX306" i="12" s="1"/>
  <c r="EY306" i="12" s="1"/>
  <c r="EV391" i="12"/>
  <c r="EW391" i="12" s="1"/>
  <c r="EX391" i="12" s="1"/>
  <c r="EY391" i="12" s="1"/>
  <c r="EV147" i="12"/>
  <c r="EW147" i="12" s="1"/>
  <c r="EV357" i="12"/>
  <c r="EW357" i="12" s="1"/>
  <c r="EX357" i="12" s="1"/>
  <c r="EY357" i="12" s="1"/>
  <c r="EV229" i="12"/>
  <c r="EW229" i="12" s="1"/>
  <c r="EV120" i="12"/>
  <c r="EW120" i="12" s="1"/>
  <c r="EV255" i="12"/>
  <c r="EW255" i="12" s="1"/>
  <c r="EX255" i="12" s="1"/>
  <c r="EY255" i="12" s="1"/>
  <c r="EV214" i="12"/>
  <c r="EW214" i="12" s="1"/>
  <c r="EX215" i="12" s="1"/>
  <c r="EY215" i="12" s="1"/>
  <c r="EV69" i="12"/>
  <c r="EW69" i="12" s="1"/>
  <c r="EV143" i="12"/>
  <c r="EW143" i="12" s="1"/>
  <c r="EV364" i="12"/>
  <c r="EW364" i="12" s="1"/>
  <c r="EX365" i="12" s="1"/>
  <c r="EY365" i="12" s="1"/>
  <c r="EV134" i="12"/>
  <c r="EW134" i="12" s="1"/>
  <c r="EX134" i="12" s="1"/>
  <c r="EY134" i="12" s="1"/>
  <c r="EV137" i="12"/>
  <c r="EW137" i="12" s="1"/>
  <c r="EV319" i="12"/>
  <c r="EW319" i="12" s="1"/>
  <c r="EV241" i="12"/>
  <c r="EW241" i="12" s="1"/>
  <c r="EV320" i="12"/>
  <c r="EW320" i="12" s="1"/>
  <c r="EX321" i="12" s="1"/>
  <c r="EY321" i="12" s="1"/>
  <c r="EV63" i="12"/>
  <c r="EW63" i="12" s="1"/>
  <c r="EX63" i="12" s="1"/>
  <c r="EY63" i="12" s="1"/>
  <c r="EV136" i="12"/>
  <c r="EW136" i="12" s="1"/>
  <c r="EV302" i="12"/>
  <c r="EW302" i="12" s="1"/>
  <c r="EV188" i="12"/>
  <c r="EW188" i="12" s="1"/>
  <c r="EV242" i="12"/>
  <c r="EW242" i="12" s="1"/>
  <c r="EV362" i="12"/>
  <c r="EW362" i="12" s="1"/>
  <c r="EX363" i="12" s="1"/>
  <c r="EY363" i="12" s="1"/>
  <c r="EV21" i="12"/>
  <c r="EW21" i="12" s="1"/>
  <c r="EV238" i="12"/>
  <c r="EW238" i="12" s="1"/>
  <c r="EX238" i="12" s="1"/>
  <c r="EY238" i="12" s="1"/>
  <c r="EV78" i="12"/>
  <c r="EW78" i="12" s="1"/>
  <c r="EV108" i="12"/>
  <c r="EW108" i="12" s="1"/>
  <c r="EV245" i="12"/>
  <c r="EW245" i="12" s="1"/>
  <c r="EV232" i="12"/>
  <c r="EW232" i="12" s="1"/>
  <c r="EV103" i="12"/>
  <c r="EW103" i="12" s="1"/>
  <c r="EV247" i="12"/>
  <c r="EW247" i="12" s="1"/>
  <c r="EX248" i="12" s="1"/>
  <c r="EY248" i="12" s="1"/>
  <c r="EV94" i="12"/>
  <c r="EW94" i="12" s="1"/>
  <c r="EX95" i="12" s="1"/>
  <c r="EY95" i="12" s="1"/>
  <c r="EV140" i="12"/>
  <c r="EW140" i="12" s="1"/>
  <c r="EX140" i="12" s="1"/>
  <c r="EY140" i="12" s="1"/>
  <c r="EV274" i="12"/>
  <c r="EW274" i="12" s="1"/>
  <c r="EX274" i="12" s="1"/>
  <c r="EY274" i="12" s="1"/>
  <c r="EV315" i="12"/>
  <c r="EW315" i="12" s="1"/>
  <c r="EV201" i="12"/>
  <c r="EW201" i="12" s="1"/>
  <c r="EX201" i="12" s="1"/>
  <c r="EY201" i="12" s="1"/>
  <c r="EV318" i="12"/>
  <c r="EW318" i="12" s="1"/>
  <c r="EX318" i="12" s="1"/>
  <c r="EY318" i="12" s="1"/>
  <c r="EV20" i="12"/>
  <c r="EW20" i="12" s="1"/>
  <c r="EV182" i="12"/>
  <c r="EW182" i="12" s="1"/>
  <c r="EX182" i="12" s="1"/>
  <c r="EY182" i="12" s="1"/>
  <c r="EV384" i="12"/>
  <c r="EW384" i="12" s="1"/>
  <c r="EV9" i="12"/>
  <c r="EW9" i="12" s="1"/>
  <c r="EX9" i="12" s="1"/>
  <c r="EY9" i="12" s="1"/>
  <c r="EV204" i="12"/>
  <c r="EW204" i="12" s="1"/>
  <c r="EX205" i="12" s="1"/>
  <c r="EY205" i="12" s="1"/>
  <c r="EV28" i="12"/>
  <c r="EW28" i="12" s="1"/>
  <c r="EX28" i="12" s="1"/>
  <c r="EY28" i="12" s="1"/>
  <c r="EV291" i="12"/>
  <c r="EW291" i="12" s="1"/>
  <c r="EV61" i="12"/>
  <c r="EW61" i="12" s="1"/>
  <c r="EX62" i="12" s="1"/>
  <c r="EY62" i="12" s="1"/>
  <c r="EV160" i="12"/>
  <c r="EW160" i="12" s="1"/>
  <c r="EV96" i="12"/>
  <c r="EW96" i="12" s="1"/>
  <c r="EX96" i="12" s="1"/>
  <c r="EY96" i="12" s="1"/>
  <c r="EV170" i="12"/>
  <c r="EW170" i="12" s="1"/>
  <c r="EX171" i="12" s="1"/>
  <c r="EY171" i="12" s="1"/>
  <c r="EV340" i="12"/>
  <c r="EW340" i="12" s="1"/>
  <c r="EX340" i="12" s="1"/>
  <c r="EY340" i="12" s="1"/>
  <c r="EV186" i="12"/>
  <c r="EW186" i="12" s="1"/>
  <c r="EX186" i="12" s="1"/>
  <c r="EY186" i="12" s="1"/>
  <c r="EV354" i="12"/>
  <c r="EW354" i="12" s="1"/>
  <c r="EX355" i="12" s="1"/>
  <c r="EY355" i="12" s="1"/>
  <c r="EV290" i="12"/>
  <c r="EW290" i="12" s="1"/>
  <c r="EV153" i="12"/>
  <c r="EW153" i="12" s="1"/>
  <c r="EX154" i="12" s="1"/>
  <c r="EY154" i="12" s="1"/>
  <c r="EV386" i="12"/>
  <c r="EW386" i="12" s="1"/>
  <c r="EX387" i="12" s="1"/>
  <c r="EY387" i="12" s="1"/>
  <c r="EV392" i="12"/>
  <c r="EW392" i="12" s="1"/>
  <c r="EV17" i="12"/>
  <c r="EW17" i="12" s="1"/>
  <c r="EX18" i="12" s="1"/>
  <c r="EY18" i="12" s="1"/>
  <c r="EV309" i="12"/>
  <c r="EW309" i="12" s="1"/>
  <c r="EX309" i="12" s="1"/>
  <c r="EY309" i="12" s="1"/>
  <c r="EV179" i="12"/>
  <c r="EW179" i="12" s="1"/>
  <c r="EX180" i="12" s="1"/>
  <c r="EY180" i="12" s="1"/>
  <c r="EV26" i="12"/>
  <c r="EW26" i="12" s="1"/>
  <c r="EX27" i="12" s="1"/>
  <c r="EY27" i="12" s="1"/>
  <c r="EV30" i="12"/>
  <c r="EW30" i="12" s="1"/>
  <c r="EV89" i="12"/>
  <c r="EW89" i="12" s="1"/>
  <c r="EV330" i="12"/>
  <c r="EW330" i="12" s="1"/>
  <c r="EV178" i="12"/>
  <c r="EW178" i="12" s="1"/>
  <c r="EX178" i="12" s="1"/>
  <c r="EY178" i="12" s="1"/>
  <c r="EV93" i="12"/>
  <c r="EW93" i="12" s="1"/>
  <c r="EX94" i="12" s="1"/>
  <c r="EY94" i="12" s="1"/>
  <c r="EV267" i="12"/>
  <c r="EW267" i="12" s="1"/>
  <c r="EX268" i="12" s="1"/>
  <c r="EY268" i="12" s="1"/>
  <c r="EV119" i="12"/>
  <c r="EW119" i="12" s="1"/>
  <c r="EX119" i="12" s="1"/>
  <c r="EY119" i="12" s="1"/>
  <c r="EV212" i="12"/>
  <c r="EW212" i="12" s="1"/>
  <c r="EX213" i="12" s="1"/>
  <c r="EY213" i="12" s="1"/>
  <c r="EV71" i="12"/>
  <c r="EW71" i="12" s="1"/>
  <c r="EV292" i="12"/>
  <c r="EW292" i="12" s="1"/>
  <c r="EV19" i="12"/>
  <c r="EW19" i="12" s="1"/>
  <c r="EX19" i="12" s="1"/>
  <c r="EY19" i="12" s="1"/>
  <c r="EV116" i="12"/>
  <c r="EW116" i="12" s="1"/>
  <c r="EX116" i="12" s="1"/>
  <c r="EY116" i="12" s="1"/>
  <c r="EV287" i="12"/>
  <c r="EW287" i="12" s="1"/>
  <c r="EV210" i="12"/>
  <c r="EW210" i="12" s="1"/>
  <c r="EV324" i="12"/>
  <c r="EW324" i="12" s="1"/>
  <c r="EX325" i="12" s="1"/>
  <c r="EY325" i="12" s="1"/>
  <c r="EV216" i="12"/>
  <c r="EW216" i="12" s="1"/>
  <c r="EX216" i="12" s="1"/>
  <c r="EY216" i="12" s="1"/>
  <c r="EV60" i="12"/>
  <c r="EW60" i="12" s="1"/>
  <c r="EV297" i="12"/>
  <c r="EW297" i="12" s="1"/>
  <c r="EV36" i="12"/>
  <c r="EW36" i="12" s="1"/>
  <c r="EV322" i="12"/>
  <c r="EW322" i="12" s="1"/>
  <c r="EX323" i="12" s="1"/>
  <c r="EY323" i="12" s="1"/>
  <c r="EV56" i="12"/>
  <c r="EW56" i="12" s="1"/>
  <c r="EX57" i="12" s="1"/>
  <c r="EY57" i="12" s="1"/>
  <c r="EV266" i="12"/>
  <c r="EW266" i="12" s="1"/>
  <c r="EX266" i="12" s="1"/>
  <c r="EY266" i="12" s="1"/>
  <c r="EV375" i="12"/>
  <c r="EW375" i="12" s="1"/>
  <c r="EV203" i="12"/>
  <c r="EW203" i="12" s="1"/>
  <c r="EV110" i="12"/>
  <c r="EW110" i="12" s="1"/>
  <c r="EX111" i="12" s="1"/>
  <c r="EY111" i="12" s="1"/>
  <c r="EV257" i="12"/>
  <c r="EW257" i="12" s="1"/>
  <c r="EX258" i="12" s="1"/>
  <c r="EY258" i="12" s="1"/>
  <c r="EV55" i="12"/>
  <c r="EW55" i="12" s="1"/>
  <c r="EX55" i="12" s="1"/>
  <c r="EY55" i="12" s="1"/>
  <c r="EV190" i="12"/>
  <c r="EW190" i="12" s="1"/>
  <c r="EV46" i="12"/>
  <c r="EW46" i="12" s="1"/>
  <c r="EX47" i="12" s="1"/>
  <c r="EY47" i="12" s="1"/>
  <c r="EV156" i="12"/>
  <c r="EW156" i="12" s="1"/>
  <c r="EX156" i="12" s="1"/>
  <c r="EY156" i="12" s="1"/>
  <c r="EV372" i="12"/>
  <c r="EW372" i="12" s="1"/>
  <c r="EV262" i="12"/>
  <c r="EW262" i="12" s="1"/>
  <c r="EX263" i="12" s="1"/>
  <c r="EY263" i="12" s="1"/>
  <c r="EV396" i="12"/>
  <c r="EW396" i="12" s="1"/>
  <c r="EV198" i="12"/>
  <c r="EW198" i="12" s="1"/>
  <c r="EX199" i="12" s="1"/>
  <c r="EY199" i="12" s="1"/>
  <c r="EV284" i="12"/>
  <c r="EW284" i="12" s="1"/>
  <c r="EX285" i="12" s="1"/>
  <c r="EY285" i="12" s="1"/>
  <c r="EV349" i="12"/>
  <c r="EW349" i="12" s="1"/>
  <c r="EX349" i="12" s="1"/>
  <c r="EY349" i="12" s="1"/>
  <c r="EV68" i="12"/>
  <c r="EW68" i="12" s="1"/>
  <c r="EV253" i="12"/>
  <c r="EW253" i="12" s="1"/>
  <c r="EX254" i="12" s="1"/>
  <c r="EY254" i="12" s="1"/>
  <c r="EV114" i="12"/>
  <c r="EW114" i="12" s="1"/>
  <c r="EV316" i="12"/>
  <c r="EW316" i="12" s="1"/>
  <c r="EX316" i="12" s="1"/>
  <c r="EY316" i="12" s="1"/>
  <c r="EV342" i="12"/>
  <c r="EW342" i="12" s="1"/>
  <c r="EX343" i="12" s="1"/>
  <c r="EY343" i="12" s="1"/>
  <c r="EV206" i="12"/>
  <c r="EW206" i="12" s="1"/>
  <c r="EX207" i="12" s="1"/>
  <c r="EY207" i="12" s="1"/>
  <c r="EV224" i="12"/>
  <c r="EW224" i="12" s="1"/>
  <c r="EX225" i="12" s="1"/>
  <c r="EY225" i="12" s="1"/>
  <c r="EV194" i="12"/>
  <c r="EW194" i="12" s="1"/>
  <c r="EX194" i="12" s="1"/>
  <c r="EY194" i="12" s="1"/>
  <c r="EV401" i="12"/>
  <c r="EW401" i="12" s="1"/>
  <c r="AA116" i="12"/>
  <c r="AI116" i="12" s="1"/>
  <c r="AB117" i="12"/>
  <c r="AH117" i="12"/>
  <c r="AC117" i="12"/>
  <c r="AF117" i="12"/>
  <c r="AE117" i="12"/>
  <c r="AD117" i="12"/>
  <c r="EX196" i="12"/>
  <c r="EY196" i="12" s="1"/>
  <c r="Q137" i="12"/>
  <c r="AF118" i="12" s="1"/>
  <c r="EX177" i="12"/>
  <c r="EY177" i="12" s="1"/>
  <c r="EX181" i="12"/>
  <c r="EY181" i="12" s="1"/>
  <c r="R42" i="12"/>
  <c r="EX280" i="12"/>
  <c r="EY280" i="12" s="1"/>
  <c r="EX43" i="12"/>
  <c r="EY43" i="12" s="1"/>
  <c r="EX42" i="12"/>
  <c r="EY42" i="12" s="1"/>
  <c r="EX98" i="12"/>
  <c r="EY98" i="12" s="1"/>
  <c r="EX41" i="12"/>
  <c r="EY41" i="12" s="1"/>
  <c r="EX44" i="12"/>
  <c r="EY44" i="12" s="1"/>
  <c r="EX251" i="12"/>
  <c r="EY251" i="12" s="1"/>
  <c r="EX127" i="12"/>
  <c r="EY127" i="12" s="1"/>
  <c r="EX249" i="12"/>
  <c r="EY249" i="12" s="1"/>
  <c r="EX380" i="12"/>
  <c r="EY380" i="12" s="1"/>
  <c r="EX100" i="12"/>
  <c r="EY100" i="12" s="1"/>
  <c r="EX113" i="12"/>
  <c r="EY113" i="12" s="1"/>
  <c r="EX356" i="12"/>
  <c r="EY356" i="12" s="1"/>
  <c r="EX123" i="12"/>
  <c r="EY123" i="12" s="1"/>
  <c r="EX172" i="12"/>
  <c r="EY172" i="12" s="1"/>
  <c r="EX169" i="12"/>
  <c r="EY169" i="12" s="1"/>
  <c r="EX174" i="12"/>
  <c r="EY174" i="12" s="1"/>
  <c r="EX155" i="12"/>
  <c r="EY155" i="12" s="1"/>
  <c r="EX197" i="12"/>
  <c r="EY197" i="12" s="1"/>
  <c r="EX348" i="12"/>
  <c r="EY348" i="12" s="1"/>
  <c r="EX124" i="12"/>
  <c r="EY124" i="12" s="1"/>
  <c r="EX237" i="12"/>
  <c r="EY237" i="12" s="1"/>
  <c r="EX45" i="12"/>
  <c r="EY45" i="12" s="1"/>
  <c r="EX298" i="12"/>
  <c r="EY298" i="12" s="1"/>
  <c r="EX16" i="12"/>
  <c r="EY16" i="12" s="1"/>
  <c r="EX48" i="12"/>
  <c r="EY48" i="12" s="1"/>
  <c r="EX200" i="12"/>
  <c r="EY200" i="12" s="1"/>
  <c r="EX38" i="12"/>
  <c r="EY38" i="12" s="1"/>
  <c r="EX335" i="12"/>
  <c r="EY335" i="12" s="1"/>
  <c r="EX92" i="12"/>
  <c r="EY92" i="12" s="1"/>
  <c r="EX101" i="12"/>
  <c r="EY101" i="12" s="1"/>
  <c r="EX328" i="12"/>
  <c r="EY328" i="12" s="1"/>
  <c r="EX58" i="12"/>
  <c r="EY58" i="12" s="1"/>
  <c r="EX286" i="12"/>
  <c r="EY286" i="12" s="1"/>
  <c r="EX381" i="12"/>
  <c r="EY381" i="12" s="1"/>
  <c r="EX126" i="12"/>
  <c r="EY126" i="12" s="1"/>
  <c r="EX193" i="12"/>
  <c r="EY193" i="12" s="1"/>
  <c r="EX250" i="12"/>
  <c r="EY250" i="12" s="1"/>
  <c r="EX188" i="12"/>
  <c r="EY188" i="12" s="1"/>
  <c r="EX227" i="12"/>
  <c r="EY227" i="12" s="1"/>
  <c r="EX49" i="12"/>
  <c r="EY49" i="12" s="1"/>
  <c r="EX53" i="12"/>
  <c r="EY53" i="12" s="1"/>
  <c r="EX173" i="12"/>
  <c r="EY173" i="12" s="1"/>
  <c r="EX125" i="12"/>
  <c r="EY125" i="12" s="1"/>
  <c r="EX369" i="12"/>
  <c r="EY369" i="12" s="1"/>
  <c r="EX370" i="12"/>
  <c r="EY370" i="12" s="1"/>
  <c r="EX259" i="12"/>
  <c r="EY259" i="12" s="1"/>
  <c r="EX226" i="12"/>
  <c r="EY226" i="12" s="1"/>
  <c r="EX54" i="12"/>
  <c r="EY54" i="12" s="1"/>
  <c r="EX77" i="12"/>
  <c r="EY77" i="12" s="1"/>
  <c r="EX219" i="12" l="1"/>
  <c r="EY219" i="12" s="1"/>
  <c r="EX190" i="12"/>
  <c r="EY190" i="12" s="1"/>
  <c r="EX392" i="12"/>
  <c r="EY392" i="12" s="1"/>
  <c r="EX304" i="12"/>
  <c r="EY304" i="12" s="1"/>
  <c r="EX133" i="12"/>
  <c r="EY133" i="12" s="1"/>
  <c r="EX326" i="12"/>
  <c r="EY326" i="12" s="1"/>
  <c r="EX282" i="12"/>
  <c r="EY282" i="12" s="1"/>
  <c r="EX81" i="12"/>
  <c r="EY81" i="12" s="1"/>
  <c r="EX231" i="12"/>
  <c r="EY231" i="12" s="1"/>
  <c r="EX283" i="12"/>
  <c r="EY283" i="12" s="1"/>
  <c r="EX230" i="12"/>
  <c r="EY230" i="12" s="1"/>
  <c r="EX314" i="12"/>
  <c r="EY314" i="12" s="1"/>
  <c r="EX315" i="12"/>
  <c r="EY315" i="12" s="1"/>
  <c r="EX241" i="12"/>
  <c r="EY241" i="12" s="1"/>
  <c r="EX341" i="12"/>
  <c r="EY341" i="12" s="1"/>
  <c r="EX311" i="12"/>
  <c r="EY311" i="12" s="1"/>
  <c r="EX147" i="12"/>
  <c r="EY147" i="12" s="1"/>
  <c r="EX141" i="12"/>
  <c r="EY141" i="12" s="1"/>
  <c r="EX146" i="12"/>
  <c r="EY146" i="12" s="1"/>
  <c r="EX68" i="12"/>
  <c r="EY68" i="12" s="1"/>
  <c r="EX244" i="12"/>
  <c r="EY244" i="12" s="1"/>
  <c r="EX8" i="12"/>
  <c r="EY8" i="12" s="1"/>
  <c r="EX90" i="12"/>
  <c r="EY90" i="12" s="1"/>
  <c r="EX232" i="12"/>
  <c r="EY232" i="12" s="1"/>
  <c r="EX245" i="12"/>
  <c r="EY245" i="12" s="1"/>
  <c r="EX10" i="12"/>
  <c r="EY10" i="12" s="1"/>
  <c r="EX135" i="12"/>
  <c r="EY135" i="12" s="1"/>
  <c r="EX339" i="12"/>
  <c r="EY339" i="12" s="1"/>
  <c r="EX270" i="12"/>
  <c r="EY270" i="12" s="1"/>
  <c r="EX202" i="12"/>
  <c r="EY202" i="12" s="1"/>
  <c r="EX99" i="12"/>
  <c r="EY99" i="12" s="1"/>
  <c r="EX165" i="12"/>
  <c r="EY165" i="12" s="1"/>
  <c r="EX279" i="12"/>
  <c r="EY279" i="12" s="1"/>
  <c r="EX184" i="12"/>
  <c r="EY184" i="12" s="1"/>
  <c r="EX128" i="12"/>
  <c r="EY128" i="12" s="1"/>
  <c r="EX214" i="12"/>
  <c r="EY214" i="12" s="1"/>
  <c r="EX310" i="12"/>
  <c r="EY310" i="12" s="1"/>
  <c r="EX11" i="12"/>
  <c r="EY11" i="12" s="1"/>
  <c r="EX166" i="12"/>
  <c r="EY166" i="12" s="1"/>
  <c r="EX273" i="12"/>
  <c r="EY273" i="12" s="1"/>
  <c r="EX330" i="12"/>
  <c r="EY330" i="12" s="1"/>
  <c r="EX161" i="12"/>
  <c r="EY161" i="12" s="1"/>
  <c r="EX79" i="12"/>
  <c r="EY79" i="12" s="1"/>
  <c r="EX70" i="12"/>
  <c r="EY70" i="12" s="1"/>
  <c r="EX313" i="12"/>
  <c r="EY313" i="12" s="1"/>
  <c r="EX346" i="12"/>
  <c r="EY346" i="12" s="1"/>
  <c r="EX271" i="12"/>
  <c r="EY271" i="12" s="1"/>
  <c r="EX397" i="12"/>
  <c r="EY397" i="12" s="1"/>
  <c r="EX71" i="12"/>
  <c r="EY71" i="12" s="1"/>
  <c r="EX22" i="12"/>
  <c r="EY22" i="12" s="1"/>
  <c r="EX107" i="12"/>
  <c r="EY107" i="12" s="1"/>
  <c r="EX358" i="12"/>
  <c r="EY358" i="12" s="1"/>
  <c r="EX89" i="12"/>
  <c r="EY89" i="12" s="1"/>
  <c r="EX150" i="12"/>
  <c r="EY150" i="12" s="1"/>
  <c r="EX203" i="12"/>
  <c r="EY203" i="12" s="1"/>
  <c r="EX108" i="12"/>
  <c r="EY108" i="12" s="1"/>
  <c r="EX136" i="12"/>
  <c r="EY136" i="12" s="1"/>
  <c r="EX261" i="12"/>
  <c r="EY261" i="12" s="1"/>
  <c r="EX383" i="12"/>
  <c r="EY383" i="12" s="1"/>
  <c r="EX319" i="12"/>
  <c r="EY319" i="12" s="1"/>
  <c r="EX189" i="12"/>
  <c r="EY189" i="12" s="1"/>
  <c r="EX115" i="12"/>
  <c r="EY115" i="12" s="1"/>
  <c r="EX373" i="12"/>
  <c r="EY373" i="12" s="1"/>
  <c r="EX375" i="12"/>
  <c r="EY375" i="12" s="1"/>
  <c r="EX384" i="12"/>
  <c r="EY384" i="12" s="1"/>
  <c r="EX159" i="12"/>
  <c r="EY159" i="12" s="1"/>
  <c r="EX235" i="12"/>
  <c r="EY235" i="12" s="1"/>
  <c r="EX183" i="12"/>
  <c r="EY183" i="12" s="1"/>
  <c r="EX354" i="12"/>
  <c r="EY354" i="12" s="1"/>
  <c r="EX97" i="12"/>
  <c r="EY97" i="12" s="1"/>
  <c r="EX338" i="12"/>
  <c r="EY338" i="12" s="1"/>
  <c r="EX276" i="12"/>
  <c r="EY276" i="12" s="1"/>
  <c r="EX233" i="12"/>
  <c r="EY233" i="12" s="1"/>
  <c r="EX288" i="12"/>
  <c r="EY288" i="12" s="1"/>
  <c r="EX31" i="12"/>
  <c r="EY31" i="12" s="1"/>
  <c r="EX334" i="12"/>
  <c r="EY334" i="12" s="1"/>
  <c r="EX228" i="12"/>
  <c r="EY228" i="12" s="1"/>
  <c r="EX277" i="12"/>
  <c r="EY277" i="12" s="1"/>
  <c r="EX185" i="12"/>
  <c r="EY185" i="12" s="1"/>
  <c r="EX320" i="12"/>
  <c r="EY320" i="12" s="1"/>
  <c r="EX382" i="12"/>
  <c r="EY382" i="12" s="1"/>
  <c r="EX109" i="12"/>
  <c r="EY109" i="12" s="1"/>
  <c r="EX262" i="12"/>
  <c r="EY262" i="12" s="1"/>
  <c r="EX322" i="12"/>
  <c r="EY322" i="12" s="1"/>
  <c r="EX195" i="12"/>
  <c r="EY195" i="12" s="1"/>
  <c r="EX267" i="12"/>
  <c r="EY267" i="12" s="1"/>
  <c r="EX351" i="12"/>
  <c r="EY351" i="12" s="1"/>
  <c r="EX206" i="12"/>
  <c r="EY206" i="12" s="1"/>
  <c r="EX327" i="12"/>
  <c r="EY327" i="12" s="1"/>
  <c r="EX329" i="12"/>
  <c r="EY329" i="12" s="1"/>
  <c r="EX78" i="12"/>
  <c r="EY78" i="12" s="1"/>
  <c r="EX198" i="12"/>
  <c r="EY198" i="12" s="1"/>
  <c r="EX32" i="12"/>
  <c r="EY32" i="12" s="1"/>
  <c r="EX246" i="12"/>
  <c r="EY246" i="12" s="1"/>
  <c r="EX350" i="12"/>
  <c r="EY350" i="12" s="1"/>
  <c r="EX247" i="12"/>
  <c r="EY247" i="12" s="1"/>
  <c r="EX378" i="12"/>
  <c r="EY378" i="12" s="1"/>
  <c r="EX157" i="12"/>
  <c r="EY157" i="12" s="1"/>
  <c r="EX317" i="12"/>
  <c r="EY317" i="12" s="1"/>
  <c r="EX61" i="12"/>
  <c r="EY61" i="12" s="1"/>
  <c r="EX142" i="12"/>
  <c r="EY142" i="12" s="1"/>
  <c r="EX220" i="12"/>
  <c r="EY220" i="12" s="1"/>
  <c r="EX362" i="12"/>
  <c r="EY362" i="12" s="1"/>
  <c r="EX289" i="12"/>
  <c r="EY289" i="12" s="1"/>
  <c r="EX179" i="12"/>
  <c r="EY179" i="12" s="1"/>
  <c r="EX292" i="12"/>
  <c r="EY292" i="12" s="1"/>
  <c r="EX297" i="12"/>
  <c r="EY297" i="12" s="1"/>
  <c r="EX26" i="12"/>
  <c r="EY26" i="12" s="1"/>
  <c r="EX360" i="12"/>
  <c r="EY360" i="12" s="1"/>
  <c r="EX143" i="12"/>
  <c r="EY143" i="12" s="1"/>
  <c r="EX291" i="12"/>
  <c r="EY291" i="12" s="1"/>
  <c r="EX359" i="12"/>
  <c r="EY359" i="12" s="1"/>
  <c r="EX256" i="12"/>
  <c r="EY256" i="12" s="1"/>
  <c r="EX396" i="12"/>
  <c r="EY396" i="12" s="1"/>
  <c r="EX287" i="12"/>
  <c r="EY287" i="12" s="1"/>
  <c r="EX37" i="12"/>
  <c r="EY37" i="12" s="1"/>
  <c r="EX21" i="12"/>
  <c r="EY21" i="12" s="1"/>
  <c r="EX104" i="12"/>
  <c r="EY104" i="12" s="1"/>
  <c r="EX242" i="12"/>
  <c r="EY242" i="12" s="1"/>
  <c r="EX138" i="12"/>
  <c r="EY138" i="12" s="1"/>
  <c r="EX393" i="12"/>
  <c r="EY393" i="12" s="1"/>
  <c r="EX29" i="12"/>
  <c r="EY29" i="12" s="1"/>
  <c r="EX210" i="12"/>
  <c r="EY210" i="12" s="1"/>
  <c r="EX239" i="12"/>
  <c r="EY239" i="12" s="1"/>
  <c r="EX121" i="12"/>
  <c r="EY121" i="12" s="1"/>
  <c r="EX347" i="12"/>
  <c r="EY347" i="12" s="1"/>
  <c r="EX385" i="12"/>
  <c r="EY385" i="12" s="1"/>
  <c r="EX257" i="12"/>
  <c r="EY257" i="12" s="1"/>
  <c r="EX293" i="12"/>
  <c r="EY293" i="12" s="1"/>
  <c r="EX361" i="12"/>
  <c r="EY361" i="12" s="1"/>
  <c r="EX400" i="12"/>
  <c r="EY400" i="12" s="1"/>
  <c r="EX105" i="12"/>
  <c r="EY105" i="12" s="1"/>
  <c r="EX212" i="12"/>
  <c r="EY212" i="12" s="1"/>
  <c r="EX82" i="12"/>
  <c r="EY82" i="12" s="1"/>
  <c r="EX148" i="12"/>
  <c r="EY148" i="12" s="1"/>
  <c r="EX65" i="12"/>
  <c r="EY65" i="12" s="1"/>
  <c r="EX300" i="12"/>
  <c r="EY300" i="12" s="1"/>
  <c r="EX25" i="12"/>
  <c r="EY25" i="12" s="1"/>
  <c r="EX208" i="12"/>
  <c r="EY208" i="12" s="1"/>
  <c r="EX218" i="12"/>
  <c r="EY218" i="12" s="1"/>
  <c r="EX192" i="12"/>
  <c r="EY192" i="12" s="1"/>
  <c r="EX39" i="12"/>
  <c r="EY39" i="12" s="1"/>
  <c r="EX223" i="12"/>
  <c r="EY223" i="12" s="1"/>
  <c r="EX295" i="12"/>
  <c r="EY295" i="12" s="1"/>
  <c r="EX117" i="12"/>
  <c r="EY117" i="12" s="1"/>
  <c r="EX388" i="12"/>
  <c r="EY388" i="12" s="1"/>
  <c r="EX296" i="12"/>
  <c r="EY296" i="12" s="1"/>
  <c r="EX364" i="12"/>
  <c r="EY364" i="12" s="1"/>
  <c r="EX162" i="12"/>
  <c r="EY162" i="12" s="1"/>
  <c r="EX164" i="12"/>
  <c r="EY164" i="12" s="1"/>
  <c r="EX85" i="12"/>
  <c r="EY85" i="12" s="1"/>
  <c r="EX60" i="12"/>
  <c r="EY60" i="12" s="1"/>
  <c r="EX367" i="12"/>
  <c r="EY367" i="12" s="1"/>
  <c r="EX144" i="12"/>
  <c r="EY144" i="12" s="1"/>
  <c r="EX168" i="12"/>
  <c r="EY168" i="12" s="1"/>
  <c r="EX394" i="12"/>
  <c r="EY394" i="12" s="1"/>
  <c r="EX294" i="12"/>
  <c r="EY294" i="12" s="1"/>
  <c r="EX376" i="12"/>
  <c r="EY376" i="12" s="1"/>
  <c r="EX76" i="12"/>
  <c r="EY76" i="12" s="1"/>
  <c r="EX284" i="12"/>
  <c r="EY284" i="12" s="1"/>
  <c r="EX64" i="12"/>
  <c r="EY64" i="12" s="1"/>
  <c r="EX51" i="12"/>
  <c r="EY51" i="12" s="1"/>
  <c r="EX253" i="12"/>
  <c r="EY253" i="12" s="1"/>
  <c r="EX24" i="12"/>
  <c r="EY24" i="12" s="1"/>
  <c r="EX331" i="12"/>
  <c r="EY331" i="12" s="1"/>
  <c r="EX14" i="12"/>
  <c r="EY14" i="12" s="1"/>
  <c r="EX137" i="12"/>
  <c r="EY137" i="12" s="1"/>
  <c r="EX160" i="12"/>
  <c r="EY160" i="12" s="1"/>
  <c r="EX40" i="12"/>
  <c r="EY40" i="12" s="1"/>
  <c r="EX386" i="12"/>
  <c r="EY386" i="12" s="1"/>
  <c r="EX36" i="12"/>
  <c r="EY36" i="12" s="1"/>
  <c r="EX175" i="12"/>
  <c r="EY175" i="12" s="1"/>
  <c r="EX221" i="12"/>
  <c r="EY221" i="12" s="1"/>
  <c r="EX120" i="12"/>
  <c r="EY120" i="12" s="1"/>
  <c r="EX302" i="12"/>
  <c r="EY302" i="12" s="1"/>
  <c r="EX34" i="12"/>
  <c r="EY34" i="12" s="1"/>
  <c r="EX345" i="12"/>
  <c r="EY345" i="12" s="1"/>
  <c r="EX240" i="12"/>
  <c r="EY240" i="12" s="1"/>
  <c r="EX308" i="12"/>
  <c r="EY308" i="12" s="1"/>
  <c r="EX399" i="12"/>
  <c r="EY399" i="12" s="1"/>
  <c r="EX303" i="12"/>
  <c r="EY303" i="12" s="1"/>
  <c r="EX149" i="12"/>
  <c r="EY149" i="12" s="1"/>
  <c r="EX265" i="12"/>
  <c r="EY265" i="12" s="1"/>
  <c r="EX88" i="12"/>
  <c r="EY88" i="12" s="1"/>
  <c r="EX153" i="12"/>
  <c r="EY153" i="12" s="1"/>
  <c r="EX114" i="12"/>
  <c r="EY114" i="12" s="1"/>
  <c r="EX305" i="12"/>
  <c r="EY305" i="12" s="1"/>
  <c r="EX72" i="12"/>
  <c r="EY72" i="12" s="1"/>
  <c r="EX191" i="12"/>
  <c r="EY191" i="12" s="1"/>
  <c r="EX217" i="12"/>
  <c r="EY217" i="12" s="1"/>
  <c r="EX103" i="12"/>
  <c r="EY103" i="12" s="1"/>
  <c r="EX20" i="12"/>
  <c r="EY20" i="12" s="1"/>
  <c r="EX372" i="12"/>
  <c r="EY372" i="12" s="1"/>
  <c r="EX209" i="12"/>
  <c r="EY209" i="12" s="1"/>
  <c r="EX337" i="12"/>
  <c r="EY337" i="12" s="1"/>
  <c r="EX132" i="12"/>
  <c r="EY132" i="12" s="1"/>
  <c r="EX275" i="12"/>
  <c r="EY275" i="12" s="1"/>
  <c r="EX229" i="12"/>
  <c r="EY229" i="12" s="1"/>
  <c r="EX66" i="12"/>
  <c r="EY66" i="12" s="1"/>
  <c r="EX187" i="12"/>
  <c r="EY187" i="12" s="1"/>
  <c r="EX83" i="12"/>
  <c r="EY83" i="12" s="1"/>
  <c r="EX69" i="12"/>
  <c r="EY69" i="12" s="1"/>
  <c r="EX290" i="12"/>
  <c r="EY290" i="12" s="1"/>
  <c r="EX106" i="12"/>
  <c r="EY106" i="12" s="1"/>
  <c r="EX224" i="12"/>
  <c r="EY224" i="12" s="1"/>
  <c r="EX243" i="12"/>
  <c r="EY243" i="12" s="1"/>
  <c r="EX324" i="12"/>
  <c r="EY324" i="12" s="1"/>
  <c r="EX312" i="12"/>
  <c r="EY312" i="12" s="1"/>
  <c r="EX211" i="12"/>
  <c r="EY211" i="12" s="1"/>
  <c r="EX204" i="12"/>
  <c r="EY204" i="12" s="1"/>
  <c r="EX170" i="12"/>
  <c r="EY170" i="12" s="1"/>
  <c r="EX56" i="12"/>
  <c r="EY56" i="12" s="1"/>
  <c r="EX30" i="12"/>
  <c r="EY30" i="12" s="1"/>
  <c r="EX342" i="12"/>
  <c r="EY342" i="12" s="1"/>
  <c r="EX110" i="12"/>
  <c r="EY110" i="12" s="1"/>
  <c r="EX93" i="12"/>
  <c r="EY93" i="12" s="1"/>
  <c r="EX17" i="12"/>
  <c r="EY17" i="12" s="1"/>
  <c r="EX46" i="12"/>
  <c r="EY46" i="12" s="1"/>
  <c r="EL117" i="12"/>
  <c r="A124" i="2"/>
  <c r="AA117" i="12"/>
  <c r="AI117" i="12" s="1"/>
  <c r="AG118" i="12"/>
  <c r="AC118" i="12"/>
  <c r="A125" i="2" s="1"/>
  <c r="AB118" i="12"/>
  <c r="AH118" i="12"/>
  <c r="AD118" i="12"/>
  <c r="AE118" i="12"/>
  <c r="Q138" i="12"/>
  <c r="R43" i="12"/>
  <c r="EL118" i="12" l="1"/>
  <c r="AA118" i="12"/>
  <c r="AI118" i="12" s="1"/>
  <c r="Q139" i="12"/>
  <c r="R44" i="12"/>
  <c r="Q140" i="12" l="1"/>
  <c r="R45" i="12"/>
  <c r="ER91" i="12"/>
  <c r="ES91" i="12" s="1"/>
  <c r="Q141" i="12" l="1"/>
  <c r="R46" i="12"/>
  <c r="ER94" i="12"/>
  <c r="Q142" i="12" l="1"/>
  <c r="R47" i="12"/>
  <c r="ES94" i="12"/>
  <c r="Q143" i="12" l="1"/>
  <c r="R48" i="12"/>
  <c r="Q144" i="12" l="1"/>
  <c r="Q145" i="12" s="1"/>
  <c r="Q146" i="12" s="1"/>
  <c r="Q147" i="12" s="1"/>
  <c r="Q148" i="12" s="1"/>
  <c r="Q149" i="12" s="1"/>
  <c r="Q150" i="12" s="1"/>
  <c r="Q151" i="12" s="1"/>
  <c r="Q152" i="12" s="1"/>
  <c r="Q153" i="12" s="1"/>
  <c r="Q154" i="12" s="1"/>
  <c r="Q155" i="12" s="1"/>
  <c r="Q156" i="12" s="1"/>
  <c r="Q157" i="12" s="1"/>
  <c r="Q158" i="12" s="1"/>
  <c r="Q159" i="12" s="1"/>
  <c r="Q160" i="12" s="1"/>
  <c r="Q161" i="12" s="1"/>
  <c r="Q162" i="12" s="1"/>
  <c r="Q163" i="12" s="1"/>
  <c r="Q164" i="12" s="1"/>
  <c r="Q165" i="12" s="1"/>
  <c r="Q166" i="12" s="1"/>
  <c r="Q167" i="12" s="1"/>
  <c r="Q168" i="12" s="1"/>
  <c r="Q169" i="12" s="1"/>
  <c r="Q170" i="12" s="1"/>
  <c r="Q171" i="12" s="1"/>
  <c r="Q172" i="12" s="1"/>
  <c r="Q173" i="12" s="1"/>
  <c r="Q174" i="12" s="1"/>
  <c r="Q175" i="12" s="1"/>
  <c r="Q176" i="12" s="1"/>
  <c r="Q177" i="12" s="1"/>
  <c r="Q178" i="12" s="1"/>
  <c r="Q179" i="12" s="1"/>
  <c r="Q180" i="12" s="1"/>
  <c r="Q181" i="12" s="1"/>
  <c r="Q182" i="12" s="1"/>
  <c r="Q183" i="12" s="1"/>
  <c r="Q184" i="12" s="1"/>
  <c r="Q185" i="12" s="1"/>
  <c r="R49" i="12"/>
  <c r="AC161" i="12" l="1"/>
  <c r="Q186" i="12"/>
  <c r="Q187" i="12" s="1"/>
  <c r="R50" i="12"/>
  <c r="AD163" i="12" l="1"/>
  <c r="Q188" i="12"/>
  <c r="Q189" i="12" s="1"/>
  <c r="Q190" i="12" s="1"/>
  <c r="Q191" i="12" s="1"/>
  <c r="Q192" i="12" s="1"/>
  <c r="Q193" i="12" s="1"/>
  <c r="Q194" i="12" s="1"/>
  <c r="Q195" i="12" s="1"/>
  <c r="Q196" i="12" s="1"/>
  <c r="Q197" i="12" s="1"/>
  <c r="Q198" i="12" s="1"/>
  <c r="Q199" i="12" s="1"/>
  <c r="Q200" i="12" s="1"/>
  <c r="Q201" i="12" s="1"/>
  <c r="Q202" i="12" s="1"/>
  <c r="Q203" i="12" s="1"/>
  <c r="Q204" i="12" s="1"/>
  <c r="Q205" i="12" s="1"/>
  <c r="Q206" i="12" s="1"/>
  <c r="Q207" i="12" s="1"/>
  <c r="Q208" i="12" s="1"/>
  <c r="Q209" i="12" s="1"/>
  <c r="Q210" i="12" s="1"/>
  <c r="Q211" i="12" s="1"/>
  <c r="Q212" i="12" s="1"/>
  <c r="Q213" i="12" s="1"/>
  <c r="Q214" i="12" s="1"/>
  <c r="Q215" i="12" s="1"/>
  <c r="Q216" i="12" s="1"/>
  <c r="Q217" i="12" s="1"/>
  <c r="Q218" i="12" s="1"/>
  <c r="Q219" i="12" s="1"/>
  <c r="Q220" i="12" s="1"/>
  <c r="Q221" i="12" s="1"/>
  <c r="Q222" i="12" s="1"/>
  <c r="Q223" i="12" s="1"/>
  <c r="Q224" i="12" s="1"/>
  <c r="Q225" i="12" s="1"/>
  <c r="Q226" i="12" s="1"/>
  <c r="Q227" i="12" s="1"/>
  <c r="Q228" i="12" s="1"/>
  <c r="Q229" i="12" s="1"/>
  <c r="Q230" i="12" s="1"/>
  <c r="Q231" i="12" s="1"/>
  <c r="Q232" i="12" s="1"/>
  <c r="Q233" i="12" s="1"/>
  <c r="Q234" i="12" s="1"/>
  <c r="Q235" i="12" s="1"/>
  <c r="Q236" i="12" s="1"/>
  <c r="Q237" i="12" s="1"/>
  <c r="Q238" i="12" s="1"/>
  <c r="Q239" i="12" s="1"/>
  <c r="Q240" i="12" s="1"/>
  <c r="Q241" i="12" s="1"/>
  <c r="Q242" i="12" s="1"/>
  <c r="Q243" i="12" s="1"/>
  <c r="Q244" i="12" s="1"/>
  <c r="Q245" i="12" s="1"/>
  <c r="Q246" i="12" s="1"/>
  <c r="Q247" i="12" s="1"/>
  <c r="Q248" i="12" s="1"/>
  <c r="Q249" i="12" s="1"/>
  <c r="Q250" i="12" s="1"/>
  <c r="Q251" i="12" s="1"/>
  <c r="Q252" i="12" s="1"/>
  <c r="Q253" i="12" s="1"/>
  <c r="Q254" i="12" s="1"/>
  <c r="Q255" i="12" s="1"/>
  <c r="Q256" i="12" s="1"/>
  <c r="Q257" i="12" s="1"/>
  <c r="Q258" i="12" s="1"/>
  <c r="Q259" i="12" s="1"/>
  <c r="Q260" i="12" s="1"/>
  <c r="Q261" i="12" s="1"/>
  <c r="Q262" i="12" s="1"/>
  <c r="Q263" i="12" s="1"/>
  <c r="Q264" i="12" s="1"/>
  <c r="Q265" i="12" s="1"/>
  <c r="Q266" i="12" s="1"/>
  <c r="Q267" i="12" s="1"/>
  <c r="Q268" i="12" s="1"/>
  <c r="Q269" i="12" s="1"/>
  <c r="Q270" i="12" s="1"/>
  <c r="Q271" i="12" s="1"/>
  <c r="Q272" i="12" s="1"/>
  <c r="Q273" i="12" s="1"/>
  <c r="Q274" i="12" s="1"/>
  <c r="Q275" i="12" s="1"/>
  <c r="Q276" i="12" s="1"/>
  <c r="Q277" i="12" s="1"/>
  <c r="Q278" i="12" s="1"/>
  <c r="Q279" i="12" s="1"/>
  <c r="Q280" i="12" s="1"/>
  <c r="Q281" i="12" s="1"/>
  <c r="Q282" i="12" s="1"/>
  <c r="Q283" i="12" s="1"/>
  <c r="Q284" i="12" s="1"/>
  <c r="Q285" i="12" s="1"/>
  <c r="Q286" i="12" s="1"/>
  <c r="Q287" i="12" s="1"/>
  <c r="Q288" i="12" s="1"/>
  <c r="Q289" i="12" s="1"/>
  <c r="Q290" i="12" s="1"/>
  <c r="Q291" i="12" s="1"/>
  <c r="Q292" i="12" s="1"/>
  <c r="Q293" i="12" s="1"/>
  <c r="Q294" i="12" s="1"/>
  <c r="Q295" i="12" s="1"/>
  <c r="Q296" i="12" s="1"/>
  <c r="Q297" i="12" s="1"/>
  <c r="Q298" i="12" s="1"/>
  <c r="Q299" i="12" s="1"/>
  <c r="Q300" i="12" s="1"/>
  <c r="Q301" i="12" s="1"/>
  <c r="Q302" i="12" s="1"/>
  <c r="Q303" i="12" s="1"/>
  <c r="Q304" i="12" s="1"/>
  <c r="Q305" i="12" s="1"/>
  <c r="Q306" i="12" s="1"/>
  <c r="Q307" i="12" s="1"/>
  <c r="Q308" i="12" s="1"/>
  <c r="Q309" i="12" s="1"/>
  <c r="Q310" i="12" s="1"/>
  <c r="Q311" i="12" s="1"/>
  <c r="Q312" i="12" s="1"/>
  <c r="Q313" i="12" s="1"/>
  <c r="Q314" i="12" s="1"/>
  <c r="Q315" i="12" s="1"/>
  <c r="Q316" i="12" s="1"/>
  <c r="Q317" i="12" s="1"/>
  <c r="Q318" i="12" s="1"/>
  <c r="Q319" i="12" s="1"/>
  <c r="Q320" i="12" s="1"/>
  <c r="Q321" i="12" s="1"/>
  <c r="Q322" i="12" s="1"/>
  <c r="Q323" i="12" s="1"/>
  <c r="Q324" i="12" s="1"/>
  <c r="Q325" i="12" s="1"/>
  <c r="Q326" i="12" s="1"/>
  <c r="Q327" i="12" s="1"/>
  <c r="Q328" i="12" s="1"/>
  <c r="Q329" i="12" s="1"/>
  <c r="Q330" i="12" s="1"/>
  <c r="Q331" i="12" s="1"/>
  <c r="Q332" i="12" s="1"/>
  <c r="Q333" i="12" s="1"/>
  <c r="Q334" i="12" s="1"/>
  <c r="Q335" i="12" s="1"/>
  <c r="Q336" i="12" s="1"/>
  <c r="Q337" i="12" s="1"/>
  <c r="Q338" i="12" s="1"/>
  <c r="Q339" i="12" s="1"/>
  <c r="Q340" i="12" s="1"/>
  <c r="Q341" i="12" s="1"/>
  <c r="Q342" i="12" s="1"/>
  <c r="Q343" i="12" s="1"/>
  <c r="Q344" i="12" s="1"/>
  <c r="Q345" i="12" s="1"/>
  <c r="Q346" i="12" s="1"/>
  <c r="Q347" i="12" s="1"/>
  <c r="Q348" i="12" s="1"/>
  <c r="Q349" i="12" s="1"/>
  <c r="Q350" i="12" s="1"/>
  <c r="Q351" i="12" s="1"/>
  <c r="Q352" i="12" s="1"/>
  <c r="Q353" i="12" s="1"/>
  <c r="Q354" i="12" s="1"/>
  <c r="Q355" i="12" s="1"/>
  <c r="Q356" i="12" s="1"/>
  <c r="Q357" i="12" s="1"/>
  <c r="Q358" i="12" s="1"/>
  <c r="Q359" i="12" s="1"/>
  <c r="Q360" i="12" s="1"/>
  <c r="Q361" i="12" s="1"/>
  <c r="Q362" i="12" s="1"/>
  <c r="Q363" i="12" s="1"/>
  <c r="Q364" i="12" s="1"/>
  <c r="Q365" i="12" s="1"/>
  <c r="Q366" i="12" s="1"/>
  <c r="Q367" i="12" s="1"/>
  <c r="Q368" i="12" s="1"/>
  <c r="Q369" i="12" s="1"/>
  <c r="Q370" i="12" s="1"/>
  <c r="Q371" i="12" s="1"/>
  <c r="Q372" i="12" s="1"/>
  <c r="Q373" i="12" s="1"/>
  <c r="Q374" i="12" s="1"/>
  <c r="Q375" i="12" s="1"/>
  <c r="Q376" i="12" s="1"/>
  <c r="Q377" i="12" s="1"/>
  <c r="Q378" i="12" s="1"/>
  <c r="Q379" i="12" s="1"/>
  <c r="A168" i="2"/>
  <c r="R51" i="12"/>
  <c r="Q380" i="12" l="1"/>
  <c r="Q381" i="12" s="1"/>
  <c r="R52" i="12"/>
  <c r="ER83" i="12"/>
  <c r="Q382" i="12" l="1"/>
  <c r="Q383" i="12" s="1"/>
  <c r="R53" i="12"/>
  <c r="ES83" i="12"/>
  <c r="ER84" i="12"/>
  <c r="ER85" i="12" s="1"/>
  <c r="ES85" i="12" s="1"/>
  <c r="ER86" i="12"/>
  <c r="AB345" i="12" l="1"/>
  <c r="Q384" i="12"/>
  <c r="Q385" i="12" s="1"/>
  <c r="Q386" i="12" s="1"/>
  <c r="Q387" i="12" s="1"/>
  <c r="R54" i="12"/>
  <c r="ES84" i="12"/>
  <c r="ER87" i="12"/>
  <c r="ES86" i="12"/>
  <c r="AJ348" i="12" l="1"/>
  <c r="Q388" i="12"/>
  <c r="Q389" i="12" s="1"/>
  <c r="R55" i="12"/>
  <c r="ES87" i="12"/>
  <c r="ER88" i="12"/>
  <c r="ES88" i="12" s="1"/>
  <c r="Q390" i="12" l="1"/>
  <c r="Q391" i="12" s="1"/>
  <c r="AH31" i="12"/>
  <c r="AG18" i="12"/>
  <c r="AD31" i="12"/>
  <c r="AH17" i="12"/>
  <c r="AF32" i="12"/>
  <c r="AF30" i="12"/>
  <c r="AC32" i="12"/>
  <c r="AG33" i="12"/>
  <c r="AB34" i="12"/>
  <c r="AC31" i="12"/>
  <c r="AC19" i="12"/>
  <c r="AG26" i="12"/>
  <c r="EL26" i="12" s="1"/>
  <c r="AD24" i="12"/>
  <c r="AE19" i="12"/>
  <c r="AD32" i="12"/>
  <c r="AB19" i="12"/>
  <c r="AG32" i="12"/>
  <c r="AE31" i="12"/>
  <c r="AH34" i="12"/>
  <c r="AE32" i="12"/>
  <c r="AC33" i="12"/>
  <c r="AG34" i="12"/>
  <c r="AB33" i="12"/>
  <c r="AD33" i="12"/>
  <c r="AF31" i="12"/>
  <c r="AH20" i="12"/>
  <c r="AF34" i="12"/>
  <c r="AF33" i="12"/>
  <c r="AC30" i="12"/>
  <c r="AE33" i="12"/>
  <c r="AG31" i="12"/>
  <c r="AB31" i="12"/>
  <c r="AH32" i="12"/>
  <c r="AH23" i="12"/>
  <c r="AC34" i="12"/>
  <c r="AH21" i="12"/>
  <c r="AG35" i="12"/>
  <c r="AE36" i="12"/>
  <c r="AB35" i="12"/>
  <c r="AE34" i="12"/>
  <c r="AC35" i="12"/>
  <c r="AH36" i="12"/>
  <c r="AD34" i="12"/>
  <c r="AE35" i="12"/>
  <c r="AD35" i="12"/>
  <c r="AB36" i="12"/>
  <c r="AG36" i="12"/>
  <c r="AF36" i="12"/>
  <c r="AD36" i="12"/>
  <c r="AH35" i="12"/>
  <c r="AC36" i="12"/>
  <c r="AF35" i="12"/>
  <c r="AB45" i="12"/>
  <c r="AA45" i="12" s="1"/>
  <c r="AI45" i="12" s="1"/>
  <c r="AC48" i="12"/>
  <c r="AD47" i="12"/>
  <c r="AG49" i="12"/>
  <c r="EL49" i="12" s="1"/>
  <c r="AC51" i="12"/>
  <c r="AH52" i="12"/>
  <c r="AG53" i="12"/>
  <c r="EL53" i="12" s="1"/>
  <c r="AG55" i="12"/>
  <c r="EL55" i="12" s="1"/>
  <c r="AB58" i="12"/>
  <c r="AA58" i="12" s="1"/>
  <c r="AI58" i="12" s="1"/>
  <c r="AD64" i="12"/>
  <c r="AG65" i="12"/>
  <c r="EL65" i="12" s="1"/>
  <c r="AD162" i="12"/>
  <c r="AC169" i="12"/>
  <c r="AD334" i="12"/>
  <c r="AF341" i="12"/>
  <c r="AH340" i="12"/>
  <c r="AG340" i="12"/>
  <c r="AC345" i="12"/>
  <c r="AG344" i="12"/>
  <c r="AD335" i="12"/>
  <c r="AE334" i="12"/>
  <c r="AJ339" i="12"/>
  <c r="AG336" i="12"/>
  <c r="AE340" i="12"/>
  <c r="AJ342" i="12"/>
  <c r="AG337" i="12"/>
  <c r="AH336" i="12"/>
  <c r="AH337" i="12"/>
  <c r="AB337" i="12"/>
  <c r="AC344" i="12"/>
  <c r="AE338" i="12"/>
  <c r="AB340" i="12"/>
  <c r="AC342" i="12"/>
  <c r="AE335" i="12"/>
  <c r="AE344" i="12"/>
  <c r="AB334" i="12"/>
  <c r="AG341" i="12"/>
  <c r="AD343" i="12"/>
  <c r="AC337" i="12"/>
  <c r="AJ338" i="12"/>
  <c r="AC340" i="12"/>
  <c r="AB341" i="12"/>
  <c r="AD336" i="12"/>
  <c r="AJ345" i="12"/>
  <c r="AB339" i="12"/>
  <c r="AD337" i="12"/>
  <c r="AE336" i="12"/>
  <c r="AB338" i="12"/>
  <c r="AJ343" i="12"/>
  <c r="AH343" i="12"/>
  <c r="AG345" i="12"/>
  <c r="AF334" i="12"/>
  <c r="AG339" i="12"/>
  <c r="AF336" i="12"/>
  <c r="AG334" i="12"/>
  <c r="AC335" i="12"/>
  <c r="AH334" i="12"/>
  <c r="AD342" i="12"/>
  <c r="AC263" i="12"/>
  <c r="AG128" i="12"/>
  <c r="AG278" i="12"/>
  <c r="AB235" i="12"/>
  <c r="AD300" i="12"/>
  <c r="AH170" i="12"/>
  <c r="AF148" i="12"/>
  <c r="AF236" i="12"/>
  <c r="AG217" i="12"/>
  <c r="AB258" i="12"/>
  <c r="AD122" i="12"/>
  <c r="AJ272" i="12"/>
  <c r="AB239" i="12"/>
  <c r="AJ333" i="12"/>
  <c r="AF316" i="12"/>
  <c r="AC127" i="12"/>
  <c r="AJ249" i="12"/>
  <c r="AD171" i="12"/>
  <c r="AD128" i="12"/>
  <c r="AG323" i="12"/>
  <c r="AF274" i="12"/>
  <c r="AH218" i="12"/>
  <c r="AD200" i="12"/>
  <c r="AG190" i="12"/>
  <c r="AB247" i="12"/>
  <c r="AE176" i="12"/>
  <c r="AG324" i="12"/>
  <c r="AE181" i="12"/>
  <c r="AD185" i="12"/>
  <c r="AD234" i="12"/>
  <c r="AF219" i="12"/>
  <c r="AC265" i="12"/>
  <c r="AJ263" i="12"/>
  <c r="AB259" i="12"/>
  <c r="AE138" i="12"/>
  <c r="AD217" i="12"/>
  <c r="AJ270" i="12"/>
  <c r="AH130" i="12"/>
  <c r="AD273" i="12"/>
  <c r="AC203" i="12"/>
  <c r="AF130" i="12"/>
  <c r="AE305" i="12"/>
  <c r="AJ227" i="12"/>
  <c r="AE292" i="12"/>
  <c r="AG187" i="12"/>
  <c r="AJ244" i="12"/>
  <c r="AH309" i="12"/>
  <c r="AE316" i="12"/>
  <c r="AE197" i="12"/>
  <c r="AJ313" i="12"/>
  <c r="AC328" i="12"/>
  <c r="AG232" i="12"/>
  <c r="AF121" i="12"/>
  <c r="AG219" i="12"/>
  <c r="AJ304" i="12"/>
  <c r="AH231" i="12"/>
  <c r="AE173" i="12"/>
  <c r="AE318" i="12"/>
  <c r="AH277" i="12"/>
  <c r="AJ299" i="12"/>
  <c r="AH269" i="12"/>
  <c r="AF125" i="12"/>
  <c r="AD253" i="12"/>
  <c r="AC262" i="12"/>
  <c r="AJ283" i="12"/>
  <c r="AF246" i="12"/>
  <c r="AC205" i="12"/>
  <c r="AD314" i="12"/>
  <c r="AD153" i="12"/>
  <c r="AB152" i="12"/>
  <c r="AE140" i="12"/>
  <c r="AE189" i="12"/>
  <c r="AG260" i="12"/>
  <c r="AF156" i="12"/>
  <c r="AE212" i="12"/>
  <c r="AC153" i="12"/>
  <c r="AB138" i="12"/>
  <c r="AE294" i="12"/>
  <c r="AJ234" i="12"/>
  <c r="AC181" i="12"/>
  <c r="AD138" i="12"/>
  <c r="AH145" i="12"/>
  <c r="AB314" i="12"/>
  <c r="AD249" i="12"/>
  <c r="AH125" i="12"/>
  <c r="AF299" i="12"/>
  <c r="AE217" i="12"/>
  <c r="AC273" i="12"/>
  <c r="AB197" i="12"/>
  <c r="AC302" i="12"/>
  <c r="AG127" i="12"/>
  <c r="AC227" i="12"/>
  <c r="AD241" i="12"/>
  <c r="AC142" i="12"/>
  <c r="AD288" i="12"/>
  <c r="AG156" i="12"/>
  <c r="AG135" i="12"/>
  <c r="AG122" i="12"/>
  <c r="AF333" i="12"/>
  <c r="AB246" i="12"/>
  <c r="AG287" i="12"/>
  <c r="AF213" i="12"/>
  <c r="AB212" i="12"/>
  <c r="AD327" i="12"/>
  <c r="AG186" i="12"/>
  <c r="AF193" i="12"/>
  <c r="AG202" i="12"/>
  <c r="AG314" i="12"/>
  <c r="AH283" i="12"/>
  <c r="AC332" i="12"/>
  <c r="AE178" i="12"/>
  <c r="AC193" i="12"/>
  <c r="AH301" i="12"/>
  <c r="AG319" i="12"/>
  <c r="AB131" i="12"/>
  <c r="AF229" i="12"/>
  <c r="AC163" i="12"/>
  <c r="AE159" i="12"/>
  <c r="AH264" i="12"/>
  <c r="AH142" i="12"/>
  <c r="AD280" i="12"/>
  <c r="AH165" i="12"/>
  <c r="AB293" i="12"/>
  <c r="AB254" i="12"/>
  <c r="AF248" i="12"/>
  <c r="AG170" i="12"/>
  <c r="AD184" i="12"/>
  <c r="AF314" i="12"/>
  <c r="AD269" i="12"/>
  <c r="AF199" i="12"/>
  <c r="AB256" i="12"/>
  <c r="AD331" i="12"/>
  <c r="AE226" i="12"/>
  <c r="AB208" i="12"/>
  <c r="AD212" i="12"/>
  <c r="AC249" i="12"/>
  <c r="AH120" i="12"/>
  <c r="AH135" i="12"/>
  <c r="AH254" i="12"/>
  <c r="AJ261" i="12"/>
  <c r="AF315" i="12"/>
  <c r="AG123" i="12"/>
  <c r="AB267" i="12"/>
  <c r="AC139" i="12"/>
  <c r="AE126" i="12"/>
  <c r="AF313" i="12"/>
  <c r="AD141" i="12"/>
  <c r="AB179" i="12"/>
  <c r="AC126" i="12"/>
  <c r="AG293" i="12"/>
  <c r="AE263" i="12"/>
  <c r="AB319" i="12"/>
  <c r="AC277" i="12"/>
  <c r="AH157" i="12"/>
  <c r="AB207" i="12"/>
  <c r="AE223" i="12"/>
  <c r="AH327" i="12"/>
  <c r="AD322" i="12"/>
  <c r="AC158" i="12"/>
  <c r="AG145" i="12"/>
  <c r="AG294" i="12"/>
  <c r="AF267" i="12"/>
  <c r="AG309" i="12"/>
  <c r="AD170" i="12"/>
  <c r="AE182" i="12"/>
  <c r="AC197" i="12"/>
  <c r="AG255" i="12"/>
  <c r="AG204" i="12"/>
  <c r="AB332" i="12"/>
  <c r="AG212" i="12"/>
  <c r="AB228" i="12"/>
  <c r="AG159" i="12"/>
  <c r="AG137" i="12"/>
  <c r="AB222" i="12"/>
  <c r="AE157" i="12"/>
  <c r="AG298" i="12"/>
  <c r="AF230" i="12"/>
  <c r="AB290" i="12"/>
  <c r="AB308" i="12"/>
  <c r="AD204" i="12"/>
  <c r="AH267" i="12"/>
  <c r="AG188" i="12"/>
  <c r="AF257" i="12"/>
  <c r="AG195" i="12"/>
  <c r="AD164" i="12"/>
  <c r="AF317" i="12"/>
  <c r="AH147" i="12"/>
  <c r="AJ323" i="12"/>
  <c r="AG143" i="12"/>
  <c r="AF129" i="12"/>
  <c r="AD318" i="12"/>
  <c r="AJ255" i="12"/>
  <c r="AD298" i="12"/>
  <c r="AC191" i="12"/>
  <c r="AJ230" i="12"/>
  <c r="AE289" i="12"/>
  <c r="AD224" i="12"/>
  <c r="AE167" i="12"/>
  <c r="AJ225" i="12"/>
  <c r="AB275" i="12"/>
  <c r="AB202" i="12"/>
  <c r="AF297" i="12"/>
  <c r="AB217" i="12"/>
  <c r="AH154" i="12"/>
  <c r="AD146" i="12"/>
  <c r="AB266" i="12"/>
  <c r="AG257" i="12"/>
  <c r="AH162" i="12"/>
  <c r="AH303" i="12"/>
  <c r="AB190" i="12"/>
  <c r="AJ296" i="12"/>
  <c r="AF309" i="12"/>
  <c r="AC134" i="12"/>
  <c r="AE230" i="12"/>
  <c r="AJ246" i="12"/>
  <c r="AJ268" i="12"/>
  <c r="AE168" i="12"/>
  <c r="AC133" i="12"/>
  <c r="AB274" i="12"/>
  <c r="AE141" i="12"/>
  <c r="AC303" i="12"/>
  <c r="AD274" i="12"/>
  <c r="AB237" i="12"/>
  <c r="AB292" i="12"/>
  <c r="AJ282" i="12"/>
  <c r="AC164" i="12"/>
  <c r="AB277" i="12"/>
  <c r="AJ293" i="12"/>
  <c r="AG211" i="12"/>
  <c r="AF138" i="12"/>
  <c r="AC323" i="12"/>
  <c r="AJ321" i="12"/>
  <c r="AJ278" i="12"/>
  <c r="AG210" i="12"/>
  <c r="AB140" i="12"/>
  <c r="AE278" i="12"/>
  <c r="AB191" i="12"/>
  <c r="AC319" i="12"/>
  <c r="AF168" i="12"/>
  <c r="AC253" i="12"/>
  <c r="AH204" i="12"/>
  <c r="AJ332" i="12"/>
  <c r="AG226" i="12"/>
  <c r="AG263" i="12"/>
  <c r="AC223" i="12"/>
  <c r="AC226" i="12"/>
  <c r="AJ258" i="12"/>
  <c r="AF252" i="12"/>
  <c r="AB204" i="12"/>
  <c r="AF179" i="12"/>
  <c r="AC211" i="12"/>
  <c r="AJ245" i="12"/>
  <c r="AF123" i="12"/>
  <c r="AC168" i="12"/>
  <c r="AD281" i="12"/>
  <c r="AJ241" i="12"/>
  <c r="AH184" i="12"/>
  <c r="AB209" i="12"/>
  <c r="AB121" i="12"/>
  <c r="AE229" i="12"/>
  <c r="AE161" i="12"/>
  <c r="AG326" i="12"/>
  <c r="AE268" i="12"/>
  <c r="AF324" i="12"/>
  <c r="AD326" i="12"/>
  <c r="AF207" i="12"/>
  <c r="AE210" i="12"/>
  <c r="AG215" i="12"/>
  <c r="AC326" i="12"/>
  <c r="AF232" i="12"/>
  <c r="AD295" i="12"/>
  <c r="AH225" i="12"/>
  <c r="AB176" i="12"/>
  <c r="AF273" i="12"/>
  <c r="AH175" i="12"/>
  <c r="AF330" i="12"/>
  <c r="AH306" i="12"/>
  <c r="AF212" i="12"/>
  <c r="AD309" i="12"/>
  <c r="AH268" i="12"/>
  <c r="AE331" i="12"/>
  <c r="AH173" i="12"/>
  <c r="AD179" i="12"/>
  <c r="AE287" i="12"/>
  <c r="AD329" i="12"/>
  <c r="AB136" i="12"/>
  <c r="AE244" i="12"/>
  <c r="AH151" i="12"/>
  <c r="AH201" i="12"/>
  <c r="AE184" i="12"/>
  <c r="AH329" i="12"/>
  <c r="AC195" i="12"/>
  <c r="AJ277" i="12"/>
  <c r="AG228" i="12"/>
  <c r="AB280" i="12"/>
  <c r="AG220" i="12"/>
  <c r="AC228" i="12"/>
  <c r="AH163" i="12"/>
  <c r="AE267" i="12"/>
  <c r="AD254" i="12"/>
  <c r="AH289" i="12"/>
  <c r="AF235" i="12"/>
  <c r="AG142" i="12"/>
  <c r="AF195" i="12"/>
  <c r="AF228" i="12"/>
  <c r="AG179" i="12"/>
  <c r="AB172" i="12"/>
  <c r="AF191" i="12"/>
  <c r="AF253" i="12"/>
  <c r="AH215" i="12"/>
  <c r="AB285" i="12"/>
  <c r="AE195" i="12"/>
  <c r="AG150" i="12"/>
  <c r="AG288" i="12"/>
  <c r="AG221" i="12"/>
  <c r="AC299" i="12"/>
  <c r="AB213" i="12"/>
  <c r="AH168" i="12"/>
  <c r="AF307" i="12"/>
  <c r="AH141" i="12"/>
  <c r="AC141" i="12"/>
  <c r="AF231" i="12"/>
  <c r="AJ286" i="12"/>
  <c r="AB184" i="12"/>
  <c r="AB119" i="12"/>
  <c r="AE153" i="12"/>
  <c r="AB214" i="12"/>
  <c r="AF187" i="12"/>
  <c r="AH210" i="12"/>
  <c r="AG153" i="12"/>
  <c r="AD272" i="12"/>
  <c r="AC255" i="12"/>
  <c r="AF259" i="12"/>
  <c r="AD246" i="12"/>
  <c r="AJ264" i="12"/>
  <c r="AC243" i="12"/>
  <c r="AF175" i="12"/>
  <c r="AF308" i="12"/>
  <c r="AF251" i="12"/>
  <c r="AH146" i="12"/>
  <c r="AE297" i="12"/>
  <c r="AG251" i="12"/>
  <c r="AB265" i="12"/>
  <c r="AC129" i="12"/>
  <c r="AD159" i="12"/>
  <c r="AB331" i="12"/>
  <c r="AG234" i="12"/>
  <c r="AF196" i="12"/>
  <c r="AC138" i="12"/>
  <c r="AD135" i="12"/>
  <c r="AF227" i="12"/>
  <c r="AG191" i="12"/>
  <c r="AB294" i="12"/>
  <c r="AG329" i="12"/>
  <c r="AJ247" i="12"/>
  <c r="AG213" i="12"/>
  <c r="AD308" i="12"/>
  <c r="AH272" i="12"/>
  <c r="AE250" i="12"/>
  <c r="AH271" i="12"/>
  <c r="AF158" i="12"/>
  <c r="AD302" i="12"/>
  <c r="AC317" i="12"/>
  <c r="AJ334" i="12"/>
  <c r="AE232" i="12"/>
  <c r="AB244" i="12"/>
  <c r="AD284" i="12"/>
  <c r="AD267" i="12"/>
  <c r="AG315" i="12"/>
  <c r="AG261" i="12"/>
  <c r="AG224" i="12"/>
  <c r="AC287" i="12"/>
  <c r="AD173" i="12"/>
  <c r="AE323" i="12"/>
  <c r="AB298" i="12"/>
  <c r="AC151" i="12"/>
  <c r="AE295" i="12"/>
  <c r="AB218" i="12"/>
  <c r="AD315" i="12"/>
  <c r="AG240" i="12"/>
  <c r="AE221" i="12"/>
  <c r="AH228" i="12"/>
  <c r="AH180" i="12"/>
  <c r="AC167" i="12"/>
  <c r="AB242" i="12"/>
  <c r="AF284" i="12"/>
  <c r="AH285" i="12"/>
  <c r="AB318" i="12"/>
  <c r="AE286" i="12"/>
  <c r="AD291" i="12"/>
  <c r="AB196" i="12"/>
  <c r="AD238" i="12"/>
  <c r="AH251" i="12"/>
  <c r="AB303" i="12"/>
  <c r="AB253" i="12"/>
  <c r="AB300" i="12"/>
  <c r="AG266" i="12"/>
  <c r="AE169" i="12"/>
  <c r="AE339" i="12"/>
  <c r="AJ336" i="12"/>
  <c r="AB252" i="12"/>
  <c r="AD197" i="12"/>
  <c r="AH282" i="12"/>
  <c r="AF201" i="12"/>
  <c r="AD299" i="12"/>
  <c r="AH174" i="12"/>
  <c r="AD339" i="12"/>
  <c r="AC341" i="12"/>
  <c r="AF340" i="12"/>
  <c r="AF339" i="12"/>
  <c r="AD340" i="12"/>
  <c r="AF335" i="12"/>
  <c r="AE343" i="12"/>
  <c r="AD328" i="12"/>
  <c r="AE260" i="12"/>
  <c r="AJ267" i="12"/>
  <c r="AJ301" i="12"/>
  <c r="AE262" i="12"/>
  <c r="AB161" i="12"/>
  <c r="AA161" i="12" s="1"/>
  <c r="AI161" i="12" s="1"/>
  <c r="AE240" i="12"/>
  <c r="AJ235" i="12"/>
  <c r="AC238" i="12"/>
  <c r="AB195" i="12"/>
  <c r="AH243" i="12"/>
  <c r="AH152" i="12"/>
  <c r="AC185" i="12"/>
  <c r="AC268" i="12"/>
  <c r="AH280" i="12"/>
  <c r="AD289" i="12"/>
  <c r="AE284" i="12"/>
  <c r="AG164" i="12"/>
  <c r="AG216" i="12"/>
  <c r="AC148" i="12"/>
  <c r="AD237" i="12"/>
  <c r="AD306" i="12"/>
  <c r="AJ262" i="12"/>
  <c r="AB273" i="12"/>
  <c r="AE156" i="12"/>
  <c r="AH186" i="12"/>
  <c r="AG176" i="12"/>
  <c r="AG271" i="12"/>
  <c r="AH194" i="12"/>
  <c r="AJ279" i="12"/>
  <c r="AD252" i="12"/>
  <c r="AG206" i="12"/>
  <c r="AG284" i="12"/>
  <c r="AD259" i="12"/>
  <c r="AF153" i="12"/>
  <c r="AG286" i="12"/>
  <c r="AF332" i="12"/>
  <c r="AH318" i="12"/>
  <c r="AC218" i="12"/>
  <c r="AE124" i="12"/>
  <c r="AH199" i="12"/>
  <c r="AG138" i="12"/>
  <c r="AG269" i="12"/>
  <c r="AD265" i="12"/>
  <c r="AJ237" i="12"/>
  <c r="AD188" i="12"/>
  <c r="AG152" i="12"/>
  <c r="AE133" i="12"/>
  <c r="AF173" i="12"/>
  <c r="AH185" i="12"/>
  <c r="AE310" i="12"/>
  <c r="AD193" i="12"/>
  <c r="AH167" i="12"/>
  <c r="AF127" i="12"/>
  <c r="AE125" i="12"/>
  <c r="AE222" i="12"/>
  <c r="AB171" i="12"/>
  <c r="AB162" i="12"/>
  <c r="AB232" i="12"/>
  <c r="AE194" i="12"/>
  <c r="AC201" i="12"/>
  <c r="AE149" i="12"/>
  <c r="AC304" i="12"/>
  <c r="AH229" i="12"/>
  <c r="AD333" i="12"/>
  <c r="AH240" i="12"/>
  <c r="AJ273" i="12"/>
  <c r="AJ330" i="12"/>
  <c r="AH263" i="12"/>
  <c r="AC322" i="12"/>
  <c r="AG209" i="12"/>
  <c r="AJ259" i="12"/>
  <c r="AG242" i="12"/>
  <c r="AD218" i="12"/>
  <c r="AF283" i="12"/>
  <c r="AJ309" i="12"/>
  <c r="AB183" i="12"/>
  <c r="AH169" i="12"/>
  <c r="AD119" i="12"/>
  <c r="AC199" i="12"/>
  <c r="AB160" i="12"/>
  <c r="AD149" i="12"/>
  <c r="AD208" i="12"/>
  <c r="AB211" i="12"/>
  <c r="AG272" i="12"/>
  <c r="AG289" i="12"/>
  <c r="AJ236" i="12"/>
  <c r="AD214" i="12"/>
  <c r="AF320" i="12"/>
  <c r="AB225" i="12"/>
  <c r="AB263" i="12"/>
  <c r="AB342" i="12"/>
  <c r="AE307" i="12"/>
  <c r="AE204" i="12"/>
  <c r="AB284" i="12"/>
  <c r="AH119" i="12"/>
  <c r="AJ284" i="12"/>
  <c r="AE203" i="12"/>
  <c r="AE128" i="12"/>
  <c r="AB236" i="12"/>
  <c r="AC183" i="12"/>
  <c r="AG194" i="12"/>
  <c r="AD132" i="12"/>
  <c r="AE121" i="12"/>
  <c r="AC237" i="12"/>
  <c r="AF243" i="12"/>
  <c r="AG222" i="12"/>
  <c r="AC119" i="12"/>
  <c r="AG295" i="12"/>
  <c r="AH234" i="12"/>
  <c r="AF311" i="12"/>
  <c r="AH235" i="12"/>
  <c r="AE143" i="12"/>
  <c r="AD313" i="12"/>
  <c r="AD227" i="12"/>
  <c r="AD210" i="12"/>
  <c r="AB304" i="12"/>
  <c r="AJ229" i="12"/>
  <c r="AH164" i="12"/>
  <c r="AF203" i="12"/>
  <c r="AC188" i="12"/>
  <c r="AB137" i="12"/>
  <c r="AD148" i="12"/>
  <c r="AB281" i="12"/>
  <c r="AB141" i="12"/>
  <c r="AC247" i="12"/>
  <c r="AB163" i="12"/>
  <c r="AG320" i="12"/>
  <c r="AE147" i="12"/>
  <c r="AC154" i="12"/>
  <c r="AG308" i="12"/>
  <c r="AF167" i="12"/>
  <c r="AC291" i="12"/>
  <c r="AJ300" i="12"/>
  <c r="AJ287" i="12"/>
  <c r="AC179" i="12"/>
  <c r="AF210" i="12"/>
  <c r="AE308" i="12"/>
  <c r="AE276" i="12"/>
  <c r="AJ325" i="12"/>
  <c r="AH171" i="12"/>
  <c r="AC248" i="12"/>
  <c r="AG280" i="12"/>
  <c r="AJ240" i="12"/>
  <c r="AF143" i="12"/>
  <c r="AD223" i="12"/>
  <c r="AE146" i="12"/>
  <c r="AG196" i="12"/>
  <c r="AE163" i="12"/>
  <c r="AE304" i="12"/>
  <c r="AE327" i="12"/>
  <c r="AG313" i="12"/>
  <c r="AF266" i="12"/>
  <c r="AE154" i="12"/>
  <c r="AC282" i="12"/>
  <c r="AC182" i="12"/>
  <c r="AF171" i="12"/>
  <c r="AD131" i="12"/>
  <c r="AJ317" i="12"/>
  <c r="AG270" i="12"/>
  <c r="AJ302" i="12"/>
  <c r="AH220" i="12"/>
  <c r="AC330" i="12"/>
  <c r="AH191" i="12"/>
  <c r="AG120" i="12"/>
  <c r="AG154" i="12"/>
  <c r="AH292" i="12"/>
  <c r="AJ248" i="12"/>
  <c r="AF272" i="12"/>
  <c r="AH182" i="12"/>
  <c r="AB188" i="12"/>
  <c r="AF214" i="12"/>
  <c r="AB177" i="12"/>
  <c r="AH246" i="12"/>
  <c r="AJ233" i="12"/>
  <c r="AD264" i="12"/>
  <c r="AD243" i="12"/>
  <c r="AB315" i="12"/>
  <c r="AF305" i="12"/>
  <c r="AG256" i="12"/>
  <c r="AG318" i="12"/>
  <c r="AH295" i="12"/>
  <c r="AB297" i="12"/>
  <c r="AG147" i="12"/>
  <c r="AE122" i="12"/>
  <c r="AC229" i="12"/>
  <c r="AB205" i="12"/>
  <c r="AH213" i="12"/>
  <c r="AD209" i="12"/>
  <c r="AG173" i="12"/>
  <c r="AH216" i="12"/>
  <c r="AH149" i="12"/>
  <c r="AC252" i="12"/>
  <c r="AC173" i="12"/>
  <c r="AJ327" i="12"/>
  <c r="AG168" i="12"/>
  <c r="AJ319" i="12"/>
  <c r="AH219" i="12"/>
  <c r="AD157" i="12"/>
  <c r="AG285" i="12"/>
  <c r="AJ305" i="12"/>
  <c r="AD189" i="12"/>
  <c r="AE302" i="12"/>
  <c r="AF132" i="12"/>
  <c r="AC306" i="12"/>
  <c r="AH255" i="12"/>
  <c r="AH188" i="12"/>
  <c r="AC209" i="12"/>
  <c r="AE253" i="12"/>
  <c r="AF172" i="12"/>
  <c r="AB124" i="12"/>
  <c r="AG330" i="12"/>
  <c r="AD175" i="12"/>
  <c r="AB169" i="12"/>
  <c r="AA169" i="12" s="1"/>
  <c r="AI169" i="12" s="1"/>
  <c r="AG245" i="12"/>
  <c r="AB181" i="12"/>
  <c r="AJ260" i="12"/>
  <c r="AC271" i="12"/>
  <c r="AC144" i="12"/>
  <c r="AF255" i="12"/>
  <c r="AJ303" i="12"/>
  <c r="AF162" i="12"/>
  <c r="AD120" i="12"/>
  <c r="AC137" i="12"/>
  <c r="AE242" i="12"/>
  <c r="AF226" i="12"/>
  <c r="AB203" i="12"/>
  <c r="AC281" i="12"/>
  <c r="AD129" i="12"/>
  <c r="AC232" i="12"/>
  <c r="AH197" i="12"/>
  <c r="AC320" i="12"/>
  <c r="AB122" i="12"/>
  <c r="AH333" i="12"/>
  <c r="AG250" i="12"/>
  <c r="AG165" i="12"/>
  <c r="AE220" i="12"/>
  <c r="AF126" i="12"/>
  <c r="AF250" i="12"/>
  <c r="AB130" i="12"/>
  <c r="AB133" i="12"/>
  <c r="AG317" i="12"/>
  <c r="AE190" i="12"/>
  <c r="AB238" i="12"/>
  <c r="AH155" i="12"/>
  <c r="AB226" i="12"/>
  <c r="AH227" i="12"/>
  <c r="AJ291" i="12"/>
  <c r="AB201" i="12"/>
  <c r="AJ275" i="12"/>
  <c r="AJ335" i="12"/>
  <c r="AD325" i="12"/>
  <c r="AH322" i="12"/>
  <c r="AE205" i="12"/>
  <c r="AD156" i="12"/>
  <c r="AC316" i="12"/>
  <c r="AB245" i="12"/>
  <c r="AD196" i="12"/>
  <c r="AH124" i="12"/>
  <c r="AB127" i="12"/>
  <c r="AE261" i="12"/>
  <c r="AD202" i="12"/>
  <c r="AE131" i="12"/>
  <c r="AH150" i="12"/>
  <c r="AG172" i="12"/>
  <c r="AB223" i="12"/>
  <c r="AG303" i="12"/>
  <c r="AH278" i="12"/>
  <c r="AC257" i="12"/>
  <c r="AB230" i="12"/>
  <c r="AB305" i="12"/>
  <c r="AC175" i="12"/>
  <c r="AE306" i="12"/>
  <c r="AJ337" i="12"/>
  <c r="AB221" i="12"/>
  <c r="AD321" i="12"/>
  <c r="AH310" i="12"/>
  <c r="AJ306" i="12"/>
  <c r="AD136" i="12"/>
  <c r="AH198" i="12"/>
  <c r="AB126" i="12"/>
  <c r="AH258" i="12"/>
  <c r="AE144" i="12"/>
  <c r="AE322" i="12"/>
  <c r="AB260" i="12"/>
  <c r="AF233" i="12"/>
  <c r="AB219" i="12"/>
  <c r="AH138" i="12"/>
  <c r="AD177" i="12"/>
  <c r="AF211" i="12"/>
  <c r="AE274" i="12"/>
  <c r="AB135" i="12"/>
  <c r="AC160" i="12"/>
  <c r="AH202" i="12"/>
  <c r="AD245" i="12"/>
  <c r="AB317" i="12"/>
  <c r="AC216" i="12"/>
  <c r="AF124" i="12"/>
  <c r="AF261" i="12"/>
  <c r="AH161" i="12"/>
  <c r="AG331" i="12"/>
  <c r="AG227" i="12"/>
  <c r="AG181" i="12"/>
  <c r="AF279" i="12"/>
  <c r="AD144" i="12"/>
  <c r="AF319" i="12"/>
  <c r="AD294" i="12"/>
  <c r="AF220" i="12"/>
  <c r="AH279" i="12"/>
  <c r="AC159" i="12"/>
  <c r="AG307" i="12"/>
  <c r="AG231" i="12"/>
  <c r="AD167" i="12"/>
  <c r="AG300" i="12"/>
  <c r="AJ252" i="12"/>
  <c r="AJ331" i="12"/>
  <c r="AD230" i="12"/>
  <c r="AE151" i="12"/>
  <c r="AG262" i="12"/>
  <c r="AC156" i="12"/>
  <c r="AC124" i="12"/>
  <c r="AF174" i="12"/>
  <c r="AC176" i="12"/>
  <c r="AF286" i="12"/>
  <c r="AH179" i="12"/>
  <c r="AH143" i="12"/>
  <c r="AB206" i="12"/>
  <c r="AH121" i="12"/>
  <c r="AF296" i="12"/>
  <c r="AC143" i="12"/>
  <c r="AH294" i="12"/>
  <c r="AD330" i="12"/>
  <c r="AJ290" i="12"/>
  <c r="AF239" i="12"/>
  <c r="AH153" i="12"/>
  <c r="AC293" i="12"/>
  <c r="AF161" i="12"/>
  <c r="AE165" i="12"/>
  <c r="AD139" i="12"/>
  <c r="AD134" i="12"/>
  <c r="AB271" i="12"/>
  <c r="AC150" i="12"/>
  <c r="AB146" i="12"/>
  <c r="AH221" i="12"/>
  <c r="AD211" i="12"/>
  <c r="AD251" i="12"/>
  <c r="AC189" i="12"/>
  <c r="AH195" i="12"/>
  <c r="AF177" i="12"/>
  <c r="AG174" i="12"/>
  <c r="AH284" i="12"/>
  <c r="AC333" i="12"/>
  <c r="AF254" i="12"/>
  <c r="AG279" i="12"/>
  <c r="AG244" i="12"/>
  <c r="AD203" i="12"/>
  <c r="AE166" i="12"/>
  <c r="AG283" i="12"/>
  <c r="AE290" i="12"/>
  <c r="AD233" i="12"/>
  <c r="AE272" i="12"/>
  <c r="AE312" i="12"/>
  <c r="AC309" i="12"/>
  <c r="AH296" i="12"/>
  <c r="AC231" i="12"/>
  <c r="AH297" i="12"/>
  <c r="AJ294" i="12"/>
  <c r="AH319" i="12"/>
  <c r="AG199" i="12"/>
  <c r="AH211" i="12"/>
  <c r="AG223" i="12"/>
  <c r="AE342" i="12"/>
  <c r="AE255" i="12"/>
  <c r="AC170" i="12"/>
  <c r="AC217" i="12"/>
  <c r="AF237" i="12"/>
  <c r="AG290" i="12"/>
  <c r="AH342" i="12"/>
  <c r="AC321" i="12"/>
  <c r="AE319" i="12"/>
  <c r="AG296" i="12"/>
  <c r="AC278" i="12"/>
  <c r="AB286" i="12"/>
  <c r="AC221" i="12"/>
  <c r="AE228" i="12"/>
  <c r="AH321" i="12"/>
  <c r="AD270" i="12"/>
  <c r="AC240" i="12"/>
  <c r="AE259" i="12"/>
  <c r="AG259" i="12"/>
  <c r="AH193" i="12"/>
  <c r="AB231" i="12"/>
  <c r="AF318" i="12"/>
  <c r="AD319" i="12"/>
  <c r="AH313" i="12"/>
  <c r="AH341" i="12"/>
  <c r="AF338" i="12"/>
  <c r="AG305" i="12"/>
  <c r="AH232" i="12"/>
  <c r="AG282" i="12"/>
  <c r="AB264" i="12"/>
  <c r="AB220" i="12"/>
  <c r="AC274" i="12"/>
  <c r="AF141" i="12"/>
  <c r="AB313" i="12"/>
  <c r="AF270" i="12"/>
  <c r="AB123" i="12"/>
  <c r="AG312" i="12"/>
  <c r="AD338" i="12"/>
  <c r="AE300" i="12"/>
  <c r="AH338" i="12"/>
  <c r="AJ340" i="12"/>
  <c r="AG338" i="12"/>
  <c r="AJ341" i="12"/>
  <c r="AF337" i="12"/>
  <c r="AC338" i="12"/>
  <c r="AG335" i="12"/>
  <c r="AH187" i="12"/>
  <c r="AC125" i="12"/>
  <c r="AE216" i="12"/>
  <c r="AB287" i="12"/>
  <c r="AH136" i="12"/>
  <c r="AE271" i="12"/>
  <c r="AB187" i="12"/>
  <c r="AB182" i="12"/>
  <c r="AH316" i="12"/>
  <c r="AC305" i="12"/>
  <c r="AE283" i="12"/>
  <c r="AB288" i="12"/>
  <c r="AE225" i="12"/>
  <c r="AC236" i="12"/>
  <c r="AG233" i="12"/>
  <c r="AE172" i="12"/>
  <c r="AE329" i="12"/>
  <c r="AF247" i="12"/>
  <c r="AC204" i="12"/>
  <c r="AC298" i="12"/>
  <c r="AF181" i="12"/>
  <c r="AF139" i="12"/>
  <c r="AD305" i="12"/>
  <c r="AB327" i="12"/>
  <c r="AD123" i="12"/>
  <c r="AF288" i="12"/>
  <c r="AF185" i="12"/>
  <c r="AB291" i="12"/>
  <c r="AJ308" i="12"/>
  <c r="AJ315" i="12"/>
  <c r="AH302" i="12"/>
  <c r="AH249" i="12"/>
  <c r="AJ274" i="12"/>
  <c r="AJ243" i="12"/>
  <c r="AG225" i="12"/>
  <c r="AH325" i="12"/>
  <c r="AE275" i="12"/>
  <c r="AH160" i="12"/>
  <c r="AG316" i="12"/>
  <c r="AE309" i="12"/>
  <c r="AC290" i="12"/>
  <c r="AG292" i="12"/>
  <c r="AG193" i="12"/>
  <c r="AE119" i="12"/>
  <c r="AE266" i="12"/>
  <c r="AH222" i="12"/>
  <c r="AD239" i="12"/>
  <c r="AB150" i="12"/>
  <c r="AD191" i="12"/>
  <c r="AG229" i="12"/>
  <c r="AH158" i="12"/>
  <c r="AD213" i="12"/>
  <c r="AJ297" i="12"/>
  <c r="AG160" i="12"/>
  <c r="AG151" i="12"/>
  <c r="AB129" i="12"/>
  <c r="AF278" i="12"/>
  <c r="AD190" i="12"/>
  <c r="AB320" i="12"/>
  <c r="AH330" i="12"/>
  <c r="AB125" i="12"/>
  <c r="AE239" i="12"/>
  <c r="AB164" i="12"/>
  <c r="AC172" i="12"/>
  <c r="AD174" i="12"/>
  <c r="AG169" i="12"/>
  <c r="AE314" i="12"/>
  <c r="AJ265" i="12"/>
  <c r="AB279" i="12"/>
  <c r="AE132" i="12"/>
  <c r="AG248" i="12"/>
  <c r="AE224" i="12"/>
  <c r="AF301" i="12"/>
  <c r="AH237" i="12"/>
  <c r="AG161" i="12"/>
  <c r="AE254" i="12"/>
  <c r="AG192" i="12"/>
  <c r="AC307" i="12"/>
  <c r="AD216" i="12"/>
  <c r="AJ242" i="12"/>
  <c r="AB166" i="12"/>
  <c r="AE207" i="12"/>
  <c r="AF323" i="12"/>
  <c r="AB251" i="12"/>
  <c r="AF204" i="12"/>
  <c r="AF269" i="12"/>
  <c r="AC235" i="12"/>
  <c r="AG291" i="12"/>
  <c r="AG124" i="12"/>
  <c r="AB128" i="12"/>
  <c r="AE213" i="12"/>
  <c r="AD323" i="12"/>
  <c r="AC152" i="12"/>
  <c r="AD178" i="12"/>
  <c r="AB167" i="12"/>
  <c r="AE273" i="12"/>
  <c r="AD236" i="12"/>
  <c r="AH298" i="12"/>
  <c r="AC155" i="12"/>
  <c r="AC177" i="12"/>
  <c r="AJ324" i="12"/>
  <c r="AE311" i="12"/>
  <c r="AE150" i="12"/>
  <c r="AG299" i="12"/>
  <c r="AH129" i="12"/>
  <c r="AC130" i="12"/>
  <c r="AE320" i="12"/>
  <c r="AH328" i="12"/>
  <c r="AF280" i="12"/>
  <c r="AH127" i="12"/>
  <c r="AE142" i="12"/>
  <c r="AE291" i="12"/>
  <c r="AF294" i="12"/>
  <c r="AF285" i="12"/>
  <c r="AG177" i="12"/>
  <c r="AG158" i="12"/>
  <c r="AG136" i="12"/>
  <c r="AD147" i="12"/>
  <c r="AD244" i="12"/>
  <c r="AC190" i="12"/>
  <c r="AC267" i="12"/>
  <c r="AB198" i="12"/>
  <c r="AJ250" i="12"/>
  <c r="AH253" i="12"/>
  <c r="AD187" i="12"/>
  <c r="AJ288" i="12"/>
  <c r="AC213" i="12"/>
  <c r="AH304" i="12"/>
  <c r="AG239" i="12"/>
  <c r="AC121" i="12"/>
  <c r="AJ280" i="12"/>
  <c r="AE238" i="12"/>
  <c r="AF160" i="12"/>
  <c r="AD242" i="12"/>
  <c r="AB299" i="12"/>
  <c r="AE148" i="12"/>
  <c r="AH203" i="12"/>
  <c r="AF128" i="12"/>
  <c r="AD297" i="12"/>
  <c r="AC219" i="12"/>
  <c r="AE257" i="12"/>
  <c r="AH266" i="12"/>
  <c r="AH148" i="12"/>
  <c r="AG201" i="12"/>
  <c r="AC210" i="12"/>
  <c r="AF298" i="12"/>
  <c r="AG131" i="12"/>
  <c r="AF329" i="12"/>
  <c r="AB194" i="12"/>
  <c r="AG183" i="12"/>
  <c r="AC132" i="12"/>
  <c r="AD127" i="12"/>
  <c r="AH223" i="12"/>
  <c r="AD143" i="12"/>
  <c r="AF303" i="12"/>
  <c r="AG140" i="12"/>
  <c r="AJ318" i="12"/>
  <c r="AC180" i="12"/>
  <c r="AC196" i="12"/>
  <c r="AC296" i="12"/>
  <c r="AG198" i="12"/>
  <c r="AF145" i="12"/>
  <c r="AF271" i="12"/>
  <c r="AH176" i="12"/>
  <c r="AH140" i="12"/>
  <c r="AE315" i="12"/>
  <c r="AF131" i="12"/>
  <c r="AB157" i="12"/>
  <c r="AC194" i="12"/>
  <c r="AD158" i="12"/>
  <c r="AH250" i="12"/>
  <c r="AF183" i="12"/>
  <c r="AD192" i="12"/>
  <c r="AD222" i="12"/>
  <c r="AH287" i="12"/>
  <c r="AB325" i="12"/>
  <c r="AH156" i="12"/>
  <c r="AF281" i="12"/>
  <c r="AE298" i="12"/>
  <c r="AB326" i="12"/>
  <c r="AG238" i="12"/>
  <c r="AF163" i="12"/>
  <c r="AD292" i="12"/>
  <c r="AH308" i="12"/>
  <c r="AG306" i="12"/>
  <c r="AB143" i="12"/>
  <c r="AJ281" i="12"/>
  <c r="AH239" i="12"/>
  <c r="AD199" i="12"/>
  <c r="AH315" i="12"/>
  <c r="AE202" i="12"/>
  <c r="AB185" i="12"/>
  <c r="AB262" i="12"/>
  <c r="AG197" i="12"/>
  <c r="AF290" i="12"/>
  <c r="AE120" i="12"/>
  <c r="AJ269" i="12"/>
  <c r="AB270" i="12"/>
  <c r="AD150" i="12"/>
  <c r="AC251" i="12"/>
  <c r="AH312" i="12"/>
  <c r="AB323" i="12"/>
  <c r="AF197" i="12"/>
  <c r="AE136" i="12"/>
  <c r="AG178" i="12"/>
  <c r="AG175" i="12"/>
  <c r="AG141" i="12"/>
  <c r="AB261" i="12"/>
  <c r="AG184" i="12"/>
  <c r="AG264" i="12"/>
  <c r="AC208" i="12"/>
  <c r="AE326" i="12"/>
  <c r="AD277" i="12"/>
  <c r="AJ326" i="12"/>
  <c r="AD255" i="12"/>
  <c r="AC266" i="12"/>
  <c r="AE248" i="12"/>
  <c r="AB174" i="12"/>
  <c r="AF134" i="12"/>
  <c r="AE201" i="12"/>
  <c r="AE332" i="12"/>
  <c r="AB324" i="12"/>
  <c r="AH244" i="12"/>
  <c r="AF166" i="12"/>
  <c r="AG247" i="12"/>
  <c r="AC187" i="12"/>
  <c r="AF282" i="12"/>
  <c r="AF249" i="12"/>
  <c r="AD290" i="12"/>
  <c r="AF200" i="12"/>
  <c r="AB156" i="12"/>
  <c r="AC280" i="12"/>
  <c r="AD215" i="12"/>
  <c r="AB240" i="12"/>
  <c r="AC192" i="12"/>
  <c r="AE192" i="12"/>
  <c r="AH217" i="12"/>
  <c r="AB147" i="12"/>
  <c r="AG205" i="12"/>
  <c r="AD166" i="12"/>
  <c r="AB307" i="12"/>
  <c r="AB328" i="12"/>
  <c r="AE328" i="12"/>
  <c r="AG274" i="12"/>
  <c r="AG162" i="12"/>
  <c r="AF142" i="12"/>
  <c r="AH224" i="12"/>
  <c r="AH133" i="12"/>
  <c r="AC233" i="12"/>
  <c r="AJ266" i="12"/>
  <c r="AE123" i="12"/>
  <c r="AJ312" i="12"/>
  <c r="AH123" i="12"/>
  <c r="AD283" i="12"/>
  <c r="AC166" i="12"/>
  <c r="AG277" i="12"/>
  <c r="AH331" i="12"/>
  <c r="AE325" i="12"/>
  <c r="AB178" i="12"/>
  <c r="AF194" i="12"/>
  <c r="AB276" i="12"/>
  <c r="AJ238" i="12"/>
  <c r="AE241" i="12"/>
  <c r="AH291" i="12"/>
  <c r="AH323" i="12"/>
  <c r="AC294" i="12"/>
  <c r="AD263" i="12"/>
  <c r="AC215" i="12"/>
  <c r="AC214" i="12"/>
  <c r="AH293" i="12"/>
  <c r="AD232" i="12"/>
  <c r="AB180" i="12"/>
  <c r="AF310" i="12"/>
  <c r="AC324" i="12"/>
  <c r="AB132" i="12"/>
  <c r="AJ276" i="12"/>
  <c r="AG258" i="12"/>
  <c r="AC162" i="12"/>
  <c r="AF170" i="12"/>
  <c r="AJ289" i="12"/>
  <c r="AB210" i="12"/>
  <c r="AG134" i="12"/>
  <c r="AB120" i="12"/>
  <c r="AH288" i="12"/>
  <c r="AC224" i="12"/>
  <c r="AE208" i="12"/>
  <c r="AG146" i="12"/>
  <c r="AH307" i="12"/>
  <c r="AF198" i="12"/>
  <c r="AB227" i="12"/>
  <c r="AE215" i="12"/>
  <c r="AE293" i="12"/>
  <c r="AE256" i="12"/>
  <c r="AF291" i="12"/>
  <c r="AD287" i="12"/>
  <c r="AJ271" i="12"/>
  <c r="AB142" i="12"/>
  <c r="AG129" i="12"/>
  <c r="AF186" i="12"/>
  <c r="AF225" i="12"/>
  <c r="AH332" i="12"/>
  <c r="AH270" i="12"/>
  <c r="AF147" i="12"/>
  <c r="AF312" i="12"/>
  <c r="AD275" i="12"/>
  <c r="AJ307" i="12"/>
  <c r="AB250" i="12"/>
  <c r="AD155" i="12"/>
  <c r="AC329" i="12"/>
  <c r="AC239" i="12"/>
  <c r="AB159" i="12"/>
  <c r="AE330" i="12"/>
  <c r="AH181" i="12"/>
  <c r="AD160" i="12"/>
  <c r="AF302" i="12"/>
  <c r="AD316" i="12"/>
  <c r="AE317" i="12"/>
  <c r="AG207" i="12"/>
  <c r="AJ257" i="12"/>
  <c r="AB158" i="12"/>
  <c r="AC230" i="12"/>
  <c r="AF217" i="12"/>
  <c r="AB282" i="12"/>
  <c r="AB189" i="12"/>
  <c r="AE211" i="12"/>
  <c r="AD168" i="12"/>
  <c r="AH300" i="12"/>
  <c r="AD142" i="12"/>
  <c r="AF328" i="12"/>
  <c r="AD180" i="12"/>
  <c r="AD250" i="12"/>
  <c r="AJ253" i="12"/>
  <c r="AE183" i="12"/>
  <c r="AF149" i="12"/>
  <c r="AB151" i="12"/>
  <c r="AD285" i="12"/>
  <c r="AF119" i="12"/>
  <c r="AH189" i="12"/>
  <c r="AH192" i="12"/>
  <c r="AJ314" i="12"/>
  <c r="AB269" i="12"/>
  <c r="AE129" i="12"/>
  <c r="AG243" i="12"/>
  <c r="AE164" i="12"/>
  <c r="AD161" i="12"/>
  <c r="AG301" i="12"/>
  <c r="AG253" i="12"/>
  <c r="AG200" i="12"/>
  <c r="AC147" i="12"/>
  <c r="AF206" i="12"/>
  <c r="AC246" i="12"/>
  <c r="AE180" i="12"/>
  <c r="AH144" i="12"/>
  <c r="AJ329" i="12"/>
  <c r="AB154" i="12"/>
  <c r="AF180" i="12"/>
  <c r="AB289" i="12"/>
  <c r="AE127" i="12"/>
  <c r="AC289" i="12"/>
  <c r="AH260" i="12"/>
  <c r="AC178" i="12"/>
  <c r="AD262" i="12"/>
  <c r="AD320" i="12"/>
  <c r="AD311" i="12"/>
  <c r="AE193" i="12"/>
  <c r="AD266" i="12"/>
  <c r="AC241" i="12"/>
  <c r="AD130" i="12"/>
  <c r="AE233" i="12"/>
  <c r="AG265" i="12"/>
  <c r="AF321" i="12"/>
  <c r="AC339" i="12"/>
  <c r="AH241" i="12"/>
  <c r="AF326" i="12"/>
  <c r="AH214" i="12"/>
  <c r="AG208" i="12"/>
  <c r="AF192" i="12"/>
  <c r="AH290" i="12"/>
  <c r="AD317" i="12"/>
  <c r="AF304" i="12"/>
  <c r="AC325" i="12"/>
  <c r="AD310" i="12"/>
  <c r="AF240" i="12"/>
  <c r="AG218" i="12"/>
  <c r="AC242" i="12"/>
  <c r="AC122" i="12"/>
  <c r="AC264" i="12"/>
  <c r="AF342" i="12"/>
  <c r="AC157" i="12"/>
  <c r="AH205" i="12"/>
  <c r="AF295" i="12"/>
  <c r="AC140" i="12"/>
  <c r="AC311" i="12"/>
  <c r="AD225" i="12"/>
  <c r="AC314" i="12"/>
  <c r="AC202" i="12"/>
  <c r="AF169" i="12"/>
  <c r="AD206" i="12"/>
  <c r="AB170" i="12"/>
  <c r="AF242" i="12"/>
  <c r="AF238" i="12"/>
  <c r="AB199" i="12"/>
  <c r="AE282" i="12"/>
  <c r="AC272" i="12"/>
  <c r="AE252" i="12"/>
  <c r="AG311" i="12"/>
  <c r="AF276" i="12"/>
  <c r="AG342" i="12"/>
  <c r="AB343" i="12"/>
  <c r="AC283" i="12"/>
  <c r="AG119" i="12"/>
  <c r="AF218" i="12"/>
  <c r="AF140" i="12"/>
  <c r="AB309" i="12"/>
  <c r="AD133" i="12"/>
  <c r="AE191" i="12"/>
  <c r="AB268" i="12"/>
  <c r="AH137" i="12"/>
  <c r="AE196" i="12"/>
  <c r="AJ254" i="12"/>
  <c r="AF260" i="12"/>
  <c r="AF190" i="12"/>
  <c r="AF188" i="12"/>
  <c r="AE281" i="12"/>
  <c r="AB134" i="12"/>
  <c r="AB311" i="12"/>
  <c r="AJ322" i="12"/>
  <c r="AJ316" i="12"/>
  <c r="AF258" i="12"/>
  <c r="AC275" i="12"/>
  <c r="AF150" i="12"/>
  <c r="AJ256" i="12"/>
  <c r="AG241" i="12"/>
  <c r="AE145" i="12"/>
  <c r="AD121" i="12"/>
  <c r="AJ320" i="12"/>
  <c r="AF234" i="12"/>
  <c r="AC128" i="12"/>
  <c r="AH212" i="12"/>
  <c r="AG132" i="12"/>
  <c r="AF202" i="12"/>
  <c r="AH178" i="12"/>
  <c r="AH172" i="12"/>
  <c r="AE324" i="12"/>
  <c r="AE152" i="12"/>
  <c r="AD268" i="12"/>
  <c r="AH159" i="12"/>
  <c r="AG328" i="12"/>
  <c r="AG246" i="12"/>
  <c r="AH252" i="12"/>
  <c r="AC254" i="12"/>
  <c r="AJ310" i="12"/>
  <c r="AF268" i="12"/>
  <c r="AB192" i="12"/>
  <c r="AH242" i="12"/>
  <c r="AF275" i="12"/>
  <c r="AG121" i="12"/>
  <c r="AD293" i="12"/>
  <c r="AE264" i="12"/>
  <c r="AF325" i="12"/>
  <c r="AB173" i="12"/>
  <c r="AB148" i="12"/>
  <c r="AH208" i="12"/>
  <c r="AG148" i="12"/>
  <c r="AB296" i="12"/>
  <c r="AE158" i="12"/>
  <c r="AH134" i="12"/>
  <c r="AE199" i="12"/>
  <c r="AF184" i="12"/>
  <c r="AB155" i="12"/>
  <c r="AC149" i="12"/>
  <c r="AD169" i="12"/>
  <c r="AE280" i="12"/>
  <c r="AH128" i="12"/>
  <c r="AE235" i="12"/>
  <c r="AC171" i="12"/>
  <c r="AD312" i="12"/>
  <c r="AD151" i="12"/>
  <c r="AC331" i="12"/>
  <c r="AE236" i="12"/>
  <c r="AE200" i="12"/>
  <c r="AG214" i="12"/>
  <c r="AJ232" i="12"/>
  <c r="AC250" i="12"/>
  <c r="AD205" i="12"/>
  <c r="AE234" i="12"/>
  <c r="AD207" i="12"/>
  <c r="AH131" i="12"/>
  <c r="AD324" i="12"/>
  <c r="AE218" i="12"/>
  <c r="AC200" i="12"/>
  <c r="AD296" i="12"/>
  <c r="AE198" i="12"/>
  <c r="AB272" i="12"/>
  <c r="AH200" i="12"/>
  <c r="AD307" i="12"/>
  <c r="AE279" i="12"/>
  <c r="AB329" i="12"/>
  <c r="AE303" i="12"/>
  <c r="AG203" i="12"/>
  <c r="AC186" i="12"/>
  <c r="AF178" i="12"/>
  <c r="AJ295" i="12"/>
  <c r="AC300" i="12"/>
  <c r="AC225" i="12"/>
  <c r="AG149" i="12"/>
  <c r="AC244" i="12"/>
  <c r="AB333" i="12"/>
  <c r="AE174" i="12"/>
  <c r="AH275" i="12"/>
  <c r="AH286" i="12"/>
  <c r="AG333" i="12"/>
  <c r="AD124" i="12"/>
  <c r="AE179" i="12"/>
  <c r="AH122" i="12"/>
  <c r="AE219" i="12"/>
  <c r="AE185" i="12"/>
  <c r="AF135" i="12"/>
  <c r="AF224" i="12"/>
  <c r="AJ328" i="12"/>
  <c r="AE251" i="12"/>
  <c r="AD229" i="12"/>
  <c r="AB312" i="12"/>
  <c r="AG237" i="12"/>
  <c r="AG185" i="12"/>
  <c r="AG304" i="12"/>
  <c r="AD248" i="12"/>
  <c r="AE170" i="12"/>
  <c r="AD152" i="12"/>
  <c r="AB224" i="12"/>
  <c r="AB139" i="12"/>
  <c r="AG297" i="12"/>
  <c r="AG327" i="12"/>
  <c r="AD154" i="12"/>
  <c r="AH196" i="12"/>
  <c r="AD201" i="12"/>
  <c r="AC310" i="12"/>
  <c r="AD195" i="12"/>
  <c r="AE188" i="12"/>
  <c r="AD226" i="12"/>
  <c r="AD257" i="12"/>
  <c r="AH274" i="12"/>
  <c r="AH305" i="12"/>
  <c r="AJ311" i="12"/>
  <c r="AC315" i="12"/>
  <c r="AC135" i="12"/>
  <c r="AG126" i="12"/>
  <c r="AE237" i="12"/>
  <c r="AC276" i="12"/>
  <c r="AE231" i="12"/>
  <c r="AF165" i="12"/>
  <c r="AH299" i="12"/>
  <c r="AF137" i="12"/>
  <c r="AD260" i="12"/>
  <c r="AB248" i="12"/>
  <c r="AJ226" i="12"/>
  <c r="AF277" i="12"/>
  <c r="AD140" i="12"/>
  <c r="AB257" i="12"/>
  <c r="AJ251" i="12"/>
  <c r="AE162" i="12"/>
  <c r="AD276" i="12"/>
  <c r="AF155" i="12"/>
  <c r="AF136" i="12"/>
  <c r="AC206" i="12"/>
  <c r="AE130" i="12"/>
  <c r="AE301" i="12"/>
  <c r="AE247" i="12"/>
  <c r="AB168" i="12"/>
  <c r="AB234" i="12"/>
  <c r="AJ298" i="12"/>
  <c r="AH233" i="12"/>
  <c r="AG180" i="12"/>
  <c r="AB301" i="12"/>
  <c r="AF144" i="12"/>
  <c r="AH132" i="12"/>
  <c r="AH245" i="12"/>
  <c r="AD172" i="12"/>
  <c r="AG249" i="12"/>
  <c r="AF331" i="12"/>
  <c r="AE186" i="12"/>
  <c r="AB233" i="12"/>
  <c r="AH324" i="12"/>
  <c r="AF221" i="12"/>
  <c r="AB175" i="12"/>
  <c r="AC318" i="12"/>
  <c r="AB229" i="12"/>
  <c r="AC207" i="12"/>
  <c r="AG133" i="12"/>
  <c r="AB241" i="12"/>
  <c r="AG167" i="12"/>
  <c r="AB330" i="12"/>
  <c r="AD176" i="12"/>
  <c r="AB149" i="12"/>
  <c r="AC308" i="12"/>
  <c r="AD165" i="12"/>
  <c r="AJ239" i="12"/>
  <c r="AG254" i="12"/>
  <c r="AC312" i="12"/>
  <c r="AB249" i="12"/>
  <c r="AG139" i="12"/>
  <c r="AC220" i="12"/>
  <c r="AH257" i="12"/>
  <c r="AG235" i="12"/>
  <c r="AF176" i="12"/>
  <c r="AF164" i="12"/>
  <c r="AD282" i="12"/>
  <c r="AB216" i="12"/>
  <c r="AB215" i="12"/>
  <c r="AF322" i="12"/>
  <c r="AH183" i="12"/>
  <c r="AH320" i="12"/>
  <c r="AF133" i="12"/>
  <c r="AD137" i="12"/>
  <c r="AC301" i="12"/>
  <c r="AH248" i="12"/>
  <c r="AH177" i="12"/>
  <c r="AH139" i="12"/>
  <c r="AF222" i="12"/>
  <c r="AD258" i="12"/>
  <c r="AB306" i="12"/>
  <c r="AC284" i="12"/>
  <c r="AC146" i="12"/>
  <c r="AC260" i="12"/>
  <c r="AH207" i="12"/>
  <c r="AC258" i="12"/>
  <c r="AC256" i="12"/>
  <c r="AD181" i="12"/>
  <c r="AF215" i="12"/>
  <c r="AC131" i="12"/>
  <c r="AH314" i="12"/>
  <c r="AD228" i="12"/>
  <c r="AF154" i="12"/>
  <c r="AH262" i="12"/>
  <c r="AD186" i="12"/>
  <c r="AB186" i="12"/>
  <c r="AB302" i="12"/>
  <c r="AJ285" i="12"/>
  <c r="AC279" i="12"/>
  <c r="AC120" i="12"/>
  <c r="AH230" i="12"/>
  <c r="AH273" i="12"/>
  <c r="AB321" i="12"/>
  <c r="AF245" i="12"/>
  <c r="AF159" i="12"/>
  <c r="AF205" i="12"/>
  <c r="AH209" i="12"/>
  <c r="AE299" i="12"/>
  <c r="AG144" i="12"/>
  <c r="AE333" i="12"/>
  <c r="AE155" i="12"/>
  <c r="AD182" i="12"/>
  <c r="AG310" i="12"/>
  <c r="AE277" i="12"/>
  <c r="AC145" i="12"/>
  <c r="AE265" i="12"/>
  <c r="AE245" i="12"/>
  <c r="AE269" i="12"/>
  <c r="AF157" i="12"/>
  <c r="AE206" i="12"/>
  <c r="AH190" i="12"/>
  <c r="AE175" i="12"/>
  <c r="AH126" i="12"/>
  <c r="AF289" i="12"/>
  <c r="AG125" i="12"/>
  <c r="AG163" i="12"/>
  <c r="AF306" i="12"/>
  <c r="AJ231" i="12"/>
  <c r="AE249" i="12"/>
  <c r="AF120" i="12"/>
  <c r="AG189" i="12"/>
  <c r="AC174" i="12"/>
  <c r="AE258" i="12"/>
  <c r="AG276" i="12"/>
  <c r="AH206" i="12"/>
  <c r="AH317" i="12"/>
  <c r="AF264" i="12"/>
  <c r="AG273" i="12"/>
  <c r="AG268" i="12"/>
  <c r="AC285" i="12"/>
  <c r="AB310" i="12"/>
  <c r="AG267" i="12"/>
  <c r="AC165" i="12"/>
  <c r="AB200" i="12"/>
  <c r="AG275" i="12"/>
  <c r="AH281" i="12"/>
  <c r="AB165" i="12"/>
  <c r="AD126" i="12"/>
  <c r="AF263" i="12"/>
  <c r="AJ228" i="12"/>
  <c r="AG252" i="12"/>
  <c r="AE137" i="12"/>
  <c r="AE171" i="12"/>
  <c r="AD145" i="12"/>
  <c r="AE139" i="12"/>
  <c r="AH326" i="12"/>
  <c r="AF327" i="12"/>
  <c r="AH261" i="12"/>
  <c r="AG157" i="12"/>
  <c r="AF146" i="12"/>
  <c r="AD220" i="12"/>
  <c r="AG236" i="12"/>
  <c r="AD279" i="12"/>
  <c r="AD278" i="12"/>
  <c r="AF256" i="12"/>
  <c r="AB278" i="12"/>
  <c r="AD256" i="12"/>
  <c r="AF189" i="12"/>
  <c r="AC123" i="12"/>
  <c r="AD219" i="12"/>
  <c r="AD198" i="12"/>
  <c r="AH311" i="12"/>
  <c r="AF152" i="12"/>
  <c r="AE135" i="12"/>
  <c r="AC198" i="12"/>
  <c r="AF122" i="12"/>
  <c r="AE313" i="12"/>
  <c r="AE270" i="12"/>
  <c r="AG182" i="12"/>
  <c r="AF265" i="12"/>
  <c r="AF151" i="12"/>
  <c r="AE214" i="12"/>
  <c r="AD303" i="12"/>
  <c r="AD341" i="12"/>
  <c r="AD235" i="12"/>
  <c r="AE134" i="12"/>
  <c r="AD286" i="12"/>
  <c r="AF216" i="12"/>
  <c r="AE209" i="12"/>
  <c r="AC288" i="12"/>
  <c r="AB153" i="12"/>
  <c r="AE160" i="12"/>
  <c r="AC245" i="12"/>
  <c r="AD301" i="12"/>
  <c r="AB193" i="12"/>
  <c r="AJ292" i="12"/>
  <c r="AE243" i="12"/>
  <c r="AC261" i="12"/>
  <c r="AH256" i="12"/>
  <c r="AD194" i="12"/>
  <c r="AB145" i="12"/>
  <c r="AF208" i="12"/>
  <c r="AG130" i="12"/>
  <c r="AB255" i="12"/>
  <c r="AG166" i="12"/>
  <c r="AC327" i="12"/>
  <c r="AF262" i="12"/>
  <c r="AH259" i="12"/>
  <c r="AC292" i="12"/>
  <c r="AG332" i="12"/>
  <c r="AF182" i="12"/>
  <c r="AH226" i="12"/>
  <c r="AB144" i="12"/>
  <c r="AC259" i="12"/>
  <c r="AE187" i="12"/>
  <c r="AD304" i="12"/>
  <c r="AC184" i="12"/>
  <c r="AC136" i="12"/>
  <c r="AC270" i="12"/>
  <c r="AG155" i="12"/>
  <c r="AC297" i="12"/>
  <c r="AD183" i="12"/>
  <c r="AE296" i="12"/>
  <c r="AD271" i="12"/>
  <c r="AC286" i="12"/>
  <c r="AH247" i="12"/>
  <c r="AG321" i="12"/>
  <c r="AG171" i="12"/>
  <c r="AF241" i="12"/>
  <c r="AG322" i="12"/>
  <c r="AE246" i="12"/>
  <c r="AD125" i="12"/>
  <c r="AB295" i="12"/>
  <c r="AF300" i="12"/>
  <c r="AF223" i="12"/>
  <c r="AC295" i="12"/>
  <c r="AH276" i="12"/>
  <c r="AD221" i="12"/>
  <c r="AH238" i="12"/>
  <c r="AG230" i="12"/>
  <c r="AG281" i="12"/>
  <c r="AE321" i="12"/>
  <c r="AC212" i="12"/>
  <c r="AD231" i="12"/>
  <c r="AG325" i="12"/>
  <c r="AC234" i="12"/>
  <c r="AB243" i="12"/>
  <c r="AB322" i="12"/>
  <c r="AC336" i="12"/>
  <c r="AE345" i="12"/>
  <c r="AH166" i="12"/>
  <c r="AG302" i="12"/>
  <c r="AF244" i="12"/>
  <c r="AC313" i="12"/>
  <c r="AD332" i="12"/>
  <c r="AD261" i="12"/>
  <c r="AE285" i="12"/>
  <c r="AD247" i="12"/>
  <c r="AF287" i="12"/>
  <c r="AH236" i="12"/>
  <c r="AF292" i="12"/>
  <c r="AF209" i="12"/>
  <c r="AC222" i="12"/>
  <c r="AD240" i="12"/>
  <c r="AF293" i="12"/>
  <c r="AH335" i="12"/>
  <c r="AC269" i="12"/>
  <c r="AE227" i="12"/>
  <c r="AB283" i="12"/>
  <c r="AE177" i="12"/>
  <c r="AB316" i="12"/>
  <c r="AH265" i="12"/>
  <c r="AE288" i="12"/>
  <c r="AB336" i="12"/>
  <c r="AH339" i="12"/>
  <c r="AE337" i="12"/>
  <c r="AG343" i="12"/>
  <c r="AE341" i="12"/>
  <c r="AC334" i="12"/>
  <c r="AB335" i="12"/>
  <c r="AB344" i="12"/>
  <c r="AF345" i="12"/>
  <c r="AE346" i="12"/>
  <c r="AD344" i="12"/>
  <c r="AH344" i="12"/>
  <c r="AG347" i="12"/>
  <c r="AH345" i="12"/>
  <c r="AF344" i="12"/>
  <c r="AJ344" i="12"/>
  <c r="AC347" i="12"/>
  <c r="AF343" i="12"/>
  <c r="AD345" i="12"/>
  <c r="AC343" i="12"/>
  <c r="AD346" i="12"/>
  <c r="AC346" i="12"/>
  <c r="AJ346" i="12"/>
  <c r="AE347" i="12"/>
  <c r="AG346" i="12"/>
  <c r="AH346" i="12"/>
  <c r="AF346" i="12"/>
  <c r="AB346" i="12"/>
  <c r="AB347" i="12"/>
  <c r="AJ347" i="12"/>
  <c r="AD347" i="12"/>
  <c r="AF347" i="12"/>
  <c r="AH347" i="12"/>
  <c r="AF348" i="12"/>
  <c r="AB348" i="12"/>
  <c r="AE348" i="12"/>
  <c r="AH348" i="12"/>
  <c r="AD348" i="12"/>
  <c r="AG348" i="12"/>
  <c r="AJ349" i="12"/>
  <c r="AC348" i="12"/>
  <c r="AH351" i="12"/>
  <c r="AF349" i="12"/>
  <c r="AE349" i="12"/>
  <c r="AC349" i="12"/>
  <c r="AH349" i="12"/>
  <c r="AD349" i="12"/>
  <c r="AB349" i="12"/>
  <c r="AG349" i="12"/>
  <c r="AF350" i="12"/>
  <c r="AD350" i="12"/>
  <c r="AE350" i="12"/>
  <c r="AB350" i="12"/>
  <c r="AG351" i="12"/>
  <c r="AG350" i="12"/>
  <c r="AD351" i="12"/>
  <c r="AC351" i="12"/>
  <c r="AJ352" i="12"/>
  <c r="AH350" i="12"/>
  <c r="AJ351" i="12"/>
  <c r="AB352" i="12"/>
  <c r="AJ350" i="12"/>
  <c r="AE351" i="12"/>
  <c r="AC350" i="12"/>
  <c r="AB351" i="12"/>
  <c r="AG352" i="12"/>
  <c r="AF352" i="12"/>
  <c r="AF351" i="12"/>
  <c r="AD352" i="12"/>
  <c r="AC352" i="12"/>
  <c r="AE352" i="12"/>
  <c r="AC353" i="12"/>
  <c r="AE353" i="12"/>
  <c r="AG353" i="12"/>
  <c r="AB353" i="12"/>
  <c r="AD353" i="12"/>
  <c r="R56" i="12"/>
  <c r="ER89" i="12"/>
  <c r="AJ353" i="12" l="1"/>
  <c r="AF353" i="12"/>
  <c r="AH352" i="12"/>
  <c r="AH353" i="12"/>
  <c r="AA344" i="12"/>
  <c r="AI344" i="12" s="1"/>
  <c r="Q392" i="12"/>
  <c r="EL35" i="12"/>
  <c r="EL32" i="12"/>
  <c r="AA35" i="12"/>
  <c r="AI35" i="12" s="1"/>
  <c r="EL351" i="12"/>
  <c r="EN351" i="12" s="1"/>
  <c r="A353" i="2"/>
  <c r="EL346" i="12"/>
  <c r="AA346" i="12"/>
  <c r="AI346" i="12" s="1"/>
  <c r="A341" i="2"/>
  <c r="EL334" i="12"/>
  <c r="AA334" i="12"/>
  <c r="AI334" i="12" s="1"/>
  <c r="EL269" i="12"/>
  <c r="A276" i="2"/>
  <c r="AA269" i="12"/>
  <c r="AI269" i="12" s="1"/>
  <c r="EL222" i="12"/>
  <c r="AA222" i="12"/>
  <c r="AI222" i="12" s="1"/>
  <c r="A229" i="2"/>
  <c r="EL212" i="12"/>
  <c r="A219" i="2"/>
  <c r="AA212" i="12"/>
  <c r="AI212" i="12" s="1"/>
  <c r="EL270" i="12"/>
  <c r="A277" i="2"/>
  <c r="AA270" i="12"/>
  <c r="AI270" i="12" s="1"/>
  <c r="EL198" i="12"/>
  <c r="AA198" i="12"/>
  <c r="AI198" i="12" s="1"/>
  <c r="A205" i="2"/>
  <c r="AA165" i="12"/>
  <c r="AI165" i="12" s="1"/>
  <c r="A172" i="2"/>
  <c r="EL165" i="12"/>
  <c r="EL145" i="12"/>
  <c r="A152" i="2"/>
  <c r="AA145" i="12"/>
  <c r="AI145" i="12" s="1"/>
  <c r="EL279" i="12"/>
  <c r="A286" i="2"/>
  <c r="AA279" i="12"/>
  <c r="AI279" i="12" s="1"/>
  <c r="EL256" i="12"/>
  <c r="A263" i="2"/>
  <c r="AA256" i="12"/>
  <c r="AI256" i="12" s="1"/>
  <c r="EL146" i="12"/>
  <c r="A153" i="2"/>
  <c r="AA146" i="12"/>
  <c r="AI146" i="12" s="1"/>
  <c r="EL301" i="12"/>
  <c r="A308" i="2"/>
  <c r="AA301" i="12"/>
  <c r="AI301" i="12" s="1"/>
  <c r="EL312" i="12"/>
  <c r="A319" i="2"/>
  <c r="AA312" i="12"/>
  <c r="AI312" i="12" s="1"/>
  <c r="EL308" i="12"/>
  <c r="A315" i="2"/>
  <c r="AA308" i="12"/>
  <c r="AI308" i="12" s="1"/>
  <c r="EL244" i="12"/>
  <c r="AA244" i="12"/>
  <c r="AI244" i="12" s="1"/>
  <c r="A251" i="2"/>
  <c r="EL200" i="12"/>
  <c r="A207" i="2"/>
  <c r="AA200" i="12"/>
  <c r="AI200" i="12" s="1"/>
  <c r="EL331" i="12"/>
  <c r="AA331" i="12"/>
  <c r="AI331" i="12" s="1"/>
  <c r="A338" i="2"/>
  <c r="EL149" i="12"/>
  <c r="AA149" i="12"/>
  <c r="AI149" i="12" s="1"/>
  <c r="A156" i="2"/>
  <c r="EL254" i="12"/>
  <c r="A261" i="2"/>
  <c r="AA254" i="12"/>
  <c r="AI254" i="12" s="1"/>
  <c r="EL314" i="12"/>
  <c r="A321" i="2"/>
  <c r="AA314" i="12"/>
  <c r="AI314" i="12" s="1"/>
  <c r="EL264" i="12"/>
  <c r="A271" i="2"/>
  <c r="AA264" i="12"/>
  <c r="AI264" i="12" s="1"/>
  <c r="EL241" i="12"/>
  <c r="A248" i="2"/>
  <c r="AA241" i="12"/>
  <c r="AI241" i="12" s="1"/>
  <c r="EL289" i="12"/>
  <c r="A296" i="2"/>
  <c r="AA289" i="12"/>
  <c r="AI289" i="12" s="1"/>
  <c r="EL246" i="12"/>
  <c r="A253" i="2"/>
  <c r="AA246" i="12"/>
  <c r="AI246" i="12" s="1"/>
  <c r="EL166" i="12"/>
  <c r="AA166" i="12"/>
  <c r="AI166" i="12" s="1"/>
  <c r="A173" i="2"/>
  <c r="EL192" i="12"/>
  <c r="A199" i="2"/>
  <c r="AA192" i="12"/>
  <c r="AI192" i="12" s="1"/>
  <c r="EL208" i="12"/>
  <c r="A215" i="2"/>
  <c r="AA208" i="12"/>
  <c r="AI208" i="12" s="1"/>
  <c r="EL196" i="12"/>
  <c r="A203" i="2"/>
  <c r="AA196" i="12"/>
  <c r="AI196" i="12" s="1"/>
  <c r="EL132" i="12"/>
  <c r="AA132" i="12"/>
  <c r="AI132" i="12" s="1"/>
  <c r="A139" i="2"/>
  <c r="EL213" i="12"/>
  <c r="A220" i="2"/>
  <c r="AA213" i="12"/>
  <c r="AI213" i="12" s="1"/>
  <c r="EL155" i="12"/>
  <c r="A162" i="2"/>
  <c r="AA155" i="12"/>
  <c r="AI155" i="12" s="1"/>
  <c r="A242" i="2"/>
  <c r="EL235" i="12"/>
  <c r="AA235" i="12"/>
  <c r="AI235" i="12" s="1"/>
  <c r="EL204" i="12"/>
  <c r="A211" i="2"/>
  <c r="AA204" i="12"/>
  <c r="AI204" i="12" s="1"/>
  <c r="AA338" i="12"/>
  <c r="AI338" i="12" s="1"/>
  <c r="A345" i="2"/>
  <c r="EL338" i="12"/>
  <c r="EL240" i="12"/>
  <c r="A247" i="2"/>
  <c r="AA240" i="12"/>
  <c r="AI240" i="12" s="1"/>
  <c r="EL221" i="12"/>
  <c r="AA221" i="12"/>
  <c r="AI221" i="12" s="1"/>
  <c r="A228" i="2"/>
  <c r="EL333" i="12"/>
  <c r="A340" i="2"/>
  <c r="AA333" i="12"/>
  <c r="AI333" i="12" s="1"/>
  <c r="EL293" i="12"/>
  <c r="A300" i="2"/>
  <c r="AA293" i="12"/>
  <c r="AI293" i="12" s="1"/>
  <c r="EL156" i="12"/>
  <c r="AA156" i="12"/>
  <c r="AI156" i="12" s="1"/>
  <c r="A163" i="2"/>
  <c r="EL175" i="12"/>
  <c r="AA175" i="12"/>
  <c r="AI175" i="12" s="1"/>
  <c r="A182" i="2"/>
  <c r="EL316" i="12"/>
  <c r="AA316" i="12"/>
  <c r="AI316" i="12" s="1"/>
  <c r="A323" i="2"/>
  <c r="EL320" i="12"/>
  <c r="A327" i="2"/>
  <c r="AA320" i="12"/>
  <c r="AI320" i="12" s="1"/>
  <c r="EL281" i="12"/>
  <c r="A288" i="2"/>
  <c r="AA281" i="12"/>
  <c r="AI281" i="12" s="1"/>
  <c r="EL137" i="12"/>
  <c r="A144" i="2"/>
  <c r="AA137" i="12"/>
  <c r="AI137" i="12" s="1"/>
  <c r="EL209" i="12"/>
  <c r="A216" i="2"/>
  <c r="AA209" i="12"/>
  <c r="AI209" i="12" s="1"/>
  <c r="A189" i="2"/>
  <c r="AA182" i="12"/>
  <c r="AI182" i="12" s="1"/>
  <c r="EL182" i="12"/>
  <c r="EL179" i="12"/>
  <c r="A186" i="2"/>
  <c r="AA179" i="12"/>
  <c r="AI179" i="12" s="1"/>
  <c r="EL119" i="12"/>
  <c r="A126" i="2"/>
  <c r="AA119" i="12"/>
  <c r="AI119" i="12" s="1"/>
  <c r="EL199" i="12"/>
  <c r="AA199" i="12"/>
  <c r="AI199" i="12" s="1"/>
  <c r="A206" i="2"/>
  <c r="EL148" i="12"/>
  <c r="A155" i="2"/>
  <c r="AA148" i="12"/>
  <c r="AI148" i="12" s="1"/>
  <c r="EL138" i="12"/>
  <c r="A145" i="2"/>
  <c r="AA138" i="12"/>
  <c r="AI138" i="12" s="1"/>
  <c r="EL141" i="12"/>
  <c r="A148" i="2"/>
  <c r="AA141" i="12"/>
  <c r="AI141" i="12" s="1"/>
  <c r="EL228" i="12"/>
  <c r="A235" i="2"/>
  <c r="AA228" i="12"/>
  <c r="AI228" i="12" s="1"/>
  <c r="EL326" i="12"/>
  <c r="A333" i="2"/>
  <c r="AA326" i="12"/>
  <c r="AI326" i="12" s="1"/>
  <c r="EL161" i="12"/>
  <c r="EL223" i="12"/>
  <c r="A230" i="2"/>
  <c r="AA223" i="12"/>
  <c r="AI223" i="12" s="1"/>
  <c r="EL303" i="12"/>
  <c r="A310" i="2"/>
  <c r="AA303" i="12"/>
  <c r="AI303" i="12" s="1"/>
  <c r="EL134" i="12"/>
  <c r="AA134" i="12"/>
  <c r="AI134" i="12" s="1"/>
  <c r="A141" i="2"/>
  <c r="EL277" i="12"/>
  <c r="A284" i="2"/>
  <c r="AA277" i="12"/>
  <c r="AI277" i="12" s="1"/>
  <c r="EL126" i="12"/>
  <c r="A133" i="2"/>
  <c r="AA126" i="12"/>
  <c r="AI126" i="12" s="1"/>
  <c r="EL163" i="12"/>
  <c r="A170" i="2"/>
  <c r="AA163" i="12"/>
  <c r="AI163" i="12" s="1"/>
  <c r="EL263" i="12"/>
  <c r="A270" i="2"/>
  <c r="AA263" i="12"/>
  <c r="AI263" i="12" s="1"/>
  <c r="A344" i="2"/>
  <c r="AA337" i="12"/>
  <c r="AI337" i="12" s="1"/>
  <c r="EL337" i="12"/>
  <c r="AA36" i="12"/>
  <c r="AI36" i="12" s="1"/>
  <c r="A43" i="2"/>
  <c r="EL36" i="12"/>
  <c r="A41" i="2"/>
  <c r="AA34" i="12"/>
  <c r="AI34" i="12" s="1"/>
  <c r="EL34" i="12"/>
  <c r="A26" i="2"/>
  <c r="AA19" i="12"/>
  <c r="AI19" i="12" s="1"/>
  <c r="EL19" i="12"/>
  <c r="A39" i="2"/>
  <c r="AA353" i="12"/>
  <c r="AI353" i="12" s="1"/>
  <c r="A360" i="2"/>
  <c r="EL353" i="12"/>
  <c r="AA351" i="12"/>
  <c r="AI351" i="12" s="1"/>
  <c r="A358" i="2"/>
  <c r="AA349" i="12"/>
  <c r="AI349" i="12" s="1"/>
  <c r="A356" i="2"/>
  <c r="EL349" i="12"/>
  <c r="AA348" i="12"/>
  <c r="AI348" i="12" s="1"/>
  <c r="EL348" i="12"/>
  <c r="A355" i="2"/>
  <c r="A354" i="2"/>
  <c r="EL347" i="12"/>
  <c r="AA347" i="12"/>
  <c r="AI347" i="12" s="1"/>
  <c r="A320" i="2"/>
  <c r="EL313" i="12"/>
  <c r="AA313" i="12"/>
  <c r="AI313" i="12" s="1"/>
  <c r="EL234" i="12"/>
  <c r="AA234" i="12"/>
  <c r="AI234" i="12" s="1"/>
  <c r="A241" i="2"/>
  <c r="EL136" i="12"/>
  <c r="A143" i="2"/>
  <c r="AA136" i="12"/>
  <c r="AI136" i="12" s="1"/>
  <c r="EL259" i="12"/>
  <c r="A266" i="2"/>
  <c r="AA259" i="12"/>
  <c r="AI259" i="12" s="1"/>
  <c r="EL327" i="12"/>
  <c r="A334" i="2"/>
  <c r="AA327" i="12"/>
  <c r="AI327" i="12" s="1"/>
  <c r="EL261" i="12"/>
  <c r="A268" i="2"/>
  <c r="AA261" i="12"/>
  <c r="AI261" i="12" s="1"/>
  <c r="EL288" i="12"/>
  <c r="AA288" i="12"/>
  <c r="AI288" i="12" s="1"/>
  <c r="A295" i="2"/>
  <c r="EL131" i="12"/>
  <c r="A138" i="2"/>
  <c r="AA131" i="12"/>
  <c r="AI131" i="12" s="1"/>
  <c r="EL258" i="12"/>
  <c r="A265" i="2"/>
  <c r="AA258" i="12"/>
  <c r="AI258" i="12" s="1"/>
  <c r="EL284" i="12"/>
  <c r="A291" i="2"/>
  <c r="AA284" i="12"/>
  <c r="AI284" i="12" s="1"/>
  <c r="EL220" i="12"/>
  <c r="A227" i="2"/>
  <c r="AA220" i="12"/>
  <c r="AI220" i="12" s="1"/>
  <c r="EL318" i="12"/>
  <c r="A325" i="2"/>
  <c r="AA318" i="12"/>
  <c r="AI318" i="12" s="1"/>
  <c r="EL135" i="12"/>
  <c r="A142" i="2"/>
  <c r="AA135" i="12"/>
  <c r="AI135" i="12" s="1"/>
  <c r="EL128" i="12"/>
  <c r="A135" i="2"/>
  <c r="AA128" i="12"/>
  <c r="AI128" i="12" s="1"/>
  <c r="EL275" i="12"/>
  <c r="A282" i="2"/>
  <c r="AA275" i="12"/>
  <c r="AI275" i="12" s="1"/>
  <c r="EL283" i="12"/>
  <c r="A290" i="2"/>
  <c r="AA283" i="12"/>
  <c r="AI283" i="12" s="1"/>
  <c r="EL122" i="12"/>
  <c r="A129" i="2"/>
  <c r="AA122" i="12"/>
  <c r="AI122" i="12" s="1"/>
  <c r="EL239" i="12"/>
  <c r="AA239" i="12"/>
  <c r="AI239" i="12" s="1"/>
  <c r="A246" i="2"/>
  <c r="A169" i="2"/>
  <c r="EL162" i="12"/>
  <c r="AA162" i="12"/>
  <c r="AI162" i="12" s="1"/>
  <c r="EL324" i="12"/>
  <c r="AA324" i="12"/>
  <c r="AI324" i="12" s="1"/>
  <c r="A331" i="2"/>
  <c r="EL294" i="12"/>
  <c r="A301" i="2"/>
  <c r="AA294" i="12"/>
  <c r="AI294" i="12" s="1"/>
  <c r="AA187" i="12"/>
  <c r="AI187" i="12" s="1"/>
  <c r="A194" i="2"/>
  <c r="EL187" i="12"/>
  <c r="EL180" i="12"/>
  <c r="AA180" i="12"/>
  <c r="AI180" i="12" s="1"/>
  <c r="A187" i="2"/>
  <c r="EL121" i="12"/>
  <c r="A128" i="2"/>
  <c r="AA121" i="12"/>
  <c r="AI121" i="12" s="1"/>
  <c r="EL130" i="12"/>
  <c r="A137" i="2"/>
  <c r="AA130" i="12"/>
  <c r="AI130" i="12" s="1"/>
  <c r="EL307" i="12"/>
  <c r="AA307" i="12"/>
  <c r="AI307" i="12" s="1"/>
  <c r="A314" i="2"/>
  <c r="EL236" i="12"/>
  <c r="A243" i="2"/>
  <c r="AA236" i="12"/>
  <c r="AI236" i="12" s="1"/>
  <c r="EL305" i="12"/>
  <c r="A312" i="2"/>
  <c r="AA305" i="12"/>
  <c r="AI305" i="12" s="1"/>
  <c r="EL125" i="12"/>
  <c r="AA125" i="12"/>
  <c r="AI125" i="12" s="1"/>
  <c r="A132" i="2"/>
  <c r="EL274" i="12"/>
  <c r="A281" i="2"/>
  <c r="AA274" i="12"/>
  <c r="AI274" i="12" s="1"/>
  <c r="EL321" i="12"/>
  <c r="A328" i="2"/>
  <c r="AA321" i="12"/>
  <c r="AI321" i="12" s="1"/>
  <c r="EL217" i="12"/>
  <c r="AA217" i="12"/>
  <c r="AI217" i="12" s="1"/>
  <c r="A224" i="2"/>
  <c r="EL309" i="12"/>
  <c r="A316" i="2"/>
  <c r="AA309" i="12"/>
  <c r="AI309" i="12" s="1"/>
  <c r="EL189" i="12"/>
  <c r="AA189" i="12"/>
  <c r="AI189" i="12" s="1"/>
  <c r="A196" i="2"/>
  <c r="EL176" i="12"/>
  <c r="AA176" i="12"/>
  <c r="AI176" i="12" s="1"/>
  <c r="A183" i="2"/>
  <c r="EL144" i="12"/>
  <c r="A151" i="2"/>
  <c r="AA144" i="12"/>
  <c r="AI144" i="12" s="1"/>
  <c r="EL330" i="12"/>
  <c r="A337" i="2"/>
  <c r="AA330" i="12"/>
  <c r="AI330" i="12" s="1"/>
  <c r="EL282" i="12"/>
  <c r="A289" i="2"/>
  <c r="AA282" i="12"/>
  <c r="AI282" i="12" s="1"/>
  <c r="EL304" i="12"/>
  <c r="A311" i="2"/>
  <c r="AA304" i="12"/>
  <c r="AI304" i="12" s="1"/>
  <c r="EL218" i="12"/>
  <c r="A225" i="2"/>
  <c r="AA218" i="12"/>
  <c r="AI218" i="12" s="1"/>
  <c r="AA341" i="12"/>
  <c r="AI341" i="12" s="1"/>
  <c r="EL341" i="12"/>
  <c r="A348" i="2"/>
  <c r="A174" i="2"/>
  <c r="EL167" i="12"/>
  <c r="AA167" i="12"/>
  <c r="AI167" i="12" s="1"/>
  <c r="A158" i="2"/>
  <c r="EL151" i="12"/>
  <c r="AA151" i="12"/>
  <c r="AI151" i="12" s="1"/>
  <c r="EL287" i="12"/>
  <c r="A294" i="2"/>
  <c r="AA287" i="12"/>
  <c r="AI287" i="12" s="1"/>
  <c r="EL129" i="12"/>
  <c r="A136" i="2"/>
  <c r="AA129" i="12"/>
  <c r="AI129" i="12" s="1"/>
  <c r="EL243" i="12"/>
  <c r="A250" i="2"/>
  <c r="AA243" i="12"/>
  <c r="AI243" i="12" s="1"/>
  <c r="EL255" i="12"/>
  <c r="AA255" i="12"/>
  <c r="AI255" i="12" s="1"/>
  <c r="A262" i="2"/>
  <c r="EL299" i="12"/>
  <c r="A306" i="2"/>
  <c r="AA299" i="12"/>
  <c r="AI299" i="12" s="1"/>
  <c r="EL195" i="12"/>
  <c r="A202" i="2"/>
  <c r="AA195" i="12"/>
  <c r="AI195" i="12" s="1"/>
  <c r="EL253" i="12"/>
  <c r="AA253" i="12"/>
  <c r="AI253" i="12" s="1"/>
  <c r="A260" i="2"/>
  <c r="EL139" i="12"/>
  <c r="A146" i="2"/>
  <c r="AA139" i="12"/>
  <c r="AI139" i="12" s="1"/>
  <c r="A256" i="2"/>
  <c r="AA249" i="12"/>
  <c r="AI249" i="12" s="1"/>
  <c r="EL249" i="12"/>
  <c r="EL193" i="12"/>
  <c r="AA193" i="12"/>
  <c r="AI193" i="12" s="1"/>
  <c r="A200" i="2"/>
  <c r="EL227" i="12"/>
  <c r="A234" i="2"/>
  <c r="AA227" i="12"/>
  <c r="AI227" i="12" s="1"/>
  <c r="EL273" i="12"/>
  <c r="AA273" i="12"/>
  <c r="AI273" i="12" s="1"/>
  <c r="A280" i="2"/>
  <c r="EL181" i="12"/>
  <c r="AA181" i="12"/>
  <c r="AI181" i="12" s="1"/>
  <c r="A188" i="2"/>
  <c r="EL153" i="12"/>
  <c r="A160" i="2"/>
  <c r="AA153" i="12"/>
  <c r="AI153" i="12" s="1"/>
  <c r="EL262" i="12"/>
  <c r="A269" i="2"/>
  <c r="AA262" i="12"/>
  <c r="AI262" i="12" s="1"/>
  <c r="EL203" i="12"/>
  <c r="AA203" i="12"/>
  <c r="AI203" i="12" s="1"/>
  <c r="A210" i="2"/>
  <c r="EL265" i="12"/>
  <c r="A272" i="2"/>
  <c r="AA265" i="12"/>
  <c r="AI265" i="12" s="1"/>
  <c r="EL127" i="12"/>
  <c r="A134" i="2"/>
  <c r="AA127" i="12"/>
  <c r="AI127" i="12" s="1"/>
  <c r="A351" i="2"/>
  <c r="EL344" i="12"/>
  <c r="A352" i="2"/>
  <c r="EL345" i="12"/>
  <c r="AA345" i="12"/>
  <c r="AI345" i="12" s="1"/>
  <c r="A55" i="2"/>
  <c r="AA48" i="12"/>
  <c r="AI48" i="12" s="1"/>
  <c r="EL48" i="12"/>
  <c r="AA31" i="12"/>
  <c r="AI31" i="12" s="1"/>
  <c r="EL31" i="12"/>
  <c r="A38" i="2"/>
  <c r="EL350" i="12"/>
  <c r="A357" i="2"/>
  <c r="AA350" i="12"/>
  <c r="AI350" i="12" s="1"/>
  <c r="A350" i="2"/>
  <c r="EL343" i="12"/>
  <c r="AA343" i="12"/>
  <c r="AI343" i="12" s="1"/>
  <c r="A343" i="2"/>
  <c r="AA336" i="12"/>
  <c r="AI336" i="12" s="1"/>
  <c r="EL336" i="12"/>
  <c r="EL286" i="12"/>
  <c r="A293" i="2"/>
  <c r="AA286" i="12"/>
  <c r="AI286" i="12" s="1"/>
  <c r="EL297" i="12"/>
  <c r="A304" i="2"/>
  <c r="AA297" i="12"/>
  <c r="AI297" i="12" s="1"/>
  <c r="A191" i="2"/>
  <c r="EL184" i="12"/>
  <c r="AA184" i="12"/>
  <c r="AI184" i="12" s="1"/>
  <c r="EL292" i="12"/>
  <c r="A299" i="2"/>
  <c r="AA292" i="12"/>
  <c r="AI292" i="12" s="1"/>
  <c r="EL245" i="12"/>
  <c r="AA245" i="12"/>
  <c r="AI245" i="12" s="1"/>
  <c r="A252" i="2"/>
  <c r="EL123" i="12"/>
  <c r="A130" i="2"/>
  <c r="AA123" i="12"/>
  <c r="AI123" i="12" s="1"/>
  <c r="EL206" i="12"/>
  <c r="A213" i="2"/>
  <c r="AA206" i="12"/>
  <c r="AI206" i="12" s="1"/>
  <c r="EL276" i="12"/>
  <c r="AA276" i="12"/>
  <c r="AI276" i="12" s="1"/>
  <c r="A283" i="2"/>
  <c r="EL315" i="12"/>
  <c r="AA315" i="12"/>
  <c r="AI315" i="12" s="1"/>
  <c r="A322" i="2"/>
  <c r="A317" i="2"/>
  <c r="EL310" i="12"/>
  <c r="AA310" i="12"/>
  <c r="AI310" i="12" s="1"/>
  <c r="EL225" i="12"/>
  <c r="A232" i="2"/>
  <c r="AA225" i="12"/>
  <c r="AI225" i="12" s="1"/>
  <c r="AA186" i="12"/>
  <c r="AI186" i="12" s="1"/>
  <c r="A193" i="2"/>
  <c r="EL186" i="12"/>
  <c r="EL311" i="12"/>
  <c r="A318" i="2"/>
  <c r="AA311" i="12"/>
  <c r="AI311" i="12" s="1"/>
  <c r="A164" i="2"/>
  <c r="AA157" i="12"/>
  <c r="AI157" i="12" s="1"/>
  <c r="EL157" i="12"/>
  <c r="EL242" i="12"/>
  <c r="A249" i="2"/>
  <c r="AA242" i="12"/>
  <c r="AI242" i="12" s="1"/>
  <c r="EL325" i="12"/>
  <c r="A332" i="2"/>
  <c r="AA325" i="12"/>
  <c r="AI325" i="12" s="1"/>
  <c r="EL178" i="12"/>
  <c r="AA178" i="12"/>
  <c r="AI178" i="12" s="1"/>
  <c r="A185" i="2"/>
  <c r="EL147" i="12"/>
  <c r="A154" i="2"/>
  <c r="AA147" i="12"/>
  <c r="AI147" i="12" s="1"/>
  <c r="EL230" i="12"/>
  <c r="A237" i="2"/>
  <c r="AA230" i="12"/>
  <c r="AI230" i="12" s="1"/>
  <c r="A336" i="2"/>
  <c r="AA329" i="12"/>
  <c r="AI329" i="12" s="1"/>
  <c r="EL329" i="12"/>
  <c r="EL224" i="12"/>
  <c r="A231" i="2"/>
  <c r="AA224" i="12"/>
  <c r="AI224" i="12" s="1"/>
  <c r="EL214" i="12"/>
  <c r="AA214" i="12"/>
  <c r="AI214" i="12" s="1"/>
  <c r="A221" i="2"/>
  <c r="EL233" i="12"/>
  <c r="A240" i="2"/>
  <c r="AA233" i="12"/>
  <c r="AI233" i="12" s="1"/>
  <c r="EL194" i="12"/>
  <c r="AA194" i="12"/>
  <c r="AI194" i="12" s="1"/>
  <c r="A201" i="2"/>
  <c r="EL210" i="12"/>
  <c r="AA210" i="12"/>
  <c r="AI210" i="12" s="1"/>
  <c r="A217" i="2"/>
  <c r="EL267" i="12"/>
  <c r="A274" i="2"/>
  <c r="AA267" i="12"/>
  <c r="AI267" i="12" s="1"/>
  <c r="EL152" i="12"/>
  <c r="A159" i="2"/>
  <c r="AA152" i="12"/>
  <c r="AI152" i="12" s="1"/>
  <c r="AA290" i="12"/>
  <c r="AI290" i="12" s="1"/>
  <c r="EL290" i="12"/>
  <c r="A297" i="2"/>
  <c r="EL278" i="12"/>
  <c r="A285" i="2"/>
  <c r="AA278" i="12"/>
  <c r="AI278" i="12" s="1"/>
  <c r="EL170" i="12"/>
  <c r="A177" i="2"/>
  <c r="AA170" i="12"/>
  <c r="AI170" i="12" s="1"/>
  <c r="EL150" i="12"/>
  <c r="A157" i="2"/>
  <c r="AA150" i="12"/>
  <c r="AI150" i="12" s="1"/>
  <c r="EL143" i="12"/>
  <c r="AA143" i="12"/>
  <c r="AI143" i="12" s="1"/>
  <c r="A150" i="2"/>
  <c r="EL159" i="12"/>
  <c r="A166" i="2"/>
  <c r="AA159" i="12"/>
  <c r="AI159" i="12" s="1"/>
  <c r="EL232" i="12"/>
  <c r="A239" i="2"/>
  <c r="AA232" i="12"/>
  <c r="AI232" i="12" s="1"/>
  <c r="EL271" i="12"/>
  <c r="AA271" i="12"/>
  <c r="AI271" i="12" s="1"/>
  <c r="A278" i="2"/>
  <c r="EL173" i="12"/>
  <c r="A180" i="2"/>
  <c r="AA173" i="12"/>
  <c r="AI173" i="12" s="1"/>
  <c r="EL229" i="12"/>
  <c r="A236" i="2"/>
  <c r="AA229" i="12"/>
  <c r="AI229" i="12" s="1"/>
  <c r="EL248" i="12"/>
  <c r="A255" i="2"/>
  <c r="AA248" i="12"/>
  <c r="AI248" i="12" s="1"/>
  <c r="EL154" i="12"/>
  <c r="AA154" i="12"/>
  <c r="AI154" i="12" s="1"/>
  <c r="A161" i="2"/>
  <c r="EL247" i="12"/>
  <c r="A254" i="2"/>
  <c r="AA247" i="12"/>
  <c r="AI247" i="12" s="1"/>
  <c r="EL322" i="12"/>
  <c r="A329" i="2"/>
  <c r="AA322" i="12"/>
  <c r="AI322" i="12" s="1"/>
  <c r="EL268" i="12"/>
  <c r="A275" i="2"/>
  <c r="AA268" i="12"/>
  <c r="AI268" i="12" s="1"/>
  <c r="EL317" i="12"/>
  <c r="A324" i="2"/>
  <c r="AA317" i="12"/>
  <c r="AI317" i="12" s="1"/>
  <c r="EL211" i="12"/>
  <c r="AA211" i="12"/>
  <c r="AI211" i="12" s="1"/>
  <c r="A218" i="2"/>
  <c r="EL323" i="12"/>
  <c r="A330" i="2"/>
  <c r="AA323" i="12"/>
  <c r="AI323" i="12" s="1"/>
  <c r="EL158" i="12"/>
  <c r="A165" i="2"/>
  <c r="AA158" i="12"/>
  <c r="AI158" i="12" s="1"/>
  <c r="EL205" i="12"/>
  <c r="A212" i="2"/>
  <c r="AA205" i="12"/>
  <c r="AI205" i="12" s="1"/>
  <c r="EL328" i="12"/>
  <c r="AA328" i="12"/>
  <c r="AI328" i="12" s="1"/>
  <c r="A335" i="2"/>
  <c r="A347" i="2"/>
  <c r="AA340" i="12"/>
  <c r="AI340" i="12" s="1"/>
  <c r="EL340" i="12"/>
  <c r="AA342" i="12"/>
  <c r="AI342" i="12" s="1"/>
  <c r="A349" i="2"/>
  <c r="EL342" i="12"/>
  <c r="A176" i="2"/>
  <c r="EL169" i="12"/>
  <c r="A58" i="2"/>
  <c r="EL51" i="12"/>
  <c r="AA51" i="12"/>
  <c r="AI51" i="12" s="1"/>
  <c r="A42" i="2"/>
  <c r="A37" i="2"/>
  <c r="AA30" i="12"/>
  <c r="AI30" i="12" s="1"/>
  <c r="EL30" i="12"/>
  <c r="A40" i="2"/>
  <c r="AA33" i="12"/>
  <c r="AI33" i="12" s="1"/>
  <c r="EL33" i="12"/>
  <c r="AA352" i="12"/>
  <c r="AI352" i="12" s="1"/>
  <c r="A359" i="2"/>
  <c r="EL352" i="12"/>
  <c r="EL295" i="12"/>
  <c r="A302" i="2"/>
  <c r="AA295" i="12"/>
  <c r="AI295" i="12" s="1"/>
  <c r="EL285" i="12"/>
  <c r="AA285" i="12"/>
  <c r="AI285" i="12" s="1"/>
  <c r="A292" i="2"/>
  <c r="EL174" i="12"/>
  <c r="A181" i="2"/>
  <c r="AA174" i="12"/>
  <c r="AI174" i="12" s="1"/>
  <c r="EL120" i="12"/>
  <c r="A127" i="2"/>
  <c r="AA120" i="12"/>
  <c r="AI120" i="12" s="1"/>
  <c r="EL260" i="12"/>
  <c r="A267" i="2"/>
  <c r="AA260" i="12"/>
  <c r="AI260" i="12" s="1"/>
  <c r="EL207" i="12"/>
  <c r="A214" i="2"/>
  <c r="AA207" i="12"/>
  <c r="AI207" i="12" s="1"/>
  <c r="EL300" i="12"/>
  <c r="A307" i="2"/>
  <c r="AA300" i="12"/>
  <c r="AI300" i="12" s="1"/>
  <c r="EL250" i="12"/>
  <c r="A257" i="2"/>
  <c r="AA250" i="12"/>
  <c r="AI250" i="12" s="1"/>
  <c r="EL171" i="12"/>
  <c r="AA171" i="12"/>
  <c r="AI171" i="12" s="1"/>
  <c r="A178" i="2"/>
  <c r="EL272" i="12"/>
  <c r="A279" i="2"/>
  <c r="AA272" i="12"/>
  <c r="AI272" i="12" s="1"/>
  <c r="EL202" i="12"/>
  <c r="AA202" i="12"/>
  <c r="AI202" i="12" s="1"/>
  <c r="A209" i="2"/>
  <c r="EL140" i="12"/>
  <c r="A147" i="2"/>
  <c r="AA140" i="12"/>
  <c r="AI140" i="12" s="1"/>
  <c r="A346" i="2"/>
  <c r="AA339" i="12"/>
  <c r="AI339" i="12" s="1"/>
  <c r="EL339" i="12"/>
  <c r="EL215" i="12"/>
  <c r="A222" i="2"/>
  <c r="AA215" i="12"/>
  <c r="AI215" i="12" s="1"/>
  <c r="A287" i="2"/>
  <c r="EL280" i="12"/>
  <c r="AA280" i="12"/>
  <c r="AI280" i="12" s="1"/>
  <c r="EL266" i="12"/>
  <c r="AA266" i="12"/>
  <c r="AI266" i="12" s="1"/>
  <c r="A273" i="2"/>
  <c r="EL251" i="12"/>
  <c r="A258" i="2"/>
  <c r="AA251" i="12"/>
  <c r="AI251" i="12" s="1"/>
  <c r="EL296" i="12"/>
  <c r="A303" i="2"/>
  <c r="AA296" i="12"/>
  <c r="AI296" i="12" s="1"/>
  <c r="EL219" i="12"/>
  <c r="A226" i="2"/>
  <c r="AA219" i="12"/>
  <c r="AI219" i="12" s="1"/>
  <c r="AA190" i="12"/>
  <c r="AI190" i="12" s="1"/>
  <c r="A197" i="2"/>
  <c r="EL190" i="12"/>
  <c r="EL177" i="12"/>
  <c r="A184" i="2"/>
  <c r="AA177" i="12"/>
  <c r="AI177" i="12" s="1"/>
  <c r="EL172" i="12"/>
  <c r="A179" i="2"/>
  <c r="AA172" i="12"/>
  <c r="AI172" i="12" s="1"/>
  <c r="EL298" i="12"/>
  <c r="AA298" i="12"/>
  <c r="AI298" i="12" s="1"/>
  <c r="A305" i="2"/>
  <c r="EL231" i="12"/>
  <c r="A238" i="2"/>
  <c r="AA231" i="12"/>
  <c r="AI231" i="12" s="1"/>
  <c r="EL124" i="12"/>
  <c r="AA124" i="12"/>
  <c r="AI124" i="12" s="1"/>
  <c r="A131" i="2"/>
  <c r="AA216" i="12"/>
  <c r="AI216" i="12" s="1"/>
  <c r="A223" i="2"/>
  <c r="EL216" i="12"/>
  <c r="A167" i="2"/>
  <c r="AA160" i="12"/>
  <c r="AI160" i="12" s="1"/>
  <c r="EL160" i="12"/>
  <c r="EL257" i="12"/>
  <c r="AA257" i="12"/>
  <c r="AI257" i="12" s="1"/>
  <c r="A264" i="2"/>
  <c r="EL306" i="12"/>
  <c r="A313" i="2"/>
  <c r="AA306" i="12"/>
  <c r="AI306" i="12" s="1"/>
  <c r="EL252" i="12"/>
  <c r="A259" i="2"/>
  <c r="AA252" i="12"/>
  <c r="AI252" i="12" s="1"/>
  <c r="EL291" i="12"/>
  <c r="A298" i="2"/>
  <c r="AA291" i="12"/>
  <c r="AI291" i="12" s="1"/>
  <c r="AA188" i="12"/>
  <c r="AI188" i="12" s="1"/>
  <c r="A195" i="2"/>
  <c r="EL188" i="12"/>
  <c r="EL237" i="12"/>
  <c r="A244" i="2"/>
  <c r="AA237" i="12"/>
  <c r="AI237" i="12" s="1"/>
  <c r="AA183" i="12"/>
  <c r="AI183" i="12" s="1"/>
  <c r="EL183" i="12"/>
  <c r="A190" i="2"/>
  <c r="EL201" i="12"/>
  <c r="A208" i="2"/>
  <c r="AA201" i="12"/>
  <c r="AI201" i="12" s="1"/>
  <c r="EL185" i="12"/>
  <c r="AA185" i="12"/>
  <c r="AI185" i="12" s="1"/>
  <c r="A192" i="2"/>
  <c r="EL238" i="12"/>
  <c r="AA238" i="12"/>
  <c r="AI238" i="12" s="1"/>
  <c r="A245" i="2"/>
  <c r="EL168" i="12"/>
  <c r="A175" i="2"/>
  <c r="AA168" i="12"/>
  <c r="AI168" i="12" s="1"/>
  <c r="EL226" i="12"/>
  <c r="A233" i="2"/>
  <c r="AA226" i="12"/>
  <c r="AI226" i="12" s="1"/>
  <c r="EL319" i="12"/>
  <c r="A326" i="2"/>
  <c r="AA319" i="12"/>
  <c r="AI319" i="12" s="1"/>
  <c r="AA164" i="12"/>
  <c r="AI164" i="12" s="1"/>
  <c r="A171" i="2"/>
  <c r="EL164" i="12"/>
  <c r="EL133" i="12"/>
  <c r="A140" i="2"/>
  <c r="AA133" i="12"/>
  <c r="AI133" i="12" s="1"/>
  <c r="EL191" i="12"/>
  <c r="AA191" i="12"/>
  <c r="AI191" i="12" s="1"/>
  <c r="A198" i="2"/>
  <c r="EL197" i="12"/>
  <c r="A204" i="2"/>
  <c r="AA197" i="12"/>
  <c r="AI197" i="12" s="1"/>
  <c r="EL332" i="12"/>
  <c r="A339" i="2"/>
  <c r="AA332" i="12"/>
  <c r="AI332" i="12" s="1"/>
  <c r="EL142" i="12"/>
  <c r="A149" i="2"/>
  <c r="AA142" i="12"/>
  <c r="AI142" i="12" s="1"/>
  <c r="EL302" i="12"/>
  <c r="A309" i="2"/>
  <c r="AA302" i="12"/>
  <c r="AI302" i="12" s="1"/>
  <c r="EL335" i="12"/>
  <c r="AA335" i="12"/>
  <c r="AI335" i="12" s="1"/>
  <c r="A342" i="2"/>
  <c r="R57" i="12"/>
  <c r="T26" i="12" s="1"/>
  <c r="ES89" i="12"/>
  <c r="ER90" i="12"/>
  <c r="T1" i="12"/>
  <c r="V3" i="12" l="1"/>
  <c r="V4" i="12" s="1"/>
  <c r="T23" i="12"/>
  <c r="T28" i="12"/>
  <c r="T25" i="12"/>
  <c r="T29" i="12"/>
  <c r="T35" i="12"/>
  <c r="T32" i="12"/>
  <c r="T20" i="12"/>
  <c r="T34" i="12"/>
  <c r="T27" i="12"/>
  <c r="T30" i="12"/>
  <c r="T33" i="12"/>
  <c r="T21" i="12"/>
  <c r="T24" i="12"/>
  <c r="T22" i="12"/>
  <c r="T31" i="12"/>
  <c r="AF354" i="12"/>
  <c r="AE354" i="12"/>
  <c r="AJ354" i="12"/>
  <c r="AB354" i="12"/>
  <c r="AH354" i="12"/>
  <c r="AD354" i="12"/>
  <c r="AC354" i="12"/>
  <c r="AG354" i="12"/>
  <c r="T37" i="12"/>
  <c r="T36" i="12"/>
  <c r="EM351" i="12"/>
  <c r="T55" i="12"/>
  <c r="T39" i="12"/>
  <c r="T38" i="12"/>
  <c r="T40" i="12"/>
  <c r="Q393" i="12"/>
  <c r="AD355" i="12" s="1"/>
  <c r="EN350" i="12"/>
  <c r="EM350" i="12"/>
  <c r="EM349" i="12"/>
  <c r="EN349" i="12"/>
  <c r="EM353" i="12"/>
  <c r="EN353" i="12"/>
  <c r="EM352" i="12"/>
  <c r="EN352" i="12"/>
  <c r="T61" i="12"/>
  <c r="T62" i="12"/>
  <c r="T52" i="12"/>
  <c r="T42" i="12"/>
  <c r="T56" i="12"/>
  <c r="T51" i="12"/>
  <c r="T46" i="12"/>
  <c r="T44" i="12"/>
  <c r="T58" i="12"/>
  <c r="T64" i="12"/>
  <c r="T57" i="12"/>
  <c r="T60" i="12"/>
  <c r="T47" i="12"/>
  <c r="T41" i="12"/>
  <c r="T45" i="12"/>
  <c r="T63" i="12"/>
  <c r="T49" i="12"/>
  <c r="T53" i="12"/>
  <c r="T50" i="12"/>
  <c r="T54" i="12"/>
  <c r="T48" i="12"/>
  <c r="T43" i="12"/>
  <c r="T59" i="12"/>
  <c r="ES90" i="12"/>
  <c r="ER97" i="12"/>
  <c r="ES97" i="12" s="1"/>
  <c r="V5" i="12" l="1"/>
  <c r="V6" i="12" s="1"/>
  <c r="AG355" i="12"/>
  <c r="AC355" i="12"/>
  <c r="A362" i="2" s="1"/>
  <c r="AJ355" i="12"/>
  <c r="AE355" i="12"/>
  <c r="EL354" i="12"/>
  <c r="A361" i="2"/>
  <c r="AA354" i="12"/>
  <c r="AI354" i="12" s="1"/>
  <c r="AH355" i="12"/>
  <c r="AF355" i="12"/>
  <c r="AB355" i="12"/>
  <c r="Q394" i="12"/>
  <c r="AE356" i="12" s="1"/>
  <c r="V7" i="12"/>
  <c r="AA355" i="12" l="1"/>
  <c r="AI355" i="12" s="1"/>
  <c r="EL355" i="12"/>
  <c r="EN355" i="12" s="1"/>
  <c r="AF356" i="12"/>
  <c r="AC356" i="12"/>
  <c r="A363" i="2" s="1"/>
  <c r="AH356" i="12"/>
  <c r="AB356" i="12"/>
  <c r="AJ356" i="12"/>
  <c r="AG356" i="12"/>
  <c r="AD356" i="12"/>
  <c r="EN354" i="12"/>
  <c r="EM354" i="12"/>
  <c r="Q395" i="12"/>
  <c r="Q396" i="12" s="1"/>
  <c r="Q397" i="12" s="1"/>
  <c r="Q398" i="12" s="1"/>
  <c r="Q399" i="12" s="1"/>
  <c r="Q400" i="12" s="1"/>
  <c r="V8" i="12"/>
  <c r="CS46" i="12"/>
  <c r="CS53" i="12" s="1"/>
  <c r="CS47" i="12"/>
  <c r="CS54" i="12" s="1"/>
  <c r="CS44" i="12"/>
  <c r="CS51" i="12" s="1"/>
  <c r="CS45" i="12"/>
  <c r="CS52" i="12" s="1"/>
  <c r="CS48" i="12"/>
  <c r="CS55" i="12" s="1"/>
  <c r="CS43" i="12"/>
  <c r="AL2" i="12"/>
  <c r="EM355" i="12" l="1"/>
  <c r="EL356" i="12"/>
  <c r="AA356" i="12"/>
  <c r="AI356" i="12" s="1"/>
  <c r="AG357" i="12"/>
  <c r="AC357" i="12"/>
  <c r="AA357" i="12" s="1"/>
  <c r="AI357" i="12" s="1"/>
  <c r="AJ357" i="12"/>
  <c r="AD357" i="12"/>
  <c r="AF357" i="12"/>
  <c r="AB357" i="12"/>
  <c r="AH357" i="12"/>
  <c r="AE357" i="12"/>
  <c r="AC372" i="12"/>
  <c r="AA372" i="12" s="1"/>
  <c r="AI372" i="12" s="1"/>
  <c r="AC12" i="12"/>
  <c r="AF15" i="12"/>
  <c r="AD11" i="12"/>
  <c r="AD17" i="12"/>
  <c r="AG15" i="12"/>
  <c r="AH14" i="12"/>
  <c r="AH13" i="12"/>
  <c r="AE16" i="12"/>
  <c r="AG13" i="12"/>
  <c r="AG14" i="12"/>
  <c r="AC13" i="12"/>
  <c r="AE14" i="12"/>
  <c r="AE17" i="12"/>
  <c r="AF17" i="12"/>
  <c r="AB15" i="12"/>
  <c r="AD14" i="12"/>
  <c r="AB14" i="12"/>
  <c r="AC15" i="12"/>
  <c r="AF14" i="12"/>
  <c r="AC14" i="12"/>
  <c r="AC16" i="12"/>
  <c r="AF13" i="12"/>
  <c r="AD13" i="12"/>
  <c r="AG16" i="12"/>
  <c r="AE13" i="12"/>
  <c r="AB13" i="12"/>
  <c r="AF16" i="12"/>
  <c r="AE15" i="12"/>
  <c r="AB16" i="12"/>
  <c r="AD15" i="12"/>
  <c r="AG17" i="12"/>
  <c r="AH16" i="12"/>
  <c r="AB17" i="12"/>
  <c r="AA17" i="12" s="1"/>
  <c r="AI17" i="12" s="1"/>
  <c r="AD19" i="12"/>
  <c r="AH18" i="12"/>
  <c r="AB18" i="12"/>
  <c r="AA18" i="12" s="1"/>
  <c r="AI18" i="12" s="1"/>
  <c r="AH15" i="12"/>
  <c r="AE18" i="12"/>
  <c r="EL18" i="12" s="1"/>
  <c r="AB32" i="12"/>
  <c r="AA32" i="12" s="1"/>
  <c r="AI32" i="12" s="1"/>
  <c r="AH33" i="12"/>
  <c r="AF38" i="12"/>
  <c r="AG363" i="12"/>
  <c r="AF361" i="12"/>
  <c r="AH390" i="12"/>
  <c r="AB375" i="12"/>
  <c r="AB374" i="12"/>
  <c r="AF378" i="12"/>
  <c r="AD374" i="12"/>
  <c r="AC361" i="12"/>
  <c r="A368" i="2" s="1"/>
  <c r="AE384" i="12"/>
  <c r="AC393" i="12"/>
  <c r="A400" i="2" s="1"/>
  <c r="AJ364" i="12"/>
  <c r="AC374" i="12"/>
  <c r="AA374" i="12" s="1"/>
  <c r="AI374" i="12" s="1"/>
  <c r="AJ400" i="12"/>
  <c r="AC367" i="12"/>
  <c r="AA367" i="12" s="1"/>
  <c r="AI367" i="12" s="1"/>
  <c r="AG379" i="12"/>
  <c r="AJ398" i="12"/>
  <c r="AC396" i="12"/>
  <c r="AA396" i="12" s="1"/>
  <c r="AI396" i="12" s="1"/>
  <c r="AB379" i="12"/>
  <c r="AD396" i="12"/>
  <c r="AE378" i="12"/>
  <c r="AD395" i="12"/>
  <c r="AB364" i="12"/>
  <c r="AD397" i="12"/>
  <c r="AC371" i="12"/>
  <c r="AA371" i="12" s="1"/>
  <c r="AI371" i="12" s="1"/>
  <c r="AG399" i="12"/>
  <c r="AF365" i="12"/>
  <c r="AJ382" i="12"/>
  <c r="AG378" i="12"/>
  <c r="AJ377" i="12"/>
  <c r="AD370" i="12"/>
  <c r="AF396" i="12"/>
  <c r="AB378" i="12"/>
  <c r="AF386" i="12"/>
  <c r="AJ380" i="12"/>
  <c r="AD369" i="12"/>
  <c r="AC399" i="12"/>
  <c r="AA399" i="12" s="1"/>
  <c r="AI399" i="12" s="1"/>
  <c r="AG373" i="12"/>
  <c r="AD365" i="12"/>
  <c r="AD384" i="12"/>
  <c r="AE364" i="12"/>
  <c r="AE382" i="12"/>
  <c r="AC376" i="12"/>
  <c r="A383" i="2" s="1"/>
  <c r="AD376" i="12"/>
  <c r="AF387" i="12"/>
  <c r="AD382" i="12"/>
  <c r="AJ395" i="12"/>
  <c r="AC385" i="12"/>
  <c r="AA385" i="12" s="1"/>
  <c r="AI385" i="12" s="1"/>
  <c r="AJ368" i="12"/>
  <c r="AH396" i="12"/>
  <c r="AE385" i="12"/>
  <c r="AC375" i="12"/>
  <c r="A382" i="2" s="1"/>
  <c r="AB396" i="12"/>
  <c r="AC386" i="12"/>
  <c r="AA386" i="12" s="1"/>
  <c r="AI386" i="12" s="1"/>
  <c r="AD398" i="12"/>
  <c r="AF394" i="12"/>
  <c r="AB395" i="12"/>
  <c r="AD367" i="12"/>
  <c r="AD390" i="12"/>
  <c r="AG398" i="12"/>
  <c r="AB362" i="12"/>
  <c r="AJ396" i="12"/>
  <c r="AC391" i="12"/>
  <c r="A398" i="2" s="1"/>
  <c r="AC380" i="12"/>
  <c r="AA380" i="12" s="1"/>
  <c r="AI380" i="12" s="1"/>
  <c r="AC370" i="12"/>
  <c r="AA370" i="12" s="1"/>
  <c r="AI370" i="12" s="1"/>
  <c r="AJ370" i="12"/>
  <c r="AJ363" i="12"/>
  <c r="AH384" i="12"/>
  <c r="AH366" i="12"/>
  <c r="AD373" i="12"/>
  <c r="AG376" i="12"/>
  <c r="AF398" i="12"/>
  <c r="AE400" i="12"/>
  <c r="AF376" i="12"/>
  <c r="AD385" i="12"/>
  <c r="AH394" i="12"/>
  <c r="AD387" i="12"/>
  <c r="AB368" i="12"/>
  <c r="AD362" i="12"/>
  <c r="AH400" i="12"/>
  <c r="AC397" i="12"/>
  <c r="A404" i="2" s="1"/>
  <c r="AG393" i="12"/>
  <c r="AF380" i="12"/>
  <c r="AH363" i="12"/>
  <c r="AC398" i="12"/>
  <c r="AA398" i="12" s="1"/>
  <c r="AI398" i="12" s="1"/>
  <c r="AB384" i="12"/>
  <c r="AB360" i="12"/>
  <c r="AB390" i="12"/>
  <c r="AG366" i="12"/>
  <c r="AB397" i="12"/>
  <c r="AE372" i="12"/>
  <c r="AB381" i="12"/>
  <c r="AC389" i="12"/>
  <c r="AA389" i="12" s="1"/>
  <c r="AI389" i="12" s="1"/>
  <c r="AJ399" i="12"/>
  <c r="AC364" i="12"/>
  <c r="A371" i="2" s="1"/>
  <c r="AH381" i="12"/>
  <c r="AD361" i="12"/>
  <c r="AE380" i="12"/>
  <c r="AB382" i="12"/>
  <c r="AJ375" i="12"/>
  <c r="AB388" i="12"/>
  <c r="AG391" i="12"/>
  <c r="AD363" i="12"/>
  <c r="AG386" i="12"/>
  <c r="AB391" i="12"/>
  <c r="AF362" i="12"/>
  <c r="AE387" i="12"/>
  <c r="AE370" i="12"/>
  <c r="AJ374" i="12"/>
  <c r="AE367" i="12"/>
  <c r="AD389" i="12"/>
  <c r="AE371" i="12"/>
  <c r="AD360" i="12"/>
  <c r="AF366" i="12"/>
  <c r="AG383" i="12"/>
  <c r="AJ389" i="12"/>
  <c r="AB365" i="12"/>
  <c r="AF399" i="12"/>
  <c r="AB393" i="12"/>
  <c r="AE365" i="12"/>
  <c r="AG377" i="12"/>
  <c r="AG385" i="12"/>
  <c r="AH380" i="12"/>
  <c r="AG360" i="12"/>
  <c r="AE391" i="12"/>
  <c r="AG367" i="12"/>
  <c r="AB400" i="12"/>
  <c r="AF400" i="12"/>
  <c r="AH375" i="12"/>
  <c r="AB361" i="12"/>
  <c r="AB367" i="12"/>
  <c r="AF390" i="12"/>
  <c r="AD379" i="12"/>
  <c r="AC394" i="12"/>
  <c r="A401" i="2" s="1"/>
  <c r="AE366" i="12"/>
  <c r="AE396" i="12"/>
  <c r="AF379" i="12"/>
  <c r="AE368" i="12"/>
  <c r="AG394" i="12"/>
  <c r="AC369" i="12"/>
  <c r="AA369" i="12" s="1"/>
  <c r="AI369" i="12" s="1"/>
  <c r="AC390" i="12"/>
  <c r="A397" i="2" s="1"/>
  <c r="AE361" i="12"/>
  <c r="AJ384" i="12"/>
  <c r="AE381" i="12"/>
  <c r="AF381" i="12"/>
  <c r="AD393" i="12"/>
  <c r="AC360" i="12"/>
  <c r="AA360" i="12" s="1"/>
  <c r="AI360" i="12" s="1"/>
  <c r="AE397" i="12"/>
  <c r="AB392" i="12"/>
  <c r="AH395" i="12"/>
  <c r="AJ397" i="12"/>
  <c r="AB377" i="12"/>
  <c r="AJ392" i="12"/>
  <c r="AJ385" i="12"/>
  <c r="AH374" i="12"/>
  <c r="AH388" i="12"/>
  <c r="AG369" i="12"/>
  <c r="AJ393" i="12"/>
  <c r="AG387" i="12"/>
  <c r="AF392" i="12"/>
  <c r="AG365" i="12"/>
  <c r="AE395" i="12"/>
  <c r="AJ369" i="12"/>
  <c r="AE363" i="12"/>
  <c r="AG395" i="12"/>
  <c r="AB371" i="12"/>
  <c r="AE377" i="12"/>
  <c r="AH360" i="12"/>
  <c r="AH398" i="12"/>
  <c r="AB370" i="12"/>
  <c r="AJ383" i="12"/>
  <c r="AJ386" i="12"/>
  <c r="AD392" i="12"/>
  <c r="AH397" i="12"/>
  <c r="AB386" i="12"/>
  <c r="AD388" i="12"/>
  <c r="AJ372" i="12"/>
  <c r="AE394" i="12"/>
  <c r="AC363" i="12"/>
  <c r="AH376" i="12"/>
  <c r="AC381" i="12"/>
  <c r="A388" i="2" s="1"/>
  <c r="AB369" i="12"/>
  <c r="AF385" i="12"/>
  <c r="AH362" i="12"/>
  <c r="AB376" i="12"/>
  <c r="AF395" i="12"/>
  <c r="AG362" i="12"/>
  <c r="AC378" i="12"/>
  <c r="AF370" i="12"/>
  <c r="AB394" i="12"/>
  <c r="AJ362" i="12"/>
  <c r="AG371" i="12"/>
  <c r="AC383" i="12"/>
  <c r="A390" i="2" s="1"/>
  <c r="AF388" i="12"/>
  <c r="AD366" i="12"/>
  <c r="AJ365" i="12"/>
  <c r="AF364" i="12"/>
  <c r="AH368" i="12"/>
  <c r="AH367" i="12"/>
  <c r="AH385" i="12"/>
  <c r="AH372" i="12"/>
  <c r="AF377" i="12"/>
  <c r="AE399" i="12"/>
  <c r="AB398" i="12"/>
  <c r="AE362" i="12"/>
  <c r="AB387" i="12"/>
  <c r="AE379" i="12"/>
  <c r="AG384" i="12"/>
  <c r="AD399" i="12"/>
  <c r="AF383" i="12"/>
  <c r="AJ360" i="12"/>
  <c r="AC382" i="12"/>
  <c r="A389" i="2" s="1"/>
  <c r="AG375" i="12"/>
  <c r="AC384" i="12"/>
  <c r="A391" i="2" s="1"/>
  <c r="AF391" i="12"/>
  <c r="AF373" i="12"/>
  <c r="AF368" i="12"/>
  <c r="AC373" i="12"/>
  <c r="AA373" i="12" s="1"/>
  <c r="AI373" i="12" s="1"/>
  <c r="AD400" i="12"/>
  <c r="AE376" i="12"/>
  <c r="AC387" i="12"/>
  <c r="AA387" i="12" s="1"/>
  <c r="AI387" i="12" s="1"/>
  <c r="AF384" i="12"/>
  <c r="AB399" i="12"/>
  <c r="AH371" i="12"/>
  <c r="AG389" i="12"/>
  <c r="AH387" i="12"/>
  <c r="AF393" i="12"/>
  <c r="AJ366" i="12"/>
  <c r="AC368" i="12"/>
  <c r="A375" i="2" s="1"/>
  <c r="AB366" i="12"/>
  <c r="AD378" i="12"/>
  <c r="AE398" i="12"/>
  <c r="AD394" i="12"/>
  <c r="AC366" i="12"/>
  <c r="A373" i="2" s="1"/>
  <c r="AE390" i="12"/>
  <c r="AJ394" i="12"/>
  <c r="AJ378" i="12"/>
  <c r="AE373" i="12"/>
  <c r="AB373" i="12"/>
  <c r="AF382" i="12"/>
  <c r="AH389" i="12"/>
  <c r="AD371" i="12"/>
  <c r="AB372" i="12"/>
  <c r="AF372" i="12"/>
  <c r="AF374" i="12"/>
  <c r="AB385" i="12"/>
  <c r="AH392" i="12"/>
  <c r="AE386" i="12"/>
  <c r="AD372" i="12"/>
  <c r="AC395" i="12"/>
  <c r="AH399" i="12"/>
  <c r="AJ367" i="12"/>
  <c r="AD391" i="12"/>
  <c r="AC388" i="12"/>
  <c r="AA388" i="12" s="1"/>
  <c r="AI388" i="12" s="1"/>
  <c r="AB380" i="12"/>
  <c r="AD383" i="12"/>
  <c r="AJ361" i="12"/>
  <c r="AE393" i="12"/>
  <c r="AD380" i="12"/>
  <c r="AH361" i="12"/>
  <c r="AG368" i="12"/>
  <c r="AE383" i="12"/>
  <c r="AF360" i="12"/>
  <c r="AH365" i="12"/>
  <c r="AG382" i="12"/>
  <c r="AC365" i="12"/>
  <c r="A372" i="2" s="1"/>
  <c r="AB383" i="12"/>
  <c r="AF363" i="12"/>
  <c r="AG364" i="12"/>
  <c r="AE375" i="12"/>
  <c r="AE369" i="12"/>
  <c r="AF397" i="12"/>
  <c r="AH393" i="12"/>
  <c r="AH373" i="12"/>
  <c r="AG397" i="12"/>
  <c r="AC379" i="12"/>
  <c r="A386" i="2" s="1"/>
  <c r="AG370" i="12"/>
  <c r="AC392" i="12"/>
  <c r="AA392" i="12" s="1"/>
  <c r="AI392" i="12" s="1"/>
  <c r="AG400" i="12"/>
  <c r="AF375" i="12"/>
  <c r="AJ387" i="12"/>
  <c r="AG374" i="12"/>
  <c r="AG381" i="12"/>
  <c r="AG392" i="12"/>
  <c r="AJ391" i="12"/>
  <c r="AE388" i="12"/>
  <c r="AH377" i="12"/>
  <c r="AD381" i="12"/>
  <c r="AH383" i="12"/>
  <c r="AJ371" i="12"/>
  <c r="AJ379" i="12"/>
  <c r="AH364" i="12"/>
  <c r="AJ376" i="12"/>
  <c r="AD364" i="12"/>
  <c r="AF371" i="12"/>
  <c r="AC362" i="12"/>
  <c r="AH378" i="12"/>
  <c r="AC358" i="12"/>
  <c r="AE359" i="12"/>
  <c r="AB358" i="12"/>
  <c r="AJ373" i="12"/>
  <c r="AD377" i="12"/>
  <c r="AE392" i="12"/>
  <c r="AD368" i="12"/>
  <c r="AG396" i="12"/>
  <c r="AC400" i="12"/>
  <c r="AB359" i="12"/>
  <c r="AD359" i="12"/>
  <c r="AH358" i="12"/>
  <c r="AG390" i="12"/>
  <c r="AD386" i="12"/>
  <c r="AE360" i="12"/>
  <c r="AJ359" i="12"/>
  <c r="AG359" i="12"/>
  <c r="AE358" i="12"/>
  <c r="AD358" i="12"/>
  <c r="AH359" i="12"/>
  <c r="AF358" i="12"/>
  <c r="EN356" i="12"/>
  <c r="EM356" i="12"/>
  <c r="A364" i="2"/>
  <c r="AF359" i="12"/>
  <c r="AJ358" i="12"/>
  <c r="AC359" i="12"/>
  <c r="AG358" i="12"/>
  <c r="AG388" i="12"/>
  <c r="AH369" i="12"/>
  <c r="AG361" i="12"/>
  <c r="AE374" i="12"/>
  <c r="AJ381" i="12"/>
  <c r="AG380" i="12"/>
  <c r="AF369" i="12"/>
  <c r="AB389" i="12"/>
  <c r="AF389" i="12"/>
  <c r="AH382" i="12"/>
  <c r="AG372" i="12"/>
  <c r="A379" i="2"/>
  <c r="AB109" i="12"/>
  <c r="AD110" i="12"/>
  <c r="AH111" i="12"/>
  <c r="AH116" i="12"/>
  <c r="AE116" i="12"/>
  <c r="EL116" i="12" s="1"/>
  <c r="AD375" i="12"/>
  <c r="AC377" i="12"/>
  <c r="AH391" i="12"/>
  <c r="AH379" i="12"/>
  <c r="AH386" i="12"/>
  <c r="AJ388" i="12"/>
  <c r="AJ390" i="12"/>
  <c r="AH370" i="12"/>
  <c r="AE389" i="12"/>
  <c r="AF367" i="12"/>
  <c r="AB363" i="12"/>
  <c r="V9" i="12"/>
  <c r="BD196" i="12"/>
  <c r="CS50" i="12"/>
  <c r="CT50" i="12" s="1"/>
  <c r="ER98" i="12"/>
  <c r="DX2" i="12"/>
  <c r="BE196" i="12"/>
  <c r="B37" i="13"/>
  <c r="B69" i="13"/>
  <c r="B28" i="5"/>
  <c r="B16" i="13"/>
  <c r="B46" i="5"/>
  <c r="B50" i="5"/>
  <c r="B31" i="13"/>
  <c r="B86" i="13"/>
  <c r="B47" i="5"/>
  <c r="B50" i="13"/>
  <c r="B27" i="5"/>
  <c r="B81" i="13"/>
  <c r="B25" i="5"/>
  <c r="B45" i="5"/>
  <c r="B52" i="13"/>
  <c r="B87" i="13"/>
  <c r="B18" i="5"/>
  <c r="B57" i="13"/>
  <c r="B74" i="13"/>
  <c r="B17" i="13"/>
  <c r="B51" i="13"/>
  <c r="B13" i="13"/>
  <c r="B33" i="5"/>
  <c r="B53" i="13"/>
  <c r="B12" i="13"/>
  <c r="B79" i="13"/>
  <c r="B15" i="5"/>
  <c r="B85" i="13"/>
  <c r="B38" i="5"/>
  <c r="B15" i="13"/>
  <c r="B37" i="5"/>
  <c r="B59" i="13"/>
  <c r="B44" i="5"/>
  <c r="B58" i="13"/>
  <c r="B43" i="13"/>
  <c r="B36" i="5"/>
  <c r="B62" i="13"/>
  <c r="B16" i="5"/>
  <c r="B77" i="13"/>
  <c r="B31" i="5"/>
  <c r="B26" i="5"/>
  <c r="B24" i="13"/>
  <c r="B33" i="13"/>
  <c r="B40" i="13"/>
  <c r="B35" i="5"/>
  <c r="B47" i="13"/>
  <c r="B70" i="13"/>
  <c r="B66" i="13"/>
  <c r="B34" i="13"/>
  <c r="B39" i="5"/>
  <c r="B14" i="13"/>
  <c r="B38" i="13"/>
  <c r="B20" i="13"/>
  <c r="B42" i="13"/>
  <c r="B23" i="5"/>
  <c r="B30" i="13"/>
  <c r="B26" i="13"/>
  <c r="B76" i="13"/>
  <c r="B11" i="13"/>
  <c r="B29" i="13"/>
  <c r="B23" i="13"/>
  <c r="B18" i="13"/>
  <c r="B67" i="13"/>
  <c r="B56" i="13"/>
  <c r="B75" i="13"/>
  <c r="B71" i="13"/>
  <c r="B9" i="13"/>
  <c r="B54" i="13"/>
  <c r="B17" i="5"/>
  <c r="B53" i="5"/>
  <c r="B83" i="13"/>
  <c r="B65" i="13"/>
  <c r="B20" i="5"/>
  <c r="B46" i="13"/>
  <c r="B32" i="5"/>
  <c r="B48" i="13"/>
  <c r="B27" i="13"/>
  <c r="B88" i="13"/>
  <c r="B13" i="5"/>
  <c r="B84" i="13"/>
  <c r="B43" i="5"/>
  <c r="B34" i="5"/>
  <c r="B29" i="5"/>
  <c r="B19" i="13"/>
  <c r="I4" i="13"/>
  <c r="B63" i="13"/>
  <c r="B24" i="5"/>
  <c r="B12" i="5"/>
  <c r="B68" i="13"/>
  <c r="B41" i="5"/>
  <c r="B39" i="13"/>
  <c r="B78" i="13"/>
  <c r="B10" i="13"/>
  <c r="B49" i="5"/>
  <c r="B64" i="13"/>
  <c r="B54" i="5"/>
  <c r="B22" i="13"/>
  <c r="B32" i="13"/>
  <c r="B45" i="13"/>
  <c r="B30" i="5"/>
  <c r="B21" i="5"/>
  <c r="B72" i="13"/>
  <c r="B55" i="13"/>
  <c r="B44" i="13"/>
  <c r="B22" i="5"/>
  <c r="H4" i="13"/>
  <c r="B42" i="5"/>
  <c r="B35" i="13"/>
  <c r="B36" i="13"/>
  <c r="B60" i="13"/>
  <c r="B25" i="13"/>
  <c r="B41" i="13"/>
  <c r="B14" i="5"/>
  <c r="B51" i="5"/>
  <c r="B80" i="13"/>
  <c r="B11" i="5"/>
  <c r="B48" i="5"/>
  <c r="B49" i="13"/>
  <c r="B19" i="5"/>
  <c r="B40" i="5"/>
  <c r="B52" i="5"/>
  <c r="B82" i="13"/>
  <c r="B61" i="13"/>
  <c r="B21" i="13"/>
  <c r="B73" i="13"/>
  <c r="B28" i="13"/>
  <c r="EQ70" i="12" l="1"/>
  <c r="ER70" i="12" s="1"/>
  <c r="ES70" i="12" s="1"/>
  <c r="EQ78" i="12"/>
  <c r="ER78" i="12" s="1"/>
  <c r="ES78" i="12" s="1"/>
  <c r="EQ69" i="12"/>
  <c r="ER69" i="12" s="1"/>
  <c r="ES69" i="12" s="1"/>
  <c r="EQ73" i="12"/>
  <c r="ER73" i="12" s="1"/>
  <c r="ES73" i="12" s="1"/>
  <c r="EQ80" i="12"/>
  <c r="ER80" i="12" s="1"/>
  <c r="EQ82" i="12"/>
  <c r="ER82" i="12" s="1"/>
  <c r="ES82" i="12" s="1"/>
  <c r="EQ72" i="12"/>
  <c r="ER72" i="12" s="1"/>
  <c r="ES72" i="12" s="1"/>
  <c r="EQ75" i="12"/>
  <c r="EQ74" i="12"/>
  <c r="ER74" i="12" s="1"/>
  <c r="EQ71" i="12"/>
  <c r="ER71" i="12" s="1"/>
  <c r="ES71" i="12" s="1"/>
  <c r="EQ81" i="12"/>
  <c r="EQ77" i="12"/>
  <c r="EQ76" i="12"/>
  <c r="ER76" i="12" s="1"/>
  <c r="EQ79" i="12"/>
  <c r="ER79" i="12" s="1"/>
  <c r="ES79" i="12" s="1"/>
  <c r="EQ66" i="12"/>
  <c r="ER66" i="12" s="1"/>
  <c r="ES66" i="12" s="1"/>
  <c r="EQ63" i="12"/>
  <c r="ER63" i="12" s="1"/>
  <c r="ES63" i="12" s="1"/>
  <c r="EQ61" i="12"/>
  <c r="ER61" i="12" s="1"/>
  <c r="ES61" i="12" s="1"/>
  <c r="EQ58" i="12"/>
  <c r="ER58" i="12" s="1"/>
  <c r="ES58" i="12" s="1"/>
  <c r="DY154" i="12"/>
  <c r="EQ54" i="12"/>
  <c r="ER54" i="12" s="1"/>
  <c r="ES54" i="12" s="1"/>
  <c r="DY150" i="12"/>
  <c r="EQ49" i="12"/>
  <c r="ER49" i="12" s="1"/>
  <c r="ES49" i="12" s="1"/>
  <c r="DY145" i="12"/>
  <c r="DY143" i="12"/>
  <c r="DY141" i="12"/>
  <c r="EQ40" i="12"/>
  <c r="ER40" i="12" s="1"/>
  <c r="ES40" i="12" s="1"/>
  <c r="EQ37" i="12"/>
  <c r="ER37" i="12" s="1"/>
  <c r="ES37" i="12" s="1"/>
  <c r="EQ35" i="12"/>
  <c r="ER35" i="12" s="1"/>
  <c r="ES35" i="12" s="1"/>
  <c r="DY131" i="12"/>
  <c r="EQ31" i="12"/>
  <c r="ER31" i="12" s="1"/>
  <c r="ES31" i="12" s="1"/>
  <c r="EQ29" i="12"/>
  <c r="ER29" i="12" s="1"/>
  <c r="ES29" i="12" s="1"/>
  <c r="DY125" i="12"/>
  <c r="EQ25" i="12"/>
  <c r="ER25" i="12" s="1"/>
  <c r="ES25" i="12" s="1"/>
  <c r="EQ23" i="12"/>
  <c r="ER23" i="12" s="1"/>
  <c r="ES23" i="12" s="1"/>
  <c r="DY119" i="12"/>
  <c r="DY117" i="12"/>
  <c r="EQ16" i="12"/>
  <c r="ER16" i="12" s="1"/>
  <c r="ES16" i="12" s="1"/>
  <c r="EQ14" i="12"/>
  <c r="ER14" i="12" s="1"/>
  <c r="ES14" i="12" s="1"/>
  <c r="EQ12" i="12"/>
  <c r="ER12" i="12" s="1"/>
  <c r="ES12" i="12" s="1"/>
  <c r="EQ10" i="12"/>
  <c r="ER10" i="12" s="1"/>
  <c r="ES10" i="12" s="1"/>
  <c r="DY106" i="12"/>
  <c r="EQ6" i="12"/>
  <c r="ER6" i="12" s="1"/>
  <c r="ES6" i="12" s="1"/>
  <c r="EQ4" i="12"/>
  <c r="ER4" i="12" s="1"/>
  <c r="ES4" i="12" s="1"/>
  <c r="EQ65" i="12"/>
  <c r="ER65" i="12" s="1"/>
  <c r="ES65" i="12" s="1"/>
  <c r="DY160" i="12"/>
  <c r="EQ60" i="12"/>
  <c r="ER60" i="12" s="1"/>
  <c r="ES60" i="12" s="1"/>
  <c r="DY155" i="12"/>
  <c r="DY153" i="12"/>
  <c r="EQ53" i="12"/>
  <c r="ER53" i="12" s="1"/>
  <c r="ES53" i="12" s="1"/>
  <c r="DY148" i="12"/>
  <c r="DY146" i="12"/>
  <c r="DY144" i="12"/>
  <c r="EQ44" i="12"/>
  <c r="ER44" i="12" s="1"/>
  <c r="ES44" i="12" s="1"/>
  <c r="DY139" i="12"/>
  <c r="EQ39" i="12"/>
  <c r="ER39" i="12" s="1"/>
  <c r="ES39" i="12" s="1"/>
  <c r="DY134" i="12"/>
  <c r="DY132" i="12"/>
  <c r="DY130" i="12"/>
  <c r="DY128" i="12"/>
  <c r="DY126" i="12"/>
  <c r="EQ26" i="12"/>
  <c r="ER26" i="12" s="1"/>
  <c r="ES26" i="12" s="1"/>
  <c r="DY122" i="12"/>
  <c r="DY120" i="12"/>
  <c r="DY118" i="12"/>
  <c r="EQ17" i="12"/>
  <c r="ER17" i="12" s="1"/>
  <c r="ES17" i="12" s="1"/>
  <c r="DY113" i="12"/>
  <c r="DY111" i="12"/>
  <c r="DY109" i="12"/>
  <c r="DY107" i="12"/>
  <c r="EQ7" i="12"/>
  <c r="ER7" i="12" s="1"/>
  <c r="ES7" i="12" s="1"/>
  <c r="EQ5" i="12"/>
  <c r="ER5" i="12" s="1"/>
  <c r="ES5" i="12" s="1"/>
  <c r="EQ64" i="12"/>
  <c r="ER64" i="12" s="1"/>
  <c r="ES64" i="12" s="1"/>
  <c r="EQ62" i="12"/>
  <c r="ER62" i="12" s="1"/>
  <c r="ES62" i="12" s="1"/>
  <c r="DY158" i="12"/>
  <c r="EQ57" i="12"/>
  <c r="ER57" i="12" s="1"/>
  <c r="ES57" i="12" s="1"/>
  <c r="EQ55" i="12"/>
  <c r="ER55" i="12" s="1"/>
  <c r="ES55" i="12" s="1"/>
  <c r="DY151" i="12"/>
  <c r="EQ50" i="12"/>
  <c r="ER50" i="12" s="1"/>
  <c r="ES50" i="12" s="1"/>
  <c r="EQ48" i="12"/>
  <c r="ER48" i="12" s="1"/>
  <c r="ES48" i="12" s="1"/>
  <c r="EQ46" i="12"/>
  <c r="ER46" i="12" s="1"/>
  <c r="ES46" i="12" s="1"/>
  <c r="DY142" i="12"/>
  <c r="EQ41" i="12"/>
  <c r="ER41" i="12" s="1"/>
  <c r="ES41" i="12" s="1"/>
  <c r="DY137" i="12"/>
  <c r="EQ36" i="12"/>
  <c r="ER36" i="12" s="1"/>
  <c r="ES36" i="12" s="1"/>
  <c r="EQ34" i="12"/>
  <c r="ER34" i="12" s="1"/>
  <c r="ES34" i="12" s="1"/>
  <c r="EQ32" i="12"/>
  <c r="ER32" i="12" s="1"/>
  <c r="ES32" i="12" s="1"/>
  <c r="EQ30" i="12"/>
  <c r="ER30" i="12" s="1"/>
  <c r="ES30" i="12" s="1"/>
  <c r="EQ28" i="12"/>
  <c r="ER28" i="12" s="1"/>
  <c r="ES28" i="12" s="1"/>
  <c r="DY124" i="12"/>
  <c r="EQ24" i="12"/>
  <c r="ER24" i="12" s="1"/>
  <c r="ES24" i="12" s="1"/>
  <c r="EQ22" i="12"/>
  <c r="ER22" i="12" s="1"/>
  <c r="ES22" i="12" s="1"/>
  <c r="EQ20" i="12"/>
  <c r="ER20" i="12" s="1"/>
  <c r="ES20" i="12" s="1"/>
  <c r="DY115" i="12"/>
  <c r="EQ15" i="12"/>
  <c r="ER15" i="12" s="1"/>
  <c r="ES15" i="12" s="1"/>
  <c r="EQ13" i="12"/>
  <c r="ER13" i="12" s="1"/>
  <c r="ES13" i="12" s="1"/>
  <c r="EQ11" i="12"/>
  <c r="ER11" i="12" s="1"/>
  <c r="ES11" i="12" s="1"/>
  <c r="EQ9" i="12"/>
  <c r="ER9" i="12" s="1"/>
  <c r="ES9" i="12" s="1"/>
  <c r="DY105" i="12"/>
  <c r="DY103" i="12"/>
  <c r="EQ68" i="12"/>
  <c r="ER68" i="12" s="1"/>
  <c r="ES68" i="12" s="1"/>
  <c r="DY161" i="12"/>
  <c r="DY159" i="12"/>
  <c r="DY156" i="12"/>
  <c r="EQ56" i="12"/>
  <c r="ER56" i="12" s="1"/>
  <c r="ES56" i="12" s="1"/>
  <c r="DY152" i="12"/>
  <c r="EQ52" i="12"/>
  <c r="ER52" i="12" s="1"/>
  <c r="ES52" i="12" s="1"/>
  <c r="DY147" i="12"/>
  <c r="EQ47" i="12"/>
  <c r="ER47" i="12" s="1"/>
  <c r="ES47" i="12" s="1"/>
  <c r="EQ45" i="12"/>
  <c r="ER45" i="12" s="1"/>
  <c r="ES45" i="12" s="1"/>
  <c r="EQ43" i="12"/>
  <c r="ER43" i="12" s="1"/>
  <c r="ES43" i="12" s="1"/>
  <c r="DY138" i="12"/>
  <c r="DY135" i="12"/>
  <c r="DY133" i="12"/>
  <c r="EQ33" i="12"/>
  <c r="ER33" i="12" s="1"/>
  <c r="ES33" i="12" s="1"/>
  <c r="DY129" i="12"/>
  <c r="DY127" i="12"/>
  <c r="EQ27" i="12"/>
  <c r="ER27" i="12" s="1"/>
  <c r="ES27" i="12" s="1"/>
  <c r="DY123" i="12"/>
  <c r="DY121" i="12"/>
  <c r="EQ21" i="12"/>
  <c r="ER21" i="12" s="1"/>
  <c r="ES21" i="12" s="1"/>
  <c r="EQ19" i="12"/>
  <c r="ER19" i="12" s="1"/>
  <c r="ES19" i="12" s="1"/>
  <c r="DY114" i="12"/>
  <c r="DY112" i="12"/>
  <c r="DY110" i="12"/>
  <c r="DY108" i="12"/>
  <c r="EQ8" i="12"/>
  <c r="ER8" i="12" s="1"/>
  <c r="ES8" i="12" s="1"/>
  <c r="DY104" i="12"/>
  <c r="DY102" i="12"/>
  <c r="DY166" i="12"/>
  <c r="DY170" i="12"/>
  <c r="DY173" i="12"/>
  <c r="DY178" i="12"/>
  <c r="DY177" i="12"/>
  <c r="DY180" i="12"/>
  <c r="DY175" i="12"/>
  <c r="DY171" i="12"/>
  <c r="DY174" i="12"/>
  <c r="DY176" i="12"/>
  <c r="DY172" i="12"/>
  <c r="DY169" i="12"/>
  <c r="DY179" i="12"/>
  <c r="DY168" i="12"/>
  <c r="DY167" i="12"/>
  <c r="DY226" i="12"/>
  <c r="DY235" i="12"/>
  <c r="DY232" i="12"/>
  <c r="DY233" i="12"/>
  <c r="EQ135" i="12"/>
  <c r="ER135" i="12" s="1"/>
  <c r="ES135" i="12" s="1"/>
  <c r="EQ124" i="12"/>
  <c r="EQ127" i="12"/>
  <c r="DY227" i="12"/>
  <c r="DY231" i="12"/>
  <c r="EQ136" i="12"/>
  <c r="EQ132" i="12"/>
  <c r="ER132" i="12" s="1"/>
  <c r="ES132" i="12" s="1"/>
  <c r="EQ126" i="12"/>
  <c r="DY228" i="12"/>
  <c r="DY230" i="12"/>
  <c r="DY222" i="12"/>
  <c r="DY229" i="12"/>
  <c r="EQ134" i="12"/>
  <c r="ER134" i="12" s="1"/>
  <c r="ES134" i="12" s="1"/>
  <c r="EQ130" i="12"/>
  <c r="EQ121" i="12"/>
  <c r="DY225" i="12"/>
  <c r="DY234" i="12"/>
  <c r="DY224" i="12"/>
  <c r="EQ137" i="12"/>
  <c r="ER137" i="12" s="1"/>
  <c r="ES137" i="12" s="1"/>
  <c r="EQ133" i="12"/>
  <c r="ER133" i="12" s="1"/>
  <c r="ES133" i="12" s="1"/>
  <c r="EQ131" i="12"/>
  <c r="ER131" i="12" s="1"/>
  <c r="ES131" i="12" s="1"/>
  <c r="EQ129" i="12"/>
  <c r="EQ128" i="12"/>
  <c r="ER128" i="12" s="1"/>
  <c r="ES128" i="12" s="1"/>
  <c r="DY219" i="12"/>
  <c r="EQ123" i="12"/>
  <c r="DY223" i="12"/>
  <c r="DY220" i="12"/>
  <c r="EQ122" i="12"/>
  <c r="DY221" i="12"/>
  <c r="EQ125" i="12"/>
  <c r="EQ120" i="12"/>
  <c r="DY218" i="12"/>
  <c r="EQ112" i="12"/>
  <c r="DY210" i="12"/>
  <c r="DY211" i="12"/>
  <c r="DY204" i="12"/>
  <c r="EQ119" i="12"/>
  <c r="EQ108" i="12"/>
  <c r="EQ110" i="12"/>
  <c r="EQ106" i="12"/>
  <c r="DY216" i="12"/>
  <c r="DY217" i="12"/>
  <c r="DY214" i="12"/>
  <c r="DY206" i="12"/>
  <c r="DY209" i="12"/>
  <c r="EQ118" i="12"/>
  <c r="EQ113" i="12"/>
  <c r="EQ111" i="12"/>
  <c r="EQ107" i="12"/>
  <c r="DY213" i="12"/>
  <c r="DY208" i="12"/>
  <c r="EQ117" i="12"/>
  <c r="EQ116" i="12"/>
  <c r="EQ109" i="12"/>
  <c r="DY215" i="12"/>
  <c r="DY212" i="12"/>
  <c r="EQ115" i="12"/>
  <c r="EQ114" i="12"/>
  <c r="DY207" i="12"/>
  <c r="DY205" i="12"/>
  <c r="EL357" i="12"/>
  <c r="EN357" i="12" s="1"/>
  <c r="EQ105" i="12"/>
  <c r="DY203" i="12"/>
  <c r="AQ116" i="12"/>
  <c r="AR116" i="12" s="1"/>
  <c r="EL13" i="12"/>
  <c r="AQ13" i="12"/>
  <c r="AA13" i="12"/>
  <c r="AI13" i="12" s="1"/>
  <c r="A20" i="2"/>
  <c r="EL15" i="12"/>
  <c r="AQ15" i="12"/>
  <c r="A22" i="2"/>
  <c r="AA15" i="12"/>
  <c r="AI15" i="12" s="1"/>
  <c r="A23" i="2"/>
  <c r="AA16" i="12"/>
  <c r="AI16" i="12" s="1"/>
  <c r="AQ16" i="12"/>
  <c r="EL16" i="12"/>
  <c r="EL17" i="12"/>
  <c r="AQ12" i="12"/>
  <c r="A19" i="2"/>
  <c r="AA12" i="12"/>
  <c r="AI12" i="12" s="1"/>
  <c r="EL12" i="12"/>
  <c r="AQ18" i="12"/>
  <c r="AQ222" i="12"/>
  <c r="AQ198" i="12"/>
  <c r="AQ137" i="12"/>
  <c r="AQ87" i="12"/>
  <c r="AQ44" i="12"/>
  <c r="AQ54" i="12"/>
  <c r="AQ65" i="12"/>
  <c r="AQ57" i="12"/>
  <c r="AQ84" i="12"/>
  <c r="AQ107" i="12"/>
  <c r="AQ47" i="12"/>
  <c r="AQ102" i="12"/>
  <c r="AQ40" i="12"/>
  <c r="AQ76" i="12"/>
  <c r="AQ67" i="12"/>
  <c r="AQ26" i="12"/>
  <c r="AQ72" i="12"/>
  <c r="AQ75" i="12"/>
  <c r="AQ38" i="12"/>
  <c r="AQ86" i="12"/>
  <c r="AQ94" i="12"/>
  <c r="AQ53" i="12"/>
  <c r="AQ91" i="12"/>
  <c r="AQ115" i="12"/>
  <c r="AQ131" i="12"/>
  <c r="AQ162" i="12"/>
  <c r="AQ187" i="12"/>
  <c r="AQ167" i="12"/>
  <c r="AQ151" i="12"/>
  <c r="AQ193" i="12"/>
  <c r="AQ227" i="12"/>
  <c r="AQ48" i="12"/>
  <c r="AQ31" i="12"/>
  <c r="AQ184" i="12"/>
  <c r="AQ178" i="12"/>
  <c r="AQ230" i="12"/>
  <c r="AQ143" i="12"/>
  <c r="AQ173" i="12"/>
  <c r="AQ229" i="12"/>
  <c r="AQ211" i="12"/>
  <c r="AQ120" i="12"/>
  <c r="AQ207" i="12"/>
  <c r="AQ215" i="12"/>
  <c r="AQ219" i="12"/>
  <c r="AQ177" i="12"/>
  <c r="AQ172" i="12"/>
  <c r="AQ188" i="12"/>
  <c r="AQ226" i="12"/>
  <c r="AQ191" i="12"/>
  <c r="AQ142" i="12"/>
  <c r="AQ160" i="12"/>
  <c r="AQ183" i="12"/>
  <c r="AQ216" i="12"/>
  <c r="AQ17" i="12"/>
  <c r="AQ212" i="12"/>
  <c r="AQ165" i="12"/>
  <c r="AQ200" i="12"/>
  <c r="AQ149" i="12"/>
  <c r="AQ192" i="12"/>
  <c r="AQ156" i="12"/>
  <c r="AQ148" i="12"/>
  <c r="AQ36" i="12"/>
  <c r="AQ34" i="12"/>
  <c r="AQ20" i="12"/>
  <c r="AQ88" i="12"/>
  <c r="AQ42" i="12"/>
  <c r="AQ61" i="12"/>
  <c r="AQ22" i="12"/>
  <c r="AQ82" i="12"/>
  <c r="AQ28" i="12"/>
  <c r="AQ55" i="12"/>
  <c r="AQ29" i="12"/>
  <c r="AQ77" i="12"/>
  <c r="AQ56" i="12"/>
  <c r="AQ60" i="12"/>
  <c r="AQ80" i="12"/>
  <c r="AQ45" i="12"/>
  <c r="AQ71" i="12"/>
  <c r="AQ109" i="12"/>
  <c r="AQ52" i="12"/>
  <c r="AQ27" i="12"/>
  <c r="AQ19" i="12"/>
  <c r="AQ110" i="12"/>
  <c r="AQ21" i="12"/>
  <c r="AQ118" i="12"/>
  <c r="AQ136" i="12"/>
  <c r="AQ135" i="12"/>
  <c r="AQ121" i="12"/>
  <c r="AQ130" i="12"/>
  <c r="AQ125" i="12"/>
  <c r="AQ189" i="12"/>
  <c r="AQ139" i="12"/>
  <c r="AQ127" i="12"/>
  <c r="AQ206" i="12"/>
  <c r="AQ147" i="12"/>
  <c r="AQ194" i="12"/>
  <c r="AQ210" i="12"/>
  <c r="AQ152" i="12"/>
  <c r="AQ154" i="12"/>
  <c r="AQ169" i="12"/>
  <c r="AQ51" i="12"/>
  <c r="AQ171" i="12"/>
  <c r="AQ140" i="12"/>
  <c r="AQ190" i="12"/>
  <c r="AQ185" i="12"/>
  <c r="AQ168" i="12"/>
  <c r="AQ174" i="12"/>
  <c r="AQ202" i="12"/>
  <c r="AQ145" i="12"/>
  <c r="AQ146" i="12"/>
  <c r="AQ208" i="12"/>
  <c r="AQ196" i="12"/>
  <c r="AQ213" i="12"/>
  <c r="AQ204" i="12"/>
  <c r="AQ175" i="12"/>
  <c r="AQ209" i="12"/>
  <c r="AQ179" i="12"/>
  <c r="AQ119" i="12"/>
  <c r="AQ199" i="12"/>
  <c r="AQ138" i="12"/>
  <c r="AQ223" i="12"/>
  <c r="AQ134" i="12"/>
  <c r="AQ66" i="12"/>
  <c r="AQ74" i="12"/>
  <c r="AQ37" i="12"/>
  <c r="AQ90" i="12"/>
  <c r="AQ85" i="12"/>
  <c r="AQ24" i="12"/>
  <c r="AQ100" i="12"/>
  <c r="AQ39" i="12"/>
  <c r="AQ63" i="12"/>
  <c r="AQ78" i="12"/>
  <c r="AQ96" i="12"/>
  <c r="AQ93" i="12"/>
  <c r="AQ108" i="12"/>
  <c r="AQ68" i="12"/>
  <c r="AQ49" i="12"/>
  <c r="AQ25" i="12"/>
  <c r="AQ70" i="12"/>
  <c r="AQ64" i="12"/>
  <c r="AQ103" i="12"/>
  <c r="AQ41" i="12"/>
  <c r="AQ104" i="12"/>
  <c r="AQ112" i="12"/>
  <c r="AQ117" i="12"/>
  <c r="AQ32" i="12"/>
  <c r="AQ220" i="12"/>
  <c r="AQ217" i="12"/>
  <c r="AQ176" i="12"/>
  <c r="AQ144" i="12"/>
  <c r="AQ218" i="12"/>
  <c r="AQ129" i="12"/>
  <c r="AQ195" i="12"/>
  <c r="AQ153" i="12"/>
  <c r="AQ203" i="12"/>
  <c r="AQ123" i="12"/>
  <c r="AQ157" i="12"/>
  <c r="AQ224" i="12"/>
  <c r="AQ214" i="12"/>
  <c r="AQ170" i="12"/>
  <c r="AQ205" i="12"/>
  <c r="AQ30" i="12"/>
  <c r="AQ201" i="12"/>
  <c r="AQ164" i="12"/>
  <c r="AQ166" i="12"/>
  <c r="AQ132" i="12"/>
  <c r="AQ155" i="12"/>
  <c r="AQ221" i="12"/>
  <c r="AQ182" i="12"/>
  <c r="AQ141" i="12"/>
  <c r="AQ228" i="12"/>
  <c r="AQ126" i="12"/>
  <c r="AQ163" i="12"/>
  <c r="AQ106" i="12"/>
  <c r="AQ23" i="12"/>
  <c r="AQ50" i="12"/>
  <c r="AQ98" i="12"/>
  <c r="AQ99" i="12"/>
  <c r="AQ79" i="12"/>
  <c r="AQ81" i="12"/>
  <c r="AQ43" i="12"/>
  <c r="AQ101" i="12"/>
  <c r="AQ58" i="12"/>
  <c r="AQ89" i="12"/>
  <c r="AQ73" i="12"/>
  <c r="AQ105" i="12"/>
  <c r="AQ59" i="12"/>
  <c r="AQ62" i="12"/>
  <c r="AQ92" i="12"/>
  <c r="AQ69" i="12"/>
  <c r="AQ95" i="12"/>
  <c r="AQ97" i="12"/>
  <c r="AQ46" i="12"/>
  <c r="AQ83" i="12"/>
  <c r="AQ114" i="12"/>
  <c r="AQ161" i="12"/>
  <c r="AQ128" i="12"/>
  <c r="AQ122" i="12"/>
  <c r="AQ180" i="12"/>
  <c r="AQ181" i="12"/>
  <c r="AQ225" i="12"/>
  <c r="AQ186" i="12"/>
  <c r="AQ150" i="12"/>
  <c r="AQ159" i="12"/>
  <c r="AQ158" i="12"/>
  <c r="AQ35" i="12"/>
  <c r="AQ33" i="12"/>
  <c r="AQ124" i="12"/>
  <c r="AQ133" i="12"/>
  <c r="AQ197" i="12"/>
  <c r="EL14" i="12"/>
  <c r="AA14" i="12"/>
  <c r="AI14" i="12" s="1"/>
  <c r="AQ14" i="12"/>
  <c r="A21" i="2"/>
  <c r="AA375" i="12"/>
  <c r="AI375" i="12" s="1"/>
  <c r="DY165" i="12"/>
  <c r="EQ67" i="12"/>
  <c r="DY163" i="12"/>
  <c r="DY164" i="12"/>
  <c r="AA400" i="12"/>
  <c r="AI400" i="12" s="1"/>
  <c r="DY162" i="12"/>
  <c r="EQ59" i="12"/>
  <c r="DY157" i="12"/>
  <c r="EQ51" i="12"/>
  <c r="DY149" i="12"/>
  <c r="DY140" i="12"/>
  <c r="EQ42" i="12"/>
  <c r="EQ38" i="12"/>
  <c r="DY136" i="12"/>
  <c r="DY116" i="12"/>
  <c r="EQ18" i="12"/>
  <c r="K2" i="5"/>
  <c r="F4" i="5" s="1"/>
  <c r="DY101" i="12"/>
  <c r="EQ3" i="12"/>
  <c r="ER3" i="12" s="1"/>
  <c r="ES3" i="12" s="1"/>
  <c r="BX1" i="12"/>
  <c r="CQ6" i="12"/>
  <c r="AK105" i="12"/>
  <c r="AK103" i="12"/>
  <c r="AQ111" i="12"/>
  <c r="AR111" i="12" s="1"/>
  <c r="AQ113" i="12"/>
  <c r="DY202" i="12"/>
  <c r="AK104" i="12"/>
  <c r="EQ104" i="12"/>
  <c r="A392" i="2"/>
  <c r="A387" i="2"/>
  <c r="AA381" i="12"/>
  <c r="AI381" i="12" s="1"/>
  <c r="A377" i="2"/>
  <c r="A378" i="2"/>
  <c r="AA361" i="12"/>
  <c r="AI361" i="12" s="1"/>
  <c r="A381" i="2"/>
  <c r="A406" i="2"/>
  <c r="AA397" i="12"/>
  <c r="AI397" i="12" s="1"/>
  <c r="A396" i="2"/>
  <c r="A405" i="2"/>
  <c r="EL378" i="12"/>
  <c r="EM378" i="12" s="1"/>
  <c r="AA394" i="12"/>
  <c r="AI394" i="12" s="1"/>
  <c r="EL361" i="12"/>
  <c r="EN361" i="12" s="1"/>
  <c r="EL395" i="12"/>
  <c r="EN395" i="12" s="1"/>
  <c r="AA376" i="12"/>
  <c r="AI376" i="12" s="1"/>
  <c r="EL367" i="12"/>
  <c r="EN367" i="12" s="1"/>
  <c r="A376" i="2"/>
  <c r="AA383" i="12"/>
  <c r="AI383" i="12" s="1"/>
  <c r="EL385" i="12"/>
  <c r="EM385" i="12" s="1"/>
  <c r="EL394" i="12"/>
  <c r="EM394" i="12" s="1"/>
  <c r="AA391" i="12"/>
  <c r="AI391" i="12" s="1"/>
  <c r="A374" i="2"/>
  <c r="EL370" i="12"/>
  <c r="EM370" i="12" s="1"/>
  <c r="EL364" i="12"/>
  <c r="EN364" i="12" s="1"/>
  <c r="EL372" i="12"/>
  <c r="EN372" i="12" s="1"/>
  <c r="EL393" i="12"/>
  <c r="EN393" i="12" s="1"/>
  <c r="EL376" i="12"/>
  <c r="EM376" i="12" s="1"/>
  <c r="A367" i="2"/>
  <c r="AA364" i="12"/>
  <c r="AI364" i="12" s="1"/>
  <c r="AA393" i="12"/>
  <c r="AI393" i="12" s="1"/>
  <c r="EL383" i="12"/>
  <c r="EN383" i="12" s="1"/>
  <c r="EL371" i="12"/>
  <c r="EN371" i="12" s="1"/>
  <c r="A394" i="2"/>
  <c r="A402" i="2"/>
  <c r="A403" i="2"/>
  <c r="EL387" i="12"/>
  <c r="EN387" i="12" s="1"/>
  <c r="EL380" i="12"/>
  <c r="EN380" i="12" s="1"/>
  <c r="AA378" i="12"/>
  <c r="AI378" i="12" s="1"/>
  <c r="AA382" i="12"/>
  <c r="AI382" i="12" s="1"/>
  <c r="EL365" i="12"/>
  <c r="EM365" i="12" s="1"/>
  <c r="EL363" i="12"/>
  <c r="EM363" i="12" s="1"/>
  <c r="EL366" i="12"/>
  <c r="EN366" i="12" s="1"/>
  <c r="EL391" i="12"/>
  <c r="EM391" i="12" s="1"/>
  <c r="EL373" i="12"/>
  <c r="EN373" i="12" s="1"/>
  <c r="EL388" i="12"/>
  <c r="EM388" i="12" s="1"/>
  <c r="EL392" i="12"/>
  <c r="EM392" i="12" s="1"/>
  <c r="AA363" i="12"/>
  <c r="AI363" i="12" s="1"/>
  <c r="A395" i="2"/>
  <c r="EL386" i="12"/>
  <c r="EN386" i="12" s="1"/>
  <c r="A407" i="2"/>
  <c r="EL382" i="12"/>
  <c r="EN382" i="12" s="1"/>
  <c r="A399" i="2"/>
  <c r="A370" i="2"/>
  <c r="A385" i="2"/>
  <c r="AA365" i="12"/>
  <c r="AI365" i="12" s="1"/>
  <c r="A393" i="2"/>
  <c r="EL374" i="12"/>
  <c r="EM374" i="12" s="1"/>
  <c r="EL360" i="12"/>
  <c r="EM360" i="12" s="1"/>
  <c r="EL384" i="12"/>
  <c r="EN384" i="12" s="1"/>
  <c r="AK131" i="12"/>
  <c r="EL379" i="12"/>
  <c r="EM379" i="12" s="1"/>
  <c r="AK255" i="12"/>
  <c r="AK136" i="12"/>
  <c r="AK114" i="12"/>
  <c r="AK166" i="12"/>
  <c r="AK200" i="12"/>
  <c r="AK145" i="12"/>
  <c r="AK234" i="12"/>
  <c r="AK264" i="12"/>
  <c r="AK149" i="12"/>
  <c r="AK7" i="12"/>
  <c r="AK37" i="12"/>
  <c r="AK272" i="12"/>
  <c r="AK67" i="12"/>
  <c r="AK208" i="12"/>
  <c r="AK81" i="12"/>
  <c r="EL375" i="12"/>
  <c r="EM375" i="12" s="1"/>
  <c r="EL369" i="12"/>
  <c r="EM369" i="12" s="1"/>
  <c r="AK108" i="12"/>
  <c r="AK194" i="12"/>
  <c r="AK231" i="12"/>
  <c r="AK247" i="12"/>
  <c r="AK46" i="12"/>
  <c r="AK243" i="12"/>
  <c r="AK245" i="12"/>
  <c r="AK186" i="12"/>
  <c r="AK123" i="12"/>
  <c r="AK109" i="12"/>
  <c r="AK160" i="12"/>
  <c r="AK169" i="12"/>
  <c r="AK126" i="12"/>
  <c r="AK31" i="12"/>
  <c r="AA379" i="12"/>
  <c r="AI379" i="12" s="1"/>
  <c r="AA395" i="12"/>
  <c r="AI395" i="12" s="1"/>
  <c r="AA366" i="12"/>
  <c r="AI366" i="12" s="1"/>
  <c r="A380" i="2"/>
  <c r="EL362" i="12"/>
  <c r="EN362" i="12" s="1"/>
  <c r="AK132" i="12"/>
  <c r="AK91" i="12"/>
  <c r="AK275" i="12"/>
  <c r="AK53" i="12"/>
  <c r="AK144" i="12"/>
  <c r="AK95" i="12"/>
  <c r="AK285" i="12"/>
  <c r="AK69" i="12"/>
  <c r="AK60" i="12"/>
  <c r="AK3" i="12"/>
  <c r="AK74" i="12"/>
  <c r="AK13" i="12"/>
  <c r="AK102" i="12"/>
  <c r="AK173" i="12"/>
  <c r="AK10" i="12"/>
  <c r="AK290" i="12"/>
  <c r="AK297" i="12"/>
  <c r="AK204" i="12"/>
  <c r="EL390" i="12"/>
  <c r="EM390" i="12" s="1"/>
  <c r="AA368" i="12"/>
  <c r="AI368" i="12" s="1"/>
  <c r="AA384" i="12"/>
  <c r="AI384" i="12" s="1"/>
  <c r="AA362" i="12"/>
  <c r="AI362" i="12" s="1"/>
  <c r="EL381" i="12"/>
  <c r="EM381" i="12" s="1"/>
  <c r="AK151" i="12"/>
  <c r="AK156" i="12"/>
  <c r="AK148" i="12"/>
  <c r="AK48" i="12"/>
  <c r="AK64" i="12"/>
  <c r="AK301" i="12"/>
  <c r="AK259" i="12"/>
  <c r="AK152" i="12"/>
  <c r="AK191" i="12"/>
  <c r="AA390" i="12"/>
  <c r="AI390" i="12" s="1"/>
  <c r="EL389" i="12"/>
  <c r="EM389" i="12" s="1"/>
  <c r="A369" i="2"/>
  <c r="AK57" i="12"/>
  <c r="AK228" i="12"/>
  <c r="AK238" i="12"/>
  <c r="AK101" i="12"/>
  <c r="AK184" i="12"/>
  <c r="AK282" i="12"/>
  <c r="AK52" i="12"/>
  <c r="AK181" i="12"/>
  <c r="AK221" i="12"/>
  <c r="AK155" i="12"/>
  <c r="AK299" i="12"/>
  <c r="AK44" i="12"/>
  <c r="AK286" i="12"/>
  <c r="AK230" i="12"/>
  <c r="AK49" i="12"/>
  <c r="AK19" i="12"/>
  <c r="AK260" i="12"/>
  <c r="AK167" i="12"/>
  <c r="EL396" i="12"/>
  <c r="EN396" i="12" s="1"/>
  <c r="EL368" i="12"/>
  <c r="EN368" i="12" s="1"/>
  <c r="AK176" i="12"/>
  <c r="AK77" i="12"/>
  <c r="AK302" i="12"/>
  <c r="AK122" i="12"/>
  <c r="AK113" i="12"/>
  <c r="AK278" i="12"/>
  <c r="AK43" i="12"/>
  <c r="AK196" i="12"/>
  <c r="AK42" i="12"/>
  <c r="AK237" i="12"/>
  <c r="AK271" i="12"/>
  <c r="AK115" i="12"/>
  <c r="AK141" i="12"/>
  <c r="AK134" i="12"/>
  <c r="AK261" i="12"/>
  <c r="AK125" i="12"/>
  <c r="AK185" i="12"/>
  <c r="AK66" i="12"/>
  <c r="AK162" i="12"/>
  <c r="AK133" i="12"/>
  <c r="AK70" i="12"/>
  <c r="AK182" i="12"/>
  <c r="AK78" i="12"/>
  <c r="AK36" i="12"/>
  <c r="AK210" i="12"/>
  <c r="AK27" i="12"/>
  <c r="AK180" i="12"/>
  <c r="AK30" i="12"/>
  <c r="AK220" i="12"/>
  <c r="AK135" i="12"/>
  <c r="AK106" i="12"/>
  <c r="AK5" i="12"/>
  <c r="AK239" i="12"/>
  <c r="AK266" i="12"/>
  <c r="AK24" i="12"/>
  <c r="AK227" i="12"/>
  <c r="AK251" i="12"/>
  <c r="AK55" i="12"/>
  <c r="AK193" i="12"/>
  <c r="AK26" i="12"/>
  <c r="AK139" i="12"/>
  <c r="AK117" i="12"/>
  <c r="AK150" i="12"/>
  <c r="AK273" i="12"/>
  <c r="AK90" i="12"/>
  <c r="AK112" i="12"/>
  <c r="AK177" i="12"/>
  <c r="AK236" i="12"/>
  <c r="AK93" i="12"/>
  <c r="AK229" i="12"/>
  <c r="AK68" i="12"/>
  <c r="AK214" i="12"/>
  <c r="AK61" i="12"/>
  <c r="AK246" i="12"/>
  <c r="AK224" i="12"/>
  <c r="AK82" i="12"/>
  <c r="AK138" i="12"/>
  <c r="AK254" i="12"/>
  <c r="AK159" i="12"/>
  <c r="AK195" i="12"/>
  <c r="AK121" i="12"/>
  <c r="AK56" i="12"/>
  <c r="AK75" i="12"/>
  <c r="AK20" i="12"/>
  <c r="AK98" i="12"/>
  <c r="AK274" i="12"/>
  <c r="AK187" i="12"/>
  <c r="AK267" i="12"/>
  <c r="AK23" i="12"/>
  <c r="AK28" i="12"/>
  <c r="AK73" i="12"/>
  <c r="AK258" i="12"/>
  <c r="AK11" i="12"/>
  <c r="AK289" i="12"/>
  <c r="AK212" i="12"/>
  <c r="AK269" i="12"/>
  <c r="AK262" i="12"/>
  <c r="AK257" i="12"/>
  <c r="AK252" i="12"/>
  <c r="AK217" i="12"/>
  <c r="AK21" i="12"/>
  <c r="AK268" i="12"/>
  <c r="AK197" i="12"/>
  <c r="AK15" i="12"/>
  <c r="AK140" i="12"/>
  <c r="AK281" i="12"/>
  <c r="AK51" i="12"/>
  <c r="AK45" i="12"/>
  <c r="AK213" i="12"/>
  <c r="AK128" i="12"/>
  <c r="AK223" i="12"/>
  <c r="AK157" i="12"/>
  <c r="AK172" i="12"/>
  <c r="AK288" i="12"/>
  <c r="AK63" i="12"/>
  <c r="AK164" i="12"/>
  <c r="AK171" i="12"/>
  <c r="AK296" i="12"/>
  <c r="AK188" i="12"/>
  <c r="AK253" i="12"/>
  <c r="AK174" i="12"/>
  <c r="AK127" i="12"/>
  <c r="AK65" i="12"/>
  <c r="AK249" i="12"/>
  <c r="AK97" i="12"/>
  <c r="AK79" i="12"/>
  <c r="AK241" i="12"/>
  <c r="AK201" i="12"/>
  <c r="AK110" i="12"/>
  <c r="AK35" i="12"/>
  <c r="AK89" i="12"/>
  <c r="AK206" i="12"/>
  <c r="AK107" i="12"/>
  <c r="AK87" i="12"/>
  <c r="AK178" i="12"/>
  <c r="AK198" i="12"/>
  <c r="AK12" i="12"/>
  <c r="AK153" i="12"/>
  <c r="AK222" i="12"/>
  <c r="AK226" i="12"/>
  <c r="AK199" i="12"/>
  <c r="AK189" i="12"/>
  <c r="AK39" i="12"/>
  <c r="AK18" i="12"/>
  <c r="AK300" i="12"/>
  <c r="AK216" i="12"/>
  <c r="AK34" i="12"/>
  <c r="AK119" i="12"/>
  <c r="AK248" i="12"/>
  <c r="AK183" i="12"/>
  <c r="AK242" i="12"/>
  <c r="AK84" i="12"/>
  <c r="AK179" i="12"/>
  <c r="AK54" i="12"/>
  <c r="AK22" i="12"/>
  <c r="AK38" i="12"/>
  <c r="AK279" i="12"/>
  <c r="AK161" i="12"/>
  <c r="AK16" i="12"/>
  <c r="AK192" i="12"/>
  <c r="AK293" i="12"/>
  <c r="AK158" i="12"/>
  <c r="AK137" i="12"/>
  <c r="AK292" i="12"/>
  <c r="AK96" i="12"/>
  <c r="AK72" i="12"/>
  <c r="AK6" i="12"/>
  <c r="AK83" i="12"/>
  <c r="AK116" i="12"/>
  <c r="AK244" i="12"/>
  <c r="AK205" i="12"/>
  <c r="AK111" i="12"/>
  <c r="AK175" i="12"/>
  <c r="AK256" i="12"/>
  <c r="AK143" i="12"/>
  <c r="AK283" i="12"/>
  <c r="AK250" i="12"/>
  <c r="AK203" i="12"/>
  <c r="AK32" i="12"/>
  <c r="AK129" i="12"/>
  <c r="AK94" i="12"/>
  <c r="AK294" i="12"/>
  <c r="AK33" i="12"/>
  <c r="AK163" i="12"/>
  <c r="AK207" i="12"/>
  <c r="AK233" i="12"/>
  <c r="AK88" i="12"/>
  <c r="AK295" i="12"/>
  <c r="AK4" i="12"/>
  <c r="AK287" i="12"/>
  <c r="AK170" i="12"/>
  <c r="AK291" i="12"/>
  <c r="AK120" i="12"/>
  <c r="AK190" i="12"/>
  <c r="AK168" i="12"/>
  <c r="AK124" i="12"/>
  <c r="AK276" i="12"/>
  <c r="AK8" i="12"/>
  <c r="AK219" i="12"/>
  <c r="AK76" i="12"/>
  <c r="AK41" i="12"/>
  <c r="AK240" i="12"/>
  <c r="AK277" i="12"/>
  <c r="AK118" i="12"/>
  <c r="AK58" i="12"/>
  <c r="AK265" i="12"/>
  <c r="AK62" i="12"/>
  <c r="AK71" i="12"/>
  <c r="AK47" i="12"/>
  <c r="AK209" i="12"/>
  <c r="AK154" i="12"/>
  <c r="AK85" i="12"/>
  <c r="AK29" i="12"/>
  <c r="AK270" i="12"/>
  <c r="AK263" i="12"/>
  <c r="AK142" i="12"/>
  <c r="AK280" i="12"/>
  <c r="AK100" i="12"/>
  <c r="AK147" i="12"/>
  <c r="AK92" i="12"/>
  <c r="AK99" i="12"/>
  <c r="AK40" i="12"/>
  <c r="AK86" i="12"/>
  <c r="AK225" i="12"/>
  <c r="AK165" i="12"/>
  <c r="AK59" i="12"/>
  <c r="AK80" i="12"/>
  <c r="AK235" i="12"/>
  <c r="AK298" i="12"/>
  <c r="AK202" i="12"/>
  <c r="AK215" i="12"/>
  <c r="AK25" i="12"/>
  <c r="AK211" i="12"/>
  <c r="AK9" i="12"/>
  <c r="AK130" i="12"/>
  <c r="AK284" i="12"/>
  <c r="AK14" i="12"/>
  <c r="AK218" i="12"/>
  <c r="AK232" i="12"/>
  <c r="AK17" i="12"/>
  <c r="AK146" i="12"/>
  <c r="AK50" i="12"/>
  <c r="AA109" i="12"/>
  <c r="AI109" i="12" s="1"/>
  <c r="EQ103" i="12"/>
  <c r="DY201" i="12"/>
  <c r="A366" i="2"/>
  <c r="AA359" i="12"/>
  <c r="AI359" i="12" s="1"/>
  <c r="EL359" i="12"/>
  <c r="A365" i="2"/>
  <c r="EL358" i="12"/>
  <c r="AA358" i="12"/>
  <c r="AI358" i="12" s="1"/>
  <c r="AA377" i="12"/>
  <c r="AI377" i="12" s="1"/>
  <c r="EL377" i="12"/>
  <c r="A384" i="2"/>
  <c r="V10" i="12"/>
  <c r="V11" i="12" s="1"/>
  <c r="ER99" i="12"/>
  <c r="ES99" i="12" s="1"/>
  <c r="ES98" i="12"/>
  <c r="DW1" i="12"/>
  <c r="DX1" i="12"/>
  <c r="AU3" i="12"/>
  <c r="AT3" i="12"/>
  <c r="EM357" i="12" l="1"/>
  <c r="ER77" i="12"/>
  <c r="ES77" i="12" s="1"/>
  <c r="ES76" i="12"/>
  <c r="ER75" i="12"/>
  <c r="ES75" i="12" s="1"/>
  <c r="ES74" i="12"/>
  <c r="ER81" i="12"/>
  <c r="ES81" i="12" s="1"/>
  <c r="ES80" i="12"/>
  <c r="V12" i="12"/>
  <c r="V13" i="12" s="1"/>
  <c r="V14" i="12" s="1"/>
  <c r="V15" i="12" s="1"/>
  <c r="V16" i="12" s="1"/>
  <c r="V17" i="12" s="1"/>
  <c r="V18" i="12" s="1"/>
  <c r="V19" i="12" s="1"/>
  <c r="V20" i="12" s="1"/>
  <c r="V21" i="12" s="1"/>
  <c r="V22" i="12" s="1"/>
  <c r="V23" i="12" s="1"/>
  <c r="V24" i="12" s="1"/>
  <c r="V25" i="12" s="1"/>
  <c r="V26" i="12" s="1"/>
  <c r="V27" i="12" s="1"/>
  <c r="V28" i="12" s="1"/>
  <c r="V29" i="12" s="1"/>
  <c r="V30" i="12" s="1"/>
  <c r="V31" i="12" s="1"/>
  <c r="V32" i="12" s="1"/>
  <c r="V33" i="12" s="1"/>
  <c r="V34" i="12" s="1"/>
  <c r="V35" i="12" s="1"/>
  <c r="V36" i="12" s="1"/>
  <c r="V37" i="12" s="1"/>
  <c r="V38" i="12" s="1"/>
  <c r="V39" i="12" s="1"/>
  <c r="V40" i="12" s="1"/>
  <c r="V41" i="12" s="1"/>
  <c r="V42" i="12" s="1"/>
  <c r="V43" i="12" s="1"/>
  <c r="V44" i="12" s="1"/>
  <c r="V45" i="12" s="1"/>
  <c r="V46" i="12" s="1"/>
  <c r="V47" i="12" s="1"/>
  <c r="V48" i="12" s="1"/>
  <c r="V49" i="12" s="1"/>
  <c r="V50" i="12" s="1"/>
  <c r="V51" i="12" s="1"/>
  <c r="V52" i="12" s="1"/>
  <c r="V53" i="12" s="1"/>
  <c r="V54" i="12" s="1"/>
  <c r="V55" i="12" s="1"/>
  <c r="V56" i="12" s="1"/>
  <c r="V57" i="12" s="1"/>
  <c r="V58" i="12" s="1"/>
  <c r="V59" i="12" s="1"/>
  <c r="V60" i="12" s="1"/>
  <c r="V61" i="12" s="1"/>
  <c r="V62" i="12" s="1"/>
  <c r="V63" i="12" s="1"/>
  <c r="V64" i="12" s="1"/>
  <c r="V65" i="12" s="1"/>
  <c r="V66" i="12" s="1"/>
  <c r="V67" i="12" s="1"/>
  <c r="V68" i="12" s="1"/>
  <c r="V69" i="12" s="1"/>
  <c r="V70" i="12" s="1"/>
  <c r="V71" i="12" s="1"/>
  <c r="V72" i="12" s="1"/>
  <c r="V73" i="12" s="1"/>
  <c r="V74" i="12" s="1"/>
  <c r="V75" i="12" s="1"/>
  <c r="V76" i="12" s="1"/>
  <c r="V77" i="12" s="1"/>
  <c r="V78" i="12" s="1"/>
  <c r="V79" i="12" s="1"/>
  <c r="V80" i="12" s="1"/>
  <c r="V81" i="12" s="1"/>
  <c r="V82" i="12" s="1"/>
  <c r="V83" i="12" s="1"/>
  <c r="V84" i="12" s="1"/>
  <c r="V85" i="12" s="1"/>
  <c r="V86" i="12" s="1"/>
  <c r="V87" i="12" s="1"/>
  <c r="V88" i="12" s="1"/>
  <c r="V89" i="12" s="1"/>
  <c r="V90" i="12" s="1"/>
  <c r="V91" i="12" s="1"/>
  <c r="V92" i="12" s="1"/>
  <c r="V93" i="12" s="1"/>
  <c r="V94" i="12" s="1"/>
  <c r="V95" i="12" s="1"/>
  <c r="V96" i="12" s="1"/>
  <c r="V97" i="12" s="1"/>
  <c r="V98" i="12" s="1"/>
  <c r="V99" i="12" s="1"/>
  <c r="V100" i="12" s="1"/>
  <c r="V101" i="12" s="1"/>
  <c r="V102" i="12" s="1"/>
  <c r="V103" i="12" s="1"/>
  <c r="V104" i="12" s="1"/>
  <c r="V105" i="12" s="1"/>
  <c r="V106" i="12" s="1"/>
  <c r="V107" i="12" s="1"/>
  <c r="V108" i="12" s="1"/>
  <c r="V109" i="12" s="1"/>
  <c r="V110" i="12" s="1"/>
  <c r="V111" i="12" s="1"/>
  <c r="V112" i="12" s="1"/>
  <c r="V113" i="12" s="1"/>
  <c r="V114" i="12" s="1"/>
  <c r="V115" i="12" s="1"/>
  <c r="V116" i="12" s="1"/>
  <c r="V117" i="12" s="1"/>
  <c r="V118" i="12" s="1"/>
  <c r="V119" i="12" s="1"/>
  <c r="V120" i="12" s="1"/>
  <c r="V121" i="12" s="1"/>
  <c r="V122" i="12" s="1"/>
  <c r="V123" i="12" s="1"/>
  <c r="V124" i="12" s="1"/>
  <c r="V125" i="12" s="1"/>
  <c r="V126" i="12" s="1"/>
  <c r="V127" i="12" s="1"/>
  <c r="V128" i="12" s="1"/>
  <c r="V129" i="12" s="1"/>
  <c r="V130" i="12" s="1"/>
  <c r="V131" i="12" s="1"/>
  <c r="V132" i="12" s="1"/>
  <c r="V133" i="12" s="1"/>
  <c r="V134" i="12" s="1"/>
  <c r="V135" i="12" s="1"/>
  <c r="V136" i="12" s="1"/>
  <c r="V137" i="12" s="1"/>
  <c r="V138" i="12" s="1"/>
  <c r="V139" i="12" s="1"/>
  <c r="V140" i="12" s="1"/>
  <c r="V141" i="12" s="1"/>
  <c r="V142" i="12" s="1"/>
  <c r="V143" i="12" s="1"/>
  <c r="V144" i="12" s="1"/>
  <c r="V145" i="12" s="1"/>
  <c r="V146" i="12" s="1"/>
  <c r="V147" i="12" s="1"/>
  <c r="V148" i="12" s="1"/>
  <c r="V149" i="12" s="1"/>
  <c r="V150" i="12" s="1"/>
  <c r="V151" i="12" s="1"/>
  <c r="V152" i="12" s="1"/>
  <c r="V153" i="12" s="1"/>
  <c r="V154" i="12" s="1"/>
  <c r="V155" i="12" s="1"/>
  <c r="V156" i="12" s="1"/>
  <c r="V157" i="12" s="1"/>
  <c r="V158" i="12" s="1"/>
  <c r="V159" i="12" s="1"/>
  <c r="V160" i="12" s="1"/>
  <c r="V161" i="12" s="1"/>
  <c r="V162" i="12" s="1"/>
  <c r="V163" i="12" s="1"/>
  <c r="V164" i="12" s="1"/>
  <c r="V165" i="12" s="1"/>
  <c r="V166" i="12" s="1"/>
  <c r="V167" i="12" s="1"/>
  <c r="V168" i="12" s="1"/>
  <c r="V169" i="12" s="1"/>
  <c r="V170" i="12" s="1"/>
  <c r="V171" i="12" s="1"/>
  <c r="V172" i="12" s="1"/>
  <c r="V173" i="12" s="1"/>
  <c r="V174" i="12" s="1"/>
  <c r="V175" i="12" s="1"/>
  <c r="V176" i="12" s="1"/>
  <c r="V177" i="12" s="1"/>
  <c r="V178" i="12" s="1"/>
  <c r="V179" i="12" s="1"/>
  <c r="V180" i="12" s="1"/>
  <c r="V181" i="12" s="1"/>
  <c r="V182" i="12" s="1"/>
  <c r="V183" i="12" s="1"/>
  <c r="V184" i="12" s="1"/>
  <c r="V185" i="12" s="1"/>
  <c r="V186" i="12" s="1"/>
  <c r="V187" i="12" s="1"/>
  <c r="V188" i="12" s="1"/>
  <c r="V189" i="12" s="1"/>
  <c r="V190" i="12" s="1"/>
  <c r="V191" i="12" s="1"/>
  <c r="V192" i="12" s="1"/>
  <c r="V193" i="12" s="1"/>
  <c r="V194" i="12" s="1"/>
  <c r="V195" i="12" s="1"/>
  <c r="V196" i="12" s="1"/>
  <c r="V197" i="12" s="1"/>
  <c r="V198" i="12" s="1"/>
  <c r="V199" i="12" s="1"/>
  <c r="V200" i="12" s="1"/>
  <c r="V201" i="12" s="1"/>
  <c r="V202" i="12" s="1"/>
  <c r="V203" i="12" s="1"/>
  <c r="V204" i="12" s="1"/>
  <c r="V205" i="12" s="1"/>
  <c r="V206" i="12" s="1"/>
  <c r="V207" i="12" s="1"/>
  <c r="AS116" i="12"/>
  <c r="AR197" i="12"/>
  <c r="AS197" i="12"/>
  <c r="AS35" i="12"/>
  <c r="AR35" i="12"/>
  <c r="AS186" i="12"/>
  <c r="AR186" i="12"/>
  <c r="AS122" i="12"/>
  <c r="AR122" i="12"/>
  <c r="AS83" i="12"/>
  <c r="AR83" i="12"/>
  <c r="AS69" i="12"/>
  <c r="AR69" i="12"/>
  <c r="AR105" i="12"/>
  <c r="AS105" i="12"/>
  <c r="AR101" i="12"/>
  <c r="AS101" i="12"/>
  <c r="AR99" i="12"/>
  <c r="AS99" i="12"/>
  <c r="AR106" i="12"/>
  <c r="AS106" i="12"/>
  <c r="AS141" i="12"/>
  <c r="AR141" i="12"/>
  <c r="AR132" i="12"/>
  <c r="AS132" i="12"/>
  <c r="AS30" i="12"/>
  <c r="AR30" i="12"/>
  <c r="AS224" i="12"/>
  <c r="AR224" i="12"/>
  <c r="AR153" i="12"/>
  <c r="AS153" i="12"/>
  <c r="AR144" i="12"/>
  <c r="AS144" i="12"/>
  <c r="AS32" i="12"/>
  <c r="AR32" i="12"/>
  <c r="AS41" i="12"/>
  <c r="AR41" i="12"/>
  <c r="AS25" i="12"/>
  <c r="AR25" i="12"/>
  <c r="AR93" i="12"/>
  <c r="AS93" i="12"/>
  <c r="AR39" i="12"/>
  <c r="AS39" i="12"/>
  <c r="AR90" i="12"/>
  <c r="AS90" i="12"/>
  <c r="AR134" i="12"/>
  <c r="AS134" i="12"/>
  <c r="AR119" i="12"/>
  <c r="AS119" i="12"/>
  <c r="AR204" i="12"/>
  <c r="AS204" i="12"/>
  <c r="AR146" i="12"/>
  <c r="AS146" i="12"/>
  <c r="AR168" i="12"/>
  <c r="AS168" i="12"/>
  <c r="AR171" i="12"/>
  <c r="AS171" i="12"/>
  <c r="AR152" i="12"/>
  <c r="AS152" i="12"/>
  <c r="AR206" i="12"/>
  <c r="AS206" i="12"/>
  <c r="AS125" i="12"/>
  <c r="AR125" i="12"/>
  <c r="AS136" i="12"/>
  <c r="AR136" i="12"/>
  <c r="AR19" i="12"/>
  <c r="AS19" i="12"/>
  <c r="AR71" i="12"/>
  <c r="AS71" i="12"/>
  <c r="AR56" i="12"/>
  <c r="AS56" i="12"/>
  <c r="AR28" i="12"/>
  <c r="AS28" i="12"/>
  <c r="AR42" i="12"/>
  <c r="AS42" i="12"/>
  <c r="AR36" i="12"/>
  <c r="AS36" i="12"/>
  <c r="AR149" i="12"/>
  <c r="AS149" i="12"/>
  <c r="AR17" i="12"/>
  <c r="AS17" i="12"/>
  <c r="AS142" i="12"/>
  <c r="AR142" i="12"/>
  <c r="AS172" i="12"/>
  <c r="AR172" i="12"/>
  <c r="AR207" i="12"/>
  <c r="AS207" i="12"/>
  <c r="AR173" i="12"/>
  <c r="AS173" i="12"/>
  <c r="AR184" i="12"/>
  <c r="AS184" i="12"/>
  <c r="AS193" i="12"/>
  <c r="AR193" i="12"/>
  <c r="AR162" i="12"/>
  <c r="AS162" i="12"/>
  <c r="AS53" i="12"/>
  <c r="AR53" i="12"/>
  <c r="AS75" i="12"/>
  <c r="AR75" i="12"/>
  <c r="AS76" i="12"/>
  <c r="AR76" i="12"/>
  <c r="AS107" i="12"/>
  <c r="AR107" i="12"/>
  <c r="AS54" i="12"/>
  <c r="AR54" i="12"/>
  <c r="AS198" i="12"/>
  <c r="AR198" i="12"/>
  <c r="AR14" i="12"/>
  <c r="AS14" i="12"/>
  <c r="AR133" i="12"/>
  <c r="AS133" i="12"/>
  <c r="AR158" i="12"/>
  <c r="AS158" i="12"/>
  <c r="AS225" i="12"/>
  <c r="AR225" i="12"/>
  <c r="AR128" i="12"/>
  <c r="AS128" i="12"/>
  <c r="AR46" i="12"/>
  <c r="AS46" i="12"/>
  <c r="AR92" i="12"/>
  <c r="AS92" i="12"/>
  <c r="AS73" i="12"/>
  <c r="AR73" i="12"/>
  <c r="AS43" i="12"/>
  <c r="AR43" i="12"/>
  <c r="AS98" i="12"/>
  <c r="AR98" i="12"/>
  <c r="AS163" i="12"/>
  <c r="AR163" i="12"/>
  <c r="AR182" i="12"/>
  <c r="AS182" i="12"/>
  <c r="AS166" i="12"/>
  <c r="AR166" i="12"/>
  <c r="AR205" i="12"/>
  <c r="AS205" i="12"/>
  <c r="AS157" i="12"/>
  <c r="AR157" i="12"/>
  <c r="AS195" i="12"/>
  <c r="AR195" i="12"/>
  <c r="AR176" i="12"/>
  <c r="AS176" i="12"/>
  <c r="AR117" i="12"/>
  <c r="AS117" i="12"/>
  <c r="AR103" i="12"/>
  <c r="AS103" i="12"/>
  <c r="AR49" i="12"/>
  <c r="AS49" i="12"/>
  <c r="AR96" i="12"/>
  <c r="AS96" i="12"/>
  <c r="AR100" i="12"/>
  <c r="AS100" i="12"/>
  <c r="AR37" i="12"/>
  <c r="AS37" i="12"/>
  <c r="AS223" i="12"/>
  <c r="AR223" i="12"/>
  <c r="AR179" i="12"/>
  <c r="AS179" i="12"/>
  <c r="AR213" i="12"/>
  <c r="AS213" i="12"/>
  <c r="AR145" i="12"/>
  <c r="AS145" i="12"/>
  <c r="AS185" i="12"/>
  <c r="AR185" i="12"/>
  <c r="AS51" i="12"/>
  <c r="AR51" i="12"/>
  <c r="AS210" i="12"/>
  <c r="AR210" i="12"/>
  <c r="AR127" i="12"/>
  <c r="AS127" i="12"/>
  <c r="AR130" i="12"/>
  <c r="AS130" i="12"/>
  <c r="AR118" i="12"/>
  <c r="AS118" i="12"/>
  <c r="AR27" i="12"/>
  <c r="AS27" i="12"/>
  <c r="AR45" i="12"/>
  <c r="AS45" i="12"/>
  <c r="AS77" i="12"/>
  <c r="AR77" i="12"/>
  <c r="AS82" i="12"/>
  <c r="AR82" i="12"/>
  <c r="AS88" i="12"/>
  <c r="AR88" i="12"/>
  <c r="AS148" i="12"/>
  <c r="AR148" i="12"/>
  <c r="AR200" i="12"/>
  <c r="AS200" i="12"/>
  <c r="AR216" i="12"/>
  <c r="AS216" i="12"/>
  <c r="AR191" i="12"/>
  <c r="AS191" i="12"/>
  <c r="AR177" i="12"/>
  <c r="AS177" i="12"/>
  <c r="AS120" i="12"/>
  <c r="AR120" i="12"/>
  <c r="AR143" i="12"/>
  <c r="AS143" i="12"/>
  <c r="AR31" i="12"/>
  <c r="AS31" i="12"/>
  <c r="AS151" i="12"/>
  <c r="AR151" i="12"/>
  <c r="AS131" i="12"/>
  <c r="AR131" i="12"/>
  <c r="AR94" i="12"/>
  <c r="AS94" i="12"/>
  <c r="AR72" i="12"/>
  <c r="AS72" i="12"/>
  <c r="AR40" i="12"/>
  <c r="AS40" i="12"/>
  <c r="AR84" i="12"/>
  <c r="AS84" i="12"/>
  <c r="AR44" i="12"/>
  <c r="AS44" i="12"/>
  <c r="AS222" i="12"/>
  <c r="AR222" i="12"/>
  <c r="AS16" i="12"/>
  <c r="AR16" i="12"/>
  <c r="AR124" i="12"/>
  <c r="AS124" i="12"/>
  <c r="AS159" i="12"/>
  <c r="AR159" i="12"/>
  <c r="AS181" i="12"/>
  <c r="AR181" i="12"/>
  <c r="AR161" i="12"/>
  <c r="AS161" i="12"/>
  <c r="AS97" i="12"/>
  <c r="AR97" i="12"/>
  <c r="AS62" i="12"/>
  <c r="AR62" i="12"/>
  <c r="AR89" i="12"/>
  <c r="AS89" i="12"/>
  <c r="AR81" i="12"/>
  <c r="AS81" i="12"/>
  <c r="AR50" i="12"/>
  <c r="AS50" i="12"/>
  <c r="AR126" i="12"/>
  <c r="AS126" i="12"/>
  <c r="AS221" i="12"/>
  <c r="AR221" i="12"/>
  <c r="AS164" i="12"/>
  <c r="AR164" i="12"/>
  <c r="AS170" i="12"/>
  <c r="AR170" i="12"/>
  <c r="AR123" i="12"/>
  <c r="AS123" i="12"/>
  <c r="AR129" i="12"/>
  <c r="AS129" i="12"/>
  <c r="AS217" i="12"/>
  <c r="AR217" i="12"/>
  <c r="AS112" i="12"/>
  <c r="AR112" i="12"/>
  <c r="AS64" i="12"/>
  <c r="AR64" i="12"/>
  <c r="AS68" i="12"/>
  <c r="AR68" i="12"/>
  <c r="AR78" i="12"/>
  <c r="AS78" i="12"/>
  <c r="AR24" i="12"/>
  <c r="AS24" i="12"/>
  <c r="AR74" i="12"/>
  <c r="AS74" i="12"/>
  <c r="AR138" i="12"/>
  <c r="AS138" i="12"/>
  <c r="AR209" i="12"/>
  <c r="AS209" i="12"/>
  <c r="AR196" i="12"/>
  <c r="AS196" i="12"/>
  <c r="AR202" i="12"/>
  <c r="AS202" i="12"/>
  <c r="AR190" i="12"/>
  <c r="AS190" i="12"/>
  <c r="AR169" i="12"/>
  <c r="AS169" i="12"/>
  <c r="AS194" i="12"/>
  <c r="AR194" i="12"/>
  <c r="AS139" i="12"/>
  <c r="AR139" i="12"/>
  <c r="AS121" i="12"/>
  <c r="AR121" i="12"/>
  <c r="AR21" i="12"/>
  <c r="AS21" i="12"/>
  <c r="AR52" i="12"/>
  <c r="AS52" i="12"/>
  <c r="AR80" i="12"/>
  <c r="AS80" i="12"/>
  <c r="AR29" i="12"/>
  <c r="AS29" i="12"/>
  <c r="AR22" i="12"/>
  <c r="AS22" i="12"/>
  <c r="AR20" i="12"/>
  <c r="AS20" i="12"/>
  <c r="AR156" i="12"/>
  <c r="AS156" i="12"/>
  <c r="AR165" i="12"/>
  <c r="AS165" i="12"/>
  <c r="AR183" i="12"/>
  <c r="AS183" i="12"/>
  <c r="AR226" i="12"/>
  <c r="AS226" i="12"/>
  <c r="AR219" i="12"/>
  <c r="AS219" i="12"/>
  <c r="AR211" i="12"/>
  <c r="AS211" i="12"/>
  <c r="AS230" i="12"/>
  <c r="AR230" i="12"/>
  <c r="AS48" i="12"/>
  <c r="AR48" i="12"/>
  <c r="AR167" i="12"/>
  <c r="AS167" i="12"/>
  <c r="AR115" i="12"/>
  <c r="AS115" i="12"/>
  <c r="AS86" i="12"/>
  <c r="AR86" i="12"/>
  <c r="AS26" i="12"/>
  <c r="AR26" i="12"/>
  <c r="AS102" i="12"/>
  <c r="AR102" i="12"/>
  <c r="AS57" i="12"/>
  <c r="AR57" i="12"/>
  <c r="AS87" i="12"/>
  <c r="AR87" i="12"/>
  <c r="AR18" i="12"/>
  <c r="AS18" i="12"/>
  <c r="AS12" i="12"/>
  <c r="AR12" i="12"/>
  <c r="AS15" i="12"/>
  <c r="AR15" i="12"/>
  <c r="AR13" i="12"/>
  <c r="AS13" i="12"/>
  <c r="AR33" i="12"/>
  <c r="AS33" i="12"/>
  <c r="AR150" i="12"/>
  <c r="AS150" i="12"/>
  <c r="AR180" i="12"/>
  <c r="AS180" i="12"/>
  <c r="AS114" i="12"/>
  <c r="AR114" i="12"/>
  <c r="AR95" i="12"/>
  <c r="AS95" i="12"/>
  <c r="AR59" i="12"/>
  <c r="AS59" i="12"/>
  <c r="AS58" i="12"/>
  <c r="AR58" i="12"/>
  <c r="AS79" i="12"/>
  <c r="AR79" i="12"/>
  <c r="AS23" i="12"/>
  <c r="AR23" i="12"/>
  <c r="AS228" i="12"/>
  <c r="AR228" i="12"/>
  <c r="AS155" i="12"/>
  <c r="AR155" i="12"/>
  <c r="AR201" i="12"/>
  <c r="AS201" i="12"/>
  <c r="AR214" i="12"/>
  <c r="AS214" i="12"/>
  <c r="AR203" i="12"/>
  <c r="AS203" i="12"/>
  <c r="AR218" i="12"/>
  <c r="AS218" i="12"/>
  <c r="AR220" i="12"/>
  <c r="AS220" i="12"/>
  <c r="AR104" i="12"/>
  <c r="AS104" i="12"/>
  <c r="AR70" i="12"/>
  <c r="AS70" i="12"/>
  <c r="AR108" i="12"/>
  <c r="AS108" i="12"/>
  <c r="AR63" i="12"/>
  <c r="AS63" i="12"/>
  <c r="AR85" i="12"/>
  <c r="AS85" i="12"/>
  <c r="AR66" i="12"/>
  <c r="AS66" i="12"/>
  <c r="AS199" i="12"/>
  <c r="AR199" i="12"/>
  <c r="AR175" i="12"/>
  <c r="AS175" i="12"/>
  <c r="AR208" i="12"/>
  <c r="AS208" i="12"/>
  <c r="AS174" i="12"/>
  <c r="AR174" i="12"/>
  <c r="AS140" i="12"/>
  <c r="AR140" i="12"/>
  <c r="AS154" i="12"/>
  <c r="AR154" i="12"/>
  <c r="AS147" i="12"/>
  <c r="AR147" i="12"/>
  <c r="AR189" i="12"/>
  <c r="AS189" i="12"/>
  <c r="AR135" i="12"/>
  <c r="AS135" i="12"/>
  <c r="AR110" i="12"/>
  <c r="AS110" i="12"/>
  <c r="AR109" i="12"/>
  <c r="AS109" i="12"/>
  <c r="AS60" i="12"/>
  <c r="AR60" i="12"/>
  <c r="AS55" i="12"/>
  <c r="AR55" i="12"/>
  <c r="AS61" i="12"/>
  <c r="AR61" i="12"/>
  <c r="AS34" i="12"/>
  <c r="AR34" i="12"/>
  <c r="AS192" i="12"/>
  <c r="AR192" i="12"/>
  <c r="AS212" i="12"/>
  <c r="AR212" i="12"/>
  <c r="AS160" i="12"/>
  <c r="AR160" i="12"/>
  <c r="AR188" i="12"/>
  <c r="AS188" i="12"/>
  <c r="AS215" i="12"/>
  <c r="AR215" i="12"/>
  <c r="AR229" i="12"/>
  <c r="AS229" i="12"/>
  <c r="AR178" i="12"/>
  <c r="AS178" i="12"/>
  <c r="AS227" i="12"/>
  <c r="AR227" i="12"/>
  <c r="AS187" i="12"/>
  <c r="AR187" i="12"/>
  <c r="AR91" i="12"/>
  <c r="AS91" i="12"/>
  <c r="AR38" i="12"/>
  <c r="AS38" i="12"/>
  <c r="AR67" i="12"/>
  <c r="AS67" i="12"/>
  <c r="AR47" i="12"/>
  <c r="AS47" i="12"/>
  <c r="AR65" i="12"/>
  <c r="AS65" i="12"/>
  <c r="AR137" i="12"/>
  <c r="AS137" i="12"/>
  <c r="AS111" i="12"/>
  <c r="AU111" i="12" s="1"/>
  <c r="ER18" i="12"/>
  <c r="EM372" i="12"/>
  <c r="EN378" i="12"/>
  <c r="AR113" i="12"/>
  <c r="AS113" i="12"/>
  <c r="EM395" i="12"/>
  <c r="EM384" i="12"/>
  <c r="EN379" i="12"/>
  <c r="EN388" i="12"/>
  <c r="EM361" i="12"/>
  <c r="EN360" i="12"/>
  <c r="EM371" i="12"/>
  <c r="EM367" i="12"/>
  <c r="EM387" i="12"/>
  <c r="EN385" i="12"/>
  <c r="EN394" i="12"/>
  <c r="EM393" i="12"/>
  <c r="EM380" i="12"/>
  <c r="EN363" i="12"/>
  <c r="EM383" i="12"/>
  <c r="EM364" i="12"/>
  <c r="EN375" i="12"/>
  <c r="EN390" i="12"/>
  <c r="EN374" i="12"/>
  <c r="EN370" i="12"/>
  <c r="EN381" i="12"/>
  <c r="EN392" i="12"/>
  <c r="EN376" i="12"/>
  <c r="EM373" i="12"/>
  <c r="EN365" i="12"/>
  <c r="EM382" i="12"/>
  <c r="EM366" i="12"/>
  <c r="EN389" i="12"/>
  <c r="EN391" i="12"/>
  <c r="EM396" i="12"/>
  <c r="EM386" i="12"/>
  <c r="EM362" i="12"/>
  <c r="EN369" i="12"/>
  <c r="CC1" i="12"/>
  <c r="BB1" i="12"/>
  <c r="BC1" i="12"/>
  <c r="BF97" i="12"/>
  <c r="EM368" i="12"/>
  <c r="CH2" i="12"/>
  <c r="EM358" i="12"/>
  <c r="EN358" i="12"/>
  <c r="EM359" i="12"/>
  <c r="EN359" i="12"/>
  <c r="AU116" i="12"/>
  <c r="EM377" i="12"/>
  <c r="EN377" i="12"/>
  <c r="AT116" i="12"/>
  <c r="ER101" i="12"/>
  <c r="ES101" i="12" s="1"/>
  <c r="AV3" i="12"/>
  <c r="AT197" i="12" l="1"/>
  <c r="AT21" i="12"/>
  <c r="AU218" i="12"/>
  <c r="AT214" i="12"/>
  <c r="AT73" i="12"/>
  <c r="AU46" i="12"/>
  <c r="AU201" i="12"/>
  <c r="AT41" i="12"/>
  <c r="AU69" i="12"/>
  <c r="AU122" i="12"/>
  <c r="AU155" i="12"/>
  <c r="AT168" i="12"/>
  <c r="AT204" i="12"/>
  <c r="AU134" i="12"/>
  <c r="AT39" i="12"/>
  <c r="AT153" i="12"/>
  <c r="AU99" i="12"/>
  <c r="AU105" i="12"/>
  <c r="AT29" i="12"/>
  <c r="AU52" i="12"/>
  <c r="AT35" i="12"/>
  <c r="AT155" i="12"/>
  <c r="AT187" i="12"/>
  <c r="AT183" i="12"/>
  <c r="AT82" i="12"/>
  <c r="AU51" i="12"/>
  <c r="AU169" i="12"/>
  <c r="AT45" i="12"/>
  <c r="AT118" i="12"/>
  <c r="AU79" i="12"/>
  <c r="AT114" i="12"/>
  <c r="AU121" i="12"/>
  <c r="AT77" i="12"/>
  <c r="AU212" i="12"/>
  <c r="AU34" i="12"/>
  <c r="AT55" i="12"/>
  <c r="AU147" i="12"/>
  <c r="AT140" i="12"/>
  <c r="AT199" i="12"/>
  <c r="AU214" i="12"/>
  <c r="AU183" i="12"/>
  <c r="AT156" i="12"/>
  <c r="AT22" i="12"/>
  <c r="AU202" i="12"/>
  <c r="AU64" i="12"/>
  <c r="AU217" i="12"/>
  <c r="AU164" i="12"/>
  <c r="AU62" i="12"/>
  <c r="AT159" i="12"/>
  <c r="AT44" i="12"/>
  <c r="AT40" i="12"/>
  <c r="AT94" i="12"/>
  <c r="AU151" i="12"/>
  <c r="AT143" i="12"/>
  <c r="AU177" i="12"/>
  <c r="AU216" i="12"/>
  <c r="AU148" i="12"/>
  <c r="AT130" i="12"/>
  <c r="AU185" i="12"/>
  <c r="AU195" i="12"/>
  <c r="AU98" i="12"/>
  <c r="AT201" i="12"/>
  <c r="AU95" i="12"/>
  <c r="AT180" i="12"/>
  <c r="AU33" i="12"/>
  <c r="AU15" i="12"/>
  <c r="AT18" i="12"/>
  <c r="AU57" i="12"/>
  <c r="AT26" i="12"/>
  <c r="AU115" i="12"/>
  <c r="AU48" i="12"/>
  <c r="AT211" i="12"/>
  <c r="AT165" i="12"/>
  <c r="AU127" i="12"/>
  <c r="AU178" i="12"/>
  <c r="AT175" i="12"/>
  <c r="AT66" i="12"/>
  <c r="AU63" i="12"/>
  <c r="AT70" i="12"/>
  <c r="AT203" i="12"/>
  <c r="AT190" i="12"/>
  <c r="AU196" i="12"/>
  <c r="AT138" i="12"/>
  <c r="AU24" i="12"/>
  <c r="AT129" i="12"/>
  <c r="AT50" i="12"/>
  <c r="AT89" i="12"/>
  <c r="AU124" i="12"/>
  <c r="AT84" i="12"/>
  <c r="AU72" i="12"/>
  <c r="AU31" i="12"/>
  <c r="AU191" i="12"/>
  <c r="AT200" i="12"/>
  <c r="AU145" i="12"/>
  <c r="AU179" i="12"/>
  <c r="AT37" i="12"/>
  <c r="AT96" i="12"/>
  <c r="AU103" i="12"/>
  <c r="AU176" i="12"/>
  <c r="AU157" i="12"/>
  <c r="AT166" i="12"/>
  <c r="AT163" i="12"/>
  <c r="AT43" i="12"/>
  <c r="AU35" i="12"/>
  <c r="AU215" i="12"/>
  <c r="AU160" i="12"/>
  <c r="AT192" i="12"/>
  <c r="AT61" i="12"/>
  <c r="AT60" i="12"/>
  <c r="AU22" i="12"/>
  <c r="AU21" i="12"/>
  <c r="AT139" i="12"/>
  <c r="AU190" i="12"/>
  <c r="AU68" i="12"/>
  <c r="AT112" i="12"/>
  <c r="AU170" i="12"/>
  <c r="AU45" i="12"/>
  <c r="AU130" i="12"/>
  <c r="AT145" i="12"/>
  <c r="AU73" i="12"/>
  <c r="AT133" i="12"/>
  <c r="AT173" i="12"/>
  <c r="AU17" i="12"/>
  <c r="AT36" i="12"/>
  <c r="AU28" i="12"/>
  <c r="AU71" i="12"/>
  <c r="AU206" i="12"/>
  <c r="AT171" i="12"/>
  <c r="AT146" i="12"/>
  <c r="AU119" i="12"/>
  <c r="AU90" i="12"/>
  <c r="AT93" i="12"/>
  <c r="AT144" i="12"/>
  <c r="AT121" i="12"/>
  <c r="AU77" i="12"/>
  <c r="AT185" i="12"/>
  <c r="AU107" i="12"/>
  <c r="AT75" i="12"/>
  <c r="AU142" i="12"/>
  <c r="AU125" i="12"/>
  <c r="AT25" i="12"/>
  <c r="AT32" i="12"/>
  <c r="AT178" i="12"/>
  <c r="AT218" i="12"/>
  <c r="AU203" i="12"/>
  <c r="AU20" i="12"/>
  <c r="AU80" i="12"/>
  <c r="AT202" i="12"/>
  <c r="AV202" i="12" s="1"/>
  <c r="AU209" i="12"/>
  <c r="AT74" i="12"/>
  <c r="AU78" i="12"/>
  <c r="AU123" i="12"/>
  <c r="AU27" i="12"/>
  <c r="AT127" i="12"/>
  <c r="AU213" i="12"/>
  <c r="AU92" i="12"/>
  <c r="AU128" i="12"/>
  <c r="AT158" i="12"/>
  <c r="AT14" i="12"/>
  <c r="AT135" i="12"/>
  <c r="AT65" i="12"/>
  <c r="AT67" i="12"/>
  <c r="AT91" i="12"/>
  <c r="AT110" i="12"/>
  <c r="AU189" i="12"/>
  <c r="AU139" i="12"/>
  <c r="AU194" i="12"/>
  <c r="AT196" i="12"/>
  <c r="AT209" i="12"/>
  <c r="AU138" i="12"/>
  <c r="AU74" i="12"/>
  <c r="AT24" i="12"/>
  <c r="AT78" i="12"/>
  <c r="AT68" i="12"/>
  <c r="AT64" i="12"/>
  <c r="AU112" i="12"/>
  <c r="AT217" i="12"/>
  <c r="AU129" i="12"/>
  <c r="AT123" i="12"/>
  <c r="AT170" i="12"/>
  <c r="AT164" i="12"/>
  <c r="AT88" i="12"/>
  <c r="AT27" i="12"/>
  <c r="AU210" i="12"/>
  <c r="AT213" i="12"/>
  <c r="AT54" i="12"/>
  <c r="AU76" i="12"/>
  <c r="AT53" i="12"/>
  <c r="AU193" i="12"/>
  <c r="AU172" i="12"/>
  <c r="AT136" i="12"/>
  <c r="AT30" i="12"/>
  <c r="AU141" i="12"/>
  <c r="AT83" i="12"/>
  <c r="AT186" i="12"/>
  <c r="AT137" i="12"/>
  <c r="AU38" i="12"/>
  <c r="AT188" i="12"/>
  <c r="AU109" i="12"/>
  <c r="AT208" i="12"/>
  <c r="AT85" i="12"/>
  <c r="AT108" i="12"/>
  <c r="AU104" i="12"/>
  <c r="AU59" i="12"/>
  <c r="AT150" i="12"/>
  <c r="AU13" i="12"/>
  <c r="AU12" i="12"/>
  <c r="AU87" i="12"/>
  <c r="AU102" i="12"/>
  <c r="AT86" i="12"/>
  <c r="AU167" i="12"/>
  <c r="AU156" i="12"/>
  <c r="AT80" i="12"/>
  <c r="AU126" i="12"/>
  <c r="AU81" i="12"/>
  <c r="AU161" i="12"/>
  <c r="AU16" i="12"/>
  <c r="AU44" i="12"/>
  <c r="AU40" i="12"/>
  <c r="AU94" i="12"/>
  <c r="AU143" i="12"/>
  <c r="AT177" i="12"/>
  <c r="AT216" i="12"/>
  <c r="AU100" i="12"/>
  <c r="AU49" i="12"/>
  <c r="AT117" i="12"/>
  <c r="AT195" i="12"/>
  <c r="AU205" i="12"/>
  <c r="AU182" i="12"/>
  <c r="AT98" i="12"/>
  <c r="AT92" i="12"/>
  <c r="AT128" i="12"/>
  <c r="AU133" i="12"/>
  <c r="AU168" i="12"/>
  <c r="AU146" i="12"/>
  <c r="AU204" i="12"/>
  <c r="AT119" i="12"/>
  <c r="AT134" i="12"/>
  <c r="AT90" i="12"/>
  <c r="AU39" i="12"/>
  <c r="AU93" i="12"/>
  <c r="AU25" i="12"/>
  <c r="AU41" i="12"/>
  <c r="AU32" i="12"/>
  <c r="AU144" i="12"/>
  <c r="AU153" i="12"/>
  <c r="AU47" i="12"/>
  <c r="AT154" i="12"/>
  <c r="AU174" i="12"/>
  <c r="AU23" i="12"/>
  <c r="AT58" i="12"/>
  <c r="AU211" i="12"/>
  <c r="AU165" i="12"/>
  <c r="AT20" i="12"/>
  <c r="AU29" i="12"/>
  <c r="AT52" i="12"/>
  <c r="AT194" i="12"/>
  <c r="AT169" i="12"/>
  <c r="AU97" i="12"/>
  <c r="AU181" i="12"/>
  <c r="AU84" i="12"/>
  <c r="AT72" i="12"/>
  <c r="AT131" i="12"/>
  <c r="AT31" i="12"/>
  <c r="AT120" i="12"/>
  <c r="AT191" i="12"/>
  <c r="AU200" i="12"/>
  <c r="AU88" i="12"/>
  <c r="AU82" i="12"/>
  <c r="AU118" i="12"/>
  <c r="AT210" i="12"/>
  <c r="AT51" i="12"/>
  <c r="AT179" i="12"/>
  <c r="AT157" i="12"/>
  <c r="AU166" i="12"/>
  <c r="AU163" i="12"/>
  <c r="AU43" i="12"/>
  <c r="AT46" i="12"/>
  <c r="AU158" i="12"/>
  <c r="AU14" i="12"/>
  <c r="AU162" i="12"/>
  <c r="AT184" i="12"/>
  <c r="AT207" i="12"/>
  <c r="AT149" i="12"/>
  <c r="AU42" i="12"/>
  <c r="AT56" i="12"/>
  <c r="AU19" i="12"/>
  <c r="AT152" i="12"/>
  <c r="AT132" i="12"/>
  <c r="AU106" i="12"/>
  <c r="AU101" i="12"/>
  <c r="AU197" i="12"/>
  <c r="AT229" i="12"/>
  <c r="AU229" i="12"/>
  <c r="AT15" i="12"/>
  <c r="AT12" i="12"/>
  <c r="AU18" i="12"/>
  <c r="AT87" i="12"/>
  <c r="AT57" i="12"/>
  <c r="AT102" i="12"/>
  <c r="AU26" i="12"/>
  <c r="AU86" i="12"/>
  <c r="AT115" i="12"/>
  <c r="AT167" i="12"/>
  <c r="AT48" i="12"/>
  <c r="AT230" i="12"/>
  <c r="AU230" i="12"/>
  <c r="AT126" i="12"/>
  <c r="AU50" i="12"/>
  <c r="AT81" i="12"/>
  <c r="AU89" i="12"/>
  <c r="AT62" i="12"/>
  <c r="AT97" i="12"/>
  <c r="AT161" i="12"/>
  <c r="AT181" i="12"/>
  <c r="AU159" i="12"/>
  <c r="AT124" i="12"/>
  <c r="AU37" i="12"/>
  <c r="AT100" i="12"/>
  <c r="AU96" i="12"/>
  <c r="AT49" i="12"/>
  <c r="AT103" i="12"/>
  <c r="AU117" i="12"/>
  <c r="AT176" i="12"/>
  <c r="AT205" i="12"/>
  <c r="AT182" i="12"/>
  <c r="AU54" i="12"/>
  <c r="AT107" i="12"/>
  <c r="AT76" i="12"/>
  <c r="AU75" i="12"/>
  <c r="AU53" i="12"/>
  <c r="AT162" i="12"/>
  <c r="AT193" i="12"/>
  <c r="AU184" i="12"/>
  <c r="AU173" i="12"/>
  <c r="AU207" i="12"/>
  <c r="AT172" i="12"/>
  <c r="AT142" i="12"/>
  <c r="AT17" i="12"/>
  <c r="AU149" i="12"/>
  <c r="AU36" i="12"/>
  <c r="AT42" i="12"/>
  <c r="AT28" i="12"/>
  <c r="AU56" i="12"/>
  <c r="AT71" i="12"/>
  <c r="AT19" i="12"/>
  <c r="AU136" i="12"/>
  <c r="AT125" i="12"/>
  <c r="AT206" i="12"/>
  <c r="AU152" i="12"/>
  <c r="AU171" i="12"/>
  <c r="AT224" i="12"/>
  <c r="AU224" i="12"/>
  <c r="AU137" i="12"/>
  <c r="AU65" i="12"/>
  <c r="AT47" i="12"/>
  <c r="AU67" i="12"/>
  <c r="AT38" i="12"/>
  <c r="AU91" i="12"/>
  <c r="AU187" i="12"/>
  <c r="AU227" i="12"/>
  <c r="AT227" i="12"/>
  <c r="AT215" i="12"/>
  <c r="AU188" i="12"/>
  <c r="AT160" i="12"/>
  <c r="AT212" i="12"/>
  <c r="AU192" i="12"/>
  <c r="AT34" i="12"/>
  <c r="AU61" i="12"/>
  <c r="AU55" i="12"/>
  <c r="AU60" i="12"/>
  <c r="AT109" i="12"/>
  <c r="AU110" i="12"/>
  <c r="AU135" i="12"/>
  <c r="AT189" i="12"/>
  <c r="AT147" i="12"/>
  <c r="AU154" i="12"/>
  <c r="AU140" i="12"/>
  <c r="AT174" i="12"/>
  <c r="AU208" i="12"/>
  <c r="AU175" i="12"/>
  <c r="AU199" i="12"/>
  <c r="AU66" i="12"/>
  <c r="AU85" i="12"/>
  <c r="AT63" i="12"/>
  <c r="AU108" i="12"/>
  <c r="AU70" i="12"/>
  <c r="AT104" i="12"/>
  <c r="AT23" i="12"/>
  <c r="AT79" i="12"/>
  <c r="AU58" i="12"/>
  <c r="AT59" i="12"/>
  <c r="AT95" i="12"/>
  <c r="AU114" i="12"/>
  <c r="AU180" i="12"/>
  <c r="AU150" i="12"/>
  <c r="AT33" i="12"/>
  <c r="AU226" i="12"/>
  <c r="AT226" i="12"/>
  <c r="AT16" i="12"/>
  <c r="AU131" i="12"/>
  <c r="AT151" i="12"/>
  <c r="AU120" i="12"/>
  <c r="AT148" i="12"/>
  <c r="AT223" i="12"/>
  <c r="AU223" i="12"/>
  <c r="AT220" i="12"/>
  <c r="AU220" i="12"/>
  <c r="AT13" i="12"/>
  <c r="AT221" i="12"/>
  <c r="AU221" i="12"/>
  <c r="AT198" i="12"/>
  <c r="AU198" i="12"/>
  <c r="AU30" i="12"/>
  <c r="AU132" i="12"/>
  <c r="AT141" i="12"/>
  <c r="AT106" i="12"/>
  <c r="AT99" i="12"/>
  <c r="AT101" i="12"/>
  <c r="AT105" i="12"/>
  <c r="AT69" i="12"/>
  <c r="AU83" i="12"/>
  <c r="AT122" i="12"/>
  <c r="AU186" i="12"/>
  <c r="AU228" i="12"/>
  <c r="AT228" i="12"/>
  <c r="AT219" i="12"/>
  <c r="AU219" i="12"/>
  <c r="AT222" i="12"/>
  <c r="AU222" i="12"/>
  <c r="AT225" i="12"/>
  <c r="AU225" i="12"/>
  <c r="AT111" i="12"/>
  <c r="ES18" i="12"/>
  <c r="ER38" i="12"/>
  <c r="AT113" i="12"/>
  <c r="AU113" i="12"/>
  <c r="BD1" i="12"/>
  <c r="CQ9" i="12" s="1"/>
  <c r="V208" i="12"/>
  <c r="AV5" i="12"/>
  <c r="AV4" i="12"/>
  <c r="AV211" i="12" l="1"/>
  <c r="AV52" i="12"/>
  <c r="AV84" i="12"/>
  <c r="AV209" i="12"/>
  <c r="AV199" i="12"/>
  <c r="AV85" i="12"/>
  <c r="AV159" i="12"/>
  <c r="AV81" i="12"/>
  <c r="AV197" i="12"/>
  <c r="AV190" i="12"/>
  <c r="AV151" i="12"/>
  <c r="AV210" i="12"/>
  <c r="AV166" i="12"/>
  <c r="AV200" i="12"/>
  <c r="AV194" i="12"/>
  <c r="AV120" i="12"/>
  <c r="AV174" i="12"/>
  <c r="AV189" i="12"/>
  <c r="AV192" i="12"/>
  <c r="AV215" i="12"/>
  <c r="AV65" i="12"/>
  <c r="AV136" i="12"/>
  <c r="AV17" i="12"/>
  <c r="AV204" i="12"/>
  <c r="AV218" i="12"/>
  <c r="AV185" i="12"/>
  <c r="AV193" i="12"/>
  <c r="AV59" i="12"/>
  <c r="AV208" i="12"/>
  <c r="AV187" i="12"/>
  <c r="AV47" i="12"/>
  <c r="AV207" i="12"/>
  <c r="AV176" i="12"/>
  <c r="AV167" i="12"/>
  <c r="AV43" i="12"/>
  <c r="AV179" i="12"/>
  <c r="AV186" i="12"/>
  <c r="AV206" i="12"/>
  <c r="AV48" i="12"/>
  <c r="AV177" i="12"/>
  <c r="AV201" i="12"/>
  <c r="AV212" i="12"/>
  <c r="AV182" i="12"/>
  <c r="AV86" i="12"/>
  <c r="AV94" i="12"/>
  <c r="AV183" i="12"/>
  <c r="AV214" i="12"/>
  <c r="AV49" i="12"/>
  <c r="AV157" i="12"/>
  <c r="AV191" i="12"/>
  <c r="AV175" i="12"/>
  <c r="AV205" i="12"/>
  <c r="AV180" i="12"/>
  <c r="AV181" i="12"/>
  <c r="AV195" i="12"/>
  <c r="AV216" i="12"/>
  <c r="AV213" i="12"/>
  <c r="AV119" i="12"/>
  <c r="AV217" i="12"/>
  <c r="AV228" i="12"/>
  <c r="AV188" i="12"/>
  <c r="AV51" i="12"/>
  <c r="AV196" i="12"/>
  <c r="AV160" i="12"/>
  <c r="AV106" i="12"/>
  <c r="AV225" i="12"/>
  <c r="AV198" i="12"/>
  <c r="AV221" i="12"/>
  <c r="AV230" i="12"/>
  <c r="AV224" i="12"/>
  <c r="AV227" i="12"/>
  <c r="AV219" i="12"/>
  <c r="AV223" i="12"/>
  <c r="AV222" i="12"/>
  <c r="AV220" i="12"/>
  <c r="AV226" i="12"/>
  <c r="AV229" i="12"/>
  <c r="ES38" i="12"/>
  <c r="ER42" i="12"/>
  <c r="AV113" i="12"/>
  <c r="V209" i="12"/>
  <c r="V210" i="12" s="1"/>
  <c r="AV6" i="12"/>
  <c r="AV7" i="12"/>
  <c r="AV126" i="12"/>
  <c r="ES42" i="12" l="1"/>
  <c r="ER51" i="12"/>
  <c r="V211" i="12"/>
  <c r="AV9" i="12"/>
  <c r="AV8" i="12"/>
  <c r="AV14" i="12"/>
  <c r="ER118" i="12"/>
  <c r="ES51" i="12" l="1"/>
  <c r="ER59" i="12"/>
  <c r="V212" i="12"/>
  <c r="AV10" i="12"/>
  <c r="ES118" i="12"/>
  <c r="ER119" i="12"/>
  <c r="ES59" i="12" l="1"/>
  <c r="ER103" i="12"/>
  <c r="ES103" i="12" s="1"/>
  <c r="ER67" i="12"/>
  <c r="V213" i="12"/>
  <c r="V214" i="12" s="1"/>
  <c r="AV11" i="12"/>
  <c r="AV12" i="12"/>
  <c r="AV13" i="12" s="1"/>
  <c r="ES119" i="12"/>
  <c r="ES67" i="12" l="1"/>
  <c r="ER104" i="12"/>
  <c r="ER105" i="12" s="1"/>
  <c r="ES105" i="12" s="1"/>
  <c r="V215" i="12"/>
  <c r="AV15" i="12"/>
  <c r="AV16" i="12"/>
  <c r="AV18" i="12" s="1"/>
  <c r="AV20" i="12" s="1"/>
  <c r="AV33" i="12"/>
  <c r="ER123" i="12"/>
  <c r="ER106" i="12" l="1"/>
  <c r="ES104" i="12"/>
  <c r="ER107" i="12"/>
  <c r="ES107" i="12" s="1"/>
  <c r="V216" i="12"/>
  <c r="ER112" i="12"/>
  <c r="AV19" i="12"/>
  <c r="AV21" i="12" s="1"/>
  <c r="AV22" i="12"/>
  <c r="AV24" i="12" s="1"/>
  <c r="ES123" i="12"/>
  <c r="ES106" i="12" l="1"/>
  <c r="ER108" i="12"/>
  <c r="ER109" i="12"/>
  <c r="ES109" i="12" s="1"/>
  <c r="V217" i="12"/>
  <c r="ES112" i="12"/>
  <c r="AV23" i="12"/>
  <c r="AV25" i="12" s="1"/>
  <c r="AV114" i="12"/>
  <c r="AV169" i="12"/>
  <c r="AV170" i="12" s="1"/>
  <c r="ER110" i="12" l="1"/>
  <c r="ES110" i="12" s="1"/>
  <c r="ER111" i="12"/>
  <c r="ES111" i="12" s="1"/>
  <c r="ES108" i="12"/>
  <c r="V218" i="12"/>
  <c r="AV26" i="12"/>
  <c r="AV27" i="12" s="1"/>
  <c r="AV29" i="12"/>
  <c r="ER129" i="12"/>
  <c r="ER113" i="12" l="1"/>
  <c r="V219" i="12"/>
  <c r="AV28" i="12"/>
  <c r="ER301" i="12"/>
  <c r="ES301" i="12" s="1"/>
  <c r="AV171" i="12"/>
  <c r="AV172" i="12" s="1"/>
  <c r="ES129" i="12"/>
  <c r="ES113" i="12" l="1"/>
  <c r="ER114" i="12"/>
  <c r="V220" i="12"/>
  <c r="ER117" i="12"/>
  <c r="AV30" i="12"/>
  <c r="AV31" i="12"/>
  <c r="AV173" i="12"/>
  <c r="ER115" i="12" l="1"/>
  <c r="ES115" i="12" s="1"/>
  <c r="ES114" i="12"/>
  <c r="ER116" i="12"/>
  <c r="ES116" i="12" s="1"/>
  <c r="V221" i="12"/>
  <c r="ES117" i="12"/>
  <c r="ER120" i="12"/>
  <c r="AV32" i="12"/>
  <c r="AV34" i="12"/>
  <c r="AV36" i="12" s="1"/>
  <c r="CK96" i="12"/>
  <c r="V222" i="12" l="1"/>
  <c r="V223" i="12" s="1"/>
  <c r="V224" i="12" s="1"/>
  <c r="V225" i="12" s="1"/>
  <c r="V226" i="12" s="1"/>
  <c r="V227" i="12" s="1"/>
  <c r="V228" i="12" s="1"/>
  <c r="V229" i="12" s="1"/>
  <c r="V230" i="12" s="1"/>
  <c r="V231" i="12" s="1"/>
  <c r="V232" i="12" s="1"/>
  <c r="V233" i="12" s="1"/>
  <c r="V234" i="12" s="1"/>
  <c r="V235" i="12" s="1"/>
  <c r="V236" i="12" s="1"/>
  <c r="V237" i="12" s="1"/>
  <c r="V238" i="12" s="1"/>
  <c r="V239" i="12" s="1"/>
  <c r="V240" i="12" s="1"/>
  <c r="V241" i="12" s="1"/>
  <c r="V242" i="12" s="1"/>
  <c r="V243" i="12" s="1"/>
  <c r="V244" i="12" s="1"/>
  <c r="V245" i="12" s="1"/>
  <c r="V246" i="12" s="1"/>
  <c r="V247" i="12" s="1"/>
  <c r="V248" i="12" s="1"/>
  <c r="V249" i="12" s="1"/>
  <c r="V250" i="12" s="1"/>
  <c r="V251" i="12" s="1"/>
  <c r="V252" i="12" s="1"/>
  <c r="V253" i="12" s="1"/>
  <c r="V254" i="12" s="1"/>
  <c r="V255" i="12" s="1"/>
  <c r="V256" i="12" s="1"/>
  <c r="V257" i="12" s="1"/>
  <c r="V258" i="12" s="1"/>
  <c r="V259" i="12" s="1"/>
  <c r="V260" i="12" s="1"/>
  <c r="V261" i="12" s="1"/>
  <c r="V262" i="12" s="1"/>
  <c r="V263" i="12" s="1"/>
  <c r="V264" i="12" s="1"/>
  <c r="V265" i="12" s="1"/>
  <c r="V266" i="12" s="1"/>
  <c r="V267" i="12" s="1"/>
  <c r="V268" i="12" s="1"/>
  <c r="V269" i="12" s="1"/>
  <c r="V270" i="12" s="1"/>
  <c r="V271" i="12" s="1"/>
  <c r="V272" i="12" s="1"/>
  <c r="V273" i="12" s="1"/>
  <c r="V274" i="12" s="1"/>
  <c r="V275" i="12" s="1"/>
  <c r="V276" i="12" s="1"/>
  <c r="V277" i="12" s="1"/>
  <c r="V278" i="12" s="1"/>
  <c r="V279" i="12" s="1"/>
  <c r="V280" i="12" s="1"/>
  <c r="V281" i="12" s="1"/>
  <c r="V282" i="12" s="1"/>
  <c r="V283" i="12" s="1"/>
  <c r="V284" i="12" s="1"/>
  <c r="V285" i="12" s="1"/>
  <c r="V286" i="12" s="1"/>
  <c r="V287" i="12" s="1"/>
  <c r="V288" i="12" s="1"/>
  <c r="V289" i="12" s="1"/>
  <c r="V290" i="12" s="1"/>
  <c r="V291" i="12" s="1"/>
  <c r="V292" i="12" s="1"/>
  <c r="V293" i="12" s="1"/>
  <c r="V294" i="12" s="1"/>
  <c r="V295" i="12" s="1"/>
  <c r="V296" i="12" s="1"/>
  <c r="V297" i="12" s="1"/>
  <c r="V298" i="12" s="1"/>
  <c r="V299" i="12" s="1"/>
  <c r="V300" i="12" s="1"/>
  <c r="V301" i="12" s="1"/>
  <c r="V302" i="12" s="1"/>
  <c r="V303" i="12" s="1"/>
  <c r="V304" i="12" s="1"/>
  <c r="V305" i="12" s="1"/>
  <c r="V306" i="12" s="1"/>
  <c r="V307" i="12" s="1"/>
  <c r="V308" i="12" s="1"/>
  <c r="V309" i="12" s="1"/>
  <c r="V310" i="12" s="1"/>
  <c r="V311" i="12" s="1"/>
  <c r="V312" i="12" s="1"/>
  <c r="V313" i="12" s="1"/>
  <c r="V314" i="12" s="1"/>
  <c r="V315" i="12" s="1"/>
  <c r="V316" i="12" s="1"/>
  <c r="V317" i="12" s="1"/>
  <c r="V318" i="12" s="1"/>
  <c r="V319" i="12" s="1"/>
  <c r="V320" i="12" s="1"/>
  <c r="V321" i="12" s="1"/>
  <c r="V322" i="12" s="1"/>
  <c r="V323" i="12" s="1"/>
  <c r="V324" i="12" s="1"/>
  <c r="V325" i="12" s="1"/>
  <c r="V326" i="12" s="1"/>
  <c r="V327" i="12" s="1"/>
  <c r="V328" i="12" s="1"/>
  <c r="V329" i="12" s="1"/>
  <c r="V330" i="12" s="1"/>
  <c r="V331" i="12" s="1"/>
  <c r="V332" i="12" s="1"/>
  <c r="V333" i="12" s="1"/>
  <c r="V334" i="12" s="1"/>
  <c r="V335" i="12" s="1"/>
  <c r="V336" i="12" s="1"/>
  <c r="V337" i="12" s="1"/>
  <c r="V338" i="12" s="1"/>
  <c r="V339" i="12" s="1"/>
  <c r="V340" i="12" s="1"/>
  <c r="V341" i="12" s="1"/>
  <c r="V342" i="12" s="1"/>
  <c r="V343" i="12" s="1"/>
  <c r="V344" i="12" s="1"/>
  <c r="V345" i="12" s="1"/>
  <c r="V346" i="12" s="1"/>
  <c r="V347" i="12" s="1"/>
  <c r="V348" i="12" s="1"/>
  <c r="V349" i="12" s="1"/>
  <c r="V350" i="12" s="1"/>
  <c r="V351" i="12" s="1"/>
  <c r="V352" i="12" s="1"/>
  <c r="V353" i="12" s="1"/>
  <c r="V354" i="12" s="1"/>
  <c r="V355" i="12" s="1"/>
  <c r="V356" i="12" s="1"/>
  <c r="V357" i="12" s="1"/>
  <c r="V358" i="12" s="1"/>
  <c r="V359" i="12" s="1"/>
  <c r="V360" i="12" s="1"/>
  <c r="V361" i="12" s="1"/>
  <c r="V362" i="12" s="1"/>
  <c r="V363" i="12" s="1"/>
  <c r="V364" i="12" s="1"/>
  <c r="V365" i="12" s="1"/>
  <c r="V366" i="12" s="1"/>
  <c r="V367" i="12" s="1"/>
  <c r="V368" i="12" s="1"/>
  <c r="V369" i="12" s="1"/>
  <c r="V370" i="12" s="1"/>
  <c r="V371" i="12" s="1"/>
  <c r="V372" i="12" s="1"/>
  <c r="V373" i="12" s="1"/>
  <c r="V374" i="12" s="1"/>
  <c r="V375" i="12" s="1"/>
  <c r="V376" i="12" s="1"/>
  <c r="V377" i="12" s="1"/>
  <c r="V378" i="12" s="1"/>
  <c r="V379" i="12" s="1"/>
  <c r="V380" i="12" s="1"/>
  <c r="V381" i="12" s="1"/>
  <c r="V382" i="12" s="1"/>
  <c r="V383" i="12" s="1"/>
  <c r="V384" i="12" s="1"/>
  <c r="V385" i="12" s="1"/>
  <c r="V386" i="12" s="1"/>
  <c r="V387" i="12" s="1"/>
  <c r="V388" i="12" s="1"/>
  <c r="V389" i="12" s="1"/>
  <c r="V390" i="12" s="1"/>
  <c r="V391" i="12" s="1"/>
  <c r="V392" i="12" s="1"/>
  <c r="V393" i="12" s="1"/>
  <c r="V394" i="12" s="1"/>
  <c r="V395" i="12" s="1"/>
  <c r="V396" i="12" s="1"/>
  <c r="V397" i="12" s="1"/>
  <c r="V398" i="12" s="1"/>
  <c r="V399" i="12" s="1"/>
  <c r="V400" i="12" s="1"/>
  <c r="ES120" i="12"/>
  <c r="ER121" i="12"/>
  <c r="AV40" i="12"/>
  <c r="AV38" i="12"/>
  <c r="AV35" i="12"/>
  <c r="AV54" i="12"/>
  <c r="AV111" i="12"/>
  <c r="AV161" i="12" s="1"/>
  <c r="EM344" i="12"/>
  <c r="EN321" i="12"/>
  <c r="EN323" i="12"/>
  <c r="EM322" i="12"/>
  <c r="EN296" i="12"/>
  <c r="EN305" i="12"/>
  <c r="EM259" i="12"/>
  <c r="EN292" i="12"/>
  <c r="EM260" i="12"/>
  <c r="EN223" i="12"/>
  <c r="EM232" i="12"/>
  <c r="EM289" i="12"/>
  <c r="EN279" i="12"/>
  <c r="EM301" i="12"/>
  <c r="EN270" i="12"/>
  <c r="EM347" i="12"/>
  <c r="EN339" i="12"/>
  <c r="EN343" i="12"/>
  <c r="EN334" i="12"/>
  <c r="EM329" i="12"/>
  <c r="EN266" i="12"/>
  <c r="EM231" i="12"/>
  <c r="EN285" i="12"/>
  <c r="EN267" i="12"/>
  <c r="EM275" i="12"/>
  <c r="EM303" i="12"/>
  <c r="EN253" i="12"/>
  <c r="EN281" i="12"/>
  <c r="EN317" i="12"/>
  <c r="EN302" i="12"/>
  <c r="EN272" i="12"/>
  <c r="EM246" i="12"/>
  <c r="EN257" i="12"/>
  <c r="EM237" i="12"/>
  <c r="EN252" i="12"/>
  <c r="EM340" i="12"/>
  <c r="EM346" i="12"/>
  <c r="EN335" i="12"/>
  <c r="EM332" i="12"/>
  <c r="EN330" i="12"/>
  <c r="EN295" i="12"/>
  <c r="EM247" i="12"/>
  <c r="EN293" i="12"/>
  <c r="EM238" i="12"/>
  <c r="EM274" i="12"/>
  <c r="EM280" i="12"/>
  <c r="EN276" i="12"/>
  <c r="EN312" i="12"/>
  <c r="EM255" i="12"/>
  <c r="EN229" i="12"/>
  <c r="EN304" i="12"/>
  <c r="EM262" i="12"/>
  <c r="EN273" i="12"/>
  <c r="EN233" i="12"/>
  <c r="EM282" i="12"/>
  <c r="EM306" i="12"/>
  <c r="EM234" i="12"/>
  <c r="EN311" i="12"/>
  <c r="EN324" i="12"/>
  <c r="EN338" i="12"/>
  <c r="EN342" i="12"/>
  <c r="EM337" i="12"/>
  <c r="EN341" i="12"/>
  <c r="EN333" i="12"/>
  <c r="EN331" i="12"/>
  <c r="EM228" i="12"/>
  <c r="EN320" i="12"/>
  <c r="EN241" i="12"/>
  <c r="EN271" i="12"/>
  <c r="EN284" i="12"/>
  <c r="EN249" i="12"/>
  <c r="EM245" i="12"/>
  <c r="EN298" i="12"/>
  <c r="EM242" i="12"/>
  <c r="EN248" i="12"/>
  <c r="EN310" i="12"/>
  <c r="EN288" i="12"/>
  <c r="EM336" i="12"/>
  <c r="EN314" i="12"/>
  <c r="EM283" i="12"/>
  <c r="EN345" i="12"/>
  <c r="EM268" i="12"/>
  <c r="EM319" i="12"/>
  <c r="EM269" i="12"/>
  <c r="EN325" i="12"/>
  <c r="EN327" i="12"/>
  <c r="EN348" i="12"/>
  <c r="EM328" i="12"/>
  <c r="EN308" i="12"/>
  <c r="EM224" i="12"/>
  <c r="EN277" i="12"/>
  <c r="EN235" i="12"/>
  <c r="EM326" i="12"/>
  <c r="EM225" i="12"/>
  <c r="EN226" i="12"/>
  <c r="EN256" i="12"/>
  <c r="EN290" i="12"/>
  <c r="EM316" i="12"/>
  <c r="EM243" i="12"/>
  <c r="EN294" i="12"/>
  <c r="EM254" i="12"/>
  <c r="EM258" i="12"/>
  <c r="EN318" i="12"/>
  <c r="EN251" i="12"/>
  <c r="EN244" i="12"/>
  <c r="EN250" i="12"/>
  <c r="EN313" i="12"/>
  <c r="EM307" i="12"/>
  <c r="EN291" i="12"/>
  <c r="EM230" i="12"/>
  <c r="H167" i="12"/>
  <c r="ES121" i="12" l="1"/>
  <c r="ER122" i="12"/>
  <c r="U295" i="12"/>
  <c r="U3" i="12"/>
  <c r="U306" i="12"/>
  <c r="U331" i="12"/>
  <c r="U393" i="12"/>
  <c r="U218" i="12"/>
  <c r="U103" i="12"/>
  <c r="U312" i="12"/>
  <c r="U317" i="12"/>
  <c r="U143" i="12"/>
  <c r="U28" i="12"/>
  <c r="U169" i="12"/>
  <c r="U205" i="12"/>
  <c r="U222" i="12"/>
  <c r="U210" i="12"/>
  <c r="U139" i="12"/>
  <c r="U303" i="12"/>
  <c r="U281" i="12"/>
  <c r="U148" i="12"/>
  <c r="U276" i="12"/>
  <c r="U206" i="12"/>
  <c r="U49" i="12"/>
  <c r="U114" i="12"/>
  <c r="U284" i="12"/>
  <c r="U355" i="12"/>
  <c r="U330" i="12"/>
  <c r="U296" i="12"/>
  <c r="U203" i="12"/>
  <c r="U70" i="12"/>
  <c r="U58" i="12"/>
  <c r="U212" i="12"/>
  <c r="U104" i="12"/>
  <c r="U394" i="12"/>
  <c r="U11" i="12"/>
  <c r="U307" i="12"/>
  <c r="U256" i="12"/>
  <c r="U168" i="12"/>
  <c r="U193" i="12"/>
  <c r="U391" i="12"/>
  <c r="U340" i="12"/>
  <c r="U37" i="12"/>
  <c r="U257" i="12"/>
  <c r="U260" i="12"/>
  <c r="U253" i="12"/>
  <c r="U10" i="12"/>
  <c r="U337" i="12"/>
  <c r="U107" i="12"/>
  <c r="U287" i="12"/>
  <c r="U113" i="12"/>
  <c r="U26" i="12"/>
  <c r="U47" i="12"/>
  <c r="U347" i="12"/>
  <c r="U130" i="12"/>
  <c r="U156" i="12"/>
  <c r="U201" i="12"/>
  <c r="U64" i="12"/>
  <c r="U105" i="12"/>
  <c r="U14" i="12"/>
  <c r="U66" i="12"/>
  <c r="U74" i="12"/>
  <c r="U166" i="12"/>
  <c r="U56" i="12"/>
  <c r="U80" i="12"/>
  <c r="U246" i="12"/>
  <c r="U111" i="12"/>
  <c r="U120" i="12"/>
  <c r="U140" i="12"/>
  <c r="U43" i="12"/>
  <c r="U183" i="12"/>
  <c r="U97" i="12"/>
  <c r="U12" i="12"/>
  <c r="U150" i="12"/>
  <c r="U145" i="12"/>
  <c r="U38" i="12"/>
  <c r="U93" i="12"/>
  <c r="U364" i="12"/>
  <c r="U128" i="12"/>
  <c r="U78" i="12"/>
  <c r="U101" i="12"/>
  <c r="U55" i="12"/>
  <c r="U85" i="12"/>
  <c r="U9" i="12"/>
  <c r="U273" i="12"/>
  <c r="U127" i="12"/>
  <c r="U211" i="12"/>
  <c r="U373" i="12"/>
  <c r="U27" i="12"/>
  <c r="U238" i="12"/>
  <c r="U216" i="12"/>
  <c r="U186" i="12"/>
  <c r="U21" i="12"/>
  <c r="U382" i="12"/>
  <c r="U247" i="12"/>
  <c r="U75" i="12"/>
  <c r="U121" i="12"/>
  <c r="U133" i="12"/>
  <c r="U48" i="12"/>
  <c r="U16" i="12"/>
  <c r="U90" i="12"/>
  <c r="U291" i="12"/>
  <c r="U181" i="12"/>
  <c r="U63" i="12"/>
  <c r="U131" i="12"/>
  <c r="U135" i="12"/>
  <c r="U110" i="12"/>
  <c r="U167" i="12"/>
  <c r="U392" i="12"/>
  <c r="U242" i="12"/>
  <c r="U240" i="12"/>
  <c r="U81" i="12"/>
  <c r="U357" i="12"/>
  <c r="U91" i="12"/>
  <c r="U86" i="12"/>
  <c r="U118" i="12"/>
  <c r="U125" i="12"/>
  <c r="U112" i="12"/>
  <c r="U33" i="12"/>
  <c r="U191" i="12"/>
  <c r="U109" i="12"/>
  <c r="U157" i="12"/>
  <c r="U142" i="12"/>
  <c r="U170" i="12"/>
  <c r="U178" i="12"/>
  <c r="U162" i="12"/>
  <c r="U147" i="12"/>
  <c r="U196" i="12"/>
  <c r="U54" i="12"/>
  <c r="U108" i="12"/>
  <c r="U42" i="12"/>
  <c r="U207" i="12"/>
  <c r="U41" i="12"/>
  <c r="U71" i="12"/>
  <c r="U87" i="12"/>
  <c r="U179" i="12"/>
  <c r="U180" i="12"/>
  <c r="U53" i="12"/>
  <c r="U115" i="12"/>
  <c r="U176" i="12"/>
  <c r="U126" i="12"/>
  <c r="U163" i="12"/>
  <c r="U44" i="12"/>
  <c r="U84" i="12"/>
  <c r="U76" i="12"/>
  <c r="U95" i="12"/>
  <c r="U18" i="12"/>
  <c r="U144" i="12"/>
  <c r="U79" i="12"/>
  <c r="U182" i="12"/>
  <c r="U136" i="12"/>
  <c r="U124" i="12"/>
  <c r="U98" i="12"/>
  <c r="U59" i="12"/>
  <c r="U173" i="12"/>
  <c r="U161" i="12"/>
  <c r="U61" i="12"/>
  <c r="U34" i="12"/>
  <c r="U141" i="12"/>
  <c r="U35" i="12"/>
  <c r="U165" i="12"/>
  <c r="U65" i="12"/>
  <c r="U119" i="12"/>
  <c r="U171" i="12"/>
  <c r="U72" i="12"/>
  <c r="U192" i="12"/>
  <c r="U96" i="12"/>
  <c r="U146" i="12"/>
  <c r="U24" i="12"/>
  <c r="U22" i="12"/>
  <c r="U94" i="12"/>
  <c r="U204" i="12"/>
  <c r="U263" i="12"/>
  <c r="U219" i="12"/>
  <c r="U223" i="12"/>
  <c r="U231" i="12"/>
  <c r="U286" i="12"/>
  <c r="U274" i="12"/>
  <c r="U228" i="12"/>
  <c r="U233" i="12"/>
  <c r="U282" i="12"/>
  <c r="U224" i="12"/>
  <c r="U351" i="12"/>
  <c r="U266" i="12"/>
  <c r="U360" i="12"/>
  <c r="U297" i="12"/>
  <c r="U378" i="12"/>
  <c r="U365" i="12"/>
  <c r="U374" i="12"/>
  <c r="V1" i="12"/>
  <c r="U344" i="12"/>
  <c r="U283" i="12"/>
  <c r="U285" i="12"/>
  <c r="U323" i="12"/>
  <c r="U248" i="12"/>
  <c r="U278" i="12"/>
  <c r="U390" i="12"/>
  <c r="U352" i="12"/>
  <c r="U226" i="12"/>
  <c r="U302" i="12"/>
  <c r="U250" i="12"/>
  <c r="U387" i="12"/>
  <c r="U241" i="12"/>
  <c r="U368" i="12"/>
  <c r="U213" i="12"/>
  <c r="U225" i="12"/>
  <c r="U370" i="12"/>
  <c r="U388" i="12"/>
  <c r="U271" i="12"/>
  <c r="U277" i="12"/>
  <c r="U319" i="12"/>
  <c r="U305" i="12"/>
  <c r="U304" i="12"/>
  <c r="U267" i="12"/>
  <c r="U310" i="12"/>
  <c r="U314" i="12"/>
  <c r="U308" i="12"/>
  <c r="U386" i="12"/>
  <c r="U350" i="12"/>
  <c r="U230" i="12"/>
  <c r="U243" i="12"/>
  <c r="U376" i="12"/>
  <c r="U221" i="12"/>
  <c r="U372" i="12"/>
  <c r="U398" i="12"/>
  <c r="U236" i="12"/>
  <c r="U275" i="12"/>
  <c r="U309" i="12"/>
  <c r="U227" i="12"/>
  <c r="U301" i="12"/>
  <c r="U349" i="12"/>
  <c r="U293" i="12"/>
  <c r="U326" i="12"/>
  <c r="U348" i="12"/>
  <c r="U272" i="12"/>
  <c r="U395" i="12"/>
  <c r="U262" i="12"/>
  <c r="U327" i="12"/>
  <c r="U356" i="12"/>
  <c r="U232" i="12"/>
  <c r="U300" i="12"/>
  <c r="U299" i="12"/>
  <c r="U325" i="12"/>
  <c r="U280" i="12"/>
  <c r="U279" i="12"/>
  <c r="U389" i="12"/>
  <c r="U249" i="12"/>
  <c r="U397" i="12"/>
  <c r="U255" i="12"/>
  <c r="U400" i="12"/>
  <c r="U220" i="12"/>
  <c r="U290" i="12"/>
  <c r="U316" i="12"/>
  <c r="U292" i="12"/>
  <c r="U341" i="12"/>
  <c r="U237" i="12"/>
  <c r="U318" i="12"/>
  <c r="U338" i="12"/>
  <c r="U235" i="12"/>
  <c r="U214" i="12"/>
  <c r="U254" i="12"/>
  <c r="U383" i="12"/>
  <c r="U252" i="12"/>
  <c r="U377" i="12"/>
  <c r="U332" i="12"/>
  <c r="U369" i="12"/>
  <c r="U359" i="12"/>
  <c r="U335" i="12"/>
  <c r="U361" i="12"/>
  <c r="U244" i="12"/>
  <c r="U268" i="12"/>
  <c r="U229" i="12"/>
  <c r="U354" i="12"/>
  <c r="U315" i="12"/>
  <c r="U384" i="12"/>
  <c r="U380" i="12"/>
  <c r="U353" i="12"/>
  <c r="U328" i="12"/>
  <c r="U234" i="12"/>
  <c r="U264" i="12"/>
  <c r="U251" i="12"/>
  <c r="U245" i="12"/>
  <c r="U313" i="12"/>
  <c r="U265" i="12"/>
  <c r="U329" i="12"/>
  <c r="U345" i="12"/>
  <c r="U298" i="12"/>
  <c r="U366" i="12"/>
  <c r="U217" i="12"/>
  <c r="U381" i="12"/>
  <c r="U371" i="12"/>
  <c r="U289" i="12"/>
  <c r="U385" i="12"/>
  <c r="U4" i="12"/>
  <c r="U7" i="12"/>
  <c r="U5" i="12"/>
  <c r="U8" i="12"/>
  <c r="U6" i="12"/>
  <c r="U177" i="12"/>
  <c r="U20" i="12"/>
  <c r="U185" i="12"/>
  <c r="U69" i="12"/>
  <c r="U159" i="12"/>
  <c r="U199" i="12"/>
  <c r="U158" i="12"/>
  <c r="U122" i="12"/>
  <c r="U73" i="12"/>
  <c r="U198" i="12"/>
  <c r="U39" i="12"/>
  <c r="U188" i="12"/>
  <c r="U77" i="12"/>
  <c r="U175" i="12"/>
  <c r="U132" i="12"/>
  <c r="U45" i="12"/>
  <c r="U123" i="12"/>
  <c r="U194" i="12"/>
  <c r="U137" i="12"/>
  <c r="U13" i="12"/>
  <c r="U152" i="12"/>
  <c r="U31" i="12"/>
  <c r="U102" i="12"/>
  <c r="U100" i="12"/>
  <c r="U57" i="12"/>
  <c r="U30" i="12"/>
  <c r="U23" i="12"/>
  <c r="U184" i="12"/>
  <c r="U202" i="12"/>
  <c r="U88" i="12"/>
  <c r="U200" i="12"/>
  <c r="U36" i="12"/>
  <c r="U138" i="12"/>
  <c r="U40" i="12"/>
  <c r="U117" i="12"/>
  <c r="U19" i="12"/>
  <c r="U50" i="12"/>
  <c r="U25" i="12"/>
  <c r="U17" i="12"/>
  <c r="U155" i="12"/>
  <c r="U129" i="12"/>
  <c r="U106" i="12"/>
  <c r="U172" i="12"/>
  <c r="U51" i="12"/>
  <c r="U190" i="12"/>
  <c r="U62" i="12"/>
  <c r="U153" i="12"/>
  <c r="U189" i="12"/>
  <c r="U134" i="12"/>
  <c r="U379" i="12"/>
  <c r="U342" i="12"/>
  <c r="U60" i="12"/>
  <c r="U258" i="12"/>
  <c r="U160" i="12"/>
  <c r="U239" i="12"/>
  <c r="U89" i="12"/>
  <c r="U32" i="12"/>
  <c r="U396" i="12"/>
  <c r="U346" i="12"/>
  <c r="U29" i="12"/>
  <c r="U294" i="12"/>
  <c r="U116" i="12"/>
  <c r="U270" i="12"/>
  <c r="U320" i="12"/>
  <c r="U151" i="12"/>
  <c r="U15" i="12"/>
  <c r="U259" i="12"/>
  <c r="U261" i="12"/>
  <c r="U52" i="12"/>
  <c r="U174" i="12"/>
  <c r="U336" i="12"/>
  <c r="U375" i="12"/>
  <c r="U269" i="12"/>
  <c r="U68" i="12"/>
  <c r="U343" i="12"/>
  <c r="U195" i="12"/>
  <c r="U333" i="12"/>
  <c r="U215" i="12"/>
  <c r="U46" i="12"/>
  <c r="U324" i="12"/>
  <c r="U362" i="12"/>
  <c r="U83" i="12"/>
  <c r="U92" i="12"/>
  <c r="U82" i="12"/>
  <c r="U363" i="12"/>
  <c r="U187" i="12"/>
  <c r="U154" i="12"/>
  <c r="U149" i="12"/>
  <c r="U288" i="12"/>
  <c r="U67" i="12"/>
  <c r="U334" i="12"/>
  <c r="U321" i="12"/>
  <c r="U99" i="12"/>
  <c r="U311" i="12"/>
  <c r="U367" i="12"/>
  <c r="U197" i="12"/>
  <c r="U358" i="12"/>
  <c r="U208" i="12"/>
  <c r="U209" i="12"/>
  <c r="U164" i="12"/>
  <c r="U399" i="12"/>
  <c r="U322" i="12"/>
  <c r="U339" i="12"/>
  <c r="AV37" i="12"/>
  <c r="AV39" i="12" s="1"/>
  <c r="AV41" i="12" s="1"/>
  <c r="AV112" i="12"/>
  <c r="H83" i="12"/>
  <c r="H89" i="12"/>
  <c r="H164" i="12"/>
  <c r="H170" i="12"/>
  <c r="H88" i="12"/>
  <c r="H94" i="12"/>
  <c r="AJ94" i="12" s="1"/>
  <c r="H173" i="12"/>
  <c r="H161" i="12"/>
  <c r="H80" i="12"/>
  <c r="AJ69" i="12" s="1"/>
  <c r="H85" i="12"/>
  <c r="EN344" i="12"/>
  <c r="EM321" i="12"/>
  <c r="EM323" i="12"/>
  <c r="EM305" i="12"/>
  <c r="EM334" i="12"/>
  <c r="EM270" i="12"/>
  <c r="EM292" i="12"/>
  <c r="EN347" i="12"/>
  <c r="EM281" i="12"/>
  <c r="EN332" i="12"/>
  <c r="EN340" i="12"/>
  <c r="EN236" i="12"/>
  <c r="EM335" i="12"/>
  <c r="EM285" i="12"/>
  <c r="EN240" i="12"/>
  <c r="EM333" i="12"/>
  <c r="EM339" i="12"/>
  <c r="EN246" i="12"/>
  <c r="EM272" i="12"/>
  <c r="EN306" i="12"/>
  <c r="EN301" i="12"/>
  <c r="EM298" i="12"/>
  <c r="EM343" i="12"/>
  <c r="EM257" i="12"/>
  <c r="EN255" i="12"/>
  <c r="EN260" i="12"/>
  <c r="EN303" i="12"/>
  <c r="EM338" i="12"/>
  <c r="EM284" i="12"/>
  <c r="EN289" i="12"/>
  <c r="EM342" i="12"/>
  <c r="EN262" i="12"/>
  <c r="EN328" i="12"/>
  <c r="EM279" i="12"/>
  <c r="EN231" i="12"/>
  <c r="EM296" i="12"/>
  <c r="EN346" i="12"/>
  <c r="EM341" i="12"/>
  <c r="EM331" i="12"/>
  <c r="EM273" i="12"/>
  <c r="EN337" i="12"/>
  <c r="EN322" i="12"/>
  <c r="EN319" i="12"/>
  <c r="EN238" i="12"/>
  <c r="EM330" i="12"/>
  <c r="EM345" i="12"/>
  <c r="EM308" i="12"/>
  <c r="EN282" i="12"/>
  <c r="EN280" i="12"/>
  <c r="EN242" i="12"/>
  <c r="EM253" i="12"/>
  <c r="EM276" i="12"/>
  <c r="EM325" i="12"/>
  <c r="EM348" i="12"/>
  <c r="EN225" i="12"/>
  <c r="EM317" i="12"/>
  <c r="EN274" i="12"/>
  <c r="EN259" i="12"/>
  <c r="EM324" i="12"/>
  <c r="EM241" i="12"/>
  <c r="EM288" i="12"/>
  <c r="EN268" i="12"/>
  <c r="EN232" i="12"/>
  <c r="EN329" i="12"/>
  <c r="EM267" i="12"/>
  <c r="EN228" i="12"/>
  <c r="EM244" i="12"/>
  <c r="EM294" i="12"/>
  <c r="EN224" i="12"/>
  <c r="EM327" i="12"/>
  <c r="EN258" i="12"/>
  <c r="EM223" i="12"/>
  <c r="EN265" i="12"/>
  <c r="EM235" i="12"/>
  <c r="EM302" i="12"/>
  <c r="EN336" i="12"/>
  <c r="EN234" i="12"/>
  <c r="EM271" i="12"/>
  <c r="EN275" i="12"/>
  <c r="EM311" i="12"/>
  <c r="EM293" i="12"/>
  <c r="EM313" i="12"/>
  <c r="EM249" i="12"/>
  <c r="EN269" i="12"/>
  <c r="EN283" i="12"/>
  <c r="EM318" i="12"/>
  <c r="EN326" i="12"/>
  <c r="EN299" i="12"/>
  <c r="EN315" i="12"/>
  <c r="EM277" i="12"/>
  <c r="EM291" i="12"/>
  <c r="EN245" i="12"/>
  <c r="EN237" i="12"/>
  <c r="EN239" i="12"/>
  <c r="EM312" i="12"/>
  <c r="EM314" i="12"/>
  <c r="EM233" i="12"/>
  <c r="EM229" i="12"/>
  <c r="EN247" i="12"/>
  <c r="EM320" i="12"/>
  <c r="EN300" i="12"/>
  <c r="EM300" i="12"/>
  <c r="EM264" i="12"/>
  <c r="EN264" i="12"/>
  <c r="EM297" i="12"/>
  <c r="EN297" i="12"/>
  <c r="EN263" i="12"/>
  <c r="EM263" i="12"/>
  <c r="EM286" i="12"/>
  <c r="EN286" i="12"/>
  <c r="EM226" i="12"/>
  <c r="EN316" i="12"/>
  <c r="EN254" i="12"/>
  <c r="EM256" i="12"/>
  <c r="EN230" i="12"/>
  <c r="EM304" i="12"/>
  <c r="EM266" i="12"/>
  <c r="EN287" i="12"/>
  <c r="EM309" i="12"/>
  <c r="EN309" i="12"/>
  <c r="EN227" i="12"/>
  <c r="EM227" i="12"/>
  <c r="EN278" i="12"/>
  <c r="EM278" i="12"/>
  <c r="EM261" i="12"/>
  <c r="EN261" i="12"/>
  <c r="EN307" i="12"/>
  <c r="EM290" i="12"/>
  <c r="EN243" i="12"/>
  <c r="ES122" i="12" l="1"/>
  <c r="ER124" i="12"/>
  <c r="AV42" i="12"/>
  <c r="AJ70" i="12"/>
  <c r="AJ71" i="12"/>
  <c r="AJ218" i="12"/>
  <c r="H165" i="12"/>
  <c r="AJ72" i="12"/>
  <c r="AJ73" i="12"/>
  <c r="ES124" i="12" l="1"/>
  <c r="ER125" i="12"/>
  <c r="AV44" i="12"/>
  <c r="AV91" i="12"/>
  <c r="AJ145" i="12"/>
  <c r="ER126" i="12" l="1"/>
  <c r="ES125" i="12"/>
  <c r="AV45" i="12"/>
  <c r="EM236" i="12"/>
  <c r="EM239" i="12" s="1"/>
  <c r="EM315" i="12" s="1"/>
  <c r="ES126" i="12" l="1"/>
  <c r="ER127" i="12"/>
  <c r="AV50" i="12"/>
  <c r="AV46" i="12"/>
  <c r="EN208" i="12"/>
  <c r="EN214" i="12"/>
  <c r="ER130" i="12" l="1"/>
  <c r="ER136" i="12"/>
  <c r="ES136" i="12" s="1"/>
  <c r="ES127" i="12"/>
  <c r="ET353" i="12"/>
  <c r="ET383" i="12"/>
  <c r="ET403" i="12"/>
  <c r="ET209" i="12"/>
  <c r="ET112" i="12"/>
  <c r="ET377" i="12"/>
  <c r="ET343" i="12"/>
  <c r="ET73" i="12"/>
  <c r="ET284" i="12"/>
  <c r="ET287" i="12"/>
  <c r="ET405" i="12"/>
  <c r="ET162" i="12"/>
  <c r="ET350" i="12"/>
  <c r="ET100" i="12"/>
  <c r="ET469" i="12"/>
  <c r="ET363" i="12"/>
  <c r="ET324" i="12"/>
  <c r="ET24" i="12"/>
  <c r="ET413" i="12"/>
  <c r="ET467" i="12"/>
  <c r="ET147" i="12"/>
  <c r="ET203" i="12"/>
  <c r="ET140" i="12"/>
  <c r="ET132" i="12"/>
  <c r="ET415" i="12"/>
  <c r="ET293" i="12"/>
  <c r="ET106" i="12"/>
  <c r="ET201" i="12"/>
  <c r="ET152" i="12"/>
  <c r="ET37" i="12"/>
  <c r="ET351" i="12"/>
  <c r="ET373" i="12"/>
  <c r="ET235" i="12"/>
  <c r="ET44" i="12"/>
  <c r="ET234" i="12"/>
  <c r="ET422" i="12"/>
  <c r="ET378" i="12"/>
  <c r="ET460" i="12"/>
  <c r="ET43" i="12"/>
  <c r="ET51" i="12"/>
  <c r="ET386" i="12"/>
  <c r="ET492" i="12"/>
  <c r="ET490" i="12"/>
  <c r="ET243" i="12"/>
  <c r="ET123" i="12"/>
  <c r="ET53" i="12"/>
  <c r="ET189" i="12"/>
  <c r="ET164" i="12"/>
  <c r="ET163" i="12"/>
  <c r="ET325" i="12"/>
  <c r="ET481" i="12"/>
  <c r="ET114" i="12"/>
  <c r="ET470" i="12"/>
  <c r="ET230" i="12"/>
  <c r="ET30" i="12"/>
  <c r="ET88" i="12"/>
  <c r="ET332" i="12"/>
  <c r="ET120" i="12"/>
  <c r="ET352" i="12"/>
  <c r="ET83" i="12"/>
  <c r="ET300" i="12"/>
  <c r="ET290" i="12"/>
  <c r="ET331" i="12"/>
  <c r="ET420" i="12"/>
  <c r="ET93" i="12"/>
  <c r="ET433" i="12"/>
  <c r="ET102" i="12"/>
  <c r="ET226" i="12"/>
  <c r="ET337" i="12"/>
  <c r="ET197" i="12"/>
  <c r="ET347" i="12"/>
  <c r="ET19" i="12"/>
  <c r="ET113" i="12"/>
  <c r="ET369" i="12"/>
  <c r="ET32" i="12"/>
  <c r="ET252" i="12"/>
  <c r="ET204" i="12"/>
  <c r="ET172" i="12"/>
  <c r="ET124" i="12"/>
  <c r="ET184" i="12"/>
  <c r="ET50" i="12"/>
  <c r="ET236" i="12"/>
  <c r="ET131" i="12"/>
  <c r="ET218" i="12"/>
  <c r="ET160" i="12"/>
  <c r="ET182" i="12"/>
  <c r="ET316" i="12"/>
  <c r="ET183" i="12"/>
  <c r="ET149" i="12"/>
  <c r="ET361" i="12"/>
  <c r="ET355" i="12"/>
  <c r="ET186" i="12"/>
  <c r="ET187" i="12"/>
  <c r="ET414" i="12"/>
  <c r="ET212" i="12"/>
  <c r="ET237" i="12"/>
  <c r="ET488" i="12"/>
  <c r="ET69" i="12"/>
  <c r="ET434" i="12"/>
  <c r="ET472" i="12"/>
  <c r="ET126" i="12"/>
  <c r="ET135" i="12"/>
  <c r="ET35" i="12"/>
  <c r="ET314" i="12"/>
  <c r="ET90" i="12"/>
  <c r="ET478" i="12"/>
  <c r="ET118" i="12"/>
  <c r="ET238" i="12"/>
  <c r="ET171" i="12"/>
  <c r="ET333" i="12"/>
  <c r="ET392" i="12"/>
  <c r="ET270" i="12"/>
  <c r="ET311" i="12"/>
  <c r="ET374" i="12"/>
  <c r="ET432" i="12"/>
  <c r="ET61" i="12"/>
  <c r="ET497" i="12"/>
  <c r="ET71" i="12"/>
  <c r="ET254" i="12"/>
  <c r="ET461" i="12"/>
  <c r="ET199" i="12"/>
  <c r="ET398" i="12"/>
  <c r="ET262" i="12"/>
  <c r="ET26" i="12"/>
  <c r="ET79" i="12"/>
  <c r="ET48" i="12"/>
  <c r="ET425" i="12"/>
  <c r="ET426" i="12"/>
  <c r="ET447" i="12"/>
  <c r="ET484" i="12"/>
  <c r="ET31" i="12"/>
  <c r="ET394" i="12"/>
  <c r="ET38" i="12"/>
  <c r="ET265" i="12"/>
  <c r="ET330" i="12"/>
  <c r="ET466" i="12"/>
  <c r="ET400" i="12"/>
  <c r="ET22" i="12"/>
  <c r="ET94" i="12"/>
  <c r="ET178" i="12"/>
  <c r="ET57" i="12"/>
  <c r="ET435" i="12"/>
  <c r="ET280" i="12"/>
  <c r="ET427" i="12"/>
  <c r="ET180" i="12"/>
  <c r="ET64" i="12"/>
  <c r="ET275" i="12"/>
  <c r="ET312" i="12"/>
  <c r="ET489" i="12"/>
  <c r="ET267" i="12"/>
  <c r="ET365" i="12"/>
  <c r="ET159" i="12"/>
  <c r="ET457" i="12"/>
  <c r="ET247" i="12"/>
  <c r="ET80" i="12"/>
  <c r="ET42" i="12"/>
  <c r="ET41" i="12"/>
  <c r="ET421" i="12"/>
  <c r="ET486" i="12"/>
  <c r="ET288" i="12"/>
  <c r="ET436" i="12"/>
  <c r="ET349" i="12"/>
  <c r="ET66" i="12"/>
  <c r="ET116" i="12"/>
  <c r="ET188" i="12"/>
  <c r="ET456" i="12"/>
  <c r="ET428" i="12"/>
  <c r="ET250" i="12"/>
  <c r="ET72" i="12"/>
  <c r="ET157" i="12"/>
  <c r="ET156" i="12"/>
  <c r="ET239" i="12"/>
  <c r="ET89" i="12"/>
  <c r="ET338" i="12"/>
  <c r="ET309" i="12"/>
  <c r="ET281" i="12"/>
  <c r="ET92" i="12"/>
  <c r="ET151" i="12"/>
  <c r="ET138" i="12"/>
  <c r="ET263" i="12"/>
  <c r="ET122" i="12"/>
  <c r="ET78" i="12"/>
  <c r="ET404" i="12"/>
  <c r="ET389" i="12"/>
  <c r="ET55" i="12"/>
  <c r="ET397" i="12"/>
  <c r="AV53" i="12"/>
  <c r="AV62" i="12"/>
  <c r="AV61" i="12"/>
  <c r="EM221" i="12"/>
  <c r="EN221" i="12"/>
  <c r="EN217" i="12"/>
  <c r="EM217" i="12"/>
  <c r="EN220" i="12"/>
  <c r="EM220" i="12"/>
  <c r="EM210" i="12"/>
  <c r="EN210" i="12"/>
  <c r="EN216" i="12"/>
  <c r="EM216" i="12"/>
  <c r="EM209" i="12"/>
  <c r="EN209" i="12"/>
  <c r="EN211" i="12"/>
  <c r="EM213" i="12"/>
  <c r="EN213" i="12"/>
  <c r="EN222" i="12"/>
  <c r="EM222" i="12"/>
  <c r="EN212" i="12"/>
  <c r="EM212" i="12"/>
  <c r="EM207" i="12"/>
  <c r="EN207" i="12"/>
  <c r="EN219" i="12"/>
  <c r="EM219" i="12"/>
  <c r="EM215" i="12"/>
  <c r="EN215" i="12"/>
  <c r="EN218" i="12"/>
  <c r="ET446" i="12" l="1"/>
  <c r="ET487" i="12"/>
  <c r="ET298" i="12"/>
  <c r="ET303" i="12"/>
  <c r="ET200" i="12"/>
  <c r="ET452" i="12"/>
  <c r="ET482" i="12"/>
  <c r="ET477" i="12"/>
  <c r="ET344" i="12"/>
  <c r="ET462" i="12"/>
  <c r="ET417" i="12"/>
  <c r="ET359" i="12"/>
  <c r="ET454" i="12"/>
  <c r="ET289" i="12"/>
  <c r="ET219" i="12"/>
  <c r="ET192" i="12"/>
  <c r="ET23" i="12"/>
  <c r="ET329" i="12"/>
  <c r="ET233" i="12"/>
  <c r="ET99" i="12"/>
  <c r="ET257" i="12"/>
  <c r="ET167" i="12"/>
  <c r="ET98" i="12"/>
  <c r="ET21" i="12"/>
  <c r="ET130" i="12"/>
  <c r="ET342" i="12"/>
  <c r="ET326" i="12"/>
  <c r="ET260" i="12"/>
  <c r="ET286" i="12"/>
  <c r="ET423" i="12"/>
  <c r="ET47" i="12"/>
  <c r="ET174" i="12"/>
  <c r="ET133" i="12"/>
  <c r="ET227" i="12"/>
  <c r="ET58" i="12"/>
  <c r="ET208" i="12"/>
  <c r="ET494" i="12"/>
  <c r="ET412" i="12"/>
  <c r="ET223" i="12"/>
  <c r="ET418" i="12"/>
  <c r="ET63" i="12"/>
  <c r="ET220" i="12"/>
  <c r="ET232" i="12"/>
  <c r="ET441" i="12"/>
  <c r="ET46" i="12"/>
  <c r="ET317" i="12"/>
  <c r="ET95" i="12"/>
  <c r="ET59" i="12"/>
  <c r="ET143" i="12"/>
  <c r="ET36" i="12"/>
  <c r="ET240" i="12"/>
  <c r="ET115" i="12"/>
  <c r="ET74" i="12"/>
  <c r="ET453" i="12"/>
  <c r="ET105" i="12"/>
  <c r="ET471" i="12"/>
  <c r="ET191" i="12"/>
  <c r="ET104" i="12"/>
  <c r="ET491" i="12"/>
  <c r="ET463" i="12"/>
  <c r="ET430" i="12"/>
  <c r="ET166" i="12"/>
  <c r="ET173" i="12"/>
  <c r="ET177" i="12"/>
  <c r="ET127" i="12"/>
  <c r="ET103" i="12"/>
  <c r="ET301" i="12"/>
  <c r="ET474" i="12"/>
  <c r="ET358" i="12"/>
  <c r="ET304" i="12"/>
  <c r="ET292" i="12"/>
  <c r="ET295" i="12"/>
  <c r="ET431" i="12"/>
  <c r="ET165" i="12"/>
  <c r="ET246" i="12"/>
  <c r="ET75" i="12"/>
  <c r="ET419" i="12"/>
  <c r="ET91" i="12"/>
  <c r="ET170" i="12"/>
  <c r="ET215" i="12"/>
  <c r="ET39" i="12"/>
  <c r="ET443" i="12"/>
  <c r="ET60" i="12"/>
  <c r="ET264" i="12"/>
  <c r="ET439" i="12"/>
  <c r="ET382" i="12"/>
  <c r="ET245" i="12"/>
  <c r="ET480" i="12"/>
  <c r="ET111" i="12"/>
  <c r="ET495" i="12"/>
  <c r="ET278" i="12"/>
  <c r="ET396" i="12"/>
  <c r="ET341" i="12"/>
  <c r="ET70" i="12"/>
  <c r="ET444" i="12"/>
  <c r="ET388" i="12"/>
  <c r="ET169" i="12"/>
  <c r="ET313" i="12"/>
  <c r="ET354" i="12"/>
  <c r="ET294" i="12"/>
  <c r="ET194" i="12"/>
  <c r="ET376" i="12"/>
  <c r="ET190" i="12"/>
  <c r="ET406" i="12"/>
  <c r="ET429" i="12"/>
  <c r="ET210" i="12"/>
  <c r="ET77" i="12"/>
  <c r="ET86" i="12"/>
  <c r="ET276" i="12"/>
  <c r="ET297" i="12"/>
  <c r="ET323" i="12"/>
  <c r="ET380" i="12"/>
  <c r="ET322" i="12"/>
  <c r="ET476" i="12"/>
  <c r="ET339" i="12"/>
  <c r="ET305" i="12"/>
  <c r="ET206" i="12"/>
  <c r="ET224" i="12"/>
  <c r="ET119" i="12"/>
  <c r="ET451" i="12"/>
  <c r="ET76" i="12"/>
  <c r="ET379" i="12"/>
  <c r="ET320" i="12"/>
  <c r="ET279" i="12"/>
  <c r="ET228" i="12"/>
  <c r="ET395" i="12"/>
  <c r="ET5" i="12"/>
  <c r="ET475" i="12"/>
  <c r="ET371" i="12"/>
  <c r="ET85" i="12"/>
  <c r="ET390" i="12"/>
  <c r="ET134" i="12"/>
  <c r="ET387" i="12"/>
  <c r="ET306" i="12"/>
  <c r="ET438" i="12"/>
  <c r="ET271" i="12"/>
  <c r="ET357" i="12"/>
  <c r="ET107" i="12"/>
  <c r="ET402" i="12"/>
  <c r="ET33" i="12"/>
  <c r="ET473" i="12"/>
  <c r="ET82" i="12"/>
  <c r="ET283" i="12"/>
  <c r="ET259" i="12"/>
  <c r="ET274" i="12"/>
  <c r="ET458" i="12"/>
  <c r="ET261" i="12"/>
  <c r="ET217" i="12"/>
  <c r="ET150" i="12"/>
  <c r="ET49" i="12"/>
  <c r="ET368" i="12"/>
  <c r="ET335" i="12"/>
  <c r="ET241" i="12"/>
  <c r="ET56" i="12"/>
  <c r="ET346" i="12"/>
  <c r="ET137" i="12"/>
  <c r="ET40" i="12"/>
  <c r="ET129" i="12"/>
  <c r="ET364" i="12"/>
  <c r="ET248" i="12"/>
  <c r="ET437" i="12"/>
  <c r="ET179" i="12"/>
  <c r="ET207" i="12"/>
  <c r="ET385" i="12"/>
  <c r="ET308" i="12"/>
  <c r="ET68" i="12"/>
  <c r="ET54" i="12"/>
  <c r="ET399" i="12"/>
  <c r="ET141" i="12"/>
  <c r="ET175" i="12"/>
  <c r="ET198" i="12"/>
  <c r="ET483" i="12"/>
  <c r="ET266" i="12"/>
  <c r="ET153" i="12"/>
  <c r="ET401" i="12"/>
  <c r="ET125" i="12"/>
  <c r="ET459" i="12"/>
  <c r="ET221" i="12"/>
  <c r="ET448" i="12"/>
  <c r="ET176" i="12"/>
  <c r="ET110" i="12"/>
  <c r="ET128" i="12"/>
  <c r="ET408" i="12"/>
  <c r="ET196" i="12"/>
  <c r="ET139" i="12"/>
  <c r="ET244" i="12"/>
  <c r="ET101" i="12"/>
  <c r="ET384" i="12"/>
  <c r="ET222" i="12"/>
  <c r="ET65" i="12"/>
  <c r="ET211" i="12"/>
  <c r="ET255" i="12"/>
  <c r="ET4" i="12"/>
  <c r="ET277" i="12"/>
  <c r="ET28" i="12"/>
  <c r="ET310" i="12"/>
  <c r="ET242" i="12"/>
  <c r="ET445" i="12"/>
  <c r="ET285" i="12"/>
  <c r="ET424" i="12"/>
  <c r="ET496" i="12"/>
  <c r="ET296" i="12"/>
  <c r="ES1" i="12"/>
  <c r="BB98" i="12" s="1"/>
  <c r="DY98" i="12" s="1"/>
  <c r="ET148" i="12"/>
  <c r="ET499" i="12"/>
  <c r="ET328" i="12"/>
  <c r="ET52" i="12"/>
  <c r="ET450" i="12"/>
  <c r="ET372" i="12"/>
  <c r="ET455" i="12"/>
  <c r="ET291" i="12"/>
  <c r="ET269" i="12"/>
  <c r="ET29" i="12"/>
  <c r="ET253" i="12"/>
  <c r="ET391" i="12"/>
  <c r="ET168" i="12"/>
  <c r="ET416" i="12"/>
  <c r="ET442" i="12"/>
  <c r="ET307" i="12"/>
  <c r="ET356" i="12"/>
  <c r="ET500" i="12"/>
  <c r="ET161" i="12"/>
  <c r="ET25" i="12"/>
  <c r="ET18" i="12"/>
  <c r="ET62" i="12"/>
  <c r="ET370" i="12"/>
  <c r="ET185" i="12"/>
  <c r="ET249" i="12"/>
  <c r="ET136" i="12"/>
  <c r="ET142" i="12"/>
  <c r="ET193" i="12"/>
  <c r="ET34" i="12"/>
  <c r="ET336" i="12"/>
  <c r="ET366" i="12"/>
  <c r="ET468" i="12"/>
  <c r="ET321" i="12"/>
  <c r="ET479" i="12"/>
  <c r="ET464" i="12"/>
  <c r="ET20" i="12"/>
  <c r="ET81" i="12"/>
  <c r="ET181" i="12"/>
  <c r="ET407" i="12"/>
  <c r="ET393" i="12"/>
  <c r="ET202" i="12"/>
  <c r="ET9" i="12"/>
  <c r="ET3" i="12"/>
  <c r="E3" i="2" s="1"/>
  <c r="ET6" i="12"/>
  <c r="ES130" i="12"/>
  <c r="ET10" i="12" s="1"/>
  <c r="ET8" i="12"/>
  <c r="ET7" i="12"/>
  <c r="ET205" i="12"/>
  <c r="ET411" i="12"/>
  <c r="ET154" i="12"/>
  <c r="ET121" i="12"/>
  <c r="ET409" i="12"/>
  <c r="ET87" i="12"/>
  <c r="ET485" i="12"/>
  <c r="ET272" i="12"/>
  <c r="ET348" i="12"/>
  <c r="ET340" i="12"/>
  <c r="ET299" i="12"/>
  <c r="ET367" i="12"/>
  <c r="ET449" i="12"/>
  <c r="ET67" i="12"/>
  <c r="ET440" i="12"/>
  <c r="ET258" i="12"/>
  <c r="ET146" i="12"/>
  <c r="ET493" i="12"/>
  <c r="ET251" i="12"/>
  <c r="ET155" i="12"/>
  <c r="ET381" i="12"/>
  <c r="ET195" i="12"/>
  <c r="ET229" i="12"/>
  <c r="ET345" i="12"/>
  <c r="ET214" i="12"/>
  <c r="ET465" i="12"/>
  <c r="ET97" i="12"/>
  <c r="ET282" i="12"/>
  <c r="ET334" i="12"/>
  <c r="ET96" i="12"/>
  <c r="ET84" i="12"/>
  <c r="ET231" i="12"/>
  <c r="ET117" i="12"/>
  <c r="ET302" i="12"/>
  <c r="ET45" i="12"/>
  <c r="ET11" i="12"/>
  <c r="ET362" i="12"/>
  <c r="ET268" i="12"/>
  <c r="ET144" i="12"/>
  <c r="ET315" i="12"/>
  <c r="ET109" i="12"/>
  <c r="ET27" i="12"/>
  <c r="ET145" i="12"/>
  <c r="ET375" i="12"/>
  <c r="ET256" i="12"/>
  <c r="ET108" i="12"/>
  <c r="ET158" i="12"/>
  <c r="ET273" i="12"/>
  <c r="ET216" i="12"/>
  <c r="ET498" i="12"/>
  <c r="ET327" i="12"/>
  <c r="ET319" i="12"/>
  <c r="ET318" i="12"/>
  <c r="ET225" i="12"/>
  <c r="ET360" i="12"/>
  <c r="ET410" i="12"/>
  <c r="ET14" i="12"/>
  <c r="ET15" i="12"/>
  <c r="ET17" i="12"/>
  <c r="ET12" i="12"/>
  <c r="ET13" i="12"/>
  <c r="ET16" i="12"/>
  <c r="BB99" i="12"/>
  <c r="DY99" i="12" s="1"/>
  <c r="D3" i="2"/>
  <c r="CQ10" i="12"/>
  <c r="ET213" i="12"/>
  <c r="AV57" i="12"/>
  <c r="AV58" i="12" s="1"/>
  <c r="AV60" i="12" s="1"/>
  <c r="AV55" i="12"/>
  <c r="AV56" i="12" s="1"/>
  <c r="AV63" i="12"/>
  <c r="EM214" i="12"/>
  <c r="AV64" i="12" l="1"/>
  <c r="AV156" i="12"/>
  <c r="EM240" i="12"/>
  <c r="B12" i="14"/>
  <c r="C12" i="14" s="1"/>
  <c r="D12" i="14"/>
  <c r="E12" i="14" s="1"/>
  <c r="AV66" i="12" l="1"/>
  <c r="AV68" i="12" l="1"/>
  <c r="AV67" i="12"/>
  <c r="H91" i="12"/>
  <c r="H86" i="12"/>
  <c r="H169" i="12"/>
  <c r="CR3" i="12"/>
  <c r="AJ77" i="12" l="1"/>
  <c r="AJ74" i="12"/>
  <c r="AV69" i="12"/>
  <c r="AV88" i="12"/>
  <c r="AV150" i="12"/>
  <c r="AJ76" i="12"/>
  <c r="AJ75" i="12"/>
  <c r="CR4" i="12"/>
  <c r="AJ80" i="12"/>
  <c r="AV70" i="12" l="1"/>
  <c r="AV71" i="12" s="1"/>
  <c r="AV72" i="12" s="1"/>
  <c r="AV203" i="12"/>
  <c r="EM211" i="12"/>
  <c r="EM248" i="12" s="1"/>
  <c r="EM250" i="12"/>
  <c r="EM251" i="12" s="1"/>
  <c r="EM252" i="12" s="1"/>
  <c r="AV73" i="12" l="1"/>
  <c r="AV80" i="12"/>
  <c r="AV74" i="12" l="1"/>
  <c r="AV82" i="12"/>
  <c r="AV83" i="12" s="1"/>
  <c r="AV87" i="12" s="1"/>
  <c r="H97" i="12"/>
  <c r="H92" i="12"/>
  <c r="AJ78" i="12" s="1"/>
  <c r="AV76" i="12" l="1"/>
  <c r="AV75" i="12"/>
  <c r="AV92" i="12"/>
  <c r="AJ79" i="12"/>
  <c r="AJ81" i="12"/>
  <c r="AJ87" i="12"/>
  <c r="AJ83" i="12"/>
  <c r="AJ89" i="12"/>
  <c r="AJ88" i="12"/>
  <c r="BB100" i="12"/>
  <c r="DY100" i="12" s="1"/>
  <c r="H63" i="12"/>
  <c r="AJ63" i="12" s="1"/>
  <c r="H54" i="12"/>
  <c r="AJ47" i="12" s="1"/>
  <c r="AJ86" i="12"/>
  <c r="AJ84" i="12"/>
  <c r="H64" i="12"/>
  <c r="H55" i="12"/>
  <c r="H121" i="12"/>
  <c r="H106" i="12"/>
  <c r="AJ93" i="12" s="1"/>
  <c r="AJ85" i="12"/>
  <c r="AJ82" i="12"/>
  <c r="AJ90" i="12"/>
  <c r="AJ64" i="12"/>
  <c r="H57" i="12"/>
  <c r="H60" i="12"/>
  <c r="H58" i="12"/>
  <c r="H61" i="12"/>
  <c r="AV77" i="12" l="1"/>
  <c r="AV89" i="12" s="1"/>
  <c r="AV90" i="12" s="1"/>
  <c r="AJ60" i="12"/>
  <c r="AV96" i="12"/>
  <c r="AJ96" i="12"/>
  <c r="AJ95" i="12"/>
  <c r="AJ58" i="12"/>
  <c r="AJ92" i="12"/>
  <c r="AJ98" i="12"/>
  <c r="AJ48" i="12"/>
  <c r="AJ49" i="12"/>
  <c r="AJ91" i="12"/>
  <c r="AJ99" i="12"/>
  <c r="AJ55" i="12"/>
  <c r="BE100" i="12"/>
  <c r="BD100" i="12"/>
  <c r="BC100" i="12"/>
  <c r="BA100" i="12"/>
  <c r="AJ50" i="12"/>
  <c r="AJ59" i="12"/>
  <c r="AJ97" i="12"/>
  <c r="AJ53" i="12"/>
  <c r="AJ57" i="12"/>
  <c r="AJ56" i="12"/>
  <c r="AJ51" i="12"/>
  <c r="AJ52" i="12"/>
  <c r="AJ61" i="12"/>
  <c r="AJ54" i="12"/>
  <c r="AV78" i="12" l="1"/>
  <c r="AV99" i="12"/>
  <c r="H137" i="12"/>
  <c r="EN4" i="12"/>
  <c r="EM3" i="12"/>
  <c r="EN3" i="12"/>
  <c r="EN205" i="12"/>
  <c r="EM205" i="12"/>
  <c r="EM206" i="12"/>
  <c r="EN206" i="12"/>
  <c r="EN204" i="12"/>
  <c r="EM204" i="12"/>
  <c r="EM203" i="12"/>
  <c r="EN203" i="12"/>
  <c r="H122" i="12"/>
  <c r="H123" i="12"/>
  <c r="AV79" i="12" l="1"/>
  <c r="AV93" i="12" s="1"/>
  <c r="AV95" i="12" s="1"/>
  <c r="AV100" i="12"/>
  <c r="AV108" i="12"/>
  <c r="EM4" i="12"/>
  <c r="AJ106" i="12"/>
  <c r="AJ105" i="12"/>
  <c r="AV97" i="12" l="1"/>
  <c r="AV98" i="12" s="1"/>
  <c r="AV101" i="12"/>
  <c r="AV116" i="12"/>
  <c r="BC98" i="12"/>
  <c r="BA98" i="12"/>
  <c r="BC99" i="12"/>
  <c r="BA99" i="12"/>
  <c r="AJ210" i="12" l="1"/>
  <c r="AJ221" i="12"/>
  <c r="AJ209" i="12"/>
  <c r="AJ220" i="12"/>
  <c r="AV102" i="12"/>
  <c r="AV110" i="12"/>
  <c r="H136" i="12"/>
  <c r="H124" i="12"/>
  <c r="AJ216" i="12" l="1"/>
  <c r="AJ224" i="12"/>
  <c r="AV103" i="12"/>
  <c r="AV104" i="12" s="1"/>
  <c r="AJ152" i="12"/>
  <c r="AJ208" i="12"/>
  <c r="AJ215" i="12"/>
  <c r="AJ213" i="12"/>
  <c r="AJ211" i="12"/>
  <c r="AJ212" i="12"/>
  <c r="AV105" i="12" l="1"/>
  <c r="AV121" i="12"/>
  <c r="AV122" i="12" s="1"/>
  <c r="AV123" i="12" s="1"/>
  <c r="AV125" i="12"/>
  <c r="AV124" i="12"/>
  <c r="EM397" i="12"/>
  <c r="AV107" i="12" l="1"/>
  <c r="AV131" i="12"/>
  <c r="AV132" i="12" s="1"/>
  <c r="AV128" i="12"/>
  <c r="AV137" i="12"/>
  <c r="EM398" i="12"/>
  <c r="AV109" i="12" l="1"/>
  <c r="AV134" i="12"/>
  <c r="AV135" i="12" s="1"/>
  <c r="AV138" i="12"/>
  <c r="AV115" i="12" l="1"/>
  <c r="AV129" i="12" s="1"/>
  <c r="AV127" i="12"/>
  <c r="AV117" i="12"/>
  <c r="AV118" i="12" s="1"/>
  <c r="AV130" i="12"/>
  <c r="AV133" i="12" s="1"/>
  <c r="AV139" i="12" l="1"/>
  <c r="AV140" i="12"/>
  <c r="AV143" i="12"/>
  <c r="AV141" i="12" l="1"/>
  <c r="AV144" i="12"/>
  <c r="AV142" i="12" l="1"/>
  <c r="AV145" i="12"/>
  <c r="AV146" i="12" s="1"/>
  <c r="AV147" i="12" s="1"/>
  <c r="AV148" i="12" s="1"/>
  <c r="AV149" i="12" s="1"/>
  <c r="AV152" i="12"/>
  <c r="AV153" i="12" l="1"/>
  <c r="AV154" i="12" l="1"/>
  <c r="AV155" i="12" l="1"/>
  <c r="AV158" i="12" l="1"/>
  <c r="AV162" i="12" l="1"/>
  <c r="AV163" i="12" s="1"/>
  <c r="AV168" i="12"/>
  <c r="AV164" i="12"/>
  <c r="AV178" i="12" l="1"/>
  <c r="AV184" i="12" s="1"/>
  <c r="AV165" i="12"/>
  <c r="BE7" i="12" l="1"/>
  <c r="BD11" i="12"/>
  <c r="BB5" i="12"/>
  <c r="BC5" i="12" s="1"/>
  <c r="BD10" i="12"/>
  <c r="BE27" i="12"/>
  <c r="BE4" i="12"/>
  <c r="BD13" i="12"/>
  <c r="BD6" i="12"/>
  <c r="BE11" i="12"/>
  <c r="BB4" i="12"/>
  <c r="DY4" i="12" s="1"/>
  <c r="BE10" i="12"/>
  <c r="BE51" i="12"/>
  <c r="BE8" i="12"/>
  <c r="BD5" i="12"/>
  <c r="BE13" i="12"/>
  <c r="BE9" i="12"/>
  <c r="BD9" i="12"/>
  <c r="BB8" i="12"/>
  <c r="BA8" i="12" s="1"/>
  <c r="AZ8" i="12" s="1"/>
  <c r="BB13" i="12"/>
  <c r="BC13" i="12" s="1"/>
  <c r="BE12" i="12"/>
  <c r="BD12" i="12"/>
  <c r="BB3" i="12"/>
  <c r="BE5" i="12"/>
  <c r="BB9" i="12"/>
  <c r="DY9" i="12" s="1"/>
  <c r="BB6" i="12"/>
  <c r="BA6" i="12" s="1"/>
  <c r="AZ6" i="12" s="1"/>
  <c r="BD4" i="12"/>
  <c r="BB14" i="12"/>
  <c r="DY14" i="12" s="1"/>
  <c r="BB12" i="12"/>
  <c r="BC12" i="12" s="1"/>
  <c r="BD8" i="12"/>
  <c r="BE14" i="12"/>
  <c r="BE3" i="12"/>
  <c r="BD14" i="12"/>
  <c r="BE6" i="12"/>
  <c r="BB10" i="12"/>
  <c r="BC10" i="12" s="1"/>
  <c r="BD3" i="12"/>
  <c r="BB7" i="12"/>
  <c r="BA7" i="12" s="1"/>
  <c r="AZ7" i="12" s="1"/>
  <c r="BB11" i="12"/>
  <c r="BC11" i="12" s="1"/>
  <c r="BD7" i="12"/>
  <c r="BE80" i="12"/>
  <c r="BE38" i="12"/>
  <c r="BD70" i="12"/>
  <c r="BD52" i="12"/>
  <c r="BB53" i="12"/>
  <c r="BC53" i="12" s="1"/>
  <c r="BD37" i="12"/>
  <c r="BB33" i="12"/>
  <c r="BC33" i="12" s="1"/>
  <c r="BE18" i="12"/>
  <c r="BD36" i="12"/>
  <c r="BD68" i="12"/>
  <c r="BD15" i="12"/>
  <c r="BE17" i="12"/>
  <c r="BE53" i="12"/>
  <c r="BB28" i="12"/>
  <c r="DY28" i="12" s="1"/>
  <c r="BE39" i="12"/>
  <c r="BD53" i="12"/>
  <c r="BB84" i="12"/>
  <c r="DY84" i="12" s="1"/>
  <c r="BE49" i="12"/>
  <c r="BB36" i="12"/>
  <c r="BA36" i="12" s="1"/>
  <c r="AZ36" i="12" s="1"/>
  <c r="BD54" i="12"/>
  <c r="BE88" i="12"/>
  <c r="BB37" i="12"/>
  <c r="DY37" i="12" s="1"/>
  <c r="BE78" i="12"/>
  <c r="BB92" i="12"/>
  <c r="DY92" i="12" s="1"/>
  <c r="BB56" i="12"/>
  <c r="BA56" i="12" s="1"/>
  <c r="AZ56" i="12" s="1"/>
  <c r="BE93" i="12"/>
  <c r="BB82" i="12"/>
  <c r="DY82" i="12" s="1"/>
  <c r="BB62" i="12"/>
  <c r="DY62" i="12" s="1"/>
  <c r="BE48" i="12"/>
  <c r="BE56" i="12"/>
  <c r="BE74" i="12"/>
  <c r="BE42" i="12"/>
  <c r="BB39" i="12"/>
  <c r="DY39" i="12" s="1"/>
  <c r="BE30" i="12"/>
  <c r="BB38" i="12"/>
  <c r="BA38" i="12" s="1"/>
  <c r="AZ38" i="12" s="1"/>
  <c r="BB43" i="12"/>
  <c r="BC43" i="12" s="1"/>
  <c r="BD29" i="12"/>
  <c r="BD77" i="12"/>
  <c r="BE26" i="12"/>
  <c r="BD84" i="12"/>
  <c r="BB77" i="12"/>
  <c r="BA77" i="12" s="1"/>
  <c r="AZ77" i="12" s="1"/>
  <c r="BE69" i="12"/>
  <c r="BB25" i="12"/>
  <c r="BC25" i="12" s="1"/>
  <c r="BB23" i="12"/>
  <c r="BC23" i="12" s="1"/>
  <c r="BD19" i="12"/>
  <c r="BB69" i="12"/>
  <c r="DY69" i="12" s="1"/>
  <c r="BB94" i="12"/>
  <c r="BA94" i="12" s="1"/>
  <c r="AZ94" i="12" s="1"/>
  <c r="BD39" i="12"/>
  <c r="BE45" i="12"/>
  <c r="BD25" i="12"/>
  <c r="BB75" i="12"/>
  <c r="BA75" i="12" s="1"/>
  <c r="AZ75" i="12" s="1"/>
  <c r="BB24" i="12"/>
  <c r="BA24" i="12" s="1"/>
  <c r="AZ24" i="12" s="1"/>
  <c r="BE21" i="12"/>
  <c r="BE34" i="12"/>
  <c r="BE76" i="12"/>
  <c r="BD61" i="12"/>
  <c r="BB19" i="12"/>
  <c r="BC19" i="12" s="1"/>
  <c r="BD76" i="12"/>
  <c r="BB29" i="12"/>
  <c r="BA29" i="12" s="1"/>
  <c r="AZ29" i="12" s="1"/>
  <c r="BD18" i="12"/>
  <c r="BD85" i="12"/>
  <c r="BB70" i="12"/>
  <c r="DY70" i="12" s="1"/>
  <c r="BE72" i="12"/>
  <c r="BB60" i="12"/>
  <c r="BC60" i="12" s="1"/>
  <c r="BD66" i="12"/>
  <c r="BD42" i="12"/>
  <c r="BD72" i="12"/>
  <c r="BD23" i="12"/>
  <c r="BB18" i="12"/>
  <c r="BC18" i="12" s="1"/>
  <c r="BE24" i="12"/>
  <c r="BD46" i="12"/>
  <c r="BB81" i="12"/>
  <c r="BA81" i="12" s="1"/>
  <c r="AZ81" i="12" s="1"/>
  <c r="BD59" i="12"/>
  <c r="BD43" i="12"/>
  <c r="BB78" i="12"/>
  <c r="DY78" i="12" s="1"/>
  <c r="BD31" i="12"/>
  <c r="BD94" i="12"/>
  <c r="BD64" i="12"/>
  <c r="BB44" i="12"/>
  <c r="DY44" i="12" s="1"/>
  <c r="BD65" i="12"/>
  <c r="BE41" i="12"/>
  <c r="BB96" i="12"/>
  <c r="BA96" i="12" s="1"/>
  <c r="AZ96" i="12" s="1"/>
  <c r="BB64" i="12"/>
  <c r="BC64" i="12" s="1"/>
  <c r="BB21" i="12"/>
  <c r="BA21" i="12" s="1"/>
  <c r="AZ21" i="12" s="1"/>
  <c r="BD75" i="12"/>
  <c r="BD62" i="12"/>
  <c r="BB66" i="12"/>
  <c r="BA66" i="12" s="1"/>
  <c r="AZ66" i="12" s="1"/>
  <c r="BD93" i="12"/>
  <c r="BB47" i="12"/>
  <c r="DY47" i="12" s="1"/>
  <c r="BD63" i="12"/>
  <c r="BD27" i="12"/>
  <c r="BE22" i="12"/>
  <c r="BE95" i="12"/>
  <c r="BE67" i="12"/>
  <c r="BD48" i="12"/>
  <c r="BE86" i="12"/>
  <c r="BB59" i="12"/>
  <c r="DY59" i="12" s="1"/>
  <c r="BD82" i="12"/>
  <c r="BE40" i="12"/>
  <c r="BB67" i="12"/>
  <c r="BA67" i="12" s="1"/>
  <c r="AZ67" i="12" s="1"/>
  <c r="BE62" i="12"/>
  <c r="BD33" i="12"/>
  <c r="BD58" i="12"/>
  <c r="BD35" i="12"/>
  <c r="BD73" i="12"/>
  <c r="BD45" i="12"/>
  <c r="BE32" i="12"/>
  <c r="BE96" i="12"/>
  <c r="BB50" i="12"/>
  <c r="BC50" i="12" s="1"/>
  <c r="BE81" i="12"/>
  <c r="BD95" i="12"/>
  <c r="BD26" i="12"/>
  <c r="BE65" i="12"/>
  <c r="BE89" i="12"/>
  <c r="BE94" i="12"/>
  <c r="BB34" i="12"/>
  <c r="BC34" i="12" s="1"/>
  <c r="BD96" i="12"/>
  <c r="BE57" i="12"/>
  <c r="BD81" i="12"/>
  <c r="BB22" i="12"/>
  <c r="DY22" i="12" s="1"/>
  <c r="BD21" i="12"/>
  <c r="BB93" i="12"/>
  <c r="BC93" i="12" s="1"/>
  <c r="BE70" i="12"/>
  <c r="BD89" i="12"/>
  <c r="BD67" i="12"/>
  <c r="BB63" i="12"/>
  <c r="DY63" i="12" s="1"/>
  <c r="BB49" i="12"/>
  <c r="BC49" i="12" s="1"/>
  <c r="BE47" i="12"/>
  <c r="BD30" i="12"/>
  <c r="BD32" i="12"/>
  <c r="BD49" i="12"/>
  <c r="BB41" i="12"/>
  <c r="BC41" i="12" s="1"/>
  <c r="BD91" i="12"/>
  <c r="BE19" i="12"/>
  <c r="BB88" i="12"/>
  <c r="DY88" i="12" s="1"/>
  <c r="BD79" i="12"/>
  <c r="BB35" i="12"/>
  <c r="DY35" i="12" s="1"/>
  <c r="BB89" i="12"/>
  <c r="BC89" i="12" s="1"/>
  <c r="BE35" i="12"/>
  <c r="BB54" i="12"/>
  <c r="BA54" i="12" s="1"/>
  <c r="AZ54" i="12" s="1"/>
  <c r="BB26" i="12"/>
  <c r="DY26" i="12" s="1"/>
  <c r="BE15" i="12"/>
  <c r="BD22" i="12"/>
  <c r="BB61" i="12"/>
  <c r="DY61" i="12" s="1"/>
  <c r="BB68" i="12"/>
  <c r="DY68" i="12" s="1"/>
  <c r="BE59" i="12"/>
  <c r="BB95" i="12"/>
  <c r="BC95" i="12" s="1"/>
  <c r="BB73" i="12"/>
  <c r="DY73" i="12" s="1"/>
  <c r="BE55" i="12"/>
  <c r="BB30" i="12"/>
  <c r="BC30" i="12" s="1"/>
  <c r="BB48" i="12"/>
  <c r="BA48" i="12" s="1"/>
  <c r="AZ48" i="12" s="1"/>
  <c r="BE92" i="12"/>
  <c r="BD28" i="12"/>
  <c r="BB72" i="12"/>
  <c r="BC72" i="12" s="1"/>
  <c r="BE64" i="12"/>
  <c r="BD87" i="12"/>
  <c r="BE16" i="12"/>
  <c r="BB76" i="12"/>
  <c r="BA76" i="12" s="1"/>
  <c r="AZ76" i="12" s="1"/>
  <c r="BD56" i="12"/>
  <c r="BB91" i="12"/>
  <c r="BA91" i="12" s="1"/>
  <c r="AZ91" i="12" s="1"/>
  <c r="BB86" i="12"/>
  <c r="BA86" i="12" s="1"/>
  <c r="AZ86" i="12" s="1"/>
  <c r="BE85" i="12"/>
  <c r="BE66" i="12"/>
  <c r="BB40" i="12"/>
  <c r="BC40" i="12" s="1"/>
  <c r="BB17" i="12"/>
  <c r="BC17" i="12" s="1"/>
  <c r="BE75" i="12"/>
  <c r="BB87" i="12"/>
  <c r="DY87" i="12" s="1"/>
  <c r="BD90" i="12"/>
  <c r="BB15" i="12"/>
  <c r="DY15" i="12" s="1"/>
  <c r="BE68" i="12"/>
  <c r="BD44" i="12"/>
  <c r="BB51" i="12"/>
  <c r="BC51" i="12" s="1"/>
  <c r="BB46" i="12"/>
  <c r="DY46" i="12" s="1"/>
  <c r="BB32" i="12"/>
  <c r="BA32" i="12" s="1"/>
  <c r="AZ32" i="12" s="1"/>
  <c r="BE79" i="12"/>
  <c r="BE28" i="12"/>
  <c r="BB27" i="12"/>
  <c r="DY27" i="12" s="1"/>
  <c r="BB16" i="12"/>
  <c r="BA16" i="12" s="1"/>
  <c r="AZ16" i="12" s="1"/>
  <c r="BE20" i="12"/>
  <c r="BE83" i="12"/>
  <c r="BE82" i="12"/>
  <c r="BE73" i="12"/>
  <c r="BE84" i="12"/>
  <c r="BE90" i="12"/>
  <c r="BD80" i="12"/>
  <c r="BE50" i="12"/>
  <c r="BB71" i="12"/>
  <c r="BA71" i="12" s="1"/>
  <c r="AZ71" i="12" s="1"/>
  <c r="BE63" i="12"/>
  <c r="BE52" i="12"/>
  <c r="BD40" i="12"/>
  <c r="BE71" i="12"/>
  <c r="BD47" i="12"/>
  <c r="BD17" i="12"/>
  <c r="BB83" i="12"/>
  <c r="BA83" i="12" s="1"/>
  <c r="AZ83" i="12" s="1"/>
  <c r="BD71" i="12"/>
  <c r="BE77" i="12"/>
  <c r="BB65" i="12"/>
  <c r="BA65" i="12" s="1"/>
  <c r="AZ65" i="12" s="1"/>
  <c r="BB85" i="12"/>
  <c r="BC85" i="12" s="1"/>
  <c r="BB90" i="12"/>
  <c r="DY90" i="12" s="1"/>
  <c r="BD38" i="12"/>
  <c r="BD20" i="12"/>
  <c r="BB42" i="12"/>
  <c r="BA42" i="12" s="1"/>
  <c r="AZ42" i="12" s="1"/>
  <c r="BE44" i="12"/>
  <c r="BD69" i="12"/>
  <c r="BD86" i="12"/>
  <c r="BB55" i="12"/>
  <c r="DY55" i="12" s="1"/>
  <c r="BB80" i="12"/>
  <c r="DY80" i="12" s="1"/>
  <c r="BE36" i="12"/>
  <c r="BB74" i="12"/>
  <c r="BA74" i="12" s="1"/>
  <c r="AZ74" i="12" s="1"/>
  <c r="BE43" i="12"/>
  <c r="BE46" i="12"/>
  <c r="BE87" i="12"/>
  <c r="BE33" i="12"/>
  <c r="BD78" i="12"/>
  <c r="BE25" i="12"/>
  <c r="BE91" i="12"/>
  <c r="BE60" i="12"/>
  <c r="BD83" i="12"/>
  <c r="BB79" i="12"/>
  <c r="DY79" i="12" s="1"/>
  <c r="BB57" i="12"/>
  <c r="BC57" i="12" s="1"/>
  <c r="BD34" i="12"/>
  <c r="BE37" i="12"/>
  <c r="BD92" i="12"/>
  <c r="BE58" i="12"/>
  <c r="BE23" i="12"/>
  <c r="BD24" i="12"/>
  <c r="BD60" i="12"/>
  <c r="BD50" i="12"/>
  <c r="BE61" i="12"/>
  <c r="BD16" i="12"/>
  <c r="BE54" i="12"/>
  <c r="BB45" i="12"/>
  <c r="DY45" i="12" s="1"/>
  <c r="BD57" i="12"/>
  <c r="BD41" i="12"/>
  <c r="BB58" i="12"/>
  <c r="BA58" i="12" s="1"/>
  <c r="AZ58" i="12" s="1"/>
  <c r="BB20" i="12"/>
  <c r="DY20" i="12" s="1"/>
  <c r="BB31" i="12"/>
  <c r="BC31" i="12" s="1"/>
  <c r="BD51" i="12"/>
  <c r="BD88" i="12"/>
  <c r="BE29" i="12"/>
  <c r="BD55" i="12"/>
  <c r="BD74" i="12"/>
  <c r="BB52" i="12"/>
  <c r="BC52" i="12" s="1"/>
  <c r="BE31" i="12"/>
  <c r="H138" i="12"/>
  <c r="H139" i="12"/>
  <c r="H157" i="12"/>
  <c r="H141" i="12"/>
  <c r="H158" i="12"/>
  <c r="EK1" i="12"/>
  <c r="BC74" i="12" l="1"/>
  <c r="DY11" i="12"/>
  <c r="BA13" i="12"/>
  <c r="AZ13" i="12" s="1"/>
  <c r="BC14" i="12"/>
  <c r="DO228" i="12"/>
  <c r="DO224" i="12"/>
  <c r="H174" i="12" s="1"/>
  <c r="DO229" i="12"/>
  <c r="H179" i="12" s="1"/>
  <c r="DO227" i="12"/>
  <c r="H177" i="12" s="1"/>
  <c r="DO226" i="12"/>
  <c r="H176" i="12" s="1"/>
  <c r="DO225" i="12"/>
  <c r="H175" i="12" s="1"/>
  <c r="BC7" i="12"/>
  <c r="AJ143" i="12"/>
  <c r="AJ144" i="12"/>
  <c r="DX215" i="12"/>
  <c r="H144" i="12" s="1"/>
  <c r="DX213" i="12"/>
  <c r="H142" i="12" s="1"/>
  <c r="DX217" i="12"/>
  <c r="DX214" i="12"/>
  <c r="H143" i="12" s="1"/>
  <c r="DX216" i="12"/>
  <c r="BC3" i="12"/>
  <c r="BA5" i="12"/>
  <c r="AZ5" i="12" s="1"/>
  <c r="BC9" i="12"/>
  <c r="BC28" i="12"/>
  <c r="BA12" i="12"/>
  <c r="AZ12" i="12" s="1"/>
  <c r="BA88" i="12"/>
  <c r="AZ88" i="12" s="1"/>
  <c r="BC42" i="12"/>
  <c r="EL402" i="12"/>
  <c r="EK402" i="12" s="1"/>
  <c r="EK399" i="12" s="1"/>
  <c r="EL403" i="12"/>
  <c r="EK403" i="12" s="1"/>
  <c r="EK400" i="12" s="1"/>
  <c r="DY5" i="12"/>
  <c r="DY13" i="12"/>
  <c r="BA14" i="12"/>
  <c r="AZ14" i="12" s="1"/>
  <c r="BA10" i="12"/>
  <c r="AZ10" i="12" s="1"/>
  <c r="DY3" i="12"/>
  <c r="DY16" i="12"/>
  <c r="BC92" i="12"/>
  <c r="BA3" i="12"/>
  <c r="AZ3" i="12" s="1"/>
  <c r="DY10" i="12"/>
  <c r="BC4" i="12"/>
  <c r="BC8" i="12"/>
  <c r="BA4" i="12"/>
  <c r="AZ4" i="12" s="1"/>
  <c r="DY60" i="12"/>
  <c r="BA23" i="12"/>
  <c r="AZ23" i="12" s="1"/>
  <c r="DY8" i="12"/>
  <c r="BC83" i="12"/>
  <c r="BA9" i="12"/>
  <c r="AZ9" i="12" s="1"/>
  <c r="BA37" i="12"/>
  <c r="AZ37" i="12" s="1"/>
  <c r="BA69" i="12"/>
  <c r="AZ69" i="12" s="1"/>
  <c r="DY83" i="12"/>
  <c r="DY12" i="12"/>
  <c r="BC37" i="12"/>
  <c r="BA28" i="12"/>
  <c r="AZ28" i="12" s="1"/>
  <c r="DY7" i="12"/>
  <c r="DY36" i="12"/>
  <c r="BA64" i="12"/>
  <c r="AZ64" i="12" s="1"/>
  <c r="DY48" i="12"/>
  <c r="DY95" i="12"/>
  <c r="DY25" i="12"/>
  <c r="BA33" i="12"/>
  <c r="AZ33" i="12" s="1"/>
  <c r="DY29" i="12"/>
  <c r="DY33" i="12"/>
  <c r="BA49" i="12"/>
  <c r="AZ49" i="12" s="1"/>
  <c r="BC44" i="12"/>
  <c r="BA95" i="12"/>
  <c r="AZ95" i="12" s="1"/>
  <c r="BA25" i="12"/>
  <c r="AZ25" i="12" s="1"/>
  <c r="DY75" i="12"/>
  <c r="BA11" i="12"/>
  <c r="AZ11" i="12" s="1"/>
  <c r="BA78" i="12"/>
  <c r="AZ78" i="12" s="1"/>
  <c r="DY66" i="12"/>
  <c r="BC87" i="12"/>
  <c r="BC66" i="12"/>
  <c r="BC88" i="12"/>
  <c r="DY94" i="12"/>
  <c r="DY38" i="12"/>
  <c r="BC75" i="12"/>
  <c r="BC94" i="12"/>
  <c r="DY64" i="12"/>
  <c r="BC78" i="12"/>
  <c r="BC6" i="12"/>
  <c r="BC29" i="12"/>
  <c r="BC38" i="12"/>
  <c r="BC71" i="12"/>
  <c r="BA44" i="12"/>
  <c r="AZ44" i="12" s="1"/>
  <c r="DY6" i="12"/>
  <c r="DY49" i="12"/>
  <c r="BC48" i="12"/>
  <c r="DY17" i="12"/>
  <c r="FP399" i="12"/>
  <c r="FP23" i="12"/>
  <c r="FP46" i="12"/>
  <c r="FP235" i="12"/>
  <c r="FP386" i="12"/>
  <c r="FP38" i="12"/>
  <c r="FP208" i="12"/>
  <c r="FP82" i="12"/>
  <c r="FP21" i="12"/>
  <c r="FP389" i="12"/>
  <c r="FP243" i="12"/>
  <c r="FP264" i="12"/>
  <c r="FP294" i="12"/>
  <c r="FP84" i="12"/>
  <c r="FP81" i="12"/>
  <c r="FP62" i="12"/>
  <c r="FP364" i="12"/>
  <c r="FP76" i="12"/>
  <c r="FP71" i="12"/>
  <c r="FP381" i="12"/>
  <c r="FP263" i="12"/>
  <c r="FP141" i="12"/>
  <c r="FP131" i="12"/>
  <c r="FP270" i="12"/>
  <c r="FP229" i="12"/>
  <c r="FP315" i="12"/>
  <c r="FP358" i="12"/>
  <c r="FP333" i="12"/>
  <c r="FP52" i="12"/>
  <c r="FP291" i="12"/>
  <c r="FP359" i="12"/>
  <c r="FP211" i="12"/>
  <c r="FP362" i="12"/>
  <c r="FP68" i="12"/>
  <c r="FP393" i="12"/>
  <c r="FP357" i="12"/>
  <c r="FP187" i="12"/>
  <c r="FP189" i="12"/>
  <c r="FP300" i="12"/>
  <c r="FP171" i="12"/>
  <c r="FP177" i="12"/>
  <c r="FP323" i="12"/>
  <c r="FP60" i="12"/>
  <c r="FP51" i="12"/>
  <c r="FP165" i="12"/>
  <c r="FP83" i="12"/>
  <c r="FP344" i="12"/>
  <c r="FP100" i="12"/>
  <c r="FP273" i="12"/>
  <c r="FP135" i="12"/>
  <c r="FP127" i="12"/>
  <c r="FP213" i="12"/>
  <c r="FP318" i="12"/>
  <c r="FP110" i="12"/>
  <c r="FP342" i="12"/>
  <c r="FP15" i="12"/>
  <c r="FP206" i="12"/>
  <c r="FP37" i="12"/>
  <c r="FP122" i="12"/>
  <c r="FP101" i="12"/>
  <c r="FP368" i="12"/>
  <c r="FP183" i="12"/>
  <c r="FP262" i="12"/>
  <c r="FP156" i="12"/>
  <c r="FP29" i="12"/>
  <c r="FP238" i="12"/>
  <c r="FP268" i="12"/>
  <c r="FP148" i="12"/>
  <c r="FP12" i="12"/>
  <c r="FP118" i="12"/>
  <c r="FP108" i="12"/>
  <c r="FP363" i="12"/>
  <c r="FP56" i="12"/>
  <c r="FP329" i="12"/>
  <c r="FP298" i="12"/>
  <c r="FP18" i="12"/>
  <c r="FP304" i="12"/>
  <c r="FP86" i="12"/>
  <c r="FP27" i="12"/>
  <c r="FP309" i="12"/>
  <c r="FP348" i="12"/>
  <c r="FP63" i="12"/>
  <c r="FP64" i="12"/>
  <c r="FP331" i="12"/>
  <c r="FP140" i="12"/>
  <c r="FP31" i="12"/>
  <c r="FP45" i="12"/>
  <c r="FP281" i="12"/>
  <c r="FP136" i="12"/>
  <c r="FP336" i="12"/>
  <c r="FP308" i="12"/>
  <c r="FP390" i="12"/>
  <c r="FP202" i="12"/>
  <c r="FP317" i="12"/>
  <c r="FP275" i="12"/>
  <c r="FP144" i="12"/>
  <c r="FP114" i="12"/>
  <c r="FP185" i="12"/>
  <c r="FP4" i="12"/>
  <c r="BA90" i="12"/>
  <c r="AZ90" i="12" s="1"/>
  <c r="FP129" i="12"/>
  <c r="FP266" i="12"/>
  <c r="FP169" i="12"/>
  <c r="FP366" i="12"/>
  <c r="FP354" i="12"/>
  <c r="FP180" i="12"/>
  <c r="FP50" i="12"/>
  <c r="FP271" i="12"/>
  <c r="FP205" i="12"/>
  <c r="FP311" i="12"/>
  <c r="FP210" i="12"/>
  <c r="FP20" i="12"/>
  <c r="FP328" i="12"/>
  <c r="FP237" i="12"/>
  <c r="FP162" i="12"/>
  <c r="FP77" i="12"/>
  <c r="FP345" i="12"/>
  <c r="FP334" i="12"/>
  <c r="FP307" i="12"/>
  <c r="FP8" i="12"/>
  <c r="FP326" i="12"/>
  <c r="FP111" i="12"/>
  <c r="FP287" i="12"/>
  <c r="FP149" i="12"/>
  <c r="FP138" i="12"/>
  <c r="FP124" i="12"/>
  <c r="FP30" i="12"/>
  <c r="FP201" i="12"/>
  <c r="FP350" i="12"/>
  <c r="FP367" i="12"/>
  <c r="FP87" i="12"/>
  <c r="FP267" i="12"/>
  <c r="FP203" i="12"/>
  <c r="FP161" i="12"/>
  <c r="FP125" i="12"/>
  <c r="FP67" i="12"/>
  <c r="FP257" i="12"/>
  <c r="FP188" i="12"/>
  <c r="FP14" i="12"/>
  <c r="FP116" i="12"/>
  <c r="FP92" i="12"/>
  <c r="FP150" i="12"/>
  <c r="FP130" i="12"/>
  <c r="FP184" i="12"/>
  <c r="FP231" i="12"/>
  <c r="FP274" i="12"/>
  <c r="FP158" i="12"/>
  <c r="FP95" i="12"/>
  <c r="FP360" i="12"/>
  <c r="FP316" i="12"/>
  <c r="FP186" i="12"/>
  <c r="FP54" i="12"/>
  <c r="FP104" i="12"/>
  <c r="FP58" i="12"/>
  <c r="FP248" i="12"/>
  <c r="FP384" i="12"/>
  <c r="FP113" i="12"/>
  <c r="FP259" i="12"/>
  <c r="FP32" i="12"/>
  <c r="FP42" i="12"/>
  <c r="FP134" i="12"/>
  <c r="FP395" i="12"/>
  <c r="FP332" i="12"/>
  <c r="FP105" i="12"/>
  <c r="FP305" i="12"/>
  <c r="FP191" i="12"/>
  <c r="FP65" i="12"/>
  <c r="FP48" i="12"/>
  <c r="FP192" i="12"/>
  <c r="FP392" i="12"/>
  <c r="FP252" i="12"/>
  <c r="FP35" i="12"/>
  <c r="FP343" i="12"/>
  <c r="FP24" i="12"/>
  <c r="FP297" i="12"/>
  <c r="FP215" i="12"/>
  <c r="FP39" i="12"/>
  <c r="FP347" i="12"/>
  <c r="FP277" i="12"/>
  <c r="FP41" i="12"/>
  <c r="FP89" i="12"/>
  <c r="FP380" i="12"/>
  <c r="FP371" i="12"/>
  <c r="FP330" i="12"/>
  <c r="FP79" i="12"/>
  <c r="FP217" i="12"/>
  <c r="FP283" i="12"/>
  <c r="FP242" i="12"/>
  <c r="FP288" i="12"/>
  <c r="FP123" i="12"/>
  <c r="FP199" i="12"/>
  <c r="FP321" i="12"/>
  <c r="FP337" i="12"/>
  <c r="FP121" i="12"/>
  <c r="FP293" i="12"/>
  <c r="FP221" i="12"/>
  <c r="FP290" i="12"/>
  <c r="FP382" i="12"/>
  <c r="FP369" i="12"/>
  <c r="FP214" i="12"/>
  <c r="FP299" i="12"/>
  <c r="FP339" i="12"/>
  <c r="FP167" i="12"/>
  <c r="FP194" i="12"/>
  <c r="FP91" i="12"/>
  <c r="FP313" i="12"/>
  <c r="FP88" i="12"/>
  <c r="FP75" i="12"/>
  <c r="FP153" i="12"/>
  <c r="FP301" i="12"/>
  <c r="FP103" i="12"/>
  <c r="FP59" i="12"/>
  <c r="FP44" i="12"/>
  <c r="FP284" i="12"/>
  <c r="FP74" i="12"/>
  <c r="FP132" i="12"/>
  <c r="FP72" i="12"/>
  <c r="FP227" i="12"/>
  <c r="FP282" i="12"/>
  <c r="FP198" i="12"/>
  <c r="FP55" i="12"/>
  <c r="FP241" i="12"/>
  <c r="FP16" i="12"/>
  <c r="FP73" i="12"/>
  <c r="FP296" i="12"/>
  <c r="FP391" i="12"/>
  <c r="FP245" i="12"/>
  <c r="FP220" i="12"/>
  <c r="FP166" i="12"/>
  <c r="FP222" i="12"/>
  <c r="FP47" i="12"/>
  <c r="FP154" i="12"/>
  <c r="FP265" i="12"/>
  <c r="FP207" i="12"/>
  <c r="FP126" i="12"/>
  <c r="FP216" i="12"/>
  <c r="FP396" i="12"/>
  <c r="FP383" i="12"/>
  <c r="FP325" i="12"/>
  <c r="FP261" i="12"/>
  <c r="FP106" i="12"/>
  <c r="FP374" i="12"/>
  <c r="FP246" i="12"/>
  <c r="FP174" i="12"/>
  <c r="FP258" i="12"/>
  <c r="FP295" i="12"/>
  <c r="FP319" i="12"/>
  <c r="FP168" i="12"/>
  <c r="FP143" i="12"/>
  <c r="FP375" i="12"/>
  <c r="FP28" i="12"/>
  <c r="FP280" i="12"/>
  <c r="FP109" i="12"/>
  <c r="FP40" i="12"/>
  <c r="FP179" i="12"/>
  <c r="FP341" i="12"/>
  <c r="FP224" i="12"/>
  <c r="FP400" i="12"/>
  <c r="FP26" i="12"/>
  <c r="FP80" i="12"/>
  <c r="FP19" i="12"/>
  <c r="FP142" i="12"/>
  <c r="FP163" i="12"/>
  <c r="FP278" i="12"/>
  <c r="FP175" i="12"/>
  <c r="FP372" i="12"/>
  <c r="FP338" i="12"/>
  <c r="FP33" i="12"/>
  <c r="FP190" i="12"/>
  <c r="FP226" i="12"/>
  <c r="FP314" i="12"/>
  <c r="FP373" i="12"/>
  <c r="FP25" i="12"/>
  <c r="FP22" i="12"/>
  <c r="FP53" i="12"/>
  <c r="FP320" i="12"/>
  <c r="FP96" i="12"/>
  <c r="FP361" i="12"/>
  <c r="FP303" i="12"/>
  <c r="FP223" i="12"/>
  <c r="FP212" i="12"/>
  <c r="FP133" i="12"/>
  <c r="FP78" i="12"/>
  <c r="FP234" i="12"/>
  <c r="FP10" i="12"/>
  <c r="FP250" i="12"/>
  <c r="FP352" i="12"/>
  <c r="FP97" i="12"/>
  <c r="FP292" i="12"/>
  <c r="FP219" i="12"/>
  <c r="FP85" i="12"/>
  <c r="FP196" i="12"/>
  <c r="FP247" i="12"/>
  <c r="FP209" i="12"/>
  <c r="FP255" i="12"/>
  <c r="FP232" i="12"/>
  <c r="FP346" i="12"/>
  <c r="FP94" i="12"/>
  <c r="FP376" i="12"/>
  <c r="FP13" i="12"/>
  <c r="FP256" i="12"/>
  <c r="FP356" i="12"/>
  <c r="FP98" i="12"/>
  <c r="FP244" i="12"/>
  <c r="FP398" i="12"/>
  <c r="FP310" i="12"/>
  <c r="FP312" i="12"/>
  <c r="FP117" i="12"/>
  <c r="FP285" i="12"/>
  <c r="FP379" i="12"/>
  <c r="FP377" i="12"/>
  <c r="FP107" i="12"/>
  <c r="FP276" i="12"/>
  <c r="FP128" i="12"/>
  <c r="FP193" i="12"/>
  <c r="FP119" i="12"/>
  <c r="FP306" i="12"/>
  <c r="FP66" i="12"/>
  <c r="FP155" i="12"/>
  <c r="FP70" i="12"/>
  <c r="FP225" i="12"/>
  <c r="FP204" i="12"/>
  <c r="FP272" i="12"/>
  <c r="FP378" i="12"/>
  <c r="FP233" i="12"/>
  <c r="FP178" i="12"/>
  <c r="FP36" i="12"/>
  <c r="FP160" i="12"/>
  <c r="FP351" i="12"/>
  <c r="FP353" i="12"/>
  <c r="FP11" i="12"/>
  <c r="FP17" i="12"/>
  <c r="FP249" i="12"/>
  <c r="FP99" i="12"/>
  <c r="FP370" i="12"/>
  <c r="FP61" i="12"/>
  <c r="FP269" i="12"/>
  <c r="FP387" i="12"/>
  <c r="FP251" i="12"/>
  <c r="FP397" i="12"/>
  <c r="FP176" i="12"/>
  <c r="FP112" i="12"/>
  <c r="FP172" i="12"/>
  <c r="FP139" i="12"/>
  <c r="FP49" i="12"/>
  <c r="FP365" i="12"/>
  <c r="FP349" i="12"/>
  <c r="FP145" i="12"/>
  <c r="FP279" i="12"/>
  <c r="FP137" i="12"/>
  <c r="FP327" i="12"/>
  <c r="FP115" i="12"/>
  <c r="FP157" i="12"/>
  <c r="FP239" i="12"/>
  <c r="FP355" i="12"/>
  <c r="FP254" i="12"/>
  <c r="FP388" i="12"/>
  <c r="FP230" i="12"/>
  <c r="FP218" i="12"/>
  <c r="FP120" i="12"/>
  <c r="FP173" i="12"/>
  <c r="FP195" i="12"/>
  <c r="FP236" i="12"/>
  <c r="FP322" i="12"/>
  <c r="FP197" i="12"/>
  <c r="FP286" i="12"/>
  <c r="FP9" i="12"/>
  <c r="FP394" i="12"/>
  <c r="FP340" i="12"/>
  <c r="FP240" i="12"/>
  <c r="FP302" i="12"/>
  <c r="FP385" i="12"/>
  <c r="FP164" i="12"/>
  <c r="FP93" i="12"/>
  <c r="FP152" i="12"/>
  <c r="FP260" i="12"/>
  <c r="FP102" i="12"/>
  <c r="FP324" i="12"/>
  <c r="FP159" i="12"/>
  <c r="FP147" i="12"/>
  <c r="FP182" i="12"/>
  <c r="FP228" i="12"/>
  <c r="FP200" i="12"/>
  <c r="FP181" i="12"/>
  <c r="FP146" i="12"/>
  <c r="FP57" i="12"/>
  <c r="FP34" i="12"/>
  <c r="FP253" i="12"/>
  <c r="FP289" i="12"/>
  <c r="FP90" i="12"/>
  <c r="FP335" i="12"/>
  <c r="FP69" i="12"/>
  <c r="FP170" i="12"/>
  <c r="FP43" i="12"/>
  <c r="FP151" i="12"/>
  <c r="FP3" i="12"/>
  <c r="FP5" i="12" s="1"/>
  <c r="BA45" i="12"/>
  <c r="AZ45" i="12" s="1"/>
  <c r="BA79" i="12"/>
  <c r="AZ79" i="12" s="1"/>
  <c r="BC22" i="12"/>
  <c r="BC90" i="12"/>
  <c r="DY71" i="12"/>
  <c r="BG329" i="12"/>
  <c r="BC80" i="12"/>
  <c r="BA87" i="12"/>
  <c r="AZ87" i="12" s="1"/>
  <c r="BC79" i="12"/>
  <c r="BA85" i="12"/>
  <c r="AZ85" i="12" s="1"/>
  <c r="BA61" i="12"/>
  <c r="AZ61" i="12" s="1"/>
  <c r="DY23" i="12"/>
  <c r="DY43" i="12"/>
  <c r="BA60" i="12"/>
  <c r="AZ60" i="12" s="1"/>
  <c r="DY54" i="12"/>
  <c r="DY91" i="12"/>
  <c r="DY24" i="12"/>
  <c r="BC61" i="12"/>
  <c r="BH293" i="12"/>
  <c r="BJ61" i="12"/>
  <c r="BC24" i="12"/>
  <c r="BA92" i="12"/>
  <c r="AZ92" i="12" s="1"/>
  <c r="BC81" i="12"/>
  <c r="DY34" i="12"/>
  <c r="BG321" i="12"/>
  <c r="BA57" i="12"/>
  <c r="AZ57" i="12" s="1"/>
  <c r="BC62" i="12"/>
  <c r="BA43" i="12"/>
  <c r="AZ43" i="12" s="1"/>
  <c r="BA62" i="12"/>
  <c r="AZ62" i="12" s="1"/>
  <c r="CU47" i="12"/>
  <c r="BJ142" i="12"/>
  <c r="BI36" i="12"/>
  <c r="BG216" i="12"/>
  <c r="BA53" i="12"/>
  <c r="AZ53" i="12" s="1"/>
  <c r="DY58" i="12"/>
  <c r="BI8" i="12"/>
  <c r="BJ66" i="12"/>
  <c r="BI384" i="12"/>
  <c r="BG130" i="12"/>
  <c r="BI270" i="12"/>
  <c r="BA47" i="12"/>
  <c r="AZ47" i="12" s="1"/>
  <c r="BJ219" i="12"/>
  <c r="BG346" i="12"/>
  <c r="BG228" i="12"/>
  <c r="BH330" i="12"/>
  <c r="BI134" i="12"/>
  <c r="BC68" i="12"/>
  <c r="FK3" i="12"/>
  <c r="BG10" i="12"/>
  <c r="BJ76" i="12"/>
  <c r="CU5" i="12"/>
  <c r="BS359" i="12"/>
  <c r="BI5" i="12"/>
  <c r="CU376" i="12"/>
  <c r="BG299" i="12"/>
  <c r="BI100" i="12"/>
  <c r="BH329" i="12"/>
  <c r="BH205" i="12"/>
  <c r="BS357" i="12"/>
  <c r="BG295" i="12"/>
  <c r="BI358" i="12"/>
  <c r="BH361" i="12"/>
  <c r="BJ45" i="12"/>
  <c r="BI337" i="12"/>
  <c r="BG352" i="12"/>
  <c r="BS17" i="12"/>
  <c r="BJ165" i="12"/>
  <c r="BA26" i="12"/>
  <c r="AZ26" i="12" s="1"/>
  <c r="BH57" i="12"/>
  <c r="BJ312" i="12"/>
  <c r="BG236" i="12"/>
  <c r="BJ326" i="12"/>
  <c r="BJ393" i="12"/>
  <c r="BH256" i="12"/>
  <c r="BJ27" i="12"/>
  <c r="BH239" i="12"/>
  <c r="BS5" i="12"/>
  <c r="BI52" i="12"/>
  <c r="BH237" i="12"/>
  <c r="CU356" i="12"/>
  <c r="BG207" i="12"/>
  <c r="BI119" i="12"/>
  <c r="BI187" i="12"/>
  <c r="BJ374" i="12"/>
  <c r="BI379" i="12"/>
  <c r="BG245" i="12"/>
  <c r="BJ7" i="12"/>
  <c r="BG7" i="12"/>
  <c r="BH255" i="12"/>
  <c r="BS362" i="12"/>
  <c r="BI345" i="12"/>
  <c r="BS391" i="12"/>
  <c r="BJ266" i="12"/>
  <c r="BG222" i="12"/>
  <c r="CU329" i="12"/>
  <c r="BJ343" i="12"/>
  <c r="BH280" i="12"/>
  <c r="BI376" i="12"/>
  <c r="BG85" i="12"/>
  <c r="CU350" i="12"/>
  <c r="BG214" i="12"/>
  <c r="BI16" i="12"/>
  <c r="BI18" i="12"/>
  <c r="BJ363" i="12"/>
  <c r="CU333" i="12"/>
  <c r="BI344" i="12"/>
  <c r="BG296" i="12"/>
  <c r="BI342" i="12"/>
  <c r="BG253" i="12"/>
  <c r="BI17" i="12"/>
  <c r="BH61" i="12"/>
  <c r="BG138" i="12"/>
  <c r="BH343" i="12"/>
  <c r="BS317" i="12"/>
  <c r="DY56" i="12"/>
  <c r="DY53" i="12"/>
  <c r="BA80" i="12"/>
  <c r="AZ80" i="12" s="1"/>
  <c r="BC46" i="12"/>
  <c r="BA50" i="12"/>
  <c r="AZ50" i="12" s="1"/>
  <c r="BA31" i="12"/>
  <c r="AZ31" i="12" s="1"/>
  <c r="BH298" i="12"/>
  <c r="BH43" i="12"/>
  <c r="BJ52" i="12"/>
  <c r="BJ365" i="12"/>
  <c r="BH306" i="12"/>
  <c r="BI160" i="12"/>
  <c r="BJ265" i="12"/>
  <c r="CU323" i="12"/>
  <c r="BH339" i="12"/>
  <c r="BG302" i="12"/>
  <c r="BI55" i="12"/>
  <c r="BJ281" i="12"/>
  <c r="BG237" i="12"/>
  <c r="BI28" i="12"/>
  <c r="BI269" i="12"/>
  <c r="BH249" i="12"/>
  <c r="BI133" i="12"/>
  <c r="BS342" i="12"/>
  <c r="BH204" i="12"/>
  <c r="BH312" i="12"/>
  <c r="BH358" i="12"/>
  <c r="BG160" i="12"/>
  <c r="BG177" i="12"/>
  <c r="BI122" i="12"/>
  <c r="BS388" i="12"/>
  <c r="CU17" i="12"/>
  <c r="BG310" i="12"/>
  <c r="BJ258" i="12"/>
  <c r="BH271" i="12"/>
  <c r="BI333" i="12"/>
  <c r="BH267" i="12"/>
  <c r="BG263" i="12"/>
  <c r="BI385" i="12"/>
  <c r="BI40" i="12"/>
  <c r="BJ42" i="12"/>
  <c r="BH265" i="12"/>
  <c r="BG46" i="12"/>
  <c r="BH324" i="12"/>
  <c r="CU384" i="12"/>
  <c r="BI388" i="12"/>
  <c r="BH65" i="12"/>
  <c r="BH67" i="12" s="1"/>
  <c r="BH279" i="12"/>
  <c r="BI104" i="12"/>
  <c r="BI343" i="12"/>
  <c r="BS312" i="12"/>
  <c r="BH8" i="12"/>
  <c r="CU345" i="12"/>
  <c r="BS387" i="12"/>
  <c r="BG381" i="12"/>
  <c r="CU390" i="12"/>
  <c r="BJ159" i="12"/>
  <c r="BH283" i="12"/>
  <c r="BJ304" i="12"/>
  <c r="BI374" i="12"/>
  <c r="BG250" i="12"/>
  <c r="BJ367" i="12"/>
  <c r="BG197" i="12"/>
  <c r="BG156" i="12"/>
  <c r="BJ4" i="12"/>
  <c r="BH355" i="12"/>
  <c r="BI152" i="12"/>
  <c r="BJ23" i="12"/>
  <c r="BI29" i="12"/>
  <c r="BG62" i="12"/>
  <c r="BH276" i="12"/>
  <c r="BS323" i="12"/>
  <c r="CU373" i="12"/>
  <c r="BI324" i="12"/>
  <c r="BH181" i="12"/>
  <c r="BG83" i="12"/>
  <c r="BI341" i="12"/>
  <c r="DY18" i="12"/>
  <c r="BJ339" i="12"/>
  <c r="BI305" i="12"/>
  <c r="BG324" i="12"/>
  <c r="BS393" i="12"/>
  <c r="BI62" i="12"/>
  <c r="BH36" i="12"/>
  <c r="BH321" i="12"/>
  <c r="BC77" i="12"/>
  <c r="DY74" i="12"/>
  <c r="BA15" i="12"/>
  <c r="AZ15" i="12" s="1"/>
  <c r="BC86" i="12"/>
  <c r="BC84" i="12"/>
  <c r="BA84" i="12"/>
  <c r="AZ84" i="12" s="1"/>
  <c r="DY86" i="12"/>
  <c r="BA19" i="12"/>
  <c r="AZ19" i="12" s="1"/>
  <c r="BG273" i="12"/>
  <c r="CU10" i="12"/>
  <c r="BH15" i="12"/>
  <c r="CU361" i="12"/>
  <c r="BH295" i="12"/>
  <c r="BI3" i="12"/>
  <c r="BJ380" i="12"/>
  <c r="CU332" i="12"/>
  <c r="BS376" i="12"/>
  <c r="BI103" i="12"/>
  <c r="BJ238" i="12"/>
  <c r="BG47" i="12"/>
  <c r="BG339" i="12"/>
  <c r="BS371" i="12"/>
  <c r="BJ356" i="12"/>
  <c r="BS368" i="12"/>
  <c r="BI368" i="12"/>
  <c r="BJ57" i="12"/>
  <c r="BG82" i="12"/>
  <c r="BI392" i="12"/>
  <c r="BI60" i="12"/>
  <c r="BG233" i="12"/>
  <c r="BI58" i="12"/>
  <c r="BJ81" i="12"/>
  <c r="CU336" i="12"/>
  <c r="BJ400" i="12"/>
  <c r="BI73" i="12"/>
  <c r="CU327" i="12"/>
  <c r="CU398" i="12"/>
  <c r="BS305" i="12"/>
  <c r="BH287" i="12"/>
  <c r="BH397" i="12"/>
  <c r="BH240" i="12"/>
  <c r="BG215" i="12"/>
  <c r="BJ260" i="12"/>
  <c r="BI110" i="12"/>
  <c r="BH7" i="12"/>
  <c r="CU371" i="12"/>
  <c r="BI316" i="12"/>
  <c r="BJ307" i="12"/>
  <c r="BG4" i="12"/>
  <c r="BI61" i="12"/>
  <c r="BI338" i="12"/>
  <c r="BG400" i="12"/>
  <c r="BJ6" i="12"/>
  <c r="BJ63" i="12"/>
  <c r="CU43" i="12"/>
  <c r="BI292" i="12"/>
  <c r="CU3" i="12"/>
  <c r="CU4" i="12" s="1"/>
  <c r="BA68" i="12"/>
  <c r="AZ68" i="12" s="1"/>
  <c r="BS361" i="12"/>
  <c r="BI34" i="12"/>
  <c r="BJ50" i="12"/>
  <c r="BJ56" i="12"/>
  <c r="BG347" i="12"/>
  <c r="BI375" i="12"/>
  <c r="BI81" i="12"/>
  <c r="BG209" i="12"/>
  <c r="BG65" i="12"/>
  <c r="BG307" i="12"/>
  <c r="BJ99" i="12"/>
  <c r="BG210" i="12"/>
  <c r="BG285" i="12"/>
  <c r="CU346" i="12"/>
  <c r="BH11" i="12"/>
  <c r="BI92" i="12"/>
  <c r="BH275" i="12"/>
  <c r="BJ322" i="12"/>
  <c r="BJ130" i="12"/>
  <c r="BS375" i="12"/>
  <c r="BS379" i="12"/>
  <c r="BH210" i="12"/>
  <c r="BG232" i="12"/>
  <c r="BG227" i="12"/>
  <c r="BH373" i="12"/>
  <c r="BJ97" i="12"/>
  <c r="BH284" i="12"/>
  <c r="BH216" i="12"/>
  <c r="BH196" i="12"/>
  <c r="BG243" i="12"/>
  <c r="BS358" i="12"/>
  <c r="BS337" i="12"/>
  <c r="BG382" i="12"/>
  <c r="BG86" i="12"/>
  <c r="BI33" i="12"/>
  <c r="BI64" i="12"/>
  <c r="CU383" i="12"/>
  <c r="BI20" i="12"/>
  <c r="BH54" i="12"/>
  <c r="BJ119" i="12"/>
  <c r="BI381" i="12"/>
  <c r="BJ67" i="12"/>
  <c r="CU337" i="12"/>
  <c r="BJ105" i="12"/>
  <c r="BS340" i="12"/>
  <c r="BG176" i="12"/>
  <c r="BH323" i="12"/>
  <c r="BJ21" i="12"/>
  <c r="BJ147" i="12"/>
  <c r="BH297" i="12"/>
  <c r="BG272" i="12"/>
  <c r="DY77" i="12"/>
  <c r="DY65" i="12"/>
  <c r="BC47" i="12"/>
  <c r="DY50" i="12"/>
  <c r="BA17" i="12"/>
  <c r="AZ17" i="12" s="1"/>
  <c r="BA35" i="12"/>
  <c r="AZ35" i="12" s="1"/>
  <c r="BA59" i="12"/>
  <c r="AZ59" i="12" s="1"/>
  <c r="BS10" i="12"/>
  <c r="BC27" i="12"/>
  <c r="BH393" i="12"/>
  <c r="BI35" i="12"/>
  <c r="BG204" i="12"/>
  <c r="BG394" i="12"/>
  <c r="BG380" i="12"/>
  <c r="BG186" i="12"/>
  <c r="BI370" i="12"/>
  <c r="BS383" i="12"/>
  <c r="BJ19" i="12"/>
  <c r="BJ48" i="12"/>
  <c r="BI93" i="12"/>
  <c r="BI123" i="12"/>
  <c r="BI323" i="12"/>
  <c r="BI143" i="12"/>
  <c r="BI82" i="12"/>
  <c r="BG283" i="12"/>
  <c r="BI79" i="12"/>
  <c r="BH13" i="12"/>
  <c r="BG314" i="12"/>
  <c r="BJ84" i="12"/>
  <c r="BS365" i="12"/>
  <c r="CU394" i="12"/>
  <c r="CU392" i="12"/>
  <c r="BJ350" i="12"/>
  <c r="BJ271" i="12"/>
  <c r="BG212" i="12"/>
  <c r="BS343" i="12"/>
  <c r="CU360" i="12"/>
  <c r="BJ65" i="12"/>
  <c r="CU399" i="12"/>
  <c r="BJ69" i="12"/>
  <c r="BI78" i="12"/>
  <c r="BH336" i="12"/>
  <c r="CU349" i="12"/>
  <c r="BC26" i="12"/>
  <c r="BJ321" i="12"/>
  <c r="BG34" i="12"/>
  <c r="BH42" i="12"/>
  <c r="BI144" i="12"/>
  <c r="BG342" i="12"/>
  <c r="BI336" i="12"/>
  <c r="BH400" i="12"/>
  <c r="BJ342" i="12"/>
  <c r="BI117" i="12"/>
  <c r="BJ100" i="12"/>
  <c r="BS360" i="12"/>
  <c r="BH277" i="12"/>
  <c r="BH246" i="12"/>
  <c r="BH347" i="12"/>
  <c r="BH233" i="12"/>
  <c r="BI84" i="12"/>
  <c r="BJ285" i="12"/>
  <c r="BG357" i="12"/>
  <c r="BI109" i="12"/>
  <c r="BH48" i="12"/>
  <c r="BI7" i="12"/>
  <c r="BG223" i="12"/>
  <c r="BH84" i="12"/>
  <c r="BJ259" i="12"/>
  <c r="BG331" i="12"/>
  <c r="BJ262" i="12"/>
  <c r="BI120" i="12"/>
  <c r="BS270" i="12"/>
  <c r="CU270" i="12"/>
  <c r="BH374" i="12"/>
  <c r="BG248" i="12"/>
  <c r="BJ377" i="12"/>
  <c r="BG384" i="12"/>
  <c r="BS399" i="12"/>
  <c r="BG344" i="12"/>
  <c r="BH346" i="12"/>
  <c r="BG132" i="12"/>
  <c r="BA27" i="12"/>
  <c r="AZ27" i="12" s="1"/>
  <c r="BS333" i="12"/>
  <c r="BG251" i="12"/>
  <c r="BG205" i="12"/>
  <c r="BH200" i="12"/>
  <c r="BH332" i="12"/>
  <c r="BC56" i="12"/>
  <c r="BA39" i="12"/>
  <c r="AZ39" i="12" s="1"/>
  <c r="DY19" i="12"/>
  <c r="BC39" i="12"/>
  <c r="BC59" i="12"/>
  <c r="BA46" i="12"/>
  <c r="AZ46" i="12" s="1"/>
  <c r="BC35" i="12"/>
  <c r="BC15" i="12"/>
  <c r="BA18" i="12"/>
  <c r="AZ18" i="12" s="1"/>
  <c r="BG316" i="12"/>
  <c r="BI37" i="12"/>
  <c r="BI367" i="12"/>
  <c r="BI398" i="12"/>
  <c r="BH241" i="12"/>
  <c r="BJ112" i="12"/>
  <c r="BJ317" i="12"/>
  <c r="BH177" i="12"/>
  <c r="BG297" i="12"/>
  <c r="BJ10" i="12"/>
  <c r="BG257" i="12"/>
  <c r="BG287" i="12"/>
  <c r="BJ224" i="12"/>
  <c r="BH254" i="12"/>
  <c r="BG328" i="12"/>
  <c r="BG284" i="12"/>
  <c r="BI318" i="12"/>
  <c r="BH217" i="12"/>
  <c r="BG336" i="12"/>
  <c r="BI97" i="12"/>
  <c r="BJ261" i="12"/>
  <c r="BJ330" i="12"/>
  <c r="BG142" i="12"/>
  <c r="BG288" i="12"/>
  <c r="BH270" i="12"/>
  <c r="BH292" i="12"/>
  <c r="BS366" i="12"/>
  <c r="BH250" i="12"/>
  <c r="BH353" i="12"/>
  <c r="BG149" i="12"/>
  <c r="BG385" i="12"/>
  <c r="BS370" i="12"/>
  <c r="CU387" i="12"/>
  <c r="BH223" i="12"/>
  <c r="BH207" i="12"/>
  <c r="DY32" i="12"/>
  <c r="DY89" i="12"/>
  <c r="BA30" i="12"/>
  <c r="AZ30" i="12" s="1"/>
  <c r="BA93" i="12"/>
  <c r="AZ93" i="12" s="1"/>
  <c r="BG254" i="12"/>
  <c r="BH25" i="12"/>
  <c r="BG389" i="12"/>
  <c r="BH213" i="12"/>
  <c r="BI112" i="12"/>
  <c r="BG292" i="12"/>
  <c r="BJ244" i="12"/>
  <c r="BI291" i="12"/>
  <c r="BJ382" i="12"/>
  <c r="BI377" i="12"/>
  <c r="BJ176" i="12"/>
  <c r="BI83" i="12"/>
  <c r="BS348" i="12"/>
  <c r="BH220" i="12"/>
  <c r="BJ20" i="12"/>
  <c r="BG340" i="12"/>
  <c r="BI42" i="12"/>
  <c r="BJ36" i="12"/>
  <c r="BI321" i="12"/>
  <c r="BG134" i="12"/>
  <c r="BC16" i="12"/>
  <c r="BG356" i="12"/>
  <c r="BI315" i="12"/>
  <c r="CU366" i="12"/>
  <c r="BH9" i="12"/>
  <c r="BS328" i="12"/>
  <c r="BI329" i="12"/>
  <c r="BG128" i="12"/>
  <c r="BI11" i="12"/>
  <c r="BH341" i="12"/>
  <c r="BJ239" i="12"/>
  <c r="BJ359" i="12"/>
  <c r="BH160" i="12"/>
  <c r="BG320" i="12"/>
  <c r="BI31" i="12"/>
  <c r="BG225" i="12"/>
  <c r="BI19" i="12"/>
  <c r="BJ391" i="12"/>
  <c r="BJ3" i="12"/>
  <c r="BJ83" i="12"/>
  <c r="BJ64" i="12"/>
  <c r="BI50" i="12"/>
  <c r="BH365" i="12"/>
  <c r="BJ78" i="12"/>
  <c r="BH190" i="12"/>
  <c r="BH359" i="12"/>
  <c r="BC63" i="12"/>
  <c r="BG43" i="12"/>
  <c r="BI395" i="12"/>
  <c r="BH230" i="12"/>
  <c r="BS372" i="12"/>
  <c r="BH376" i="12"/>
  <c r="BI359" i="12"/>
  <c r="BI393" i="12"/>
  <c r="BJ300" i="12"/>
  <c r="BG247" i="12"/>
  <c r="BG195" i="12"/>
  <c r="CU353" i="12"/>
  <c r="BS352" i="12"/>
  <c r="BJ75" i="12"/>
  <c r="BJ72" i="12"/>
  <c r="DY42" i="12"/>
  <c r="DY85" i="12"/>
  <c r="BJ163" i="12"/>
  <c r="BG147" i="12"/>
  <c r="BI107" i="12"/>
  <c r="BG159" i="12"/>
  <c r="BI326" i="12"/>
  <c r="BG271" i="12"/>
  <c r="BJ338" i="12"/>
  <c r="BG194" i="12"/>
  <c r="BJ246" i="12"/>
  <c r="BJ248" i="12"/>
  <c r="BJ336" i="12"/>
  <c r="BG136" i="12"/>
  <c r="BS374" i="12"/>
  <c r="BH194" i="12"/>
  <c r="BG157" i="12"/>
  <c r="BI45" i="12"/>
  <c r="BJ158" i="12"/>
  <c r="BG270" i="12"/>
  <c r="BI32" i="12"/>
  <c r="BH360" i="12"/>
  <c r="BJ33" i="12"/>
  <c r="BS384" i="12"/>
  <c r="CU358" i="12"/>
  <c r="BJ230" i="12"/>
  <c r="BJ332" i="12"/>
  <c r="BH24" i="12"/>
  <c r="BH49" i="12"/>
  <c r="BJ74" i="12"/>
  <c r="BG224" i="12"/>
  <c r="FK67" i="12"/>
  <c r="FK326" i="12"/>
  <c r="FK384" i="12"/>
  <c r="FK221" i="12"/>
  <c r="FK295" i="12"/>
  <c r="FK103" i="12"/>
  <c r="FK70" i="12"/>
  <c r="FK238" i="12"/>
  <c r="FK334" i="12"/>
  <c r="FK206" i="12"/>
  <c r="FK268" i="12"/>
  <c r="FK299" i="12"/>
  <c r="FK250" i="12"/>
  <c r="FK97" i="12"/>
  <c r="FK130" i="12"/>
  <c r="FK242" i="12"/>
  <c r="FK156" i="12"/>
  <c r="FK195" i="12"/>
  <c r="FK179" i="12"/>
  <c r="FK218" i="12"/>
  <c r="FK65" i="12"/>
  <c r="FK50" i="12"/>
  <c r="FK386" i="12"/>
  <c r="FK235" i="12"/>
  <c r="FK360" i="12"/>
  <c r="FK363" i="12"/>
  <c r="FK196" i="12"/>
  <c r="FK23" i="12"/>
  <c r="FK383" i="12"/>
  <c r="FK201" i="12"/>
  <c r="FK167" i="12"/>
  <c r="FK266" i="12"/>
  <c r="FK61" i="12"/>
  <c r="FK397" i="12"/>
  <c r="FK17" i="12"/>
  <c r="FK249" i="12"/>
  <c r="FK66" i="12"/>
  <c r="FK93" i="12"/>
  <c r="FK124" i="12"/>
  <c r="FK286" i="12"/>
  <c r="FK316" i="12"/>
  <c r="FK92" i="12"/>
  <c r="FK98" i="12"/>
  <c r="FK88" i="12"/>
  <c r="FK178" i="12"/>
  <c r="FK335" i="12"/>
  <c r="FK237" i="12"/>
  <c r="FK231" i="12"/>
  <c r="FK104" i="12"/>
  <c r="FK184" i="12"/>
  <c r="FK27" i="12"/>
  <c r="FK203" i="12"/>
  <c r="FK230" i="12"/>
  <c r="FK13" i="12"/>
  <c r="FK209" i="12"/>
  <c r="FK193" i="12"/>
  <c r="FK271" i="12"/>
  <c r="FK181" i="12"/>
  <c r="FK290" i="12"/>
  <c r="FK81" i="12"/>
  <c r="FK40" i="12"/>
  <c r="FK30" i="12"/>
  <c r="FK369" i="12"/>
  <c r="FK215" i="12"/>
  <c r="FK303" i="12"/>
  <c r="FK159" i="12"/>
  <c r="FK376" i="12"/>
  <c r="FK80" i="12"/>
  <c r="FK396" i="12"/>
  <c r="FK239" i="12"/>
  <c r="FK223" i="12"/>
  <c r="FK63" i="12"/>
  <c r="FK247" i="12"/>
  <c r="FK152" i="12"/>
  <c r="FK51" i="12"/>
  <c r="FK317" i="12"/>
  <c r="FK345" i="12"/>
  <c r="FK245" i="12"/>
  <c r="FK287" i="12"/>
  <c r="FK275" i="12"/>
  <c r="FK31" i="12"/>
  <c r="FK89" i="12"/>
  <c r="FK9" i="12"/>
  <c r="FK277" i="12"/>
  <c r="FK198" i="12"/>
  <c r="FK11" i="12"/>
  <c r="FK173" i="12"/>
  <c r="FK281" i="12"/>
  <c r="FK143" i="12"/>
  <c r="FK329" i="12"/>
  <c r="FK313" i="12"/>
  <c r="FK160" i="12"/>
  <c r="FK52" i="12"/>
  <c r="FK134" i="12"/>
  <c r="FK225" i="12"/>
  <c r="FK34" i="12"/>
  <c r="FK323" i="12"/>
  <c r="FK158" i="12"/>
  <c r="FK7" i="12"/>
  <c r="BI24" i="12"/>
  <c r="BG190" i="12"/>
  <c r="BH268" i="12"/>
  <c r="BA51" i="12"/>
  <c r="AZ51" i="12" s="1"/>
  <c r="DY31" i="12"/>
  <c r="BC65" i="12"/>
  <c r="FK282" i="12"/>
  <c r="FK170" i="12"/>
  <c r="FK214" i="12"/>
  <c r="FK391" i="12"/>
  <c r="FK110" i="12"/>
  <c r="FK48" i="12"/>
  <c r="FK148" i="12"/>
  <c r="FK38" i="12"/>
  <c r="FK342" i="12"/>
  <c r="FK243" i="12"/>
  <c r="FK296" i="12"/>
  <c r="FK137" i="12"/>
  <c r="FK82" i="12"/>
  <c r="FK300" i="12"/>
  <c r="FK10" i="12"/>
  <c r="FK236" i="12"/>
  <c r="FK33" i="12"/>
  <c r="FK293" i="12"/>
  <c r="FK219" i="12"/>
  <c r="FK118" i="12"/>
  <c r="FK202" i="12"/>
  <c r="FK166" i="12"/>
  <c r="FK227" i="12"/>
  <c r="FK229" i="12"/>
  <c r="FK321" i="12"/>
  <c r="FK29" i="12"/>
  <c r="FK53" i="12"/>
  <c r="FK60" i="12"/>
  <c r="FK372" i="12"/>
  <c r="FK207" i="12"/>
  <c r="FK109" i="12"/>
  <c r="FK162" i="12"/>
  <c r="FK234" i="12"/>
  <c r="FK56" i="12"/>
  <c r="FK274" i="12"/>
  <c r="FK288" i="12"/>
  <c r="FK283" i="12"/>
  <c r="FK400" i="12"/>
  <c r="FK269" i="12"/>
  <c r="FK398" i="12"/>
  <c r="FK182" i="12"/>
  <c r="FK390" i="12"/>
  <c r="FK354" i="12"/>
  <c r="FK336" i="12"/>
  <c r="FK257" i="12"/>
  <c r="FK362" i="12"/>
  <c r="FK55" i="12"/>
  <c r="FK122" i="12"/>
  <c r="FK389" i="12"/>
  <c r="FK87" i="12"/>
  <c r="FK39" i="12"/>
  <c r="FK42" i="12"/>
  <c r="FK370" i="12"/>
  <c r="FK73" i="12"/>
  <c r="FK142" i="12"/>
  <c r="FK332" i="12"/>
  <c r="FK59" i="12"/>
  <c r="FK388" i="12"/>
  <c r="FK85" i="12"/>
  <c r="FK310" i="12"/>
  <c r="FK153" i="12"/>
  <c r="FK16" i="12"/>
  <c r="FK18" i="12"/>
  <c r="FK261" i="12"/>
  <c r="FK44" i="12"/>
  <c r="FK83" i="12"/>
  <c r="FK47" i="12"/>
  <c r="FK14" i="12"/>
  <c r="FK120" i="12"/>
  <c r="FK111" i="12"/>
  <c r="FK123" i="12"/>
  <c r="FK37" i="12"/>
  <c r="FK145" i="12"/>
  <c r="FK255" i="12"/>
  <c r="FK308" i="12"/>
  <c r="FK311" i="12"/>
  <c r="FK8" i="12"/>
  <c r="FK355" i="12"/>
  <c r="FK105" i="12"/>
  <c r="FK125" i="12"/>
  <c r="FK186" i="12"/>
  <c r="FK113" i="12"/>
  <c r="FK154" i="12"/>
  <c r="FK132" i="12"/>
  <c r="FK366" i="12"/>
  <c r="FK163" i="12"/>
  <c r="FK12" i="12"/>
  <c r="FK377" i="12"/>
  <c r="FK26" i="12"/>
  <c r="FK99" i="12"/>
  <c r="FK94" i="12"/>
  <c r="FK95" i="12"/>
  <c r="FK32" i="12"/>
  <c r="FK263" i="12"/>
  <c r="FK224" i="12"/>
  <c r="FK86" i="12"/>
  <c r="FK294" i="12"/>
  <c r="FK305" i="12"/>
  <c r="FK302" i="12"/>
  <c r="FK351" i="12"/>
  <c r="FK96" i="12"/>
  <c r="FK228" i="12"/>
  <c r="FK280" i="12"/>
  <c r="FK248" i="12"/>
  <c r="FK222" i="12"/>
  <c r="FK49" i="12"/>
  <c r="FK20" i="12"/>
  <c r="FK267" i="12"/>
  <c r="FK68" i="12"/>
  <c r="FK318" i="12"/>
  <c r="FK64" i="12"/>
  <c r="FK139" i="12"/>
  <c r="FK112" i="12"/>
  <c r="FK279" i="12"/>
  <c r="FK364" i="12"/>
  <c r="FK319" i="12"/>
  <c r="FK24" i="12"/>
  <c r="FK135" i="12"/>
  <c r="FK133" i="12"/>
  <c r="FK43" i="12"/>
  <c r="FK79" i="12"/>
  <c r="FK252" i="12"/>
  <c r="FK77" i="12"/>
  <c r="FK241" i="12"/>
  <c r="FK101" i="12"/>
  <c r="FK57" i="12"/>
  <c r="FK78" i="12"/>
  <c r="FK292" i="12"/>
  <c r="FK387" i="12"/>
  <c r="FK204" i="12"/>
  <c r="FK256" i="12"/>
  <c r="FK244" i="12"/>
  <c r="FK393" i="12"/>
  <c r="FK84" i="12"/>
  <c r="FK197" i="12"/>
  <c r="FK191" i="12"/>
  <c r="FK72" i="12"/>
  <c r="FK194" i="12"/>
  <c r="FK358" i="12"/>
  <c r="FK253" i="12"/>
  <c r="FK327" i="12"/>
  <c r="FK353" i="12"/>
  <c r="FK213" i="12"/>
  <c r="FK176" i="12"/>
  <c r="FK172" i="12"/>
  <c r="FK284" i="12"/>
  <c r="FK46" i="12"/>
  <c r="FK199" i="12"/>
  <c r="FK36" i="12"/>
  <c r="FK90" i="12"/>
  <c r="FK374" i="12"/>
  <c r="FK187" i="12"/>
  <c r="FK264" i="12"/>
  <c r="FK309" i="12"/>
  <c r="FK399" i="12"/>
  <c r="FK368" i="12"/>
  <c r="FK270" i="12"/>
  <c r="FK220" i="12"/>
  <c r="FK394" i="12"/>
  <c r="FK291" i="12"/>
  <c r="FK314" i="12"/>
  <c r="FK15" i="12"/>
  <c r="FK357" i="12"/>
  <c r="FK141" i="12"/>
  <c r="FK127" i="12"/>
  <c r="FK210" i="12"/>
  <c r="FK341" i="12"/>
  <c r="FK171" i="12"/>
  <c r="FK276" i="12"/>
  <c r="FK212" i="12"/>
  <c r="FK208" i="12"/>
  <c r="FK301" i="12"/>
  <c r="FK175" i="12"/>
  <c r="FK375" i="12"/>
  <c r="FK129" i="12"/>
  <c r="FK304" i="12"/>
  <c r="FK378" i="12"/>
  <c r="FK151" i="12"/>
  <c r="FK205" i="12"/>
  <c r="FK22" i="12"/>
  <c r="FK352" i="12"/>
  <c r="FK338" i="12"/>
  <c r="FK106" i="12"/>
  <c r="FK333" i="12"/>
  <c r="FK331" i="12"/>
  <c r="FK361" i="12"/>
  <c r="FK306" i="12"/>
  <c r="FK216" i="12"/>
  <c r="FK21" i="12"/>
  <c r="FK76" i="12"/>
  <c r="FK25" i="12"/>
  <c r="FK107" i="12"/>
  <c r="FK346" i="12"/>
  <c r="FK373" i="12"/>
  <c r="FK347" i="12"/>
  <c r="FK75" i="12"/>
  <c r="FK371" i="12"/>
  <c r="BG40" i="12"/>
  <c r="FK343" i="12"/>
  <c r="FK62" i="12"/>
  <c r="FK356" i="12"/>
  <c r="FK285" i="12"/>
  <c r="FK35" i="12"/>
  <c r="FK74" i="12"/>
  <c r="FK330" i="12"/>
  <c r="FK177" i="12"/>
  <c r="FK272" i="12"/>
  <c r="FK165" i="12"/>
  <c r="FK185" i="12"/>
  <c r="FK217" i="12"/>
  <c r="FK183" i="12"/>
  <c r="FK262" i="12"/>
  <c r="FK297" i="12"/>
  <c r="FK258" i="12"/>
  <c r="FK114" i="12"/>
  <c r="FK315" i="12"/>
  <c r="FK312" i="12"/>
  <c r="FK45" i="12"/>
  <c r="FK189" i="12"/>
  <c r="FK140" i="12"/>
  <c r="FK169" i="12"/>
  <c r="FK260" i="12"/>
  <c r="FK381" i="12"/>
  <c r="FK240" i="12"/>
  <c r="FK278" i="12"/>
  <c r="FK348" i="12"/>
  <c r="FK192" i="12"/>
  <c r="FK116" i="12"/>
  <c r="FK91" i="12"/>
  <c r="FK54" i="12"/>
  <c r="FK226" i="12"/>
  <c r="FK157" i="12"/>
  <c r="FK344" i="12"/>
  <c r="FK233" i="12"/>
  <c r="FK350" i="12"/>
  <c r="FK211" i="12"/>
  <c r="FK325" i="12"/>
  <c r="FK339" i="12"/>
  <c r="FK200" i="12"/>
  <c r="FK149" i="12"/>
  <c r="FK119" i="12"/>
  <c r="FK144" i="12"/>
  <c r="FK273" i="12"/>
  <c r="FK168" i="12"/>
  <c r="FK337" i="12"/>
  <c r="FK289" i="12"/>
  <c r="FK190" i="12"/>
  <c r="FK259" i="12"/>
  <c r="FK328" i="12"/>
  <c r="FK150" i="12"/>
  <c r="FK136" i="12"/>
  <c r="FK307" i="12"/>
  <c r="FK349" i="12"/>
  <c r="FK340" i="12"/>
  <c r="FK131" i="12"/>
  <c r="FK161" i="12"/>
  <c r="FK138" i="12"/>
  <c r="FK102" i="12"/>
  <c r="FK174" i="12"/>
  <c r="FK115" i="12"/>
  <c r="FK164" i="12"/>
  <c r="FK385" i="12"/>
  <c r="FK128" i="12"/>
  <c r="FK108" i="12"/>
  <c r="FK71" i="12"/>
  <c r="FK180" i="12"/>
  <c r="FK100" i="12"/>
  <c r="FK246" i="12"/>
  <c r="FK28" i="12"/>
  <c r="FK392" i="12"/>
  <c r="FK382" i="12"/>
  <c r="FK322" i="12"/>
  <c r="FK58" i="12"/>
  <c r="FK155" i="12"/>
  <c r="FK41" i="12"/>
  <c r="FK117" i="12"/>
  <c r="FK359" i="12"/>
  <c r="FK380" i="12"/>
  <c r="FK320" i="12"/>
  <c r="FK367" i="12"/>
  <c r="FK395" i="12"/>
  <c r="FK365" i="12"/>
  <c r="FK146" i="12"/>
  <c r="FK126" i="12"/>
  <c r="FK147" i="12"/>
  <c r="FK379" i="12"/>
  <c r="FK251" i="12"/>
  <c r="FK121" i="12"/>
  <c r="FK254" i="12"/>
  <c r="FK265" i="12"/>
  <c r="FK324" i="12"/>
  <c r="FK232" i="12"/>
  <c r="FK298" i="12"/>
  <c r="FK69" i="12"/>
  <c r="FK19" i="12"/>
  <c r="FK188" i="12"/>
  <c r="BJ287" i="12"/>
  <c r="BH176" i="12"/>
  <c r="BG282" i="12"/>
  <c r="BJ269" i="12"/>
  <c r="BH368" i="12"/>
  <c r="BJ58" i="12"/>
  <c r="BJ347" i="12"/>
  <c r="BG370" i="12"/>
  <c r="BI268" i="12"/>
  <c r="BH234" i="12"/>
  <c r="BG277" i="12"/>
  <c r="BI335" i="12"/>
  <c r="BG202" i="12"/>
  <c r="BI69" i="12"/>
  <c r="BG199" i="12"/>
  <c r="BI113" i="12"/>
  <c r="BJ122" i="12"/>
  <c r="BI87" i="12"/>
  <c r="CU372" i="12"/>
  <c r="BG208" i="12"/>
  <c r="BJ352" i="12"/>
  <c r="BG395" i="12"/>
  <c r="BJ116" i="12"/>
  <c r="BI57" i="12"/>
  <c r="BH224" i="12"/>
  <c r="BS380" i="12"/>
  <c r="CU342" i="12"/>
  <c r="BH386" i="12"/>
  <c r="BJ162" i="12"/>
  <c r="BJ44" i="12"/>
  <c r="BH259" i="12"/>
  <c r="CU378" i="12"/>
  <c r="BS394" i="12"/>
  <c r="BS390" i="12"/>
  <c r="BJ88" i="12"/>
  <c r="BG258" i="12"/>
  <c r="BJ73" i="12"/>
  <c r="BS318" i="12"/>
  <c r="BJ32" i="12"/>
  <c r="BG235" i="12"/>
  <c r="BS345" i="12"/>
  <c r="BH381" i="12"/>
  <c r="CU395" i="12"/>
  <c r="BJ14" i="12"/>
  <c r="BC55" i="12"/>
  <c r="BH352" i="12"/>
  <c r="DY96" i="12"/>
  <c r="DY72" i="12"/>
  <c r="BC36" i="12"/>
  <c r="BC70" i="12"/>
  <c r="BA63" i="12"/>
  <c r="AZ63" i="12" s="1"/>
  <c r="BG262" i="12"/>
  <c r="BI101" i="12"/>
  <c r="BG332" i="12"/>
  <c r="BS373" i="12"/>
  <c r="BJ29" i="12"/>
  <c r="BS398" i="12"/>
  <c r="BJ113" i="12"/>
  <c r="BS386" i="12"/>
  <c r="BH209" i="12"/>
  <c r="BH301" i="12"/>
  <c r="BJ375" i="12"/>
  <c r="BJ106" i="12"/>
  <c r="BH380" i="12"/>
  <c r="CU381" i="12"/>
  <c r="BG309" i="12"/>
  <c r="BJ26" i="12"/>
  <c r="BI331" i="12"/>
  <c r="BH5" i="12"/>
  <c r="BG289" i="12"/>
  <c r="H204" i="12"/>
  <c r="BS397" i="12"/>
  <c r="BH337" i="12"/>
  <c r="BI327" i="12"/>
  <c r="BG377" i="12"/>
  <c r="BG333" i="12"/>
  <c r="BI49" i="12"/>
  <c r="BH327" i="12"/>
  <c r="BG229" i="12"/>
  <c r="BI102" i="12"/>
  <c r="BI59" i="12"/>
  <c r="BG203" i="12"/>
  <c r="BJ24" i="12"/>
  <c r="BH357" i="12"/>
  <c r="CU370" i="12"/>
  <c r="BJ87" i="12"/>
  <c r="BJ8" i="12"/>
  <c r="BI400" i="12"/>
  <c r="BG266" i="12"/>
  <c r="BJ98" i="12"/>
  <c r="BI126" i="12"/>
  <c r="BG226" i="12"/>
  <c r="BJ85" i="12"/>
  <c r="BJ222" i="12"/>
  <c r="BJ297" i="12"/>
  <c r="BJ358" i="12"/>
  <c r="BA70" i="12"/>
  <c r="AZ70" i="12" s="1"/>
  <c r="CU338" i="12"/>
  <c r="BJ240" i="12"/>
  <c r="BG350" i="12"/>
  <c r="BS336" i="12"/>
  <c r="DY76" i="12"/>
  <c r="BC69" i="12"/>
  <c r="DY30" i="12"/>
  <c r="BC96" i="12"/>
  <c r="BC58" i="12"/>
  <c r="BC82" i="12"/>
  <c r="BH281" i="12"/>
  <c r="BG120" i="12"/>
  <c r="BS350" i="12"/>
  <c r="BG399" i="12"/>
  <c r="BH285" i="12"/>
  <c r="BI27" i="12"/>
  <c r="BH199" i="12"/>
  <c r="BI99" i="12"/>
  <c r="BJ264" i="12"/>
  <c r="BG362" i="12"/>
  <c r="BJ327" i="12"/>
  <c r="BI96" i="12"/>
  <c r="BH64" i="12"/>
  <c r="BG375" i="12"/>
  <c r="BG191" i="12"/>
  <c r="BI397" i="12"/>
  <c r="BJ313" i="12"/>
  <c r="BH261" i="12"/>
  <c r="BI355" i="12"/>
  <c r="BG274" i="12"/>
  <c r="BJ373" i="12"/>
  <c r="BI12" i="12"/>
  <c r="BJ256" i="12"/>
  <c r="BI105" i="12"/>
  <c r="BG367" i="12"/>
  <c r="BG323" i="12"/>
  <c r="BG308" i="12"/>
  <c r="BG153" i="12"/>
  <c r="BG241" i="12"/>
  <c r="BH192" i="12"/>
  <c r="BG327" i="12"/>
  <c r="BG213" i="12"/>
  <c r="BH286" i="12"/>
  <c r="BS363" i="12"/>
  <c r="BH315" i="12"/>
  <c r="BJ55" i="12"/>
  <c r="BI380" i="12"/>
  <c r="BI387" i="12"/>
  <c r="BG311" i="12"/>
  <c r="BA82" i="12"/>
  <c r="AZ82" i="12" s="1"/>
  <c r="BH191" i="12"/>
  <c r="BA55" i="12"/>
  <c r="AZ55" i="12" s="1"/>
  <c r="CU362" i="12"/>
  <c r="DY93" i="12"/>
  <c r="BC76" i="12"/>
  <c r="BC32" i="12"/>
  <c r="BA89" i="12"/>
  <c r="AZ89" i="12" s="1"/>
  <c r="BA72" i="12"/>
  <c r="AZ72" i="12" s="1"/>
  <c r="FK4" i="12"/>
  <c r="BI39" i="12"/>
  <c r="BH377" i="12"/>
  <c r="BH62" i="12"/>
  <c r="BG193" i="12"/>
  <c r="CU324" i="12"/>
  <c r="BH247" i="12"/>
  <c r="BJ47" i="12"/>
  <c r="BH303" i="12"/>
  <c r="BI372" i="12"/>
  <c r="BG267" i="12"/>
  <c r="BJ399" i="12"/>
  <c r="BI310" i="12"/>
  <c r="BJ376" i="12"/>
  <c r="BJ344" i="12"/>
  <c r="BJ123" i="12"/>
  <c r="BI85" i="12"/>
  <c r="BH226" i="12"/>
  <c r="BJ354" i="12"/>
  <c r="BJ394" i="12"/>
  <c r="BG155" i="12"/>
  <c r="BG198" i="12"/>
  <c r="BJ82" i="12"/>
  <c r="BJ295" i="12"/>
  <c r="BJ15" i="12"/>
  <c r="BG14" i="12"/>
  <c r="CU364" i="12"/>
  <c r="BS355" i="12"/>
  <c r="BI328" i="12"/>
  <c r="CU377" i="12"/>
  <c r="BH188" i="12"/>
  <c r="BJ41" i="12"/>
  <c r="BI382" i="12"/>
  <c r="BG218" i="12"/>
  <c r="BH378" i="12"/>
  <c r="BH334" i="12"/>
  <c r="BJ60" i="12"/>
  <c r="BH20" i="12"/>
  <c r="BJ46" i="12"/>
  <c r="BG276" i="12"/>
  <c r="BH338" i="12"/>
  <c r="BI363" i="12"/>
  <c r="BG303" i="12"/>
  <c r="BH316" i="12"/>
  <c r="BI139" i="12"/>
  <c r="BJ315" i="12"/>
  <c r="BG313" i="12"/>
  <c r="BH317" i="12"/>
  <c r="BG234" i="12"/>
  <c r="BH319" i="12"/>
  <c r="BS3" i="12"/>
  <c r="BS4" i="12" s="1"/>
  <c r="BH371" i="12"/>
  <c r="BG201" i="12"/>
  <c r="BJ5" i="12"/>
  <c r="BJ18" i="12"/>
  <c r="BJ340" i="12"/>
  <c r="BH60" i="12"/>
  <c r="CU335" i="12"/>
  <c r="BI350" i="12"/>
  <c r="BH366" i="12"/>
  <c r="BG338" i="12"/>
  <c r="BJ335" i="12"/>
  <c r="BI322" i="12"/>
  <c r="BH206" i="12"/>
  <c r="BI77" i="12"/>
  <c r="BJ40" i="12"/>
  <c r="CU385" i="12"/>
  <c r="CU308" i="12"/>
  <c r="BJ111" i="12"/>
  <c r="BJ49" i="12"/>
  <c r="BG35" i="12"/>
  <c r="BI314" i="12"/>
  <c r="BH80" i="12"/>
  <c r="BH313" i="12"/>
  <c r="BJ316" i="12"/>
  <c r="BS310" i="12"/>
  <c r="BH375" i="12"/>
  <c r="BJ9" i="12"/>
  <c r="BH273" i="12"/>
  <c r="BI25" i="12"/>
  <c r="BI56" i="12"/>
  <c r="BS329" i="12"/>
  <c r="BI51" i="12"/>
  <c r="BI373" i="12"/>
  <c r="BH387" i="12"/>
  <c r="BJ235" i="12"/>
  <c r="BH180" i="12"/>
  <c r="BG240" i="12"/>
  <c r="BH314" i="12"/>
  <c r="BJ13" i="12"/>
  <c r="BS382" i="12"/>
  <c r="BJ154" i="12"/>
  <c r="BJ341" i="12"/>
  <c r="BJ385" i="12"/>
  <c r="BG366" i="12"/>
  <c r="BI21" i="12"/>
  <c r="BI346" i="12"/>
  <c r="BJ390" i="12"/>
  <c r="BI48" i="12"/>
  <c r="BH394" i="12"/>
  <c r="BI317" i="12"/>
  <c r="BI378" i="12"/>
  <c r="BG306" i="12"/>
  <c r="BG397" i="12"/>
  <c r="BJ101" i="12"/>
  <c r="BG135" i="12"/>
  <c r="BG387" i="12"/>
  <c r="BG386" i="12"/>
  <c r="BJ12" i="12"/>
  <c r="BH208" i="12"/>
  <c r="CU380" i="12"/>
  <c r="BG175" i="12"/>
  <c r="BJ92" i="12"/>
  <c r="BJ53" i="12"/>
  <c r="BH4" i="12"/>
  <c r="BJ79" i="12"/>
  <c r="BH392" i="12"/>
  <c r="BH262" i="12"/>
  <c r="BI351" i="12"/>
  <c r="BH390" i="12"/>
  <c r="BJ129" i="12"/>
  <c r="BG31" i="12"/>
  <c r="BG217" i="12"/>
  <c r="BS338" i="12"/>
  <c r="BH253" i="12"/>
  <c r="BG259" i="12"/>
  <c r="BG5" i="12"/>
  <c r="BI125" i="12"/>
  <c r="BG286" i="12"/>
  <c r="BG294" i="12"/>
  <c r="BG364" i="12"/>
  <c r="BG230" i="12"/>
  <c r="BI135" i="12"/>
  <c r="BG261" i="12"/>
  <c r="BG145" i="12"/>
  <c r="BH197" i="12"/>
  <c r="BH252" i="12"/>
  <c r="BH370" i="12"/>
  <c r="BG363" i="12"/>
  <c r="BH304" i="12"/>
  <c r="BI10" i="12"/>
  <c r="BI293" i="12"/>
  <c r="BH349" i="12"/>
  <c r="BI94" i="12"/>
  <c r="BJ108" i="12"/>
  <c r="BH55" i="12"/>
  <c r="BG139" i="12"/>
  <c r="BI357" i="12"/>
  <c r="BH356" i="12"/>
  <c r="BI339" i="12"/>
  <c r="H130" i="12"/>
  <c r="BI80" i="12"/>
  <c r="BJ22" i="12"/>
  <c r="BI6" i="12"/>
  <c r="BG3" i="12"/>
  <c r="BG6" i="12" s="1"/>
  <c r="BG249" i="12"/>
  <c r="CU334" i="12"/>
  <c r="BJ34" i="12"/>
  <c r="BH354" i="12"/>
  <c r="BJ328" i="12"/>
  <c r="BI54" i="12"/>
  <c r="BI76" i="12"/>
  <c r="BJ96" i="12"/>
  <c r="BG137" i="12"/>
  <c r="CU368" i="12"/>
  <c r="BG196" i="12"/>
  <c r="BH175" i="12"/>
  <c r="CU326" i="12"/>
  <c r="BH248" i="12"/>
  <c r="BG388" i="12"/>
  <c r="CU400" i="12"/>
  <c r="BI356" i="12"/>
  <c r="BH221" i="12"/>
  <c r="BG269" i="12"/>
  <c r="BH23" i="12"/>
  <c r="BJ319" i="12"/>
  <c r="BH269" i="12"/>
  <c r="BJ155" i="12"/>
  <c r="BJ51" i="12"/>
  <c r="CU305" i="12"/>
  <c r="BJ213" i="12"/>
  <c r="BJ131" i="12"/>
  <c r="BJ357" i="12"/>
  <c r="BI383" i="12"/>
  <c r="BH364" i="12"/>
  <c r="BS347" i="12"/>
  <c r="CU318" i="12"/>
  <c r="BI108" i="12"/>
  <c r="BG341" i="12"/>
  <c r="BG174" i="12"/>
  <c r="BG154" i="12"/>
  <c r="BJ325" i="12"/>
  <c r="BG244" i="12"/>
  <c r="BH52" i="12"/>
  <c r="BA22" i="12"/>
  <c r="AZ22" i="12" s="1"/>
  <c r="BC54" i="12"/>
  <c r="BC91" i="12"/>
  <c r="DY41" i="12"/>
  <c r="BG275" i="12"/>
  <c r="BA73" i="12"/>
  <c r="AZ73" i="12" s="1"/>
  <c r="BH235" i="12"/>
  <c r="BJ59" i="12"/>
  <c r="BH307" i="12"/>
  <c r="CU367" i="12"/>
  <c r="BS315" i="12"/>
  <c r="BJ231" i="12"/>
  <c r="BJ329" i="12"/>
  <c r="CU312" i="12"/>
  <c r="BG192" i="12"/>
  <c r="BC45" i="12"/>
  <c r="BG376" i="12"/>
  <c r="BH289" i="12"/>
  <c r="BG183" i="12"/>
  <c r="BJ146" i="12"/>
  <c r="BJ109" i="12"/>
  <c r="BS326" i="12"/>
  <c r="CU379" i="12"/>
  <c r="BG131" i="12"/>
  <c r="BG185" i="12"/>
  <c r="BJ355" i="12"/>
  <c r="BG361" i="12"/>
  <c r="BI353" i="12"/>
  <c r="BH211" i="12"/>
  <c r="BH345" i="12"/>
  <c r="CU340" i="12"/>
  <c r="BJ54" i="12"/>
  <c r="BJ94" i="12"/>
  <c r="CU310" i="12"/>
  <c r="BJ311" i="12"/>
  <c r="BG374" i="12"/>
  <c r="BJ120" i="12"/>
  <c r="BJ91" i="12"/>
  <c r="BS378" i="12"/>
  <c r="BH159" i="12"/>
  <c r="BH318" i="12"/>
  <c r="BG18" i="12"/>
  <c r="BJ138" i="12"/>
  <c r="BG317" i="12"/>
  <c r="BH299" i="12"/>
  <c r="CU330" i="12"/>
  <c r="BG268" i="12"/>
  <c r="BG256" i="12"/>
  <c r="BH396" i="12"/>
  <c r="BG293" i="12"/>
  <c r="BJ324" i="12"/>
  <c r="BH372" i="12"/>
  <c r="BJ267" i="12"/>
  <c r="BJ369" i="12"/>
  <c r="BJ362" i="12"/>
  <c r="BH272" i="12"/>
  <c r="BH186" i="12"/>
  <c r="BH344" i="12"/>
  <c r="BH238" i="12"/>
  <c r="BS353" i="12"/>
  <c r="BH311" i="12"/>
  <c r="BJ30" i="12"/>
  <c r="BG17" i="12"/>
  <c r="BH278" i="12"/>
  <c r="BG318" i="12"/>
  <c r="BH331" i="12"/>
  <c r="BS269" i="12"/>
  <c r="CU339" i="12"/>
  <c r="BG281" i="12"/>
  <c r="BG390" i="12"/>
  <c r="BJ366" i="12"/>
  <c r="CU393" i="12"/>
  <c r="BS43" i="12"/>
  <c r="BG391" i="12"/>
  <c r="BS324" i="12"/>
  <c r="BG238" i="12"/>
  <c r="BI308" i="12"/>
  <c r="BI158" i="12"/>
  <c r="BS331" i="12"/>
  <c r="BI95" i="12"/>
  <c r="BJ381" i="12"/>
  <c r="BG379" i="12"/>
  <c r="BG358" i="12"/>
  <c r="BI396" i="12"/>
  <c r="BJ334" i="12"/>
  <c r="BG298" i="12"/>
  <c r="BS332" i="12"/>
  <c r="BJ333" i="12"/>
  <c r="BJ272" i="12"/>
  <c r="BH322" i="12"/>
  <c r="BJ392" i="12"/>
  <c r="BH245" i="12"/>
  <c r="BG300" i="12"/>
  <c r="BI43" i="12"/>
  <c r="BH6" i="12"/>
  <c r="BG220" i="12"/>
  <c r="BH51" i="12"/>
  <c r="BG378" i="12"/>
  <c r="CU317" i="12"/>
  <c r="BG242" i="12"/>
  <c r="BS339" i="12"/>
  <c r="BG353" i="12"/>
  <c r="BJ371" i="12"/>
  <c r="BS351" i="12"/>
  <c r="CU316" i="12"/>
  <c r="BI371" i="12"/>
  <c r="BG140" i="12"/>
  <c r="CU363" i="12"/>
  <c r="BJ364" i="12"/>
  <c r="BG221" i="12"/>
  <c r="BJ35" i="12"/>
  <c r="BH27" i="12"/>
  <c r="BG206" i="12"/>
  <c r="BG184" i="12"/>
  <c r="BJ386" i="12"/>
  <c r="BJ387" i="12"/>
  <c r="BI47" i="12"/>
  <c r="BH302" i="12"/>
  <c r="BH362" i="12"/>
  <c r="BG181" i="12"/>
  <c r="BS367" i="12"/>
  <c r="BS334" i="12"/>
  <c r="BG360" i="12"/>
  <c r="BG337" i="12"/>
  <c r="BH45" i="12"/>
  <c r="BG151" i="12"/>
  <c r="BI111" i="12"/>
  <c r="BH342" i="12"/>
  <c r="CU352" i="12"/>
  <c r="BG343" i="12"/>
  <c r="BI312" i="12"/>
  <c r="BG348" i="12"/>
  <c r="BJ90" i="12"/>
  <c r="BH388" i="12"/>
  <c r="BI68" i="12"/>
  <c r="BG354" i="12"/>
  <c r="BH274" i="12"/>
  <c r="BH242" i="12"/>
  <c r="BI63" i="12"/>
  <c r="BS341" i="12"/>
  <c r="BG312" i="12"/>
  <c r="BJ221" i="12"/>
  <c r="BJ305" i="12"/>
  <c r="BJ236" i="12"/>
  <c r="BI23" i="12"/>
  <c r="BH225" i="12"/>
  <c r="BI26" i="12"/>
  <c r="BJ242" i="12"/>
  <c r="BJ28" i="12"/>
  <c r="BI66" i="12"/>
  <c r="BJ249" i="12"/>
  <c r="BG368" i="12"/>
  <c r="BI116" i="12"/>
  <c r="BJ16" i="12"/>
  <c r="BJ372" i="12"/>
  <c r="BJ389" i="12"/>
  <c r="BJ215" i="12"/>
  <c r="BG319" i="12"/>
  <c r="BH58" i="12"/>
  <c r="BJ309" i="12"/>
  <c r="BH202" i="12"/>
  <c r="BS392" i="12"/>
  <c r="BS322" i="12"/>
  <c r="BS344" i="12"/>
  <c r="BI4" i="12"/>
  <c r="BI361" i="12"/>
  <c r="BJ379" i="12"/>
  <c r="BJ223" i="12"/>
  <c r="BS330" i="12"/>
  <c r="BJ360" i="12"/>
  <c r="BJ234" i="12"/>
  <c r="BG335" i="12"/>
  <c r="BH391" i="12"/>
  <c r="BH214" i="12"/>
  <c r="CU269" i="12"/>
  <c r="BI365" i="12"/>
  <c r="BJ383" i="12"/>
  <c r="BJ164" i="12"/>
  <c r="BI131" i="12"/>
  <c r="BJ345" i="12"/>
  <c r="BJ38" i="12"/>
  <c r="CU331" i="12"/>
  <c r="BJ384" i="12"/>
  <c r="BH379" i="12"/>
  <c r="BJ128" i="12"/>
  <c r="BG37" i="12"/>
  <c r="CU396" i="12"/>
  <c r="BJ378" i="12"/>
  <c r="BS335" i="12"/>
  <c r="BG305" i="12"/>
  <c r="BJ170" i="12"/>
  <c r="BJ397" i="12"/>
  <c r="BI142" i="12"/>
  <c r="BI354" i="12"/>
  <c r="BJ43" i="12"/>
  <c r="BJ37" i="12"/>
  <c r="BG355" i="12"/>
  <c r="BG143" i="12"/>
  <c r="BJ245" i="12"/>
  <c r="BI46" i="12"/>
  <c r="BH266" i="12"/>
  <c r="BJ107" i="12"/>
  <c r="BH291" i="12"/>
  <c r="BG359" i="12"/>
  <c r="CU359" i="12"/>
  <c r="BJ263" i="12"/>
  <c r="BH63" i="12"/>
  <c r="BH50" i="12"/>
  <c r="BH310" i="12"/>
  <c r="CU348" i="12"/>
  <c r="BI369" i="12"/>
  <c r="BG351" i="12"/>
  <c r="BG373" i="12"/>
  <c r="CU355" i="12"/>
  <c r="BJ257" i="12"/>
  <c r="BG372" i="12"/>
  <c r="BH231" i="12"/>
  <c r="BI89" i="12"/>
  <c r="BH335" i="12"/>
  <c r="BI22" i="12"/>
  <c r="BI362" i="12"/>
  <c r="BJ337" i="12"/>
  <c r="BJ318" i="12"/>
  <c r="BG365" i="12"/>
  <c r="BJ346" i="12"/>
  <c r="BG393" i="12"/>
  <c r="BJ95" i="12"/>
  <c r="BS308" i="12"/>
  <c r="CU386" i="12"/>
  <c r="BC20" i="12"/>
  <c r="BI309" i="12"/>
  <c r="BJ220" i="12"/>
  <c r="BG219" i="12"/>
  <c r="BH218" i="12"/>
  <c r="BJ217" i="12"/>
  <c r="DY81" i="12"/>
  <c r="DY21" i="12"/>
  <c r="BC21" i="12"/>
  <c r="BA34" i="12"/>
  <c r="AZ34" i="12" s="1"/>
  <c r="BC67" i="12"/>
  <c r="DY40" i="12"/>
  <c r="BC73" i="12"/>
  <c r="BA40" i="12"/>
  <c r="AZ40" i="12" s="1"/>
  <c r="DY67" i="12"/>
  <c r="BH333" i="12"/>
  <c r="CU315" i="12"/>
  <c r="BG148" i="12"/>
  <c r="BI38" i="12"/>
  <c r="BG246" i="12"/>
  <c r="DY57" i="12"/>
  <c r="BH10" i="12"/>
  <c r="BI389" i="12"/>
  <c r="BH300" i="12"/>
  <c r="BH243" i="12"/>
  <c r="BH290" i="12"/>
  <c r="BG264" i="12"/>
  <c r="BG126" i="12"/>
  <c r="BG291" i="12"/>
  <c r="BJ17" i="12"/>
  <c r="BJ125" i="12"/>
  <c r="BI86" i="12"/>
  <c r="CU365" i="12"/>
  <c r="BH305" i="12"/>
  <c r="BH219" i="12"/>
  <c r="BH389" i="12"/>
  <c r="BJ388" i="12"/>
  <c r="BJ398" i="12"/>
  <c r="BI334" i="12"/>
  <c r="BI399" i="12"/>
  <c r="BG326" i="12"/>
  <c r="BH320" i="12"/>
  <c r="BG152" i="12"/>
  <c r="BI44" i="12"/>
  <c r="BJ102" i="12"/>
  <c r="BG141" i="12"/>
  <c r="BH198" i="12"/>
  <c r="BJ62" i="12"/>
  <c r="BG396" i="12"/>
  <c r="BG252" i="12"/>
  <c r="BG178" i="12"/>
  <c r="BJ11" i="12"/>
  <c r="BJ77" i="12"/>
  <c r="BI347" i="12"/>
  <c r="CU391" i="12"/>
  <c r="BH264" i="12"/>
  <c r="BI88" i="12"/>
  <c r="BS396" i="12"/>
  <c r="BG369" i="12"/>
  <c r="BH350" i="12"/>
  <c r="BS389" i="12"/>
  <c r="BS316" i="12"/>
  <c r="BI75" i="12"/>
  <c r="CU388" i="12"/>
  <c r="BS349" i="12"/>
  <c r="BH294" i="12"/>
  <c r="BI352" i="12"/>
  <c r="BH47" i="12"/>
  <c r="BI74" i="12"/>
  <c r="BH244" i="12"/>
  <c r="BJ110" i="12"/>
  <c r="BI132" i="12"/>
  <c r="BH263" i="12"/>
  <c r="CU344" i="12"/>
  <c r="BG146" i="12"/>
  <c r="CU397" i="12"/>
  <c r="BG200" i="12"/>
  <c r="BI41" i="12"/>
  <c r="BG349" i="12"/>
  <c r="CU309" i="12"/>
  <c r="BH282" i="12"/>
  <c r="BI390" i="12"/>
  <c r="BJ68" i="12"/>
  <c r="CU347" i="12"/>
  <c r="BS385" i="12"/>
  <c r="CU382" i="12"/>
  <c r="BJ348" i="12"/>
  <c r="BG334" i="12"/>
  <c r="BJ361" i="12"/>
  <c r="BJ232" i="12"/>
  <c r="BJ216" i="12"/>
  <c r="BG133" i="12"/>
  <c r="BJ89" i="12"/>
  <c r="BH258" i="12"/>
  <c r="BJ306" i="12"/>
  <c r="BG189" i="12"/>
  <c r="BJ353" i="12"/>
  <c r="BG144" i="12"/>
  <c r="BG383" i="12"/>
  <c r="BG239" i="12"/>
  <c r="BG265" i="12"/>
  <c r="BI65" i="12"/>
  <c r="BG260" i="12"/>
  <c r="BH232" i="12"/>
  <c r="BI13" i="12"/>
  <c r="BG255" i="12"/>
  <c r="BS364" i="12"/>
  <c r="BJ31" i="12"/>
  <c r="BJ166" i="12"/>
  <c r="BH229" i="12"/>
  <c r="BH326" i="12"/>
  <c r="BH17" i="12"/>
  <c r="BH288" i="12"/>
  <c r="BI394" i="12"/>
  <c r="BH18" i="12"/>
  <c r="BJ308" i="12"/>
  <c r="BG211" i="12"/>
  <c r="BJ351" i="12"/>
  <c r="BI360" i="12"/>
  <c r="BI386" i="12"/>
  <c r="BI391" i="12"/>
  <c r="BJ93" i="12"/>
  <c r="BI364" i="12"/>
  <c r="CU341" i="12"/>
  <c r="BI72" i="12"/>
  <c r="BI90" i="12"/>
  <c r="BG325" i="12"/>
  <c r="BG330" i="12"/>
  <c r="BG279" i="12"/>
  <c r="BI366" i="12"/>
  <c r="BH367" i="12"/>
  <c r="BG315" i="12"/>
  <c r="BJ368" i="12"/>
  <c r="BG371" i="12"/>
  <c r="BG345" i="12"/>
  <c r="BG301" i="12"/>
  <c r="BJ370" i="12"/>
  <c r="BJ323" i="12"/>
  <c r="BH348" i="12"/>
  <c r="BG280" i="12"/>
  <c r="BH340" i="12"/>
  <c r="BI14" i="12"/>
  <c r="BH399" i="12"/>
  <c r="BH251" i="12"/>
  <c r="BI91" i="12"/>
  <c r="BS395" i="12"/>
  <c r="CU375" i="12"/>
  <c r="BH309" i="12"/>
  <c r="BJ320" i="12"/>
  <c r="BH383" i="12"/>
  <c r="BJ80" i="12"/>
  <c r="BJ39" i="12"/>
  <c r="BI332" i="12"/>
  <c r="BH212" i="12"/>
  <c r="H181" i="12"/>
  <c r="BI53" i="12"/>
  <c r="BJ167" i="12"/>
  <c r="CU374" i="12"/>
  <c r="CU351" i="12"/>
  <c r="BH382" i="12"/>
  <c r="BH398" i="12"/>
  <c r="BS356" i="12"/>
  <c r="BI349" i="12"/>
  <c r="BI67" i="12"/>
  <c r="BJ104" i="12"/>
  <c r="BG392" i="12"/>
  <c r="BH369" i="12"/>
  <c r="BH363" i="12"/>
  <c r="BJ349" i="12"/>
  <c r="BI301" i="12"/>
  <c r="CU369" i="12"/>
  <c r="BG129" i="12"/>
  <c r="BI136" i="12"/>
  <c r="BG168" i="12"/>
  <c r="BH384" i="12"/>
  <c r="BJ178" i="12"/>
  <c r="BS377" i="12"/>
  <c r="BI330" i="12"/>
  <c r="BI340" i="12"/>
  <c r="BJ396" i="12"/>
  <c r="H134" i="12"/>
  <c r="BI106" i="12"/>
  <c r="BG278" i="12"/>
  <c r="BJ103" i="12"/>
  <c r="BH385" i="12"/>
  <c r="BS309" i="12"/>
  <c r="BH328" i="12"/>
  <c r="BG322" i="12"/>
  <c r="CU389" i="12"/>
  <c r="BS327" i="12"/>
  <c r="BS369" i="12"/>
  <c r="BI15" i="12"/>
  <c r="BH201" i="12"/>
  <c r="BS381" i="12"/>
  <c r="BH3" i="12"/>
  <c r="BH12" i="12" s="1"/>
  <c r="BG150" i="12"/>
  <c r="BJ117" i="12"/>
  <c r="BH260" i="12"/>
  <c r="BI163" i="12"/>
  <c r="CU357" i="12"/>
  <c r="CU322" i="12"/>
  <c r="BI30" i="12"/>
  <c r="BH39" i="12"/>
  <c r="BJ25" i="12"/>
  <c r="BJ139" i="12"/>
  <c r="BH296" i="12"/>
  <c r="BJ86" i="12"/>
  <c r="BS346" i="12"/>
  <c r="BH236" i="12"/>
  <c r="BH228" i="12"/>
  <c r="BG290" i="12"/>
  <c r="BG398" i="12"/>
  <c r="BH193" i="12"/>
  <c r="CU343" i="12"/>
  <c r="BJ310" i="12"/>
  <c r="BH257" i="12"/>
  <c r="BJ229" i="12"/>
  <c r="BI348" i="12"/>
  <c r="BH222" i="12"/>
  <c r="BH325" i="12"/>
  <c r="BH395" i="12"/>
  <c r="BG231" i="12"/>
  <c r="BH189" i="12"/>
  <c r="CU328" i="12"/>
  <c r="BG187" i="12"/>
  <c r="BI98" i="12"/>
  <c r="BH215" i="12"/>
  <c r="BJ395" i="12"/>
  <c r="BH351" i="12"/>
  <c r="BI9" i="12"/>
  <c r="BG304" i="12"/>
  <c r="BH227" i="12"/>
  <c r="BJ331" i="12"/>
  <c r="BH308" i="12"/>
  <c r="BJ270" i="12"/>
  <c r="DY51" i="12"/>
  <c r="BA41" i="12"/>
  <c r="AZ41" i="12" s="1"/>
  <c r="BA20" i="12"/>
  <c r="AZ20" i="12" s="1"/>
  <c r="BA52" i="12"/>
  <c r="AZ52" i="12" s="1"/>
  <c r="DY52" i="12"/>
  <c r="H147" i="12"/>
  <c r="AJ147" i="12" s="1"/>
  <c r="H155" i="12"/>
  <c r="AJ155" i="12" s="1"/>
  <c r="H146" i="12"/>
  <c r="AJ146" i="12" s="1"/>
  <c r="H154" i="12"/>
  <c r="H149" i="12"/>
  <c r="H150" i="12"/>
  <c r="H190" i="12"/>
  <c r="H195" i="12"/>
  <c r="H200" i="12"/>
  <c r="H199" i="12"/>
  <c r="H198" i="12"/>
  <c r="H196" i="12"/>
  <c r="H156" i="12"/>
  <c r="EL399" i="12"/>
  <c r="EM399" i="12" s="1"/>
  <c r="H140" i="12"/>
  <c r="AJ125" i="12" s="1"/>
  <c r="BS11" i="12"/>
  <c r="BG11" i="12"/>
  <c r="CU13" i="12"/>
  <c r="BG13" i="12"/>
  <c r="BS13" i="12"/>
  <c r="BH19" i="12"/>
  <c r="BH41" i="12"/>
  <c r="BH44" i="12" s="1"/>
  <c r="BG48" i="12"/>
  <c r="AJ151" i="12" l="1"/>
  <c r="AJ153" i="12"/>
  <c r="BH14" i="12"/>
  <c r="BG8" i="12"/>
  <c r="H223" i="12"/>
  <c r="AJ223" i="12" s="1"/>
  <c r="H178" i="12"/>
  <c r="H131" i="12"/>
  <c r="H126" i="12"/>
  <c r="BH16" i="12"/>
  <c r="BH21" i="12" s="1"/>
  <c r="H127" i="12"/>
  <c r="H224" i="12"/>
  <c r="AJ206" i="12" s="1"/>
  <c r="H194" i="12"/>
  <c r="H152" i="12"/>
  <c r="H153" i="12"/>
  <c r="H128" i="12"/>
  <c r="H151" i="12"/>
  <c r="AJ205" i="12"/>
  <c r="H220" i="12"/>
  <c r="EL400" i="12"/>
  <c r="H125" i="12"/>
  <c r="H145" i="12"/>
  <c r="AJ126" i="12" s="1"/>
  <c r="H222" i="12"/>
  <c r="H219" i="12"/>
  <c r="AJ219" i="12" s="1"/>
  <c r="H218" i="12"/>
  <c r="H221" i="12"/>
  <c r="H207" i="12"/>
  <c r="AJ207" i="12" s="1"/>
  <c r="H213" i="12"/>
  <c r="H210" i="12"/>
  <c r="H216" i="12"/>
  <c r="H208" i="12"/>
  <c r="H214" i="12"/>
  <c r="AJ214" i="12" s="1"/>
  <c r="H211" i="12"/>
  <c r="H217" i="12"/>
  <c r="AJ217" i="12" s="1"/>
  <c r="H209" i="12"/>
  <c r="H215" i="12"/>
  <c r="H206" i="12"/>
  <c r="H212" i="12"/>
  <c r="H193" i="12"/>
  <c r="H205" i="12"/>
  <c r="H201" i="12"/>
  <c r="H135" i="12"/>
  <c r="H129" i="12"/>
  <c r="AJ112" i="12" s="1"/>
  <c r="BG9" i="12"/>
  <c r="BS6" i="12"/>
  <c r="CU6" i="12"/>
  <c r="H185" i="12"/>
  <c r="H191" i="12"/>
  <c r="H202" i="12"/>
  <c r="H188" i="12"/>
  <c r="H180" i="12"/>
  <c r="H186" i="12"/>
  <c r="FP6" i="12"/>
  <c r="FP7" i="12" s="1"/>
  <c r="H184" i="12"/>
  <c r="H189" i="12"/>
  <c r="H133" i="12"/>
  <c r="CI198" i="12"/>
  <c r="CG198" i="12" s="1"/>
  <c r="FK5" i="12"/>
  <c r="CI4" i="12"/>
  <c r="CE4" i="12" s="1"/>
  <c r="CE89" i="12" s="1"/>
  <c r="AZ1" i="12"/>
  <c r="AZ98" i="12" s="1"/>
  <c r="AJ139" i="12"/>
  <c r="AJ156" i="12"/>
  <c r="AJ154" i="12"/>
  <c r="AJ141" i="12"/>
  <c r="AJ140" i="12"/>
  <c r="AJ142" i="12"/>
  <c r="AJ149" i="12"/>
  <c r="AJ150" i="12"/>
  <c r="H132" i="12"/>
  <c r="H148" i="12"/>
  <c r="EN399" i="12"/>
  <c r="H192" i="12"/>
  <c r="H197" i="12"/>
  <c r="H182" i="12"/>
  <c r="H187" i="12"/>
  <c r="BH22" i="12"/>
  <c r="BH26" i="12" s="1"/>
  <c r="BG16" i="12"/>
  <c r="BH46" i="12"/>
  <c r="BG50" i="12"/>
  <c r="BS62" i="12"/>
  <c r="EN1" i="12"/>
  <c r="CU7" i="12" l="1"/>
  <c r="CU8" i="12" s="1"/>
  <c r="CU11" i="12" s="1"/>
  <c r="BS7" i="12"/>
  <c r="AJ113" i="12"/>
  <c r="BG12" i="12"/>
  <c r="AJ130" i="12"/>
  <c r="AJ137" i="12"/>
  <c r="AJ136" i="12"/>
  <c r="AJ135" i="12"/>
  <c r="AJ159" i="12"/>
  <c r="AJ128" i="12"/>
  <c r="AJ108" i="12"/>
  <c r="AJ107" i="12"/>
  <c r="AJ111" i="12"/>
  <c r="AJ158" i="12"/>
  <c r="AJ157" i="12"/>
  <c r="AJ109" i="12"/>
  <c r="AJ182" i="12"/>
  <c r="AJ180" i="12"/>
  <c r="AJ132" i="12"/>
  <c r="BS9" i="12"/>
  <c r="AJ116" i="12"/>
  <c r="AJ200" i="12"/>
  <c r="AJ127" i="12"/>
  <c r="AJ138" i="12"/>
  <c r="AJ172" i="12"/>
  <c r="AJ191" i="12"/>
  <c r="AJ175" i="12"/>
  <c r="AJ110" i="12"/>
  <c r="AJ190" i="12"/>
  <c r="AJ201" i="12"/>
  <c r="AJ222" i="12"/>
  <c r="AJ204" i="12"/>
  <c r="AJ193" i="12"/>
  <c r="AJ198" i="12"/>
  <c r="AJ194" i="12"/>
  <c r="AJ199" i="12"/>
  <c r="AJ196" i="12"/>
  <c r="AJ195" i="12"/>
  <c r="AJ189" i="12"/>
  <c r="AJ202" i="12"/>
  <c r="AJ186" i="12"/>
  <c r="AJ123" i="12"/>
  <c r="AJ124" i="12"/>
  <c r="AJ118" i="12"/>
  <c r="AJ117" i="12"/>
  <c r="AJ114" i="12"/>
  <c r="CU9" i="12"/>
  <c r="AJ122" i="12"/>
  <c r="AJ121" i="12"/>
  <c r="AJ120" i="12"/>
  <c r="AJ188" i="12"/>
  <c r="AJ170" i="12"/>
  <c r="AJ119" i="12"/>
  <c r="AJ115" i="12"/>
  <c r="H203" i="12"/>
  <c r="AJ179" i="12" s="1"/>
  <c r="H183" i="12"/>
  <c r="AJ165" i="12" s="1"/>
  <c r="FK6" i="12"/>
  <c r="AZ99" i="12"/>
  <c r="AZ100" i="12"/>
  <c r="AJ134" i="12"/>
  <c r="AJ129" i="12"/>
  <c r="AJ133" i="12"/>
  <c r="AJ173" i="12"/>
  <c r="AJ192" i="12"/>
  <c r="AJ197" i="12"/>
  <c r="AJ168" i="12"/>
  <c r="AJ148" i="12"/>
  <c r="AJ131" i="12"/>
  <c r="AJ176" i="12"/>
  <c r="AJ174" i="12"/>
  <c r="AJ169" i="12"/>
  <c r="AJ171" i="12"/>
  <c r="AJ166" i="12"/>
  <c r="BH28" i="12"/>
  <c r="BH29" i="12" s="1"/>
  <c r="BG19" i="12"/>
  <c r="CU18" i="12"/>
  <c r="BH38" i="12"/>
  <c r="BH40" i="12" s="1"/>
  <c r="CU62" i="12"/>
  <c r="EN400" i="12"/>
  <c r="BG15" i="12" l="1"/>
  <c r="BS8" i="12"/>
  <c r="BG20" i="12"/>
  <c r="BS12" i="12"/>
  <c r="BS15" i="12"/>
  <c r="BS19" i="12" s="1"/>
  <c r="AJ164" i="12"/>
  <c r="AJ160" i="12"/>
  <c r="BS16" i="12"/>
  <c r="BH30" i="12"/>
  <c r="BH31" i="12" s="1"/>
  <c r="BH32" i="12" s="1"/>
  <c r="CU12" i="12"/>
  <c r="AJ178" i="12"/>
  <c r="AJ163" i="12"/>
  <c r="AJ187" i="12"/>
  <c r="AJ181" i="12"/>
  <c r="AJ177" i="12"/>
  <c r="AJ161" i="12"/>
  <c r="AJ167" i="12"/>
  <c r="AJ184" i="12"/>
  <c r="AJ185" i="12"/>
  <c r="AJ162" i="12"/>
  <c r="AJ203" i="12"/>
  <c r="AJ183" i="12"/>
  <c r="FK1" i="12"/>
  <c r="BG21" i="12"/>
  <c r="BH53" i="12"/>
  <c r="BH56" i="12" s="1"/>
  <c r="BH59" i="12" s="1"/>
  <c r="CU19" i="12"/>
  <c r="BS27" i="12"/>
  <c r="BG68" i="12"/>
  <c r="BI71" i="12"/>
  <c r="BJ71" i="12"/>
  <c r="BI70" i="12"/>
  <c r="BH70" i="12"/>
  <c r="BH71" i="12" s="1"/>
  <c r="BJ70" i="12"/>
  <c r="BG22" i="12" l="1"/>
  <c r="BS14" i="12"/>
  <c r="CU14" i="12"/>
  <c r="CU15" i="12"/>
  <c r="CU16" i="12" s="1"/>
  <c r="BS18" i="12"/>
  <c r="BH33" i="12"/>
  <c r="BH37" i="12" s="1"/>
  <c r="BH66" i="12"/>
  <c r="CU20" i="12"/>
  <c r="FL3" i="12"/>
  <c r="FL7" i="12"/>
  <c r="FL11" i="12"/>
  <c r="FL15" i="12"/>
  <c r="FL19" i="12"/>
  <c r="FL23" i="12"/>
  <c r="FL27" i="12"/>
  <c r="FL31" i="12"/>
  <c r="FL35" i="12"/>
  <c r="FL39" i="12"/>
  <c r="FL43" i="12"/>
  <c r="FL47" i="12"/>
  <c r="FL51" i="12"/>
  <c r="FL55" i="12"/>
  <c r="FL59" i="12"/>
  <c r="FL63" i="12"/>
  <c r="FL67" i="12"/>
  <c r="FL71" i="12"/>
  <c r="FL75" i="12"/>
  <c r="FL79" i="12"/>
  <c r="FL83" i="12"/>
  <c r="FL87" i="12"/>
  <c r="FL91" i="12"/>
  <c r="FL95" i="12"/>
  <c r="FL99" i="12"/>
  <c r="FL103" i="12"/>
  <c r="FL107" i="12"/>
  <c r="FL111" i="12"/>
  <c r="FL115" i="12"/>
  <c r="FL119" i="12"/>
  <c r="FL123" i="12"/>
  <c r="FL127" i="12"/>
  <c r="FL131" i="12"/>
  <c r="FL135" i="12"/>
  <c r="FL139" i="12"/>
  <c r="FL143" i="12"/>
  <c r="FL147" i="12"/>
  <c r="FL151" i="12"/>
  <c r="FL155" i="12"/>
  <c r="FL159" i="12"/>
  <c r="FL163" i="12"/>
  <c r="FL167" i="12"/>
  <c r="FL171" i="12"/>
  <c r="FL175" i="12"/>
  <c r="FL179" i="12"/>
  <c r="FL183" i="12"/>
  <c r="FL187" i="12"/>
  <c r="FL191" i="12"/>
  <c r="FL195" i="12"/>
  <c r="FL199" i="12"/>
  <c r="FL203" i="12"/>
  <c r="FL207" i="12"/>
  <c r="FL211" i="12"/>
  <c r="FL215" i="12"/>
  <c r="FL219" i="12"/>
  <c r="FL223" i="12"/>
  <c r="FL227" i="12"/>
  <c r="FL231" i="12"/>
  <c r="FL235" i="12"/>
  <c r="FL239" i="12"/>
  <c r="FL243" i="12"/>
  <c r="FL247" i="12"/>
  <c r="FL251" i="12"/>
  <c r="FL255" i="12"/>
  <c r="FL259" i="12"/>
  <c r="FL263" i="12"/>
  <c r="FL267" i="12"/>
  <c r="FL271" i="12"/>
  <c r="FL275" i="12"/>
  <c r="FL279" i="12"/>
  <c r="FL283" i="12"/>
  <c r="FL287" i="12"/>
  <c r="FL291" i="12"/>
  <c r="FL295" i="12"/>
  <c r="FL299" i="12"/>
  <c r="FL303" i="12"/>
  <c r="FL307" i="12"/>
  <c r="FL311" i="12"/>
  <c r="FL315" i="12"/>
  <c r="FL319" i="12"/>
  <c r="FL323" i="12"/>
  <c r="FL327" i="12"/>
  <c r="FL331" i="12"/>
  <c r="FL335" i="12"/>
  <c r="FL339" i="12"/>
  <c r="FL343" i="12"/>
  <c r="FL347" i="12"/>
  <c r="FL351" i="12"/>
  <c r="FL355" i="12"/>
  <c r="FL359" i="12"/>
  <c r="FL363" i="12"/>
  <c r="FL367" i="12"/>
  <c r="FL371" i="12"/>
  <c r="FL375" i="12"/>
  <c r="FL379" i="12"/>
  <c r="FL383" i="12"/>
  <c r="FL387" i="12"/>
  <c r="FL391" i="12"/>
  <c r="FL395" i="12"/>
  <c r="FL399" i="12"/>
  <c r="FL5" i="12"/>
  <c r="FL13" i="12"/>
  <c r="FL17" i="12"/>
  <c r="FL21" i="12"/>
  <c r="FL25" i="12"/>
  <c r="FL33" i="12"/>
  <c r="FL41" i="12"/>
  <c r="FL49" i="12"/>
  <c r="FL57" i="12"/>
  <c r="FL65" i="12"/>
  <c r="FL73" i="12"/>
  <c r="FL81" i="12"/>
  <c r="FL89" i="12"/>
  <c r="FL97" i="12"/>
  <c r="FL105" i="12"/>
  <c r="FL113" i="12"/>
  <c r="FL121" i="12"/>
  <c r="FL129" i="12"/>
  <c r="FL137" i="12"/>
  <c r="FL145" i="12"/>
  <c r="FL153" i="12"/>
  <c r="FL161" i="12"/>
  <c r="FL169" i="12"/>
  <c r="FL177" i="12"/>
  <c r="FL185" i="12"/>
  <c r="FL193" i="12"/>
  <c r="FL201" i="12"/>
  <c r="FL209" i="12"/>
  <c r="FL217" i="12"/>
  <c r="FL225" i="12"/>
  <c r="FL233" i="12"/>
  <c r="FL241" i="12"/>
  <c r="FL249" i="12"/>
  <c r="FL257" i="12"/>
  <c r="FL265" i="12"/>
  <c r="FL273" i="12"/>
  <c r="FL281" i="12"/>
  <c r="FL289" i="12"/>
  <c r="FL297" i="12"/>
  <c r="FL305" i="12"/>
  <c r="FL313" i="12"/>
  <c r="FL321" i="12"/>
  <c r="FL329" i="12"/>
  <c r="FL337" i="12"/>
  <c r="FL345" i="12"/>
  <c r="FL353" i="12"/>
  <c r="FL361" i="12"/>
  <c r="FL369" i="12"/>
  <c r="FL377" i="12"/>
  <c r="FL385" i="12"/>
  <c r="FL393" i="12"/>
  <c r="FL8" i="12"/>
  <c r="FL16" i="12"/>
  <c r="FL24" i="12"/>
  <c r="FL32" i="12"/>
  <c r="FL40" i="12"/>
  <c r="FL48" i="12"/>
  <c r="FL56" i="12"/>
  <c r="FL64" i="12"/>
  <c r="FL72" i="12"/>
  <c r="FL80" i="12"/>
  <c r="FL88" i="12"/>
  <c r="FL96" i="12"/>
  <c r="FL104" i="12"/>
  <c r="FL112" i="12"/>
  <c r="FL120" i="12"/>
  <c r="FL128" i="12"/>
  <c r="FL136" i="12"/>
  <c r="FL144" i="12"/>
  <c r="FL152" i="12"/>
  <c r="FL160" i="12"/>
  <c r="FL168" i="12"/>
  <c r="FL176" i="12"/>
  <c r="FL184" i="12"/>
  <c r="FL192" i="12"/>
  <c r="FL200" i="12"/>
  <c r="FL208" i="12"/>
  <c r="FL216" i="12"/>
  <c r="FL224" i="12"/>
  <c r="FL232" i="12"/>
  <c r="FL240" i="12"/>
  <c r="FL248" i="12"/>
  <c r="FL256" i="12"/>
  <c r="FL264" i="12"/>
  <c r="FL272" i="12"/>
  <c r="FL280" i="12"/>
  <c r="FL288" i="12"/>
  <c r="FL296" i="12"/>
  <c r="FL304" i="12"/>
  <c r="FL312" i="12"/>
  <c r="FL320" i="12"/>
  <c r="FL328" i="12"/>
  <c r="FL336" i="12"/>
  <c r="FL344" i="12"/>
  <c r="FL352" i="12"/>
  <c r="FL360" i="12"/>
  <c r="FL368" i="12"/>
  <c r="FL376" i="12"/>
  <c r="FL384" i="12"/>
  <c r="FL392" i="12"/>
  <c r="FL400" i="12"/>
  <c r="FL6" i="12"/>
  <c r="FL10" i="12"/>
  <c r="FL14" i="12"/>
  <c r="FL18" i="12"/>
  <c r="FL22" i="12"/>
  <c r="FL26" i="12"/>
  <c r="FL30" i="12"/>
  <c r="FL34" i="12"/>
  <c r="FL38" i="12"/>
  <c r="FL42" i="12"/>
  <c r="FL46" i="12"/>
  <c r="FL50" i="12"/>
  <c r="FL54" i="12"/>
  <c r="FL58" i="12"/>
  <c r="FL62" i="12"/>
  <c r="FL66" i="12"/>
  <c r="FL70" i="12"/>
  <c r="FL74" i="12"/>
  <c r="FL78" i="12"/>
  <c r="FL82" i="12"/>
  <c r="FL86" i="12"/>
  <c r="FL90" i="12"/>
  <c r="FL94" i="12"/>
  <c r="FL98" i="12"/>
  <c r="FL102" i="12"/>
  <c r="FL106" i="12"/>
  <c r="FL110" i="12"/>
  <c r="FL114" i="12"/>
  <c r="FL118" i="12"/>
  <c r="FL122" i="12"/>
  <c r="FL126" i="12"/>
  <c r="FL130" i="12"/>
  <c r="FL134" i="12"/>
  <c r="FL138" i="12"/>
  <c r="FL142" i="12"/>
  <c r="FL146" i="12"/>
  <c r="FL150" i="12"/>
  <c r="FL154" i="12"/>
  <c r="FL158" i="12"/>
  <c r="FL162" i="12"/>
  <c r="FL166" i="12"/>
  <c r="FL170" i="12"/>
  <c r="FL174" i="12"/>
  <c r="FL178" i="12"/>
  <c r="FL182" i="12"/>
  <c r="FL186" i="12"/>
  <c r="FL190" i="12"/>
  <c r="FL194" i="12"/>
  <c r="FL198" i="12"/>
  <c r="FL202" i="12"/>
  <c r="FL206" i="12"/>
  <c r="FL210" i="12"/>
  <c r="FL214" i="12"/>
  <c r="FL218" i="12"/>
  <c r="FL222" i="12"/>
  <c r="FL226" i="12"/>
  <c r="FL230" i="12"/>
  <c r="FL234" i="12"/>
  <c r="FL238" i="12"/>
  <c r="FL242" i="12"/>
  <c r="FL246" i="12"/>
  <c r="FL250" i="12"/>
  <c r="FL254" i="12"/>
  <c r="FL258" i="12"/>
  <c r="FL262" i="12"/>
  <c r="FL266" i="12"/>
  <c r="FL270" i="12"/>
  <c r="FL274" i="12"/>
  <c r="FL278" i="12"/>
  <c r="FL282" i="12"/>
  <c r="FL286" i="12"/>
  <c r="FL290" i="12"/>
  <c r="FL294" i="12"/>
  <c r="FL298" i="12"/>
  <c r="FL302" i="12"/>
  <c r="FL306" i="12"/>
  <c r="FL310" i="12"/>
  <c r="FL314" i="12"/>
  <c r="FL318" i="12"/>
  <c r="FL322" i="12"/>
  <c r="FL326" i="12"/>
  <c r="FL330" i="12"/>
  <c r="FL334" i="12"/>
  <c r="FL338" i="12"/>
  <c r="FL342" i="12"/>
  <c r="FL346" i="12"/>
  <c r="FL350" i="12"/>
  <c r="FL354" i="12"/>
  <c r="FL358" i="12"/>
  <c r="FL362" i="12"/>
  <c r="FL366" i="12"/>
  <c r="FL370" i="12"/>
  <c r="FL374" i="12"/>
  <c r="FL378" i="12"/>
  <c r="FL382" i="12"/>
  <c r="FL386" i="12"/>
  <c r="FL390" i="12"/>
  <c r="FL394" i="12"/>
  <c r="FL398" i="12"/>
  <c r="FL9" i="12"/>
  <c r="FL29" i="12"/>
  <c r="FL37" i="12"/>
  <c r="FL45" i="12"/>
  <c r="FL53" i="12"/>
  <c r="FL61" i="12"/>
  <c r="FL69" i="12"/>
  <c r="FL77" i="12"/>
  <c r="FL85" i="12"/>
  <c r="FL93" i="12"/>
  <c r="FL101" i="12"/>
  <c r="FL109" i="12"/>
  <c r="FL117" i="12"/>
  <c r="FL125" i="12"/>
  <c r="FL133" i="12"/>
  <c r="FL141" i="12"/>
  <c r="FL149" i="12"/>
  <c r="FL157" i="12"/>
  <c r="FL165" i="12"/>
  <c r="FL173" i="12"/>
  <c r="FL181" i="12"/>
  <c r="FL189" i="12"/>
  <c r="FL197" i="12"/>
  <c r="FL205" i="12"/>
  <c r="FL213" i="12"/>
  <c r="FL221" i="12"/>
  <c r="FL229" i="12"/>
  <c r="FL237" i="12"/>
  <c r="FL245" i="12"/>
  <c r="FL253" i="12"/>
  <c r="FL261" i="12"/>
  <c r="FL269" i="12"/>
  <c r="FL277" i="12"/>
  <c r="FL285" i="12"/>
  <c r="FL293" i="12"/>
  <c r="FL301" i="12"/>
  <c r="FL309" i="12"/>
  <c r="FL317" i="12"/>
  <c r="FL325" i="12"/>
  <c r="FL333" i="12"/>
  <c r="FL341" i="12"/>
  <c r="FL349" i="12"/>
  <c r="FL357" i="12"/>
  <c r="FL365" i="12"/>
  <c r="FL373" i="12"/>
  <c r="FL381" i="12"/>
  <c r="FL389" i="12"/>
  <c r="FL397" i="12"/>
  <c r="FL4" i="12"/>
  <c r="FL12" i="12"/>
  <c r="FL20" i="12"/>
  <c r="FL28" i="12"/>
  <c r="FL36" i="12"/>
  <c r="FL44" i="12"/>
  <c r="FL52" i="12"/>
  <c r="FL60" i="12"/>
  <c r="FL68" i="12"/>
  <c r="FL76" i="12"/>
  <c r="FL84" i="12"/>
  <c r="FL92" i="12"/>
  <c r="FL100" i="12"/>
  <c r="FL108" i="12"/>
  <c r="FL116" i="12"/>
  <c r="FL124" i="12"/>
  <c r="FL132" i="12"/>
  <c r="FL140" i="12"/>
  <c r="FL148" i="12"/>
  <c r="FL156" i="12"/>
  <c r="FL164" i="12"/>
  <c r="FL172" i="12"/>
  <c r="FL180" i="12"/>
  <c r="FL188" i="12"/>
  <c r="FL196" i="12"/>
  <c r="FL204" i="12"/>
  <c r="FL212" i="12"/>
  <c r="FL220" i="12"/>
  <c r="FL228" i="12"/>
  <c r="FL236" i="12"/>
  <c r="FL244" i="12"/>
  <c r="FL252" i="12"/>
  <c r="FL260" i="12"/>
  <c r="FL268" i="12"/>
  <c r="FL276" i="12"/>
  <c r="FL284" i="12"/>
  <c r="FL292" i="12"/>
  <c r="FL300" i="12"/>
  <c r="FL308" i="12"/>
  <c r="FL316" i="12"/>
  <c r="FL324" i="12"/>
  <c r="FL332" i="12"/>
  <c r="FL340" i="12"/>
  <c r="FL348" i="12"/>
  <c r="FL356" i="12"/>
  <c r="FL364" i="12"/>
  <c r="FL372" i="12"/>
  <c r="FL380" i="12"/>
  <c r="FL388" i="12"/>
  <c r="FL396" i="12"/>
  <c r="CU21" i="12"/>
  <c r="BG23" i="12"/>
  <c r="BG63" i="12"/>
  <c r="BI127" i="12"/>
  <c r="BI124" i="12"/>
  <c r="BI121" i="12"/>
  <c r="BJ121" i="12"/>
  <c r="BI118" i="12"/>
  <c r="BJ118" i="12"/>
  <c r="BJ115" i="12"/>
  <c r="BI115" i="12"/>
  <c r="BI114" i="12"/>
  <c r="BJ114" i="12"/>
  <c r="BJ126" i="12"/>
  <c r="BI128" i="12"/>
  <c r="BI129" i="12" s="1"/>
  <c r="BH34" i="12" l="1"/>
  <c r="BH35" i="12" s="1"/>
  <c r="CU22" i="12"/>
  <c r="BS20" i="12"/>
  <c r="BS21" i="12" s="1"/>
  <c r="BS22" i="12" s="1"/>
  <c r="BS23" i="12"/>
  <c r="BS24" i="12"/>
  <c r="CU23" i="12"/>
  <c r="BH72" i="12"/>
  <c r="BH73" i="12" s="1"/>
  <c r="BG24" i="12"/>
  <c r="BG25" i="12" s="1"/>
  <c r="BG27" i="12"/>
  <c r="BG41" i="12"/>
  <c r="BS38" i="12"/>
  <c r="BJ124" i="12"/>
  <c r="BJ127" i="12" s="1"/>
  <c r="BI130" i="12"/>
  <c r="BI137" i="12" s="1"/>
  <c r="BI138" i="12" s="1"/>
  <c r="BH74" i="12"/>
  <c r="BH75" i="12" s="1"/>
  <c r="BJ134" i="12"/>
  <c r="BJ137" i="12" s="1"/>
  <c r="BI140" i="12"/>
  <c r="BH76" i="12"/>
  <c r="BH77" i="12" s="1"/>
  <c r="BH68" i="12" l="1"/>
  <c r="BH69" i="12" s="1"/>
  <c r="BG26" i="12"/>
  <c r="BS25" i="12"/>
  <c r="CU24" i="12"/>
  <c r="CU25" i="12" s="1"/>
  <c r="CU27" i="12"/>
  <c r="BS36" i="12"/>
  <c r="BG28" i="12"/>
  <c r="BG29" i="12" s="1"/>
  <c r="BG30" i="12"/>
  <c r="BG32" i="12" s="1"/>
  <c r="BG33" i="12" s="1"/>
  <c r="BG36" i="12" s="1"/>
  <c r="BG38" i="12" s="1"/>
  <c r="BG42" i="12"/>
  <c r="BG44" i="12" s="1"/>
  <c r="BG45" i="12"/>
  <c r="BS40" i="12"/>
  <c r="BJ132" i="12"/>
  <c r="BJ133" i="12" s="1"/>
  <c r="BJ135" i="12" s="1"/>
  <c r="BG74" i="12"/>
  <c r="BJ214" i="12"/>
  <c r="BI141" i="12"/>
  <c r="BH78" i="12"/>
  <c r="BS28" i="12" l="1"/>
  <c r="BS29" i="12" s="1"/>
  <c r="CU26" i="12"/>
  <c r="BS26" i="12"/>
  <c r="CU28" i="12"/>
  <c r="CU29" i="12"/>
  <c r="CU30" i="12" s="1"/>
  <c r="BJ140" i="12"/>
  <c r="BJ141" i="12" s="1"/>
  <c r="BJ136" i="12"/>
  <c r="BG39" i="12"/>
  <c r="BG51" i="12" s="1"/>
  <c r="CU35" i="12"/>
  <c r="CU36" i="12" s="1"/>
  <c r="BG55" i="12"/>
  <c r="BG76" i="12"/>
  <c r="BS41" i="12"/>
  <c r="BS42" i="12" s="1"/>
  <c r="CU38" i="12"/>
  <c r="BG80" i="12"/>
  <c r="BS46" i="12"/>
  <c r="BI145" i="12"/>
  <c r="BJ143" i="12"/>
  <c r="BJ144" i="12" s="1"/>
  <c r="BJ145" i="12"/>
  <c r="BJ171" i="12"/>
  <c r="BI146" i="12"/>
  <c r="BI147" i="12" s="1"/>
  <c r="BI148" i="12" s="1"/>
  <c r="BI149" i="12" s="1"/>
  <c r="BJ172" i="12"/>
  <c r="BG84" i="12"/>
  <c r="BG113" i="12"/>
  <c r="BI150" i="12"/>
  <c r="BI151" i="12" s="1"/>
  <c r="BI153" i="12" s="1"/>
  <c r="BH79" i="12"/>
  <c r="BH81" i="12" s="1"/>
  <c r="BS30" i="12" l="1"/>
  <c r="BS31" i="12"/>
  <c r="BS32" i="12" s="1"/>
  <c r="BS33" i="12" s="1"/>
  <c r="BS39" i="12" s="1"/>
  <c r="BG49" i="12"/>
  <c r="BG52" i="12" s="1"/>
  <c r="BG53" i="12" s="1"/>
  <c r="BG54" i="12" s="1"/>
  <c r="CU31" i="12"/>
  <c r="BS44" i="12"/>
  <c r="CU40" i="12"/>
  <c r="CU39" i="12"/>
  <c r="CU63" i="12"/>
  <c r="BJ148" i="12"/>
  <c r="BJ149" i="12" s="1"/>
  <c r="BJ161" i="12"/>
  <c r="BJ173" i="12"/>
  <c r="BG88" i="12"/>
  <c r="BS84" i="12"/>
  <c r="BJ218" i="12"/>
  <c r="BG125" i="12"/>
  <c r="BI154" i="12"/>
  <c r="BI155" i="12" s="1"/>
  <c r="BH82" i="12"/>
  <c r="BH83" i="12" s="1"/>
  <c r="BS34" i="12" l="1"/>
  <c r="BS35" i="12" s="1"/>
  <c r="BG56" i="12"/>
  <c r="BG58" i="12" s="1"/>
  <c r="BG59" i="12" s="1"/>
  <c r="BG60" i="12" s="1"/>
  <c r="BS37" i="12"/>
  <c r="CU32" i="12"/>
  <c r="CU33" i="12" s="1"/>
  <c r="CU34" i="12" s="1"/>
  <c r="CU37" i="12" s="1"/>
  <c r="BJ151" i="12"/>
  <c r="BJ152" i="12" s="1"/>
  <c r="BJ150" i="12"/>
  <c r="BS45" i="12"/>
  <c r="BJ153" i="12"/>
  <c r="CU41" i="12"/>
  <c r="BJ156" i="12"/>
  <c r="BJ157" i="12" s="1"/>
  <c r="BJ160" i="12" s="1"/>
  <c r="BG89" i="12"/>
  <c r="CU84" i="12"/>
  <c r="BJ180" i="12"/>
  <c r="BJ243" i="12"/>
  <c r="BG171" i="12"/>
  <c r="BI156" i="12"/>
  <c r="BH85" i="12"/>
  <c r="BJ168" i="12" l="1"/>
  <c r="BG57" i="12"/>
  <c r="BG61" i="12" s="1"/>
  <c r="BG64" i="12"/>
  <c r="BG66" i="12"/>
  <c r="BS47" i="12"/>
  <c r="BS48" i="12" s="1"/>
  <c r="BS55" i="12"/>
  <c r="CU42" i="12"/>
  <c r="BS80" i="12"/>
  <c r="BJ169" i="12"/>
  <c r="BJ174" i="12" s="1"/>
  <c r="BH86" i="12"/>
  <c r="BH87" i="12" s="1"/>
  <c r="BH88" i="12" s="1"/>
  <c r="BH89" i="12" s="1"/>
  <c r="BI157" i="12"/>
  <c r="BI159" i="12" s="1"/>
  <c r="BI161" i="12" s="1"/>
  <c r="BJ181" i="12"/>
  <c r="BJ187" i="12"/>
  <c r="BJ188" i="12"/>
  <c r="BG92" i="12"/>
  <c r="BJ225" i="12"/>
  <c r="BG173" i="12"/>
  <c r="BS50" i="12" l="1"/>
  <c r="BS51" i="12" s="1"/>
  <c r="BS52" i="12" s="1"/>
  <c r="BS49" i="12"/>
  <c r="BJ179" i="12"/>
  <c r="BJ175" i="12"/>
  <c r="BJ177" i="12" s="1"/>
  <c r="BG67" i="12"/>
  <c r="BG73" i="12"/>
  <c r="BG71" i="12"/>
  <c r="CU44" i="12"/>
  <c r="CU45" i="12" s="1"/>
  <c r="CU46" i="12" s="1"/>
  <c r="BS53" i="12"/>
  <c r="BH90" i="12"/>
  <c r="BH91" i="12" s="1"/>
  <c r="BH92" i="12" s="1"/>
  <c r="BH93" i="12" s="1"/>
  <c r="BI162" i="12"/>
  <c r="BH94" i="12"/>
  <c r="BJ182" i="12"/>
  <c r="BG118" i="12"/>
  <c r="BG119" i="12" s="1"/>
  <c r="BJ208" i="12"/>
  <c r="BJ293" i="12"/>
  <c r="BJ233" i="12"/>
  <c r="BG180" i="12"/>
  <c r="BS54" i="12" l="1"/>
  <c r="BG69" i="12"/>
  <c r="BG70" i="12" s="1"/>
  <c r="BG75" i="12"/>
  <c r="BG72" i="12"/>
  <c r="BS56" i="12"/>
  <c r="BS57" i="12" s="1"/>
  <c r="BS66" i="12"/>
  <c r="BS65" i="12"/>
  <c r="CU48" i="12"/>
  <c r="BJ241" i="12"/>
  <c r="BG77" i="12"/>
  <c r="BG78" i="12" s="1"/>
  <c r="CU67" i="12"/>
  <c r="BS67" i="12"/>
  <c r="BH95" i="12"/>
  <c r="BH96" i="12" s="1"/>
  <c r="BH97" i="12" s="1"/>
  <c r="BH98" i="12" s="1"/>
  <c r="BI164" i="12"/>
  <c r="BI165" i="12" s="1"/>
  <c r="BI166" i="12" s="1"/>
  <c r="BI167" i="12"/>
  <c r="BI168" i="12" s="1"/>
  <c r="BJ183" i="12"/>
  <c r="BJ314" i="12"/>
  <c r="BJ207" i="12"/>
  <c r="BJ282" i="12" s="1"/>
  <c r="BG188" i="12"/>
  <c r="CU50" i="12" l="1"/>
  <c r="CU51" i="12" s="1"/>
  <c r="CU52" i="12" s="1"/>
  <c r="CU49" i="12"/>
  <c r="BS59" i="12"/>
  <c r="BS58" i="12"/>
  <c r="BS60" i="12" s="1"/>
  <c r="BG79" i="12"/>
  <c r="BG81" i="12"/>
  <c r="BG95" i="12"/>
  <c r="BG101" i="12"/>
  <c r="BG102" i="12" s="1"/>
  <c r="BI169" i="12"/>
  <c r="BI170" i="12" s="1"/>
  <c r="BI171" i="12" s="1"/>
  <c r="CU80" i="12"/>
  <c r="BJ184" i="12"/>
  <c r="BJ185" i="12" s="1"/>
  <c r="BG108" i="12"/>
  <c r="BH99" i="12"/>
  <c r="BJ211" i="12"/>
  <c r="BJ209" i="12"/>
  <c r="BJ290" i="12"/>
  <c r="BJ291" i="12"/>
  <c r="BJ292" i="12" s="1"/>
  <c r="BJ299" i="12"/>
  <c r="BJ212" i="12"/>
  <c r="BJ294" i="12"/>
  <c r="BJ296" i="12"/>
  <c r="BJ298" i="12"/>
  <c r="BG170" i="12"/>
  <c r="BJ301" i="12"/>
  <c r="BI197" i="12"/>
  <c r="BH195" i="12"/>
  <c r="CU53" i="12" l="1"/>
  <c r="BS61" i="12"/>
  <c r="BG104" i="12"/>
  <c r="BS64" i="12"/>
  <c r="BS69" i="12" s="1"/>
  <c r="CU58" i="12"/>
  <c r="CU59" i="12" s="1"/>
  <c r="BG87" i="12"/>
  <c r="BG90" i="12" s="1"/>
  <c r="CU65" i="12"/>
  <c r="BS70" i="12"/>
  <c r="BS71" i="12" s="1"/>
  <c r="CU71" i="12"/>
  <c r="BG105" i="12"/>
  <c r="BS76" i="12"/>
  <c r="CU76" i="12"/>
  <c r="BJ186" i="12"/>
  <c r="BG111" i="12"/>
  <c r="BI172" i="12"/>
  <c r="BG117" i="12"/>
  <c r="BG121" i="12" s="1"/>
  <c r="BG122" i="12" s="1"/>
  <c r="BJ197" i="12"/>
  <c r="BH100" i="12"/>
  <c r="BJ286" i="12"/>
  <c r="BJ283" i="12"/>
  <c r="BJ284" i="12" s="1"/>
  <c r="BG161" i="12"/>
  <c r="BG162" i="12" s="1"/>
  <c r="BJ288" i="12"/>
  <c r="BG166" i="12"/>
  <c r="BG167" i="12" s="1"/>
  <c r="BG169" i="12"/>
  <c r="BG107" i="12" l="1"/>
  <c r="BG110" i="12" s="1"/>
  <c r="BS63" i="12"/>
  <c r="BS68" i="12" s="1"/>
  <c r="CU55" i="12"/>
  <c r="CU54" i="12"/>
  <c r="CU56" i="12" s="1"/>
  <c r="CU57" i="12" s="1"/>
  <c r="BG91" i="12"/>
  <c r="BS72" i="12"/>
  <c r="BS74" i="12" s="1"/>
  <c r="BS75" i="12" s="1"/>
  <c r="BS77" i="12" s="1"/>
  <c r="BG93" i="12"/>
  <c r="CU60" i="12"/>
  <c r="CU66" i="12"/>
  <c r="CU70" i="12" s="1"/>
  <c r="BG109" i="12"/>
  <c r="BG112" i="12"/>
  <c r="BJ189" i="12"/>
  <c r="BJ190" i="12" s="1"/>
  <c r="BJ191" i="12" s="1"/>
  <c r="BH187" i="12"/>
  <c r="BG124" i="12"/>
  <c r="BG123" i="12"/>
  <c r="BI173" i="12"/>
  <c r="BI174" i="12" s="1"/>
  <c r="BH101" i="12"/>
  <c r="BI205" i="12"/>
  <c r="BJ199" i="12"/>
  <c r="BJ201" i="12"/>
  <c r="BI275" i="12"/>
  <c r="BG94" i="12" l="1"/>
  <c r="CU61" i="12"/>
  <c r="BS73" i="12"/>
  <c r="BS78" i="12" s="1"/>
  <c r="BS79" i="12" s="1"/>
  <c r="BS81" i="12" s="1"/>
  <c r="CU64" i="12"/>
  <c r="CU68" i="12" s="1"/>
  <c r="BG96" i="12"/>
  <c r="BG97" i="12" s="1"/>
  <c r="BG98" i="12" s="1"/>
  <c r="BG99" i="12" s="1"/>
  <c r="BG100" i="12" s="1"/>
  <c r="CU81" i="12"/>
  <c r="BJ192" i="12"/>
  <c r="BG163" i="12"/>
  <c r="CU86" i="12"/>
  <c r="CU85" i="12"/>
  <c r="BS82" i="12"/>
  <c r="BJ194" i="12"/>
  <c r="BJ200" i="12" s="1"/>
  <c r="BJ195" i="12"/>
  <c r="BS83" i="12"/>
  <c r="BI175" i="12"/>
  <c r="BI176" i="12"/>
  <c r="BH102" i="12"/>
  <c r="BJ202" i="12"/>
  <c r="BJ250" i="12"/>
  <c r="BJ251" i="12" s="1"/>
  <c r="BJ252" i="12" s="1"/>
  <c r="BH203" i="12"/>
  <c r="BJ196" i="12" l="1"/>
  <c r="BJ193" i="12"/>
  <c r="BJ198" i="12" s="1"/>
  <c r="CU69" i="12"/>
  <c r="BG103" i="12"/>
  <c r="BG106" i="12" s="1"/>
  <c r="BG114" i="12"/>
  <c r="BG115" i="12"/>
  <c r="BG116" i="12" s="1"/>
  <c r="BG164" i="12"/>
  <c r="BS85" i="12"/>
  <c r="BS86" i="12" s="1"/>
  <c r="CU89" i="12"/>
  <c r="BI177" i="12"/>
  <c r="BH103" i="12"/>
  <c r="BJ203" i="12"/>
  <c r="BJ273" i="12"/>
  <c r="BJ274" i="12" s="1"/>
  <c r="BJ275" i="12" s="1"/>
  <c r="BI213" i="12"/>
  <c r="BG127" i="12" l="1"/>
  <c r="CU72" i="12"/>
  <c r="CU75" i="12"/>
  <c r="BG172" i="12"/>
  <c r="BG165" i="12"/>
  <c r="BG158" i="12"/>
  <c r="BG182" i="12"/>
  <c r="BS87" i="12"/>
  <c r="BS92" i="12"/>
  <c r="CU92" i="12"/>
  <c r="BI178" i="12"/>
  <c r="BH104" i="12"/>
  <c r="BH105" i="12" s="1"/>
  <c r="BJ204" i="12"/>
  <c r="BJ205" i="12" s="1"/>
  <c r="BJ206" i="12" s="1"/>
  <c r="BJ210" i="12" s="1"/>
  <c r="BJ226" i="12" s="1"/>
  <c r="BJ227" i="12" s="1"/>
  <c r="BJ253" i="12"/>
  <c r="BI302" i="12"/>
  <c r="BI303" i="12" s="1"/>
  <c r="CU73" i="12" l="1"/>
  <c r="BS89" i="12"/>
  <c r="BS90" i="12" s="1"/>
  <c r="BS91" i="12" s="1"/>
  <c r="BS88" i="12"/>
  <c r="BG179" i="12"/>
  <c r="BG1" i="12" s="1"/>
  <c r="CU74" i="12"/>
  <c r="CU77" i="12"/>
  <c r="CU78" i="12" s="1"/>
  <c r="CU79" i="12" s="1"/>
  <c r="CU82" i="12" s="1"/>
  <c r="CU83" i="12" s="1"/>
  <c r="BJ237" i="12"/>
  <c r="BJ228" i="12"/>
  <c r="BS93" i="12"/>
  <c r="CU93" i="12"/>
  <c r="BI179" i="12"/>
  <c r="BH106" i="12"/>
  <c r="BH107" i="12" s="1"/>
  <c r="BJ276" i="12"/>
  <c r="BJ254" i="12"/>
  <c r="BJ255" i="12" s="1"/>
  <c r="BH116" i="12"/>
  <c r="BH170" i="12"/>
  <c r="BS94" i="12" l="1"/>
  <c r="BJ247" i="12"/>
  <c r="BJ268" i="12" s="1"/>
  <c r="BS95" i="12"/>
  <c r="BS96" i="12" s="1"/>
  <c r="BK238" i="12"/>
  <c r="BL238" i="12" s="1"/>
  <c r="BK222" i="12"/>
  <c r="BL222" i="12" s="1"/>
  <c r="BK336" i="12"/>
  <c r="BL336" i="12" s="1"/>
  <c r="BK73" i="12"/>
  <c r="BL73" i="12" s="1"/>
  <c r="BK335" i="12"/>
  <c r="BL335" i="12" s="1"/>
  <c r="BK287" i="12"/>
  <c r="BL287" i="12" s="1"/>
  <c r="BK304" i="12"/>
  <c r="BL304" i="12" s="1"/>
  <c r="BK160" i="12"/>
  <c r="BL160" i="12" s="1"/>
  <c r="BK54" i="12"/>
  <c r="BL54" i="12" s="1"/>
  <c r="BK259" i="12"/>
  <c r="BL259" i="12" s="1"/>
  <c r="BK339" i="12"/>
  <c r="BL339" i="12" s="1"/>
  <c r="BK63" i="12"/>
  <c r="BL63" i="12" s="1"/>
  <c r="BK243" i="12"/>
  <c r="BL243" i="12" s="1"/>
  <c r="BK394" i="12"/>
  <c r="BL394" i="12" s="1"/>
  <c r="BK362" i="12"/>
  <c r="BL362" i="12" s="1"/>
  <c r="BK330" i="12"/>
  <c r="BL330" i="12" s="1"/>
  <c r="BK17" i="12"/>
  <c r="BL17" i="12" s="1"/>
  <c r="BK212" i="12"/>
  <c r="BL212" i="12" s="1"/>
  <c r="BK241" i="12"/>
  <c r="BL241" i="12" s="1"/>
  <c r="BK305" i="12"/>
  <c r="BL305" i="12" s="1"/>
  <c r="BK109" i="12"/>
  <c r="BL109" i="12" s="1"/>
  <c r="BK381" i="12"/>
  <c r="BL381" i="12" s="1"/>
  <c r="BK367" i="12"/>
  <c r="BL367" i="12" s="1"/>
  <c r="BK206" i="12"/>
  <c r="BL206" i="12" s="1"/>
  <c r="BK393" i="12"/>
  <c r="BL393" i="12" s="1"/>
  <c r="BK162" i="12"/>
  <c r="BL162" i="12" s="1"/>
  <c r="BK372" i="12"/>
  <c r="BL372" i="12" s="1"/>
  <c r="BK102" i="12"/>
  <c r="BL102" i="12" s="1"/>
  <c r="BK239" i="12"/>
  <c r="BL239" i="12" s="1"/>
  <c r="BK77" i="12"/>
  <c r="BL77" i="12" s="1"/>
  <c r="BK67" i="12"/>
  <c r="BL67" i="12" s="1"/>
  <c r="BK374" i="12"/>
  <c r="BL374" i="12" s="1"/>
  <c r="BK306" i="12"/>
  <c r="BL306" i="12" s="1"/>
  <c r="BK57" i="12"/>
  <c r="BL57" i="12" s="1"/>
  <c r="BK134" i="12"/>
  <c r="BL134" i="12" s="1"/>
  <c r="BK297" i="12"/>
  <c r="BL297" i="12" s="1"/>
  <c r="BK361" i="12"/>
  <c r="BL361" i="12" s="1"/>
  <c r="BK30" i="12"/>
  <c r="BL30" i="12" s="1"/>
  <c r="BK52" i="12"/>
  <c r="BL52" i="12" s="1"/>
  <c r="BK289" i="12"/>
  <c r="BL289" i="12" s="1"/>
  <c r="BK209" i="12"/>
  <c r="BL209" i="12" s="1"/>
  <c r="CU87" i="12"/>
  <c r="CU88" i="12" s="1"/>
  <c r="BK94" i="12"/>
  <c r="BL94" i="12" s="1"/>
  <c r="BK391" i="12"/>
  <c r="BL391" i="12" s="1"/>
  <c r="BK81" i="12"/>
  <c r="BL81" i="12" s="1"/>
  <c r="BK143" i="12"/>
  <c r="BL143" i="12" s="1"/>
  <c r="BK346" i="12"/>
  <c r="BL346" i="12" s="1"/>
  <c r="BK129" i="12"/>
  <c r="BL129" i="12" s="1"/>
  <c r="BK300" i="12"/>
  <c r="BL300" i="12" s="1"/>
  <c r="BK32" i="12"/>
  <c r="BL32" i="12" s="1"/>
  <c r="BK342" i="12"/>
  <c r="BL342" i="12" s="1"/>
  <c r="BK269" i="12"/>
  <c r="BL269" i="12" s="1"/>
  <c r="BK316" i="12"/>
  <c r="BL316" i="12" s="1"/>
  <c r="BK358" i="12"/>
  <c r="BL358" i="12" s="1"/>
  <c r="BK49" i="12"/>
  <c r="BL49" i="12" s="1"/>
  <c r="BK71" i="12"/>
  <c r="BL71" i="12" s="1"/>
  <c r="BK314" i="12"/>
  <c r="BL314" i="12" s="1"/>
  <c r="BK240" i="12"/>
  <c r="BL240" i="12" s="1"/>
  <c r="BK159" i="12"/>
  <c r="BL159" i="12" s="1"/>
  <c r="BK366" i="12"/>
  <c r="BL366" i="12" s="1"/>
  <c r="BK23" i="12"/>
  <c r="BL23" i="12" s="1"/>
  <c r="BK235" i="12"/>
  <c r="BL235" i="12" s="1"/>
  <c r="BK136" i="12"/>
  <c r="BL136" i="12" s="1"/>
  <c r="BK171" i="12"/>
  <c r="BL171" i="12" s="1"/>
  <c r="BK270" i="12"/>
  <c r="BL270" i="12" s="1"/>
  <c r="BK309" i="12"/>
  <c r="BL309" i="12" s="1"/>
  <c r="BK284" i="12"/>
  <c r="BL284" i="12" s="1"/>
  <c r="BK51" i="12"/>
  <c r="BL51" i="12" s="1"/>
  <c r="BK33" i="12"/>
  <c r="BL33" i="12" s="1"/>
  <c r="BK64" i="12"/>
  <c r="BL64" i="12" s="1"/>
  <c r="BK227" i="12"/>
  <c r="BL227" i="12" s="1"/>
  <c r="BK267" i="12"/>
  <c r="BL267" i="12" s="1"/>
  <c r="BK38" i="12"/>
  <c r="BL38" i="12" s="1"/>
  <c r="BK268" i="12"/>
  <c r="BL268" i="12" s="1"/>
  <c r="BK280" i="12"/>
  <c r="BL280" i="12" s="1"/>
  <c r="BK179" i="12"/>
  <c r="BL179" i="12" s="1"/>
  <c r="BK125" i="12"/>
  <c r="BL125" i="12" s="1"/>
  <c r="BK375" i="12"/>
  <c r="BL375" i="12" s="1"/>
  <c r="BK177" i="12"/>
  <c r="BL177" i="12" s="1"/>
  <c r="BK105" i="12"/>
  <c r="BL105" i="12" s="1"/>
  <c r="BK117" i="12"/>
  <c r="BL117" i="12" s="1"/>
  <c r="BK45" i="12"/>
  <c r="BL45" i="12" s="1"/>
  <c r="BK295" i="12"/>
  <c r="BL295" i="12" s="1"/>
  <c r="BK224" i="12"/>
  <c r="BL224" i="12" s="1"/>
  <c r="BK299" i="12"/>
  <c r="BL299" i="12" s="1"/>
  <c r="BK228" i="12"/>
  <c r="BL228" i="12" s="1"/>
  <c r="BK220" i="12"/>
  <c r="BL220" i="12" s="1"/>
  <c r="BK263" i="12"/>
  <c r="BL263" i="12" s="1"/>
  <c r="BK86" i="12"/>
  <c r="BL86" i="12" s="1"/>
  <c r="BK331" i="12"/>
  <c r="BL331" i="12" s="1"/>
  <c r="BK302" i="12"/>
  <c r="BL302" i="12" s="1"/>
  <c r="BK389" i="12"/>
  <c r="BL389" i="12" s="1"/>
  <c r="BK333" i="12"/>
  <c r="BL333" i="12" s="1"/>
  <c r="BK323" i="12"/>
  <c r="BL323" i="12" s="1"/>
  <c r="BK140" i="12"/>
  <c r="BL140" i="12" s="1"/>
  <c r="BK390" i="12"/>
  <c r="BL390" i="12" s="1"/>
  <c r="BK189" i="12"/>
  <c r="BL189" i="12" s="1"/>
  <c r="BK18" i="12"/>
  <c r="BL18" i="12" s="1"/>
  <c r="BK193" i="12"/>
  <c r="BL193" i="12" s="1"/>
  <c r="BK167" i="12"/>
  <c r="BL167" i="12" s="1"/>
  <c r="BK135" i="12"/>
  <c r="BL135" i="12" s="1"/>
  <c r="BK400" i="12"/>
  <c r="BL400" i="12" s="1"/>
  <c r="BK93" i="12"/>
  <c r="BL93" i="12" s="1"/>
  <c r="BK359" i="12"/>
  <c r="BL359" i="12" s="1"/>
  <c r="BK218" i="12"/>
  <c r="BL218" i="12" s="1"/>
  <c r="BK311" i="12"/>
  <c r="BL311" i="12" s="1"/>
  <c r="BK353" i="12"/>
  <c r="BL353" i="12" s="1"/>
  <c r="BK110" i="12"/>
  <c r="BL110" i="12" s="1"/>
  <c r="BK301" i="12"/>
  <c r="BL301" i="12" s="1"/>
  <c r="BK120" i="12"/>
  <c r="BL120" i="12" s="1"/>
  <c r="BK133" i="12"/>
  <c r="BL133" i="12" s="1"/>
  <c r="BK265" i="12"/>
  <c r="BL265" i="12" s="1"/>
  <c r="BK221" i="12"/>
  <c r="BL221" i="12" s="1"/>
  <c r="BK204" i="12"/>
  <c r="BL204" i="12" s="1"/>
  <c r="BK12" i="12"/>
  <c r="BL12" i="12" s="1"/>
  <c r="BK66" i="12"/>
  <c r="BL66" i="12" s="1"/>
  <c r="BK329" i="12"/>
  <c r="BL329" i="12" s="1"/>
  <c r="BK322" i="12"/>
  <c r="BL322" i="12" s="1"/>
  <c r="BK320" i="12"/>
  <c r="BL320" i="12" s="1"/>
  <c r="BK28" i="12"/>
  <c r="BL28" i="12" s="1"/>
  <c r="BK215" i="12"/>
  <c r="BL215" i="12" s="1"/>
  <c r="BK175" i="12"/>
  <c r="BL175" i="12" s="1"/>
  <c r="BK132" i="12"/>
  <c r="BL132" i="12" s="1"/>
  <c r="BK230" i="12"/>
  <c r="BL230" i="12" s="1"/>
  <c r="BK257" i="12"/>
  <c r="BL257" i="12" s="1"/>
  <c r="BK273" i="12"/>
  <c r="BL273" i="12" s="1"/>
  <c r="BK313" i="12"/>
  <c r="BL313" i="12" s="1"/>
  <c r="BK328" i="12"/>
  <c r="BL328" i="12" s="1"/>
  <c r="BK161" i="12"/>
  <c r="BL161" i="12" s="1"/>
  <c r="BK371" i="12"/>
  <c r="BL371" i="12" s="1"/>
  <c r="BK258" i="12"/>
  <c r="BL258" i="12" s="1"/>
  <c r="BK275" i="12"/>
  <c r="BL275" i="12" s="1"/>
  <c r="BK202" i="12"/>
  <c r="BL202" i="12" s="1"/>
  <c r="BK349" i="12"/>
  <c r="BL349" i="12" s="1"/>
  <c r="BK345" i="12"/>
  <c r="BL345" i="12" s="1"/>
  <c r="BK187" i="12"/>
  <c r="BL187" i="12" s="1"/>
  <c r="BK326" i="12"/>
  <c r="BL326" i="12" s="1"/>
  <c r="BK253" i="12"/>
  <c r="BL253" i="12" s="1"/>
  <c r="BK337" i="12"/>
  <c r="BL337" i="12" s="1"/>
  <c r="BK283" i="12"/>
  <c r="BL283" i="12" s="1"/>
  <c r="BK324" i="12"/>
  <c r="BL324" i="12" s="1"/>
  <c r="BK108" i="12"/>
  <c r="BL108" i="12" s="1"/>
  <c r="BK211" i="12"/>
  <c r="BL211" i="12" s="1"/>
  <c r="BK10" i="12"/>
  <c r="BL10" i="12" s="1"/>
  <c r="BK344" i="12"/>
  <c r="BL344" i="12" s="1"/>
  <c r="BK181" i="12"/>
  <c r="BL181" i="12" s="1"/>
  <c r="BK210" i="12"/>
  <c r="BL210" i="12" s="1"/>
  <c r="BK144" i="12"/>
  <c r="BL144" i="12" s="1"/>
  <c r="BK40" i="12"/>
  <c r="BL40" i="12" s="1"/>
  <c r="BK217" i="12"/>
  <c r="BL217" i="12" s="1"/>
  <c r="BK107" i="12"/>
  <c r="BL107" i="12" s="1"/>
  <c r="BK115" i="12"/>
  <c r="BL115" i="12" s="1"/>
  <c r="BK26" i="12"/>
  <c r="BL26" i="12" s="1"/>
  <c r="BK386" i="12"/>
  <c r="BL386" i="12" s="1"/>
  <c r="BK298" i="12"/>
  <c r="BL298" i="12" s="1"/>
  <c r="BK76" i="12"/>
  <c r="BL76" i="12" s="1"/>
  <c r="BK39" i="12"/>
  <c r="BL39" i="12" s="1"/>
  <c r="BK196" i="12"/>
  <c r="BL196" i="12" s="1"/>
  <c r="BK262" i="12"/>
  <c r="BL262" i="12" s="1"/>
  <c r="BK4" i="12"/>
  <c r="BL4" i="12" s="1"/>
  <c r="BK183" i="12"/>
  <c r="BL183" i="12" s="1"/>
  <c r="BK29" i="12"/>
  <c r="BL29" i="12" s="1"/>
  <c r="BK158" i="12"/>
  <c r="BL158" i="12" s="1"/>
  <c r="BK266" i="12"/>
  <c r="BL266" i="12" s="1"/>
  <c r="BK112" i="12"/>
  <c r="BL112" i="12" s="1"/>
  <c r="BK318" i="12"/>
  <c r="BL318" i="12" s="1"/>
  <c r="BK347" i="12"/>
  <c r="BL347" i="12" s="1"/>
  <c r="BK379" i="12"/>
  <c r="BL379" i="12" s="1"/>
  <c r="BK384" i="12"/>
  <c r="BL384" i="12" s="1"/>
  <c r="BK34" i="12"/>
  <c r="BL34" i="12" s="1"/>
  <c r="BK149" i="12"/>
  <c r="BL149" i="12" s="1"/>
  <c r="BK85" i="12"/>
  <c r="BL85" i="12" s="1"/>
  <c r="BK348" i="12"/>
  <c r="BL348" i="12" s="1"/>
  <c r="BK83" i="12"/>
  <c r="BL83" i="12" s="1"/>
  <c r="BK307" i="12"/>
  <c r="BL307" i="12" s="1"/>
  <c r="BK5" i="12"/>
  <c r="BL5" i="12" s="1"/>
  <c r="BK285" i="12"/>
  <c r="BL285" i="12" s="1"/>
  <c r="BK119" i="12"/>
  <c r="BL119" i="12" s="1"/>
  <c r="BK55" i="12"/>
  <c r="BL55" i="12" s="1"/>
  <c r="BK44" i="12"/>
  <c r="BL44" i="12" s="1"/>
  <c r="BK319" i="12"/>
  <c r="BL319" i="12" s="1"/>
  <c r="BK114" i="12"/>
  <c r="BL114" i="12" s="1"/>
  <c r="BK208" i="12"/>
  <c r="BL208" i="12" s="1"/>
  <c r="BK142" i="12"/>
  <c r="BL142" i="12" s="1"/>
  <c r="BK256" i="12"/>
  <c r="BL256" i="12" s="1"/>
  <c r="BK195" i="12"/>
  <c r="BL195" i="12" s="1"/>
  <c r="BK237" i="12"/>
  <c r="BL237" i="12" s="1"/>
  <c r="BK216" i="12"/>
  <c r="BL216" i="12" s="1"/>
  <c r="BK130" i="12"/>
  <c r="BL130" i="12" s="1"/>
  <c r="BK397" i="12"/>
  <c r="BL397" i="12" s="1"/>
  <c r="BK255" i="12"/>
  <c r="BL255" i="12" s="1"/>
  <c r="BK80" i="12"/>
  <c r="BL80" i="12" s="1"/>
  <c r="BK355" i="12"/>
  <c r="BL355" i="12" s="1"/>
  <c r="BK113" i="12"/>
  <c r="BL113" i="12" s="1"/>
  <c r="BK191" i="12"/>
  <c r="BL191" i="12" s="1"/>
  <c r="BK186" i="12"/>
  <c r="BL186" i="12" s="1"/>
  <c r="BK118" i="12"/>
  <c r="BL118" i="12" s="1"/>
  <c r="BK154" i="12"/>
  <c r="BL154" i="12" s="1"/>
  <c r="BK27" i="12"/>
  <c r="BL27" i="12" s="1"/>
  <c r="BK229" i="12"/>
  <c r="BL229" i="12" s="1"/>
  <c r="BK308" i="12"/>
  <c r="BL308" i="12" s="1"/>
  <c r="BK387" i="12"/>
  <c r="BL387" i="12" s="1"/>
  <c r="BK69" i="12"/>
  <c r="BL69" i="12" s="1"/>
  <c r="BK388" i="12"/>
  <c r="BL388" i="12" s="1"/>
  <c r="BK247" i="12"/>
  <c r="BL247" i="12" s="1"/>
  <c r="BK99" i="12"/>
  <c r="BL99" i="12" s="1"/>
  <c r="BK303" i="12"/>
  <c r="BL303" i="12" s="1"/>
  <c r="BK106" i="12"/>
  <c r="BL106" i="12" s="1"/>
  <c r="BK100" i="12"/>
  <c r="BL100" i="12" s="1"/>
  <c r="BK236" i="12"/>
  <c r="BL236" i="12" s="1"/>
  <c r="BK246" i="12"/>
  <c r="BL246" i="12" s="1"/>
  <c r="BK365" i="12"/>
  <c r="BL365" i="12" s="1"/>
  <c r="BK53" i="12"/>
  <c r="BL53" i="12" s="1"/>
  <c r="BK201" i="12"/>
  <c r="BL201" i="12" s="1"/>
  <c r="BK89" i="12"/>
  <c r="BL89" i="12" s="1"/>
  <c r="BK325" i="12"/>
  <c r="BL325" i="12" s="1"/>
  <c r="BK155" i="12"/>
  <c r="BL155" i="12" s="1"/>
  <c r="BK261" i="12"/>
  <c r="BL261" i="12" s="1"/>
  <c r="BK97" i="12"/>
  <c r="BL97" i="12" s="1"/>
  <c r="BK200" i="12"/>
  <c r="BL200" i="12" s="1"/>
  <c r="BK116" i="12"/>
  <c r="BL116" i="12" s="1"/>
  <c r="BK43" i="12"/>
  <c r="BL43" i="12" s="1"/>
  <c r="BK9" i="12"/>
  <c r="BL9" i="12" s="1"/>
  <c r="BK127" i="12"/>
  <c r="BL127" i="12" s="1"/>
  <c r="BK368" i="12"/>
  <c r="BL368" i="12" s="1"/>
  <c r="BK128" i="12"/>
  <c r="BL128" i="12" s="1"/>
  <c r="BK296" i="12"/>
  <c r="BL296" i="12" s="1"/>
  <c r="BK148" i="12"/>
  <c r="BL148" i="12" s="1"/>
  <c r="BK145" i="12"/>
  <c r="BL145" i="12" s="1"/>
  <c r="BK250" i="12"/>
  <c r="BL250" i="12" s="1"/>
  <c r="BK271" i="12"/>
  <c r="BL271" i="12" s="1"/>
  <c r="BK41" i="12"/>
  <c r="BL41" i="12" s="1"/>
  <c r="BK15" i="12"/>
  <c r="BL15" i="12" s="1"/>
  <c r="BK59" i="12"/>
  <c r="BL59" i="12" s="1"/>
  <c r="BK248" i="12"/>
  <c r="BL248" i="12" s="1"/>
  <c r="BK288" i="12"/>
  <c r="BL288" i="12" s="1"/>
  <c r="BK249" i="12"/>
  <c r="BL249" i="12" s="1"/>
  <c r="BK197" i="12"/>
  <c r="BL197" i="12" s="1"/>
  <c r="BK338" i="12"/>
  <c r="BL338" i="12" s="1"/>
  <c r="BK84" i="12"/>
  <c r="BL84" i="12" s="1"/>
  <c r="BK281" i="12"/>
  <c r="BL281" i="12" s="1"/>
  <c r="BK272" i="12"/>
  <c r="BL272" i="12" s="1"/>
  <c r="BK124" i="12"/>
  <c r="BL124" i="12" s="1"/>
  <c r="BK286" i="12"/>
  <c r="BL286" i="12" s="1"/>
  <c r="BK226" i="12"/>
  <c r="BL226" i="12" s="1"/>
  <c r="BK341" i="12"/>
  <c r="BL341" i="12" s="1"/>
  <c r="BK278" i="12"/>
  <c r="BL278" i="12" s="1"/>
  <c r="BK25" i="12"/>
  <c r="BL25" i="12" s="1"/>
  <c r="BK233" i="12"/>
  <c r="BL233" i="12" s="1"/>
  <c r="BK91" i="12"/>
  <c r="BL91" i="12" s="1"/>
  <c r="BK251" i="12"/>
  <c r="BL251" i="12" s="1"/>
  <c r="BK123" i="12"/>
  <c r="BL123" i="12" s="1"/>
  <c r="BK87" i="12"/>
  <c r="BL87" i="12" s="1"/>
  <c r="BK293" i="12"/>
  <c r="BL293" i="12" s="1"/>
  <c r="BK172" i="12"/>
  <c r="BL172" i="12" s="1"/>
  <c r="BK244" i="12"/>
  <c r="BL244" i="12" s="1"/>
  <c r="BK373" i="12"/>
  <c r="BL373" i="12" s="1"/>
  <c r="BK137" i="12"/>
  <c r="BL137" i="12" s="1"/>
  <c r="BK165" i="12"/>
  <c r="BL165" i="12" s="1"/>
  <c r="BK122" i="12"/>
  <c r="BL122" i="12" s="1"/>
  <c r="BK377" i="12"/>
  <c r="BL377" i="12" s="1"/>
  <c r="BK207" i="12"/>
  <c r="BL207" i="12" s="1"/>
  <c r="BK74" i="12"/>
  <c r="BL74" i="12" s="1"/>
  <c r="BK312" i="12"/>
  <c r="BL312" i="12" s="1"/>
  <c r="BK61" i="12"/>
  <c r="BL61" i="12" s="1"/>
  <c r="BK24" i="12"/>
  <c r="BL24" i="12" s="1"/>
  <c r="BK174" i="12"/>
  <c r="BL174" i="12" s="1"/>
  <c r="BK42" i="12"/>
  <c r="BL42" i="12" s="1"/>
  <c r="BK363" i="12"/>
  <c r="BL363" i="12" s="1"/>
  <c r="BK72" i="12"/>
  <c r="BL72" i="12" s="1"/>
  <c r="BK173" i="12"/>
  <c r="BL173" i="12" s="1"/>
  <c r="BK139" i="12"/>
  <c r="BL139" i="12" s="1"/>
  <c r="BK19" i="12"/>
  <c r="BL19" i="12" s="1"/>
  <c r="BK194" i="12"/>
  <c r="BL194" i="12" s="1"/>
  <c r="BK182" i="12"/>
  <c r="BL182" i="12" s="1"/>
  <c r="BK50" i="12"/>
  <c r="BL50" i="12" s="1"/>
  <c r="BK164" i="12"/>
  <c r="BL164" i="12" s="1"/>
  <c r="BK398" i="12"/>
  <c r="BL398" i="12" s="1"/>
  <c r="BK340" i="12"/>
  <c r="BL340" i="12" s="1"/>
  <c r="BK260" i="12"/>
  <c r="BL260" i="12" s="1"/>
  <c r="BK138" i="12"/>
  <c r="BL138" i="12" s="1"/>
  <c r="BK279" i="12"/>
  <c r="BL279" i="12" s="1"/>
  <c r="BK264" i="12"/>
  <c r="BL264" i="12" s="1"/>
  <c r="BK65" i="12"/>
  <c r="BL65" i="12" s="1"/>
  <c r="BK56" i="12"/>
  <c r="BL56" i="12" s="1"/>
  <c r="BK351" i="12"/>
  <c r="BL351" i="12" s="1"/>
  <c r="BK166" i="12"/>
  <c r="BL166" i="12" s="1"/>
  <c r="BK152" i="12"/>
  <c r="BL152" i="12" s="1"/>
  <c r="BK376" i="12"/>
  <c r="BL376" i="12" s="1"/>
  <c r="BK98" i="12"/>
  <c r="BL98" i="12" s="1"/>
  <c r="BK14" i="12"/>
  <c r="BL14" i="12" s="1"/>
  <c r="BK46" i="12"/>
  <c r="BL46" i="12" s="1"/>
  <c r="BK121" i="12"/>
  <c r="BL121" i="12" s="1"/>
  <c r="BK153" i="12"/>
  <c r="BL153" i="12" s="1"/>
  <c r="BK103" i="12"/>
  <c r="BL103" i="12" s="1"/>
  <c r="BK62" i="12"/>
  <c r="BL62" i="12" s="1"/>
  <c r="BK294" i="12"/>
  <c r="BL294" i="12" s="1"/>
  <c r="BK82" i="12"/>
  <c r="BL82" i="12" s="1"/>
  <c r="BK232" i="12"/>
  <c r="BL232" i="12" s="1"/>
  <c r="BK219" i="12"/>
  <c r="BL219" i="12" s="1"/>
  <c r="BK242" i="12"/>
  <c r="BL242" i="12" s="1"/>
  <c r="BK290" i="12"/>
  <c r="BL290" i="12" s="1"/>
  <c r="BK332" i="12"/>
  <c r="BL332" i="12" s="1"/>
  <c r="BK213" i="12"/>
  <c r="BL213" i="12" s="1"/>
  <c r="BK380" i="12"/>
  <c r="BL380" i="12" s="1"/>
  <c r="BK369" i="12"/>
  <c r="BL369" i="12" s="1"/>
  <c r="BK392" i="12"/>
  <c r="BL392" i="12" s="1"/>
  <c r="BK58" i="12"/>
  <c r="BL58" i="12" s="1"/>
  <c r="BK360" i="12"/>
  <c r="BL360" i="12" s="1"/>
  <c r="BK37" i="12"/>
  <c r="BL37" i="12" s="1"/>
  <c r="BK321" i="12"/>
  <c r="BL321" i="12" s="1"/>
  <c r="BK48" i="12"/>
  <c r="BL48" i="12" s="1"/>
  <c r="BK198" i="12"/>
  <c r="BL198" i="12" s="1"/>
  <c r="BK223" i="12"/>
  <c r="BL223" i="12" s="1"/>
  <c r="BK282" i="12"/>
  <c r="BL282" i="12" s="1"/>
  <c r="BK245" i="12"/>
  <c r="BL245" i="12" s="1"/>
  <c r="BK156" i="12"/>
  <c r="BL156" i="12" s="1"/>
  <c r="BK356" i="12"/>
  <c r="BL356" i="12" s="1"/>
  <c r="BK203" i="12"/>
  <c r="BL203" i="12" s="1"/>
  <c r="BK190" i="12"/>
  <c r="BL190" i="12" s="1"/>
  <c r="BK151" i="12"/>
  <c r="BL151" i="12" s="1"/>
  <c r="BK95" i="12"/>
  <c r="BL95" i="12" s="1"/>
  <c r="BK70" i="12"/>
  <c r="BL70" i="12" s="1"/>
  <c r="BK317" i="12"/>
  <c r="BL317" i="12" s="1"/>
  <c r="BK185" i="12"/>
  <c r="BL185" i="12" s="1"/>
  <c r="BK188" i="12"/>
  <c r="BL188" i="12" s="1"/>
  <c r="BK184" i="12"/>
  <c r="BL184" i="12" s="1"/>
  <c r="BK231" i="12"/>
  <c r="BL231" i="12" s="1"/>
  <c r="BK150" i="12"/>
  <c r="BL150" i="12" s="1"/>
  <c r="BK214" i="12"/>
  <c r="BL214" i="12" s="1"/>
  <c r="BK11" i="12"/>
  <c r="BL11" i="12" s="1"/>
  <c r="BK6" i="12"/>
  <c r="BL6" i="12" s="1"/>
  <c r="BK78" i="12"/>
  <c r="BL78" i="12" s="1"/>
  <c r="BK254" i="12"/>
  <c r="BL254" i="12" s="1"/>
  <c r="BK176" i="12"/>
  <c r="BL176" i="12" s="1"/>
  <c r="BK364" i="12"/>
  <c r="BL364" i="12" s="1"/>
  <c r="BK178" i="12"/>
  <c r="BL178" i="12" s="1"/>
  <c r="BK199" i="12"/>
  <c r="BL199" i="12" s="1"/>
  <c r="BK35" i="12"/>
  <c r="BL35" i="12" s="1"/>
  <c r="BK68" i="12"/>
  <c r="BL68" i="12" s="1"/>
  <c r="BK354" i="12"/>
  <c r="BL354" i="12" s="1"/>
  <c r="BK291" i="12"/>
  <c r="BL291" i="12" s="1"/>
  <c r="BK7" i="12"/>
  <c r="BL7" i="12" s="1"/>
  <c r="BK225" i="12"/>
  <c r="BL225" i="12" s="1"/>
  <c r="BK22" i="12"/>
  <c r="BL22" i="12" s="1"/>
  <c r="BK79" i="12"/>
  <c r="BL79" i="12" s="1"/>
  <c r="BK383" i="12"/>
  <c r="BL383" i="12" s="1"/>
  <c r="BK168" i="12"/>
  <c r="BL168" i="12" s="1"/>
  <c r="BK192" i="12"/>
  <c r="BL192" i="12" s="1"/>
  <c r="BK327" i="12"/>
  <c r="BL327" i="12" s="1"/>
  <c r="BK399" i="12"/>
  <c r="BL399" i="12" s="1"/>
  <c r="BK8" i="12"/>
  <c r="BL8" i="12" s="1"/>
  <c r="BK170" i="12"/>
  <c r="BL170" i="12" s="1"/>
  <c r="BK205" i="12"/>
  <c r="BL205" i="12" s="1"/>
  <c r="BK3" i="12"/>
  <c r="BL3" i="12" s="1"/>
  <c r="BK13" i="12"/>
  <c r="BL13" i="12" s="1"/>
  <c r="BK146" i="12"/>
  <c r="BL146" i="12" s="1"/>
  <c r="BK141" i="12"/>
  <c r="BL141" i="12" s="1"/>
  <c r="BK111" i="12"/>
  <c r="BL111" i="12" s="1"/>
  <c r="BK163" i="12"/>
  <c r="BL163" i="12" s="1"/>
  <c r="BK357" i="12"/>
  <c r="BL357" i="12" s="1"/>
  <c r="BK334" i="12"/>
  <c r="BL334" i="12" s="1"/>
  <c r="BK60" i="12"/>
  <c r="BL60" i="12" s="1"/>
  <c r="BK310" i="12"/>
  <c r="BL310" i="12" s="1"/>
  <c r="BK396" i="12"/>
  <c r="BL396" i="12" s="1"/>
  <c r="BK378" i="12"/>
  <c r="BL378" i="12" s="1"/>
  <c r="BK96" i="12"/>
  <c r="BL96" i="12" s="1"/>
  <c r="BK292" i="12"/>
  <c r="BL292" i="12" s="1"/>
  <c r="BK234" i="12"/>
  <c r="BL234" i="12" s="1"/>
  <c r="BK92" i="12"/>
  <c r="BL92" i="12" s="1"/>
  <c r="BK88" i="12"/>
  <c r="BL88" i="12" s="1"/>
  <c r="BK157" i="12"/>
  <c r="BL157" i="12" s="1"/>
  <c r="BK31" i="12"/>
  <c r="BL31" i="12" s="1"/>
  <c r="BK395" i="12"/>
  <c r="BL395" i="12" s="1"/>
  <c r="BK90" i="12"/>
  <c r="BL90" i="12" s="1"/>
  <c r="BK36" i="12"/>
  <c r="BL36" i="12" s="1"/>
  <c r="BK315" i="12"/>
  <c r="BL315" i="12" s="1"/>
  <c r="BK252" i="12"/>
  <c r="BL252" i="12" s="1"/>
  <c r="BK131" i="12"/>
  <c r="BL131" i="12" s="1"/>
  <c r="BK352" i="12"/>
  <c r="BL352" i="12" s="1"/>
  <c r="BK350" i="12"/>
  <c r="BL350" i="12" s="1"/>
  <c r="BK343" i="12"/>
  <c r="BL343" i="12" s="1"/>
  <c r="BK274" i="12"/>
  <c r="BL274" i="12" s="1"/>
  <c r="BK276" i="12"/>
  <c r="BL276" i="12" s="1"/>
  <c r="BK382" i="12"/>
  <c r="BL382" i="12" s="1"/>
  <c r="BK370" i="12"/>
  <c r="BL370" i="12" s="1"/>
  <c r="BK21" i="12"/>
  <c r="BL21" i="12" s="1"/>
  <c r="BK101" i="12"/>
  <c r="BL101" i="12" s="1"/>
  <c r="BK277" i="12"/>
  <c r="BL277" i="12" s="1"/>
  <c r="BK385" i="12"/>
  <c r="BL385" i="12" s="1"/>
  <c r="BK126" i="12"/>
  <c r="BL126" i="12" s="1"/>
  <c r="BK47" i="12"/>
  <c r="BL47" i="12" s="1"/>
  <c r="BK16" i="12"/>
  <c r="BL16" i="12" s="1"/>
  <c r="BK75" i="12"/>
  <c r="BL75" i="12" s="1"/>
  <c r="BK180" i="12"/>
  <c r="BL180" i="12" s="1"/>
  <c r="BK169" i="12"/>
  <c r="BL169" i="12" s="1"/>
  <c r="BK147" i="12"/>
  <c r="BL147" i="12" s="1"/>
  <c r="BK20" i="12"/>
  <c r="BL20" i="12" s="1"/>
  <c r="BK104" i="12"/>
  <c r="BL104" i="12" s="1"/>
  <c r="BH108" i="12"/>
  <c r="BS97" i="12"/>
  <c r="BS98" i="12" s="1"/>
  <c r="BI180" i="12"/>
  <c r="BH109" i="12"/>
  <c r="BH110" i="12" s="1"/>
  <c r="BJ277" i="12"/>
  <c r="BJ278" i="12" s="1"/>
  <c r="BJ279" i="12" s="1"/>
  <c r="BJ280" i="12" s="1"/>
  <c r="BH171" i="12"/>
  <c r="CU90" i="12" l="1"/>
  <c r="BJ302" i="12"/>
  <c r="BJ303" i="12" s="1"/>
  <c r="BJ289" i="12"/>
  <c r="BS99" i="12"/>
  <c r="BL2" i="12"/>
  <c r="BS100" i="12"/>
  <c r="BS101" i="12" s="1"/>
  <c r="CU96" i="12"/>
  <c r="BH111" i="12"/>
  <c r="BI181" i="12"/>
  <c r="BI182" i="12" s="1"/>
  <c r="BI183" i="12" s="1"/>
  <c r="BI184" i="12" s="1"/>
  <c r="BJ1" i="12" l="1"/>
  <c r="BQ304" i="12" s="1"/>
  <c r="BR304" i="12" s="1"/>
  <c r="CU91" i="12"/>
  <c r="CU94" i="12" s="1"/>
  <c r="BS102" i="12"/>
  <c r="CU97" i="12"/>
  <c r="BH112" i="12"/>
  <c r="BH113" i="12" s="1"/>
  <c r="BI185" i="12"/>
  <c r="BQ340" i="12" l="1"/>
  <c r="BR340" i="12" s="1"/>
  <c r="BQ302" i="12"/>
  <c r="BR302" i="12" s="1"/>
  <c r="BQ120" i="12"/>
  <c r="BR120" i="12" s="1"/>
  <c r="BQ352" i="12"/>
  <c r="BR352" i="12" s="1"/>
  <c r="BQ362" i="12"/>
  <c r="BR362" i="12" s="1"/>
  <c r="BQ13" i="12"/>
  <c r="BR13" i="12" s="1"/>
  <c r="BQ389" i="12"/>
  <c r="BR389" i="12" s="1"/>
  <c r="BQ52" i="12"/>
  <c r="BR52" i="12" s="1"/>
  <c r="BQ75" i="12"/>
  <c r="BR75" i="12" s="1"/>
  <c r="BQ7" i="12"/>
  <c r="BR7" i="12" s="1"/>
  <c r="BQ26" i="12"/>
  <c r="BR26" i="12" s="1"/>
  <c r="BQ129" i="12"/>
  <c r="BR129" i="12" s="1"/>
  <c r="BQ382" i="12"/>
  <c r="BR382" i="12" s="1"/>
  <c r="BQ149" i="12"/>
  <c r="BR149" i="12" s="1"/>
  <c r="BQ64" i="12"/>
  <c r="BR64" i="12" s="1"/>
  <c r="BQ175" i="12"/>
  <c r="BR175" i="12" s="1"/>
  <c r="BQ291" i="12"/>
  <c r="BR291" i="12" s="1"/>
  <c r="BQ215" i="12"/>
  <c r="BR215" i="12" s="1"/>
  <c r="BQ219" i="12"/>
  <c r="BR219" i="12" s="1"/>
  <c r="BQ179" i="12"/>
  <c r="BR179" i="12" s="1"/>
  <c r="BQ322" i="12"/>
  <c r="BR322" i="12" s="1"/>
  <c r="BQ241" i="12"/>
  <c r="BR241" i="12" s="1"/>
  <c r="BQ89" i="12"/>
  <c r="BR89" i="12" s="1"/>
  <c r="BQ306" i="12"/>
  <c r="BR306" i="12" s="1"/>
  <c r="BQ279" i="12"/>
  <c r="BR279" i="12" s="1"/>
  <c r="BQ66" i="12"/>
  <c r="BR66" i="12" s="1"/>
  <c r="BQ176" i="12"/>
  <c r="BR176" i="12" s="1"/>
  <c r="BQ110" i="12"/>
  <c r="BR110" i="12" s="1"/>
  <c r="BQ235" i="12"/>
  <c r="BR235" i="12" s="1"/>
  <c r="BQ288" i="12"/>
  <c r="BR288" i="12" s="1"/>
  <c r="BQ73" i="12"/>
  <c r="BR73" i="12" s="1"/>
  <c r="BQ171" i="12"/>
  <c r="BR171" i="12" s="1"/>
  <c r="BQ269" i="12"/>
  <c r="BR269" i="12" s="1"/>
  <c r="BQ230" i="12"/>
  <c r="BR230" i="12" s="1"/>
  <c r="BQ316" i="12"/>
  <c r="BR316" i="12" s="1"/>
  <c r="BQ195" i="12"/>
  <c r="BR195" i="12" s="1"/>
  <c r="BQ330" i="12"/>
  <c r="BR330" i="12" s="1"/>
  <c r="BQ369" i="12"/>
  <c r="BR369" i="12" s="1"/>
  <c r="BQ68" i="12"/>
  <c r="BR68" i="12" s="1"/>
  <c r="BQ136" i="12"/>
  <c r="BR136" i="12" s="1"/>
  <c r="BQ135" i="12"/>
  <c r="BR135" i="12" s="1"/>
  <c r="BQ128" i="12"/>
  <c r="BR128" i="12" s="1"/>
  <c r="BQ94" i="12"/>
  <c r="BR94" i="12" s="1"/>
  <c r="BQ96" i="12"/>
  <c r="BR96" i="12" s="1"/>
  <c r="BQ88" i="12"/>
  <c r="BR88" i="12" s="1"/>
  <c r="BQ363" i="12"/>
  <c r="BR363" i="12" s="1"/>
  <c r="BQ229" i="12"/>
  <c r="BR229" i="12" s="1"/>
  <c r="BQ203" i="12"/>
  <c r="BR203" i="12" s="1"/>
  <c r="BQ62" i="12"/>
  <c r="BR62" i="12" s="1"/>
  <c r="BQ28" i="12"/>
  <c r="BR28" i="12" s="1"/>
  <c r="BQ140" i="12"/>
  <c r="BR140" i="12" s="1"/>
  <c r="BQ376" i="12"/>
  <c r="BR376" i="12" s="1"/>
  <c r="BQ20" i="12"/>
  <c r="BR20" i="12" s="1"/>
  <c r="BQ399" i="12"/>
  <c r="BR399" i="12" s="1"/>
  <c r="BQ80" i="12"/>
  <c r="BR80" i="12" s="1"/>
  <c r="BQ114" i="12"/>
  <c r="BR114" i="12" s="1"/>
  <c r="BQ108" i="12"/>
  <c r="BR108" i="12" s="1"/>
  <c r="BQ143" i="12"/>
  <c r="BR143" i="12" s="1"/>
  <c r="BQ145" i="12"/>
  <c r="BR145" i="12" s="1"/>
  <c r="BQ218" i="12"/>
  <c r="BR218" i="12" s="1"/>
  <c r="BQ21" i="12"/>
  <c r="BR21" i="12" s="1"/>
  <c r="BQ372" i="12"/>
  <c r="BR372" i="12" s="1"/>
  <c r="BQ147" i="12"/>
  <c r="BR147" i="12" s="1"/>
  <c r="BQ336" i="12"/>
  <c r="BR336" i="12" s="1"/>
  <c r="BQ359" i="12"/>
  <c r="BR359" i="12" s="1"/>
  <c r="BQ255" i="12"/>
  <c r="BR255" i="12" s="1"/>
  <c r="BQ373" i="12"/>
  <c r="BR373" i="12" s="1"/>
  <c r="BQ348" i="12"/>
  <c r="BR348" i="12" s="1"/>
  <c r="BQ365" i="12"/>
  <c r="BR365" i="12" s="1"/>
  <c r="BQ225" i="12"/>
  <c r="BR225" i="12" s="1"/>
  <c r="BQ10" i="12"/>
  <c r="BR10" i="12" s="1"/>
  <c r="BQ353" i="12"/>
  <c r="BR353" i="12" s="1"/>
  <c r="BQ192" i="12"/>
  <c r="BR192" i="12" s="1"/>
  <c r="BQ123" i="12"/>
  <c r="BR123" i="12" s="1"/>
  <c r="BQ315" i="12"/>
  <c r="BR315" i="12" s="1"/>
  <c r="BQ289" i="12"/>
  <c r="BR289" i="12" s="1"/>
  <c r="BQ317" i="12"/>
  <c r="BR317" i="12" s="1"/>
  <c r="BQ355" i="12"/>
  <c r="BR355" i="12" s="1"/>
  <c r="BQ153" i="12"/>
  <c r="BR153" i="12" s="1"/>
  <c r="BQ124" i="12"/>
  <c r="BR124" i="12" s="1"/>
  <c r="BQ381" i="12"/>
  <c r="BR381" i="12" s="1"/>
  <c r="BQ178" i="12"/>
  <c r="BR178" i="12" s="1"/>
  <c r="BQ250" i="12"/>
  <c r="BR250" i="12" s="1"/>
  <c r="BQ207" i="12"/>
  <c r="BR207" i="12" s="1"/>
  <c r="BQ161" i="12"/>
  <c r="BR161" i="12" s="1"/>
  <c r="BQ213" i="12"/>
  <c r="BR213" i="12" s="1"/>
  <c r="BQ368" i="12"/>
  <c r="BR368" i="12" s="1"/>
  <c r="BQ69" i="12"/>
  <c r="BR69" i="12" s="1"/>
  <c r="BQ76" i="12"/>
  <c r="BR76" i="12" s="1"/>
  <c r="BQ119" i="12"/>
  <c r="BR119" i="12" s="1"/>
  <c r="BQ254" i="12"/>
  <c r="BR254" i="12" s="1"/>
  <c r="BQ351" i="12"/>
  <c r="BR351" i="12" s="1"/>
  <c r="BQ139" i="12"/>
  <c r="BR139" i="12" s="1"/>
  <c r="BQ358" i="12"/>
  <c r="BR358" i="12" s="1"/>
  <c r="BQ374" i="12"/>
  <c r="BR374" i="12" s="1"/>
  <c r="BQ172" i="12"/>
  <c r="BR172" i="12" s="1"/>
  <c r="BQ275" i="12"/>
  <c r="BR275" i="12" s="1"/>
  <c r="BQ395" i="12"/>
  <c r="BR395" i="12" s="1"/>
  <c r="BQ17" i="12"/>
  <c r="BR17" i="12" s="1"/>
  <c r="BQ296" i="12"/>
  <c r="BR296" i="12" s="1"/>
  <c r="BQ253" i="12"/>
  <c r="BR253" i="12" s="1"/>
  <c r="BQ182" i="12"/>
  <c r="BR182" i="12" s="1"/>
  <c r="BQ151" i="12"/>
  <c r="BR151" i="12" s="1"/>
  <c r="BQ122" i="12"/>
  <c r="BR122" i="12" s="1"/>
  <c r="BQ278" i="12"/>
  <c r="BR278" i="12" s="1"/>
  <c r="BQ212" i="12"/>
  <c r="BR212" i="12" s="1"/>
  <c r="BQ141" i="12"/>
  <c r="BR141" i="12" s="1"/>
  <c r="BQ200" i="12"/>
  <c r="BR200" i="12" s="1"/>
  <c r="BQ380" i="12"/>
  <c r="BR380" i="12" s="1"/>
  <c r="BQ90" i="12"/>
  <c r="BR90" i="12" s="1"/>
  <c r="BQ33" i="12"/>
  <c r="BR33" i="12" s="1"/>
  <c r="BQ4" i="12"/>
  <c r="BR4" i="12" s="1"/>
  <c r="BQ345" i="12"/>
  <c r="BR345" i="12" s="1"/>
  <c r="BQ277" i="12"/>
  <c r="BR277" i="12" s="1"/>
  <c r="BQ311" i="12"/>
  <c r="BR311" i="12" s="1"/>
  <c r="BQ49" i="12"/>
  <c r="BR49" i="12" s="1"/>
  <c r="BQ214" i="12"/>
  <c r="BR214" i="12" s="1"/>
  <c r="BQ244" i="12"/>
  <c r="BR244" i="12" s="1"/>
  <c r="BQ72" i="12"/>
  <c r="BR72" i="12" s="1"/>
  <c r="BQ387" i="12"/>
  <c r="BR387" i="12" s="1"/>
  <c r="BQ312" i="12"/>
  <c r="BR312" i="12" s="1"/>
  <c r="BQ57" i="12"/>
  <c r="BR57" i="12" s="1"/>
  <c r="BQ206" i="12"/>
  <c r="BR206" i="12" s="1"/>
  <c r="BQ238" i="12"/>
  <c r="BR238" i="12" s="1"/>
  <c r="BQ95" i="12"/>
  <c r="BR95" i="12" s="1"/>
  <c r="BQ318" i="12"/>
  <c r="BR318" i="12" s="1"/>
  <c r="BQ357" i="12"/>
  <c r="BR357" i="12" s="1"/>
  <c r="BQ270" i="12"/>
  <c r="BR270" i="12" s="1"/>
  <c r="BQ328" i="12"/>
  <c r="BR328" i="12" s="1"/>
  <c r="BQ303" i="12"/>
  <c r="BR303" i="12" s="1"/>
  <c r="BQ319" i="12"/>
  <c r="BR319" i="12" s="1"/>
  <c r="BQ106" i="12"/>
  <c r="BR106" i="12" s="1"/>
  <c r="BQ32" i="12"/>
  <c r="BR32" i="12" s="1"/>
  <c r="BQ34" i="12"/>
  <c r="BR34" i="12" s="1"/>
  <c r="BQ58" i="12"/>
  <c r="BR58" i="12" s="1"/>
  <c r="BQ284" i="12"/>
  <c r="BR284" i="12" s="1"/>
  <c r="BQ63" i="12"/>
  <c r="BR63" i="12" s="1"/>
  <c r="BQ115" i="12"/>
  <c r="BR115" i="12" s="1"/>
  <c r="BQ142" i="12"/>
  <c r="BR142" i="12" s="1"/>
  <c r="BQ251" i="12"/>
  <c r="BR251" i="12" s="1"/>
  <c r="BQ19" i="12"/>
  <c r="BR19" i="12" s="1"/>
  <c r="BQ14" i="12"/>
  <c r="BR14" i="12" s="1"/>
  <c r="BQ15" i="12"/>
  <c r="BR15" i="12" s="1"/>
  <c r="BQ236" i="12"/>
  <c r="BR236" i="12" s="1"/>
  <c r="BQ160" i="12"/>
  <c r="BR160" i="12" s="1"/>
  <c r="BQ274" i="12"/>
  <c r="BR274" i="12" s="1"/>
  <c r="BQ331" i="12"/>
  <c r="BR331" i="12" s="1"/>
  <c r="BQ323" i="12"/>
  <c r="BR323" i="12" s="1"/>
  <c r="BQ273" i="12"/>
  <c r="BR273" i="12" s="1"/>
  <c r="BQ308" i="12"/>
  <c r="BR308" i="12" s="1"/>
  <c r="BQ183" i="12"/>
  <c r="BR183" i="12" s="1"/>
  <c r="BQ294" i="12"/>
  <c r="BR294" i="12" s="1"/>
  <c r="BQ354" i="12"/>
  <c r="BR354" i="12" s="1"/>
  <c r="BQ329" i="12"/>
  <c r="BR329" i="12" s="1"/>
  <c r="BQ24" i="12"/>
  <c r="BR24" i="12" s="1"/>
  <c r="BQ397" i="12"/>
  <c r="BR397" i="12" s="1"/>
  <c r="BQ276" i="12"/>
  <c r="BR276" i="12" s="1"/>
  <c r="BQ45" i="12"/>
  <c r="BR45" i="12" s="1"/>
  <c r="BQ48" i="12"/>
  <c r="BR48" i="12" s="1"/>
  <c r="BQ98" i="12"/>
  <c r="BR98" i="12" s="1"/>
  <c r="BQ224" i="12"/>
  <c r="BR224" i="12" s="1"/>
  <c r="BQ226" i="12"/>
  <c r="BR226" i="12" s="1"/>
  <c r="BQ100" i="12"/>
  <c r="BR100" i="12" s="1"/>
  <c r="BQ342" i="12"/>
  <c r="BR342" i="12" s="1"/>
  <c r="BQ191" i="12"/>
  <c r="BR191" i="12" s="1"/>
  <c r="BQ371" i="12"/>
  <c r="BR371" i="12" s="1"/>
  <c r="BQ237" i="12"/>
  <c r="BR237" i="12" s="1"/>
  <c r="BQ168" i="12"/>
  <c r="BR168" i="12" s="1"/>
  <c r="BQ55" i="12"/>
  <c r="BR55" i="12" s="1"/>
  <c r="BQ233" i="12"/>
  <c r="BR233" i="12" s="1"/>
  <c r="BQ59" i="12"/>
  <c r="BR59" i="12" s="1"/>
  <c r="BQ261" i="12"/>
  <c r="BR261" i="12" s="1"/>
  <c r="BQ138" i="12"/>
  <c r="BR138" i="12" s="1"/>
  <c r="BQ309" i="12"/>
  <c r="BR309" i="12" s="1"/>
  <c r="BQ190" i="12"/>
  <c r="BR190" i="12" s="1"/>
  <c r="BQ91" i="12"/>
  <c r="BR91" i="12" s="1"/>
  <c r="BQ167" i="12"/>
  <c r="BR167" i="12" s="1"/>
  <c r="BQ117" i="12"/>
  <c r="BR117" i="12" s="1"/>
  <c r="BQ249" i="12"/>
  <c r="BR249" i="12" s="1"/>
  <c r="BQ9" i="12"/>
  <c r="BR9" i="12" s="1"/>
  <c r="BQ23" i="12"/>
  <c r="BR23" i="12" s="1"/>
  <c r="BQ70" i="12"/>
  <c r="BR70" i="12" s="1"/>
  <c r="BQ126" i="12"/>
  <c r="BR126" i="12" s="1"/>
  <c r="BQ36" i="12"/>
  <c r="BR36" i="12" s="1"/>
  <c r="BQ61" i="12"/>
  <c r="BR61" i="12" s="1"/>
  <c r="BQ131" i="12"/>
  <c r="BR131" i="12" s="1"/>
  <c r="BQ54" i="12"/>
  <c r="BR54" i="12" s="1"/>
  <c r="BQ271" i="12"/>
  <c r="BR271" i="12" s="1"/>
  <c r="BQ247" i="12"/>
  <c r="BR247" i="12" s="1"/>
  <c r="BQ239" i="12"/>
  <c r="BR239" i="12" s="1"/>
  <c r="BQ320" i="12"/>
  <c r="BR320" i="12" s="1"/>
  <c r="BQ392" i="12"/>
  <c r="BR392" i="12" s="1"/>
  <c r="BQ177" i="12"/>
  <c r="BR177" i="12" s="1"/>
  <c r="BQ393" i="12"/>
  <c r="BR393" i="12" s="1"/>
  <c r="BQ60" i="12"/>
  <c r="BR60" i="12" s="1"/>
  <c r="BQ113" i="12"/>
  <c r="BR113" i="12" s="1"/>
  <c r="BQ202" i="12"/>
  <c r="BR202" i="12" s="1"/>
  <c r="BQ127" i="12"/>
  <c r="BR127" i="12" s="1"/>
  <c r="BQ248" i="12"/>
  <c r="BR248" i="12" s="1"/>
  <c r="BQ263" i="12"/>
  <c r="BR263" i="12" s="1"/>
  <c r="BQ104" i="12"/>
  <c r="BR104" i="12" s="1"/>
  <c r="BQ184" i="12"/>
  <c r="BR184" i="12" s="1"/>
  <c r="BQ268" i="12"/>
  <c r="BR268" i="12" s="1"/>
  <c r="BQ293" i="12"/>
  <c r="BR293" i="12" s="1"/>
  <c r="BQ335" i="12"/>
  <c r="BR335" i="12" s="1"/>
  <c r="BQ53" i="12"/>
  <c r="BR53" i="12" s="1"/>
  <c r="BQ377" i="12"/>
  <c r="BR377" i="12" s="1"/>
  <c r="BQ165" i="12"/>
  <c r="BR165" i="12" s="1"/>
  <c r="BQ307" i="12"/>
  <c r="BR307" i="12" s="1"/>
  <c r="BQ282" i="12"/>
  <c r="BR282" i="12" s="1"/>
  <c r="BQ144" i="12"/>
  <c r="BR144" i="12" s="1"/>
  <c r="BQ85" i="12"/>
  <c r="BR85" i="12" s="1"/>
  <c r="BQ44" i="12"/>
  <c r="BR44" i="12" s="1"/>
  <c r="BQ301" i="12"/>
  <c r="BR301" i="12" s="1"/>
  <c r="BQ326" i="12"/>
  <c r="BR326" i="12" s="1"/>
  <c r="BQ174" i="12"/>
  <c r="BR174" i="12" s="1"/>
  <c r="BQ162" i="12"/>
  <c r="BR162" i="12" s="1"/>
  <c r="BQ12" i="12"/>
  <c r="BR12" i="12" s="1"/>
  <c r="BQ285" i="12"/>
  <c r="BR285" i="12" s="1"/>
  <c r="BQ187" i="12"/>
  <c r="BR187" i="12" s="1"/>
  <c r="BQ211" i="12"/>
  <c r="BR211" i="12" s="1"/>
  <c r="BQ86" i="12"/>
  <c r="BR86" i="12" s="1"/>
  <c r="BQ81" i="12"/>
  <c r="BR81" i="12" s="1"/>
  <c r="BQ260" i="12"/>
  <c r="BR260" i="12" s="1"/>
  <c r="BQ166" i="12"/>
  <c r="BR166" i="12" s="1"/>
  <c r="BQ385" i="12"/>
  <c r="BR385" i="12" s="1"/>
  <c r="BQ347" i="12"/>
  <c r="BR347" i="12" s="1"/>
  <c r="BQ295" i="12"/>
  <c r="BR295" i="12" s="1"/>
  <c r="BQ102" i="12"/>
  <c r="BR102" i="12" s="1"/>
  <c r="BQ16" i="12"/>
  <c r="BR16" i="12" s="1"/>
  <c r="BQ159" i="12"/>
  <c r="BR159" i="12" s="1"/>
  <c r="BQ99" i="12"/>
  <c r="BR99" i="12" s="1"/>
  <c r="BQ221" i="12"/>
  <c r="BR221" i="12" s="1"/>
  <c r="BQ386" i="12"/>
  <c r="BR386" i="12" s="1"/>
  <c r="BQ391" i="12"/>
  <c r="BR391" i="12" s="1"/>
  <c r="BQ35" i="12"/>
  <c r="BR35" i="12" s="1"/>
  <c r="BQ208" i="12"/>
  <c r="BR208" i="12" s="1"/>
  <c r="BQ313" i="12"/>
  <c r="BR313" i="12" s="1"/>
  <c r="BQ283" i="12"/>
  <c r="BR283" i="12" s="1"/>
  <c r="BQ37" i="12"/>
  <c r="BR37" i="12" s="1"/>
  <c r="BQ18" i="12"/>
  <c r="BR18" i="12" s="1"/>
  <c r="BQ180" i="12"/>
  <c r="BR180" i="12" s="1"/>
  <c r="BQ150" i="12"/>
  <c r="BR150" i="12" s="1"/>
  <c r="BQ209" i="12"/>
  <c r="BR209" i="12" s="1"/>
  <c r="BQ338" i="12"/>
  <c r="BR338" i="12" s="1"/>
  <c r="BQ193" i="12"/>
  <c r="BR193" i="12" s="1"/>
  <c r="BQ121" i="12"/>
  <c r="BR121" i="12" s="1"/>
  <c r="BQ46" i="12"/>
  <c r="BR46" i="12" s="1"/>
  <c r="BQ379" i="12"/>
  <c r="BR379" i="12" s="1"/>
  <c r="BQ267" i="12"/>
  <c r="BR267" i="12" s="1"/>
  <c r="BQ257" i="12"/>
  <c r="BR257" i="12" s="1"/>
  <c r="BQ356" i="12"/>
  <c r="BR356" i="12" s="1"/>
  <c r="BQ109" i="12"/>
  <c r="BR109" i="12" s="1"/>
  <c r="BQ341" i="12"/>
  <c r="BR341" i="12" s="1"/>
  <c r="BQ47" i="12"/>
  <c r="BR47" i="12" s="1"/>
  <c r="BQ343" i="12"/>
  <c r="BR343" i="12" s="1"/>
  <c r="BQ258" i="12"/>
  <c r="BR258" i="12" s="1"/>
  <c r="BQ205" i="12"/>
  <c r="BR205" i="12" s="1"/>
  <c r="BQ265" i="12"/>
  <c r="BR265" i="12" s="1"/>
  <c r="BQ6" i="12"/>
  <c r="BR6" i="12" s="1"/>
  <c r="BQ280" i="12"/>
  <c r="BR280" i="12" s="1"/>
  <c r="BQ217" i="12"/>
  <c r="BR217" i="12" s="1"/>
  <c r="BQ50" i="12"/>
  <c r="BR50" i="12" s="1"/>
  <c r="BQ394" i="12"/>
  <c r="BR394" i="12" s="1"/>
  <c r="BQ266" i="12"/>
  <c r="BR266" i="12" s="1"/>
  <c r="BQ134" i="12"/>
  <c r="BR134" i="12" s="1"/>
  <c r="BQ65" i="12"/>
  <c r="BR65" i="12" s="1"/>
  <c r="BQ262" i="12"/>
  <c r="BR262" i="12" s="1"/>
  <c r="BQ78" i="12"/>
  <c r="BR78" i="12" s="1"/>
  <c r="BQ204" i="12"/>
  <c r="BR204" i="12" s="1"/>
  <c r="BQ105" i="12"/>
  <c r="BR105" i="12" s="1"/>
  <c r="BQ29" i="12"/>
  <c r="BR29" i="12" s="1"/>
  <c r="BQ152" i="12"/>
  <c r="BR152" i="12" s="1"/>
  <c r="BQ97" i="12"/>
  <c r="BR97" i="12" s="1"/>
  <c r="BQ157" i="12"/>
  <c r="BR157" i="12" s="1"/>
  <c r="BQ22" i="12"/>
  <c r="BR22" i="12" s="1"/>
  <c r="BQ42" i="12"/>
  <c r="BR42" i="12" s="1"/>
  <c r="BQ375" i="12"/>
  <c r="BR375" i="12" s="1"/>
  <c r="BQ400" i="12"/>
  <c r="BR400" i="12" s="1"/>
  <c r="BQ173" i="12"/>
  <c r="BR173" i="12" s="1"/>
  <c r="BQ103" i="12"/>
  <c r="BR103" i="12" s="1"/>
  <c r="BQ30" i="12"/>
  <c r="BR30" i="12" s="1"/>
  <c r="BQ31" i="12"/>
  <c r="BR31" i="12" s="1"/>
  <c r="BQ74" i="12"/>
  <c r="BR74" i="12" s="1"/>
  <c r="BQ259" i="12"/>
  <c r="BR259" i="12" s="1"/>
  <c r="BQ111" i="12"/>
  <c r="BR111" i="12" s="1"/>
  <c r="BQ299" i="12"/>
  <c r="BR299" i="12" s="1"/>
  <c r="BQ286" i="12"/>
  <c r="BR286" i="12" s="1"/>
  <c r="BQ84" i="12"/>
  <c r="BR84" i="12" s="1"/>
  <c r="BQ384" i="12"/>
  <c r="BR384" i="12" s="1"/>
  <c r="BQ367" i="12"/>
  <c r="BR367" i="12" s="1"/>
  <c r="BQ234" i="12"/>
  <c r="BR234" i="12" s="1"/>
  <c r="BQ287" i="12"/>
  <c r="BR287" i="12" s="1"/>
  <c r="BQ297" i="12"/>
  <c r="BR297" i="12" s="1"/>
  <c r="BQ364" i="12"/>
  <c r="BR364" i="12" s="1"/>
  <c r="BQ220" i="12"/>
  <c r="BR220" i="12" s="1"/>
  <c r="BQ325" i="12"/>
  <c r="BR325" i="12" s="1"/>
  <c r="BQ334" i="12"/>
  <c r="BR334" i="12" s="1"/>
  <c r="BQ210" i="12"/>
  <c r="BR210" i="12" s="1"/>
  <c r="BQ197" i="12"/>
  <c r="BR197" i="12" s="1"/>
  <c r="BQ227" i="12"/>
  <c r="BR227" i="12" s="1"/>
  <c r="BQ118" i="12"/>
  <c r="BR118" i="12" s="1"/>
  <c r="BQ332" i="12"/>
  <c r="BR332" i="12" s="1"/>
  <c r="BQ298" i="12"/>
  <c r="BR298" i="12" s="1"/>
  <c r="BQ324" i="12"/>
  <c r="BR324" i="12" s="1"/>
  <c r="BQ232" i="12"/>
  <c r="BR232" i="12" s="1"/>
  <c r="BQ146" i="12"/>
  <c r="BR146" i="12" s="1"/>
  <c r="BQ158" i="12"/>
  <c r="BR158" i="12" s="1"/>
  <c r="BQ305" i="12"/>
  <c r="BR305" i="12" s="1"/>
  <c r="BQ125" i="12"/>
  <c r="BR125" i="12" s="1"/>
  <c r="BQ41" i="12"/>
  <c r="BR41" i="12" s="1"/>
  <c r="BQ321" i="12"/>
  <c r="BR321" i="12" s="1"/>
  <c r="BQ155" i="12"/>
  <c r="BR155" i="12" s="1"/>
  <c r="BQ133" i="12"/>
  <c r="BR133" i="12" s="1"/>
  <c r="BQ67" i="12"/>
  <c r="BR67" i="12" s="1"/>
  <c r="BQ199" i="12"/>
  <c r="BR199" i="12" s="1"/>
  <c r="BQ246" i="12"/>
  <c r="BR246" i="12" s="1"/>
  <c r="BQ71" i="12"/>
  <c r="BR71" i="12" s="1"/>
  <c r="BQ189" i="12"/>
  <c r="BR189" i="12" s="1"/>
  <c r="BQ181" i="12"/>
  <c r="BR181" i="12" s="1"/>
  <c r="BQ346" i="12"/>
  <c r="BR346" i="12" s="1"/>
  <c r="BQ169" i="12"/>
  <c r="BR169" i="12" s="1"/>
  <c r="BQ292" i="12"/>
  <c r="BR292" i="12" s="1"/>
  <c r="BQ93" i="12"/>
  <c r="BR93" i="12" s="1"/>
  <c r="BQ388" i="12"/>
  <c r="BR388" i="12" s="1"/>
  <c r="BQ56" i="12"/>
  <c r="BR56" i="12" s="1"/>
  <c r="BQ40" i="12"/>
  <c r="BR40" i="12" s="1"/>
  <c r="BQ383" i="12"/>
  <c r="BR383" i="12" s="1"/>
  <c r="BQ132" i="12"/>
  <c r="BR132" i="12" s="1"/>
  <c r="BQ378" i="12"/>
  <c r="BR378" i="12" s="1"/>
  <c r="BQ43" i="12"/>
  <c r="BR43" i="12" s="1"/>
  <c r="BQ107" i="12"/>
  <c r="BR107" i="12" s="1"/>
  <c r="BQ163" i="12"/>
  <c r="BR163" i="12" s="1"/>
  <c r="BQ243" i="12"/>
  <c r="BR243" i="12" s="1"/>
  <c r="BQ101" i="12"/>
  <c r="BR101" i="12" s="1"/>
  <c r="BQ38" i="12"/>
  <c r="BR38" i="12" s="1"/>
  <c r="BQ228" i="12"/>
  <c r="BR228" i="12" s="1"/>
  <c r="BQ216" i="12"/>
  <c r="BR216" i="12" s="1"/>
  <c r="BQ82" i="12"/>
  <c r="BR82" i="12" s="1"/>
  <c r="BQ231" i="12"/>
  <c r="BR231" i="12" s="1"/>
  <c r="BQ350" i="12"/>
  <c r="BR350" i="12" s="1"/>
  <c r="BQ339" i="12"/>
  <c r="BR339" i="12" s="1"/>
  <c r="BQ398" i="12"/>
  <c r="BR398" i="12" s="1"/>
  <c r="BQ281" i="12"/>
  <c r="BR281" i="12" s="1"/>
  <c r="BQ170" i="12"/>
  <c r="BR170" i="12" s="1"/>
  <c r="BQ290" i="12"/>
  <c r="BR290" i="12" s="1"/>
  <c r="BQ272" i="12"/>
  <c r="BR272" i="12" s="1"/>
  <c r="BQ344" i="12"/>
  <c r="BR344" i="12" s="1"/>
  <c r="BQ333" i="12"/>
  <c r="BR333" i="12" s="1"/>
  <c r="BQ194" i="12"/>
  <c r="BR194" i="12" s="1"/>
  <c r="BQ390" i="12"/>
  <c r="BR390" i="12" s="1"/>
  <c r="BQ8" i="12"/>
  <c r="BR8" i="12" s="1"/>
  <c r="BQ300" i="12"/>
  <c r="BR300" i="12" s="1"/>
  <c r="BQ196" i="12"/>
  <c r="BR196" i="12" s="1"/>
  <c r="BQ185" i="12"/>
  <c r="BR185" i="12" s="1"/>
  <c r="BQ137" i="12"/>
  <c r="BR137" i="12" s="1"/>
  <c r="BQ130" i="12"/>
  <c r="BR130" i="12" s="1"/>
  <c r="BQ154" i="12"/>
  <c r="BR154" i="12" s="1"/>
  <c r="BQ77" i="12"/>
  <c r="BR77" i="12" s="1"/>
  <c r="BQ361" i="12"/>
  <c r="BR361" i="12" s="1"/>
  <c r="BQ5" i="12"/>
  <c r="BR5" i="12" s="1"/>
  <c r="BQ396" i="12"/>
  <c r="BR396" i="12" s="1"/>
  <c r="BQ112" i="12"/>
  <c r="BR112" i="12" s="1"/>
  <c r="BQ327" i="12"/>
  <c r="BR327" i="12" s="1"/>
  <c r="BQ252" i="12"/>
  <c r="BR252" i="12" s="1"/>
  <c r="BQ3" i="12"/>
  <c r="BR3" i="12" s="1"/>
  <c r="BQ310" i="12"/>
  <c r="BR310" i="12" s="1"/>
  <c r="BQ337" i="12"/>
  <c r="BR337" i="12" s="1"/>
  <c r="BQ240" i="12"/>
  <c r="BR240" i="12" s="1"/>
  <c r="BQ360" i="12"/>
  <c r="BR360" i="12" s="1"/>
  <c r="BQ223" i="12"/>
  <c r="BR223" i="12" s="1"/>
  <c r="BQ116" i="12"/>
  <c r="BR116" i="12" s="1"/>
  <c r="BQ256" i="12"/>
  <c r="BR256" i="12" s="1"/>
  <c r="BQ11" i="12"/>
  <c r="BR11" i="12" s="1"/>
  <c r="BQ245" i="12"/>
  <c r="BR245" i="12" s="1"/>
  <c r="BQ201" i="12"/>
  <c r="BR201" i="12" s="1"/>
  <c r="BQ51" i="12"/>
  <c r="BR51" i="12" s="1"/>
  <c r="BQ156" i="12"/>
  <c r="BR156" i="12" s="1"/>
  <c r="BQ242" i="12"/>
  <c r="BR242" i="12" s="1"/>
  <c r="BQ92" i="12"/>
  <c r="BR92" i="12" s="1"/>
  <c r="BQ264" i="12"/>
  <c r="BR264" i="12" s="1"/>
  <c r="BQ366" i="12"/>
  <c r="BR366" i="12" s="1"/>
  <c r="BQ222" i="12"/>
  <c r="BR222" i="12" s="1"/>
  <c r="BQ164" i="12"/>
  <c r="BR164" i="12" s="1"/>
  <c r="BQ87" i="12"/>
  <c r="BR87" i="12" s="1"/>
  <c r="BQ27" i="12"/>
  <c r="BR27" i="12" s="1"/>
  <c r="BQ39" i="12"/>
  <c r="BR39" i="12" s="1"/>
  <c r="BQ25" i="12"/>
  <c r="BR25" i="12" s="1"/>
  <c r="BQ148" i="12"/>
  <c r="BR148" i="12" s="1"/>
  <c r="BQ349" i="12"/>
  <c r="BR349" i="12" s="1"/>
  <c r="BQ186" i="12"/>
  <c r="BR186" i="12" s="1"/>
  <c r="BQ370" i="12"/>
  <c r="BR370" i="12" s="1"/>
  <c r="BQ79" i="12"/>
  <c r="BR79" i="12" s="1"/>
  <c r="BQ314" i="12"/>
  <c r="BR314" i="12" s="1"/>
  <c r="BQ83" i="12"/>
  <c r="BR83" i="12" s="1"/>
  <c r="BQ198" i="12"/>
  <c r="BR198" i="12" s="1"/>
  <c r="BQ188" i="12"/>
  <c r="BR188" i="12" s="1"/>
  <c r="CU95" i="12"/>
  <c r="BI186" i="12"/>
  <c r="BS103" i="12"/>
  <c r="BS104" i="12" s="1"/>
  <c r="BS108" i="12"/>
  <c r="BS110" i="12" s="1"/>
  <c r="CU98" i="12"/>
  <c r="CU99" i="12" s="1"/>
  <c r="BH114" i="12"/>
  <c r="BI188" i="12"/>
  <c r="BR2" i="12" l="1"/>
  <c r="BS107" i="12"/>
  <c r="BS105" i="12"/>
  <c r="BS106" i="12" s="1"/>
  <c r="BS109" i="12"/>
  <c r="CU100" i="12"/>
  <c r="BS116" i="12"/>
  <c r="BS117" i="12"/>
  <c r="BS118" i="12" s="1"/>
  <c r="BS120" i="12" s="1"/>
  <c r="BH115" i="12"/>
  <c r="BH117" i="12" s="1"/>
  <c r="BI189" i="12"/>
  <c r="BS111" i="12" l="1"/>
  <c r="CU101" i="12"/>
  <c r="CU102" i="12" s="1"/>
  <c r="CU103" i="12" s="1"/>
  <c r="BS119" i="12"/>
  <c r="BH118" i="12"/>
  <c r="BI190" i="12"/>
  <c r="BI196" i="12"/>
  <c r="CU104" i="12" l="1"/>
  <c r="BS112" i="12"/>
  <c r="CU108" i="12"/>
  <c r="CU120" i="12"/>
  <c r="BH119" i="12"/>
  <c r="BS134" i="12"/>
  <c r="BI191" i="12"/>
  <c r="BI192" i="12" s="1"/>
  <c r="BI193" i="12" s="1"/>
  <c r="BI195" i="12" s="1"/>
  <c r="BI198" i="12"/>
  <c r="BI247" i="12"/>
  <c r="BI194" i="12" l="1"/>
  <c r="CU105" i="12"/>
  <c r="CU106" i="12" s="1"/>
  <c r="BS113" i="12"/>
  <c r="CU109" i="12"/>
  <c r="CU110" i="12"/>
  <c r="CU119" i="12"/>
  <c r="BH120" i="12"/>
  <c r="BH121" i="12" s="1"/>
  <c r="BH122" i="12" s="1"/>
  <c r="BH123" i="12" s="1"/>
  <c r="BH132" i="12"/>
  <c r="BI199" i="12"/>
  <c r="CU107" i="12" l="1"/>
  <c r="BS114" i="12"/>
  <c r="BS115" i="12" s="1"/>
  <c r="BS121" i="12" s="1"/>
  <c r="BS122" i="12" s="1"/>
  <c r="BS123" i="12" s="1"/>
  <c r="CU111" i="12"/>
  <c r="CU116" i="12"/>
  <c r="BH126" i="12"/>
  <c r="BH124" i="12"/>
  <c r="BH125" i="12" s="1"/>
  <c r="BH134" i="12"/>
  <c r="BH142" i="12"/>
  <c r="BI200" i="12"/>
  <c r="BI201" i="12" s="1"/>
  <c r="BI207" i="12"/>
  <c r="BS142" i="12"/>
  <c r="CU126" i="12"/>
  <c r="BS319" i="12"/>
  <c r="BS314" i="12"/>
  <c r="BS354" i="12"/>
  <c r="BS321" i="12"/>
  <c r="BH127" i="12" l="1"/>
  <c r="BH128" i="12" s="1"/>
  <c r="BS124" i="12"/>
  <c r="CU112" i="12"/>
  <c r="CU113" i="12" s="1"/>
  <c r="CU114" i="12" s="1"/>
  <c r="BH129" i="12"/>
  <c r="BH143" i="12"/>
  <c r="BI202" i="12"/>
  <c r="BI220" i="12"/>
  <c r="BI221" i="12" s="1"/>
  <c r="BS143" i="12"/>
  <c r="CU115" i="12" l="1"/>
  <c r="CU117" i="12" s="1"/>
  <c r="CU118" i="12" s="1"/>
  <c r="BS126" i="12"/>
  <c r="BS125" i="12"/>
  <c r="CU124" i="12"/>
  <c r="CU125" i="12" s="1"/>
  <c r="BH130" i="12"/>
  <c r="BH133" i="12"/>
  <c r="BH145" i="12"/>
  <c r="BH182" i="12"/>
  <c r="BH183" i="12" s="1"/>
  <c r="BI203" i="12"/>
  <c r="BS171" i="12"/>
  <c r="BI259" i="12"/>
  <c r="CU132" i="12"/>
  <c r="CU121" i="12" l="1"/>
  <c r="CU122" i="12" s="1"/>
  <c r="CU123" i="12" s="1"/>
  <c r="BS129" i="12"/>
  <c r="BH131" i="12"/>
  <c r="BH138" i="12" s="1"/>
  <c r="BS127" i="12"/>
  <c r="BS140" i="12"/>
  <c r="BI212" i="12"/>
  <c r="BI214" i="12" s="1"/>
  <c r="BI204" i="12"/>
  <c r="CU133" i="12"/>
  <c r="BS145" i="12"/>
  <c r="BS291" i="12"/>
  <c r="BS292" i="12" s="1"/>
  <c r="BS301" i="12"/>
  <c r="CU127" i="12" l="1"/>
  <c r="CU128" i="12" s="1"/>
  <c r="CU129" i="12" s="1"/>
  <c r="BI206" i="12"/>
  <c r="BH135" i="12"/>
  <c r="BS128" i="12"/>
  <c r="BS130" i="12" s="1"/>
  <c r="BS131" i="12" s="1"/>
  <c r="BS132" i="12" s="1"/>
  <c r="BS133" i="12" s="1"/>
  <c r="BS138" i="12" s="1"/>
  <c r="BH141" i="12"/>
  <c r="BH144" i="12" s="1"/>
  <c r="BH146" i="12" s="1"/>
  <c r="BH147" i="12" s="1"/>
  <c r="BH148" i="12"/>
  <c r="BI217" i="12"/>
  <c r="BI218" i="12" s="1"/>
  <c r="BI219" i="12" s="1"/>
  <c r="CU134" i="12"/>
  <c r="BI262" i="12"/>
  <c r="BI264" i="12"/>
  <c r="BI280" i="12"/>
  <c r="BI294" i="12"/>
  <c r="BI295" i="12" s="1"/>
  <c r="BS293" i="12"/>
  <c r="CU130" i="12" l="1"/>
  <c r="CU131" i="12" s="1"/>
  <c r="BI209" i="12"/>
  <c r="BI208" i="12"/>
  <c r="BH136" i="12"/>
  <c r="BH137" i="12" s="1"/>
  <c r="BS135" i="12"/>
  <c r="BS136" i="12" s="1"/>
  <c r="BS141" i="12"/>
  <c r="BS149" i="12"/>
  <c r="BH158" i="12"/>
  <c r="BH149" i="12"/>
  <c r="BH150" i="12" s="1"/>
  <c r="BH151" i="12" s="1"/>
  <c r="BH162" i="12"/>
  <c r="BI228" i="12"/>
  <c r="CU135" i="12"/>
  <c r="BS150" i="12"/>
  <c r="BI279" i="12"/>
  <c r="BI296" i="12"/>
  <c r="BI210" i="12" l="1"/>
  <c r="BH139" i="12"/>
  <c r="BH140" i="12" s="1"/>
  <c r="BS144" i="12"/>
  <c r="BS137" i="12"/>
  <c r="BS139" i="12" s="1"/>
  <c r="BS146" i="12"/>
  <c r="BS147" i="12" s="1"/>
  <c r="BS148" i="12" s="1"/>
  <c r="BH161" i="12"/>
  <c r="BI230" i="12"/>
  <c r="BH168" i="12"/>
  <c r="BH172" i="12" s="1"/>
  <c r="BH173" i="12" s="1"/>
  <c r="BH174" i="12" s="1"/>
  <c r="BH163" i="12"/>
  <c r="BI242" i="12"/>
  <c r="CU136" i="12"/>
  <c r="BS151" i="12"/>
  <c r="BI281" i="12"/>
  <c r="BI285" i="12" s="1"/>
  <c r="BI211" i="12" l="1"/>
  <c r="BH152" i="12"/>
  <c r="BH153" i="12" s="1"/>
  <c r="BH154" i="12" s="1"/>
  <c r="BH155" i="12" s="1"/>
  <c r="BH156" i="12" s="1"/>
  <c r="BH157" i="12" s="1"/>
  <c r="BI231" i="12"/>
  <c r="BH164" i="12"/>
  <c r="BH165" i="12" s="1"/>
  <c r="BH166" i="12" s="1"/>
  <c r="BH167" i="12" s="1"/>
  <c r="BH179" i="12"/>
  <c r="BI249" i="12"/>
  <c r="BS152" i="12"/>
  <c r="BS153" i="12" s="1"/>
  <c r="BS154" i="12" s="1"/>
  <c r="CU137" i="12"/>
  <c r="BI282" i="12"/>
  <c r="BI297" i="12"/>
  <c r="BI215" i="12" l="1"/>
  <c r="BI232" i="12"/>
  <c r="BI250" i="12"/>
  <c r="BH169" i="12"/>
  <c r="BH178" i="12" s="1"/>
  <c r="BH184" i="12" s="1"/>
  <c r="BH185" i="12" s="1"/>
  <c r="BS155" i="12"/>
  <c r="BS156" i="12" s="1"/>
  <c r="BS157" i="12" s="1"/>
  <c r="BS158" i="12" s="1"/>
  <c r="BI272" i="12"/>
  <c r="BI273" i="12" s="1"/>
  <c r="CU138" i="12"/>
  <c r="BI284" i="12"/>
  <c r="BI298" i="12"/>
  <c r="BI216" i="12" l="1"/>
  <c r="BI222" i="12" s="1"/>
  <c r="BI260" i="12"/>
  <c r="BH1" i="12"/>
  <c r="BM8" i="12" s="1"/>
  <c r="BN8" i="12" s="1"/>
  <c r="CU139" i="12"/>
  <c r="BS159" i="12"/>
  <c r="BS160" i="12" s="1"/>
  <c r="BI289" i="12"/>
  <c r="BI288" i="12"/>
  <c r="BI299" i="12"/>
  <c r="BI223" i="12" l="1"/>
  <c r="BI237" i="12"/>
  <c r="BS161" i="12"/>
  <c r="BM378" i="12"/>
  <c r="BN378" i="12" s="1"/>
  <c r="BM131" i="12"/>
  <c r="BN131" i="12" s="1"/>
  <c r="BM218" i="12"/>
  <c r="BN218" i="12" s="1"/>
  <c r="BM145" i="12"/>
  <c r="BN145" i="12" s="1"/>
  <c r="BM39" i="12"/>
  <c r="BN39" i="12" s="1"/>
  <c r="BM93" i="12"/>
  <c r="BN93" i="12" s="1"/>
  <c r="BM353" i="12"/>
  <c r="BN353" i="12" s="1"/>
  <c r="BM13" i="12"/>
  <c r="BN13" i="12" s="1"/>
  <c r="BM252" i="12"/>
  <c r="BN252" i="12" s="1"/>
  <c r="BM53" i="12"/>
  <c r="BN53" i="12" s="1"/>
  <c r="BM50" i="12"/>
  <c r="BN50" i="12" s="1"/>
  <c r="BM162" i="12"/>
  <c r="BN162" i="12" s="1"/>
  <c r="BM242" i="12"/>
  <c r="BN242" i="12" s="1"/>
  <c r="BM122" i="12"/>
  <c r="BN122" i="12" s="1"/>
  <c r="BM270" i="12"/>
  <c r="BN270" i="12" s="1"/>
  <c r="BM41" i="12"/>
  <c r="BN41" i="12" s="1"/>
  <c r="BM293" i="12"/>
  <c r="BN293" i="12" s="1"/>
  <c r="BM74" i="12"/>
  <c r="BN74" i="12" s="1"/>
  <c r="BM130" i="12"/>
  <c r="BN130" i="12" s="1"/>
  <c r="BM87" i="12"/>
  <c r="BN87" i="12" s="1"/>
  <c r="BM149" i="12"/>
  <c r="BN149" i="12" s="1"/>
  <c r="BM68" i="12"/>
  <c r="BN68" i="12" s="1"/>
  <c r="BM186" i="12"/>
  <c r="BN186" i="12" s="1"/>
  <c r="BM83" i="12"/>
  <c r="BN83" i="12" s="1"/>
  <c r="BM180" i="12"/>
  <c r="BN180" i="12" s="1"/>
  <c r="BM334" i="12"/>
  <c r="BN334" i="12" s="1"/>
  <c r="BM291" i="12"/>
  <c r="BN291" i="12" s="1"/>
  <c r="BM327" i="12"/>
  <c r="BN327" i="12" s="1"/>
  <c r="BM195" i="12"/>
  <c r="BN195" i="12" s="1"/>
  <c r="BM67" i="12"/>
  <c r="BN67" i="12" s="1"/>
  <c r="BM201" i="12"/>
  <c r="BN201" i="12" s="1"/>
  <c r="BM138" i="12"/>
  <c r="BN138" i="12" s="1"/>
  <c r="BM148" i="12"/>
  <c r="BN148" i="12" s="1"/>
  <c r="BM207" i="12"/>
  <c r="BN207" i="12" s="1"/>
  <c r="BM210" i="12"/>
  <c r="BN210" i="12" s="1"/>
  <c r="BM86" i="12"/>
  <c r="BN86" i="12" s="1"/>
  <c r="BM10" i="12"/>
  <c r="BN10" i="12" s="1"/>
  <c r="BM150" i="12"/>
  <c r="BN150" i="12" s="1"/>
  <c r="BM40" i="12"/>
  <c r="BN40" i="12" s="1"/>
  <c r="BM193" i="12"/>
  <c r="BN193" i="12" s="1"/>
  <c r="BM251" i="12"/>
  <c r="BN251" i="12" s="1"/>
  <c r="BM165" i="12"/>
  <c r="BN165" i="12" s="1"/>
  <c r="BM3" i="12"/>
  <c r="BN3" i="12" s="1"/>
  <c r="BM12" i="12"/>
  <c r="BN12" i="12" s="1"/>
  <c r="BM303" i="12"/>
  <c r="BN303" i="12" s="1"/>
  <c r="BM227" i="12"/>
  <c r="BN227" i="12" s="1"/>
  <c r="BM183" i="12"/>
  <c r="BN183" i="12" s="1"/>
  <c r="BM115" i="12"/>
  <c r="BN115" i="12" s="1"/>
  <c r="BM297" i="12"/>
  <c r="BN297" i="12" s="1"/>
  <c r="BM190" i="12"/>
  <c r="BN190" i="12" s="1"/>
  <c r="BM112" i="12"/>
  <c r="BN112" i="12" s="1"/>
  <c r="BM135" i="12"/>
  <c r="BN135" i="12" s="1"/>
  <c r="BM234" i="12"/>
  <c r="BN234" i="12" s="1"/>
  <c r="BM323" i="12"/>
  <c r="BN323" i="12" s="1"/>
  <c r="BM152" i="12"/>
  <c r="BN152" i="12" s="1"/>
  <c r="BM286" i="12"/>
  <c r="BN286" i="12" s="1"/>
  <c r="BM136" i="12"/>
  <c r="BN136" i="12" s="1"/>
  <c r="BM390" i="12"/>
  <c r="BN390" i="12" s="1"/>
  <c r="BM219" i="12"/>
  <c r="BN219" i="12" s="1"/>
  <c r="BM158" i="12"/>
  <c r="BN158" i="12" s="1"/>
  <c r="BM233" i="12"/>
  <c r="BN233" i="12" s="1"/>
  <c r="BM362" i="12"/>
  <c r="BN362" i="12" s="1"/>
  <c r="BM247" i="12"/>
  <c r="BN247" i="12" s="1"/>
  <c r="BM349" i="12"/>
  <c r="BN349" i="12" s="1"/>
  <c r="BM139" i="12"/>
  <c r="BN139" i="12" s="1"/>
  <c r="BM322" i="12"/>
  <c r="BN322" i="12" s="1"/>
  <c r="BM381" i="12"/>
  <c r="BN381" i="12" s="1"/>
  <c r="BM275" i="12"/>
  <c r="BN275" i="12" s="1"/>
  <c r="BM283" i="12"/>
  <c r="BN283" i="12" s="1"/>
  <c r="BM96" i="12"/>
  <c r="BN96" i="12" s="1"/>
  <c r="BM294" i="12"/>
  <c r="BN294" i="12" s="1"/>
  <c r="BM345" i="12"/>
  <c r="BN345" i="12" s="1"/>
  <c r="BM295" i="12"/>
  <c r="BN295" i="12" s="1"/>
  <c r="BM317" i="12"/>
  <c r="BN317" i="12" s="1"/>
  <c r="BM44" i="12"/>
  <c r="BN44" i="12" s="1"/>
  <c r="BM125" i="12"/>
  <c r="BN125" i="12" s="1"/>
  <c r="BM9" i="12"/>
  <c r="BN9" i="12" s="1"/>
  <c r="BM396" i="12"/>
  <c r="BN396" i="12" s="1"/>
  <c r="BM363" i="12"/>
  <c r="BN363" i="12" s="1"/>
  <c r="BM105" i="12"/>
  <c r="BN105" i="12" s="1"/>
  <c r="BM245" i="12"/>
  <c r="BN245" i="12" s="1"/>
  <c r="BM155" i="12"/>
  <c r="BN155" i="12" s="1"/>
  <c r="BM318" i="12"/>
  <c r="BN318" i="12" s="1"/>
  <c r="BM224" i="12"/>
  <c r="BN224" i="12" s="1"/>
  <c r="BM173" i="12"/>
  <c r="BN173" i="12" s="1"/>
  <c r="BM278" i="12"/>
  <c r="BN278" i="12" s="1"/>
  <c r="BM81" i="12"/>
  <c r="BN81" i="12" s="1"/>
  <c r="BM140" i="12"/>
  <c r="BN140" i="12" s="1"/>
  <c r="BM376" i="12"/>
  <c r="BN376" i="12" s="1"/>
  <c r="BM113" i="12"/>
  <c r="BN113" i="12" s="1"/>
  <c r="BM182" i="12"/>
  <c r="BN182" i="12" s="1"/>
  <c r="BM78" i="12"/>
  <c r="BN78" i="12" s="1"/>
  <c r="BM287" i="12"/>
  <c r="BN287" i="12" s="1"/>
  <c r="BM240" i="12"/>
  <c r="BN240" i="12" s="1"/>
  <c r="BM73" i="12"/>
  <c r="BN73" i="12" s="1"/>
  <c r="BM289" i="12"/>
  <c r="BN289" i="12" s="1"/>
  <c r="BM49" i="12"/>
  <c r="BN49" i="12" s="1"/>
  <c r="BM127" i="12"/>
  <c r="BN127" i="12" s="1"/>
  <c r="BM171" i="12"/>
  <c r="BN171" i="12" s="1"/>
  <c r="BM281" i="12"/>
  <c r="BN281" i="12" s="1"/>
  <c r="BM256" i="12"/>
  <c r="BN256" i="12" s="1"/>
  <c r="BM338" i="12"/>
  <c r="BN338" i="12" s="1"/>
  <c r="BM400" i="12"/>
  <c r="BN400" i="12" s="1"/>
  <c r="BM204" i="12"/>
  <c r="BN204" i="12" s="1"/>
  <c r="BM172" i="12"/>
  <c r="BN172" i="12" s="1"/>
  <c r="BM4" i="12"/>
  <c r="BN4" i="12" s="1"/>
  <c r="BM176" i="12"/>
  <c r="BN176" i="12" s="1"/>
  <c r="BM216" i="12"/>
  <c r="BN216" i="12" s="1"/>
  <c r="BM101" i="12"/>
  <c r="BN101" i="12" s="1"/>
  <c r="BM104" i="12"/>
  <c r="BN104" i="12" s="1"/>
  <c r="BM284" i="12"/>
  <c r="BN284" i="12" s="1"/>
  <c r="BM85" i="12"/>
  <c r="BN85" i="12" s="1"/>
  <c r="BM313" i="12"/>
  <c r="BN313" i="12" s="1"/>
  <c r="BM100" i="12"/>
  <c r="BN100" i="12" s="1"/>
  <c r="BM305" i="12"/>
  <c r="BN305" i="12" s="1"/>
  <c r="BM181" i="12"/>
  <c r="BN181" i="12" s="1"/>
  <c r="BM97" i="12"/>
  <c r="BN97" i="12" s="1"/>
  <c r="BM157" i="12"/>
  <c r="BN157" i="12" s="1"/>
  <c r="BM316" i="12"/>
  <c r="BN316" i="12" s="1"/>
  <c r="BM36" i="12"/>
  <c r="BN36" i="12" s="1"/>
  <c r="BM18" i="12"/>
  <c r="BN18" i="12" s="1"/>
  <c r="BM324" i="12"/>
  <c r="BN324" i="12" s="1"/>
  <c r="BM55" i="12"/>
  <c r="BN55" i="12" s="1"/>
  <c r="BM212" i="12"/>
  <c r="BN212" i="12" s="1"/>
  <c r="BM153" i="12"/>
  <c r="BN153" i="12" s="1"/>
  <c r="BM371" i="12"/>
  <c r="BN371" i="12" s="1"/>
  <c r="BM263" i="12"/>
  <c r="BN263" i="12" s="1"/>
  <c r="BM220" i="12"/>
  <c r="BN220" i="12" s="1"/>
  <c r="BM389" i="12"/>
  <c r="BN389" i="12" s="1"/>
  <c r="BM118" i="12"/>
  <c r="BN118" i="12" s="1"/>
  <c r="BM16" i="12"/>
  <c r="BN16" i="12" s="1"/>
  <c r="BM369" i="12"/>
  <c r="BN369" i="12" s="1"/>
  <c r="BM226" i="12"/>
  <c r="BN226" i="12" s="1"/>
  <c r="BM276" i="12"/>
  <c r="BN276" i="12" s="1"/>
  <c r="BM98" i="12"/>
  <c r="BN98" i="12" s="1"/>
  <c r="BM126" i="12"/>
  <c r="BN126" i="12" s="1"/>
  <c r="BM248" i="12"/>
  <c r="BN248" i="12" s="1"/>
  <c r="BM161" i="12"/>
  <c r="BN161" i="12" s="1"/>
  <c r="BM337" i="12"/>
  <c r="BN337" i="12" s="1"/>
  <c r="BM15" i="12"/>
  <c r="BN15" i="12" s="1"/>
  <c r="BM102" i="12"/>
  <c r="BN102" i="12" s="1"/>
  <c r="BM328" i="12"/>
  <c r="BN328" i="12" s="1"/>
  <c r="BM342" i="12"/>
  <c r="BN342" i="12" s="1"/>
  <c r="BM375" i="12"/>
  <c r="BN375" i="12" s="1"/>
  <c r="BM47" i="12"/>
  <c r="BN47" i="12" s="1"/>
  <c r="BM238" i="12"/>
  <c r="BN238" i="12" s="1"/>
  <c r="BM339" i="12"/>
  <c r="BN339" i="12" s="1"/>
  <c r="BM154" i="12"/>
  <c r="BN154" i="12" s="1"/>
  <c r="BM11" i="12"/>
  <c r="BN11" i="12" s="1"/>
  <c r="BM114" i="12"/>
  <c r="BN114" i="12" s="1"/>
  <c r="BM236" i="12"/>
  <c r="BN236" i="12" s="1"/>
  <c r="BM314" i="12"/>
  <c r="BN314" i="12" s="1"/>
  <c r="BM43" i="12"/>
  <c r="BN43" i="12" s="1"/>
  <c r="BM351" i="12"/>
  <c r="BN351" i="12" s="1"/>
  <c r="BM187" i="12"/>
  <c r="BN187" i="12" s="1"/>
  <c r="BM394" i="12"/>
  <c r="BN394" i="12" s="1"/>
  <c r="BM108" i="12"/>
  <c r="BN108" i="12" s="1"/>
  <c r="BM311" i="12"/>
  <c r="BN311" i="12" s="1"/>
  <c r="BM30" i="12"/>
  <c r="BN30" i="12" s="1"/>
  <c r="BM397" i="12"/>
  <c r="BN397" i="12" s="1"/>
  <c r="BM129" i="12"/>
  <c r="BN129" i="12" s="1"/>
  <c r="BM121" i="12"/>
  <c r="BN121" i="12" s="1"/>
  <c r="BM63" i="12"/>
  <c r="BN63" i="12" s="1"/>
  <c r="BM17" i="12"/>
  <c r="BN17" i="12" s="1"/>
  <c r="BM288" i="12"/>
  <c r="BN288" i="12" s="1"/>
  <c r="BM23" i="12"/>
  <c r="BN23" i="12" s="1"/>
  <c r="BM304" i="12"/>
  <c r="BN304" i="12" s="1"/>
  <c r="BM341" i="12"/>
  <c r="BN341" i="12" s="1"/>
  <c r="BM103" i="12"/>
  <c r="BN103" i="12" s="1"/>
  <c r="BM84" i="12"/>
  <c r="BN84" i="12" s="1"/>
  <c r="BM292" i="12"/>
  <c r="BN292" i="12" s="1"/>
  <c r="BM357" i="12"/>
  <c r="BN357" i="12" s="1"/>
  <c r="BM235" i="12"/>
  <c r="BN235" i="12" s="1"/>
  <c r="BM213" i="12"/>
  <c r="BN213" i="12" s="1"/>
  <c r="BM331" i="12"/>
  <c r="BN331" i="12" s="1"/>
  <c r="BM185" i="12"/>
  <c r="BN185" i="12" s="1"/>
  <c r="BM374" i="12"/>
  <c r="BN374" i="12" s="1"/>
  <c r="BM359" i="12"/>
  <c r="BN359" i="12" s="1"/>
  <c r="BM282" i="12"/>
  <c r="BN282" i="12" s="1"/>
  <c r="BM223" i="12"/>
  <c r="BN223" i="12" s="1"/>
  <c r="BM329" i="12"/>
  <c r="BN329" i="12" s="1"/>
  <c r="BM167" i="12"/>
  <c r="BN167" i="12" s="1"/>
  <c r="BM312" i="12"/>
  <c r="BN312" i="12" s="1"/>
  <c r="BM380" i="12"/>
  <c r="BN380" i="12" s="1"/>
  <c r="BM309" i="12"/>
  <c r="BN309" i="12" s="1"/>
  <c r="BM71" i="12"/>
  <c r="BN71" i="12" s="1"/>
  <c r="BM189" i="12"/>
  <c r="BN189" i="12" s="1"/>
  <c r="BM271" i="12"/>
  <c r="BN271" i="12" s="1"/>
  <c r="BM326" i="12"/>
  <c r="BN326" i="12" s="1"/>
  <c r="BM6" i="12"/>
  <c r="BN6" i="12" s="1"/>
  <c r="BM249" i="12"/>
  <c r="BN249" i="12" s="1"/>
  <c r="BM395" i="12"/>
  <c r="BN395" i="12" s="1"/>
  <c r="BM54" i="12"/>
  <c r="BN54" i="12" s="1"/>
  <c r="BM325" i="12"/>
  <c r="BN325" i="12" s="1"/>
  <c r="BM379" i="12"/>
  <c r="BN379" i="12" s="1"/>
  <c r="BM399" i="12"/>
  <c r="BN399" i="12" s="1"/>
  <c r="BM215" i="12"/>
  <c r="BN215" i="12" s="1"/>
  <c r="BM377" i="12"/>
  <c r="BN377" i="12" s="1"/>
  <c r="BM64" i="12"/>
  <c r="BN64" i="12" s="1"/>
  <c r="BM366" i="12"/>
  <c r="BN366" i="12" s="1"/>
  <c r="BM346" i="12"/>
  <c r="BN346" i="12" s="1"/>
  <c r="BM384" i="12"/>
  <c r="BN384" i="12" s="1"/>
  <c r="BM301" i="12"/>
  <c r="BN301" i="12" s="1"/>
  <c r="BM258" i="12"/>
  <c r="BN258" i="12" s="1"/>
  <c r="BM370" i="12"/>
  <c r="BN370" i="12" s="1"/>
  <c r="BM24" i="12"/>
  <c r="BN24" i="12" s="1"/>
  <c r="BM95" i="12"/>
  <c r="BN95" i="12" s="1"/>
  <c r="BM352" i="12"/>
  <c r="BN352" i="12" s="1"/>
  <c r="BM382" i="12"/>
  <c r="BN382" i="12" s="1"/>
  <c r="BM202" i="12"/>
  <c r="BN202" i="12" s="1"/>
  <c r="BM177" i="12"/>
  <c r="BN177" i="12" s="1"/>
  <c r="BM45" i="12"/>
  <c r="BN45" i="12" s="1"/>
  <c r="BM79" i="12"/>
  <c r="BN79" i="12" s="1"/>
  <c r="BM386" i="12"/>
  <c r="BN386" i="12" s="1"/>
  <c r="BM31" i="12"/>
  <c r="BN31" i="12" s="1"/>
  <c r="BM76" i="12"/>
  <c r="BN76" i="12" s="1"/>
  <c r="BM232" i="12"/>
  <c r="BN232" i="12" s="1"/>
  <c r="BM61" i="12"/>
  <c r="BN61" i="12" s="1"/>
  <c r="BM343" i="12"/>
  <c r="BN343" i="12" s="1"/>
  <c r="BM332" i="12"/>
  <c r="BN332" i="12" s="1"/>
  <c r="BM119" i="12"/>
  <c r="BN119" i="12" s="1"/>
  <c r="BM88" i="12"/>
  <c r="BN88" i="12" s="1"/>
  <c r="BM354" i="12"/>
  <c r="BN354" i="12" s="1"/>
  <c r="BM99" i="12"/>
  <c r="BN99" i="12" s="1"/>
  <c r="BM160" i="12"/>
  <c r="BN160" i="12" s="1"/>
  <c r="BM199" i="12"/>
  <c r="BN199" i="12" s="1"/>
  <c r="BM107" i="12"/>
  <c r="BN107" i="12" s="1"/>
  <c r="BM56" i="12"/>
  <c r="BN56" i="12" s="1"/>
  <c r="BM80" i="12"/>
  <c r="BN80" i="12" s="1"/>
  <c r="BM62" i="12"/>
  <c r="BN62" i="12" s="1"/>
  <c r="BM257" i="12"/>
  <c r="BN257" i="12" s="1"/>
  <c r="BM26" i="12"/>
  <c r="BN26" i="12" s="1"/>
  <c r="BM268" i="12"/>
  <c r="BN268" i="12" s="1"/>
  <c r="BM169" i="12"/>
  <c r="BN169" i="12" s="1"/>
  <c r="BM166" i="12"/>
  <c r="BN166" i="12" s="1"/>
  <c r="BM132" i="12"/>
  <c r="BN132" i="12" s="1"/>
  <c r="BM229" i="12"/>
  <c r="BN229" i="12" s="1"/>
  <c r="BM307" i="12"/>
  <c r="BN307" i="12" s="1"/>
  <c r="BM290" i="12"/>
  <c r="BN290" i="12" s="1"/>
  <c r="BM348" i="12"/>
  <c r="BN348" i="12" s="1"/>
  <c r="BM211" i="12"/>
  <c r="BN211" i="12" s="1"/>
  <c r="BM198" i="12"/>
  <c r="BN198" i="12" s="1"/>
  <c r="BM262" i="12"/>
  <c r="BN262" i="12" s="1"/>
  <c r="BM261" i="12"/>
  <c r="BN261" i="12" s="1"/>
  <c r="BM280" i="12"/>
  <c r="BN280" i="12" s="1"/>
  <c r="BM336" i="12"/>
  <c r="BN336" i="12" s="1"/>
  <c r="BM246" i="12"/>
  <c r="BN246" i="12" s="1"/>
  <c r="BM347" i="12"/>
  <c r="BN347" i="12" s="1"/>
  <c r="BM48" i="12"/>
  <c r="BN48" i="12" s="1"/>
  <c r="BM237" i="12"/>
  <c r="BN237" i="12" s="1"/>
  <c r="BM117" i="12"/>
  <c r="BN117" i="12" s="1"/>
  <c r="BM90" i="12"/>
  <c r="BN90" i="12" s="1"/>
  <c r="BM259" i="12"/>
  <c r="BN259" i="12" s="1"/>
  <c r="BM69" i="12"/>
  <c r="BN69" i="12" s="1"/>
  <c r="BM373" i="12"/>
  <c r="BN373" i="12" s="1"/>
  <c r="BM209" i="12"/>
  <c r="BN209" i="12" s="1"/>
  <c r="BM194" i="12"/>
  <c r="BN194" i="12" s="1"/>
  <c r="BM330" i="12"/>
  <c r="BN330" i="12" s="1"/>
  <c r="BM133" i="12"/>
  <c r="BN133" i="12" s="1"/>
  <c r="BM124" i="12"/>
  <c r="BN124" i="12" s="1"/>
  <c r="BM22" i="12"/>
  <c r="BN22" i="12" s="1"/>
  <c r="BM266" i="12"/>
  <c r="BN266" i="12" s="1"/>
  <c r="BM92" i="12"/>
  <c r="BN92" i="12" s="1"/>
  <c r="BM14" i="12"/>
  <c r="BN14" i="12" s="1"/>
  <c r="BM254" i="12"/>
  <c r="BN254" i="12" s="1"/>
  <c r="BM175" i="12"/>
  <c r="BN175" i="12" s="1"/>
  <c r="BM225" i="12"/>
  <c r="BN225" i="12" s="1"/>
  <c r="BM391" i="12"/>
  <c r="BN391" i="12" s="1"/>
  <c r="BM59" i="12"/>
  <c r="BN59" i="12" s="1"/>
  <c r="BM335" i="12"/>
  <c r="BN335" i="12" s="1"/>
  <c r="BM221" i="12"/>
  <c r="BN221" i="12" s="1"/>
  <c r="BM147" i="12"/>
  <c r="BN147" i="12" s="1"/>
  <c r="BM214" i="12"/>
  <c r="BN214" i="12" s="1"/>
  <c r="BM368" i="12"/>
  <c r="BN368" i="12" s="1"/>
  <c r="BM197" i="12"/>
  <c r="BN197" i="12" s="1"/>
  <c r="BM111" i="12"/>
  <c r="BN111" i="12" s="1"/>
  <c r="BM200" i="12"/>
  <c r="BN200" i="12" s="1"/>
  <c r="BM146" i="12"/>
  <c r="BN146" i="12" s="1"/>
  <c r="BM269" i="12"/>
  <c r="BN269" i="12" s="1"/>
  <c r="BM32" i="12"/>
  <c r="BN32" i="12" s="1"/>
  <c r="BM21" i="12"/>
  <c r="BN21" i="12" s="1"/>
  <c r="BM265" i="12"/>
  <c r="BN265" i="12" s="1"/>
  <c r="BM192" i="12"/>
  <c r="BN192" i="12" s="1"/>
  <c r="BM144" i="12"/>
  <c r="BN144" i="12" s="1"/>
  <c r="BM277" i="12"/>
  <c r="BN277" i="12" s="1"/>
  <c r="BM66" i="12"/>
  <c r="BN66" i="12" s="1"/>
  <c r="BM143" i="12"/>
  <c r="BN143" i="12" s="1"/>
  <c r="BM355" i="12"/>
  <c r="BN355" i="12" s="1"/>
  <c r="BM7" i="12"/>
  <c r="BN7" i="12" s="1"/>
  <c r="BM151" i="12"/>
  <c r="BN151" i="12" s="1"/>
  <c r="BM308" i="12"/>
  <c r="BN308" i="12" s="1"/>
  <c r="BM250" i="12"/>
  <c r="BN250" i="12" s="1"/>
  <c r="BM38" i="12"/>
  <c r="BN38" i="12" s="1"/>
  <c r="BM58" i="12"/>
  <c r="BN58" i="12" s="1"/>
  <c r="BM228" i="12"/>
  <c r="BN228" i="12" s="1"/>
  <c r="BM364" i="12"/>
  <c r="BN364" i="12" s="1"/>
  <c r="BM356" i="12"/>
  <c r="BN356" i="12" s="1"/>
  <c r="BM244" i="12"/>
  <c r="BN244" i="12" s="1"/>
  <c r="BM230" i="12"/>
  <c r="BN230" i="12" s="1"/>
  <c r="BK1" i="12"/>
  <c r="BL1" i="12" s="1"/>
  <c r="BM156" i="12"/>
  <c r="BN156" i="12" s="1"/>
  <c r="BM170" i="12"/>
  <c r="BN170" i="12" s="1"/>
  <c r="BM320" i="12"/>
  <c r="BN320" i="12" s="1"/>
  <c r="BM57" i="12"/>
  <c r="BN57" i="12" s="1"/>
  <c r="BM260" i="12"/>
  <c r="BN260" i="12" s="1"/>
  <c r="BM272" i="12"/>
  <c r="BN272" i="12" s="1"/>
  <c r="BM255" i="12"/>
  <c r="BN255" i="12" s="1"/>
  <c r="BM385" i="12"/>
  <c r="BN385" i="12" s="1"/>
  <c r="BM75" i="12"/>
  <c r="BN75" i="12" s="1"/>
  <c r="BM361" i="12"/>
  <c r="BN361" i="12" s="1"/>
  <c r="BM315" i="12"/>
  <c r="BN315" i="12" s="1"/>
  <c r="BM174" i="12"/>
  <c r="BN174" i="12" s="1"/>
  <c r="BM123" i="12"/>
  <c r="BN123" i="12" s="1"/>
  <c r="BM178" i="12"/>
  <c r="BN178" i="12" s="1"/>
  <c r="BM279" i="12"/>
  <c r="BN279" i="12" s="1"/>
  <c r="BM91" i="12"/>
  <c r="BN91" i="12" s="1"/>
  <c r="BM299" i="12"/>
  <c r="BN299" i="12" s="1"/>
  <c r="BM116" i="12"/>
  <c r="BN116" i="12" s="1"/>
  <c r="BM274" i="12"/>
  <c r="BN274" i="12" s="1"/>
  <c r="BM350" i="12"/>
  <c r="BN350" i="12" s="1"/>
  <c r="BM109" i="12"/>
  <c r="BN109" i="12" s="1"/>
  <c r="BM82" i="12"/>
  <c r="BN82" i="12" s="1"/>
  <c r="BM191" i="12"/>
  <c r="BN191" i="12" s="1"/>
  <c r="BM65" i="12"/>
  <c r="BN65" i="12" s="1"/>
  <c r="BM273" i="12"/>
  <c r="BN273" i="12" s="1"/>
  <c r="BM60" i="12"/>
  <c r="BN60" i="12" s="1"/>
  <c r="BM302" i="12"/>
  <c r="BN302" i="12" s="1"/>
  <c r="BM253" i="12"/>
  <c r="BN253" i="12" s="1"/>
  <c r="BM28" i="12"/>
  <c r="BN28" i="12" s="1"/>
  <c r="BM206" i="12"/>
  <c r="BN206" i="12" s="1"/>
  <c r="BM137" i="12"/>
  <c r="BN137" i="12" s="1"/>
  <c r="BM393" i="12"/>
  <c r="BN393" i="12" s="1"/>
  <c r="BM285" i="12"/>
  <c r="BN285" i="12" s="1"/>
  <c r="BM319" i="12"/>
  <c r="BN319" i="12" s="1"/>
  <c r="BM51" i="12"/>
  <c r="BN51" i="12" s="1"/>
  <c r="BM110" i="12"/>
  <c r="BN110" i="12" s="1"/>
  <c r="BM387" i="12"/>
  <c r="BN387" i="12" s="1"/>
  <c r="BM298" i="12"/>
  <c r="BN298" i="12" s="1"/>
  <c r="BM141" i="12"/>
  <c r="BN141" i="12" s="1"/>
  <c r="BM163" i="12"/>
  <c r="BN163" i="12" s="1"/>
  <c r="BM20" i="12"/>
  <c r="BN20" i="12" s="1"/>
  <c r="BM264" i="12"/>
  <c r="BN264" i="12" s="1"/>
  <c r="BM306" i="12"/>
  <c r="BN306" i="12" s="1"/>
  <c r="BM89" i="12"/>
  <c r="BN89" i="12" s="1"/>
  <c r="BM217" i="12"/>
  <c r="BN217" i="12" s="1"/>
  <c r="BM29" i="12"/>
  <c r="BN29" i="12" s="1"/>
  <c r="BM19" i="12"/>
  <c r="BN19" i="12" s="1"/>
  <c r="BM37" i="12"/>
  <c r="BN37" i="12" s="1"/>
  <c r="BM42" i="12"/>
  <c r="BN42" i="12" s="1"/>
  <c r="BM168" i="12"/>
  <c r="BN168" i="12" s="1"/>
  <c r="BM372" i="12"/>
  <c r="BN372" i="12" s="1"/>
  <c r="BM164" i="12"/>
  <c r="BN164" i="12" s="1"/>
  <c r="BM267" i="12"/>
  <c r="BN267" i="12" s="1"/>
  <c r="BM46" i="12"/>
  <c r="BN46" i="12" s="1"/>
  <c r="BM296" i="12"/>
  <c r="BN296" i="12" s="1"/>
  <c r="BM333" i="12"/>
  <c r="BN333" i="12" s="1"/>
  <c r="BM128" i="12"/>
  <c r="BN128" i="12" s="1"/>
  <c r="BM70" i="12"/>
  <c r="BN70" i="12" s="1"/>
  <c r="BM33" i="12"/>
  <c r="BN33" i="12" s="1"/>
  <c r="BM27" i="12"/>
  <c r="BN27" i="12" s="1"/>
  <c r="BM241" i="12"/>
  <c r="BN241" i="12" s="1"/>
  <c r="BM106" i="12"/>
  <c r="BN106" i="12" s="1"/>
  <c r="BM34" i="12"/>
  <c r="BN34" i="12" s="1"/>
  <c r="BM392" i="12"/>
  <c r="BN392" i="12" s="1"/>
  <c r="BM188" i="12"/>
  <c r="BN188" i="12" s="1"/>
  <c r="BM358" i="12"/>
  <c r="BN358" i="12" s="1"/>
  <c r="BM360" i="12"/>
  <c r="BN360" i="12" s="1"/>
  <c r="BM203" i="12"/>
  <c r="BN203" i="12" s="1"/>
  <c r="BM300" i="12"/>
  <c r="BN300" i="12" s="1"/>
  <c r="BM94" i="12"/>
  <c r="BN94" i="12" s="1"/>
  <c r="BM196" i="12"/>
  <c r="BN196" i="12" s="1"/>
  <c r="BM231" i="12"/>
  <c r="BN231" i="12" s="1"/>
  <c r="BM72" i="12"/>
  <c r="BN72" i="12" s="1"/>
  <c r="BM142" i="12"/>
  <c r="BN142" i="12" s="1"/>
  <c r="BM159" i="12"/>
  <c r="BN159" i="12" s="1"/>
  <c r="BM184" i="12"/>
  <c r="BN184" i="12" s="1"/>
  <c r="BM344" i="12"/>
  <c r="BN344" i="12" s="1"/>
  <c r="BM239" i="12"/>
  <c r="BN239" i="12" s="1"/>
  <c r="BM310" i="12"/>
  <c r="BN310" i="12" s="1"/>
  <c r="BM179" i="12"/>
  <c r="BN179" i="12" s="1"/>
  <c r="BM205" i="12"/>
  <c r="BN205" i="12" s="1"/>
  <c r="BM52" i="12"/>
  <c r="BN52" i="12" s="1"/>
  <c r="BM383" i="12"/>
  <c r="BN383" i="12" s="1"/>
  <c r="BM222" i="12"/>
  <c r="BN222" i="12" s="1"/>
  <c r="BM398" i="12"/>
  <c r="BN398" i="12" s="1"/>
  <c r="BM388" i="12"/>
  <c r="BN388" i="12" s="1"/>
  <c r="BM340" i="12"/>
  <c r="BN340" i="12" s="1"/>
  <c r="BM25" i="12"/>
  <c r="BN25" i="12" s="1"/>
  <c r="BM208" i="12"/>
  <c r="BN208" i="12" s="1"/>
  <c r="BM367" i="12"/>
  <c r="BN367" i="12" s="1"/>
  <c r="BM77" i="12"/>
  <c r="BN77" i="12" s="1"/>
  <c r="BM35" i="12"/>
  <c r="BN35" i="12" s="1"/>
  <c r="BM243" i="12"/>
  <c r="BN243" i="12" s="1"/>
  <c r="BM134" i="12"/>
  <c r="BN134" i="12" s="1"/>
  <c r="BM321" i="12"/>
  <c r="BN321" i="12" s="1"/>
  <c r="BM365" i="12"/>
  <c r="BN365" i="12" s="1"/>
  <c r="BM120" i="12"/>
  <c r="BN120" i="12" s="1"/>
  <c r="BM5" i="12"/>
  <c r="BN5" i="12" s="1"/>
  <c r="CU140" i="12"/>
  <c r="BS162" i="12"/>
  <c r="BI300" i="12"/>
  <c r="CU171" i="12"/>
  <c r="BI224" i="12" l="1"/>
  <c r="BN2" i="12"/>
  <c r="BI286" i="12"/>
  <c r="BI304" i="12"/>
  <c r="BI306" i="12" s="1"/>
  <c r="CU141" i="12"/>
  <c r="BS163" i="12"/>
  <c r="BI225" i="12" l="1"/>
  <c r="BI319" i="12"/>
  <c r="BI320" i="12" s="1"/>
  <c r="BI245" i="12"/>
  <c r="CU142" i="12"/>
  <c r="CU151" i="12"/>
  <c r="BS164" i="12"/>
  <c r="BI226" i="12" l="1"/>
  <c r="BI227" i="12" s="1"/>
  <c r="BI229" i="12" s="1"/>
  <c r="BI246" i="12"/>
  <c r="BI253" i="12" s="1"/>
  <c r="BI261" i="12"/>
  <c r="BI263" i="12" s="1"/>
  <c r="CU143" i="12"/>
  <c r="CU144" i="12"/>
  <c r="BS165" i="12"/>
  <c r="BS166" i="12" s="1"/>
  <c r="BI233" i="12" l="1"/>
  <c r="BI248" i="12"/>
  <c r="BI265" i="12"/>
  <c r="CU145" i="12"/>
  <c r="BS167" i="12"/>
  <c r="BS168" i="12" s="1"/>
  <c r="BS169" i="12" s="1"/>
  <c r="BI234" i="12" l="1"/>
  <c r="BI266" i="12"/>
  <c r="BI267" i="12" s="1"/>
  <c r="BI271" i="12" s="1"/>
  <c r="CU146" i="12"/>
  <c r="BS170" i="12"/>
  <c r="BI235" i="12" l="1"/>
  <c r="BI283" i="12"/>
  <c r="BI276" i="12"/>
  <c r="CU147" i="12"/>
  <c r="CU148" i="12" s="1"/>
  <c r="BS172" i="12"/>
  <c r="BS211" i="12"/>
  <c r="BI236" i="12" l="1"/>
  <c r="BI238" i="12" s="1"/>
  <c r="BS173" i="12"/>
  <c r="BI277" i="12"/>
  <c r="CU149" i="12"/>
  <c r="BS174" i="12"/>
  <c r="BS213" i="12"/>
  <c r="BI239" i="12" l="1"/>
  <c r="BI240" i="12" s="1"/>
  <c r="BI241" i="12" s="1"/>
  <c r="BI243" i="12" s="1"/>
  <c r="BI244" i="12" s="1"/>
  <c r="BI251" i="12" s="1"/>
  <c r="BI252" i="12" s="1"/>
  <c r="BI287" i="12"/>
  <c r="CU150" i="12"/>
  <c r="CU156" i="12"/>
  <c r="CU157" i="12" s="1"/>
  <c r="CU159" i="12" s="1"/>
  <c r="BS175" i="12"/>
  <c r="BS219" i="12"/>
  <c r="BI254" i="12" l="1"/>
  <c r="BI255" i="12" s="1"/>
  <c r="BI256" i="12" s="1"/>
  <c r="BI257" i="12" s="1"/>
  <c r="BI258" i="12" s="1"/>
  <c r="BI274" i="12" s="1"/>
  <c r="BI307" i="12"/>
  <c r="BI311" i="12" s="1"/>
  <c r="CU153" i="12"/>
  <c r="CU154" i="12" s="1"/>
  <c r="CU155" i="12" s="1"/>
  <c r="CU158" i="12" s="1"/>
  <c r="CU152" i="12"/>
  <c r="CU160" i="12"/>
  <c r="BS176" i="12"/>
  <c r="BS209" i="12"/>
  <c r="BI278" i="12" l="1"/>
  <c r="BI290" i="12" s="1"/>
  <c r="BI313" i="12"/>
  <c r="CU161" i="12"/>
  <c r="CU162" i="12"/>
  <c r="CU163" i="12" s="1"/>
  <c r="CU164" i="12" s="1"/>
  <c r="CU165" i="12" s="1"/>
  <c r="CU169" i="12"/>
  <c r="BS177" i="12"/>
  <c r="BS221" i="12"/>
  <c r="BI325" i="12" l="1"/>
  <c r="BI1" i="12" s="1"/>
  <c r="BO22" i="12" s="1"/>
  <c r="BP22" i="12" s="1"/>
  <c r="CU166" i="12"/>
  <c r="CU167" i="12" s="1"/>
  <c r="CU173" i="12"/>
  <c r="CU174" i="12" s="1"/>
  <c r="BS178" i="12"/>
  <c r="BS179" i="12" s="1"/>
  <c r="BS181" i="12"/>
  <c r="CU354" i="12"/>
  <c r="CU168" i="12" l="1"/>
  <c r="CU170" i="12"/>
  <c r="BO197" i="12"/>
  <c r="BP197" i="12" s="1"/>
  <c r="BO328" i="12"/>
  <c r="BP328" i="12" s="1"/>
  <c r="BO302" i="12"/>
  <c r="BP302" i="12" s="1"/>
  <c r="BO254" i="12"/>
  <c r="BP254" i="12" s="1"/>
  <c r="BO92" i="12"/>
  <c r="BP92" i="12" s="1"/>
  <c r="BO156" i="12"/>
  <c r="BP156" i="12" s="1"/>
  <c r="BO183" i="12"/>
  <c r="BP183" i="12" s="1"/>
  <c r="BO50" i="12"/>
  <c r="BP50" i="12" s="1"/>
  <c r="BO184" i="12"/>
  <c r="BP184" i="12" s="1"/>
  <c r="BO393" i="12"/>
  <c r="BP393" i="12" s="1"/>
  <c r="BO169" i="12"/>
  <c r="BP169" i="12" s="1"/>
  <c r="BO294" i="12"/>
  <c r="BP294" i="12" s="1"/>
  <c r="BO173" i="12"/>
  <c r="BP173" i="12" s="1"/>
  <c r="BO134" i="12"/>
  <c r="BP134" i="12" s="1"/>
  <c r="BO319" i="12"/>
  <c r="BP319" i="12" s="1"/>
  <c r="BO300" i="12"/>
  <c r="BP300" i="12" s="1"/>
  <c r="BO145" i="12"/>
  <c r="BP145" i="12" s="1"/>
  <c r="BO227" i="12"/>
  <c r="BP227" i="12" s="1"/>
  <c r="BO121" i="12"/>
  <c r="BP121" i="12" s="1"/>
  <c r="BO15" i="12"/>
  <c r="BP15" i="12" s="1"/>
  <c r="BO47" i="12"/>
  <c r="BP47" i="12" s="1"/>
  <c r="BO157" i="12"/>
  <c r="BP157" i="12" s="1"/>
  <c r="BO348" i="12"/>
  <c r="BP348" i="12" s="1"/>
  <c r="BO335" i="12"/>
  <c r="BP335" i="12" s="1"/>
  <c r="BO251" i="12"/>
  <c r="BP251" i="12" s="1"/>
  <c r="BO161" i="12"/>
  <c r="BP161" i="12" s="1"/>
  <c r="BO119" i="12"/>
  <c r="BP119" i="12" s="1"/>
  <c r="BO395" i="12"/>
  <c r="BP395" i="12" s="1"/>
  <c r="BO330" i="12"/>
  <c r="BP330" i="12" s="1"/>
  <c r="BO76" i="12"/>
  <c r="BP76" i="12" s="1"/>
  <c r="BO120" i="12"/>
  <c r="BP120" i="12" s="1"/>
  <c r="BO292" i="12"/>
  <c r="BP292" i="12" s="1"/>
  <c r="BO355" i="12"/>
  <c r="BP355" i="12" s="1"/>
  <c r="BO42" i="12"/>
  <c r="BP42" i="12" s="1"/>
  <c r="BO101" i="12"/>
  <c r="BP101" i="12" s="1"/>
  <c r="BO133" i="12"/>
  <c r="BP133" i="12" s="1"/>
  <c r="BO303" i="12"/>
  <c r="BP303" i="12" s="1"/>
  <c r="BO155" i="12"/>
  <c r="BP155" i="12" s="1"/>
  <c r="BO62" i="12"/>
  <c r="BP62" i="12" s="1"/>
  <c r="BO352" i="12"/>
  <c r="BP352" i="12" s="1"/>
  <c r="BO345" i="12"/>
  <c r="BP345" i="12" s="1"/>
  <c r="BO346" i="12"/>
  <c r="BP346" i="12" s="1"/>
  <c r="BO201" i="12"/>
  <c r="BP201" i="12" s="1"/>
  <c r="BO384" i="12"/>
  <c r="BP384" i="12" s="1"/>
  <c r="BO158" i="12"/>
  <c r="BP158" i="12" s="1"/>
  <c r="BO246" i="12"/>
  <c r="BP246" i="12" s="1"/>
  <c r="BO289" i="12"/>
  <c r="BP289" i="12" s="1"/>
  <c r="EC2" i="12"/>
  <c r="BO124" i="12"/>
  <c r="BP124" i="12" s="1"/>
  <c r="BO110" i="12"/>
  <c r="BP110" i="12" s="1"/>
  <c r="BO347" i="12"/>
  <c r="BP347" i="12" s="1"/>
  <c r="L2" i="12"/>
  <c r="BO255" i="12"/>
  <c r="BP255" i="12" s="1"/>
  <c r="BO331" i="12"/>
  <c r="BP331" i="12" s="1"/>
  <c r="BO234" i="12"/>
  <c r="BP234" i="12" s="1"/>
  <c r="BO191" i="12"/>
  <c r="BP191" i="12" s="1"/>
  <c r="BO85" i="12"/>
  <c r="BP85" i="12" s="1"/>
  <c r="BO170" i="12"/>
  <c r="BP170" i="12" s="1"/>
  <c r="BO102" i="12"/>
  <c r="BP102" i="12" s="1"/>
  <c r="BO231" i="12"/>
  <c r="BP231" i="12" s="1"/>
  <c r="BO284" i="12"/>
  <c r="BP284" i="12" s="1"/>
  <c r="BO276" i="12"/>
  <c r="BP276" i="12" s="1"/>
  <c r="BO126" i="12"/>
  <c r="BP126" i="12" s="1"/>
  <c r="BO162" i="12"/>
  <c r="BP162" i="12" s="1"/>
  <c r="BO297" i="12"/>
  <c r="BP297" i="12" s="1"/>
  <c r="BO230" i="12"/>
  <c r="BP230" i="12" s="1"/>
  <c r="BO296" i="12"/>
  <c r="BP296" i="12" s="1"/>
  <c r="BO159" i="12"/>
  <c r="BP159" i="12" s="1"/>
  <c r="BO175" i="12"/>
  <c r="BP175" i="12" s="1"/>
  <c r="BO154" i="12"/>
  <c r="BP154" i="12" s="1"/>
  <c r="BO187" i="12"/>
  <c r="BP187" i="12" s="1"/>
  <c r="BO369" i="12"/>
  <c r="BP369" i="12" s="1"/>
  <c r="BO253" i="12"/>
  <c r="BP253" i="12" s="1"/>
  <c r="BO340" i="12"/>
  <c r="BP340" i="12" s="1"/>
  <c r="BO13" i="12"/>
  <c r="BP13" i="12" s="1"/>
  <c r="BO279" i="12"/>
  <c r="BP279" i="12" s="1"/>
  <c r="BO321" i="12"/>
  <c r="BP321" i="12" s="1"/>
  <c r="BO270" i="12"/>
  <c r="BP270" i="12" s="1"/>
  <c r="BO243" i="12"/>
  <c r="BP243" i="12" s="1"/>
  <c r="BO189" i="12"/>
  <c r="BP189" i="12" s="1"/>
  <c r="BO111" i="12"/>
  <c r="BP111" i="12" s="1"/>
  <c r="BO67" i="12"/>
  <c r="BP67" i="12" s="1"/>
  <c r="BO86" i="12"/>
  <c r="BP86" i="12" s="1"/>
  <c r="BO225" i="12"/>
  <c r="BP225" i="12" s="1"/>
  <c r="BO232" i="12"/>
  <c r="BP232" i="12" s="1"/>
  <c r="BO325" i="12"/>
  <c r="BP325" i="12" s="1"/>
  <c r="BO168" i="12"/>
  <c r="BP168" i="12" s="1"/>
  <c r="BO107" i="12"/>
  <c r="BP107" i="12" s="1"/>
  <c r="BO273" i="12"/>
  <c r="BP273" i="12" s="1"/>
  <c r="BO209" i="12"/>
  <c r="BP209" i="12" s="1"/>
  <c r="BO309" i="12"/>
  <c r="BP309" i="12" s="1"/>
  <c r="BO308" i="12"/>
  <c r="BP308" i="12" s="1"/>
  <c r="BO360" i="12"/>
  <c r="BP360" i="12" s="1"/>
  <c r="BO16" i="12"/>
  <c r="BP16" i="12" s="1"/>
  <c r="BO78" i="12"/>
  <c r="BP78" i="12" s="1"/>
  <c r="BO103" i="12"/>
  <c r="BP103" i="12" s="1"/>
  <c r="BO4" i="12"/>
  <c r="BP4" i="12" s="1"/>
  <c r="BO266" i="12"/>
  <c r="BP266" i="12" s="1"/>
  <c r="BO75" i="12"/>
  <c r="BP75" i="12" s="1"/>
  <c r="BO305" i="12"/>
  <c r="BP305" i="12" s="1"/>
  <c r="BO84" i="12"/>
  <c r="BP84" i="12" s="1"/>
  <c r="BO281" i="12"/>
  <c r="BP281" i="12" s="1"/>
  <c r="BO299" i="12"/>
  <c r="BP299" i="12" s="1"/>
  <c r="BO116" i="12"/>
  <c r="BP116" i="12" s="1"/>
  <c r="BO260" i="12"/>
  <c r="BP260" i="12" s="1"/>
  <c r="BO44" i="12"/>
  <c r="BP44" i="12" s="1"/>
  <c r="BO39" i="12"/>
  <c r="BP39" i="12" s="1"/>
  <c r="BO293" i="12"/>
  <c r="BP293" i="12" s="1"/>
  <c r="BO31" i="12"/>
  <c r="BP31" i="12" s="1"/>
  <c r="BO337" i="12"/>
  <c r="BP337" i="12" s="1"/>
  <c r="BO283" i="12"/>
  <c r="BP283" i="12" s="1"/>
  <c r="BO17" i="12"/>
  <c r="BP17" i="12" s="1"/>
  <c r="BO114" i="12"/>
  <c r="BP114" i="12" s="1"/>
  <c r="BO91" i="12"/>
  <c r="BP91" i="12" s="1"/>
  <c r="BO131" i="12"/>
  <c r="BP131" i="12" s="1"/>
  <c r="BO180" i="12"/>
  <c r="BP180" i="12" s="1"/>
  <c r="BO185" i="12"/>
  <c r="BP185" i="12" s="1"/>
  <c r="BO35" i="12"/>
  <c r="BP35" i="12" s="1"/>
  <c r="BO364" i="12"/>
  <c r="BP364" i="12" s="1"/>
  <c r="BO341" i="12"/>
  <c r="BP341" i="12" s="1"/>
  <c r="BO224" i="12"/>
  <c r="BP224" i="12" s="1"/>
  <c r="BO71" i="12"/>
  <c r="BP71" i="12" s="1"/>
  <c r="BO367" i="12"/>
  <c r="BP367" i="12" s="1"/>
  <c r="BO83" i="12"/>
  <c r="BP83" i="12" s="1"/>
  <c r="BO376" i="12"/>
  <c r="BP376" i="12" s="1"/>
  <c r="BO379" i="12"/>
  <c r="BP379" i="12" s="1"/>
  <c r="BO244" i="12"/>
  <c r="BP244" i="12" s="1"/>
  <c r="BO250" i="12"/>
  <c r="BP250" i="12" s="1"/>
  <c r="BO265" i="12"/>
  <c r="BP265" i="12" s="1"/>
  <c r="BO310" i="12"/>
  <c r="BP310" i="12" s="1"/>
  <c r="BO275" i="12"/>
  <c r="BP275" i="12" s="1"/>
  <c r="BO240" i="12"/>
  <c r="BP240" i="12" s="1"/>
  <c r="BO336" i="12"/>
  <c r="BP336" i="12" s="1"/>
  <c r="BO327" i="12"/>
  <c r="BP327" i="12" s="1"/>
  <c r="BO174" i="12"/>
  <c r="BP174" i="12" s="1"/>
  <c r="BO51" i="12"/>
  <c r="BP51" i="12" s="1"/>
  <c r="BO311" i="12"/>
  <c r="BP311" i="12" s="1"/>
  <c r="BO142" i="12"/>
  <c r="BP142" i="12" s="1"/>
  <c r="BO268" i="12"/>
  <c r="BP268" i="12" s="1"/>
  <c r="BO57" i="12"/>
  <c r="BP57" i="12" s="1"/>
  <c r="BO371" i="12"/>
  <c r="BP371" i="12" s="1"/>
  <c r="BO30" i="12"/>
  <c r="BP30" i="12" s="1"/>
  <c r="BO387" i="12"/>
  <c r="BP387" i="12" s="1"/>
  <c r="BO249" i="12"/>
  <c r="BP249" i="12" s="1"/>
  <c r="BO242" i="12"/>
  <c r="BP242" i="12" s="1"/>
  <c r="BO261" i="12"/>
  <c r="BP261" i="12" s="1"/>
  <c r="BO349" i="12"/>
  <c r="BP349" i="12" s="1"/>
  <c r="BO363" i="12"/>
  <c r="BP363" i="12" s="1"/>
  <c r="BO236" i="12"/>
  <c r="BP236" i="12" s="1"/>
  <c r="BO129" i="12"/>
  <c r="BP129" i="12" s="1"/>
  <c r="BO274" i="12"/>
  <c r="BP274" i="12" s="1"/>
  <c r="BO135" i="12"/>
  <c r="BP135" i="12" s="1"/>
  <c r="BO259" i="12"/>
  <c r="BP259" i="12" s="1"/>
  <c r="BO153" i="12"/>
  <c r="BP153" i="12" s="1"/>
  <c r="BO172" i="12"/>
  <c r="BP172" i="12" s="1"/>
  <c r="BO89" i="12"/>
  <c r="BP89" i="12" s="1"/>
  <c r="BO353" i="12"/>
  <c r="BP353" i="12" s="1"/>
  <c r="BO14" i="12"/>
  <c r="BP14" i="12" s="1"/>
  <c r="BO95" i="12"/>
  <c r="BP95" i="12" s="1"/>
  <c r="BO108" i="12"/>
  <c r="BP108" i="12" s="1"/>
  <c r="BO365" i="12"/>
  <c r="BP365" i="12" s="1"/>
  <c r="EA2" i="12"/>
  <c r="BO82" i="12"/>
  <c r="BP82" i="12" s="1"/>
  <c r="BO21" i="12"/>
  <c r="BP21" i="12" s="1"/>
  <c r="BO272" i="12"/>
  <c r="BP272" i="12" s="1"/>
  <c r="BO286" i="12"/>
  <c r="BP286" i="12" s="1"/>
  <c r="BO375" i="12"/>
  <c r="BP375" i="12" s="1"/>
  <c r="BO55" i="12"/>
  <c r="BP55" i="12" s="1"/>
  <c r="BO252" i="12"/>
  <c r="BP252" i="12" s="1"/>
  <c r="BO343" i="12"/>
  <c r="BP343" i="12" s="1"/>
  <c r="BO288" i="12"/>
  <c r="BP288" i="12" s="1"/>
  <c r="BO239" i="12"/>
  <c r="BP239" i="12" s="1"/>
  <c r="BO237" i="12"/>
  <c r="BP237" i="12" s="1"/>
  <c r="BO203" i="12"/>
  <c r="BP203" i="12" s="1"/>
  <c r="BO182" i="12"/>
  <c r="BP182" i="12" s="1"/>
  <c r="BO125" i="12"/>
  <c r="BP125" i="12" s="1"/>
  <c r="BO163" i="12"/>
  <c r="BP163" i="12" s="1"/>
  <c r="BO377" i="12"/>
  <c r="BP377" i="12" s="1"/>
  <c r="BO24" i="12"/>
  <c r="BP24" i="12" s="1"/>
  <c r="BO211" i="12"/>
  <c r="BP211" i="12" s="1"/>
  <c r="BO198" i="12"/>
  <c r="BP198" i="12" s="1"/>
  <c r="BO316" i="12"/>
  <c r="BP316" i="12" s="1"/>
  <c r="BO20" i="12"/>
  <c r="BP20" i="12" s="1"/>
  <c r="BO326" i="12"/>
  <c r="BP326" i="12" s="1"/>
  <c r="BO344" i="12"/>
  <c r="BP344" i="12" s="1"/>
  <c r="BO332" i="12"/>
  <c r="BP332" i="12" s="1"/>
  <c r="BO148" i="12"/>
  <c r="BP148" i="12" s="1"/>
  <c r="BO137" i="12"/>
  <c r="BP137" i="12" s="1"/>
  <c r="BO105" i="12"/>
  <c r="BP105" i="12" s="1"/>
  <c r="BO127" i="12"/>
  <c r="BP127" i="12" s="1"/>
  <c r="BO291" i="12"/>
  <c r="BP291" i="12" s="1"/>
  <c r="BO77" i="12"/>
  <c r="BP77" i="12" s="1"/>
  <c r="BO122" i="12"/>
  <c r="BP122" i="12" s="1"/>
  <c r="BO359" i="12"/>
  <c r="BP359" i="12" s="1"/>
  <c r="BO277" i="12"/>
  <c r="BP277" i="12" s="1"/>
  <c r="BO49" i="12"/>
  <c r="BP49" i="12" s="1"/>
  <c r="BO356" i="12"/>
  <c r="BP356" i="12" s="1"/>
  <c r="BO381" i="12"/>
  <c r="BP381" i="12" s="1"/>
  <c r="BO245" i="12"/>
  <c r="BP245" i="12" s="1"/>
  <c r="BO32" i="12"/>
  <c r="BP32" i="12" s="1"/>
  <c r="BO146" i="12"/>
  <c r="BP146" i="12" s="1"/>
  <c r="BO210" i="12"/>
  <c r="BP210" i="12" s="1"/>
  <c r="BO400" i="12"/>
  <c r="BP400" i="12" s="1"/>
  <c r="BO165" i="12"/>
  <c r="BP165" i="12" s="1"/>
  <c r="BO278" i="12"/>
  <c r="BP278" i="12" s="1"/>
  <c r="BO41" i="12"/>
  <c r="BP41" i="12" s="1"/>
  <c r="BO354" i="12"/>
  <c r="BP354" i="12" s="1"/>
  <c r="BO141" i="12"/>
  <c r="BP141" i="12" s="1"/>
  <c r="BO385" i="12"/>
  <c r="BP385" i="12" s="1"/>
  <c r="BO139" i="12"/>
  <c r="BP139" i="12" s="1"/>
  <c r="BO28" i="12"/>
  <c r="BP28" i="12" s="1"/>
  <c r="BO192" i="12"/>
  <c r="BP192" i="12" s="1"/>
  <c r="BO171" i="12"/>
  <c r="BP171" i="12" s="1"/>
  <c r="BO117" i="12"/>
  <c r="BP117" i="12" s="1"/>
  <c r="BO206" i="12"/>
  <c r="BP206" i="12" s="1"/>
  <c r="BO323" i="12"/>
  <c r="BP323" i="12" s="1"/>
  <c r="BO388" i="12"/>
  <c r="BP388" i="12" s="1"/>
  <c r="BO106" i="12"/>
  <c r="BP106" i="12" s="1"/>
  <c r="BO37" i="12"/>
  <c r="BP37" i="12" s="1"/>
  <c r="BO25" i="12"/>
  <c r="BP25" i="12" s="1"/>
  <c r="BO298" i="12"/>
  <c r="BP298" i="12" s="1"/>
  <c r="BO258" i="12"/>
  <c r="BP258" i="12" s="1"/>
  <c r="BO38" i="12"/>
  <c r="BP38" i="12" s="1"/>
  <c r="BO306" i="12"/>
  <c r="BP306" i="12" s="1"/>
  <c r="BO338" i="12"/>
  <c r="BP338" i="12" s="1"/>
  <c r="BO29" i="12"/>
  <c r="BP29" i="12" s="1"/>
  <c r="BO113" i="12"/>
  <c r="BP113" i="12" s="1"/>
  <c r="BO241" i="12"/>
  <c r="BP241" i="12" s="1"/>
  <c r="BO80" i="12"/>
  <c r="BP80" i="12" s="1"/>
  <c r="BO97" i="12"/>
  <c r="BP97" i="12" s="1"/>
  <c r="BO398" i="12"/>
  <c r="BP398" i="12" s="1"/>
  <c r="BO229" i="12"/>
  <c r="BP229" i="12" s="1"/>
  <c r="BO63" i="12"/>
  <c r="BP63" i="12" s="1"/>
  <c r="BO214" i="12"/>
  <c r="BP214" i="12" s="1"/>
  <c r="BO226" i="12"/>
  <c r="BP226" i="12" s="1"/>
  <c r="BO207" i="12"/>
  <c r="BP207" i="12" s="1"/>
  <c r="BO27" i="12"/>
  <c r="BP27" i="12" s="1"/>
  <c r="BO378" i="12"/>
  <c r="BP378" i="12" s="1"/>
  <c r="BO333" i="12"/>
  <c r="BP333" i="12" s="1"/>
  <c r="BO204" i="12"/>
  <c r="BP204" i="12" s="1"/>
  <c r="BO317" i="12"/>
  <c r="BP317" i="12" s="1"/>
  <c r="BO81" i="12"/>
  <c r="BP81" i="12" s="1"/>
  <c r="BO164" i="12"/>
  <c r="BP164" i="12" s="1"/>
  <c r="BO399" i="12"/>
  <c r="BP399" i="12" s="1"/>
  <c r="BO287" i="12"/>
  <c r="BP287" i="12" s="1"/>
  <c r="BO10" i="12"/>
  <c r="BP10" i="12" s="1"/>
  <c r="BO223" i="12"/>
  <c r="BP223" i="12" s="1"/>
  <c r="BO128" i="12"/>
  <c r="BP128" i="12" s="1"/>
  <c r="BO396" i="12"/>
  <c r="BP396" i="12" s="1"/>
  <c r="BO195" i="12"/>
  <c r="BP195" i="12" s="1"/>
  <c r="BO43" i="12"/>
  <c r="BP43" i="12" s="1"/>
  <c r="BO23" i="12"/>
  <c r="BP23" i="12" s="1"/>
  <c r="BO118" i="12"/>
  <c r="BP118" i="12" s="1"/>
  <c r="BO115" i="12"/>
  <c r="BP115" i="12" s="1"/>
  <c r="BO123" i="12"/>
  <c r="BP123" i="12" s="1"/>
  <c r="BO397" i="12"/>
  <c r="BP397" i="12" s="1"/>
  <c r="BO178" i="12"/>
  <c r="BP178" i="12" s="1"/>
  <c r="BO132" i="12"/>
  <c r="BP132" i="12" s="1"/>
  <c r="BO6" i="12"/>
  <c r="BP6" i="12" s="1"/>
  <c r="BO3" i="12"/>
  <c r="BP3" i="12" s="1"/>
  <c r="BO373" i="12"/>
  <c r="BP373" i="12" s="1"/>
  <c r="BO222" i="12"/>
  <c r="BP222" i="12" s="1"/>
  <c r="BO12" i="12"/>
  <c r="BP12" i="12" s="1"/>
  <c r="BO307" i="12"/>
  <c r="BP307" i="12" s="1"/>
  <c r="BO56" i="12"/>
  <c r="BP56" i="12" s="1"/>
  <c r="BO366" i="12"/>
  <c r="BP366" i="12" s="1"/>
  <c r="BO247" i="12"/>
  <c r="BP247" i="12" s="1"/>
  <c r="BO199" i="12"/>
  <c r="BP199" i="12" s="1"/>
  <c r="BO99" i="12"/>
  <c r="BP99" i="12" s="1"/>
  <c r="BO138" i="12"/>
  <c r="BP138" i="12" s="1"/>
  <c r="BO193" i="12"/>
  <c r="BP193" i="12" s="1"/>
  <c r="BO386" i="12"/>
  <c r="BP386" i="12" s="1"/>
  <c r="BO351" i="12"/>
  <c r="BP351" i="12" s="1"/>
  <c r="BO8" i="12"/>
  <c r="BP8" i="12" s="1"/>
  <c r="BO282" i="12"/>
  <c r="BP282" i="12" s="1"/>
  <c r="BO196" i="12"/>
  <c r="BP196" i="12" s="1"/>
  <c r="J2" i="12"/>
  <c r="BO69" i="12"/>
  <c r="BP69" i="12" s="1"/>
  <c r="BO220" i="12"/>
  <c r="BP220" i="12" s="1"/>
  <c r="BO150" i="12"/>
  <c r="BP150" i="12" s="1"/>
  <c r="BO391" i="12"/>
  <c r="BP391" i="12" s="1"/>
  <c r="BO301" i="12"/>
  <c r="BP301" i="12" s="1"/>
  <c r="BO329" i="12"/>
  <c r="BP329" i="12" s="1"/>
  <c r="BO36" i="12"/>
  <c r="BP36" i="12" s="1"/>
  <c r="BO304" i="12"/>
  <c r="BP304" i="12" s="1"/>
  <c r="BO315" i="12"/>
  <c r="BP315" i="12" s="1"/>
  <c r="BO160" i="12"/>
  <c r="BP160" i="12" s="1"/>
  <c r="BO324" i="12"/>
  <c r="BP324" i="12" s="1"/>
  <c r="BO350" i="12"/>
  <c r="BP350" i="12" s="1"/>
  <c r="BO290" i="12"/>
  <c r="BP290" i="12" s="1"/>
  <c r="BO215" i="12"/>
  <c r="BP215" i="12" s="1"/>
  <c r="BO179" i="12"/>
  <c r="BP179" i="12" s="1"/>
  <c r="BO130" i="12"/>
  <c r="BP130" i="12" s="1"/>
  <c r="BO271" i="12"/>
  <c r="BP271" i="12" s="1"/>
  <c r="BO322" i="12"/>
  <c r="BP322" i="12" s="1"/>
  <c r="BO7" i="12"/>
  <c r="BP7" i="12" s="1"/>
  <c r="BO140" i="12"/>
  <c r="BP140" i="12" s="1"/>
  <c r="BO202" i="12"/>
  <c r="BP202" i="12" s="1"/>
  <c r="BO34" i="12"/>
  <c r="BP34" i="12" s="1"/>
  <c r="BO59" i="12"/>
  <c r="BP59" i="12" s="1"/>
  <c r="BO390" i="12"/>
  <c r="BP390" i="12" s="1"/>
  <c r="BO262" i="12"/>
  <c r="BP262" i="12" s="1"/>
  <c r="BO104" i="12"/>
  <c r="BP104" i="12" s="1"/>
  <c r="J1" i="12"/>
  <c r="BO60" i="12"/>
  <c r="BP60" i="12" s="1"/>
  <c r="BO372" i="12"/>
  <c r="BP372" i="12" s="1"/>
  <c r="BO320" i="12"/>
  <c r="BP320" i="12" s="1"/>
  <c r="BO90" i="12"/>
  <c r="BP90" i="12" s="1"/>
  <c r="BO40" i="12"/>
  <c r="BP40" i="12" s="1"/>
  <c r="BO339" i="12"/>
  <c r="BP339" i="12" s="1"/>
  <c r="BO186" i="12"/>
  <c r="BP186" i="12" s="1"/>
  <c r="BO358" i="12"/>
  <c r="BP358" i="12" s="1"/>
  <c r="BO151" i="12"/>
  <c r="BP151" i="12" s="1"/>
  <c r="BO200" i="12"/>
  <c r="BP200" i="12" s="1"/>
  <c r="BO357" i="12"/>
  <c r="BP357" i="12" s="1"/>
  <c r="BO313" i="12"/>
  <c r="BP313" i="12" s="1"/>
  <c r="BO228" i="12"/>
  <c r="BP228" i="12" s="1"/>
  <c r="BO177" i="12"/>
  <c r="BP177" i="12" s="1"/>
  <c r="BO54" i="12"/>
  <c r="BP54" i="12" s="1"/>
  <c r="BO361" i="12"/>
  <c r="BP361" i="12" s="1"/>
  <c r="BO380" i="12"/>
  <c r="BP380" i="12" s="1"/>
  <c r="BO166" i="12"/>
  <c r="BP166" i="12" s="1"/>
  <c r="BO314" i="12"/>
  <c r="BP314" i="12" s="1"/>
  <c r="BO312" i="12"/>
  <c r="BP312" i="12" s="1"/>
  <c r="BO257" i="12"/>
  <c r="BP257" i="12" s="1"/>
  <c r="BO147" i="12"/>
  <c r="BP147" i="12" s="1"/>
  <c r="BO212" i="12"/>
  <c r="BP212" i="12" s="1"/>
  <c r="BO98" i="12"/>
  <c r="BP98" i="12" s="1"/>
  <c r="BO74" i="12"/>
  <c r="BP74" i="12" s="1"/>
  <c r="BO11" i="12"/>
  <c r="BP11" i="12" s="1"/>
  <c r="BO318" i="12"/>
  <c r="BP318" i="12" s="1"/>
  <c r="BO18" i="12"/>
  <c r="BP18" i="12" s="1"/>
  <c r="BO73" i="12"/>
  <c r="BP73" i="12" s="1"/>
  <c r="BO269" i="12"/>
  <c r="BP269" i="12" s="1"/>
  <c r="BO233" i="12"/>
  <c r="BP233" i="12" s="1"/>
  <c r="BO263" i="12"/>
  <c r="BP263" i="12" s="1"/>
  <c r="BO72" i="12"/>
  <c r="BP72" i="12" s="1"/>
  <c r="BO280" i="12"/>
  <c r="BP280" i="12" s="1"/>
  <c r="BO144" i="12"/>
  <c r="BP144" i="12" s="1"/>
  <c r="BO9" i="12"/>
  <c r="BP9" i="12" s="1"/>
  <c r="BO19" i="12"/>
  <c r="BP19" i="12" s="1"/>
  <c r="BO368" i="12"/>
  <c r="BP368" i="12" s="1"/>
  <c r="BO143" i="12"/>
  <c r="BP143" i="12" s="1"/>
  <c r="BO362" i="12"/>
  <c r="BP362" i="12" s="1"/>
  <c r="BO26" i="12"/>
  <c r="BP26" i="12" s="1"/>
  <c r="BO221" i="12"/>
  <c r="BP221" i="12" s="1"/>
  <c r="BO88" i="12"/>
  <c r="BP88" i="12" s="1"/>
  <c r="BO383" i="12"/>
  <c r="BP383" i="12" s="1"/>
  <c r="BO94" i="12"/>
  <c r="BP94" i="12" s="1"/>
  <c r="BO190" i="12"/>
  <c r="BP190" i="12" s="1"/>
  <c r="BO389" i="12"/>
  <c r="BP389" i="12" s="1"/>
  <c r="BO334" i="12"/>
  <c r="BP334" i="12" s="1"/>
  <c r="BO68" i="12"/>
  <c r="BP68" i="12" s="1"/>
  <c r="BO188" i="12"/>
  <c r="BP188" i="12" s="1"/>
  <c r="BO33" i="12"/>
  <c r="BP33" i="12" s="1"/>
  <c r="BO93" i="12"/>
  <c r="BP93" i="12" s="1"/>
  <c r="BO176" i="12"/>
  <c r="BP176" i="12" s="1"/>
  <c r="BO96" i="12"/>
  <c r="BP96" i="12" s="1"/>
  <c r="BO382" i="12"/>
  <c r="BP382" i="12" s="1"/>
  <c r="BO45" i="12"/>
  <c r="BP45" i="12" s="1"/>
  <c r="BO112" i="12"/>
  <c r="BP112" i="12" s="1"/>
  <c r="BO256" i="12"/>
  <c r="BP256" i="12" s="1"/>
  <c r="BO48" i="12"/>
  <c r="BP48" i="12" s="1"/>
  <c r="BO208" i="12"/>
  <c r="BP208" i="12" s="1"/>
  <c r="BO70" i="12"/>
  <c r="BP70" i="12" s="1"/>
  <c r="BO181" i="12"/>
  <c r="BP181" i="12" s="1"/>
  <c r="BO267" i="12"/>
  <c r="BP267" i="12" s="1"/>
  <c r="BO264" i="12"/>
  <c r="BP264" i="12" s="1"/>
  <c r="BO342" i="12"/>
  <c r="BP342" i="12" s="1"/>
  <c r="BO248" i="12"/>
  <c r="BP248" i="12" s="1"/>
  <c r="BO65" i="12"/>
  <c r="BP65" i="12" s="1"/>
  <c r="BO205" i="12"/>
  <c r="BP205" i="12" s="1"/>
  <c r="BO149" i="12"/>
  <c r="BP149" i="12" s="1"/>
  <c r="BO61" i="12"/>
  <c r="BP61" i="12" s="1"/>
  <c r="BO235" i="12"/>
  <c r="BP235" i="12" s="1"/>
  <c r="BO218" i="12"/>
  <c r="BP218" i="12" s="1"/>
  <c r="BO374" i="12"/>
  <c r="BP374" i="12" s="1"/>
  <c r="BO5" i="12"/>
  <c r="BP5" i="12" s="1"/>
  <c r="BO194" i="12"/>
  <c r="BP194" i="12" s="1"/>
  <c r="BO66" i="12"/>
  <c r="BP66" i="12" s="1"/>
  <c r="BO46" i="12"/>
  <c r="BP46" i="12" s="1"/>
  <c r="BO216" i="12"/>
  <c r="BP216" i="12" s="1"/>
  <c r="BO238" i="12"/>
  <c r="BP238" i="12" s="1"/>
  <c r="BO109" i="12"/>
  <c r="BP109" i="12" s="1"/>
  <c r="BO136" i="12"/>
  <c r="BP136" i="12" s="1"/>
  <c r="BO87" i="12"/>
  <c r="BP87" i="12" s="1"/>
  <c r="BO64" i="12"/>
  <c r="BP64" i="12" s="1"/>
  <c r="BO370" i="12"/>
  <c r="BP370" i="12" s="1"/>
  <c r="BO394" i="12"/>
  <c r="BP394" i="12" s="1"/>
  <c r="BO167" i="12"/>
  <c r="BP167" i="12" s="1"/>
  <c r="BO217" i="12"/>
  <c r="BP217" i="12" s="1"/>
  <c r="BO52" i="12"/>
  <c r="BP52" i="12" s="1"/>
  <c r="BO53" i="12"/>
  <c r="BP53" i="12" s="1"/>
  <c r="BO295" i="12"/>
  <c r="BP295" i="12" s="1"/>
  <c r="BO213" i="12"/>
  <c r="BP213" i="12" s="1"/>
  <c r="BO392" i="12"/>
  <c r="BP392" i="12" s="1"/>
  <c r="BO152" i="12"/>
  <c r="BP152" i="12" s="1"/>
  <c r="BO219" i="12"/>
  <c r="BP219" i="12" s="1"/>
  <c r="BO285" i="12"/>
  <c r="BP285" i="12" s="1"/>
  <c r="BO100" i="12"/>
  <c r="BP100" i="12" s="1"/>
  <c r="BO79" i="12"/>
  <c r="BP79" i="12" s="1"/>
  <c r="BO58" i="12"/>
  <c r="BP58" i="12" s="1"/>
  <c r="CU175" i="12"/>
  <c r="CU176" i="12" s="1"/>
  <c r="CU178" i="12" s="1"/>
  <c r="CU179" i="12" s="1"/>
  <c r="BS180" i="12"/>
  <c r="BS187" i="12"/>
  <c r="CU172" i="12" l="1"/>
  <c r="CU177" i="12" s="1"/>
  <c r="BP2" i="12"/>
  <c r="BO1" i="12" s="1"/>
  <c r="BS182" i="12"/>
  <c r="BS183" i="12" s="1"/>
  <c r="BS184" i="12"/>
  <c r="CU180" i="12"/>
  <c r="CU181" i="12"/>
  <c r="CU291" i="12"/>
  <c r="CU301" i="12"/>
  <c r="CU292" i="12"/>
  <c r="CU319" i="12"/>
  <c r="CU314" i="12"/>
  <c r="CU321" i="12"/>
  <c r="BS185" i="12" l="1"/>
  <c r="BQ2" i="12"/>
  <c r="BO2" i="12"/>
  <c r="CQ57" i="12"/>
  <c r="BS186" i="12"/>
  <c r="CU182" i="12"/>
  <c r="BS188" i="12" l="1"/>
  <c r="BS189" i="12" s="1"/>
  <c r="CU183" i="12"/>
  <c r="CU184" i="12" l="1"/>
  <c r="BS190" i="12"/>
  <c r="CU185" i="12"/>
  <c r="BS240" i="12"/>
  <c r="BS241" i="12"/>
  <c r="BS191" i="12" l="1"/>
  <c r="CU186" i="12"/>
  <c r="BS220" i="12"/>
  <c r="BS192" i="12" l="1"/>
  <c r="BS193" i="12" s="1"/>
  <c r="BS194" i="12" s="1"/>
  <c r="CU187" i="12"/>
  <c r="CU188" i="12" s="1"/>
  <c r="BS195" i="12" l="1"/>
  <c r="CU189" i="12"/>
  <c r="BS196" i="12"/>
  <c r="CU209" i="12"/>
  <c r="BS273" i="12"/>
  <c r="CU190" i="12" l="1"/>
  <c r="CU191" i="12" s="1"/>
  <c r="CU196" i="12"/>
  <c r="BS197" i="12"/>
  <c r="CU213" i="12"/>
  <c r="CU192" i="12" l="1"/>
  <c r="CU193" i="12" s="1"/>
  <c r="CU195" i="12"/>
  <c r="BS198" i="12"/>
  <c r="CU197" i="12"/>
  <c r="CU219" i="12"/>
  <c r="CU194" i="12" l="1"/>
  <c r="CU198" i="12" s="1"/>
  <c r="BS207" i="12"/>
  <c r="BS199" i="12"/>
  <c r="CU220" i="12"/>
  <c r="BS275" i="12"/>
  <c r="CU221" i="12"/>
  <c r="BS294" i="12"/>
  <c r="BS295" i="12" s="1"/>
  <c r="CU199" i="12" l="1"/>
  <c r="CU200" i="12" s="1"/>
  <c r="CU201" i="12" s="1"/>
  <c r="BS200" i="12"/>
  <c r="BS259" i="12"/>
  <c r="CU202" i="12" l="1"/>
  <c r="BS201" i="12"/>
  <c r="CU207" i="12"/>
  <c r="BS281" i="12"/>
  <c r="CU204" i="12" l="1"/>
  <c r="CU203" i="12"/>
  <c r="BS202" i="12"/>
  <c r="CU205" i="12"/>
  <c r="BS226" i="12"/>
  <c r="CU218" i="12"/>
  <c r="BS296" i="12"/>
  <c r="BS285" i="12"/>
  <c r="BS204" i="12" l="1"/>
  <c r="BS203" i="12"/>
  <c r="BS212" i="12"/>
  <c r="BS214" i="12" s="1"/>
  <c r="BS205" i="12"/>
  <c r="BS217" i="12"/>
  <c r="BS218" i="12" s="1"/>
  <c r="CU226" i="12"/>
  <c r="CU206" i="12"/>
  <c r="BS272" i="12"/>
  <c r="BS279" i="12"/>
  <c r="BS284" i="12" s="1"/>
  <c r="BS297" i="12"/>
  <c r="CU208" i="12" l="1"/>
  <c r="CU210" i="12"/>
  <c r="CU211" i="12" s="1"/>
  <c r="BS206" i="12"/>
  <c r="BS208" i="12" s="1"/>
  <c r="CU212" i="12"/>
  <c r="BS288" i="12"/>
  <c r="BS298" i="12"/>
  <c r="BS210" i="12" l="1"/>
  <c r="BS215" i="12" s="1"/>
  <c r="BS216" i="12" s="1"/>
  <c r="CU214" i="12"/>
  <c r="CU217" i="12"/>
  <c r="BS242" i="12"/>
  <c r="BS262" i="12"/>
  <c r="BS299" i="12"/>
  <c r="CU215" i="12" l="1"/>
  <c r="CU216" i="12" s="1"/>
  <c r="CU222" i="12" s="1"/>
  <c r="BS222" i="12"/>
  <c r="BS249" i="12"/>
  <c r="BS250" i="12" s="1"/>
  <c r="CU249" i="12"/>
  <c r="BS300" i="12"/>
  <c r="BS223" i="12" l="1"/>
  <c r="BS224" i="12" s="1"/>
  <c r="CU223" i="12"/>
  <c r="BS260" i="12"/>
  <c r="BS263" i="12"/>
  <c r="CU230" i="12"/>
  <c r="CU227" i="12" l="1"/>
  <c r="CU224" i="12"/>
  <c r="CU228" i="12"/>
  <c r="BS225" i="12"/>
  <c r="BS228" i="12" s="1"/>
  <c r="BS230" i="12" s="1"/>
  <c r="BS231" i="12"/>
  <c r="BS232" i="12" s="1"/>
  <c r="CU250" i="12"/>
  <c r="CU231" i="12"/>
  <c r="BS283" i="12"/>
  <c r="BS286" i="12" s="1"/>
  <c r="BS304" i="12" s="1"/>
  <c r="BS306" i="12" s="1"/>
  <c r="CU259" i="12"/>
  <c r="CU225" i="12" l="1"/>
  <c r="CU229" i="12" s="1"/>
  <c r="BS227" i="12"/>
  <c r="BS229" i="12"/>
  <c r="BS320" i="12"/>
  <c r="CU232" i="12"/>
  <c r="CU260" i="12"/>
  <c r="CU263" i="12" s="1"/>
  <c r="CU264" i="12" s="1"/>
  <c r="CU273" i="12"/>
  <c r="BS233" i="12" l="1"/>
  <c r="BS237" i="12"/>
  <c r="BS236" i="12"/>
  <c r="CU233" i="12"/>
  <c r="CU234" i="12" s="1"/>
  <c r="CU272" i="12"/>
  <c r="CU275" i="12"/>
  <c r="BS234" i="12" l="1"/>
  <c r="BS235" i="12" s="1"/>
  <c r="BS238" i="12" s="1"/>
  <c r="BS239" i="12" s="1"/>
  <c r="BS243" i="12" s="1"/>
  <c r="CU236" i="12"/>
  <c r="CU235" i="12"/>
  <c r="BS245" i="12"/>
  <c r="CU237" i="12"/>
  <c r="BS244" i="12" l="1"/>
  <c r="CU238" i="12"/>
  <c r="CU242" i="12" s="1"/>
  <c r="BS246" i="12"/>
  <c r="CU282" i="12"/>
  <c r="CU283" i="12" s="1"/>
  <c r="CU239" i="12" l="1"/>
  <c r="CU240" i="12" s="1"/>
  <c r="CU241" i="12" s="1"/>
  <c r="BS253" i="12"/>
  <c r="BS247" i="12"/>
  <c r="CU253" i="12"/>
  <c r="CU248" i="12"/>
  <c r="BS248" i="12"/>
  <c r="BS261" i="12"/>
  <c r="BS264" i="12" s="1"/>
  <c r="BS265" i="12" s="1"/>
  <c r="CU271" i="12"/>
  <c r="CU276" i="12" s="1"/>
  <c r="CU277" i="12" s="1"/>
  <c r="CU284" i="12"/>
  <c r="CU285" i="12" s="1"/>
  <c r="CU286" i="12" s="1"/>
  <c r="CU293" i="12"/>
  <c r="CU294" i="12" s="1"/>
  <c r="CU243" i="12" l="1"/>
  <c r="CU244" i="12" s="1"/>
  <c r="CU245" i="12" s="1"/>
  <c r="CU246" i="12" s="1"/>
  <c r="CU247" i="12" s="1"/>
  <c r="BS251" i="12"/>
  <c r="BS252" i="12" s="1"/>
  <c r="CU280" i="12"/>
  <c r="CU281" i="12" s="1"/>
  <c r="BS266" i="12"/>
  <c r="BS267" i="12" s="1"/>
  <c r="CU295" i="12"/>
  <c r="CU251" i="12" l="1"/>
  <c r="CU252" i="12" s="1"/>
  <c r="CU254" i="12" s="1"/>
  <c r="CU255" i="12" s="1"/>
  <c r="CU256" i="12" s="1"/>
  <c r="CU257" i="12" s="1"/>
  <c r="CU261" i="12" s="1"/>
  <c r="CU262" i="12" s="1"/>
  <c r="CU265" i="12" s="1"/>
  <c r="CU266" i="12" s="1"/>
  <c r="CU267" i="12" s="1"/>
  <c r="BS254" i="12"/>
  <c r="BS255" i="12" s="1"/>
  <c r="BS256" i="12" s="1"/>
  <c r="BS257" i="12" s="1"/>
  <c r="BS258" i="12" s="1"/>
  <c r="BS271" i="12"/>
  <c r="CU287" i="12"/>
  <c r="CU288" i="12" s="1"/>
  <c r="CU289" i="12" s="1"/>
  <c r="BS276" i="12"/>
  <c r="BS277" i="12" s="1"/>
  <c r="CU296" i="12"/>
  <c r="BS268" i="12" l="1"/>
  <c r="BS274" i="12" s="1"/>
  <c r="CU258" i="12"/>
  <c r="CU268" i="12" s="1"/>
  <c r="CU274" i="12" s="1"/>
  <c r="BS282" i="12"/>
  <c r="BS280" i="12"/>
  <c r="CU297" i="12"/>
  <c r="CU278" i="12" l="1"/>
  <c r="CU279" i="12" s="1"/>
  <c r="CU290" i="12" s="1"/>
  <c r="BS278" i="12"/>
  <c r="BS287" i="12"/>
  <c r="CU298" i="12"/>
  <c r="BS302" i="12" l="1"/>
  <c r="BS303" i="12" s="1"/>
  <c r="BS289" i="12"/>
  <c r="BS290" i="12" s="1"/>
  <c r="BS307" i="12"/>
  <c r="CU299" i="12"/>
  <c r="BS313" i="12" l="1"/>
  <c r="BS325" i="12" s="1"/>
  <c r="BS311" i="12"/>
  <c r="CU300" i="12"/>
  <c r="CU302" i="12" s="1"/>
  <c r="CU303" i="12" s="1"/>
  <c r="BT1" i="12" l="1"/>
  <c r="BR1" i="12" s="1"/>
  <c r="BS1" i="12" s="1"/>
  <c r="BQ1" i="12" s="1"/>
  <c r="CU304" i="12"/>
  <c r="CU306" i="12" s="1"/>
  <c r="CU320" i="12" l="1"/>
  <c r="CU307" i="12"/>
  <c r="CU311" i="12" s="1"/>
  <c r="CU313" i="12" l="1"/>
  <c r="EX7" i="12"/>
  <c r="EY7" i="12" s="1"/>
  <c r="DD2" i="12"/>
  <c r="DG1" i="12" s="1"/>
  <c r="CU325" i="12" l="1"/>
  <c r="CV344" i="12" s="1"/>
  <c r="CW344" i="12" s="1"/>
  <c r="CV60" i="12" l="1"/>
  <c r="CV48" i="12"/>
  <c r="CV54" i="12"/>
  <c r="CV41" i="12"/>
  <c r="CV28" i="12"/>
  <c r="CV8" i="12"/>
  <c r="CV26" i="12"/>
  <c r="CV18" i="12"/>
  <c r="CV15" i="12"/>
  <c r="CV3" i="12"/>
  <c r="CV23" i="12"/>
  <c r="CV5" i="12"/>
  <c r="CV47" i="12"/>
  <c r="CV56" i="12"/>
  <c r="CV30" i="12"/>
  <c r="CV62" i="12"/>
  <c r="CV44" i="12"/>
  <c r="CV49" i="12"/>
  <c r="CV20" i="12"/>
  <c r="CV10" i="12"/>
  <c r="CV53" i="12"/>
  <c r="CV36" i="12"/>
  <c r="CV52" i="12"/>
  <c r="CV45" i="12"/>
  <c r="CV19" i="12"/>
  <c r="CV35" i="12"/>
  <c r="CV25" i="12"/>
  <c r="CV46" i="12"/>
  <c r="CV43" i="12"/>
  <c r="CV16" i="12"/>
  <c r="CV55" i="12"/>
  <c r="CV40" i="12"/>
  <c r="CV17" i="12"/>
  <c r="CV7" i="12"/>
  <c r="CV22" i="12"/>
  <c r="CV12" i="12"/>
  <c r="CV6" i="12"/>
  <c r="CV14" i="12"/>
  <c r="CV21" i="12"/>
  <c r="CV42" i="12"/>
  <c r="CV4" i="12"/>
  <c r="CV33" i="12"/>
  <c r="CV50" i="12"/>
  <c r="CV38" i="12"/>
  <c r="CV63" i="12"/>
  <c r="CV27" i="12"/>
  <c r="CV59" i="12"/>
  <c r="CV13" i="12"/>
  <c r="CV58" i="12"/>
  <c r="CV29" i="12"/>
  <c r="CV32" i="12"/>
  <c r="CV34" i="12"/>
  <c r="CV39" i="12"/>
  <c r="CV51" i="12"/>
  <c r="CV31" i="12"/>
  <c r="CV24" i="12"/>
  <c r="CV11" i="12"/>
  <c r="CV37" i="12"/>
  <c r="CV57" i="12"/>
  <c r="CV9" i="12"/>
  <c r="CV351" i="12"/>
  <c r="CW351" i="12" s="1"/>
  <c r="CV387" i="12"/>
  <c r="CW387" i="12" s="1"/>
  <c r="CV69" i="12"/>
  <c r="CV133" i="12"/>
  <c r="CW133" i="12" s="1"/>
  <c r="CV257" i="12"/>
  <c r="CW257" i="12" s="1"/>
  <c r="CV153" i="12"/>
  <c r="CW153" i="12" s="1"/>
  <c r="CV147" i="12"/>
  <c r="CW147" i="12" s="1"/>
  <c r="CV80" i="12"/>
  <c r="CV220" i="12"/>
  <c r="CW220" i="12" s="1"/>
  <c r="CV384" i="12"/>
  <c r="CW384" i="12" s="1"/>
  <c r="CV211" i="12"/>
  <c r="CW211" i="12" s="1"/>
  <c r="CV184" i="12"/>
  <c r="CW184" i="12" s="1"/>
  <c r="CV212" i="12"/>
  <c r="CW212" i="12" s="1"/>
  <c r="CV112" i="12"/>
  <c r="CW112" i="12" s="1"/>
  <c r="CV217" i="12"/>
  <c r="CW217" i="12" s="1"/>
  <c r="CV107" i="12"/>
  <c r="CW107" i="12" s="1"/>
  <c r="CV143" i="12"/>
  <c r="CW143" i="12" s="1"/>
  <c r="CV386" i="12"/>
  <c r="CW386" i="12" s="1"/>
  <c r="CV163" i="12"/>
  <c r="CW163" i="12" s="1"/>
  <c r="CV309" i="12"/>
  <c r="CW309" i="12" s="1"/>
  <c r="CV82" i="12"/>
  <c r="CV125" i="12"/>
  <c r="CW125" i="12" s="1"/>
  <c r="CV221" i="12"/>
  <c r="CW221" i="12" s="1"/>
  <c r="CV92" i="12"/>
  <c r="CW92" i="12" s="1"/>
  <c r="CV306" i="12"/>
  <c r="CW306" i="12" s="1"/>
  <c r="CV87" i="12"/>
  <c r="CW87" i="12" s="1"/>
  <c r="CV187" i="12"/>
  <c r="CW187" i="12" s="1"/>
  <c r="CV93" i="12"/>
  <c r="CW93" i="12" s="1"/>
  <c r="CV241" i="12"/>
  <c r="CW241" i="12" s="1"/>
  <c r="CV246" i="12"/>
  <c r="CW246" i="12" s="1"/>
  <c r="CV128" i="12"/>
  <c r="CW128" i="12" s="1"/>
  <c r="CV86" i="12"/>
  <c r="CW86" i="12" s="1"/>
  <c r="CV174" i="12"/>
  <c r="CW174" i="12" s="1"/>
  <c r="CV108" i="12"/>
  <c r="CW108" i="12" s="1"/>
  <c r="CV385" i="12"/>
  <c r="CW385" i="12" s="1"/>
  <c r="CV349" i="12"/>
  <c r="CW349" i="12" s="1"/>
  <c r="CV278" i="12"/>
  <c r="CW278" i="12" s="1"/>
  <c r="CV131" i="12"/>
  <c r="CW131" i="12" s="1"/>
  <c r="CV377" i="12"/>
  <c r="CW377" i="12" s="1"/>
  <c r="CV202" i="12"/>
  <c r="CW202" i="12" s="1"/>
  <c r="CV197" i="12"/>
  <c r="CW197" i="12" s="1"/>
  <c r="CV140" i="12"/>
  <c r="CW140" i="12" s="1"/>
  <c r="CV300" i="12"/>
  <c r="CW300" i="12" s="1"/>
  <c r="CV362" i="12"/>
  <c r="CW362" i="12" s="1"/>
  <c r="CV149" i="12"/>
  <c r="CW149" i="12" s="1"/>
  <c r="CV116" i="12"/>
  <c r="CW116" i="12" s="1"/>
  <c r="CV216" i="12"/>
  <c r="CW216" i="12" s="1"/>
  <c r="CV181" i="12"/>
  <c r="CW181" i="12" s="1"/>
  <c r="CV78" i="12"/>
  <c r="CV297" i="12"/>
  <c r="CW297" i="12" s="1"/>
  <c r="CV395" i="12"/>
  <c r="CW395" i="12" s="1"/>
  <c r="CV400" i="12"/>
  <c r="CW400" i="12" s="1"/>
  <c r="CV229" i="12"/>
  <c r="CW229" i="12" s="1"/>
  <c r="CV185" i="12"/>
  <c r="CW185" i="12" s="1"/>
  <c r="CV137" i="12"/>
  <c r="CW137" i="12" s="1"/>
  <c r="CV338" i="12"/>
  <c r="CW338" i="12" s="1"/>
  <c r="CV175" i="12"/>
  <c r="CW175" i="12" s="1"/>
  <c r="CV249" i="12"/>
  <c r="CW249" i="12" s="1"/>
  <c r="CV262" i="12"/>
  <c r="CW262" i="12" s="1"/>
  <c r="CV83" i="12"/>
  <c r="CV130" i="12"/>
  <c r="CW130" i="12" s="1"/>
  <c r="CV307" i="12"/>
  <c r="CW307" i="12" s="1"/>
  <c r="CV106" i="12"/>
  <c r="CW106" i="12" s="1"/>
  <c r="CV343" i="12"/>
  <c r="CW343" i="12" s="1"/>
  <c r="CV77" i="12"/>
  <c r="CV191" i="12"/>
  <c r="CW191" i="12" s="1"/>
  <c r="CV179" i="12"/>
  <c r="CW179" i="12" s="1"/>
  <c r="CV250" i="12"/>
  <c r="CW250" i="12" s="1"/>
  <c r="CV337" i="12"/>
  <c r="CW337" i="12" s="1"/>
  <c r="CV283" i="12"/>
  <c r="CW283" i="12" s="1"/>
  <c r="CV113" i="12"/>
  <c r="CW113" i="12" s="1"/>
  <c r="CV291" i="12"/>
  <c r="CW291" i="12" s="1"/>
  <c r="CV96" i="12"/>
  <c r="CW96" i="12" s="1"/>
  <c r="CV70" i="12"/>
  <c r="CV346" i="12"/>
  <c r="CW346" i="12" s="1"/>
  <c r="CV178" i="12"/>
  <c r="CW178" i="12" s="1"/>
  <c r="CV139" i="12"/>
  <c r="CW139" i="12" s="1"/>
  <c r="CV333" i="12"/>
  <c r="CW333" i="12" s="1"/>
  <c r="CV388" i="12"/>
  <c r="CW388" i="12" s="1"/>
  <c r="CV290" i="12"/>
  <c r="CW290" i="12" s="1"/>
  <c r="CV234" i="12"/>
  <c r="CW234" i="12" s="1"/>
  <c r="CV268" i="12"/>
  <c r="CW268" i="12" s="1"/>
  <c r="CV350" i="12"/>
  <c r="CW350" i="12" s="1"/>
  <c r="CV152" i="12"/>
  <c r="CW152" i="12" s="1"/>
  <c r="CV228" i="12"/>
  <c r="CW228" i="12" s="1"/>
  <c r="CV219" i="12"/>
  <c r="CW219" i="12" s="1"/>
  <c r="CV231" i="12"/>
  <c r="CW231" i="12" s="1"/>
  <c r="CV265" i="12"/>
  <c r="CW265" i="12" s="1"/>
  <c r="CV233" i="12"/>
  <c r="CW233" i="12" s="1"/>
  <c r="CV145" i="12"/>
  <c r="CW145" i="12" s="1"/>
  <c r="CV85" i="12"/>
  <c r="CW85" i="12" s="1"/>
  <c r="CV375" i="12"/>
  <c r="CW375" i="12" s="1"/>
  <c r="CV273" i="12"/>
  <c r="CW273" i="12" s="1"/>
  <c r="CV379" i="12"/>
  <c r="CW379" i="12" s="1"/>
  <c r="CV208" i="12"/>
  <c r="CW208" i="12" s="1"/>
  <c r="CV192" i="12"/>
  <c r="CW192" i="12" s="1"/>
  <c r="CV266" i="12"/>
  <c r="CW266" i="12" s="1"/>
  <c r="CV210" i="12"/>
  <c r="CW210" i="12" s="1"/>
  <c r="CV90" i="12"/>
  <c r="CW90" i="12" s="1"/>
  <c r="CV165" i="12"/>
  <c r="CW165" i="12" s="1"/>
  <c r="CV171" i="12"/>
  <c r="CW171" i="12" s="1"/>
  <c r="CV365" i="12"/>
  <c r="CW365" i="12" s="1"/>
  <c r="CV318" i="12"/>
  <c r="CW318" i="12" s="1"/>
  <c r="CV160" i="12"/>
  <c r="CW160" i="12" s="1"/>
  <c r="CV141" i="12"/>
  <c r="CW141" i="12" s="1"/>
  <c r="CV248" i="12"/>
  <c r="CW248" i="12" s="1"/>
  <c r="CV118" i="12"/>
  <c r="CW118" i="12" s="1"/>
  <c r="CV150" i="12"/>
  <c r="CW150" i="12" s="1"/>
  <c r="CV81" i="12"/>
  <c r="CV276" i="12"/>
  <c r="CW276" i="12" s="1"/>
  <c r="CV301" i="12"/>
  <c r="CW301" i="12" s="1"/>
  <c r="CV311" i="12"/>
  <c r="CW311" i="12" s="1"/>
  <c r="CV312" i="12"/>
  <c r="CW312" i="12" s="1"/>
  <c r="CV251" i="12"/>
  <c r="CW251" i="12" s="1"/>
  <c r="CV368" i="12"/>
  <c r="CW368" i="12" s="1"/>
  <c r="CV144" i="12"/>
  <c r="CW144" i="12" s="1"/>
  <c r="CV353" i="12"/>
  <c r="CW353" i="12" s="1"/>
  <c r="CV288" i="12"/>
  <c r="CW288" i="12" s="1"/>
  <c r="CV355" i="12"/>
  <c r="CW355" i="12" s="1"/>
  <c r="CV111" i="12"/>
  <c r="CW111" i="12" s="1"/>
  <c r="CV260" i="12"/>
  <c r="CW260" i="12" s="1"/>
  <c r="CV292" i="12"/>
  <c r="CW292" i="12" s="1"/>
  <c r="CV177" i="12"/>
  <c r="CW177" i="12" s="1"/>
  <c r="CV284" i="12"/>
  <c r="CW284" i="12" s="1"/>
  <c r="CV348" i="12"/>
  <c r="CW348" i="12" s="1"/>
  <c r="CV352" i="12"/>
  <c r="CW352" i="12" s="1"/>
  <c r="CV345" i="12"/>
  <c r="CW345" i="12" s="1"/>
  <c r="CV305" i="12"/>
  <c r="CW305" i="12" s="1"/>
  <c r="CV367" i="12"/>
  <c r="CW367" i="12" s="1"/>
  <c r="CV237" i="12"/>
  <c r="CW237" i="12" s="1"/>
  <c r="CV363" i="12"/>
  <c r="CW363" i="12" s="1"/>
  <c r="CV213" i="12"/>
  <c r="CW213" i="12" s="1"/>
  <c r="CV341" i="12"/>
  <c r="CW341" i="12" s="1"/>
  <c r="CV299" i="12"/>
  <c r="CW299" i="12" s="1"/>
  <c r="CV159" i="12"/>
  <c r="CW159" i="12" s="1"/>
  <c r="CV227" i="12"/>
  <c r="CW227" i="12" s="1"/>
  <c r="CV263" i="12"/>
  <c r="CW263" i="12" s="1"/>
  <c r="CV214" i="12"/>
  <c r="CW214" i="12" s="1"/>
  <c r="CV369" i="12"/>
  <c r="CW369" i="12" s="1"/>
  <c r="CV304" i="12"/>
  <c r="CW304" i="12" s="1"/>
  <c r="CV247" i="12"/>
  <c r="CW247" i="12" s="1"/>
  <c r="CV103" i="12"/>
  <c r="CW103" i="12" s="1"/>
  <c r="CV235" i="12"/>
  <c r="CW235" i="12" s="1"/>
  <c r="CV97" i="12"/>
  <c r="CW97" i="12" s="1"/>
  <c r="CV255" i="12"/>
  <c r="CW255" i="12" s="1"/>
  <c r="CV142" i="12"/>
  <c r="CW142" i="12" s="1"/>
  <c r="CV340" i="12"/>
  <c r="CW340" i="12" s="1"/>
  <c r="CV327" i="12"/>
  <c r="CW327" i="12" s="1"/>
  <c r="CV167" i="12"/>
  <c r="CW167" i="12" s="1"/>
  <c r="CV215" i="12"/>
  <c r="CW215" i="12" s="1"/>
  <c r="CV205" i="12"/>
  <c r="CW205" i="12" s="1"/>
  <c r="CV339" i="12"/>
  <c r="CW339" i="12" s="1"/>
  <c r="CV334" i="12"/>
  <c r="CW334" i="12" s="1"/>
  <c r="CV204" i="12"/>
  <c r="CW204" i="12" s="1"/>
  <c r="CV272" i="12"/>
  <c r="CW272" i="12" s="1"/>
  <c r="CV269" i="12"/>
  <c r="CW269" i="12" s="1"/>
  <c r="CV310" i="12"/>
  <c r="CW310" i="12" s="1"/>
  <c r="CV329" i="12"/>
  <c r="CW329" i="12" s="1"/>
  <c r="CV380" i="12"/>
  <c r="CW380" i="12" s="1"/>
  <c r="CV396" i="12"/>
  <c r="CW396" i="12" s="1"/>
  <c r="CV259" i="12"/>
  <c r="CW259" i="12" s="1"/>
  <c r="CV110" i="12"/>
  <c r="CW110" i="12" s="1"/>
  <c r="CV378" i="12"/>
  <c r="CW378" i="12" s="1"/>
  <c r="CV373" i="12"/>
  <c r="CW373" i="12" s="1"/>
  <c r="CV101" i="12"/>
  <c r="CW101" i="12" s="1"/>
  <c r="CV225" i="12"/>
  <c r="CW225" i="12" s="1"/>
  <c r="CV282" i="12"/>
  <c r="CW282" i="12" s="1"/>
  <c r="CV207" i="12"/>
  <c r="CW207" i="12" s="1"/>
  <c r="CV264" i="12"/>
  <c r="CW264" i="12" s="1"/>
  <c r="CV331" i="12"/>
  <c r="CW331" i="12" s="1"/>
  <c r="CV73" i="12"/>
  <c r="CV261" i="12"/>
  <c r="CW261" i="12" s="1"/>
  <c r="CV325" i="12"/>
  <c r="CW325" i="12" s="1"/>
  <c r="CV100" i="12"/>
  <c r="CW100" i="12" s="1"/>
  <c r="CV109" i="12"/>
  <c r="CW109" i="12" s="1"/>
  <c r="CV129" i="12"/>
  <c r="CW129" i="12" s="1"/>
  <c r="CV127" i="12"/>
  <c r="CW127" i="12" s="1"/>
  <c r="CV347" i="12"/>
  <c r="CW347" i="12" s="1"/>
  <c r="CV120" i="12"/>
  <c r="CW120" i="12" s="1"/>
  <c r="CV371" i="12"/>
  <c r="CW371" i="12" s="1"/>
  <c r="CV176" i="12"/>
  <c r="CW176" i="12" s="1"/>
  <c r="CV322" i="12"/>
  <c r="CW322" i="12" s="1"/>
  <c r="CV182" i="12"/>
  <c r="CW182" i="12" s="1"/>
  <c r="CV99" i="12"/>
  <c r="CW99" i="12" s="1"/>
  <c r="CV154" i="12"/>
  <c r="CW154" i="12" s="1"/>
  <c r="CV186" i="12"/>
  <c r="CW186" i="12" s="1"/>
  <c r="CV240" i="12"/>
  <c r="CW240" i="12" s="1"/>
  <c r="CV94" i="12"/>
  <c r="CW94" i="12" s="1"/>
  <c r="CV285" i="12"/>
  <c r="CW285" i="12" s="1"/>
  <c r="CV224" i="12"/>
  <c r="CW224" i="12" s="1"/>
  <c r="CV151" i="12"/>
  <c r="CW151" i="12" s="1"/>
  <c r="CV148" i="12"/>
  <c r="CW148" i="12" s="1"/>
  <c r="CV76" i="12"/>
  <c r="CV206" i="12"/>
  <c r="CW206" i="12" s="1"/>
  <c r="CV88" i="12"/>
  <c r="CW88" i="12" s="1"/>
  <c r="CV199" i="12"/>
  <c r="CW199" i="12" s="1"/>
  <c r="CV162" i="12"/>
  <c r="CW162" i="12" s="1"/>
  <c r="CV117" i="12"/>
  <c r="CW117" i="12" s="1"/>
  <c r="CV123" i="12"/>
  <c r="CW123" i="12" s="1"/>
  <c r="CV180" i="12"/>
  <c r="CW180" i="12" s="1"/>
  <c r="CV242" i="12"/>
  <c r="CW242" i="12" s="1"/>
  <c r="CV203" i="12"/>
  <c r="CW203" i="12" s="1"/>
  <c r="CV391" i="12"/>
  <c r="CW391" i="12" s="1"/>
  <c r="CV230" i="12"/>
  <c r="CW230" i="12" s="1"/>
  <c r="CV366" i="12"/>
  <c r="CW366" i="12" s="1"/>
  <c r="CV196" i="12"/>
  <c r="CW196" i="12" s="1"/>
  <c r="CV383" i="12"/>
  <c r="CW383" i="12" s="1"/>
  <c r="CV286" i="12"/>
  <c r="CW286" i="12" s="1"/>
  <c r="CV136" i="12"/>
  <c r="CW136" i="12" s="1"/>
  <c r="CV243" i="12"/>
  <c r="CW243" i="12" s="1"/>
  <c r="CV194" i="12"/>
  <c r="CW194" i="12" s="1"/>
  <c r="CV313" i="12"/>
  <c r="CW313" i="12" s="1"/>
  <c r="CV238" i="12"/>
  <c r="CW238" i="12" s="1"/>
  <c r="CV321" i="12"/>
  <c r="CW321" i="12" s="1"/>
  <c r="CV239" i="12"/>
  <c r="CW239" i="12" s="1"/>
  <c r="CV245" i="12"/>
  <c r="CW245" i="12" s="1"/>
  <c r="CV364" i="12"/>
  <c r="CW364" i="12" s="1"/>
  <c r="CV169" i="12"/>
  <c r="CW169" i="12" s="1"/>
  <c r="CV274" i="12"/>
  <c r="CW274" i="12" s="1"/>
  <c r="CV74" i="12"/>
  <c r="CV308" i="12"/>
  <c r="CW308" i="12" s="1"/>
  <c r="CV105" i="12"/>
  <c r="CW105" i="12" s="1"/>
  <c r="CV135" i="12"/>
  <c r="CW135" i="12" s="1"/>
  <c r="CV138" i="12"/>
  <c r="CW138" i="12" s="1"/>
  <c r="CV198" i="12"/>
  <c r="CW198" i="12" s="1"/>
  <c r="CV89" i="12"/>
  <c r="CW89" i="12" s="1"/>
  <c r="CV359" i="12"/>
  <c r="CW359" i="12" s="1"/>
  <c r="CV253" i="12"/>
  <c r="CW253" i="12" s="1"/>
  <c r="CV156" i="12"/>
  <c r="CW156" i="12" s="1"/>
  <c r="CV320" i="12"/>
  <c r="CW320" i="12" s="1"/>
  <c r="CV104" i="12"/>
  <c r="CW104" i="12" s="1"/>
  <c r="CV399" i="12"/>
  <c r="CW399" i="12" s="1"/>
  <c r="CV323" i="12"/>
  <c r="CW323" i="12" s="1"/>
  <c r="CV381" i="12"/>
  <c r="CW381" i="12" s="1"/>
  <c r="CV72" i="12"/>
  <c r="CV289" i="12"/>
  <c r="CW289" i="12" s="1"/>
  <c r="CV189" i="12"/>
  <c r="CW189" i="12" s="1"/>
  <c r="CV296" i="12"/>
  <c r="CW296" i="12" s="1"/>
  <c r="CV71" i="12"/>
  <c r="CV223" i="12"/>
  <c r="CW223" i="12" s="1"/>
  <c r="CV67" i="12"/>
  <c r="CV236" i="12"/>
  <c r="CW236" i="12" s="1"/>
  <c r="CV357" i="12"/>
  <c r="CW357" i="12" s="1"/>
  <c r="CV372" i="12"/>
  <c r="CW372" i="12" s="1"/>
  <c r="CV332" i="12"/>
  <c r="CW332" i="12" s="1"/>
  <c r="CV354" i="12"/>
  <c r="CW354" i="12" s="1"/>
  <c r="CV287" i="12"/>
  <c r="CW287" i="12" s="1"/>
  <c r="CV114" i="12"/>
  <c r="CW114" i="12" s="1"/>
  <c r="CV360" i="12"/>
  <c r="CW360" i="12" s="1"/>
  <c r="CV91" i="12"/>
  <c r="CW91" i="12" s="1"/>
  <c r="CV317" i="12"/>
  <c r="CW317" i="12" s="1"/>
  <c r="CV302" i="12"/>
  <c r="CW302" i="12" s="1"/>
  <c r="CV256" i="12"/>
  <c r="CW256" i="12" s="1"/>
  <c r="CV324" i="12"/>
  <c r="CW324" i="12" s="1"/>
  <c r="CV64" i="12"/>
  <c r="CV279" i="12"/>
  <c r="CW279" i="12" s="1"/>
  <c r="CV146" i="12"/>
  <c r="CW146" i="12" s="1"/>
  <c r="CV68" i="12"/>
  <c r="CV65" i="12"/>
  <c r="CV326" i="12"/>
  <c r="CW326" i="12" s="1"/>
  <c r="CV342" i="12"/>
  <c r="CW342" i="12" s="1"/>
  <c r="CV336" i="12"/>
  <c r="CW336" i="12" s="1"/>
  <c r="CV316" i="12"/>
  <c r="CW316" i="12" s="1"/>
  <c r="CV173" i="12"/>
  <c r="CW173" i="12" s="1"/>
  <c r="CV280" i="12"/>
  <c r="CW280" i="12" s="1"/>
  <c r="CV190" i="12"/>
  <c r="CW190" i="12" s="1"/>
  <c r="CV115" i="12"/>
  <c r="CW115" i="12" s="1"/>
  <c r="CV267" i="12"/>
  <c r="CW267" i="12" s="1"/>
  <c r="CV172" i="12"/>
  <c r="CW172" i="12" s="1"/>
  <c r="CV79" i="12"/>
  <c r="CV376" i="12"/>
  <c r="CW376" i="12" s="1"/>
  <c r="CV155" i="12"/>
  <c r="CW155" i="12" s="1"/>
  <c r="CV319" i="12"/>
  <c r="CW319" i="12" s="1"/>
  <c r="CV188" i="12"/>
  <c r="CW188" i="12" s="1"/>
  <c r="CV232" i="12"/>
  <c r="CW232" i="12" s="1"/>
  <c r="CV361" i="12"/>
  <c r="CW361" i="12" s="1"/>
  <c r="CV392" i="12"/>
  <c r="CW392" i="12" s="1"/>
  <c r="CV84" i="12"/>
  <c r="CW84" i="12" s="1"/>
  <c r="CV335" i="12"/>
  <c r="CW335" i="12" s="1"/>
  <c r="CV201" i="12"/>
  <c r="CW201" i="12" s="1"/>
  <c r="CV252" i="12"/>
  <c r="CW252" i="12" s="1"/>
  <c r="CV66" i="12"/>
  <c r="CV183" i="12"/>
  <c r="CW183" i="12" s="1"/>
  <c r="CV397" i="12"/>
  <c r="CW397" i="12" s="1"/>
  <c r="CV281" i="12"/>
  <c r="CW281" i="12" s="1"/>
  <c r="CV270" i="12"/>
  <c r="CW270" i="12" s="1"/>
  <c r="CV200" i="12"/>
  <c r="CW200" i="12" s="1"/>
  <c r="CV390" i="12"/>
  <c r="CW390" i="12" s="1"/>
  <c r="CV209" i="12"/>
  <c r="CW209" i="12" s="1"/>
  <c r="CV358" i="12"/>
  <c r="CW358" i="12" s="1"/>
  <c r="CV394" i="12"/>
  <c r="CW394" i="12" s="1"/>
  <c r="CV195" i="12"/>
  <c r="CW195" i="12" s="1"/>
  <c r="CV374" i="12"/>
  <c r="CW374" i="12" s="1"/>
  <c r="CV61" i="12"/>
  <c r="CV277" i="12"/>
  <c r="CW277" i="12" s="1"/>
  <c r="CV314" i="12"/>
  <c r="CW314" i="12" s="1"/>
  <c r="CV275" i="12"/>
  <c r="CW275" i="12" s="1"/>
  <c r="CV161" i="12"/>
  <c r="CW161" i="12" s="1"/>
  <c r="CV222" i="12"/>
  <c r="CW222" i="12" s="1"/>
  <c r="CV168" i="12"/>
  <c r="CW168" i="12" s="1"/>
  <c r="CV356" i="12"/>
  <c r="CW356" i="12" s="1"/>
  <c r="CV170" i="12"/>
  <c r="CW170" i="12" s="1"/>
  <c r="CV166" i="12"/>
  <c r="CW166" i="12" s="1"/>
  <c r="CV370" i="12"/>
  <c r="CW370" i="12" s="1"/>
  <c r="CV389" i="12"/>
  <c r="CW389" i="12" s="1"/>
  <c r="CV102" i="12"/>
  <c r="CW102" i="12" s="1"/>
  <c r="CV124" i="12"/>
  <c r="CW124" i="12" s="1"/>
  <c r="CV122" i="12"/>
  <c r="CW122" i="12" s="1"/>
  <c r="CV271" i="12"/>
  <c r="CW271" i="12" s="1"/>
  <c r="CV132" i="12"/>
  <c r="CW132" i="12" s="1"/>
  <c r="CV328" i="12"/>
  <c r="CW328" i="12" s="1"/>
  <c r="CV315" i="12"/>
  <c r="CW315" i="12" s="1"/>
  <c r="CV218" i="12"/>
  <c r="CW218" i="12" s="1"/>
  <c r="CV398" i="12"/>
  <c r="CW398" i="12" s="1"/>
  <c r="CV226" i="12"/>
  <c r="CW226" i="12" s="1"/>
  <c r="CV295" i="12"/>
  <c r="CW295" i="12" s="1"/>
  <c r="CV157" i="12"/>
  <c r="CW157" i="12" s="1"/>
  <c r="CV382" i="12"/>
  <c r="CW382" i="12" s="1"/>
  <c r="CV75" i="12"/>
  <c r="CV121" i="12"/>
  <c r="CW121" i="12" s="1"/>
  <c r="CV126" i="12"/>
  <c r="CW126" i="12" s="1"/>
  <c r="CV95" i="12"/>
  <c r="CW95" i="12" s="1"/>
  <c r="CV244" i="12"/>
  <c r="CW244" i="12" s="1"/>
  <c r="CV330" i="12"/>
  <c r="CW330" i="12" s="1"/>
  <c r="CV298" i="12"/>
  <c r="CW298" i="12" s="1"/>
  <c r="CV193" i="12"/>
  <c r="CW193" i="12" s="1"/>
  <c r="CV134" i="12"/>
  <c r="CW134" i="12" s="1"/>
  <c r="CV293" i="12"/>
  <c r="CW293" i="12" s="1"/>
  <c r="CV393" i="12"/>
  <c r="CW393" i="12" s="1"/>
  <c r="CV303" i="12"/>
  <c r="CW303" i="12" s="1"/>
  <c r="CV98" i="12"/>
  <c r="CW98" i="12" s="1"/>
  <c r="CV164" i="12"/>
  <c r="CW164" i="12" s="1"/>
  <c r="CV294" i="12"/>
  <c r="CW294" i="12" s="1"/>
  <c r="CV158" i="12"/>
  <c r="CW158" i="12" s="1"/>
  <c r="CV254" i="12"/>
  <c r="CW254" i="12" s="1"/>
  <c r="CV119" i="12"/>
  <c r="CW119" i="12" s="1"/>
  <c r="CV258" i="12"/>
  <c r="CW258" i="12" s="1"/>
  <c r="CW3" i="12" l="1"/>
  <c r="CW4" i="12" s="1"/>
  <c r="CW5" i="12" s="1"/>
  <c r="EX4" i="12"/>
  <c r="EX6" i="12"/>
  <c r="EX5" i="12"/>
  <c r="EX3" i="12"/>
  <c r="EY3" i="12" s="1"/>
  <c r="CW6" i="12" l="1"/>
  <c r="EY4" i="12"/>
  <c r="EY5" i="12" s="1"/>
  <c r="EY6" i="12" s="1"/>
  <c r="EZ207" i="12" s="1"/>
  <c r="EZ233" i="12" l="1"/>
  <c r="EZ356" i="12"/>
  <c r="EZ107" i="12"/>
  <c r="EZ82" i="12"/>
  <c r="EZ137" i="12"/>
  <c r="EZ124" i="12"/>
  <c r="EZ123" i="12"/>
  <c r="EZ204" i="12"/>
  <c r="EZ192" i="12"/>
  <c r="EZ173" i="12"/>
  <c r="EZ146" i="12"/>
  <c r="EZ25" i="12"/>
  <c r="EZ87" i="12"/>
  <c r="EZ219" i="12"/>
  <c r="EZ121" i="12"/>
  <c r="EZ65" i="12"/>
  <c r="EZ138" i="12"/>
  <c r="EZ68" i="12"/>
  <c r="EZ165" i="12"/>
  <c r="EZ113" i="12"/>
  <c r="EZ336" i="12"/>
  <c r="EZ342" i="12"/>
  <c r="EZ31" i="12"/>
  <c r="EZ381" i="12"/>
  <c r="CW7" i="12"/>
  <c r="EZ17" i="12"/>
  <c r="EZ215" i="12"/>
  <c r="EZ117" i="12"/>
  <c r="EZ288" i="12"/>
  <c r="EZ24" i="12"/>
  <c r="EZ170" i="12"/>
  <c r="EZ176" i="12"/>
  <c r="EZ217" i="12"/>
  <c r="EZ39" i="12"/>
  <c r="EZ178" i="12"/>
  <c r="EZ99" i="12"/>
  <c r="EZ3" i="12"/>
  <c r="FA3" i="12" s="1"/>
  <c r="EZ108" i="12"/>
  <c r="EZ185" i="12"/>
  <c r="EZ112" i="12"/>
  <c r="EZ248" i="12"/>
  <c r="EZ196" i="12"/>
  <c r="EZ229" i="12"/>
  <c r="EZ241" i="12"/>
  <c r="EZ400" i="12"/>
  <c r="EZ257" i="12"/>
  <c r="EZ116" i="12"/>
  <c r="EZ296" i="12"/>
  <c r="EZ28" i="12"/>
  <c r="EZ267" i="12"/>
  <c r="EZ100" i="12"/>
  <c r="EZ181" i="12"/>
  <c r="EZ145" i="12"/>
  <c r="EZ352" i="12"/>
  <c r="EZ235" i="12"/>
  <c r="EZ161" i="12"/>
  <c r="EZ40" i="12"/>
  <c r="EZ167" i="12"/>
  <c r="EZ242" i="12"/>
  <c r="EZ195" i="12"/>
  <c r="EZ139" i="12"/>
  <c r="EZ130" i="12"/>
  <c r="EZ19" i="12"/>
  <c r="EZ51" i="12"/>
  <c r="EZ7" i="12"/>
  <c r="EZ174" i="12"/>
  <c r="EZ211" i="12"/>
  <c r="EZ378" i="12"/>
  <c r="EZ175" i="12"/>
  <c r="EZ300" i="12"/>
  <c r="EZ274" i="12"/>
  <c r="EZ335" i="12"/>
  <c r="EZ398" i="12"/>
  <c r="EZ52" i="12"/>
  <c r="EZ126" i="12"/>
  <c r="EZ224" i="12"/>
  <c r="EZ330" i="12"/>
  <c r="EZ239" i="12"/>
  <c r="EZ171" i="12"/>
  <c r="EZ9" i="12"/>
  <c r="EZ128" i="12"/>
  <c r="EZ34" i="12"/>
  <c r="EZ18" i="12"/>
  <c r="EZ73" i="12"/>
  <c r="EZ35" i="12"/>
  <c r="EZ59" i="12"/>
  <c r="EZ226" i="12"/>
  <c r="EZ163" i="12"/>
  <c r="EZ76" i="12"/>
  <c r="EZ169" i="12"/>
  <c r="EZ48" i="12"/>
  <c r="EZ27" i="12"/>
  <c r="EZ194" i="12"/>
  <c r="EZ115" i="12"/>
  <c r="EZ131" i="12"/>
  <c r="EZ71" i="12"/>
  <c r="EZ238" i="12"/>
  <c r="EZ220" i="12"/>
  <c r="EZ293" i="12"/>
  <c r="EZ86" i="12"/>
  <c r="EZ364" i="12"/>
  <c r="EZ338" i="12"/>
  <c r="EZ399" i="12"/>
  <c r="EZ313" i="12"/>
  <c r="EZ166" i="12"/>
  <c r="EZ190" i="12"/>
  <c r="EZ243" i="12"/>
  <c r="EZ394" i="12"/>
  <c r="EZ294" i="12"/>
  <c r="EZ358" i="12"/>
  <c r="EZ391" i="12"/>
  <c r="EZ252" i="12"/>
  <c r="EZ316" i="12"/>
  <c r="EZ355" i="12"/>
  <c r="EZ95" i="12"/>
  <c r="EZ4" i="12"/>
  <c r="EZ290" i="12"/>
  <c r="EZ333" i="12"/>
  <c r="EZ397" i="12"/>
  <c r="EZ246" i="12"/>
  <c r="EZ237" i="12"/>
  <c r="EZ287" i="12"/>
  <c r="EZ350" i="12"/>
  <c r="EZ351" i="12"/>
  <c r="EZ265" i="12"/>
  <c r="EZ308" i="12"/>
  <c r="EZ372" i="12"/>
  <c r="EZ63" i="12"/>
  <c r="EZ184" i="12"/>
  <c r="EZ231" i="12"/>
  <c r="EZ132" i="12"/>
  <c r="EZ142" i="12"/>
  <c r="EZ206" i="12"/>
  <c r="EZ133" i="12"/>
  <c r="EZ197" i="12"/>
  <c r="EZ83" i="12"/>
  <c r="EZ177" i="12"/>
  <c r="EZ92" i="12"/>
  <c r="EZ49" i="12"/>
  <c r="EZ346" i="12"/>
  <c r="EZ261" i="12"/>
  <c r="EZ43" i="12"/>
  <c r="EZ144" i="12"/>
  <c r="EZ210" i="12"/>
  <c r="EZ201" i="12"/>
  <c r="EZ147" i="12"/>
  <c r="EZ23" i="12"/>
  <c r="EZ187" i="12"/>
  <c r="EZ98" i="12"/>
  <c r="EZ89" i="12"/>
  <c r="EZ156" i="12"/>
  <c r="EZ202" i="12"/>
  <c r="EZ75" i="12"/>
  <c r="EZ50" i="12"/>
  <c r="EZ41" i="12"/>
  <c r="EZ64" i="12"/>
  <c r="EZ42" i="12"/>
  <c r="EZ91" i="12"/>
  <c r="EZ240" i="12"/>
  <c r="EZ208" i="12"/>
  <c r="EZ249" i="12"/>
  <c r="EZ60" i="12"/>
  <c r="EZ103" i="12"/>
  <c r="EZ227" i="12"/>
  <c r="EZ129" i="12"/>
  <c r="EZ135" i="12"/>
  <c r="EZ46" i="12"/>
  <c r="EZ37" i="12"/>
  <c r="EZ56" i="12"/>
  <c r="EZ122" i="12"/>
  <c r="EZ212" i="12"/>
  <c r="EZ357" i="12"/>
  <c r="EZ311" i="12"/>
  <c r="EZ77" i="12"/>
  <c r="EZ321" i="12"/>
  <c r="EZ275" i="12"/>
  <c r="EZ198" i="12"/>
  <c r="EZ253" i="12"/>
  <c r="EZ360" i="12"/>
  <c r="EZ84" i="12"/>
  <c r="EZ270" i="12"/>
  <c r="EZ377" i="12"/>
  <c r="EZ331" i="12"/>
  <c r="EZ157" i="12"/>
  <c r="EZ228" i="12"/>
  <c r="EZ12" i="12"/>
  <c r="EZ245" i="12"/>
  <c r="EZ26" i="12"/>
  <c r="EZ32" i="12"/>
  <c r="EZ309" i="12"/>
  <c r="EZ263" i="12"/>
  <c r="EZ150" i="12"/>
  <c r="EZ273" i="12"/>
  <c r="EZ380" i="12"/>
  <c r="EZ6" i="12"/>
  <c r="EZ354" i="12"/>
  <c r="EZ312" i="12"/>
  <c r="EZ79" i="12"/>
  <c r="EZ136" i="12"/>
  <c r="EZ329" i="12"/>
  <c r="EZ283" i="12"/>
  <c r="EZ230" i="12"/>
  <c r="EZ14" i="12"/>
  <c r="EZ5" i="12"/>
  <c r="EZ20" i="12"/>
  <c r="EZ58" i="12"/>
  <c r="EZ80" i="12"/>
  <c r="EZ325" i="12"/>
  <c r="EZ151" i="12"/>
  <c r="EZ8" i="12"/>
  <c r="EZ162" i="12"/>
  <c r="EZ153" i="12"/>
  <c r="EZ67" i="12"/>
  <c r="EZ193" i="12"/>
  <c r="EZ203" i="12"/>
  <c r="EZ114" i="12"/>
  <c r="EZ105" i="12"/>
  <c r="EZ236" i="12"/>
  <c r="EZ33" i="12"/>
  <c r="EZ11" i="12"/>
  <c r="EZ155" i="12"/>
  <c r="EZ66" i="12"/>
  <c r="EZ57" i="12"/>
  <c r="EZ96" i="12"/>
  <c r="EZ74" i="12"/>
  <c r="EZ188" i="12"/>
  <c r="EZ10" i="12"/>
  <c r="EZ16" i="12"/>
  <c r="EZ199" i="12"/>
  <c r="EZ110" i="12"/>
  <c r="EZ101" i="12"/>
  <c r="EZ180" i="12"/>
  <c r="EZ250" i="12"/>
  <c r="EZ314" i="12"/>
  <c r="EZ272" i="12"/>
  <c r="EZ375" i="12"/>
  <c r="EZ278" i="12"/>
  <c r="EZ385" i="12"/>
  <c r="EZ339" i="12"/>
  <c r="EZ189" i="12"/>
  <c r="EZ317" i="12"/>
  <c r="EZ271" i="12"/>
  <c r="EZ182" i="12"/>
  <c r="EZ334" i="12"/>
  <c r="EZ292" i="12"/>
  <c r="EZ395" i="12"/>
  <c r="EZ15" i="12"/>
  <c r="EZ62" i="12"/>
  <c r="EZ53" i="12"/>
  <c r="EZ88" i="12"/>
  <c r="EZ154" i="12"/>
  <c r="EZ266" i="12"/>
  <c r="EZ373" i="12"/>
  <c r="EZ327" i="12"/>
  <c r="EZ141" i="12"/>
  <c r="EZ337" i="12"/>
  <c r="EZ291" i="12"/>
  <c r="EZ232" i="12"/>
  <c r="EZ269" i="12"/>
  <c r="EZ376" i="12"/>
  <c r="EZ216" i="12"/>
  <c r="EZ286" i="12"/>
  <c r="EZ393" i="12"/>
  <c r="EZ347" i="12"/>
  <c r="EZ221" i="12"/>
  <c r="EZ78" i="12"/>
  <c r="EZ69" i="12"/>
  <c r="EZ120" i="12"/>
  <c r="EZ186" i="12"/>
  <c r="EZ282" i="12"/>
  <c r="EZ389" i="12"/>
  <c r="EZ304" i="12"/>
  <c r="EZ368" i="12"/>
  <c r="EZ279" i="12"/>
  <c r="EZ343" i="12"/>
  <c r="EZ205" i="12"/>
  <c r="EZ310" i="12"/>
  <c r="EZ307" i="12"/>
  <c r="EZ371" i="12"/>
  <c r="EZ285" i="12"/>
  <c r="EZ349" i="12"/>
  <c r="EZ54" i="12"/>
  <c r="EZ45" i="12"/>
  <c r="EZ260" i="12"/>
  <c r="EZ324" i="12"/>
  <c r="EZ44" i="12"/>
  <c r="EZ106" i="12"/>
  <c r="EZ47" i="12"/>
  <c r="EZ353" i="12"/>
  <c r="EZ61" i="12"/>
  <c r="EZ392" i="12"/>
  <c r="EZ302" i="12"/>
  <c r="EZ363" i="12"/>
  <c r="EZ225" i="12"/>
  <c r="EZ152" i="12"/>
  <c r="EZ268" i="12"/>
  <c r="EZ244" i="12"/>
  <c r="EZ303" i="12"/>
  <c r="EZ366" i="12"/>
  <c r="EZ127" i="12"/>
  <c r="EZ172" i="12"/>
  <c r="EZ183" i="12"/>
  <c r="EZ247" i="12"/>
  <c r="EZ374" i="12"/>
  <c r="EZ332" i="12"/>
  <c r="EZ159" i="12"/>
  <c r="EZ306" i="12"/>
  <c r="EZ264" i="12"/>
  <c r="EZ367" i="12"/>
  <c r="EZ72" i="12"/>
  <c r="EZ281" i="12"/>
  <c r="EZ388" i="12"/>
  <c r="EZ38" i="12"/>
  <c r="EZ234" i="12"/>
  <c r="EZ55" i="12"/>
  <c r="EZ168" i="12"/>
  <c r="EZ214" i="12"/>
  <c r="EZ289" i="12"/>
  <c r="EZ396" i="12"/>
  <c r="EZ70" i="12"/>
  <c r="EZ370" i="12"/>
  <c r="EZ328" i="12"/>
  <c r="EZ143" i="12"/>
  <c r="EZ104" i="12"/>
  <c r="EZ345" i="12"/>
  <c r="EZ299" i="12"/>
  <c r="EZ29" i="12"/>
  <c r="EZ97" i="12"/>
  <c r="EZ119" i="12"/>
  <c r="EZ30" i="12"/>
  <c r="EZ94" i="12"/>
  <c r="EZ158" i="12"/>
  <c r="EZ222" i="12"/>
  <c r="EZ21" i="12"/>
  <c r="EZ85" i="12"/>
  <c r="EZ36" i="12"/>
  <c r="EZ148" i="12"/>
  <c r="EZ90" i="12"/>
  <c r="EZ140" i="12"/>
  <c r="EZ298" i="12"/>
  <c r="EZ341" i="12"/>
  <c r="EZ218" i="12"/>
  <c r="EZ256" i="12"/>
  <c r="EZ295" i="12"/>
  <c r="EZ13" i="12"/>
  <c r="EZ359" i="12"/>
  <c r="EZ262" i="12"/>
  <c r="EZ149" i="12"/>
  <c r="EZ179" i="12"/>
  <c r="EZ81" i="12"/>
  <c r="EZ362" i="12"/>
  <c r="EZ320" i="12"/>
  <c r="EZ111" i="12"/>
  <c r="EZ326" i="12"/>
  <c r="EZ213" i="12"/>
  <c r="EZ160" i="12"/>
  <c r="EZ209" i="12"/>
  <c r="EZ277" i="12"/>
  <c r="EZ384" i="12"/>
  <c r="EZ22" i="12"/>
  <c r="EZ390" i="12"/>
  <c r="EZ369" i="12"/>
  <c r="EZ284" i="12"/>
  <c r="EZ348" i="12"/>
  <c r="EZ305" i="12"/>
  <c r="EZ259" i="12"/>
  <c r="EZ387" i="12"/>
  <c r="EZ223" i="12"/>
  <c r="EZ134" i="12"/>
  <c r="EZ323" i="12"/>
  <c r="EZ125" i="12"/>
  <c r="EZ258" i="12"/>
  <c r="EZ322" i="12"/>
  <c r="EZ386" i="12"/>
  <c r="EZ301" i="12"/>
  <c r="EZ365" i="12"/>
  <c r="EZ280" i="12"/>
  <c r="EZ344" i="12"/>
  <c r="EZ255" i="12"/>
  <c r="EZ319" i="12"/>
  <c r="EZ118" i="12"/>
  <c r="EZ318" i="12"/>
  <c r="EZ109" i="12"/>
  <c r="EZ382" i="12"/>
  <c r="EZ383" i="12"/>
  <c r="EZ200" i="12"/>
  <c r="EZ297" i="12"/>
  <c r="EZ254" i="12"/>
  <c r="EZ361" i="12"/>
  <c r="EZ276" i="12"/>
  <c r="EZ340" i="12"/>
  <c r="EZ251" i="12"/>
  <c r="EZ315" i="12"/>
  <c r="EZ379" i="12"/>
  <c r="EZ191" i="12"/>
  <c r="EZ102" i="12"/>
  <c r="EZ93" i="12"/>
  <c r="EZ164" i="12"/>
  <c r="CW8" i="12" l="1"/>
  <c r="FA4" i="12"/>
  <c r="FB4" i="12" s="1"/>
  <c r="FC4" i="12" s="1"/>
  <c r="FD4" i="12" s="1"/>
  <c r="FB3" i="12"/>
  <c r="FC3" i="12" s="1"/>
  <c r="FD3" i="12" s="1"/>
  <c r="FE3" i="12" s="1"/>
  <c r="FF3" i="12" s="1"/>
  <c r="CX7" i="12" s="1"/>
  <c r="CW9" i="12" l="1"/>
  <c r="FA5" i="12"/>
  <c r="FB5" i="12" s="1"/>
  <c r="FC5" i="12" s="1"/>
  <c r="FD5" i="12" s="1"/>
  <c r="FE4" i="12"/>
  <c r="CX11" i="12"/>
  <c r="CX3" i="12"/>
  <c r="CX8" i="12"/>
  <c r="CX9" i="12"/>
  <c r="CX4" i="12"/>
  <c r="CX12" i="12"/>
  <c r="CX10" i="12"/>
  <c r="CX6" i="12"/>
  <c r="CX5" i="12"/>
  <c r="CX13" i="12"/>
  <c r="CX14" i="12"/>
  <c r="FA6" i="12" l="1"/>
  <c r="FB6" i="12" s="1"/>
  <c r="FC6" i="12" s="1"/>
  <c r="FD6" i="12" s="1"/>
  <c r="CW10" i="12"/>
  <c r="FE5" i="12"/>
  <c r="FF4" i="12" s="1"/>
  <c r="CX16" i="12" s="1"/>
  <c r="FA7" i="12" l="1"/>
  <c r="FB7" i="12" s="1"/>
  <c r="FC7" i="12" s="1"/>
  <c r="FD7" i="12" s="1"/>
  <c r="FE7" i="12" s="1"/>
  <c r="FF5" i="12" s="1"/>
  <c r="CX35" i="12" s="1"/>
  <c r="FE6" i="12"/>
  <c r="CX17" i="12"/>
  <c r="CX24" i="12"/>
  <c r="CX27" i="12"/>
  <c r="CX26" i="12"/>
  <c r="CX23" i="12"/>
  <c r="CX20" i="12"/>
  <c r="CX19" i="12"/>
  <c r="CX21" i="12"/>
  <c r="CW11" i="12"/>
  <c r="CX25" i="12"/>
  <c r="CX22" i="12"/>
  <c r="CX18" i="12"/>
  <c r="FA8" i="12" l="1"/>
  <c r="FA9" i="12" s="1"/>
  <c r="FA10" i="12" s="1"/>
  <c r="FA11" i="12" s="1"/>
  <c r="CW12" i="12"/>
  <c r="CW13" i="12"/>
  <c r="CX37" i="12"/>
  <c r="CX36" i="12"/>
  <c r="CX34" i="12"/>
  <c r="CX40" i="12"/>
  <c r="CX29" i="12"/>
  <c r="CX38" i="12"/>
  <c r="CX39" i="12"/>
  <c r="CX31" i="12"/>
  <c r="CX30" i="12"/>
  <c r="CX32" i="12"/>
  <c r="CX33" i="12"/>
  <c r="FA12" i="12" l="1"/>
  <c r="FA13" i="12" s="1"/>
  <c r="FA14" i="12" s="1"/>
  <c r="FA15" i="12" s="1"/>
  <c r="FB8" i="12"/>
  <c r="FC8" i="12" s="1"/>
  <c r="FD8" i="12" s="1"/>
  <c r="FE8" i="12" s="1"/>
  <c r="FB9" i="12"/>
  <c r="FC9" i="12" s="1"/>
  <c r="FD9" i="12" s="1"/>
  <c r="FB10" i="12"/>
  <c r="FC10" i="12" s="1"/>
  <c r="FD10" i="12" s="1"/>
  <c r="CW14" i="12"/>
  <c r="FB11" i="12"/>
  <c r="FE9" i="12" l="1"/>
  <c r="FF6" i="12" s="1"/>
  <c r="CX52" i="12" s="1"/>
  <c r="FA16" i="12"/>
  <c r="FA17" i="12" s="1"/>
  <c r="FA18" i="12" s="1"/>
  <c r="FA19" i="12" s="1"/>
  <c r="FA20" i="12" s="1"/>
  <c r="FA21" i="12" s="1"/>
  <c r="FA22" i="12" s="1"/>
  <c r="FA23" i="12" s="1"/>
  <c r="FA24" i="12" s="1"/>
  <c r="FA25" i="12" s="1"/>
  <c r="FA26" i="12" s="1"/>
  <c r="FA27" i="12" s="1"/>
  <c r="FA28" i="12" s="1"/>
  <c r="FA29" i="12" s="1"/>
  <c r="FA30" i="12" s="1"/>
  <c r="FA31" i="12" s="1"/>
  <c r="FA32" i="12" s="1"/>
  <c r="FA33" i="12" s="1"/>
  <c r="FA34" i="12" s="1"/>
  <c r="FA35" i="12" s="1"/>
  <c r="FA36" i="12" s="1"/>
  <c r="FA37" i="12" s="1"/>
  <c r="FA38" i="12" s="1"/>
  <c r="FA39" i="12" s="1"/>
  <c r="FA40" i="12" s="1"/>
  <c r="FA41" i="12" s="1"/>
  <c r="FA42" i="12" s="1"/>
  <c r="FA43" i="12" s="1"/>
  <c r="FA44" i="12" s="1"/>
  <c r="FA45" i="12" s="1"/>
  <c r="FA46" i="12" s="1"/>
  <c r="FA47" i="12" s="1"/>
  <c r="FA48" i="12" s="1"/>
  <c r="FA49" i="12" s="1"/>
  <c r="FA50" i="12" s="1"/>
  <c r="FA51" i="12" s="1"/>
  <c r="FA52" i="12" s="1"/>
  <c r="FA53" i="12" s="1"/>
  <c r="FA54" i="12" s="1"/>
  <c r="FA55" i="12" s="1"/>
  <c r="FA56" i="12" s="1"/>
  <c r="FA57" i="12" s="1"/>
  <c r="FA58" i="12" s="1"/>
  <c r="FA59" i="12" s="1"/>
  <c r="FA60" i="12" s="1"/>
  <c r="FA61" i="12" s="1"/>
  <c r="FA62" i="12" s="1"/>
  <c r="FA63" i="12" s="1"/>
  <c r="FA64" i="12" s="1"/>
  <c r="FA65" i="12" s="1"/>
  <c r="FA66" i="12" s="1"/>
  <c r="FA67" i="12" s="1"/>
  <c r="FA68" i="12" s="1"/>
  <c r="FA69" i="12" s="1"/>
  <c r="FA70" i="12" s="1"/>
  <c r="FA71" i="12" s="1"/>
  <c r="FA72" i="12" s="1"/>
  <c r="FA73" i="12" s="1"/>
  <c r="FA74" i="12" s="1"/>
  <c r="FA75" i="12" s="1"/>
  <c r="FA76" i="12" s="1"/>
  <c r="FA77" i="12" s="1"/>
  <c r="FA78" i="12" s="1"/>
  <c r="FA79" i="12" s="1"/>
  <c r="FA80" i="12" s="1"/>
  <c r="FA81" i="12" s="1"/>
  <c r="FA82" i="12" s="1"/>
  <c r="FA83" i="12" s="1"/>
  <c r="FA84" i="12" s="1"/>
  <c r="FA85" i="12" s="1"/>
  <c r="FA86" i="12" s="1"/>
  <c r="FA87" i="12" s="1"/>
  <c r="FA88" i="12" s="1"/>
  <c r="FA89" i="12" s="1"/>
  <c r="FA90" i="12" s="1"/>
  <c r="FA91" i="12" s="1"/>
  <c r="FA92" i="12" s="1"/>
  <c r="FA93" i="12" s="1"/>
  <c r="FA94" i="12" s="1"/>
  <c r="FA95" i="12" s="1"/>
  <c r="FA96" i="12" s="1"/>
  <c r="FA97" i="12" s="1"/>
  <c r="FA98" i="12" s="1"/>
  <c r="FA99" i="12" s="1"/>
  <c r="FA100" i="12" s="1"/>
  <c r="FA101" i="12" s="1"/>
  <c r="FA102" i="12" s="1"/>
  <c r="FA103" i="12" s="1"/>
  <c r="FA104" i="12" s="1"/>
  <c r="FA105" i="12" s="1"/>
  <c r="FA106" i="12" s="1"/>
  <c r="FA107" i="12" s="1"/>
  <c r="FA108" i="12" s="1"/>
  <c r="FA109" i="12" s="1"/>
  <c r="FA110" i="12" s="1"/>
  <c r="FA111" i="12" s="1"/>
  <c r="FA112" i="12" s="1"/>
  <c r="FA113" i="12" s="1"/>
  <c r="FA114" i="12" s="1"/>
  <c r="FA115" i="12" s="1"/>
  <c r="FA116" i="12" s="1"/>
  <c r="FA117" i="12" s="1"/>
  <c r="FA118" i="12" s="1"/>
  <c r="FA119" i="12" s="1"/>
  <c r="FA120" i="12" s="1"/>
  <c r="FA121" i="12" s="1"/>
  <c r="FA122" i="12" s="1"/>
  <c r="FA123" i="12" s="1"/>
  <c r="FA124" i="12" s="1"/>
  <c r="FA125" i="12" s="1"/>
  <c r="FA126" i="12" s="1"/>
  <c r="FA127" i="12" s="1"/>
  <c r="FA128" i="12" s="1"/>
  <c r="FA129" i="12" s="1"/>
  <c r="FA130" i="12" s="1"/>
  <c r="FA131" i="12" s="1"/>
  <c r="FA132" i="12" s="1"/>
  <c r="FA133" i="12" s="1"/>
  <c r="FA134" i="12" s="1"/>
  <c r="FA135" i="12" s="1"/>
  <c r="FA136" i="12" s="1"/>
  <c r="FA137" i="12" s="1"/>
  <c r="FA138" i="12" s="1"/>
  <c r="FA139" i="12" s="1"/>
  <c r="FA140" i="12" s="1"/>
  <c r="FA141" i="12" s="1"/>
  <c r="FA142" i="12" s="1"/>
  <c r="FA143" i="12" s="1"/>
  <c r="FA144" i="12" s="1"/>
  <c r="FA145" i="12" s="1"/>
  <c r="FA146" i="12" s="1"/>
  <c r="FA147" i="12" s="1"/>
  <c r="FA148" i="12" s="1"/>
  <c r="FA149" i="12" s="1"/>
  <c r="FA150" i="12" s="1"/>
  <c r="FA151" i="12" s="1"/>
  <c r="FA152" i="12" s="1"/>
  <c r="FA153" i="12" s="1"/>
  <c r="FA154" i="12" s="1"/>
  <c r="FA155" i="12" s="1"/>
  <c r="FA156" i="12" s="1"/>
  <c r="FA157" i="12" s="1"/>
  <c r="FA158" i="12" s="1"/>
  <c r="FA159" i="12" s="1"/>
  <c r="FA160" i="12" s="1"/>
  <c r="FA161" i="12" s="1"/>
  <c r="FA162" i="12" s="1"/>
  <c r="FA163" i="12" s="1"/>
  <c r="FA164" i="12" s="1"/>
  <c r="FA165" i="12" s="1"/>
  <c r="FA166" i="12" s="1"/>
  <c r="FA167" i="12" s="1"/>
  <c r="FA168" i="12" s="1"/>
  <c r="FA169" i="12" s="1"/>
  <c r="FA170" i="12" s="1"/>
  <c r="FA171" i="12" s="1"/>
  <c r="FA172" i="12" s="1"/>
  <c r="FA173" i="12" s="1"/>
  <c r="FA174" i="12" s="1"/>
  <c r="FA175" i="12" s="1"/>
  <c r="FA176" i="12" s="1"/>
  <c r="FA177" i="12" s="1"/>
  <c r="FA178" i="12" s="1"/>
  <c r="FA179" i="12" s="1"/>
  <c r="FA180" i="12" s="1"/>
  <c r="FA181" i="12" s="1"/>
  <c r="FA182" i="12" s="1"/>
  <c r="FA183" i="12" s="1"/>
  <c r="FA184" i="12" s="1"/>
  <c r="FA185" i="12" s="1"/>
  <c r="FA186" i="12" s="1"/>
  <c r="FA187" i="12" s="1"/>
  <c r="FA188" i="12" s="1"/>
  <c r="FA189" i="12" s="1"/>
  <c r="FA190" i="12" s="1"/>
  <c r="FA191" i="12" s="1"/>
  <c r="FA192" i="12" s="1"/>
  <c r="FA193" i="12" s="1"/>
  <c r="FA194" i="12" s="1"/>
  <c r="FA195" i="12" s="1"/>
  <c r="FA196" i="12" s="1"/>
  <c r="FA197" i="12" s="1"/>
  <c r="FA198" i="12" s="1"/>
  <c r="FA199" i="12" s="1"/>
  <c r="FA200" i="12" s="1"/>
  <c r="FA201" i="12" s="1"/>
  <c r="FA202" i="12" s="1"/>
  <c r="FA203" i="12" s="1"/>
  <c r="FA204" i="12" s="1"/>
  <c r="FA205" i="12" s="1"/>
  <c r="FA206" i="12" s="1"/>
  <c r="FA207" i="12" s="1"/>
  <c r="FA208" i="12" s="1"/>
  <c r="FA209" i="12" s="1"/>
  <c r="FA210" i="12" s="1"/>
  <c r="FA211" i="12" s="1"/>
  <c r="FA212" i="12" s="1"/>
  <c r="FA213" i="12" s="1"/>
  <c r="FA214" i="12" s="1"/>
  <c r="FA215" i="12" s="1"/>
  <c r="FA216" i="12" s="1"/>
  <c r="FA217" i="12" s="1"/>
  <c r="FA218" i="12" s="1"/>
  <c r="FA219" i="12" s="1"/>
  <c r="FA220" i="12" s="1"/>
  <c r="FA221" i="12" s="1"/>
  <c r="FA222" i="12" s="1"/>
  <c r="FA223" i="12" s="1"/>
  <c r="FA224" i="12" s="1"/>
  <c r="FA225" i="12" s="1"/>
  <c r="FA226" i="12" s="1"/>
  <c r="FA227" i="12" s="1"/>
  <c r="FA228" i="12" s="1"/>
  <c r="FA229" i="12" s="1"/>
  <c r="FA230" i="12" s="1"/>
  <c r="FA231" i="12" s="1"/>
  <c r="FA232" i="12" s="1"/>
  <c r="FA233" i="12" s="1"/>
  <c r="FA234" i="12" s="1"/>
  <c r="FA235" i="12" s="1"/>
  <c r="FA236" i="12" s="1"/>
  <c r="FA237" i="12" s="1"/>
  <c r="FA238" i="12" s="1"/>
  <c r="FA239" i="12" s="1"/>
  <c r="FA240" i="12" s="1"/>
  <c r="FA241" i="12" s="1"/>
  <c r="FA242" i="12" s="1"/>
  <c r="FA243" i="12" s="1"/>
  <c r="FA244" i="12" s="1"/>
  <c r="FA245" i="12" s="1"/>
  <c r="FA246" i="12" s="1"/>
  <c r="FA247" i="12" s="1"/>
  <c r="FA248" i="12" s="1"/>
  <c r="FA249" i="12" s="1"/>
  <c r="FA250" i="12" s="1"/>
  <c r="FA251" i="12" s="1"/>
  <c r="FB251" i="12" s="1"/>
  <c r="FC251" i="12" s="1"/>
  <c r="FD251" i="12" s="1"/>
  <c r="CW15" i="12"/>
  <c r="FC11" i="12"/>
  <c r="FD11" i="12" s="1"/>
  <c r="FB12" i="12"/>
  <c r="CX51" i="12" l="1"/>
  <c r="CX53" i="12"/>
  <c r="CX43" i="12"/>
  <c r="CX49" i="12"/>
  <c r="CX45" i="12"/>
  <c r="CX46" i="12"/>
  <c r="CX42" i="12"/>
  <c r="CX47" i="12"/>
  <c r="CX48" i="12"/>
  <c r="CX50" i="12"/>
  <c r="CX44" i="12"/>
  <c r="FE10" i="12"/>
  <c r="FF7" i="12" s="1"/>
  <c r="CX66" i="12" s="1"/>
  <c r="FA252" i="12"/>
  <c r="FA253" i="12" s="1"/>
  <c r="FA254" i="12" s="1"/>
  <c r="CW16" i="12"/>
  <c r="FE11" i="12"/>
  <c r="FF8" i="12" s="1"/>
  <c r="CX76" i="12" s="1"/>
  <c r="FC12" i="12"/>
  <c r="FD12" i="12" s="1"/>
  <c r="FB13" i="12"/>
  <c r="CW83" i="12"/>
  <c r="EM287" i="12"/>
  <c r="EM310" i="12"/>
  <c r="EM123" i="12"/>
  <c r="EN123" i="12"/>
  <c r="EN50" i="12"/>
  <c r="EM50" i="12"/>
  <c r="EM65" i="12"/>
  <c r="EN65" i="12"/>
  <c r="EM69" i="12"/>
  <c r="EN69" i="12"/>
  <c r="EM24" i="12"/>
  <c r="EN24" i="12"/>
  <c r="EN18" i="12"/>
  <c r="EM18" i="12"/>
  <c r="EN22" i="12"/>
  <c r="EN84" i="12"/>
  <c r="EM84" i="12"/>
  <c r="EN58" i="12"/>
  <c r="EM58" i="12"/>
  <c r="EM16" i="12"/>
  <c r="EN16" i="12"/>
  <c r="EM49" i="12"/>
  <c r="EN49" i="12"/>
  <c r="EM100" i="12"/>
  <c r="EN100" i="12"/>
  <c r="EM159" i="12"/>
  <c r="EN159" i="12"/>
  <c r="EN158" i="12"/>
  <c r="EM158" i="12"/>
  <c r="EN194" i="12"/>
  <c r="EM194" i="12"/>
  <c r="EN193" i="12"/>
  <c r="EM193" i="12"/>
  <c r="EN164" i="12"/>
  <c r="EN98" i="12"/>
  <c r="EM98" i="12"/>
  <c r="EM144" i="12"/>
  <c r="EN144" i="12"/>
  <c r="EM142" i="12"/>
  <c r="EN142" i="12"/>
  <c r="EM181" i="12"/>
  <c r="EN181" i="12"/>
  <c r="EN137" i="12"/>
  <c r="EM137" i="12"/>
  <c r="EN125" i="12"/>
  <c r="EM125" i="12"/>
  <c r="EN112" i="12"/>
  <c r="EM112" i="12"/>
  <c r="EM63" i="12"/>
  <c r="EN63" i="12"/>
  <c r="EM85" i="12"/>
  <c r="EN85" i="12"/>
  <c r="EN37" i="12"/>
  <c r="EM37" i="12"/>
  <c r="EN77" i="12"/>
  <c r="EM77" i="12"/>
  <c r="EN191" i="12"/>
  <c r="EM191" i="12"/>
  <c r="EN128" i="12"/>
  <c r="EM128" i="12"/>
  <c r="EM140" i="12"/>
  <c r="EN140" i="12"/>
  <c r="EM120" i="12"/>
  <c r="EN120" i="12"/>
  <c r="EN132" i="12"/>
  <c r="EM132" i="12"/>
  <c r="EM201" i="12"/>
  <c r="EN201" i="12"/>
  <c r="EM151" i="12"/>
  <c r="EN151" i="12"/>
  <c r="EN195" i="12"/>
  <c r="EM195" i="12"/>
  <c r="EN163" i="12"/>
  <c r="EM163" i="12"/>
  <c r="EN152" i="12"/>
  <c r="EM152" i="12"/>
  <c r="EN179" i="12"/>
  <c r="EM179" i="12"/>
  <c r="EN129" i="12"/>
  <c r="EM129" i="12"/>
  <c r="EM171" i="12"/>
  <c r="EN171" i="12"/>
  <c r="EM7" i="12"/>
  <c r="EN7" i="12"/>
  <c r="EN60" i="12"/>
  <c r="EM60" i="12"/>
  <c r="EN117" i="12"/>
  <c r="EM117" i="12"/>
  <c r="EN160" i="12"/>
  <c r="EM160" i="12"/>
  <c r="EN130" i="12"/>
  <c r="EM130" i="12"/>
  <c r="EN183" i="12"/>
  <c r="EM183" i="12"/>
  <c r="EM189" i="12"/>
  <c r="EN189" i="12"/>
  <c r="EN83" i="12"/>
  <c r="EM83" i="12"/>
  <c r="EN108" i="12"/>
  <c r="EM110" i="12"/>
  <c r="EN110" i="12"/>
  <c r="EM109" i="12"/>
  <c r="EN109" i="12"/>
  <c r="EM105" i="12"/>
  <c r="EN105" i="12"/>
  <c r="EN111" i="12"/>
  <c r="EM111" i="12"/>
  <c r="EM106" i="12"/>
  <c r="EN106" i="12"/>
  <c r="EM107" i="12"/>
  <c r="EN107" i="12"/>
  <c r="EM71" i="12"/>
  <c r="EN71" i="12"/>
  <c r="EN122" i="12"/>
  <c r="EM122" i="12"/>
  <c r="EM170" i="12"/>
  <c r="EN170" i="12"/>
  <c r="EN199" i="12"/>
  <c r="EM199" i="12"/>
  <c r="EN188" i="12"/>
  <c r="EM188" i="12"/>
  <c r="EM184" i="12"/>
  <c r="EN184" i="12"/>
  <c r="EN178" i="12"/>
  <c r="EM178" i="12"/>
  <c r="EN139" i="12"/>
  <c r="EM139" i="12"/>
  <c r="EN175" i="12"/>
  <c r="EM134" i="12"/>
  <c r="EN134" i="12"/>
  <c r="EN165" i="12"/>
  <c r="EM165" i="12"/>
  <c r="EM95" i="12"/>
  <c r="EN95" i="12"/>
  <c r="EN102" i="12"/>
  <c r="EM103" i="12"/>
  <c r="EN103" i="12"/>
  <c r="EN29" i="12"/>
  <c r="EM29" i="12"/>
  <c r="EM35" i="12"/>
  <c r="EN35" i="12"/>
  <c r="EM59" i="12"/>
  <c r="EN59" i="12"/>
  <c r="EN82" i="12"/>
  <c r="EM82" i="12"/>
  <c r="EN99" i="12"/>
  <c r="EM99" i="12"/>
  <c r="EM157" i="12"/>
  <c r="EN157" i="12"/>
  <c r="EN113" i="12"/>
  <c r="EM113" i="12"/>
  <c r="EN146" i="12"/>
  <c r="EM187" i="12"/>
  <c r="EN187" i="12"/>
  <c r="EM162" i="12"/>
  <c r="EN162" i="12"/>
  <c r="EN121" i="12"/>
  <c r="EM121" i="12"/>
  <c r="EN169" i="12"/>
  <c r="EM169" i="12"/>
  <c r="EN192" i="12"/>
  <c r="EM192" i="12"/>
  <c r="EN190" i="12"/>
  <c r="EM190" i="12"/>
  <c r="EM186" i="12"/>
  <c r="EN186" i="12"/>
  <c r="EN180" i="12"/>
  <c r="EM180" i="12"/>
  <c r="EN126" i="12"/>
  <c r="EM126" i="12"/>
  <c r="EM104" i="12"/>
  <c r="EN104" i="12"/>
  <c r="EM5" i="12"/>
  <c r="EN5" i="12"/>
  <c r="EM156" i="12"/>
  <c r="EN156" i="12"/>
  <c r="EM168" i="12"/>
  <c r="EN168" i="12"/>
  <c r="EM149" i="12"/>
  <c r="EN149" i="12"/>
  <c r="EN173" i="12"/>
  <c r="EM173" i="12"/>
  <c r="EN135" i="12"/>
  <c r="EM135" i="12"/>
  <c r="EM174" i="12"/>
  <c r="EN174" i="12"/>
  <c r="EM143" i="12"/>
  <c r="EN143" i="12"/>
  <c r="EN136" i="12"/>
  <c r="EM136" i="12"/>
  <c r="EN148" i="12"/>
  <c r="EM148" i="12"/>
  <c r="EM93" i="12"/>
  <c r="EN93" i="12"/>
  <c r="EM36" i="12"/>
  <c r="EN36" i="12"/>
  <c r="EN53" i="12"/>
  <c r="EM53" i="12"/>
  <c r="EM9" i="12"/>
  <c r="EN9" i="12"/>
  <c r="EN23" i="12"/>
  <c r="EM45" i="12"/>
  <c r="EN45" i="12"/>
  <c r="EN80" i="12"/>
  <c r="EM80" i="12"/>
  <c r="EN76" i="12"/>
  <c r="EM76" i="12"/>
  <c r="EM32" i="12"/>
  <c r="EN32" i="12"/>
  <c r="EN87" i="12"/>
  <c r="EM87" i="12"/>
  <c r="EM97" i="12"/>
  <c r="EN97" i="12"/>
  <c r="EM94" i="12"/>
  <c r="EN94" i="12"/>
  <c r="EN101" i="12"/>
  <c r="EM197" i="12"/>
  <c r="EN197" i="12"/>
  <c r="EN172" i="12"/>
  <c r="EM172" i="12"/>
  <c r="EN200" i="12"/>
  <c r="EM200" i="12"/>
  <c r="EN133" i="12"/>
  <c r="EM147" i="12"/>
  <c r="EN147" i="12"/>
  <c r="EN196" i="12"/>
  <c r="EM196" i="12"/>
  <c r="EN202" i="12"/>
  <c r="EM202" i="12"/>
  <c r="EM150" i="12"/>
  <c r="EN150" i="12"/>
  <c r="EN145" i="12"/>
  <c r="EN141" i="12"/>
  <c r="EM141" i="12"/>
  <c r="EM161" i="12"/>
  <c r="EN161" i="12"/>
  <c r="EM198" i="12"/>
  <c r="EN198" i="12"/>
  <c r="EN8" i="12"/>
  <c r="EN51" i="12"/>
  <c r="EM51" i="12"/>
  <c r="EM55" i="12"/>
  <c r="EN55" i="12"/>
  <c r="EM46" i="12"/>
  <c r="EN46" i="12"/>
  <c r="EM88" i="12"/>
  <c r="EN88" i="12"/>
  <c r="EN26" i="12"/>
  <c r="EM20" i="12"/>
  <c r="EN20" i="12"/>
  <c r="EN43" i="12"/>
  <c r="EM43" i="12"/>
  <c r="EN56" i="12"/>
  <c r="EM56" i="12"/>
  <c r="EN91" i="12"/>
  <c r="EN54" i="12"/>
  <c r="EM54" i="12"/>
  <c r="EN74" i="12"/>
  <c r="EM74" i="12"/>
  <c r="EM11" i="12"/>
  <c r="EN11" i="12"/>
  <c r="EN72" i="12"/>
  <c r="EM72" i="12"/>
  <c r="EN6" i="12"/>
  <c r="EM6" i="12"/>
  <c r="EM42" i="12"/>
  <c r="EN42" i="12"/>
  <c r="EM48" i="12"/>
  <c r="EN48" i="12"/>
  <c r="EM52" i="12"/>
  <c r="EN52" i="12"/>
  <c r="EM14" i="12"/>
  <c r="EN14" i="12"/>
  <c r="EM70" i="12"/>
  <c r="EN70" i="12"/>
  <c r="EN96" i="12"/>
  <c r="EN166" i="12"/>
  <c r="EM166" i="12"/>
  <c r="EN115" i="12"/>
  <c r="EM115" i="12"/>
  <c r="EN114" i="12"/>
  <c r="EM138" i="12"/>
  <c r="EN138" i="12"/>
  <c r="EN154" i="12"/>
  <c r="EM154" i="12"/>
  <c r="EM177" i="12"/>
  <c r="EN177" i="12"/>
  <c r="EN185" i="12"/>
  <c r="EM185" i="12"/>
  <c r="EN176" i="12"/>
  <c r="EM176" i="12"/>
  <c r="EN155" i="12"/>
  <c r="EM155" i="12"/>
  <c r="EN127" i="12"/>
  <c r="EN119" i="12"/>
  <c r="EM119" i="12"/>
  <c r="EN182" i="12"/>
  <c r="EM182" i="12"/>
  <c r="EM118" i="12"/>
  <c r="EN118" i="12"/>
  <c r="EN124" i="12"/>
  <c r="EM124" i="12"/>
  <c r="EN131" i="12"/>
  <c r="EM131" i="12"/>
  <c r="EN116" i="12"/>
  <c r="EM116" i="12"/>
  <c r="EM167" i="12"/>
  <c r="EN167" i="12"/>
  <c r="EN153" i="12"/>
  <c r="EM153" i="12"/>
  <c r="EM86" i="12"/>
  <c r="EN86" i="12"/>
  <c r="EN47" i="12"/>
  <c r="EN33" i="12"/>
  <c r="EM33" i="12"/>
  <c r="EN79" i="12"/>
  <c r="EM79" i="12"/>
  <c r="EM31" i="12"/>
  <c r="EN31" i="12"/>
  <c r="EN90" i="12"/>
  <c r="EM90" i="12"/>
  <c r="EN66" i="12"/>
  <c r="EM66" i="12"/>
  <c r="EN44" i="12"/>
  <c r="EM44" i="12"/>
  <c r="EM89" i="12"/>
  <c r="EN89" i="12"/>
  <c r="EM39" i="12"/>
  <c r="EN39" i="12"/>
  <c r="EN57" i="12"/>
  <c r="EM57" i="12"/>
  <c r="EN73" i="12"/>
  <c r="EN41" i="12"/>
  <c r="EM41" i="12"/>
  <c r="EM28" i="12"/>
  <c r="EN28" i="12"/>
  <c r="EN92" i="12"/>
  <c r="EM12" i="12"/>
  <c r="EN12" i="12"/>
  <c r="EN25" i="12"/>
  <c r="EM25" i="12"/>
  <c r="EN34" i="12"/>
  <c r="EM34" i="12"/>
  <c r="EM68" i="12"/>
  <c r="EN68" i="12"/>
  <c r="EN19" i="12"/>
  <c r="EM19" i="12"/>
  <c r="EM64" i="12"/>
  <c r="EN64" i="12"/>
  <c r="EM67" i="12"/>
  <c r="EN67" i="12"/>
  <c r="EM17" i="12"/>
  <c r="EN17" i="12"/>
  <c r="EN30" i="12"/>
  <c r="EM30" i="12"/>
  <c r="EN15" i="12"/>
  <c r="EM15" i="12"/>
  <c r="EN38" i="12"/>
  <c r="EM38" i="12"/>
  <c r="EM62" i="12"/>
  <c r="EN62" i="12"/>
  <c r="EN13" i="12"/>
  <c r="EM13" i="12"/>
  <c r="EN61" i="12"/>
  <c r="EM61" i="12"/>
  <c r="EM81" i="12"/>
  <c r="EN81" i="12"/>
  <c r="EM27" i="12"/>
  <c r="EN27" i="12"/>
  <c r="EN10" i="12"/>
  <c r="EM10" i="12"/>
  <c r="EN21" i="12"/>
  <c r="EN78" i="12"/>
  <c r="EM78" i="12"/>
  <c r="EN75" i="12"/>
  <c r="EM75" i="12"/>
  <c r="EN40" i="12"/>
  <c r="EM40" i="12"/>
  <c r="EL2" i="12"/>
  <c r="CX55" i="12" l="1"/>
  <c r="CX59" i="12"/>
  <c r="CX56" i="12"/>
  <c r="CX62" i="12"/>
  <c r="CX63" i="12"/>
  <c r="CX61" i="12"/>
  <c r="CX57" i="12"/>
  <c r="CX64" i="12"/>
  <c r="CX65" i="12"/>
  <c r="CX60" i="12"/>
  <c r="CX58" i="12"/>
  <c r="FB253" i="12"/>
  <c r="FC253" i="12" s="1"/>
  <c r="FD253" i="12" s="1"/>
  <c r="FB252" i="12"/>
  <c r="FC252" i="12" s="1"/>
  <c r="FD252" i="12" s="1"/>
  <c r="CW17" i="12"/>
  <c r="CX72" i="12"/>
  <c r="FE12" i="12"/>
  <c r="CX69" i="12"/>
  <c r="CX78" i="12"/>
  <c r="CX75" i="12"/>
  <c r="CX79" i="12"/>
  <c r="CX73" i="12"/>
  <c r="CX71" i="12"/>
  <c r="CX70" i="12"/>
  <c r="CX77" i="12"/>
  <c r="CX74" i="12"/>
  <c r="CX68" i="12"/>
  <c r="CQ11" i="12"/>
  <c r="E1" i="12"/>
  <c r="K9" i="14" s="1"/>
  <c r="CQ5" i="12"/>
  <c r="CR5" i="12" s="1"/>
  <c r="CQ12" i="12"/>
  <c r="FC13" i="12"/>
  <c r="FD13" i="12" s="1"/>
  <c r="FB254" i="12"/>
  <c r="FC254" i="12" s="1"/>
  <c r="FD254" i="12" s="1"/>
  <c r="FA255" i="12"/>
  <c r="FB16" i="12"/>
  <c r="FB14" i="12"/>
  <c r="FB15" i="12"/>
  <c r="EM8" i="12"/>
  <c r="EM47" i="12"/>
  <c r="EM73" i="12"/>
  <c r="EM145" i="12" s="1"/>
  <c r="EM127" i="12"/>
  <c r="EM218" i="12" s="1"/>
  <c r="EO1" i="12"/>
  <c r="BD98" i="12"/>
  <c r="BE99" i="12"/>
  <c r="CW18" i="12" l="1"/>
  <c r="FE13" i="12"/>
  <c r="FC16" i="12"/>
  <c r="FD16" i="12" s="1"/>
  <c r="FC14" i="12"/>
  <c r="FD14" i="12" s="1"/>
  <c r="FC15" i="12"/>
  <c r="FD15" i="12" s="1"/>
  <c r="FB255" i="12"/>
  <c r="FC255" i="12" s="1"/>
  <c r="FD255" i="12" s="1"/>
  <c r="FA256" i="12"/>
  <c r="FB17" i="12"/>
  <c r="EM21" i="12"/>
  <c r="EM91" i="12"/>
  <c r="CR6" i="12"/>
  <c r="EM146" i="12"/>
  <c r="BF90" i="12"/>
  <c r="BT5" i="12"/>
  <c r="BT4" i="12"/>
  <c r="BT21" i="12"/>
  <c r="BT63" i="12"/>
  <c r="BT29" i="12"/>
  <c r="BT68" i="12"/>
  <c r="BT44" i="12"/>
  <c r="BT39" i="12"/>
  <c r="BT332" i="12"/>
  <c r="BT210" i="12"/>
  <c r="BT392" i="12"/>
  <c r="BT140" i="12"/>
  <c r="BT159" i="12"/>
  <c r="BT191" i="12"/>
  <c r="BT132" i="12"/>
  <c r="BT76" i="12"/>
  <c r="BT138" i="12"/>
  <c r="BT253" i="12"/>
  <c r="BT245" i="12"/>
  <c r="BT144" i="12"/>
  <c r="BT252" i="12"/>
  <c r="BT105" i="12"/>
  <c r="BT10" i="12"/>
  <c r="BT42" i="12"/>
  <c r="BT50" i="12"/>
  <c r="BT188" i="12"/>
  <c r="BT65" i="12"/>
  <c r="BT365" i="12"/>
  <c r="BT357" i="12"/>
  <c r="BT233" i="12"/>
  <c r="BT286" i="12"/>
  <c r="BT146" i="12"/>
  <c r="BT79" i="12"/>
  <c r="BT250" i="12"/>
  <c r="BT239" i="12"/>
  <c r="BT295" i="12"/>
  <c r="BT66" i="12"/>
  <c r="BT236" i="12"/>
  <c r="BT333" i="12"/>
  <c r="BT221" i="12"/>
  <c r="BT329" i="12"/>
  <c r="BT353" i="12"/>
  <c r="BT370" i="12"/>
  <c r="BT223" i="12"/>
  <c r="BT25" i="12"/>
  <c r="BT157" i="12"/>
  <c r="BT147" i="12"/>
  <c r="BT243" i="12"/>
  <c r="BT267" i="12"/>
  <c r="BT211" i="12"/>
  <c r="BT26" i="12"/>
  <c r="BT278" i="12"/>
  <c r="BT310" i="12"/>
  <c r="BT81" i="12"/>
  <c r="BT152" i="12"/>
  <c r="BT306" i="12"/>
  <c r="BT391" i="12"/>
  <c r="BT103" i="12"/>
  <c r="BT195" i="12"/>
  <c r="BT182" i="12"/>
  <c r="BT16" i="12"/>
  <c r="BT171" i="12"/>
  <c r="BT207" i="12"/>
  <c r="BT59" i="12"/>
  <c r="BT36" i="12"/>
  <c r="BT69" i="12"/>
  <c r="BT38" i="12"/>
  <c r="BT376" i="12"/>
  <c r="BT199" i="12"/>
  <c r="BT49" i="12"/>
  <c r="BT263" i="12"/>
  <c r="BT313" i="12"/>
  <c r="BT55" i="12"/>
  <c r="BT13" i="12"/>
  <c r="BT52" i="12"/>
  <c r="BT386" i="12"/>
  <c r="BT12" i="12"/>
  <c r="BT46" i="12"/>
  <c r="BT371" i="12"/>
  <c r="BT398" i="12"/>
  <c r="BT22" i="12"/>
  <c r="BT162" i="12"/>
  <c r="BT186" i="12"/>
  <c r="BT172" i="12"/>
  <c r="BT85" i="12"/>
  <c r="BT251" i="12"/>
  <c r="BT90" i="12"/>
  <c r="BT28" i="12"/>
  <c r="BT43" i="12"/>
  <c r="BT123" i="12"/>
  <c r="BT100" i="12"/>
  <c r="BT247" i="12"/>
  <c r="BT226" i="12"/>
  <c r="BT74" i="12"/>
  <c r="BT78" i="12"/>
  <c r="BT41" i="12"/>
  <c r="BT317" i="12"/>
  <c r="BT296" i="12"/>
  <c r="BT61" i="12"/>
  <c r="BT275" i="12"/>
  <c r="BT320" i="12"/>
  <c r="BT131" i="12"/>
  <c r="BT224" i="12"/>
  <c r="BT380" i="12"/>
  <c r="BT175" i="12"/>
  <c r="BT258" i="12"/>
  <c r="BT248" i="12"/>
  <c r="BT316" i="12"/>
  <c r="BT325" i="12"/>
  <c r="BT268" i="12"/>
  <c r="BT227" i="12"/>
  <c r="BT373" i="12"/>
  <c r="BT137" i="12"/>
  <c r="BT115" i="12"/>
  <c r="BT344" i="12"/>
  <c r="BT194" i="12"/>
  <c r="BT101" i="12"/>
  <c r="BT117" i="12"/>
  <c r="BT382" i="12"/>
  <c r="BT94" i="12"/>
  <c r="BT168" i="12"/>
  <c r="BT15" i="12"/>
  <c r="BT265" i="12"/>
  <c r="BT145" i="12"/>
  <c r="BT80" i="12"/>
  <c r="BT385" i="12"/>
  <c r="BT201" i="12"/>
  <c r="BT149" i="12"/>
  <c r="BT70" i="12"/>
  <c r="BT150" i="12"/>
  <c r="BT177" i="12"/>
  <c r="BT374" i="12"/>
  <c r="BT304" i="12"/>
  <c r="BT323" i="12"/>
  <c r="BT156" i="12"/>
  <c r="BT262" i="12"/>
  <c r="BT204" i="12"/>
  <c r="BT361" i="12"/>
  <c r="BT237" i="12"/>
  <c r="BT54" i="12"/>
  <c r="BT24" i="12"/>
  <c r="BT53" i="12"/>
  <c r="BT378" i="12"/>
  <c r="BT266" i="12"/>
  <c r="BT119" i="12"/>
  <c r="BT208" i="12"/>
  <c r="BT130" i="12"/>
  <c r="BT305" i="12"/>
  <c r="BT8" i="12"/>
  <c r="BT180" i="12"/>
  <c r="BT73" i="12"/>
  <c r="BT352" i="12"/>
  <c r="BT107" i="12"/>
  <c r="BT178" i="12"/>
  <c r="BT187" i="12"/>
  <c r="BT35" i="12"/>
  <c r="BT75" i="12"/>
  <c r="BT127" i="12"/>
  <c r="BT190" i="12"/>
  <c r="BT321" i="12"/>
  <c r="BT64" i="12"/>
  <c r="BT20" i="12"/>
  <c r="BT72" i="12"/>
  <c r="BT260" i="12"/>
  <c r="BT34" i="12"/>
  <c r="BT98" i="12"/>
  <c r="BT342" i="12"/>
  <c r="BT125" i="12"/>
  <c r="BT203" i="12"/>
  <c r="BT108" i="12"/>
  <c r="BT110" i="12"/>
  <c r="BT359" i="12"/>
  <c r="BT60" i="12"/>
  <c r="BT31" i="12"/>
  <c r="BT88" i="12"/>
  <c r="BT322" i="12"/>
  <c r="BT160" i="12"/>
  <c r="BT379" i="12"/>
  <c r="BT280" i="12"/>
  <c r="BT284" i="12"/>
  <c r="BT312" i="12"/>
  <c r="BT346" i="12"/>
  <c r="BT309" i="12"/>
  <c r="BT45" i="12"/>
  <c r="BT151" i="12"/>
  <c r="BT135" i="12"/>
  <c r="BT217" i="12"/>
  <c r="BT89" i="12"/>
  <c r="BT319" i="12"/>
  <c r="BT121" i="12"/>
  <c r="BT294" i="12"/>
  <c r="BT202" i="12"/>
  <c r="BT255" i="12"/>
  <c r="BT37" i="12"/>
  <c r="BT270" i="12"/>
  <c r="BT282" i="12"/>
  <c r="BT355" i="12"/>
  <c r="BT345" i="12"/>
  <c r="BT99" i="12"/>
  <c r="BT133" i="12"/>
  <c r="BT351" i="12"/>
  <c r="BT390" i="12"/>
  <c r="BT212" i="12"/>
  <c r="BT230" i="12"/>
  <c r="BT397" i="12"/>
  <c r="BT215" i="12"/>
  <c r="BT142" i="12"/>
  <c r="BT111" i="12"/>
  <c r="BT48" i="12"/>
  <c r="BT33" i="12"/>
  <c r="BT77" i="12"/>
  <c r="BT19" i="12"/>
  <c r="BT166" i="12"/>
  <c r="BT32" i="12"/>
  <c r="BT57" i="12"/>
  <c r="BT83" i="12"/>
  <c r="BT84" i="12"/>
  <c r="BT9" i="12"/>
  <c r="BT196" i="12"/>
  <c r="BT229" i="12"/>
  <c r="BT246" i="12"/>
  <c r="BT189" i="12"/>
  <c r="BT155" i="12"/>
  <c r="BT173" i="12"/>
  <c r="BT372" i="12"/>
  <c r="BT91" i="12"/>
  <c r="BT300" i="12"/>
  <c r="BT288" i="12"/>
  <c r="BT269" i="12"/>
  <c r="BT129" i="12"/>
  <c r="BT92" i="12"/>
  <c r="BT347" i="12"/>
  <c r="BT327" i="12"/>
  <c r="BT271" i="12"/>
  <c r="BT299" i="12"/>
  <c r="BT112" i="12"/>
  <c r="BT225" i="12"/>
  <c r="BT308" i="12"/>
  <c r="BT179" i="12"/>
  <c r="BT120" i="12"/>
  <c r="BT259" i="12"/>
  <c r="BT102" i="12"/>
  <c r="BT216" i="12"/>
  <c r="BT231" i="12"/>
  <c r="BT153" i="12"/>
  <c r="BT348" i="12"/>
  <c r="BT334" i="12"/>
  <c r="BT97" i="12"/>
  <c r="BT200" i="12"/>
  <c r="BT128" i="12"/>
  <c r="BT118" i="12"/>
  <c r="BT205" i="12"/>
  <c r="BT183" i="12"/>
  <c r="BT87" i="12"/>
  <c r="BT261" i="12"/>
  <c r="BT343" i="12"/>
  <c r="BT161" i="12"/>
  <c r="BT114" i="12"/>
  <c r="BT3" i="12"/>
  <c r="BT58" i="12"/>
  <c r="BT244" i="12"/>
  <c r="BT86" i="12"/>
  <c r="BT254" i="12"/>
  <c r="BT339" i="12"/>
  <c r="BT311" i="12"/>
  <c r="BT335" i="12"/>
  <c r="BT281" i="12"/>
  <c r="BT285" i="12"/>
  <c r="BT290" i="12"/>
  <c r="BT213" i="12"/>
  <c r="BT17" i="12"/>
  <c r="BT326" i="12"/>
  <c r="BT292" i="12"/>
  <c r="BT276" i="12"/>
  <c r="BT368" i="12"/>
  <c r="BT358" i="12"/>
  <c r="BT218" i="12"/>
  <c r="BT350" i="12"/>
  <c r="BT274" i="12"/>
  <c r="BT6" i="12"/>
  <c r="BT209" i="12"/>
  <c r="BT27" i="12"/>
  <c r="BT71" i="12"/>
  <c r="BT283" i="12"/>
  <c r="BT56" i="12"/>
  <c r="BT273" i="12"/>
  <c r="BT331" i="12"/>
  <c r="BT384" i="12"/>
  <c r="BT95" i="12"/>
  <c r="BT315" i="12"/>
  <c r="BT387" i="12"/>
  <c r="BT197" i="12"/>
  <c r="BT367" i="12"/>
  <c r="BT228" i="12"/>
  <c r="BT337" i="12"/>
  <c r="BT192" i="12"/>
  <c r="BT82" i="12"/>
  <c r="BT381" i="12"/>
  <c r="BT287" i="12"/>
  <c r="BT336" i="12"/>
  <c r="BT298" i="12"/>
  <c r="BT51" i="12"/>
  <c r="BT163" i="12"/>
  <c r="BT124" i="12"/>
  <c r="BT106" i="12"/>
  <c r="BT109" i="12"/>
  <c r="BT324" i="12"/>
  <c r="BT388" i="12"/>
  <c r="BT241" i="12"/>
  <c r="BT14" i="12"/>
  <c r="BT165" i="12"/>
  <c r="BT222" i="12"/>
  <c r="BT277" i="12"/>
  <c r="BT7" i="12"/>
  <c r="BT67" i="12"/>
  <c r="BT362" i="12"/>
  <c r="BT148" i="12"/>
  <c r="BT96" i="12"/>
  <c r="BT349" i="12"/>
  <c r="BT341" i="12"/>
  <c r="BT364" i="12"/>
  <c r="BT389" i="12"/>
  <c r="BT396" i="12"/>
  <c r="BT198" i="12"/>
  <c r="BT257" i="12"/>
  <c r="BT238" i="12"/>
  <c r="BT170" i="12"/>
  <c r="BT383" i="12"/>
  <c r="BT356" i="12"/>
  <c r="BT181" i="12"/>
  <c r="BT375" i="12"/>
  <c r="BT234" i="12"/>
  <c r="BT169" i="12"/>
  <c r="BT141" i="12"/>
  <c r="BT328" i="12"/>
  <c r="BT219" i="12"/>
  <c r="BT93" i="12"/>
  <c r="BT136" i="12"/>
  <c r="BT338" i="12"/>
  <c r="BT264" i="12"/>
  <c r="BT369" i="12"/>
  <c r="BT104" i="12"/>
  <c r="BT354" i="12"/>
  <c r="BT394" i="12"/>
  <c r="BT366" i="12"/>
  <c r="BT174" i="12"/>
  <c r="BT289" i="12"/>
  <c r="BT176" i="12"/>
  <c r="BT393" i="12"/>
  <c r="BT18" i="12"/>
  <c r="BT167" i="12"/>
  <c r="BT113" i="12"/>
  <c r="BT240" i="12"/>
  <c r="BT30" i="12"/>
  <c r="BT122" i="12"/>
  <c r="BT314" i="12"/>
  <c r="BT158" i="12"/>
  <c r="BT11" i="12"/>
  <c r="BT220" i="12"/>
  <c r="BT154" i="12"/>
  <c r="BT232" i="12"/>
  <c r="BT235" i="12"/>
  <c r="BT318" i="12"/>
  <c r="BT279" i="12"/>
  <c r="BT62" i="12"/>
  <c r="BT249" i="12"/>
  <c r="BT256" i="12"/>
  <c r="BT116" i="12"/>
  <c r="BT297" i="12"/>
  <c r="BT293" i="12"/>
  <c r="BT303" i="12"/>
  <c r="BT184" i="12"/>
  <c r="BT272" i="12"/>
  <c r="BT134" i="12"/>
  <c r="BT301" i="12"/>
  <c r="BT139" i="12"/>
  <c r="BT330" i="12"/>
  <c r="BT164" i="12"/>
  <c r="BT23" i="12"/>
  <c r="BT193" i="12"/>
  <c r="BT126" i="12"/>
  <c r="BT302" i="12"/>
  <c r="BT377" i="12"/>
  <c r="BT291" i="12"/>
  <c r="BT206" i="12"/>
  <c r="BT47" i="12"/>
  <c r="BT185" i="12"/>
  <c r="BT143" i="12"/>
  <c r="BT40" i="12"/>
  <c r="BT340" i="12"/>
  <c r="BT360" i="12"/>
  <c r="BT363" i="12"/>
  <c r="BT242" i="12"/>
  <c r="BT307" i="12"/>
  <c r="BT214" i="12"/>
  <c r="BT395" i="12"/>
  <c r="CW19" i="12" l="1"/>
  <c r="FE14" i="12"/>
  <c r="FE15" i="12" s="1"/>
  <c r="FE16" i="12" s="1"/>
  <c r="FP1" i="12"/>
  <c r="FJ1" i="12" s="1"/>
  <c r="FC17" i="12"/>
  <c r="FD17" i="12" s="1"/>
  <c r="FB256" i="12"/>
  <c r="FC256" i="12" s="1"/>
  <c r="FD256" i="12" s="1"/>
  <c r="FA257" i="12"/>
  <c r="FB18" i="12"/>
  <c r="EM22" i="12"/>
  <c r="EM23" i="12" s="1"/>
  <c r="EM26" i="12"/>
  <c r="EM114" i="12"/>
  <c r="EM92" i="12"/>
  <c r="EM101" i="12" s="1"/>
  <c r="EM96" i="12"/>
  <c r="BU5" i="12"/>
  <c r="BV5" i="12"/>
  <c r="BV4" i="12"/>
  <c r="BU4" i="12"/>
  <c r="BV214" i="12"/>
  <c r="BU214" i="12"/>
  <c r="BU360" i="12"/>
  <c r="BV360" i="12"/>
  <c r="BU185" i="12"/>
  <c r="BV185" i="12"/>
  <c r="BU377" i="12"/>
  <c r="BV377" i="12"/>
  <c r="BV164" i="12"/>
  <c r="BU164" i="12"/>
  <c r="BV134" i="12"/>
  <c r="BU134" i="12"/>
  <c r="BU293" i="12"/>
  <c r="BV293" i="12"/>
  <c r="BV116" i="12"/>
  <c r="BU116" i="12"/>
  <c r="BU279" i="12"/>
  <c r="BV279" i="12"/>
  <c r="BV154" i="12"/>
  <c r="BU154" i="12"/>
  <c r="BV314" i="12"/>
  <c r="BU314" i="12"/>
  <c r="BU30" i="12"/>
  <c r="BV30" i="12"/>
  <c r="BV394" i="12"/>
  <c r="BU394" i="12"/>
  <c r="BV264" i="12"/>
  <c r="BU264" i="12"/>
  <c r="BV328" i="12"/>
  <c r="BU328" i="12"/>
  <c r="BU375" i="12"/>
  <c r="BV375" i="12"/>
  <c r="BV356" i="12"/>
  <c r="BU356" i="12"/>
  <c r="BU257" i="12"/>
  <c r="BV257" i="12"/>
  <c r="BV364" i="12"/>
  <c r="BU364" i="12"/>
  <c r="BV148" i="12"/>
  <c r="BU148" i="12"/>
  <c r="BV277" i="12"/>
  <c r="BU277" i="12"/>
  <c r="BV241" i="12"/>
  <c r="BU241" i="12"/>
  <c r="BV388" i="12"/>
  <c r="BU388" i="12"/>
  <c r="BV124" i="12"/>
  <c r="BU124" i="12"/>
  <c r="BU287" i="12"/>
  <c r="BV287" i="12"/>
  <c r="BV337" i="12"/>
  <c r="BU337" i="12"/>
  <c r="BU387" i="12"/>
  <c r="BV387" i="12"/>
  <c r="BV273" i="12"/>
  <c r="BU273" i="12"/>
  <c r="BU27" i="12"/>
  <c r="BV27" i="12"/>
  <c r="BU350" i="12"/>
  <c r="BV350" i="12"/>
  <c r="BU368" i="12"/>
  <c r="BV368" i="12"/>
  <c r="BU17" i="12"/>
  <c r="BV17" i="12"/>
  <c r="BU281" i="12"/>
  <c r="BV281" i="12"/>
  <c r="BV335" i="12"/>
  <c r="BU335" i="12"/>
  <c r="BV114" i="12"/>
  <c r="BU114" i="12"/>
  <c r="BV87" i="12"/>
  <c r="BU87" i="12"/>
  <c r="BV128" i="12"/>
  <c r="BU128" i="12"/>
  <c r="BV348" i="12"/>
  <c r="BU348" i="12"/>
  <c r="BU102" i="12"/>
  <c r="BV102" i="12"/>
  <c r="BV112" i="12"/>
  <c r="BU112" i="12"/>
  <c r="BV92" i="12"/>
  <c r="BU92" i="12"/>
  <c r="BV300" i="12"/>
  <c r="BU300" i="12"/>
  <c r="BV155" i="12"/>
  <c r="BU155" i="12"/>
  <c r="BV196" i="12"/>
  <c r="BU196" i="12"/>
  <c r="BU32" i="12"/>
  <c r="BV32" i="12"/>
  <c r="BU48" i="12"/>
  <c r="BV48" i="12"/>
  <c r="BV215" i="12"/>
  <c r="BU215" i="12"/>
  <c r="BU351" i="12"/>
  <c r="BV351" i="12"/>
  <c r="BV270" i="12"/>
  <c r="BU270" i="12"/>
  <c r="BU294" i="12"/>
  <c r="BV294" i="12"/>
  <c r="BV135" i="12"/>
  <c r="BU135" i="12"/>
  <c r="BU346" i="12"/>
  <c r="BV346" i="12"/>
  <c r="BV284" i="12"/>
  <c r="BU284" i="12"/>
  <c r="BU322" i="12"/>
  <c r="BV322" i="12"/>
  <c r="BU31" i="12"/>
  <c r="BV31" i="12"/>
  <c r="BV125" i="12"/>
  <c r="BU125" i="12"/>
  <c r="BV260" i="12"/>
  <c r="BU260" i="12"/>
  <c r="BU64" i="12"/>
  <c r="BV64" i="12"/>
  <c r="BU75" i="12"/>
  <c r="BV75" i="12"/>
  <c r="BV107" i="12"/>
  <c r="BU107" i="12"/>
  <c r="BV130" i="12"/>
  <c r="BU130" i="12"/>
  <c r="BV119" i="12"/>
  <c r="BU119" i="12"/>
  <c r="BU24" i="12"/>
  <c r="BV24" i="12"/>
  <c r="BU237" i="12"/>
  <c r="BV237" i="12"/>
  <c r="BU70" i="12"/>
  <c r="BV70" i="12"/>
  <c r="BU80" i="12"/>
  <c r="BV80" i="12"/>
  <c r="BU168" i="12"/>
  <c r="BV168" i="12"/>
  <c r="BV382" i="12"/>
  <c r="BU382" i="12"/>
  <c r="BU194" i="12"/>
  <c r="BV194" i="12"/>
  <c r="BU373" i="12"/>
  <c r="BV373" i="12"/>
  <c r="BU316" i="12"/>
  <c r="BV316" i="12"/>
  <c r="BU258" i="12"/>
  <c r="BV258" i="12"/>
  <c r="BV131" i="12"/>
  <c r="BU131" i="12"/>
  <c r="BU317" i="12"/>
  <c r="BV317" i="12"/>
  <c r="BU41" i="12"/>
  <c r="BV41" i="12"/>
  <c r="BU247" i="12"/>
  <c r="BV247" i="12"/>
  <c r="BU28" i="12"/>
  <c r="BV28" i="12"/>
  <c r="BU172" i="12"/>
  <c r="BV172" i="12"/>
  <c r="BV186" i="12"/>
  <c r="BU186" i="12"/>
  <c r="BV371" i="12"/>
  <c r="BU371" i="12"/>
  <c r="BU12" i="12"/>
  <c r="BV12" i="12"/>
  <c r="BU386" i="12"/>
  <c r="BV386" i="12"/>
  <c r="BU313" i="12"/>
  <c r="BV313" i="12"/>
  <c r="BU38" i="12"/>
  <c r="BV38" i="12"/>
  <c r="BU59" i="12"/>
  <c r="BV59" i="12"/>
  <c r="BV182" i="12"/>
  <c r="BU182" i="12"/>
  <c r="BU306" i="12"/>
  <c r="BV306" i="12"/>
  <c r="BU26" i="12"/>
  <c r="BV26" i="12"/>
  <c r="BU267" i="12"/>
  <c r="BV267" i="12"/>
  <c r="BU147" i="12"/>
  <c r="BV147" i="12"/>
  <c r="BV370" i="12"/>
  <c r="BU370" i="12"/>
  <c r="BV333" i="12"/>
  <c r="BU333" i="12"/>
  <c r="BU79" i="12"/>
  <c r="BV79" i="12"/>
  <c r="BU357" i="12"/>
  <c r="BV357" i="12"/>
  <c r="BU42" i="12"/>
  <c r="BV42" i="12"/>
  <c r="BV144" i="12"/>
  <c r="BU144" i="12"/>
  <c r="BU76" i="12"/>
  <c r="BV76" i="12"/>
  <c r="BV210" i="12"/>
  <c r="BU210" i="12"/>
  <c r="BU39" i="12"/>
  <c r="BV39" i="12"/>
  <c r="BV395" i="12"/>
  <c r="BU395" i="12"/>
  <c r="BU363" i="12"/>
  <c r="BV363" i="12"/>
  <c r="BV143" i="12"/>
  <c r="BU143" i="12"/>
  <c r="BV291" i="12"/>
  <c r="BU291" i="12"/>
  <c r="BU193" i="12"/>
  <c r="BV193" i="12"/>
  <c r="BU23" i="12"/>
  <c r="BV23" i="12"/>
  <c r="BU301" i="12"/>
  <c r="BV301" i="12"/>
  <c r="BU303" i="12"/>
  <c r="BV303" i="12"/>
  <c r="BV297" i="12"/>
  <c r="BU297" i="12"/>
  <c r="BU62" i="12"/>
  <c r="BV62" i="12"/>
  <c r="BV232" i="12"/>
  <c r="BU232" i="12"/>
  <c r="BV158" i="12"/>
  <c r="BU158" i="12"/>
  <c r="BU240" i="12"/>
  <c r="BV240" i="12"/>
  <c r="BU18" i="12"/>
  <c r="BV18" i="12"/>
  <c r="BU366" i="12"/>
  <c r="BV366" i="12"/>
  <c r="BU369" i="12"/>
  <c r="BV369" i="12"/>
  <c r="BV219" i="12"/>
  <c r="BU219" i="12"/>
  <c r="BU234" i="12"/>
  <c r="BV234" i="12"/>
  <c r="BU181" i="12"/>
  <c r="BV181" i="12"/>
  <c r="BV238" i="12"/>
  <c r="BU238" i="12"/>
  <c r="BU389" i="12"/>
  <c r="BV389" i="12"/>
  <c r="BV96" i="12"/>
  <c r="BU96" i="12"/>
  <c r="BU7" i="12"/>
  <c r="BV7" i="12"/>
  <c r="BU14" i="12"/>
  <c r="BV14" i="12"/>
  <c r="BU106" i="12"/>
  <c r="BV106" i="12"/>
  <c r="BU51" i="12"/>
  <c r="BV51" i="12"/>
  <c r="BV336" i="12"/>
  <c r="BU336" i="12"/>
  <c r="BV192" i="12"/>
  <c r="BU192" i="12"/>
  <c r="BV197" i="12"/>
  <c r="BU197" i="12"/>
  <c r="BV384" i="12"/>
  <c r="BU384" i="12"/>
  <c r="BV331" i="12"/>
  <c r="BU331" i="12"/>
  <c r="BU71" i="12"/>
  <c r="BV71" i="12"/>
  <c r="BV274" i="12"/>
  <c r="BU274" i="12"/>
  <c r="BU358" i="12"/>
  <c r="BV358" i="12"/>
  <c r="BV326" i="12"/>
  <c r="BU326" i="12"/>
  <c r="BV285" i="12"/>
  <c r="BU285" i="12"/>
  <c r="BV254" i="12"/>
  <c r="BU254" i="12"/>
  <c r="BU58" i="12"/>
  <c r="BV58" i="12"/>
  <c r="BV3" i="12"/>
  <c r="BU3" i="12"/>
  <c r="BV261" i="12"/>
  <c r="BU261" i="12"/>
  <c r="BV118" i="12"/>
  <c r="BU118" i="12"/>
  <c r="BV334" i="12"/>
  <c r="BU334" i="12"/>
  <c r="BV216" i="12"/>
  <c r="BU216" i="12"/>
  <c r="BV179" i="12"/>
  <c r="BU179" i="12"/>
  <c r="BU225" i="12"/>
  <c r="BV225" i="12"/>
  <c r="BV347" i="12"/>
  <c r="BU347" i="12"/>
  <c r="BU288" i="12"/>
  <c r="BV288" i="12"/>
  <c r="BU173" i="12"/>
  <c r="BV173" i="12"/>
  <c r="BV229" i="12"/>
  <c r="BU229" i="12"/>
  <c r="BU57" i="12"/>
  <c r="BV57" i="12"/>
  <c r="BU33" i="12"/>
  <c r="BV33" i="12"/>
  <c r="BU142" i="12"/>
  <c r="BV142" i="12"/>
  <c r="BV390" i="12"/>
  <c r="BU390" i="12"/>
  <c r="BV345" i="12"/>
  <c r="BU345" i="12"/>
  <c r="BV282" i="12"/>
  <c r="BU282" i="12"/>
  <c r="BV202" i="12"/>
  <c r="BU202" i="12"/>
  <c r="BV217" i="12"/>
  <c r="BU217" i="12"/>
  <c r="BU309" i="12"/>
  <c r="BV309" i="12"/>
  <c r="BV160" i="12"/>
  <c r="BU160" i="12"/>
  <c r="BV88" i="12"/>
  <c r="BU88" i="12"/>
  <c r="BV203" i="12"/>
  <c r="BU203" i="12"/>
  <c r="BU34" i="12"/>
  <c r="BV34" i="12"/>
  <c r="BV127" i="12"/>
  <c r="BU127" i="12"/>
  <c r="BU178" i="12"/>
  <c r="BV178" i="12"/>
  <c r="BU180" i="12"/>
  <c r="BV180" i="12"/>
  <c r="BV305" i="12"/>
  <c r="BU305" i="12"/>
  <c r="BV208" i="12"/>
  <c r="BU208" i="12"/>
  <c r="BU53" i="12"/>
  <c r="BV53" i="12"/>
  <c r="BV262" i="12"/>
  <c r="BU262" i="12"/>
  <c r="BV304" i="12"/>
  <c r="BU304" i="12"/>
  <c r="BU150" i="12"/>
  <c r="BV150" i="12"/>
  <c r="BV385" i="12"/>
  <c r="BU385" i="12"/>
  <c r="BU15" i="12"/>
  <c r="BV15" i="12"/>
  <c r="BU94" i="12"/>
  <c r="BV94" i="12"/>
  <c r="BV101" i="12"/>
  <c r="BU101" i="12"/>
  <c r="BU137" i="12"/>
  <c r="BV137" i="12"/>
  <c r="BU325" i="12"/>
  <c r="BV325" i="12"/>
  <c r="BV248" i="12"/>
  <c r="BU248" i="12"/>
  <c r="BU224" i="12"/>
  <c r="BV224" i="12"/>
  <c r="BU61" i="12"/>
  <c r="BV61" i="12"/>
  <c r="BU296" i="12"/>
  <c r="BV296" i="12"/>
  <c r="BU226" i="12"/>
  <c r="BV226" i="12"/>
  <c r="BU43" i="12"/>
  <c r="BV43" i="12"/>
  <c r="BV85" i="12"/>
  <c r="BU85" i="12"/>
  <c r="BU398" i="12"/>
  <c r="BV398" i="12"/>
  <c r="BU55" i="12"/>
  <c r="BV55" i="12"/>
  <c r="BV199" i="12"/>
  <c r="BU199" i="12"/>
  <c r="BU376" i="12"/>
  <c r="BV376" i="12"/>
  <c r="BU16" i="12"/>
  <c r="BV16" i="12"/>
  <c r="BU391" i="12"/>
  <c r="BV391" i="12"/>
  <c r="BV310" i="12"/>
  <c r="BU310" i="12"/>
  <c r="BU278" i="12"/>
  <c r="BV278" i="12"/>
  <c r="BU243" i="12"/>
  <c r="BV243" i="12"/>
  <c r="BU223" i="12"/>
  <c r="BV223" i="12"/>
  <c r="BU221" i="12"/>
  <c r="BV221" i="12"/>
  <c r="BV250" i="12"/>
  <c r="BU250" i="12"/>
  <c r="BV233" i="12"/>
  <c r="BU233" i="12"/>
  <c r="BU50" i="12"/>
  <c r="BV50" i="12"/>
  <c r="BV252" i="12"/>
  <c r="BU252" i="12"/>
  <c r="BV138" i="12"/>
  <c r="BU138" i="12"/>
  <c r="BU392" i="12"/>
  <c r="BV392" i="12"/>
  <c r="BV332" i="12"/>
  <c r="BU332" i="12"/>
  <c r="BU68" i="12"/>
  <c r="BV68" i="12"/>
  <c r="BV242" i="12"/>
  <c r="BU242" i="12"/>
  <c r="BU40" i="12"/>
  <c r="BV40" i="12"/>
  <c r="BU206" i="12"/>
  <c r="BV206" i="12"/>
  <c r="BV126" i="12"/>
  <c r="BU126" i="12"/>
  <c r="BU139" i="12"/>
  <c r="BV139" i="12"/>
  <c r="BU184" i="12"/>
  <c r="BV184" i="12"/>
  <c r="BV249" i="12"/>
  <c r="BU249" i="12"/>
  <c r="BU235" i="12"/>
  <c r="BV235" i="12"/>
  <c r="BU11" i="12"/>
  <c r="BV11" i="12"/>
  <c r="BU167" i="12"/>
  <c r="BV167" i="12"/>
  <c r="BV176" i="12"/>
  <c r="BU176" i="12"/>
  <c r="BV174" i="12"/>
  <c r="BU174" i="12"/>
  <c r="BV104" i="12"/>
  <c r="BU104" i="12"/>
  <c r="BU136" i="12"/>
  <c r="BV136" i="12"/>
  <c r="BV93" i="12"/>
  <c r="BU93" i="12"/>
  <c r="BU169" i="12"/>
  <c r="BV169" i="12"/>
  <c r="BV170" i="12"/>
  <c r="BU170" i="12"/>
  <c r="BV396" i="12"/>
  <c r="BU396" i="12"/>
  <c r="BU349" i="12"/>
  <c r="BV349" i="12"/>
  <c r="BU67" i="12"/>
  <c r="BV67" i="12"/>
  <c r="BU165" i="12"/>
  <c r="BV165" i="12"/>
  <c r="BV109" i="12"/>
  <c r="BU109" i="12"/>
  <c r="BV163" i="12"/>
  <c r="BU163" i="12"/>
  <c r="BV298" i="12"/>
  <c r="BU298" i="12"/>
  <c r="BU82" i="12"/>
  <c r="BV82" i="12"/>
  <c r="BU367" i="12"/>
  <c r="BV367" i="12"/>
  <c r="BV95" i="12"/>
  <c r="BU95" i="12"/>
  <c r="BV283" i="12"/>
  <c r="BU283" i="12"/>
  <c r="BU6" i="12"/>
  <c r="BV6" i="12"/>
  <c r="BV292" i="12"/>
  <c r="BU292" i="12"/>
  <c r="BV290" i="12"/>
  <c r="BU290" i="12"/>
  <c r="BV339" i="12"/>
  <c r="BU339" i="12"/>
  <c r="BV244" i="12"/>
  <c r="BU244" i="12"/>
  <c r="BU343" i="12"/>
  <c r="BV343" i="12"/>
  <c r="BV205" i="12"/>
  <c r="BU205" i="12"/>
  <c r="BV97" i="12"/>
  <c r="BU97" i="12"/>
  <c r="BV231" i="12"/>
  <c r="BU231" i="12"/>
  <c r="BU120" i="12"/>
  <c r="BV120" i="12"/>
  <c r="BU308" i="12"/>
  <c r="BV308" i="12"/>
  <c r="BV271" i="12"/>
  <c r="BU271" i="12"/>
  <c r="BV327" i="12"/>
  <c r="BU327" i="12"/>
  <c r="BV269" i="12"/>
  <c r="BU269" i="12"/>
  <c r="BV372" i="12"/>
  <c r="BU372" i="12"/>
  <c r="BU246" i="12"/>
  <c r="BV246" i="12"/>
  <c r="BU83" i="12"/>
  <c r="BV83" i="12"/>
  <c r="BV166" i="12"/>
  <c r="BU166" i="12"/>
  <c r="BU77" i="12"/>
  <c r="BV77" i="12"/>
  <c r="BV111" i="12"/>
  <c r="BU111" i="12"/>
  <c r="BU230" i="12"/>
  <c r="BV230" i="12"/>
  <c r="BU212" i="12"/>
  <c r="BV212" i="12"/>
  <c r="BV99" i="12"/>
  <c r="BU99" i="12"/>
  <c r="BV355" i="12"/>
  <c r="BU355" i="12"/>
  <c r="BV255" i="12"/>
  <c r="BU255" i="12"/>
  <c r="BV319" i="12"/>
  <c r="BU319" i="12"/>
  <c r="BU89" i="12"/>
  <c r="BV89" i="12"/>
  <c r="BU45" i="12"/>
  <c r="BV45" i="12"/>
  <c r="BU379" i="12"/>
  <c r="BV379" i="12"/>
  <c r="BV359" i="12"/>
  <c r="BU359" i="12"/>
  <c r="BU108" i="12"/>
  <c r="BV108" i="12"/>
  <c r="BV98" i="12"/>
  <c r="BU98" i="12"/>
  <c r="BV190" i="12"/>
  <c r="BU190" i="12"/>
  <c r="BV187" i="12"/>
  <c r="BU187" i="12"/>
  <c r="BU73" i="12"/>
  <c r="BV73" i="12"/>
  <c r="BU8" i="12"/>
  <c r="BV8" i="12"/>
  <c r="BU378" i="12"/>
  <c r="BV378" i="12"/>
  <c r="BV204" i="12"/>
  <c r="BU204" i="12"/>
  <c r="BU323" i="12"/>
  <c r="BV323" i="12"/>
  <c r="BV177" i="12"/>
  <c r="BU177" i="12"/>
  <c r="BU201" i="12"/>
  <c r="BV201" i="12"/>
  <c r="BU265" i="12"/>
  <c r="BV265" i="12"/>
  <c r="BV115" i="12"/>
  <c r="BU115" i="12"/>
  <c r="BV268" i="12"/>
  <c r="BU268" i="12"/>
  <c r="BU380" i="12"/>
  <c r="BV380" i="12"/>
  <c r="BV275" i="12"/>
  <c r="BU275" i="12"/>
  <c r="BU74" i="12"/>
  <c r="BV74" i="12"/>
  <c r="BV123" i="12"/>
  <c r="BU123" i="12"/>
  <c r="BV251" i="12"/>
  <c r="BU251" i="12"/>
  <c r="BU22" i="12"/>
  <c r="BV22" i="12"/>
  <c r="BU13" i="12"/>
  <c r="BV13" i="12"/>
  <c r="BU49" i="12"/>
  <c r="BV49" i="12"/>
  <c r="BU36" i="12"/>
  <c r="BV36" i="12"/>
  <c r="BU171" i="12"/>
  <c r="BV171" i="12"/>
  <c r="BU103" i="12"/>
  <c r="BV103" i="12"/>
  <c r="BU81" i="12"/>
  <c r="BV81" i="12"/>
  <c r="BU25" i="12"/>
  <c r="BV25" i="12"/>
  <c r="BU329" i="12"/>
  <c r="BV329" i="12"/>
  <c r="BU66" i="12"/>
  <c r="BV66" i="12"/>
  <c r="BV239" i="12"/>
  <c r="BU239" i="12"/>
  <c r="BV286" i="12"/>
  <c r="BU286" i="12"/>
  <c r="BU65" i="12"/>
  <c r="BV65" i="12"/>
  <c r="BV188" i="12"/>
  <c r="BU188" i="12"/>
  <c r="BV105" i="12"/>
  <c r="BU105" i="12"/>
  <c r="BV253" i="12"/>
  <c r="BU253" i="12"/>
  <c r="BU191" i="12"/>
  <c r="BV191" i="12"/>
  <c r="BV140" i="12"/>
  <c r="BU140" i="12"/>
  <c r="BV307" i="12"/>
  <c r="BU307" i="12"/>
  <c r="BV340" i="12"/>
  <c r="BU340" i="12"/>
  <c r="BU47" i="12"/>
  <c r="BV47" i="12"/>
  <c r="BV302" i="12"/>
  <c r="BU302" i="12"/>
  <c r="BV330" i="12"/>
  <c r="BU330" i="12"/>
  <c r="BV272" i="12"/>
  <c r="BU272" i="12"/>
  <c r="BV256" i="12"/>
  <c r="BU256" i="12"/>
  <c r="BU318" i="12"/>
  <c r="BV318" i="12"/>
  <c r="BV220" i="12"/>
  <c r="BU220" i="12"/>
  <c r="BV122" i="12"/>
  <c r="BU122" i="12"/>
  <c r="BU113" i="12"/>
  <c r="BV113" i="12"/>
  <c r="BU393" i="12"/>
  <c r="BV393" i="12"/>
  <c r="BV289" i="12"/>
  <c r="BU289" i="12"/>
  <c r="BU354" i="12"/>
  <c r="BV354" i="12"/>
  <c r="BV338" i="12"/>
  <c r="BU338" i="12"/>
  <c r="BV141" i="12"/>
  <c r="BU141" i="12"/>
  <c r="BU383" i="12"/>
  <c r="BV383" i="12"/>
  <c r="BV198" i="12"/>
  <c r="BU198" i="12"/>
  <c r="BU341" i="12"/>
  <c r="BV341" i="12"/>
  <c r="BU362" i="12"/>
  <c r="BV362" i="12"/>
  <c r="BV222" i="12"/>
  <c r="BU222" i="12"/>
  <c r="BU324" i="12"/>
  <c r="BV324" i="12"/>
  <c r="BU381" i="12"/>
  <c r="BV381" i="12"/>
  <c r="BV228" i="12"/>
  <c r="BU228" i="12"/>
  <c r="BV315" i="12"/>
  <c r="BU315" i="12"/>
  <c r="BU56" i="12"/>
  <c r="BV56" i="12"/>
  <c r="BU209" i="12"/>
  <c r="BV209" i="12"/>
  <c r="BV218" i="12"/>
  <c r="BU218" i="12"/>
  <c r="BV276" i="12"/>
  <c r="BU276" i="12"/>
  <c r="BV213" i="12"/>
  <c r="BU213" i="12"/>
  <c r="BU311" i="12"/>
  <c r="BV311" i="12"/>
  <c r="BV86" i="12"/>
  <c r="BU86" i="12"/>
  <c r="BU161" i="12"/>
  <c r="BV161" i="12"/>
  <c r="BU183" i="12"/>
  <c r="BV183" i="12"/>
  <c r="BV200" i="12"/>
  <c r="BU200" i="12"/>
  <c r="BV153" i="12"/>
  <c r="BU153" i="12"/>
  <c r="BV259" i="12"/>
  <c r="BU259" i="12"/>
  <c r="BV299" i="12"/>
  <c r="BU299" i="12"/>
  <c r="BU129" i="12"/>
  <c r="BV129" i="12"/>
  <c r="BV91" i="12"/>
  <c r="BU91" i="12"/>
  <c r="BV189" i="12"/>
  <c r="BU189" i="12"/>
  <c r="BU9" i="12"/>
  <c r="BV9" i="12"/>
  <c r="BU84" i="12"/>
  <c r="BV84" i="12"/>
  <c r="BU19" i="12"/>
  <c r="BV19" i="12"/>
  <c r="BV397" i="12"/>
  <c r="BU397" i="12"/>
  <c r="BV133" i="12"/>
  <c r="BU133" i="12"/>
  <c r="BU37" i="12"/>
  <c r="BV37" i="12"/>
  <c r="BU121" i="12"/>
  <c r="BV121" i="12"/>
  <c r="BU151" i="12"/>
  <c r="BV151" i="12"/>
  <c r="BU312" i="12"/>
  <c r="BV312" i="12"/>
  <c r="BV280" i="12"/>
  <c r="BU280" i="12"/>
  <c r="BU60" i="12"/>
  <c r="BV60" i="12"/>
  <c r="BU110" i="12"/>
  <c r="BV110" i="12"/>
  <c r="BV342" i="12"/>
  <c r="BU342" i="12"/>
  <c r="BU72" i="12"/>
  <c r="BV72" i="12"/>
  <c r="BU20" i="12"/>
  <c r="BV20" i="12"/>
  <c r="BU321" i="12"/>
  <c r="BV321" i="12"/>
  <c r="BU35" i="12"/>
  <c r="BV35" i="12"/>
  <c r="BV352" i="12"/>
  <c r="BU352" i="12"/>
  <c r="BV266" i="12"/>
  <c r="BU266" i="12"/>
  <c r="BU54" i="12"/>
  <c r="BV54" i="12"/>
  <c r="BV361" i="12"/>
  <c r="BU361" i="12"/>
  <c r="BV156" i="12"/>
  <c r="BU156" i="12"/>
  <c r="BV374" i="12"/>
  <c r="BU374" i="12"/>
  <c r="BV149" i="12"/>
  <c r="BU149" i="12"/>
  <c r="BV145" i="12"/>
  <c r="BU145" i="12"/>
  <c r="BV117" i="12"/>
  <c r="BU117" i="12"/>
  <c r="BV344" i="12"/>
  <c r="BU344" i="12"/>
  <c r="BV227" i="12"/>
  <c r="BU227" i="12"/>
  <c r="BV175" i="12"/>
  <c r="BU175" i="12"/>
  <c r="BV320" i="12"/>
  <c r="BU320" i="12"/>
  <c r="BU78" i="12"/>
  <c r="BV78" i="12"/>
  <c r="BU100" i="12"/>
  <c r="BV100" i="12"/>
  <c r="BU90" i="12"/>
  <c r="BV90" i="12"/>
  <c r="BV162" i="12"/>
  <c r="BU162" i="12"/>
  <c r="BU46" i="12"/>
  <c r="BV46" i="12"/>
  <c r="BU52" i="12"/>
  <c r="BV52" i="12"/>
  <c r="BV263" i="12"/>
  <c r="BU263" i="12"/>
  <c r="BU69" i="12"/>
  <c r="BV69" i="12"/>
  <c r="BV207" i="12"/>
  <c r="BU207" i="12"/>
  <c r="BV195" i="12"/>
  <c r="BU195" i="12"/>
  <c r="BU152" i="12"/>
  <c r="BV152" i="12"/>
  <c r="BU211" i="12"/>
  <c r="BV211" i="12"/>
  <c r="BV157" i="12"/>
  <c r="BU157" i="12"/>
  <c r="BU353" i="12"/>
  <c r="BV353" i="12"/>
  <c r="BV236" i="12"/>
  <c r="BU236" i="12"/>
  <c r="BV295" i="12"/>
  <c r="BU295" i="12"/>
  <c r="BU146" i="12"/>
  <c r="BV146" i="12"/>
  <c r="BV365" i="12"/>
  <c r="BU365" i="12"/>
  <c r="BU10" i="12"/>
  <c r="BV10" i="12"/>
  <c r="BU245" i="12"/>
  <c r="BV245" i="12"/>
  <c r="BV132" i="12"/>
  <c r="BU132" i="12"/>
  <c r="BV159" i="12"/>
  <c r="BU159" i="12"/>
  <c r="BU44" i="12"/>
  <c r="BV44" i="12"/>
  <c r="BU29" i="12"/>
  <c r="BV29" i="12"/>
  <c r="BU63" i="12"/>
  <c r="BV63" i="12"/>
  <c r="BU21" i="12"/>
  <c r="BV21" i="12"/>
  <c r="CW20" i="12" l="1"/>
  <c r="EM102" i="12"/>
  <c r="EM108" i="12" s="1"/>
  <c r="FQ3" i="12"/>
  <c r="FQ7" i="12"/>
  <c r="FQ11" i="12"/>
  <c r="FQ15" i="12"/>
  <c r="FQ19" i="12"/>
  <c r="FQ23" i="12"/>
  <c r="FQ27" i="12"/>
  <c r="FQ31" i="12"/>
  <c r="FQ35" i="12"/>
  <c r="FQ39" i="12"/>
  <c r="FQ43" i="12"/>
  <c r="FQ47" i="12"/>
  <c r="FQ51" i="12"/>
  <c r="FQ55" i="12"/>
  <c r="FQ59" i="12"/>
  <c r="FQ63" i="12"/>
  <c r="FQ67" i="12"/>
  <c r="FQ71" i="12"/>
  <c r="FQ75" i="12"/>
  <c r="FQ79" i="12"/>
  <c r="FQ83" i="12"/>
  <c r="FQ87" i="12"/>
  <c r="FQ91" i="12"/>
  <c r="FQ95" i="12"/>
  <c r="FQ99" i="12"/>
  <c r="FQ103" i="12"/>
  <c r="FQ107" i="12"/>
  <c r="FQ111" i="12"/>
  <c r="FQ115" i="12"/>
  <c r="FQ119" i="12"/>
  <c r="FQ123" i="12"/>
  <c r="FQ127" i="12"/>
  <c r="FQ131" i="12"/>
  <c r="FQ135" i="12"/>
  <c r="FQ139" i="12"/>
  <c r="FQ143" i="12"/>
  <c r="FQ147" i="12"/>
  <c r="FQ151" i="12"/>
  <c r="FQ155" i="12"/>
  <c r="FQ159" i="12"/>
  <c r="FQ163" i="12"/>
  <c r="FQ167" i="12"/>
  <c r="FQ171" i="12"/>
  <c r="FQ175" i="12"/>
  <c r="FQ179" i="12"/>
  <c r="FQ183" i="12"/>
  <c r="FQ187" i="12"/>
  <c r="FQ191" i="12"/>
  <c r="FQ195" i="12"/>
  <c r="FQ199" i="12"/>
  <c r="FQ203" i="12"/>
  <c r="FQ207" i="12"/>
  <c r="FQ211" i="12"/>
  <c r="FQ215" i="12"/>
  <c r="FQ219" i="12"/>
  <c r="FQ223" i="12"/>
  <c r="FQ227" i="12"/>
  <c r="FQ231" i="12"/>
  <c r="FQ235" i="12"/>
  <c r="FQ239" i="12"/>
  <c r="FQ243" i="12"/>
  <c r="FQ247" i="12"/>
  <c r="FQ251" i="12"/>
  <c r="FQ255" i="12"/>
  <c r="FQ259" i="12"/>
  <c r="FQ263" i="12"/>
  <c r="FQ267" i="12"/>
  <c r="FQ271" i="12"/>
  <c r="FQ275" i="12"/>
  <c r="FQ279" i="12"/>
  <c r="FQ283" i="12"/>
  <c r="FQ287" i="12"/>
  <c r="FQ291" i="12"/>
  <c r="FQ295" i="12"/>
  <c r="FQ299" i="12"/>
  <c r="FQ303" i="12"/>
  <c r="FQ307" i="12"/>
  <c r="FQ311" i="12"/>
  <c r="FQ315" i="12"/>
  <c r="FQ319" i="12"/>
  <c r="FQ323" i="12"/>
  <c r="FQ327" i="12"/>
  <c r="FQ331" i="12"/>
  <c r="FQ335" i="12"/>
  <c r="FQ339" i="12"/>
  <c r="FQ343" i="12"/>
  <c r="FQ347" i="12"/>
  <c r="FQ351" i="12"/>
  <c r="FQ355" i="12"/>
  <c r="FQ359" i="12"/>
  <c r="FQ363" i="12"/>
  <c r="FQ367" i="12"/>
  <c r="FQ371" i="12"/>
  <c r="FQ375" i="12"/>
  <c r="FQ379" i="12"/>
  <c r="FQ383" i="12"/>
  <c r="FQ387" i="12"/>
  <c r="FQ391" i="12"/>
  <c r="FQ395" i="12"/>
  <c r="FQ399" i="12"/>
  <c r="FQ6" i="12"/>
  <c r="FQ10" i="12"/>
  <c r="FQ14" i="12"/>
  <c r="FQ18" i="12"/>
  <c r="FQ22" i="12"/>
  <c r="FQ26" i="12"/>
  <c r="FQ30" i="12"/>
  <c r="FQ34" i="12"/>
  <c r="FQ38" i="12"/>
  <c r="FQ42" i="12"/>
  <c r="FQ46" i="12"/>
  <c r="FQ50" i="12"/>
  <c r="FQ54" i="12"/>
  <c r="FQ58" i="12"/>
  <c r="FQ62" i="12"/>
  <c r="FQ66" i="12"/>
  <c r="FQ70" i="12"/>
  <c r="FQ74" i="12"/>
  <c r="FQ78" i="12"/>
  <c r="FQ82" i="12"/>
  <c r="FQ86" i="12"/>
  <c r="FQ90" i="12"/>
  <c r="FQ94" i="12"/>
  <c r="FQ98" i="12"/>
  <c r="FQ102" i="12"/>
  <c r="FQ106" i="12"/>
  <c r="FQ110" i="12"/>
  <c r="FQ114" i="12"/>
  <c r="FQ118" i="12"/>
  <c r="FQ122" i="12"/>
  <c r="FQ126" i="12"/>
  <c r="FQ130" i="12"/>
  <c r="FQ134" i="12"/>
  <c r="FQ138" i="12"/>
  <c r="FQ142" i="12"/>
  <c r="FQ146" i="12"/>
  <c r="FQ150" i="12"/>
  <c r="FQ154" i="12"/>
  <c r="FQ158" i="12"/>
  <c r="FQ162" i="12"/>
  <c r="FQ166" i="12"/>
  <c r="FQ170" i="12"/>
  <c r="FQ174" i="12"/>
  <c r="FQ178" i="12"/>
  <c r="FQ182" i="12"/>
  <c r="FQ186" i="12"/>
  <c r="FQ190" i="12"/>
  <c r="FQ194" i="12"/>
  <c r="FQ198" i="12"/>
  <c r="FQ202" i="12"/>
  <c r="FQ206" i="12"/>
  <c r="FQ210" i="12"/>
  <c r="FQ214" i="12"/>
  <c r="FQ218" i="12"/>
  <c r="FQ222" i="12"/>
  <c r="FQ226" i="12"/>
  <c r="FQ230" i="12"/>
  <c r="FQ234" i="12"/>
  <c r="FQ238" i="12"/>
  <c r="FQ242" i="12"/>
  <c r="FQ246" i="12"/>
  <c r="FQ250" i="12"/>
  <c r="FQ254" i="12"/>
  <c r="FQ258" i="12"/>
  <c r="FQ262" i="12"/>
  <c r="FQ266" i="12"/>
  <c r="FQ270" i="12"/>
  <c r="FQ274" i="12"/>
  <c r="FQ278" i="12"/>
  <c r="FQ282" i="12"/>
  <c r="FQ286" i="12"/>
  <c r="FQ290" i="12"/>
  <c r="FQ294" i="12"/>
  <c r="FQ298" i="12"/>
  <c r="FQ302" i="12"/>
  <c r="FQ306" i="12"/>
  <c r="FQ310" i="12"/>
  <c r="FQ314" i="12"/>
  <c r="FQ318" i="12"/>
  <c r="FQ322" i="12"/>
  <c r="FQ326" i="12"/>
  <c r="FQ330" i="12"/>
  <c r="FQ334" i="12"/>
  <c r="FQ338" i="12"/>
  <c r="FQ342" i="12"/>
  <c r="FQ346" i="12"/>
  <c r="FQ350" i="12"/>
  <c r="FQ354" i="12"/>
  <c r="FQ358" i="12"/>
  <c r="FQ362" i="12"/>
  <c r="FQ366" i="12"/>
  <c r="FQ370" i="12"/>
  <c r="FQ374" i="12"/>
  <c r="FQ378" i="12"/>
  <c r="FQ382" i="12"/>
  <c r="FQ386" i="12"/>
  <c r="FQ390" i="12"/>
  <c r="FQ394" i="12"/>
  <c r="FQ398" i="12"/>
  <c r="FQ5" i="12"/>
  <c r="FQ9" i="12"/>
  <c r="FQ13" i="12"/>
  <c r="FQ17" i="12"/>
  <c r="FQ21" i="12"/>
  <c r="FQ25" i="12"/>
  <c r="FQ29" i="12"/>
  <c r="FQ33" i="12"/>
  <c r="FQ37" i="12"/>
  <c r="FQ41" i="12"/>
  <c r="FQ45" i="12"/>
  <c r="FQ49" i="12"/>
  <c r="FQ53" i="12"/>
  <c r="FQ57" i="12"/>
  <c r="FQ61" i="12"/>
  <c r="FQ65" i="12"/>
  <c r="FQ69" i="12"/>
  <c r="FQ73" i="12"/>
  <c r="FQ77" i="12"/>
  <c r="FQ81" i="12"/>
  <c r="FQ85" i="12"/>
  <c r="FQ89" i="12"/>
  <c r="FQ93" i="12"/>
  <c r="FQ97" i="12"/>
  <c r="FQ101" i="12"/>
  <c r="FQ105" i="12"/>
  <c r="FQ109" i="12"/>
  <c r="FQ113" i="12"/>
  <c r="FQ117" i="12"/>
  <c r="FQ121" i="12"/>
  <c r="FQ125" i="12"/>
  <c r="FQ129" i="12"/>
  <c r="FQ133" i="12"/>
  <c r="FQ137" i="12"/>
  <c r="FQ141" i="12"/>
  <c r="FQ145" i="12"/>
  <c r="FQ149" i="12"/>
  <c r="FQ153" i="12"/>
  <c r="FQ157" i="12"/>
  <c r="FQ161" i="12"/>
  <c r="FQ165" i="12"/>
  <c r="FQ169" i="12"/>
  <c r="FQ173" i="12"/>
  <c r="FQ177" i="12"/>
  <c r="FQ181" i="12"/>
  <c r="FQ185" i="12"/>
  <c r="FQ189" i="12"/>
  <c r="FQ193" i="12"/>
  <c r="FQ197" i="12"/>
  <c r="FQ201" i="12"/>
  <c r="FQ205" i="12"/>
  <c r="FQ209" i="12"/>
  <c r="FQ213" i="12"/>
  <c r="FQ217" i="12"/>
  <c r="FQ221" i="12"/>
  <c r="FQ225" i="12"/>
  <c r="FQ229" i="12"/>
  <c r="FQ233" i="12"/>
  <c r="FQ16" i="12"/>
  <c r="FQ32" i="12"/>
  <c r="FQ48" i="12"/>
  <c r="FQ64" i="12"/>
  <c r="FQ80" i="12"/>
  <c r="FQ96" i="12"/>
  <c r="FQ112" i="12"/>
  <c r="FQ128" i="12"/>
  <c r="FQ144" i="12"/>
  <c r="FQ160" i="12"/>
  <c r="FQ176" i="12"/>
  <c r="FQ192" i="12"/>
  <c r="FQ208" i="12"/>
  <c r="FQ224" i="12"/>
  <c r="FQ237" i="12"/>
  <c r="FQ245" i="12"/>
  <c r="FQ253" i="12"/>
  <c r="FQ261" i="12"/>
  <c r="FQ269" i="12"/>
  <c r="FQ277" i="12"/>
  <c r="FQ285" i="12"/>
  <c r="FQ293" i="12"/>
  <c r="FQ301" i="12"/>
  <c r="FQ309" i="12"/>
  <c r="FQ317" i="12"/>
  <c r="FQ325" i="12"/>
  <c r="FQ333" i="12"/>
  <c r="FQ341" i="12"/>
  <c r="FQ349" i="12"/>
  <c r="FQ357" i="12"/>
  <c r="FQ365" i="12"/>
  <c r="FQ373" i="12"/>
  <c r="FQ381" i="12"/>
  <c r="FQ389" i="12"/>
  <c r="FQ397" i="12"/>
  <c r="FQ12" i="12"/>
  <c r="FQ28" i="12"/>
  <c r="FQ44" i="12"/>
  <c r="FQ60" i="12"/>
  <c r="FQ76" i="12"/>
  <c r="FQ92" i="12"/>
  <c r="FQ108" i="12"/>
  <c r="FQ124" i="12"/>
  <c r="FQ140" i="12"/>
  <c r="FQ156" i="12"/>
  <c r="FQ172" i="12"/>
  <c r="FQ188" i="12"/>
  <c r="FQ204" i="12"/>
  <c r="FQ220" i="12"/>
  <c r="FQ236" i="12"/>
  <c r="FQ244" i="12"/>
  <c r="FQ252" i="12"/>
  <c r="FQ260" i="12"/>
  <c r="FQ268" i="12"/>
  <c r="FQ276" i="12"/>
  <c r="FQ284" i="12"/>
  <c r="FQ292" i="12"/>
  <c r="FQ300" i="12"/>
  <c r="FQ308" i="12"/>
  <c r="FQ316" i="12"/>
  <c r="FQ324" i="12"/>
  <c r="FQ332" i="12"/>
  <c r="FQ340" i="12"/>
  <c r="FQ348" i="12"/>
  <c r="FQ356" i="12"/>
  <c r="FQ364" i="12"/>
  <c r="FQ372" i="12"/>
  <c r="FQ380" i="12"/>
  <c r="FQ388" i="12"/>
  <c r="FQ396" i="12"/>
  <c r="FQ8" i="12"/>
  <c r="FQ24" i="12"/>
  <c r="FQ40" i="12"/>
  <c r="FQ56" i="12"/>
  <c r="FQ72" i="12"/>
  <c r="FQ88" i="12"/>
  <c r="FQ104" i="12"/>
  <c r="FQ120" i="12"/>
  <c r="FQ136" i="12"/>
  <c r="FQ152" i="12"/>
  <c r="FQ168" i="12"/>
  <c r="FQ184" i="12"/>
  <c r="FQ200" i="12"/>
  <c r="FQ216" i="12"/>
  <c r="FQ232" i="12"/>
  <c r="FQ241" i="12"/>
  <c r="FQ249" i="12"/>
  <c r="FQ257" i="12"/>
  <c r="FQ265" i="12"/>
  <c r="FQ273" i="12"/>
  <c r="FQ281" i="12"/>
  <c r="FQ289" i="12"/>
  <c r="FQ297" i="12"/>
  <c r="FQ305" i="12"/>
  <c r="FQ313" i="12"/>
  <c r="FQ321" i="12"/>
  <c r="FQ329" i="12"/>
  <c r="FQ337" i="12"/>
  <c r="FQ345" i="12"/>
  <c r="FQ353" i="12"/>
  <c r="FQ361" i="12"/>
  <c r="FQ369" i="12"/>
  <c r="FQ377" i="12"/>
  <c r="FQ385" i="12"/>
  <c r="FQ393" i="12"/>
  <c r="FQ4" i="12"/>
  <c r="FQ20" i="12"/>
  <c r="FQ36" i="12"/>
  <c r="FQ52" i="12"/>
  <c r="FQ68" i="12"/>
  <c r="FQ84" i="12"/>
  <c r="FQ100" i="12"/>
  <c r="FQ116" i="12"/>
  <c r="FQ132" i="12"/>
  <c r="FQ148" i="12"/>
  <c r="FQ164" i="12"/>
  <c r="FQ180" i="12"/>
  <c r="FQ196" i="12"/>
  <c r="FQ212" i="12"/>
  <c r="FQ228" i="12"/>
  <c r="FQ240" i="12"/>
  <c r="FQ248" i="12"/>
  <c r="FQ256" i="12"/>
  <c r="FQ264" i="12"/>
  <c r="FQ272" i="12"/>
  <c r="FQ280" i="12"/>
  <c r="FQ288" i="12"/>
  <c r="FQ296" i="12"/>
  <c r="FQ304" i="12"/>
  <c r="FQ312" i="12"/>
  <c r="FQ320" i="12"/>
  <c r="FQ328" i="12"/>
  <c r="FQ336" i="12"/>
  <c r="FQ344" i="12"/>
  <c r="FQ352" i="12"/>
  <c r="FQ360" i="12"/>
  <c r="FQ368" i="12"/>
  <c r="FQ376" i="12"/>
  <c r="FQ384" i="12"/>
  <c r="FQ392" i="12"/>
  <c r="FQ400" i="12"/>
  <c r="FE17" i="12"/>
  <c r="FC18" i="12"/>
  <c r="FD18" i="12" s="1"/>
  <c r="FB257" i="12"/>
  <c r="FC257" i="12" s="1"/>
  <c r="FD257" i="12" s="1"/>
  <c r="FA258" i="12"/>
  <c r="FB19" i="12"/>
  <c r="EM133" i="12"/>
  <c r="EM164" i="12" s="1"/>
  <c r="EM175" i="12" s="1"/>
  <c r="EM295" i="12"/>
  <c r="EM208" i="12"/>
  <c r="BW390" i="12"/>
  <c r="BW229" i="12"/>
  <c r="BW118" i="12"/>
  <c r="BW217" i="12"/>
  <c r="BX33" i="12"/>
  <c r="BW216" i="12"/>
  <c r="BW326" i="12"/>
  <c r="BW274" i="12"/>
  <c r="BW331" i="12"/>
  <c r="BW197" i="12"/>
  <c r="BW336" i="12"/>
  <c r="BX106" i="12"/>
  <c r="BX7" i="12"/>
  <c r="BX389" i="12"/>
  <c r="BX181" i="12"/>
  <c r="BW219" i="12"/>
  <c r="BX366" i="12"/>
  <c r="BW232" i="12"/>
  <c r="BW297" i="12"/>
  <c r="BX301" i="12"/>
  <c r="BX193" i="12"/>
  <c r="BW143" i="12"/>
  <c r="BW210" i="12"/>
  <c r="BW144" i="12"/>
  <c r="BX357" i="12"/>
  <c r="BW333" i="12"/>
  <c r="BX147" i="12"/>
  <c r="BW182" i="12"/>
  <c r="BX386" i="12"/>
  <c r="BW371" i="12"/>
  <c r="BX172" i="12"/>
  <c r="BX317" i="12"/>
  <c r="BX258" i="12"/>
  <c r="BX373" i="12"/>
  <c r="BX80" i="12"/>
  <c r="BX237" i="12"/>
  <c r="BW119" i="12"/>
  <c r="BW107" i="12"/>
  <c r="BX64" i="12"/>
  <c r="BW125" i="12"/>
  <c r="BX322" i="12"/>
  <c r="BX346" i="12"/>
  <c r="BX294" i="12"/>
  <c r="BX48" i="12"/>
  <c r="BW196" i="12"/>
  <c r="BW300" i="12"/>
  <c r="BW112" i="12"/>
  <c r="BW348" i="12"/>
  <c r="BW87" i="12"/>
  <c r="BW335" i="12"/>
  <c r="BX350" i="12"/>
  <c r="BW273" i="12"/>
  <c r="BW337" i="12"/>
  <c r="BW124" i="12"/>
  <c r="BW241" i="12"/>
  <c r="BW148" i="12"/>
  <c r="BX257" i="12"/>
  <c r="BW160" i="12"/>
  <c r="BX180" i="12"/>
  <c r="BW203" i="12"/>
  <c r="BW282" i="12"/>
  <c r="BX288" i="12"/>
  <c r="BX398" i="12"/>
  <c r="BW101" i="12"/>
  <c r="BW208" i="12"/>
  <c r="BW199" i="12"/>
  <c r="BX43" i="12"/>
  <c r="BX325" i="12"/>
  <c r="BW262" i="12"/>
  <c r="BW127" i="12"/>
  <c r="BX224" i="12"/>
  <c r="BX150" i="12"/>
  <c r="BX225" i="12"/>
  <c r="BX167" i="12"/>
  <c r="BW126" i="12"/>
  <c r="BX392" i="12"/>
  <c r="BW310" i="12"/>
  <c r="BX184" i="12"/>
  <c r="BW252" i="12"/>
  <c r="BX221" i="12"/>
  <c r="BX68" i="12"/>
  <c r="BX243" i="12"/>
  <c r="BX136" i="12"/>
  <c r="BX169" i="12"/>
  <c r="BX235" i="12"/>
  <c r="BW174" i="12"/>
  <c r="BW109" i="12"/>
  <c r="BW396" i="12"/>
  <c r="BW166" i="12"/>
  <c r="BW271" i="12"/>
  <c r="BW97" i="12"/>
  <c r="BW283" i="12"/>
  <c r="BW298" i="12"/>
  <c r="BX67" i="12"/>
  <c r="BX246" i="12"/>
  <c r="BX120" i="12"/>
  <c r="BX343" i="12"/>
  <c r="BX367" i="12"/>
  <c r="BW339" i="12"/>
  <c r="BX375" i="12"/>
  <c r="BW264" i="12"/>
  <c r="BW154" i="12"/>
  <c r="BW116" i="12"/>
  <c r="BW134" i="12"/>
  <c r="BX377" i="12"/>
  <c r="BX360" i="12"/>
  <c r="BW44" i="12"/>
  <c r="BW10" i="12"/>
  <c r="BX236" i="12"/>
  <c r="BW152" i="12"/>
  <c r="BX263" i="12"/>
  <c r="BW90" i="12"/>
  <c r="BX175" i="12"/>
  <c r="BX145" i="12"/>
  <c r="BX361" i="12"/>
  <c r="BW35" i="12"/>
  <c r="BX342" i="12"/>
  <c r="BW312" i="12"/>
  <c r="BX133" i="12"/>
  <c r="BW9" i="12"/>
  <c r="BX299" i="12"/>
  <c r="BW183" i="12"/>
  <c r="BX213" i="12"/>
  <c r="BW56" i="12"/>
  <c r="BW324" i="12"/>
  <c r="BX198" i="12"/>
  <c r="BW354" i="12"/>
  <c r="BX122" i="12"/>
  <c r="BX272" i="12"/>
  <c r="BX140" i="12"/>
  <c r="BX188" i="12"/>
  <c r="BW66" i="12"/>
  <c r="BW103" i="12"/>
  <c r="BW13" i="12"/>
  <c r="BW74" i="12"/>
  <c r="BX115" i="12"/>
  <c r="BW323" i="12"/>
  <c r="BW73" i="12"/>
  <c r="BW108" i="12"/>
  <c r="BW89" i="12"/>
  <c r="BX99" i="12"/>
  <c r="BW77" i="12"/>
  <c r="BX372" i="12"/>
  <c r="BW308" i="12"/>
  <c r="BX205" i="12"/>
  <c r="BX290" i="12"/>
  <c r="BX95" i="12"/>
  <c r="BX163" i="12"/>
  <c r="BW349" i="12"/>
  <c r="BX93" i="12"/>
  <c r="BX176" i="12"/>
  <c r="BX249" i="12"/>
  <c r="BW206" i="12"/>
  <c r="BX332" i="12"/>
  <c r="BW50" i="12"/>
  <c r="BW223" i="12"/>
  <c r="BW391" i="12"/>
  <c r="BW55" i="12"/>
  <c r="BW226" i="12"/>
  <c r="BX248" i="12"/>
  <c r="BW94" i="12"/>
  <c r="BX305" i="12"/>
  <c r="BW34" i="12"/>
  <c r="BW309" i="12"/>
  <c r="BX345" i="12"/>
  <c r="BW57" i="12"/>
  <c r="BX347" i="12"/>
  <c r="BX334" i="12"/>
  <c r="BW58" i="12"/>
  <c r="BW358" i="12"/>
  <c r="BX384" i="12"/>
  <c r="BX192" i="12"/>
  <c r="BW51" i="12"/>
  <c r="BX96" i="12"/>
  <c r="BX238" i="12"/>
  <c r="BW234" i="12"/>
  <c r="BW369" i="12"/>
  <c r="BW18" i="12"/>
  <c r="BX158" i="12"/>
  <c r="BW62" i="12"/>
  <c r="BW303" i="12"/>
  <c r="BW23" i="12"/>
  <c r="BX291" i="12"/>
  <c r="BW363" i="12"/>
  <c r="BW76" i="12"/>
  <c r="BW79" i="12"/>
  <c r="BW267" i="12"/>
  <c r="BW306" i="12"/>
  <c r="BW59" i="12"/>
  <c r="BW313" i="12"/>
  <c r="BW12" i="12"/>
  <c r="BX186" i="12"/>
  <c r="BW28" i="12"/>
  <c r="BX131" i="12"/>
  <c r="BW194" i="12"/>
  <c r="BW168" i="12"/>
  <c r="BW70" i="12"/>
  <c r="BX130" i="12"/>
  <c r="BX260" i="12"/>
  <c r="BX284" i="12"/>
  <c r="BX135" i="12"/>
  <c r="BX270" i="12"/>
  <c r="BX215" i="12"/>
  <c r="BW32" i="12"/>
  <c r="BX155" i="12"/>
  <c r="BX92" i="12"/>
  <c r="BX128" i="12"/>
  <c r="BX114" i="12"/>
  <c r="BW281" i="12"/>
  <c r="BW368" i="12"/>
  <c r="BW27" i="12"/>
  <c r="BW387" i="12"/>
  <c r="BW287" i="12"/>
  <c r="BX388" i="12"/>
  <c r="BX277" i="12"/>
  <c r="BX364" i="12"/>
  <c r="BX356" i="12"/>
  <c r="BX394" i="12"/>
  <c r="BW279" i="12"/>
  <c r="BW293" i="12"/>
  <c r="BX164" i="12"/>
  <c r="BW185" i="12"/>
  <c r="BX214" i="12"/>
  <c r="BW245" i="12"/>
  <c r="BX295" i="12"/>
  <c r="BX289" i="12"/>
  <c r="BX220" i="12"/>
  <c r="BX45" i="12"/>
  <c r="BX212" i="12"/>
  <c r="BW359" i="12"/>
  <c r="BW355" i="12"/>
  <c r="BW98" i="12"/>
  <c r="BW111" i="12"/>
  <c r="BW177" i="12"/>
  <c r="BX8" i="12"/>
  <c r="BX265" i="12"/>
  <c r="BW187" i="12"/>
  <c r="BW204" i="12"/>
  <c r="BW123" i="12"/>
  <c r="BW268" i="12"/>
  <c r="BW105" i="12"/>
  <c r="BX329" i="12"/>
  <c r="BX49" i="12"/>
  <c r="BW239" i="12"/>
  <c r="BX171" i="12"/>
  <c r="BX191" i="12"/>
  <c r="BX81" i="12"/>
  <c r="BW4" i="12"/>
  <c r="BW195" i="12"/>
  <c r="BX100" i="12"/>
  <c r="BW227" i="12"/>
  <c r="BX321" i="12"/>
  <c r="BW280" i="12"/>
  <c r="BX37" i="12"/>
  <c r="BX84" i="12"/>
  <c r="BX29" i="12"/>
  <c r="BX69" i="12"/>
  <c r="BX72" i="12"/>
  <c r="BX151" i="12"/>
  <c r="BW397" i="12"/>
  <c r="BW302" i="12"/>
  <c r="BX4" i="12"/>
  <c r="BW149" i="12"/>
  <c r="BX110" i="12"/>
  <c r="BW189" i="12"/>
  <c r="BW132" i="12"/>
  <c r="BW157" i="12"/>
  <c r="BW207" i="12"/>
  <c r="BX78" i="12"/>
  <c r="BX20" i="12"/>
  <c r="BX121" i="12"/>
  <c r="BW141" i="12"/>
  <c r="BW21" i="12"/>
  <c r="BW353" i="12"/>
  <c r="BW211" i="12"/>
  <c r="BW52" i="12"/>
  <c r="BX162" i="12"/>
  <c r="BX320" i="12"/>
  <c r="BX117" i="12"/>
  <c r="BX156" i="12"/>
  <c r="BW54" i="12"/>
  <c r="BX352" i="12"/>
  <c r="BW5" i="12"/>
  <c r="BX5" i="12"/>
  <c r="BX63" i="12"/>
  <c r="BW344" i="12"/>
  <c r="BW266" i="12"/>
  <c r="BX19" i="12"/>
  <c r="BW153" i="12"/>
  <c r="BW86" i="12"/>
  <c r="BW228" i="12"/>
  <c r="BX393" i="12"/>
  <c r="BW159" i="12"/>
  <c r="BW365" i="12"/>
  <c r="BX129" i="12"/>
  <c r="BW259" i="12"/>
  <c r="BW200" i="12"/>
  <c r="BX161" i="12"/>
  <c r="BX311" i="12"/>
  <c r="BW276" i="12"/>
  <c r="BX209" i="12"/>
  <c r="BW315" i="12"/>
  <c r="BX381" i="12"/>
  <c r="BW222" i="12"/>
  <c r="BX341" i="12"/>
  <c r="BX383" i="12"/>
  <c r="BW338" i="12"/>
  <c r="BX113" i="12"/>
  <c r="BW256" i="12"/>
  <c r="BW330" i="12"/>
  <c r="BX47" i="12"/>
  <c r="BW307" i="12"/>
  <c r="BW253" i="12"/>
  <c r="BW286" i="12"/>
  <c r="BX25" i="12"/>
  <c r="BX36" i="12"/>
  <c r="BW251" i="12"/>
  <c r="BX380" i="12"/>
  <c r="BX201" i="12"/>
  <c r="BX378" i="12"/>
  <c r="BW190" i="12"/>
  <c r="BX379" i="12"/>
  <c r="BW255" i="12"/>
  <c r="BX230" i="12"/>
  <c r="BX83" i="12"/>
  <c r="BW327" i="12"/>
  <c r="BW231" i="12"/>
  <c r="BW244" i="12"/>
  <c r="BX6" i="12"/>
  <c r="BX82" i="12"/>
  <c r="BX165" i="12"/>
  <c r="BW170" i="12"/>
  <c r="BW104" i="12"/>
  <c r="BX11" i="12"/>
  <c r="BX139" i="12"/>
  <c r="BW242" i="12"/>
  <c r="BW138" i="12"/>
  <c r="BW250" i="12"/>
  <c r="BX278" i="12"/>
  <c r="BX376" i="12"/>
  <c r="BW85" i="12"/>
  <c r="BX61" i="12"/>
  <c r="BX137" i="12"/>
  <c r="BW385" i="12"/>
  <c r="BW304" i="12"/>
  <c r="BX53" i="12"/>
  <c r="BX178" i="12"/>
  <c r="BW88" i="12"/>
  <c r="BW202" i="12"/>
  <c r="BX142" i="12"/>
  <c r="BX173" i="12"/>
  <c r="BW179" i="12"/>
  <c r="BW261" i="12"/>
  <c r="BW285" i="12"/>
  <c r="BX71" i="12"/>
  <c r="BX14" i="12"/>
  <c r="BX39" i="12"/>
  <c r="BX42" i="12"/>
  <c r="BW370" i="12"/>
  <c r="BX41" i="12"/>
  <c r="BX316" i="12"/>
  <c r="BX24" i="12"/>
  <c r="BX75" i="12"/>
  <c r="BX31" i="12"/>
  <c r="BX102" i="12"/>
  <c r="BW328" i="12"/>
  <c r="BW314" i="12"/>
  <c r="BX340" i="12"/>
  <c r="BW65" i="12"/>
  <c r="BW22" i="12"/>
  <c r="BX275" i="12"/>
  <c r="BX319" i="12"/>
  <c r="BX269" i="12"/>
  <c r="BX292" i="12"/>
  <c r="BW40" i="12"/>
  <c r="BX233" i="12"/>
  <c r="BW16" i="12"/>
  <c r="BW296" i="12"/>
  <c r="BW15" i="12"/>
  <c r="BX254" i="12"/>
  <c r="BW240" i="12"/>
  <c r="BX395" i="12"/>
  <c r="BW26" i="12"/>
  <c r="BW38" i="12"/>
  <c r="BW247" i="12"/>
  <c r="BX382" i="12"/>
  <c r="BW351" i="12"/>
  <c r="BW17" i="12"/>
  <c r="BW30" i="12"/>
  <c r="BX146" i="12"/>
  <c r="BX46" i="12"/>
  <c r="BW374" i="12"/>
  <c r="BX60" i="12"/>
  <c r="BW91" i="12"/>
  <c r="BW218" i="12"/>
  <c r="BX362" i="12"/>
  <c r="BX318" i="12"/>
  <c r="BV401" i="12"/>
  <c r="CM2" i="12"/>
  <c r="BX3" i="12"/>
  <c r="BX280" i="12"/>
  <c r="BW84" i="12"/>
  <c r="BX200" i="12"/>
  <c r="BW209" i="12"/>
  <c r="BW381" i="12"/>
  <c r="BW341" i="12"/>
  <c r="BX338" i="12"/>
  <c r="BW113" i="12"/>
  <c r="BX256" i="12"/>
  <c r="BX105" i="12"/>
  <c r="BX239" i="12"/>
  <c r="BX123" i="12"/>
  <c r="BX177" i="12"/>
  <c r="BX98" i="12"/>
  <c r="BX355" i="12"/>
  <c r="BX111" i="12"/>
  <c r="BW246" i="12"/>
  <c r="BX271" i="12"/>
  <c r="BY271" i="12" s="1"/>
  <c r="BX97" i="12"/>
  <c r="BX339" i="12"/>
  <c r="BX283" i="12"/>
  <c r="BW169" i="12"/>
  <c r="BX174" i="12"/>
  <c r="BX126" i="12"/>
  <c r="BX252" i="12"/>
  <c r="BW221" i="12"/>
  <c r="BX310" i="12"/>
  <c r="BX199" i="12"/>
  <c r="BW224" i="12"/>
  <c r="BX101" i="12"/>
  <c r="BW150" i="12"/>
  <c r="BX304" i="12"/>
  <c r="BX208" i="12"/>
  <c r="BY208" i="12" s="1"/>
  <c r="BX127" i="12"/>
  <c r="BX160" i="12"/>
  <c r="BW288" i="12"/>
  <c r="BX216" i="12"/>
  <c r="BW192" i="12"/>
  <c r="BX336" i="12"/>
  <c r="BW7" i="12"/>
  <c r="BW238" i="12"/>
  <c r="BW181" i="12"/>
  <c r="BX369" i="12"/>
  <c r="BW366" i="12"/>
  <c r="BW158" i="12"/>
  <c r="BX232" i="12"/>
  <c r="BX303" i="12"/>
  <c r="BW301" i="12"/>
  <c r="BW291" i="12"/>
  <c r="BX143" i="12"/>
  <c r="BX210" i="12"/>
  <c r="BW357" i="12"/>
  <c r="BW147" i="12"/>
  <c r="BX306" i="12"/>
  <c r="BX182" i="12"/>
  <c r="BX313" i="12"/>
  <c r="BW386" i="12"/>
  <c r="BW186" i="12"/>
  <c r="BW172" i="12"/>
  <c r="BW317" i="12"/>
  <c r="BW373" i="12"/>
  <c r="BX168" i="12"/>
  <c r="BX119" i="12"/>
  <c r="BW322" i="12"/>
  <c r="BW135" i="12"/>
  <c r="BW294" i="12"/>
  <c r="BW215" i="12"/>
  <c r="BW155" i="12"/>
  <c r="BX300" i="12"/>
  <c r="BX348" i="12"/>
  <c r="BW114" i="12"/>
  <c r="BX335" i="12"/>
  <c r="BX368" i="12"/>
  <c r="BX387" i="12"/>
  <c r="BX337" i="12"/>
  <c r="BW388" i="12"/>
  <c r="BX241" i="12"/>
  <c r="BW364" i="12"/>
  <c r="BW257" i="12"/>
  <c r="BX264" i="12"/>
  <c r="BX154" i="12"/>
  <c r="BX293" i="12"/>
  <c r="BX134" i="12"/>
  <c r="BX185" i="12"/>
  <c r="BW360" i="12"/>
  <c r="BW3" i="12"/>
  <c r="BU401" i="12"/>
  <c r="CL2" i="12"/>
  <c r="BX211" i="12"/>
  <c r="BW162" i="12"/>
  <c r="BW320" i="12"/>
  <c r="BW156" i="12"/>
  <c r="BW352" i="12"/>
  <c r="BX245" i="12"/>
  <c r="BW117" i="12"/>
  <c r="BW63" i="12"/>
  <c r="BX44" i="12"/>
  <c r="BX159" i="12"/>
  <c r="BX10" i="12"/>
  <c r="BX365" i="12"/>
  <c r="BW236" i="12"/>
  <c r="BX152" i="12"/>
  <c r="BX195" i="12"/>
  <c r="BW263" i="12"/>
  <c r="BW46" i="12"/>
  <c r="BX90" i="12"/>
  <c r="BW100" i="12"/>
  <c r="BW78" i="12"/>
  <c r="BW175" i="12"/>
  <c r="BX227" i="12"/>
  <c r="BW145" i="12"/>
  <c r="BX149" i="12"/>
  <c r="BW361" i="12"/>
  <c r="BX35" i="12"/>
  <c r="BW321" i="12"/>
  <c r="BW20" i="12"/>
  <c r="BW342" i="12"/>
  <c r="BW110" i="12"/>
  <c r="BW60" i="12"/>
  <c r="BX312" i="12"/>
  <c r="BW151" i="12"/>
  <c r="BW133" i="12"/>
  <c r="BX397" i="12"/>
  <c r="BW19" i="12"/>
  <c r="BX9" i="12"/>
  <c r="BX189" i="12"/>
  <c r="BW299" i="12"/>
  <c r="BX259" i="12"/>
  <c r="BX183" i="12"/>
  <c r="BW161" i="12"/>
  <c r="BW213" i="12"/>
  <c r="BX276" i="12"/>
  <c r="BX56" i="12"/>
  <c r="BX315" i="12"/>
  <c r="BX228" i="12"/>
  <c r="BX324" i="12"/>
  <c r="BX222" i="12"/>
  <c r="BW198" i="12"/>
  <c r="BW383" i="12"/>
  <c r="BX354" i="12"/>
  <c r="BW122" i="12"/>
  <c r="BW272" i="12"/>
  <c r="BX330" i="12"/>
  <c r="BW340" i="12"/>
  <c r="BX307" i="12"/>
  <c r="BW140" i="12"/>
  <c r="BW191" i="12"/>
  <c r="BW188" i="12"/>
  <c r="BX286" i="12"/>
  <c r="BX66" i="12"/>
  <c r="BW329" i="12"/>
  <c r="BW25" i="12"/>
  <c r="BX103" i="12"/>
  <c r="BW171" i="12"/>
  <c r="BW36" i="12"/>
  <c r="BX13" i="12"/>
  <c r="BX74" i="12"/>
  <c r="BW275" i="12"/>
  <c r="BW115" i="12"/>
  <c r="BW265" i="12"/>
  <c r="BX323" i="12"/>
  <c r="BX204" i="12"/>
  <c r="BX73" i="12"/>
  <c r="BX187" i="12"/>
  <c r="BX108" i="12"/>
  <c r="BX359" i="12"/>
  <c r="BW379" i="12"/>
  <c r="BX89" i="12"/>
  <c r="BW99" i="12"/>
  <c r="BW212" i="12"/>
  <c r="BX77" i="12"/>
  <c r="BX166" i="12"/>
  <c r="BW372" i="12"/>
  <c r="BX327" i="12"/>
  <c r="BX308" i="12"/>
  <c r="BW120" i="12"/>
  <c r="BW205" i="12"/>
  <c r="BW343" i="12"/>
  <c r="BW290" i="12"/>
  <c r="BW95" i="12"/>
  <c r="BW367" i="12"/>
  <c r="BW163" i="12"/>
  <c r="BX109" i="12"/>
  <c r="BX349" i="12"/>
  <c r="BX396" i="12"/>
  <c r="BX170" i="12"/>
  <c r="BW93" i="12"/>
  <c r="BW136" i="12"/>
  <c r="BW176" i="12"/>
  <c r="BW167" i="12"/>
  <c r="BW11" i="12"/>
  <c r="BW249" i="12"/>
  <c r="BW184" i="12"/>
  <c r="BX206" i="12"/>
  <c r="BW332" i="12"/>
  <c r="BW392" i="12"/>
  <c r="BX50" i="12"/>
  <c r="BX223" i="12"/>
  <c r="BW243" i="12"/>
  <c r="BX391" i="12"/>
  <c r="BX55" i="12"/>
  <c r="BW398" i="12"/>
  <c r="BX226" i="12"/>
  <c r="BW61" i="12"/>
  <c r="BW248" i="12"/>
  <c r="BW325" i="12"/>
  <c r="BX94" i="12"/>
  <c r="BX262" i="12"/>
  <c r="BW53" i="12"/>
  <c r="BW305" i="12"/>
  <c r="BW180" i="12"/>
  <c r="BX34" i="12"/>
  <c r="BX203" i="12"/>
  <c r="BX309" i="12"/>
  <c r="BX217" i="12"/>
  <c r="BW345" i="12"/>
  <c r="BX390" i="12"/>
  <c r="BX57" i="12"/>
  <c r="BX229" i="12"/>
  <c r="BW347" i="12"/>
  <c r="BW225" i="12"/>
  <c r="BW334" i="12"/>
  <c r="BX118" i="12"/>
  <c r="BX58" i="12"/>
  <c r="BW254" i="12"/>
  <c r="BX285" i="12"/>
  <c r="BX358" i="12"/>
  <c r="BX274" i="12"/>
  <c r="BW71" i="12"/>
  <c r="BW384" i="12"/>
  <c r="BX197" i="12"/>
  <c r="BX51" i="12"/>
  <c r="BW106" i="12"/>
  <c r="BW14" i="12"/>
  <c r="BW96" i="12"/>
  <c r="BW389" i="12"/>
  <c r="BX234" i="12"/>
  <c r="BX219" i="12"/>
  <c r="BX18" i="12"/>
  <c r="BX240" i="12"/>
  <c r="BX62" i="12"/>
  <c r="BX297" i="12"/>
  <c r="BX23" i="12"/>
  <c r="BW193" i="12"/>
  <c r="BX363" i="12"/>
  <c r="BW39" i="12"/>
  <c r="BX76" i="12"/>
  <c r="BX144" i="12"/>
  <c r="BW42" i="12"/>
  <c r="BX79" i="12"/>
  <c r="BX333" i="12"/>
  <c r="BX370" i="12"/>
  <c r="BX267" i="12"/>
  <c r="BX59" i="12"/>
  <c r="BX12" i="12"/>
  <c r="BX371" i="12"/>
  <c r="BX28" i="12"/>
  <c r="BX247" i="12"/>
  <c r="BW41" i="12"/>
  <c r="BW131" i="12"/>
  <c r="BW258" i="12"/>
  <c r="BW316" i="12"/>
  <c r="BX194" i="12"/>
  <c r="BW382" i="12"/>
  <c r="BX70" i="12"/>
  <c r="BW237" i="12"/>
  <c r="BW24" i="12"/>
  <c r="BW130" i="12"/>
  <c r="BX107" i="12"/>
  <c r="BW75" i="12"/>
  <c r="BW260" i="12"/>
  <c r="BX125" i="12"/>
  <c r="BW31" i="12"/>
  <c r="BW284" i="12"/>
  <c r="BW346" i="12"/>
  <c r="BW270" i="12"/>
  <c r="BX32" i="12"/>
  <c r="BX196" i="12"/>
  <c r="BW92" i="12"/>
  <c r="BX112" i="12"/>
  <c r="BW102" i="12"/>
  <c r="BW128" i="12"/>
  <c r="BX87" i="12"/>
  <c r="BX281" i="12"/>
  <c r="BX27" i="12"/>
  <c r="BX273" i="12"/>
  <c r="BX287" i="12"/>
  <c r="BX124" i="12"/>
  <c r="BW277" i="12"/>
  <c r="BX148" i="12"/>
  <c r="BW356" i="12"/>
  <c r="BW375" i="12"/>
  <c r="BX328" i="12"/>
  <c r="BW394" i="12"/>
  <c r="BX314" i="12"/>
  <c r="BX279" i="12"/>
  <c r="BX116" i="12"/>
  <c r="BW164" i="12"/>
  <c r="BW377" i="12"/>
  <c r="BW214" i="12"/>
  <c r="BW295" i="12"/>
  <c r="BX21" i="12"/>
  <c r="BW29" i="12"/>
  <c r="BX132" i="12"/>
  <c r="BW146" i="12"/>
  <c r="BX353" i="12"/>
  <c r="BX157" i="12"/>
  <c r="BX207" i="12"/>
  <c r="BW69" i="12"/>
  <c r="BX52" i="12"/>
  <c r="BX344" i="12"/>
  <c r="BX374" i="12"/>
  <c r="BX54" i="12"/>
  <c r="BX266" i="12"/>
  <c r="BW72" i="12"/>
  <c r="BW121" i="12"/>
  <c r="BW37" i="12"/>
  <c r="BX91" i="12"/>
  <c r="BW129" i="12"/>
  <c r="BX153" i="12"/>
  <c r="BX86" i="12"/>
  <c r="BW311" i="12"/>
  <c r="BX218" i="12"/>
  <c r="BW362" i="12"/>
  <c r="BX141" i="12"/>
  <c r="BW289" i="12"/>
  <c r="BW393" i="12"/>
  <c r="BW220" i="12"/>
  <c r="BW318" i="12"/>
  <c r="BX302" i="12"/>
  <c r="BW47" i="12"/>
  <c r="BX253" i="12"/>
  <c r="BX65" i="12"/>
  <c r="BW81" i="12"/>
  <c r="BW49" i="12"/>
  <c r="BX22" i="12"/>
  <c r="BX251" i="12"/>
  <c r="BW380" i="12"/>
  <c r="BX268" i="12"/>
  <c r="BW201" i="12"/>
  <c r="BW378" i="12"/>
  <c r="BW8" i="12"/>
  <c r="BX190" i="12"/>
  <c r="BW45" i="12"/>
  <c r="BW319" i="12"/>
  <c r="BX255" i="12"/>
  <c r="BW230" i="12"/>
  <c r="BW83" i="12"/>
  <c r="BW269" i="12"/>
  <c r="BX231" i="12"/>
  <c r="BX244" i="12"/>
  <c r="BW292" i="12"/>
  <c r="BW6" i="12"/>
  <c r="BW82" i="12"/>
  <c r="BX298" i="12"/>
  <c r="BW165" i="12"/>
  <c r="BW67" i="12"/>
  <c r="BX104" i="12"/>
  <c r="BW235" i="12"/>
  <c r="BW139" i="12"/>
  <c r="BX40" i="12"/>
  <c r="BX242" i="12"/>
  <c r="BW68" i="12"/>
  <c r="BX138" i="12"/>
  <c r="BW233" i="12"/>
  <c r="BX250" i="12"/>
  <c r="BW278" i="12"/>
  <c r="BX16" i="12"/>
  <c r="BW376" i="12"/>
  <c r="BX85" i="12"/>
  <c r="BW43" i="12"/>
  <c r="BX296" i="12"/>
  <c r="BW137" i="12"/>
  <c r="BX15" i="12"/>
  <c r="BX385" i="12"/>
  <c r="BW178" i="12"/>
  <c r="BX88" i="12"/>
  <c r="BX202" i="12"/>
  <c r="BX282" i="12"/>
  <c r="BW142" i="12"/>
  <c r="BW33" i="12"/>
  <c r="BW173" i="12"/>
  <c r="BX179" i="12"/>
  <c r="BX261" i="12"/>
  <c r="BX326" i="12"/>
  <c r="BX331" i="12"/>
  <c r="BW395" i="12"/>
  <c r="BX26" i="12"/>
  <c r="BX38" i="12"/>
  <c r="BW80" i="12"/>
  <c r="BW64" i="12"/>
  <c r="BX351" i="12"/>
  <c r="BW48" i="12"/>
  <c r="BX17" i="12"/>
  <c r="BW350" i="12"/>
  <c r="BX30" i="12"/>
  <c r="BY317" i="12" l="1"/>
  <c r="BY386" i="12"/>
  <c r="BY210" i="12"/>
  <c r="BY143" i="12"/>
  <c r="BY127" i="12"/>
  <c r="CW21" i="12"/>
  <c r="FQ1" i="12"/>
  <c r="FL1" i="12"/>
  <c r="FE18" i="12"/>
  <c r="FC19" i="12"/>
  <c r="FD19" i="12" s="1"/>
  <c r="FB258" i="12"/>
  <c r="FC258" i="12" s="1"/>
  <c r="FD258" i="12" s="1"/>
  <c r="FA259" i="12"/>
  <c r="FB20" i="12"/>
  <c r="EM299" i="12"/>
  <c r="EM265" i="12"/>
  <c r="BY355" i="12"/>
  <c r="BY97" i="12"/>
  <c r="BY301" i="12"/>
  <c r="BY156" i="12"/>
  <c r="BY172" i="12"/>
  <c r="BY135" i="12"/>
  <c r="BY336" i="12"/>
  <c r="BY232" i="12"/>
  <c r="BY215" i="12"/>
  <c r="BY148" i="12"/>
  <c r="BY273" i="12"/>
  <c r="BY237" i="12"/>
  <c r="BY219" i="12"/>
  <c r="BY377" i="12"/>
  <c r="BY356" i="12"/>
  <c r="BY287" i="12"/>
  <c r="BY94" i="12"/>
  <c r="BY299" i="12"/>
  <c r="BY116" i="12"/>
  <c r="BY277" i="12"/>
  <c r="BY267" i="12"/>
  <c r="BY176" i="12"/>
  <c r="BY372" i="12"/>
  <c r="BY108" i="12"/>
  <c r="BY151" i="12"/>
  <c r="BY113" i="12"/>
  <c r="BY361" i="12"/>
  <c r="BY374" i="12"/>
  <c r="BY375" i="12"/>
  <c r="BY125" i="12"/>
  <c r="BY144" i="12"/>
  <c r="BY274" i="12"/>
  <c r="BY392" i="12"/>
  <c r="BY120" i="12"/>
  <c r="BY245" i="12"/>
  <c r="BY261" i="12"/>
  <c r="BY269" i="12"/>
  <c r="BY351" i="12"/>
  <c r="BY178" i="12"/>
  <c r="BY139" i="12"/>
  <c r="BY165" i="12"/>
  <c r="BY201" i="12"/>
  <c r="BY220" i="12"/>
  <c r="BY121" i="12"/>
  <c r="BY338" i="12"/>
  <c r="BY173" i="12"/>
  <c r="BY231" i="12"/>
  <c r="BY255" i="12"/>
  <c r="BY311" i="12"/>
  <c r="BY266" i="12"/>
  <c r="BY314" i="12"/>
  <c r="BY260" i="12"/>
  <c r="BY194" i="12"/>
  <c r="BY118" i="12"/>
  <c r="BY180" i="12"/>
  <c r="BY226" i="12"/>
  <c r="BY109" i="12"/>
  <c r="BY228" i="12"/>
  <c r="BY213" i="12"/>
  <c r="BY241" i="12"/>
  <c r="BY147" i="12"/>
  <c r="BY158" i="12"/>
  <c r="BY224" i="12"/>
  <c r="BY252" i="12"/>
  <c r="BY246" i="12"/>
  <c r="BY350" i="12"/>
  <c r="BY278" i="12"/>
  <c r="BY218" i="12"/>
  <c r="BY129" i="12"/>
  <c r="BY157" i="12"/>
  <c r="BY214" i="12"/>
  <c r="BY279" i="12"/>
  <c r="BY112" i="12"/>
  <c r="BY370" i="12"/>
  <c r="BY347" i="12"/>
  <c r="BY136" i="12"/>
  <c r="BY95" i="12"/>
  <c r="BY188" i="12"/>
  <c r="BY354" i="12"/>
  <c r="BY149" i="12"/>
  <c r="BY263" i="12"/>
  <c r="BY294" i="12"/>
  <c r="BY181" i="12"/>
  <c r="BY326" i="12"/>
  <c r="BY137" i="12"/>
  <c r="BY128" i="12"/>
  <c r="BY297" i="12"/>
  <c r="BY384" i="12"/>
  <c r="BY398" i="12"/>
  <c r="BY275" i="12"/>
  <c r="BY133" i="12"/>
  <c r="BY227" i="12"/>
  <c r="BY117" i="12"/>
  <c r="BY126" i="12"/>
  <c r="BY339" i="12"/>
  <c r="BY291" i="12"/>
  <c r="BY154" i="12"/>
  <c r="BY142" i="12"/>
  <c r="BY132" i="12"/>
  <c r="BY360" i="12"/>
  <c r="BY368" i="12"/>
  <c r="BY300" i="12"/>
  <c r="BY373" i="12"/>
  <c r="BY216" i="12"/>
  <c r="BY380" i="12"/>
  <c r="BY289" i="12"/>
  <c r="BY91" i="12"/>
  <c r="BY92" i="12"/>
  <c r="BY346" i="12"/>
  <c r="BY96" i="12"/>
  <c r="BY197" i="12"/>
  <c r="BY358" i="12"/>
  <c r="BY229" i="12"/>
  <c r="BY243" i="12"/>
  <c r="BY332" i="12"/>
  <c r="BY93" i="12"/>
  <c r="BY290" i="12"/>
  <c r="BY379" i="12"/>
  <c r="BY329" i="12"/>
  <c r="BY191" i="12"/>
  <c r="BY330" i="12"/>
  <c r="BY383" i="12"/>
  <c r="BY145" i="12"/>
  <c r="BY100" i="12"/>
  <c r="BY250" i="12"/>
  <c r="BY395" i="12"/>
  <c r="BY344" i="12"/>
  <c r="BY270" i="12"/>
  <c r="BY130" i="12"/>
  <c r="BY382" i="12"/>
  <c r="BY131" i="12"/>
  <c r="BY371" i="12"/>
  <c r="BY389" i="12"/>
  <c r="BY312" i="12"/>
  <c r="BY365" i="12"/>
  <c r="BY239" i="12"/>
  <c r="BY293" i="12"/>
  <c r="BY363" i="12"/>
  <c r="BY234" i="12"/>
  <c r="BY106" i="12"/>
  <c r="BY254" i="12"/>
  <c r="BY203" i="12"/>
  <c r="BY248" i="12"/>
  <c r="BY396" i="12"/>
  <c r="BY122" i="12"/>
  <c r="BY222" i="12"/>
  <c r="BY283" i="12"/>
  <c r="BY187" i="12"/>
  <c r="BY262" i="12"/>
  <c r="BY325" i="12"/>
  <c r="BY348" i="12"/>
  <c r="BY168" i="12"/>
  <c r="BY101" i="12"/>
  <c r="BY221" i="12"/>
  <c r="BY169" i="12"/>
  <c r="BY185" i="12"/>
  <c r="BY174" i="12"/>
  <c r="BY124" i="12"/>
  <c r="BY333" i="12"/>
  <c r="BY179" i="12"/>
  <c r="BY230" i="12"/>
  <c r="BY393" i="12"/>
  <c r="BY217" i="12"/>
  <c r="BY134" i="12"/>
  <c r="BY182" i="12"/>
  <c r="BY150" i="12"/>
  <c r="BY202" i="12"/>
  <c r="BY146" i="12"/>
  <c r="BY328" i="12"/>
  <c r="BY107" i="12"/>
  <c r="BY184" i="12"/>
  <c r="BY367" i="12"/>
  <c r="BY286" i="12"/>
  <c r="BY183" i="12"/>
  <c r="BY320" i="12"/>
  <c r="BY160" i="12"/>
  <c r="BY296" i="12"/>
  <c r="BY138" i="12"/>
  <c r="BY292" i="12"/>
  <c r="BY86" i="12"/>
  <c r="BY353" i="12"/>
  <c r="BY394" i="12"/>
  <c r="BY285" i="12"/>
  <c r="BY305" i="12"/>
  <c r="BY167" i="12"/>
  <c r="BY327" i="12"/>
  <c r="BY359" i="12"/>
  <c r="BY204" i="12"/>
  <c r="BY140" i="12"/>
  <c r="BY198" i="12"/>
  <c r="BY315" i="12"/>
  <c r="BY161" i="12"/>
  <c r="BY152" i="12"/>
  <c r="BY388" i="12"/>
  <c r="BY335" i="12"/>
  <c r="BY288" i="12"/>
  <c r="BY199" i="12"/>
  <c r="BY352" i="12"/>
  <c r="BY177" i="12"/>
  <c r="BY313" i="12"/>
  <c r="BY304" i="12"/>
  <c r="BY256" i="12"/>
  <c r="BY280" i="12"/>
  <c r="BY195" i="12"/>
  <c r="BY369" i="12"/>
  <c r="BY166" i="12"/>
  <c r="BY87" i="12"/>
  <c r="BY282" i="12"/>
  <c r="BY190" i="12"/>
  <c r="BY253" i="12"/>
  <c r="BY318" i="12"/>
  <c r="BY281" i="12"/>
  <c r="BY193" i="12"/>
  <c r="BY240" i="12"/>
  <c r="BY345" i="12"/>
  <c r="BY391" i="12"/>
  <c r="BY349" i="12"/>
  <c r="BY324" i="12"/>
  <c r="BY162" i="12"/>
  <c r="BY105" i="12"/>
  <c r="BY341" i="12"/>
  <c r="BY85" i="12"/>
  <c r="BY104" i="12"/>
  <c r="BY258" i="12"/>
  <c r="BY225" i="12"/>
  <c r="BY390" i="12"/>
  <c r="BY205" i="12"/>
  <c r="BY99" i="12"/>
  <c r="BY323" i="12"/>
  <c r="BY103" i="12"/>
  <c r="BY342" i="12"/>
  <c r="BY175" i="12"/>
  <c r="BY236" i="12"/>
  <c r="BY257" i="12"/>
  <c r="BY337" i="12"/>
  <c r="BY119" i="12"/>
  <c r="BY303" i="12"/>
  <c r="BY310" i="12"/>
  <c r="BY200" i="12"/>
  <c r="BY298" i="12"/>
  <c r="BY251" i="12"/>
  <c r="BY102" i="12"/>
  <c r="BY331" i="12"/>
  <c r="BY235" i="12"/>
  <c r="BY302" i="12"/>
  <c r="BY153" i="12"/>
  <c r="BY295" i="12"/>
  <c r="BY164" i="12"/>
  <c r="BY196" i="12"/>
  <c r="BY316" i="12"/>
  <c r="BY247" i="12"/>
  <c r="BY206" i="12"/>
  <c r="BY343" i="12"/>
  <c r="BY212" i="12"/>
  <c r="BY171" i="12"/>
  <c r="BY272" i="12"/>
  <c r="BY189" i="12"/>
  <c r="BY159" i="12"/>
  <c r="BY264" i="12"/>
  <c r="BY155" i="12"/>
  <c r="BY322" i="12"/>
  <c r="BY357" i="12"/>
  <c r="BY366" i="12"/>
  <c r="BY111" i="12"/>
  <c r="BY209" i="12"/>
  <c r="BY211" i="12"/>
  <c r="BY238" i="12"/>
  <c r="BY381" i="12"/>
  <c r="BY123" i="12"/>
  <c r="BY307" i="12"/>
  <c r="BY276" i="12"/>
  <c r="BY259" i="12"/>
  <c r="BY397" i="12"/>
  <c r="BY98" i="12"/>
  <c r="BY387" i="12"/>
  <c r="BY88" i="12"/>
  <c r="BY385" i="12"/>
  <c r="BY268" i="12"/>
  <c r="BY207" i="12"/>
  <c r="BY249" i="12"/>
  <c r="BY89" i="12"/>
  <c r="BY265" i="12"/>
  <c r="BY340" i="12"/>
  <c r="BY114" i="12"/>
  <c r="BY376" i="12"/>
  <c r="BY233" i="12"/>
  <c r="BY244" i="12"/>
  <c r="BY378" i="12"/>
  <c r="BY362" i="12"/>
  <c r="BY284" i="12"/>
  <c r="BY334" i="12"/>
  <c r="BY309" i="12"/>
  <c r="BY223" i="12"/>
  <c r="BY170" i="12"/>
  <c r="BY163" i="12"/>
  <c r="BY110" i="12"/>
  <c r="BY90" i="12"/>
  <c r="BY242" i="12"/>
  <c r="BY319" i="12"/>
  <c r="BY141" i="12"/>
  <c r="BY308" i="12"/>
  <c r="BY115" i="12"/>
  <c r="BY321" i="12"/>
  <c r="BY364" i="12"/>
  <c r="BY186" i="12"/>
  <c r="BY306" i="12"/>
  <c r="BY192" i="12"/>
  <c r="CO2" i="12"/>
  <c r="BX401" i="12"/>
  <c r="BW401" i="12"/>
  <c r="CN2" i="12"/>
  <c r="BY3" i="12"/>
  <c r="CW22" i="12" l="1"/>
  <c r="EM400" i="12"/>
  <c r="EO379" i="12" s="1"/>
  <c r="D1" i="12"/>
  <c r="F1" i="12" s="1"/>
  <c r="L9" i="14" s="1"/>
  <c r="FE19" i="12"/>
  <c r="FC20" i="12"/>
  <c r="FD20" i="12" s="1"/>
  <c r="FB259" i="12"/>
  <c r="FC259" i="12" s="1"/>
  <c r="FD259" i="12" s="1"/>
  <c r="FA260" i="12"/>
  <c r="FB21" i="12"/>
  <c r="CL1" i="12"/>
  <c r="CQ8" i="12" s="1"/>
  <c r="BW1" i="12"/>
  <c r="BW400" i="12" s="1"/>
  <c r="BY4" i="12"/>
  <c r="CW23" i="12" l="1"/>
  <c r="EO233" i="12"/>
  <c r="EO5" i="12"/>
  <c r="EO119" i="12"/>
  <c r="EO90" i="12"/>
  <c r="EO301" i="12"/>
  <c r="EO85" i="12"/>
  <c r="EO199" i="12"/>
  <c r="EO332" i="12"/>
  <c r="EO226" i="12"/>
  <c r="EO89" i="12"/>
  <c r="EO307" i="12"/>
  <c r="EO392" i="12"/>
  <c r="EO107" i="12"/>
  <c r="EO220" i="12"/>
  <c r="EO249" i="12"/>
  <c r="EO174" i="12"/>
  <c r="EO217" i="12"/>
  <c r="EO260" i="12"/>
  <c r="EO112" i="12"/>
  <c r="EO117" i="12"/>
  <c r="EO148" i="12"/>
  <c r="EO142" i="12"/>
  <c r="EN2" i="12"/>
  <c r="D4" i="2" s="1"/>
  <c r="EO308" i="12"/>
  <c r="EO176" i="12"/>
  <c r="EO210" i="12"/>
  <c r="EO125" i="12"/>
  <c r="EO348" i="12"/>
  <c r="EO203" i="12"/>
  <c r="EO4" i="12"/>
  <c r="EO167" i="12"/>
  <c r="EO130" i="12"/>
  <c r="EO274" i="12"/>
  <c r="EO395" i="12"/>
  <c r="EO246" i="12"/>
  <c r="EO252" i="12"/>
  <c r="EO270" i="12"/>
  <c r="EO322" i="12"/>
  <c r="EO267" i="12"/>
  <c r="EO154" i="12"/>
  <c r="EO297" i="12"/>
  <c r="EO400" i="12"/>
  <c r="EO173" i="12"/>
  <c r="EO190" i="12"/>
  <c r="EO357" i="12"/>
  <c r="EO123" i="12"/>
  <c r="EO360" i="12"/>
  <c r="EO49" i="12"/>
  <c r="EO24" i="12"/>
  <c r="EO144" i="12"/>
  <c r="EO64" i="12"/>
  <c r="EO159" i="12"/>
  <c r="EO350" i="12"/>
  <c r="EO198" i="12"/>
  <c r="EO158" i="12"/>
  <c r="EO397" i="12"/>
  <c r="EO277" i="12"/>
  <c r="EO57" i="12"/>
  <c r="EO147" i="12"/>
  <c r="EO329" i="12"/>
  <c r="EO138" i="12"/>
  <c r="EO326" i="12"/>
  <c r="EO273" i="12"/>
  <c r="EO394" i="12"/>
  <c r="EO232" i="12"/>
  <c r="EO140" i="12"/>
  <c r="EO242" i="12"/>
  <c r="EO374" i="12"/>
  <c r="EO245" i="12"/>
  <c r="EO276" i="12"/>
  <c r="EO113" i="12"/>
  <c r="EO30" i="12"/>
  <c r="EO337" i="12"/>
  <c r="EO251" i="12"/>
  <c r="EO287" i="12"/>
  <c r="EO43" i="12"/>
  <c r="EO187" i="12"/>
  <c r="EO202" i="12"/>
  <c r="EO183" i="12"/>
  <c r="EO146" i="12"/>
  <c r="EO81" i="12"/>
  <c r="EO21" i="12"/>
  <c r="EO236" i="12"/>
  <c r="EO334" i="12"/>
  <c r="EO3" i="12"/>
  <c r="H3" i="2" s="1"/>
  <c r="EO193" i="12"/>
  <c r="EO132" i="12"/>
  <c r="EO321" i="12"/>
  <c r="EO205" i="12"/>
  <c r="EO244" i="12"/>
  <c r="EO380" i="12"/>
  <c r="EO23" i="12"/>
  <c r="EO200" i="12"/>
  <c r="EO338" i="12"/>
  <c r="EO73" i="12"/>
  <c r="EO368" i="12"/>
  <c r="EO258" i="12"/>
  <c r="EO87" i="12"/>
  <c r="EO298" i="12"/>
  <c r="EO288" i="12"/>
  <c r="EO282" i="12"/>
  <c r="EO342" i="12"/>
  <c r="EO128" i="12"/>
  <c r="EO281" i="12"/>
  <c r="EO339" i="12"/>
  <c r="EO32" i="12"/>
  <c r="EO60" i="12"/>
  <c r="EO211" i="12"/>
  <c r="EO94" i="12"/>
  <c r="EO240" i="12"/>
  <c r="EO54" i="12"/>
  <c r="EO92" i="12"/>
  <c r="EO53" i="12"/>
  <c r="EO8" i="12"/>
  <c r="EO74" i="12"/>
  <c r="EO292" i="12"/>
  <c r="EO97" i="12"/>
  <c r="EO164" i="12"/>
  <c r="EO366" i="12"/>
  <c r="EO18" i="12"/>
  <c r="EO88" i="12"/>
  <c r="EO16" i="12"/>
  <c r="EO80" i="12"/>
  <c r="EO343" i="12"/>
  <c r="EO259" i="12"/>
  <c r="EO261" i="12"/>
  <c r="EO56" i="12"/>
  <c r="EO279" i="12"/>
  <c r="EO100" i="12"/>
  <c r="EO319" i="12"/>
  <c r="EO351" i="12"/>
  <c r="EO150" i="12"/>
  <c r="EO139" i="12"/>
  <c r="EO255" i="12"/>
  <c r="EO59" i="12"/>
  <c r="EO331" i="12"/>
  <c r="EO262" i="12"/>
  <c r="EO189" i="12"/>
  <c r="EO55" i="12"/>
  <c r="EO70" i="12"/>
  <c r="EO143" i="12"/>
  <c r="EO375" i="12"/>
  <c r="EO265" i="12"/>
  <c r="EO206" i="12"/>
  <c r="EO61" i="12"/>
  <c r="EO384" i="12"/>
  <c r="EO247" i="12"/>
  <c r="EO296" i="12"/>
  <c r="EO65" i="12"/>
  <c r="EO386" i="12"/>
  <c r="EO248" i="12"/>
  <c r="EO127" i="12"/>
  <c r="EO101" i="12"/>
  <c r="EO278" i="12"/>
  <c r="EO33" i="12"/>
  <c r="EO393" i="12"/>
  <c r="EO135" i="12"/>
  <c r="EO315" i="12"/>
  <c r="EO153" i="12"/>
  <c r="EO250" i="12"/>
  <c r="EO162" i="12"/>
  <c r="EO115" i="12"/>
  <c r="EO370" i="12"/>
  <c r="EO72" i="12"/>
  <c r="EO110" i="12"/>
  <c r="EO182" i="12"/>
  <c r="EO121" i="12"/>
  <c r="EO341" i="12"/>
  <c r="EO306" i="12"/>
  <c r="EO328" i="12"/>
  <c r="EO11" i="12"/>
  <c r="EO170" i="12"/>
  <c r="EO82" i="12"/>
  <c r="EO95" i="12"/>
  <c r="EO126" i="12"/>
  <c r="EO111" i="12"/>
  <c r="EO134" i="12"/>
  <c r="EO191" i="12"/>
  <c r="EO131" i="12"/>
  <c r="EO38" i="12"/>
  <c r="EO102" i="12"/>
  <c r="EO42" i="12"/>
  <c r="EO201" i="12"/>
  <c r="EO209" i="12"/>
  <c r="EO208" i="12"/>
  <c r="EO15" i="12"/>
  <c r="EO387" i="12"/>
  <c r="EO238" i="12"/>
  <c r="EO58" i="12"/>
  <c r="EO391" i="12"/>
  <c r="EO325" i="12"/>
  <c r="EO19" i="12"/>
  <c r="EO91" i="12"/>
  <c r="EO359" i="12"/>
  <c r="EO227" i="12"/>
  <c r="EO35" i="12"/>
  <c r="EO230" i="12"/>
  <c r="EO302" i="12"/>
  <c r="EO330" i="12"/>
  <c r="EO300" i="12"/>
  <c r="EO241" i="12"/>
  <c r="EO396" i="12"/>
  <c r="EO324" i="12"/>
  <c r="EO212" i="12"/>
  <c r="EO313" i="12"/>
  <c r="EO290" i="12"/>
  <c r="EO192" i="12"/>
  <c r="EO286" i="12"/>
  <c r="EO63" i="12"/>
  <c r="EO235" i="12"/>
  <c r="EO234" i="12"/>
  <c r="EO356" i="12"/>
  <c r="EO161" i="12"/>
  <c r="EO382" i="12"/>
  <c r="EO314" i="12"/>
  <c r="EO284" i="12"/>
  <c r="EO289" i="12"/>
  <c r="EO122" i="12"/>
  <c r="EO333" i="12"/>
  <c r="EO76" i="12"/>
  <c r="EO257" i="12"/>
  <c r="EO346" i="12"/>
  <c r="EO285" i="12"/>
  <c r="EO105" i="12"/>
  <c r="EO207" i="12"/>
  <c r="EO216" i="12"/>
  <c r="EO271" i="12"/>
  <c r="EO185" i="12"/>
  <c r="EO239" i="12"/>
  <c r="EO27" i="12"/>
  <c r="EO141" i="12"/>
  <c r="EO399" i="12"/>
  <c r="EO398" i="12"/>
  <c r="EO17" i="12"/>
  <c r="EO353" i="12"/>
  <c r="EO312" i="12"/>
  <c r="EO175" i="12"/>
  <c r="EO79" i="12"/>
  <c r="EO14" i="12"/>
  <c r="EO83" i="12"/>
  <c r="EO253" i="12"/>
  <c r="EO103" i="12"/>
  <c r="EO34" i="12"/>
  <c r="EO266" i="12"/>
  <c r="EO347" i="12"/>
  <c r="EO369" i="12"/>
  <c r="EO68" i="12"/>
  <c r="EO195" i="12"/>
  <c r="EO41" i="12"/>
  <c r="EO181" i="12"/>
  <c r="EO305" i="12"/>
  <c r="EO9" i="12"/>
  <c r="EO309" i="12"/>
  <c r="EO224" i="12"/>
  <c r="EO13" i="12"/>
  <c r="EO124" i="12"/>
  <c r="EO340" i="12"/>
  <c r="EO344" i="12"/>
  <c r="EO84" i="12"/>
  <c r="EO367" i="12"/>
  <c r="EO349" i="12"/>
  <c r="EO215" i="12"/>
  <c r="EO378" i="12"/>
  <c r="EO204" i="12"/>
  <c r="EO12" i="12"/>
  <c r="EO318" i="12"/>
  <c r="EO77" i="12"/>
  <c r="EO283" i="12"/>
  <c r="EO165" i="12"/>
  <c r="EO40" i="12"/>
  <c r="EO109" i="12"/>
  <c r="EO71" i="12"/>
  <c r="EO129" i="12"/>
  <c r="EO263" i="12"/>
  <c r="EO237" i="12"/>
  <c r="EO293" i="12"/>
  <c r="EO222" i="12"/>
  <c r="EO29" i="12"/>
  <c r="EO383" i="12"/>
  <c r="EO299" i="12"/>
  <c r="EO45" i="12"/>
  <c r="EO213" i="12"/>
  <c r="EO37" i="12"/>
  <c r="EO151" i="12"/>
  <c r="EO354" i="12"/>
  <c r="EO169" i="12"/>
  <c r="EO62" i="12"/>
  <c r="EO22" i="12"/>
  <c r="EO294" i="12"/>
  <c r="EO231" i="12"/>
  <c r="EO166" i="12"/>
  <c r="EO66" i="12"/>
  <c r="EO335" i="12"/>
  <c r="EO186" i="12"/>
  <c r="EO362" i="12"/>
  <c r="EO188" i="12"/>
  <c r="EO385" i="12"/>
  <c r="EO50" i="12"/>
  <c r="EO160" i="12"/>
  <c r="EO6" i="12"/>
  <c r="EO373" i="12"/>
  <c r="EO303" i="12"/>
  <c r="EO388" i="12"/>
  <c r="EO149" i="12"/>
  <c r="EO98" i="12"/>
  <c r="EO69" i="12"/>
  <c r="EO218" i="12"/>
  <c r="EO136" i="12"/>
  <c r="EO243" i="12"/>
  <c r="EO269" i="12"/>
  <c r="EO7" i="12"/>
  <c r="EO355" i="12"/>
  <c r="EO320" i="12"/>
  <c r="EO295" i="12"/>
  <c r="EO86" i="12"/>
  <c r="EO372" i="12"/>
  <c r="EO108" i="12"/>
  <c r="EO275" i="12"/>
  <c r="EO48" i="12"/>
  <c r="EO221" i="12"/>
  <c r="EO171" i="12"/>
  <c r="EO256" i="12"/>
  <c r="EO145" i="12"/>
  <c r="EO44" i="12"/>
  <c r="EO20" i="12"/>
  <c r="EO25" i="12"/>
  <c r="EO36" i="12"/>
  <c r="EO196" i="12"/>
  <c r="EO389" i="12"/>
  <c r="EO390" i="12"/>
  <c r="EO155" i="12"/>
  <c r="EO364" i="12"/>
  <c r="EO52" i="12"/>
  <c r="EO157" i="12"/>
  <c r="EO46" i="12"/>
  <c r="EO172" i="12"/>
  <c r="EO291" i="12"/>
  <c r="EO180" i="12"/>
  <c r="EO152" i="12"/>
  <c r="EO179" i="12"/>
  <c r="EO358" i="12"/>
  <c r="EO345" i="12"/>
  <c r="EO223" i="12"/>
  <c r="EO194" i="12"/>
  <c r="EO377" i="12"/>
  <c r="EO304" i="12"/>
  <c r="EO137" i="12"/>
  <c r="EO116" i="12"/>
  <c r="EO361" i="12"/>
  <c r="EO363" i="12"/>
  <c r="EO67" i="12"/>
  <c r="EO120" i="12"/>
  <c r="EO28" i="12"/>
  <c r="EO168" i="12"/>
  <c r="EO268" i="12"/>
  <c r="EO96" i="12"/>
  <c r="EO93" i="12"/>
  <c r="EO133" i="12"/>
  <c r="EO381" i="12"/>
  <c r="EO376" i="12"/>
  <c r="EO229" i="12"/>
  <c r="EO327" i="12"/>
  <c r="EO225" i="12"/>
  <c r="EO228" i="12"/>
  <c r="EO99" i="12"/>
  <c r="EO10" i="12"/>
  <c r="EO254" i="12"/>
  <c r="EO114" i="12"/>
  <c r="EO177" i="12"/>
  <c r="EO31" i="12"/>
  <c r="EO316" i="12"/>
  <c r="EO163" i="12"/>
  <c r="EO371" i="12"/>
  <c r="EO280" i="12"/>
  <c r="EO197" i="12"/>
  <c r="EO336" i="12"/>
  <c r="EO184" i="12"/>
  <c r="EO39" i="12"/>
  <c r="EO106" i="12"/>
  <c r="EO104" i="12"/>
  <c r="EO118" i="12"/>
  <c r="EO317" i="12"/>
  <c r="EO365" i="12"/>
  <c r="EO26" i="12"/>
  <c r="EO75" i="12"/>
  <c r="EO272" i="12"/>
  <c r="EO78" i="12"/>
  <c r="EO156" i="12"/>
  <c r="EO310" i="12"/>
  <c r="EO51" i="12"/>
  <c r="EO47" i="12"/>
  <c r="EO311" i="12"/>
  <c r="EO219" i="12"/>
  <c r="EO264" i="12"/>
  <c r="EO178" i="12"/>
  <c r="EO214" i="12"/>
  <c r="EO352" i="12"/>
  <c r="EO323" i="12"/>
  <c r="FE20" i="12"/>
  <c r="FC21" i="12"/>
  <c r="FD21" i="12" s="1"/>
  <c r="FB260" i="12"/>
  <c r="FC260" i="12" s="1"/>
  <c r="FD260" i="12" s="1"/>
  <c r="FA261" i="12"/>
  <c r="FB22" i="12"/>
  <c r="EH66" i="12"/>
  <c r="EJ66" i="12" s="1"/>
  <c r="EI66" i="12" s="1"/>
  <c r="EK66" i="12" s="1"/>
  <c r="I142" i="12"/>
  <c r="J142" i="12" s="1"/>
  <c r="K142" i="12" s="1"/>
  <c r="L142" i="12" s="1"/>
  <c r="EH100" i="12"/>
  <c r="EJ100" i="12" s="1"/>
  <c r="EI100" i="12" s="1"/>
  <c r="EK100" i="12" s="1"/>
  <c r="I89" i="12"/>
  <c r="J89" i="12" s="1"/>
  <c r="I195" i="12"/>
  <c r="J195" i="12" s="1"/>
  <c r="K195" i="12" s="1"/>
  <c r="L195" i="12" s="1"/>
  <c r="EH105" i="12"/>
  <c r="EJ105" i="12" s="1"/>
  <c r="EI105" i="12" s="1"/>
  <c r="EK105" i="12" s="1"/>
  <c r="I135" i="12"/>
  <c r="J135" i="12" s="1"/>
  <c r="K135" i="12" s="1"/>
  <c r="L135" i="12" s="1"/>
  <c r="I43" i="12"/>
  <c r="J43" i="12" s="1"/>
  <c r="ED109" i="12"/>
  <c r="EF109" i="12" s="1"/>
  <c r="EE109" i="12" s="1"/>
  <c r="EG109" i="12" s="1"/>
  <c r="I133" i="12"/>
  <c r="J133" i="12" s="1"/>
  <c r="K133" i="12" s="1"/>
  <c r="L133" i="12" s="1"/>
  <c r="I70" i="12"/>
  <c r="J70" i="12" s="1"/>
  <c r="EH141" i="12"/>
  <c r="EJ141" i="12" s="1"/>
  <c r="EI141" i="12" s="1"/>
  <c r="EK141" i="12" s="1"/>
  <c r="ED5" i="12"/>
  <c r="EF5" i="12" s="1"/>
  <c r="DZ5" i="12"/>
  <c r="EA5" i="12" s="1"/>
  <c r="EH91" i="12"/>
  <c r="EJ91" i="12" s="1"/>
  <c r="EI91" i="12" s="1"/>
  <c r="EK91" i="12" s="1"/>
  <c r="I45" i="12"/>
  <c r="J45" i="12" s="1"/>
  <c r="EH62" i="12"/>
  <c r="EJ62" i="12" s="1"/>
  <c r="EI62" i="12" s="1"/>
  <c r="EK62" i="12" s="1"/>
  <c r="ED114" i="12"/>
  <c r="EF114" i="12" s="1"/>
  <c r="EE114" i="12" s="1"/>
  <c r="EG114" i="12" s="1"/>
  <c r="I148" i="12"/>
  <c r="J148" i="12" s="1"/>
  <c r="K148" i="12" s="1"/>
  <c r="L148" i="12" s="1"/>
  <c r="I22" i="12"/>
  <c r="J22" i="12" s="1"/>
  <c r="DZ35" i="12"/>
  <c r="EA35" i="12" s="1"/>
  <c r="I16" i="12"/>
  <c r="J16" i="12" s="1"/>
  <c r="DZ156" i="12"/>
  <c r="EA156" i="12" s="1"/>
  <c r="EB156" i="12" s="1"/>
  <c r="EC156" i="12" s="1"/>
  <c r="EH35" i="12"/>
  <c r="EJ35" i="12" s="1"/>
  <c r="EI35" i="12" s="1"/>
  <c r="EK35" i="12" s="1"/>
  <c r="I178" i="12"/>
  <c r="J178" i="12" s="1"/>
  <c r="K178" i="12" s="1"/>
  <c r="L178" i="12" s="1"/>
  <c r="ED35" i="12"/>
  <c r="EF35" i="12" s="1"/>
  <c r="EE35" i="12" s="1"/>
  <c r="EG35" i="12" s="1"/>
  <c r="I177" i="12"/>
  <c r="J177" i="12" s="1"/>
  <c r="K177" i="12" s="1"/>
  <c r="L177" i="12" s="1"/>
  <c r="ED122" i="12"/>
  <c r="EF122" i="12" s="1"/>
  <c r="EE122" i="12" s="1"/>
  <c r="EG122" i="12" s="1"/>
  <c r="I169" i="12"/>
  <c r="J169" i="12" s="1"/>
  <c r="K169" i="12" s="1"/>
  <c r="L169" i="12" s="1"/>
  <c r="I158" i="12"/>
  <c r="J158" i="12" s="1"/>
  <c r="K158" i="12" s="1"/>
  <c r="L158" i="12" s="1"/>
  <c r="ED41" i="12"/>
  <c r="EF41" i="12" s="1"/>
  <c r="EE41" i="12" s="1"/>
  <c r="EG41" i="12" s="1"/>
  <c r="I32" i="12"/>
  <c r="J32" i="12" s="1"/>
  <c r="ED161" i="12"/>
  <c r="EF161" i="12" s="1"/>
  <c r="EE161" i="12" s="1"/>
  <c r="EG161" i="12" s="1"/>
  <c r="EH126" i="12"/>
  <c r="EJ126" i="12" s="1"/>
  <c r="EI126" i="12" s="1"/>
  <c r="EK126" i="12" s="1"/>
  <c r="ED96" i="12"/>
  <c r="EF96" i="12" s="1"/>
  <c r="EE96" i="12" s="1"/>
  <c r="EG96" i="12" s="1"/>
  <c r="DZ51" i="12"/>
  <c r="EA51" i="12" s="1"/>
  <c r="DZ140" i="12"/>
  <c r="EA140" i="12" s="1"/>
  <c r="EB140" i="12" s="1"/>
  <c r="EC140" i="12" s="1"/>
  <c r="DZ141" i="12"/>
  <c r="EA141" i="12" s="1"/>
  <c r="EB141" i="12" s="1"/>
  <c r="EC141" i="12" s="1"/>
  <c r="EH21" i="12"/>
  <c r="EJ21" i="12" s="1"/>
  <c r="EI21" i="12" s="1"/>
  <c r="EK21" i="12" s="1"/>
  <c r="EH102" i="12"/>
  <c r="EJ102" i="12" s="1"/>
  <c r="EI102" i="12" s="1"/>
  <c r="EK102" i="12" s="1"/>
  <c r="ED63" i="12"/>
  <c r="EF63" i="12" s="1"/>
  <c r="EE63" i="12" s="1"/>
  <c r="EG63" i="12" s="1"/>
  <c r="EH172" i="12"/>
  <c r="EJ172" i="12" s="1"/>
  <c r="EI172" i="12" s="1"/>
  <c r="EK172" i="12" s="1"/>
  <c r="ED149" i="12"/>
  <c r="EF149" i="12" s="1"/>
  <c r="EE149" i="12" s="1"/>
  <c r="EG149" i="12" s="1"/>
  <c r="I200" i="12"/>
  <c r="J200" i="12" s="1"/>
  <c r="K200" i="12" s="1"/>
  <c r="L200" i="12" s="1"/>
  <c r="EH193" i="12"/>
  <c r="EJ193" i="12" s="1"/>
  <c r="EI193" i="12" s="1"/>
  <c r="EK193" i="12" s="1"/>
  <c r="I54" i="12"/>
  <c r="J54" i="12" s="1"/>
  <c r="I21" i="12"/>
  <c r="J21" i="12" s="1"/>
  <c r="I106" i="12"/>
  <c r="J106" i="12" s="1"/>
  <c r="ED142" i="12"/>
  <c r="EF142" i="12" s="1"/>
  <c r="EE142" i="12" s="1"/>
  <c r="EG142" i="12" s="1"/>
  <c r="EH138" i="12"/>
  <c r="EJ138" i="12" s="1"/>
  <c r="EI138" i="12" s="1"/>
  <c r="EK138" i="12" s="1"/>
  <c r="DZ75" i="12"/>
  <c r="EA75" i="12" s="1"/>
  <c r="I188" i="12"/>
  <c r="J188" i="12" s="1"/>
  <c r="K188" i="12" s="1"/>
  <c r="L188" i="12" s="1"/>
  <c r="ED166" i="12"/>
  <c r="EF166" i="12" s="1"/>
  <c r="EE166" i="12" s="1"/>
  <c r="EG166" i="12" s="1"/>
  <c r="ED92" i="12"/>
  <c r="EF92" i="12" s="1"/>
  <c r="EE92" i="12" s="1"/>
  <c r="EG92" i="12" s="1"/>
  <c r="I98" i="12"/>
  <c r="J98" i="12" s="1"/>
  <c r="ED121" i="12"/>
  <c r="EF121" i="12" s="1"/>
  <c r="EE121" i="12" s="1"/>
  <c r="EG121" i="12" s="1"/>
  <c r="ED83" i="12"/>
  <c r="EF83" i="12" s="1"/>
  <c r="EE83" i="12" s="1"/>
  <c r="EG83" i="12" s="1"/>
  <c r="EH170" i="12"/>
  <c r="EJ170" i="12" s="1"/>
  <c r="EI170" i="12" s="1"/>
  <c r="EK170" i="12" s="1"/>
  <c r="ED146" i="12"/>
  <c r="EF146" i="12" s="1"/>
  <c r="EE146" i="12" s="1"/>
  <c r="EG146" i="12" s="1"/>
  <c r="DZ129" i="12"/>
  <c r="EA129" i="12" s="1"/>
  <c r="EB129" i="12" s="1"/>
  <c r="EC129" i="12" s="1"/>
  <c r="I168" i="12"/>
  <c r="J168" i="12" s="1"/>
  <c r="K168" i="12" s="1"/>
  <c r="L168" i="12" s="1"/>
  <c r="DZ170" i="12"/>
  <c r="EA170" i="12" s="1"/>
  <c r="EB170" i="12" s="1"/>
  <c r="EC170" i="12" s="1"/>
  <c r="I154" i="12"/>
  <c r="J154" i="12" s="1"/>
  <c r="K154" i="12" s="1"/>
  <c r="L154" i="12" s="1"/>
  <c r="ED159" i="12"/>
  <c r="EF159" i="12" s="1"/>
  <c r="EE159" i="12" s="1"/>
  <c r="EG159" i="12" s="1"/>
  <c r="I73" i="12"/>
  <c r="J73" i="12" s="1"/>
  <c r="I149" i="12"/>
  <c r="J149" i="12" s="1"/>
  <c r="K149" i="12" s="1"/>
  <c r="L149" i="12" s="1"/>
  <c r="I116" i="12"/>
  <c r="J116" i="12" s="1"/>
  <c r="I76" i="12"/>
  <c r="J76" i="12" s="1"/>
  <c r="I132" i="12"/>
  <c r="J132" i="12" s="1"/>
  <c r="K132" i="12" s="1"/>
  <c r="L132" i="12" s="1"/>
  <c r="I53" i="12"/>
  <c r="J53" i="12" s="1"/>
  <c r="EH106" i="12"/>
  <c r="EJ106" i="12" s="1"/>
  <c r="EI106" i="12" s="1"/>
  <c r="EK106" i="12" s="1"/>
  <c r="I63" i="12"/>
  <c r="J63" i="12" s="1"/>
  <c r="EH98" i="12"/>
  <c r="EJ98" i="12" s="1"/>
  <c r="EI98" i="12" s="1"/>
  <c r="EK98" i="12" s="1"/>
  <c r="DZ39" i="12"/>
  <c r="EA39" i="12" s="1"/>
  <c r="ED101" i="12"/>
  <c r="EF101" i="12" s="1"/>
  <c r="EE101" i="12" s="1"/>
  <c r="EG101" i="12" s="1"/>
  <c r="ED91" i="12"/>
  <c r="EF91" i="12" s="1"/>
  <c r="EE91" i="12" s="1"/>
  <c r="EG91" i="12" s="1"/>
  <c r="EH49" i="12"/>
  <c r="EJ49" i="12" s="1"/>
  <c r="EI49" i="12" s="1"/>
  <c r="EK49" i="12" s="1"/>
  <c r="EH18" i="12"/>
  <c r="EJ18" i="12" s="1"/>
  <c r="EI18" i="12" s="1"/>
  <c r="EK18" i="12" s="1"/>
  <c r="EH186" i="12"/>
  <c r="EJ186" i="12" s="1"/>
  <c r="EI186" i="12" s="1"/>
  <c r="EK186" i="12" s="1"/>
  <c r="I71" i="12"/>
  <c r="J71" i="12" s="1"/>
  <c r="DZ142" i="12"/>
  <c r="EA142" i="12" s="1"/>
  <c r="EB142" i="12" s="1"/>
  <c r="EC142" i="12" s="1"/>
  <c r="DZ17" i="12"/>
  <c r="EA17" i="12" s="1"/>
  <c r="EH93" i="12"/>
  <c r="EJ93" i="12" s="1"/>
  <c r="EI93" i="12" s="1"/>
  <c r="EK93" i="12" s="1"/>
  <c r="EH86" i="12"/>
  <c r="EJ86" i="12" s="1"/>
  <c r="EI86" i="12" s="1"/>
  <c r="EK86" i="12" s="1"/>
  <c r="DZ135" i="12"/>
  <c r="EA135" i="12" s="1"/>
  <c r="EB135" i="12" s="1"/>
  <c r="EC135" i="12" s="1"/>
  <c r="EH3" i="12"/>
  <c r="EJ3" i="12" s="1"/>
  <c r="EI3" i="12" s="1"/>
  <c r="EK3" i="12" s="1"/>
  <c r="DZ173" i="12"/>
  <c r="EA173" i="12" s="1"/>
  <c r="EB173" i="12" s="1"/>
  <c r="EC173" i="12" s="1"/>
  <c r="I31" i="12"/>
  <c r="J31" i="12" s="1"/>
  <c r="ED104" i="12"/>
  <c r="EF104" i="12" s="1"/>
  <c r="EE104" i="12" s="1"/>
  <c r="EG104" i="12" s="1"/>
  <c r="DZ125" i="12"/>
  <c r="EA125" i="12" s="1"/>
  <c r="I103" i="12"/>
  <c r="J103" i="12" s="1"/>
  <c r="EH190" i="12"/>
  <c r="EJ190" i="12" s="1"/>
  <c r="EI190" i="12" s="1"/>
  <c r="EK190" i="12" s="1"/>
  <c r="DZ150" i="12"/>
  <c r="EA150" i="12" s="1"/>
  <c r="EB150" i="12" s="1"/>
  <c r="EC150" i="12" s="1"/>
  <c r="EH5" i="12"/>
  <c r="EJ5" i="12" s="1"/>
  <c r="I152" i="12"/>
  <c r="J152" i="12" s="1"/>
  <c r="K152" i="12" s="1"/>
  <c r="L152" i="12" s="1"/>
  <c r="I78" i="12"/>
  <c r="J78" i="12" s="1"/>
  <c r="ED200" i="12"/>
  <c r="EF200" i="12" s="1"/>
  <c r="EE200" i="12" s="1"/>
  <c r="EG200" i="12" s="1"/>
  <c r="I90" i="12"/>
  <c r="J90" i="12" s="1"/>
  <c r="I165" i="12"/>
  <c r="J165" i="12" s="1"/>
  <c r="K165" i="12" s="1"/>
  <c r="L165" i="12" s="1"/>
  <c r="I23" i="12"/>
  <c r="J23" i="12" s="1"/>
  <c r="I191" i="12"/>
  <c r="J191" i="12" s="1"/>
  <c r="K191" i="12" s="1"/>
  <c r="L191" i="12" s="1"/>
  <c r="I34" i="12"/>
  <c r="J34" i="12" s="1"/>
  <c r="I59" i="12"/>
  <c r="J59" i="12" s="1"/>
  <c r="I108" i="12"/>
  <c r="J108" i="12" s="1"/>
  <c r="I197" i="12"/>
  <c r="J197" i="12" s="1"/>
  <c r="K197" i="12" s="1"/>
  <c r="L197" i="12" s="1"/>
  <c r="I12" i="12"/>
  <c r="J12" i="12" s="1"/>
  <c r="I51" i="12"/>
  <c r="J51" i="12" s="1"/>
  <c r="I61" i="12"/>
  <c r="J61" i="12" s="1"/>
  <c r="EH189" i="12"/>
  <c r="EJ189" i="12" s="1"/>
  <c r="EI189" i="12" s="1"/>
  <c r="EK189" i="12" s="1"/>
  <c r="DZ91" i="12"/>
  <c r="EA91" i="12" s="1"/>
  <c r="ED20" i="12"/>
  <c r="EF20" i="12" s="1"/>
  <c r="EE20" i="12" s="1"/>
  <c r="EG20" i="12" s="1"/>
  <c r="DZ124" i="12"/>
  <c r="EA124" i="12" s="1"/>
  <c r="EH107" i="12"/>
  <c r="EJ107" i="12" s="1"/>
  <c r="EI107" i="12" s="1"/>
  <c r="EK107" i="12" s="1"/>
  <c r="EH183" i="12"/>
  <c r="EJ183" i="12" s="1"/>
  <c r="EI183" i="12" s="1"/>
  <c r="EK183" i="12" s="1"/>
  <c r="EH40" i="12"/>
  <c r="EJ40" i="12" s="1"/>
  <c r="EI40" i="12" s="1"/>
  <c r="EK40" i="12" s="1"/>
  <c r="I11" i="12"/>
  <c r="J11" i="12" s="1"/>
  <c r="I117" i="12"/>
  <c r="J117" i="12" s="1"/>
  <c r="EH82" i="12"/>
  <c r="EJ82" i="12" s="1"/>
  <c r="EI82" i="12" s="1"/>
  <c r="EK82" i="12" s="1"/>
  <c r="EH165" i="12"/>
  <c r="EJ165" i="12" s="1"/>
  <c r="EI165" i="12" s="1"/>
  <c r="EK165" i="12" s="1"/>
  <c r="DZ169" i="12"/>
  <c r="EA169" i="12" s="1"/>
  <c r="EB169" i="12" s="1"/>
  <c r="EC169" i="12" s="1"/>
  <c r="DZ44" i="12"/>
  <c r="EA44" i="12" s="1"/>
  <c r="EH84" i="12"/>
  <c r="EJ84" i="12" s="1"/>
  <c r="EI84" i="12" s="1"/>
  <c r="EK84" i="12" s="1"/>
  <c r="DZ82" i="12"/>
  <c r="EA82" i="12" s="1"/>
  <c r="ED44" i="12"/>
  <c r="EF44" i="12" s="1"/>
  <c r="EE44" i="12" s="1"/>
  <c r="EG44" i="12" s="1"/>
  <c r="I49" i="12"/>
  <c r="J49" i="12" s="1"/>
  <c r="I41" i="12"/>
  <c r="J41" i="12" s="1"/>
  <c r="I100" i="12"/>
  <c r="J100" i="12" s="1"/>
  <c r="EH36" i="12"/>
  <c r="EJ36" i="12" s="1"/>
  <c r="EI36" i="12" s="1"/>
  <c r="EK36" i="12" s="1"/>
  <c r="DZ86" i="12"/>
  <c r="EA86" i="12" s="1"/>
  <c r="DZ113" i="12"/>
  <c r="EA113" i="12" s="1"/>
  <c r="ED135" i="12"/>
  <c r="EF135" i="12" s="1"/>
  <c r="EE135" i="12" s="1"/>
  <c r="EG135" i="12" s="1"/>
  <c r="EH74" i="12"/>
  <c r="EJ74" i="12" s="1"/>
  <c r="EI74" i="12" s="1"/>
  <c r="EK74" i="12" s="1"/>
  <c r="EH175" i="12"/>
  <c r="EJ175" i="12" s="1"/>
  <c r="EI175" i="12" s="1"/>
  <c r="EK175" i="12" s="1"/>
  <c r="ED61" i="12"/>
  <c r="EF61" i="12" s="1"/>
  <c r="EE61" i="12" s="1"/>
  <c r="EG61" i="12" s="1"/>
  <c r="EH153" i="12"/>
  <c r="EJ153" i="12" s="1"/>
  <c r="EI153" i="12" s="1"/>
  <c r="EK153" i="12" s="1"/>
  <c r="EH137" i="12"/>
  <c r="EJ137" i="12" s="1"/>
  <c r="EI137" i="12" s="1"/>
  <c r="EK137" i="12" s="1"/>
  <c r="EH178" i="12"/>
  <c r="EJ178" i="12" s="1"/>
  <c r="EI178" i="12" s="1"/>
  <c r="EK178" i="12" s="1"/>
  <c r="ED173" i="12"/>
  <c r="EF173" i="12" s="1"/>
  <c r="EE173" i="12" s="1"/>
  <c r="EG173" i="12" s="1"/>
  <c r="ED22" i="12"/>
  <c r="EF22" i="12" s="1"/>
  <c r="EE22" i="12" s="1"/>
  <c r="EG22" i="12" s="1"/>
  <c r="DZ18" i="12"/>
  <c r="EA18" i="12" s="1"/>
  <c r="EH64" i="12"/>
  <c r="EJ64" i="12" s="1"/>
  <c r="EI64" i="12" s="1"/>
  <c r="EK64" i="12" s="1"/>
  <c r="EH95" i="12"/>
  <c r="EJ95" i="12" s="1"/>
  <c r="EI95" i="12" s="1"/>
  <c r="EK95" i="12" s="1"/>
  <c r="DZ46" i="12"/>
  <c r="EA46" i="12" s="1"/>
  <c r="EH158" i="12"/>
  <c r="EJ158" i="12" s="1"/>
  <c r="EI158" i="12" s="1"/>
  <c r="EK158" i="12" s="1"/>
  <c r="DZ132" i="12"/>
  <c r="EA132" i="12" s="1"/>
  <c r="EB132" i="12" s="1"/>
  <c r="EC132" i="12" s="1"/>
  <c r="DZ187" i="12"/>
  <c r="EA187" i="12" s="1"/>
  <c r="EB187" i="12" s="1"/>
  <c r="EC187" i="12" s="1"/>
  <c r="DZ7" i="12"/>
  <c r="EA7" i="12" s="1"/>
  <c r="ED74" i="12"/>
  <c r="EF74" i="12" s="1"/>
  <c r="EE74" i="12" s="1"/>
  <c r="EG74" i="12" s="1"/>
  <c r="ED148" i="12"/>
  <c r="EF148" i="12" s="1"/>
  <c r="EE148" i="12" s="1"/>
  <c r="EG148" i="12" s="1"/>
  <c r="EH72" i="12"/>
  <c r="EJ72" i="12" s="1"/>
  <c r="EI72" i="12" s="1"/>
  <c r="EK72" i="12" s="1"/>
  <c r="DZ117" i="12"/>
  <c r="EA117" i="12" s="1"/>
  <c r="ED176" i="12"/>
  <c r="EF176" i="12" s="1"/>
  <c r="EE176" i="12" s="1"/>
  <c r="EG176" i="12" s="1"/>
  <c r="EH118" i="12"/>
  <c r="EJ118" i="12" s="1"/>
  <c r="EI118" i="12" s="1"/>
  <c r="EK118" i="12" s="1"/>
  <c r="EH110" i="12"/>
  <c r="EJ110" i="12" s="1"/>
  <c r="EI110" i="12" s="1"/>
  <c r="EK110" i="12" s="1"/>
  <c r="ED18" i="12"/>
  <c r="EF18" i="12" s="1"/>
  <c r="EE18" i="12" s="1"/>
  <c r="EG18" i="12" s="1"/>
  <c r="ED86" i="12"/>
  <c r="EF86" i="12" s="1"/>
  <c r="EE86" i="12" s="1"/>
  <c r="EG86" i="12" s="1"/>
  <c r="EH88" i="12"/>
  <c r="EJ88" i="12" s="1"/>
  <c r="EI88" i="12" s="1"/>
  <c r="EK88" i="12" s="1"/>
  <c r="DZ164" i="12"/>
  <c r="EA164" i="12" s="1"/>
  <c r="EB164" i="12" s="1"/>
  <c r="EC164" i="12" s="1"/>
  <c r="EH161" i="12"/>
  <c r="EJ161" i="12" s="1"/>
  <c r="EI161" i="12" s="1"/>
  <c r="EK161" i="12" s="1"/>
  <c r="EH39" i="12"/>
  <c r="EJ39" i="12" s="1"/>
  <c r="EI39" i="12" s="1"/>
  <c r="EK39" i="12" s="1"/>
  <c r="EH27" i="12"/>
  <c r="EJ27" i="12" s="1"/>
  <c r="EI27" i="12" s="1"/>
  <c r="EK27" i="12" s="1"/>
  <c r="DZ148" i="12"/>
  <c r="EA148" i="12" s="1"/>
  <c r="EB148" i="12" s="1"/>
  <c r="EC148" i="12" s="1"/>
  <c r="EH113" i="12"/>
  <c r="EJ113" i="12" s="1"/>
  <c r="EI113" i="12" s="1"/>
  <c r="EK113" i="12" s="1"/>
  <c r="EH85" i="12"/>
  <c r="EJ85" i="12" s="1"/>
  <c r="EI85" i="12" s="1"/>
  <c r="EK85" i="12" s="1"/>
  <c r="I147" i="12"/>
  <c r="J147" i="12" s="1"/>
  <c r="K147" i="12" s="1"/>
  <c r="L147" i="12" s="1"/>
  <c r="I176" i="12"/>
  <c r="J176" i="12" s="1"/>
  <c r="K176" i="12" s="1"/>
  <c r="L176" i="12" s="1"/>
  <c r="I166" i="12"/>
  <c r="J166" i="12" s="1"/>
  <c r="K166" i="12" s="1"/>
  <c r="L166" i="12" s="1"/>
  <c r="I15" i="12"/>
  <c r="J15" i="12" s="1"/>
  <c r="I164" i="12"/>
  <c r="J164" i="12" s="1"/>
  <c r="K164" i="12" s="1"/>
  <c r="L164" i="12" s="1"/>
  <c r="I50" i="12"/>
  <c r="J50" i="12" s="1"/>
  <c r="I97" i="12"/>
  <c r="J97" i="12" s="1"/>
  <c r="I162" i="12"/>
  <c r="J162" i="12" s="1"/>
  <c r="K162" i="12" s="1"/>
  <c r="L162" i="12" s="1"/>
  <c r="I131" i="12"/>
  <c r="J131" i="12" s="1"/>
  <c r="K131" i="12" s="1"/>
  <c r="L131" i="12" s="1"/>
  <c r="I184" i="12"/>
  <c r="J184" i="12" s="1"/>
  <c r="K184" i="12" s="1"/>
  <c r="L184" i="12" s="1"/>
  <c r="I143" i="12"/>
  <c r="J143" i="12" s="1"/>
  <c r="K143" i="12" s="1"/>
  <c r="L143" i="12" s="1"/>
  <c r="I13" i="12"/>
  <c r="J13" i="12" s="1"/>
  <c r="ED156" i="12"/>
  <c r="EF156" i="12" s="1"/>
  <c r="EE156" i="12" s="1"/>
  <c r="EG156" i="12" s="1"/>
  <c r="EH152" i="12"/>
  <c r="EJ152" i="12" s="1"/>
  <c r="EI152" i="12" s="1"/>
  <c r="EK152" i="12" s="1"/>
  <c r="I180" i="12"/>
  <c r="J180" i="12" s="1"/>
  <c r="K180" i="12" s="1"/>
  <c r="L180" i="12" s="1"/>
  <c r="I122" i="12"/>
  <c r="J122" i="12" s="1"/>
  <c r="I128" i="12"/>
  <c r="J128" i="12" s="1"/>
  <c r="I55" i="12"/>
  <c r="J55" i="12" s="1"/>
  <c r="EH182" i="12"/>
  <c r="EJ182" i="12" s="1"/>
  <c r="EI182" i="12" s="1"/>
  <c r="EK182" i="12" s="1"/>
  <c r="I99" i="12"/>
  <c r="J99" i="12" s="1"/>
  <c r="I124" i="12"/>
  <c r="J124" i="12" s="1"/>
  <c r="I187" i="12"/>
  <c r="J187" i="12" s="1"/>
  <c r="K187" i="12" s="1"/>
  <c r="L187" i="12" s="1"/>
  <c r="I185" i="12"/>
  <c r="J185" i="12" s="1"/>
  <c r="K185" i="12" s="1"/>
  <c r="L185" i="12" s="1"/>
  <c r="I161" i="12"/>
  <c r="J161" i="12" s="1"/>
  <c r="K161" i="12" s="1"/>
  <c r="L161" i="12" s="1"/>
  <c r="I84" i="12"/>
  <c r="J84" i="12" s="1"/>
  <c r="EH32" i="12"/>
  <c r="EJ32" i="12" s="1"/>
  <c r="EI32" i="12" s="1"/>
  <c r="EK32" i="12" s="1"/>
  <c r="DZ186" i="12"/>
  <c r="EA186" i="12" s="1"/>
  <c r="EB186" i="12" s="1"/>
  <c r="EC186" i="12" s="1"/>
  <c r="DZ61" i="12"/>
  <c r="EA61" i="12" s="1"/>
  <c r="I126" i="12"/>
  <c r="J126" i="12" s="1"/>
  <c r="I65" i="12"/>
  <c r="J65" i="12" s="1"/>
  <c r="I88" i="12"/>
  <c r="J88" i="12" s="1"/>
  <c r="I186" i="12"/>
  <c r="J186" i="12" s="1"/>
  <c r="K186" i="12" s="1"/>
  <c r="L186" i="12" s="1"/>
  <c r="I123" i="12"/>
  <c r="J123" i="12" s="1"/>
  <c r="EH111" i="12"/>
  <c r="EJ111" i="12" s="1"/>
  <c r="EI111" i="12" s="1"/>
  <c r="EK111" i="12" s="1"/>
  <c r="EH168" i="12"/>
  <c r="EJ168" i="12" s="1"/>
  <c r="EI168" i="12" s="1"/>
  <c r="EK168" i="12" s="1"/>
  <c r="DZ24" i="12"/>
  <c r="EA24" i="12" s="1"/>
  <c r="I18" i="12"/>
  <c r="J18" i="12" s="1"/>
  <c r="DZ112" i="12"/>
  <c r="EA112" i="12" s="1"/>
  <c r="ED56" i="12"/>
  <c r="EF56" i="12" s="1"/>
  <c r="EE56" i="12" s="1"/>
  <c r="EG56" i="12" s="1"/>
  <c r="I85" i="12"/>
  <c r="J85" i="12" s="1"/>
  <c r="EH51" i="12"/>
  <c r="EJ51" i="12" s="1"/>
  <c r="EI51" i="12" s="1"/>
  <c r="EK51" i="12" s="1"/>
  <c r="EH146" i="12"/>
  <c r="EJ146" i="12" s="1"/>
  <c r="EI146" i="12" s="1"/>
  <c r="EK146" i="12" s="1"/>
  <c r="DZ120" i="12"/>
  <c r="EA120" i="12" s="1"/>
  <c r="I107" i="12"/>
  <c r="J107" i="12" s="1"/>
  <c r="I20" i="12"/>
  <c r="J20" i="12" s="1"/>
  <c r="DZ89" i="12"/>
  <c r="EA89" i="12" s="1"/>
  <c r="EH185" i="12"/>
  <c r="EJ185" i="12" s="1"/>
  <c r="EI185" i="12" s="1"/>
  <c r="EK185" i="12" s="1"/>
  <c r="ED68" i="12"/>
  <c r="EF68" i="12" s="1"/>
  <c r="EE68" i="12" s="1"/>
  <c r="EG68" i="12" s="1"/>
  <c r="EH120" i="12"/>
  <c r="EJ120" i="12" s="1"/>
  <c r="EI120" i="12" s="1"/>
  <c r="EK120" i="12" s="1"/>
  <c r="DZ118" i="12"/>
  <c r="EA118" i="12" s="1"/>
  <c r="EH192" i="12"/>
  <c r="EJ192" i="12" s="1"/>
  <c r="EI192" i="12" s="1"/>
  <c r="EK192" i="12" s="1"/>
  <c r="ED175" i="12"/>
  <c r="EF175" i="12" s="1"/>
  <c r="EE175" i="12" s="1"/>
  <c r="EG175" i="12" s="1"/>
  <c r="DZ21" i="12"/>
  <c r="EA21" i="12" s="1"/>
  <c r="ED141" i="12"/>
  <c r="EF141" i="12" s="1"/>
  <c r="EE141" i="12" s="1"/>
  <c r="EG141" i="12" s="1"/>
  <c r="DZ78" i="12"/>
  <c r="EA78" i="12" s="1"/>
  <c r="DZ154" i="12"/>
  <c r="EA154" i="12" s="1"/>
  <c r="EB154" i="12" s="1"/>
  <c r="EC154" i="12" s="1"/>
  <c r="EH157" i="12"/>
  <c r="EJ157" i="12" s="1"/>
  <c r="EI157" i="12" s="1"/>
  <c r="EK157" i="12" s="1"/>
  <c r="ED73" i="12"/>
  <c r="EF73" i="12" s="1"/>
  <c r="EE73" i="12" s="1"/>
  <c r="EG73" i="12" s="1"/>
  <c r="I14" i="12"/>
  <c r="J14" i="12" s="1"/>
  <c r="EH177" i="12"/>
  <c r="EJ177" i="12" s="1"/>
  <c r="EI177" i="12" s="1"/>
  <c r="EK177" i="12" s="1"/>
  <c r="EH43" i="12"/>
  <c r="EJ43" i="12" s="1"/>
  <c r="EI43" i="12" s="1"/>
  <c r="EK43" i="12" s="1"/>
  <c r="ED45" i="12"/>
  <c r="EF45" i="12" s="1"/>
  <c r="EE45" i="12" s="1"/>
  <c r="EG45" i="12" s="1"/>
  <c r="ED48" i="12"/>
  <c r="EF48" i="12" s="1"/>
  <c r="EE48" i="12" s="1"/>
  <c r="EG48" i="12" s="1"/>
  <c r="EH176" i="12"/>
  <c r="EJ176" i="12" s="1"/>
  <c r="EI176" i="12" s="1"/>
  <c r="EK176" i="12" s="1"/>
  <c r="ED187" i="12"/>
  <c r="EF187" i="12" s="1"/>
  <c r="EE187" i="12" s="1"/>
  <c r="EG187" i="12" s="1"/>
  <c r="DZ70" i="12"/>
  <c r="EA70" i="12" s="1"/>
  <c r="DZ127" i="12"/>
  <c r="EA127" i="12" s="1"/>
  <c r="EB127" i="12" s="1"/>
  <c r="EC127" i="12" s="1"/>
  <c r="ED127" i="12"/>
  <c r="EF127" i="12" s="1"/>
  <c r="EE127" i="12" s="1"/>
  <c r="EG127" i="12" s="1"/>
  <c r="EH59" i="12"/>
  <c r="EJ59" i="12" s="1"/>
  <c r="EI59" i="12" s="1"/>
  <c r="EK59" i="12" s="1"/>
  <c r="ED145" i="12"/>
  <c r="EF145" i="12" s="1"/>
  <c r="EE145" i="12" s="1"/>
  <c r="EG145" i="12" s="1"/>
  <c r="ED98" i="12"/>
  <c r="EF98" i="12" s="1"/>
  <c r="EE98" i="12" s="1"/>
  <c r="EG98" i="12" s="1"/>
  <c r="DZ45" i="12"/>
  <c r="EA45" i="12" s="1"/>
  <c r="ED58" i="12"/>
  <c r="EF58" i="12" s="1"/>
  <c r="EE58" i="12" s="1"/>
  <c r="EG58" i="12" s="1"/>
  <c r="DZ174" i="12"/>
  <c r="EA174" i="12" s="1"/>
  <c r="EB174" i="12" s="1"/>
  <c r="EC174" i="12" s="1"/>
  <c r="ED143" i="12"/>
  <c r="EF143" i="12" s="1"/>
  <c r="EE143" i="12" s="1"/>
  <c r="EG143" i="12" s="1"/>
  <c r="I8" i="12"/>
  <c r="J8" i="12" s="1"/>
  <c r="I10" i="12"/>
  <c r="J10" i="12" s="1"/>
  <c r="I151" i="12"/>
  <c r="J151" i="12" s="1"/>
  <c r="K151" i="12" s="1"/>
  <c r="L151" i="12" s="1"/>
  <c r="I120" i="12"/>
  <c r="J120" i="12" s="1"/>
  <c r="I150" i="12"/>
  <c r="J150" i="12" s="1"/>
  <c r="K150" i="12" s="1"/>
  <c r="L150" i="12" s="1"/>
  <c r="EH48" i="12"/>
  <c r="EJ48" i="12" s="1"/>
  <c r="EI48" i="12" s="1"/>
  <c r="EK48" i="12" s="1"/>
  <c r="EH144" i="12"/>
  <c r="EJ144" i="12" s="1"/>
  <c r="EI144" i="12" s="1"/>
  <c r="EK144" i="12" s="1"/>
  <c r="ED102" i="12"/>
  <c r="EF102" i="12" s="1"/>
  <c r="EE102" i="12" s="1"/>
  <c r="EG102" i="12" s="1"/>
  <c r="EH99" i="12"/>
  <c r="EJ99" i="12" s="1"/>
  <c r="EI99" i="12" s="1"/>
  <c r="EK99" i="12" s="1"/>
  <c r="ED125" i="12"/>
  <c r="EF125" i="12" s="1"/>
  <c r="EE125" i="12" s="1"/>
  <c r="EG125" i="12" s="1"/>
  <c r="I9" i="12"/>
  <c r="J9" i="12" s="1"/>
  <c r="ED84" i="12"/>
  <c r="EF84" i="12" s="1"/>
  <c r="EE84" i="12" s="1"/>
  <c r="EG84" i="12" s="1"/>
  <c r="DZ177" i="12"/>
  <c r="EA177" i="12" s="1"/>
  <c r="EB177" i="12" s="1"/>
  <c r="EC177" i="12" s="1"/>
  <c r="ED170" i="12"/>
  <c r="EF170" i="12" s="1"/>
  <c r="EE170" i="12" s="1"/>
  <c r="EG170" i="12" s="1"/>
  <c r="I74" i="12"/>
  <c r="J74" i="12" s="1"/>
  <c r="I101" i="12"/>
  <c r="J101" i="12" s="1"/>
  <c r="EH103" i="12"/>
  <c r="EJ103" i="12" s="1"/>
  <c r="EI103" i="12" s="1"/>
  <c r="EK103" i="12" s="1"/>
  <c r="ED71" i="12"/>
  <c r="EF71" i="12" s="1"/>
  <c r="EE71" i="12" s="1"/>
  <c r="EG71" i="12" s="1"/>
  <c r="I109" i="12"/>
  <c r="J109" i="12" s="1"/>
  <c r="I56" i="12"/>
  <c r="J56" i="12" s="1"/>
  <c r="DZ58" i="12"/>
  <c r="EA58" i="12" s="1"/>
  <c r="EH184" i="12"/>
  <c r="EJ184" i="12" s="1"/>
  <c r="EI184" i="12" s="1"/>
  <c r="EK184" i="12" s="1"/>
  <c r="ED115" i="12"/>
  <c r="EF115" i="12" s="1"/>
  <c r="EE115" i="12" s="1"/>
  <c r="EG115" i="12" s="1"/>
  <c r="EH112" i="12"/>
  <c r="EJ112" i="12" s="1"/>
  <c r="EI112" i="12" s="1"/>
  <c r="EK112" i="12" s="1"/>
  <c r="ED28" i="12"/>
  <c r="EF28" i="12" s="1"/>
  <c r="EE28" i="12" s="1"/>
  <c r="EG28" i="12" s="1"/>
  <c r="EH116" i="12"/>
  <c r="EJ116" i="12" s="1"/>
  <c r="EI116" i="12" s="1"/>
  <c r="EK116" i="12" s="1"/>
  <c r="DZ161" i="12"/>
  <c r="EA161" i="12" s="1"/>
  <c r="EB161" i="12" s="1"/>
  <c r="EC161" i="12" s="1"/>
  <c r="EH150" i="12"/>
  <c r="EJ150" i="12" s="1"/>
  <c r="EI150" i="12" s="1"/>
  <c r="EK150" i="12" s="1"/>
  <c r="EH28" i="12"/>
  <c r="EJ28" i="12" s="1"/>
  <c r="EI28" i="12" s="1"/>
  <c r="EK28" i="12" s="1"/>
  <c r="ED144" i="12"/>
  <c r="EF144" i="12" s="1"/>
  <c r="EE144" i="12" s="1"/>
  <c r="EG144" i="12" s="1"/>
  <c r="EH114" i="12"/>
  <c r="EJ114" i="12" s="1"/>
  <c r="EI114" i="12" s="1"/>
  <c r="EK114" i="12" s="1"/>
  <c r="DZ30" i="12"/>
  <c r="EA30" i="12" s="1"/>
  <c r="ED47" i="12"/>
  <c r="EF47" i="12" s="1"/>
  <c r="EE47" i="12" s="1"/>
  <c r="EG47" i="12" s="1"/>
  <c r="I64" i="12"/>
  <c r="J64" i="12" s="1"/>
  <c r="I138" i="12"/>
  <c r="J138" i="12" s="1"/>
  <c r="K138" i="12" s="1"/>
  <c r="L138" i="12" s="1"/>
  <c r="I189" i="12"/>
  <c r="J189" i="12" s="1"/>
  <c r="K189" i="12" s="1"/>
  <c r="L189" i="12" s="1"/>
  <c r="ED105" i="12"/>
  <c r="EF105" i="12" s="1"/>
  <c r="EE105" i="12" s="1"/>
  <c r="EG105" i="12" s="1"/>
  <c r="ED139" i="12"/>
  <c r="EF139" i="12" s="1"/>
  <c r="EE139" i="12" s="1"/>
  <c r="EG139" i="12" s="1"/>
  <c r="EH57" i="12"/>
  <c r="EJ57" i="12" s="1"/>
  <c r="EI57" i="12" s="1"/>
  <c r="EK57" i="12" s="1"/>
  <c r="ED60" i="12"/>
  <c r="EF60" i="12" s="1"/>
  <c r="EE60" i="12" s="1"/>
  <c r="EG60" i="12" s="1"/>
  <c r="I72" i="12"/>
  <c r="J72" i="12" s="1"/>
  <c r="ED163" i="12"/>
  <c r="EF163" i="12" s="1"/>
  <c r="EE163" i="12" s="1"/>
  <c r="EG163" i="12" s="1"/>
  <c r="EH164" i="12"/>
  <c r="EJ164" i="12" s="1"/>
  <c r="EI164" i="12" s="1"/>
  <c r="EK164" i="12" s="1"/>
  <c r="I95" i="12"/>
  <c r="J95" i="12" s="1"/>
  <c r="I57" i="12"/>
  <c r="J57" i="12" s="1"/>
  <c r="EH125" i="12"/>
  <c r="EJ125" i="12" s="1"/>
  <c r="EI125" i="12" s="1"/>
  <c r="EK125" i="12" s="1"/>
  <c r="I83" i="12"/>
  <c r="J83" i="12" s="1"/>
  <c r="ED155" i="12"/>
  <c r="EF155" i="12" s="1"/>
  <c r="EE155" i="12" s="1"/>
  <c r="EG155" i="12" s="1"/>
  <c r="EH77" i="12"/>
  <c r="EJ77" i="12" s="1"/>
  <c r="EI77" i="12" s="1"/>
  <c r="EK77" i="12" s="1"/>
  <c r="EH173" i="12"/>
  <c r="EJ173" i="12" s="1"/>
  <c r="EI173" i="12" s="1"/>
  <c r="EK173" i="12" s="1"/>
  <c r="ED51" i="12"/>
  <c r="EF51" i="12" s="1"/>
  <c r="EE51" i="12" s="1"/>
  <c r="EG51" i="12" s="1"/>
  <c r="EH151" i="12"/>
  <c r="EJ151" i="12" s="1"/>
  <c r="EI151" i="12" s="1"/>
  <c r="EK151" i="12" s="1"/>
  <c r="EH92" i="12"/>
  <c r="EJ92" i="12" s="1"/>
  <c r="EI92" i="12" s="1"/>
  <c r="EK92" i="12" s="1"/>
  <c r="EH129" i="12"/>
  <c r="EJ129" i="12" s="1"/>
  <c r="EI129" i="12" s="1"/>
  <c r="EK129" i="12" s="1"/>
  <c r="DZ145" i="12"/>
  <c r="EA145" i="12" s="1"/>
  <c r="EB145" i="12" s="1"/>
  <c r="EC145" i="12" s="1"/>
  <c r="ED99" i="12"/>
  <c r="EF99" i="12" s="1"/>
  <c r="EE99" i="12" s="1"/>
  <c r="EG99" i="12" s="1"/>
  <c r="EH53" i="12"/>
  <c r="EJ53" i="12" s="1"/>
  <c r="EI53" i="12" s="1"/>
  <c r="EK53" i="12" s="1"/>
  <c r="ED117" i="12"/>
  <c r="EF117" i="12" s="1"/>
  <c r="EE117" i="12" s="1"/>
  <c r="EG117" i="12" s="1"/>
  <c r="ED178" i="12"/>
  <c r="EF178" i="12" s="1"/>
  <c r="EE178" i="12" s="1"/>
  <c r="EG178" i="12" s="1"/>
  <c r="EH83" i="12"/>
  <c r="EJ83" i="12" s="1"/>
  <c r="EI83" i="12" s="1"/>
  <c r="EK83" i="12" s="1"/>
  <c r="DZ184" i="12"/>
  <c r="EA184" i="12" s="1"/>
  <c r="EB184" i="12" s="1"/>
  <c r="EC184" i="12" s="1"/>
  <c r="EH101" i="12"/>
  <c r="EJ101" i="12" s="1"/>
  <c r="EI101" i="12" s="1"/>
  <c r="EK101" i="12" s="1"/>
  <c r="ED25" i="12"/>
  <c r="EF25" i="12" s="1"/>
  <c r="EE25" i="12" s="1"/>
  <c r="EG25" i="12" s="1"/>
  <c r="DZ195" i="12"/>
  <c r="EA195" i="12" s="1"/>
  <c r="EB195" i="12" s="1"/>
  <c r="EC195" i="12" s="1"/>
  <c r="DZ84" i="12"/>
  <c r="EA84" i="12" s="1"/>
  <c r="EH75" i="12"/>
  <c r="EJ75" i="12" s="1"/>
  <c r="EI75" i="12" s="1"/>
  <c r="EK75" i="12" s="1"/>
  <c r="DZ168" i="12"/>
  <c r="EA168" i="12" s="1"/>
  <c r="EB168" i="12" s="1"/>
  <c r="EC168" i="12" s="1"/>
  <c r="DZ193" i="12"/>
  <c r="EA193" i="12" s="1"/>
  <c r="EB193" i="12" s="1"/>
  <c r="EC193" i="12" s="1"/>
  <c r="ED4" i="12"/>
  <c r="EF4" i="12" s="1"/>
  <c r="EH8" i="12"/>
  <c r="EJ8" i="12" s="1"/>
  <c r="EH94" i="12"/>
  <c r="EJ94" i="12" s="1"/>
  <c r="EI94" i="12" s="1"/>
  <c r="EK94" i="12" s="1"/>
  <c r="ED8" i="12"/>
  <c r="EF8" i="12" s="1"/>
  <c r="EH119" i="12"/>
  <c r="EJ119" i="12" s="1"/>
  <c r="EI119" i="12" s="1"/>
  <c r="EK119" i="12" s="1"/>
  <c r="EH12" i="12"/>
  <c r="EJ12" i="12" s="1"/>
  <c r="DZ63" i="12"/>
  <c r="EA63" i="12" s="1"/>
  <c r="EH4" i="12"/>
  <c r="EJ4" i="12" s="1"/>
  <c r="DZ163" i="12"/>
  <c r="EA163" i="12" s="1"/>
  <c r="EB163" i="12" s="1"/>
  <c r="EC163" i="12" s="1"/>
  <c r="DZ176" i="12"/>
  <c r="EA176" i="12" s="1"/>
  <c r="EB176" i="12" s="1"/>
  <c r="EC176" i="12" s="1"/>
  <c r="ED14" i="12"/>
  <c r="EF14" i="12" s="1"/>
  <c r="DZ185" i="12"/>
  <c r="EA185" i="12" s="1"/>
  <c r="EB185" i="12" s="1"/>
  <c r="EC185" i="12" s="1"/>
  <c r="EH90" i="12"/>
  <c r="EJ90" i="12" s="1"/>
  <c r="EI90" i="12" s="1"/>
  <c r="EK90" i="12" s="1"/>
  <c r="ED75" i="12"/>
  <c r="EF75" i="12" s="1"/>
  <c r="EE75" i="12" s="1"/>
  <c r="EG75" i="12" s="1"/>
  <c r="DZ199" i="12"/>
  <c r="EA199" i="12" s="1"/>
  <c r="EB199" i="12" s="1"/>
  <c r="EC199" i="12" s="1"/>
  <c r="DZ167" i="12"/>
  <c r="EA167" i="12" s="1"/>
  <c r="EB167" i="12" s="1"/>
  <c r="EC167" i="12" s="1"/>
  <c r="EH7" i="12"/>
  <c r="EJ7" i="12" s="1"/>
  <c r="DZ41" i="12"/>
  <c r="EA41" i="12" s="1"/>
  <c r="DZ105" i="12"/>
  <c r="EA105" i="12" s="1"/>
  <c r="ED162" i="12"/>
  <c r="EF162" i="12" s="1"/>
  <c r="EE162" i="12" s="1"/>
  <c r="EG162" i="12" s="1"/>
  <c r="EH134" i="12"/>
  <c r="EJ134" i="12" s="1"/>
  <c r="EI134" i="12" s="1"/>
  <c r="EK134" i="12" s="1"/>
  <c r="DZ33" i="12"/>
  <c r="EA33" i="12" s="1"/>
  <c r="ED189" i="12"/>
  <c r="EF189" i="12" s="1"/>
  <c r="EE189" i="12" s="1"/>
  <c r="EG189" i="12" s="1"/>
  <c r="EH142" i="12"/>
  <c r="EJ142" i="12" s="1"/>
  <c r="EI142" i="12" s="1"/>
  <c r="EK142" i="12" s="1"/>
  <c r="DZ11" i="12"/>
  <c r="EA11" i="12" s="1"/>
  <c r="ED3" i="12"/>
  <c r="EF3" i="12" s="1"/>
  <c r="EH128" i="12"/>
  <c r="EJ128" i="12" s="1"/>
  <c r="EI128" i="12" s="1"/>
  <c r="EK128" i="12" s="1"/>
  <c r="DZ80" i="12"/>
  <c r="EA80" i="12" s="1"/>
  <c r="ED174" i="12"/>
  <c r="EF174" i="12" s="1"/>
  <c r="EE174" i="12" s="1"/>
  <c r="EG174" i="12" s="1"/>
  <c r="EH80" i="12"/>
  <c r="EJ80" i="12" s="1"/>
  <c r="EI80" i="12" s="1"/>
  <c r="EK80" i="12" s="1"/>
  <c r="DZ144" i="12"/>
  <c r="EA144" i="12" s="1"/>
  <c r="EB144" i="12" s="1"/>
  <c r="EC144" i="12" s="1"/>
  <c r="I139" i="12"/>
  <c r="J139" i="12" s="1"/>
  <c r="K139" i="12" s="1"/>
  <c r="L139" i="12" s="1"/>
  <c r="I121" i="12"/>
  <c r="J121" i="12" s="1"/>
  <c r="I25" i="12"/>
  <c r="J25" i="12" s="1"/>
  <c r="I156" i="12"/>
  <c r="J156" i="12" s="1"/>
  <c r="K156" i="12" s="1"/>
  <c r="L156" i="12" s="1"/>
  <c r="EH61" i="12"/>
  <c r="EJ61" i="12" s="1"/>
  <c r="EI61" i="12" s="1"/>
  <c r="EK61" i="12" s="1"/>
  <c r="EH166" i="12"/>
  <c r="EJ166" i="12" s="1"/>
  <c r="EI166" i="12" s="1"/>
  <c r="EK166" i="12" s="1"/>
  <c r="I3" i="12"/>
  <c r="J3" i="12" s="1"/>
  <c r="I181" i="12"/>
  <c r="J181" i="12" s="1"/>
  <c r="K181" i="12" s="1"/>
  <c r="L181" i="12" s="1"/>
  <c r="I119" i="12"/>
  <c r="J119" i="12" s="1"/>
  <c r="I170" i="12"/>
  <c r="J170" i="12" s="1"/>
  <c r="K170" i="12" s="1"/>
  <c r="L170" i="12" s="1"/>
  <c r="I19" i="12"/>
  <c r="J19" i="12" s="1"/>
  <c r="I193" i="12"/>
  <c r="J193" i="12" s="1"/>
  <c r="K193" i="12" s="1"/>
  <c r="L193" i="12" s="1"/>
  <c r="ED160" i="12"/>
  <c r="EF160" i="12" s="1"/>
  <c r="EE160" i="12" s="1"/>
  <c r="EG160" i="12" s="1"/>
  <c r="I196" i="12"/>
  <c r="J196" i="12" s="1"/>
  <c r="K196" i="12" s="1"/>
  <c r="L196" i="12" s="1"/>
  <c r="I155" i="12"/>
  <c r="J155" i="12" s="1"/>
  <c r="K155" i="12" s="1"/>
  <c r="L155" i="12" s="1"/>
  <c r="I145" i="12"/>
  <c r="J145" i="12" s="1"/>
  <c r="K145" i="12" s="1"/>
  <c r="L145" i="12" s="1"/>
  <c r="I66" i="12"/>
  <c r="J66" i="12" s="1"/>
  <c r="ED196" i="12"/>
  <c r="EF196" i="12" s="1"/>
  <c r="EE196" i="12" s="1"/>
  <c r="EG196" i="12" s="1"/>
  <c r="DZ159" i="12"/>
  <c r="EA159" i="12" s="1"/>
  <c r="EB159" i="12" s="1"/>
  <c r="EC159" i="12" s="1"/>
  <c r="I199" i="12"/>
  <c r="J199" i="12" s="1"/>
  <c r="K199" i="12" s="1"/>
  <c r="L199" i="12" s="1"/>
  <c r="I111" i="12"/>
  <c r="J111" i="12" s="1"/>
  <c r="I192" i="12"/>
  <c r="J192" i="12" s="1"/>
  <c r="K192" i="12" s="1"/>
  <c r="L192" i="12" s="1"/>
  <c r="I157" i="12"/>
  <c r="J157" i="12" s="1"/>
  <c r="K157" i="12" s="1"/>
  <c r="L157" i="12" s="1"/>
  <c r="I39" i="12"/>
  <c r="J39" i="12" s="1"/>
  <c r="EH30" i="12"/>
  <c r="EJ30" i="12" s="1"/>
  <c r="EI30" i="12" s="1"/>
  <c r="EK30" i="12" s="1"/>
  <c r="EH174" i="12"/>
  <c r="EJ174" i="12" s="1"/>
  <c r="EI174" i="12" s="1"/>
  <c r="EK174" i="12" s="1"/>
  <c r="I27" i="12"/>
  <c r="J27" i="12" s="1"/>
  <c r="I175" i="12"/>
  <c r="J175" i="12" s="1"/>
  <c r="K175" i="12" s="1"/>
  <c r="L175" i="12" s="1"/>
  <c r="I36" i="12"/>
  <c r="J36" i="12" s="1"/>
  <c r="I37" i="12"/>
  <c r="J37" i="12" s="1"/>
  <c r="I190" i="12"/>
  <c r="J190" i="12" s="1"/>
  <c r="K190" i="12" s="1"/>
  <c r="L190" i="12" s="1"/>
  <c r="I153" i="12"/>
  <c r="J153" i="12" s="1"/>
  <c r="K153" i="12" s="1"/>
  <c r="L153" i="12" s="1"/>
  <c r="EH73" i="12"/>
  <c r="EJ73" i="12" s="1"/>
  <c r="EI73" i="12" s="1"/>
  <c r="EK73" i="12" s="1"/>
  <c r="EH54" i="12"/>
  <c r="EJ54" i="12" s="1"/>
  <c r="EI54" i="12" s="1"/>
  <c r="EK54" i="12" s="1"/>
  <c r="ED64" i="12"/>
  <c r="EF64" i="12" s="1"/>
  <c r="EE64" i="12" s="1"/>
  <c r="EG64" i="12" s="1"/>
  <c r="I52" i="12"/>
  <c r="J52" i="12" s="1"/>
  <c r="EH52" i="12"/>
  <c r="EJ52" i="12" s="1"/>
  <c r="EI52" i="12" s="1"/>
  <c r="EK52" i="12" s="1"/>
  <c r="ED81" i="12"/>
  <c r="EF81" i="12" s="1"/>
  <c r="EE81" i="12" s="1"/>
  <c r="EG81" i="12" s="1"/>
  <c r="DZ136" i="12"/>
  <c r="EA136" i="12" s="1"/>
  <c r="EB136" i="12" s="1"/>
  <c r="EC136" i="12" s="1"/>
  <c r="I33" i="12"/>
  <c r="J33" i="12" s="1"/>
  <c r="ED43" i="12"/>
  <c r="EF43" i="12" s="1"/>
  <c r="EE43" i="12" s="1"/>
  <c r="EG43" i="12" s="1"/>
  <c r="ED37" i="12"/>
  <c r="EF37" i="12" s="1"/>
  <c r="EE37" i="12" s="1"/>
  <c r="EG37" i="12" s="1"/>
  <c r="I105" i="12"/>
  <c r="J105" i="12" s="1"/>
  <c r="I47" i="12"/>
  <c r="J47" i="12" s="1"/>
  <c r="EH44" i="12"/>
  <c r="EJ44" i="12" s="1"/>
  <c r="EI44" i="12" s="1"/>
  <c r="EK44" i="12" s="1"/>
  <c r="EH58" i="12"/>
  <c r="EJ58" i="12" s="1"/>
  <c r="EI58" i="12" s="1"/>
  <c r="EK58" i="12" s="1"/>
  <c r="ED169" i="12"/>
  <c r="EF169" i="12" s="1"/>
  <c r="EE169" i="12" s="1"/>
  <c r="EG169" i="12" s="1"/>
  <c r="DZ180" i="12"/>
  <c r="EA180" i="12" s="1"/>
  <c r="EB180" i="12" s="1"/>
  <c r="EC180" i="12" s="1"/>
  <c r="ED6" i="12"/>
  <c r="EF6" i="12" s="1"/>
  <c r="DZ76" i="12"/>
  <c r="EA76" i="12" s="1"/>
  <c r="DZ26" i="12"/>
  <c r="EA26" i="12" s="1"/>
  <c r="EH34" i="12"/>
  <c r="EJ34" i="12" s="1"/>
  <c r="EI34" i="12" s="1"/>
  <c r="EK34" i="12" s="1"/>
  <c r="ED177" i="12"/>
  <c r="EF177" i="12" s="1"/>
  <c r="EE177" i="12" s="1"/>
  <c r="EG177" i="12" s="1"/>
  <c r="ED157" i="12"/>
  <c r="EF157" i="12" s="1"/>
  <c r="EE157" i="12" s="1"/>
  <c r="EG157" i="12" s="1"/>
  <c r="DZ48" i="12"/>
  <c r="EA48" i="12" s="1"/>
  <c r="EH60" i="12"/>
  <c r="EJ60" i="12" s="1"/>
  <c r="EI60" i="12" s="1"/>
  <c r="EK60" i="12" s="1"/>
  <c r="EH6" i="12"/>
  <c r="EJ6" i="12" s="1"/>
  <c r="I110" i="12"/>
  <c r="J110" i="12" s="1"/>
  <c r="EH148" i="12"/>
  <c r="EJ148" i="12" s="1"/>
  <c r="EI148" i="12" s="1"/>
  <c r="EK148" i="12" s="1"/>
  <c r="EH167" i="12"/>
  <c r="EJ167" i="12" s="1"/>
  <c r="EI167" i="12" s="1"/>
  <c r="EK167" i="12" s="1"/>
  <c r="EH46" i="12"/>
  <c r="EJ46" i="12" s="1"/>
  <c r="EI46" i="12" s="1"/>
  <c r="EK46" i="12" s="1"/>
  <c r="EH131" i="12"/>
  <c r="EJ131" i="12" s="1"/>
  <c r="EI131" i="12" s="1"/>
  <c r="EK131" i="12" s="1"/>
  <c r="ED180" i="12"/>
  <c r="EF180" i="12" s="1"/>
  <c r="EE180" i="12" s="1"/>
  <c r="EG180" i="12" s="1"/>
  <c r="EH41" i="12"/>
  <c r="EJ41" i="12" s="1"/>
  <c r="EI41" i="12" s="1"/>
  <c r="EK41" i="12" s="1"/>
  <c r="ED40" i="12"/>
  <c r="EF40" i="12" s="1"/>
  <c r="EE40" i="12" s="1"/>
  <c r="EG40" i="12" s="1"/>
  <c r="DZ116" i="12"/>
  <c r="EA116" i="12" s="1"/>
  <c r="ED33" i="12"/>
  <c r="EF33" i="12" s="1"/>
  <c r="EE33" i="12" s="1"/>
  <c r="EG33" i="12" s="1"/>
  <c r="ED21" i="12"/>
  <c r="EF21" i="12" s="1"/>
  <c r="EE21" i="12" s="1"/>
  <c r="EG21" i="12" s="1"/>
  <c r="ED77" i="12"/>
  <c r="EF77" i="12" s="1"/>
  <c r="EE77" i="12" s="1"/>
  <c r="EG77" i="12" s="1"/>
  <c r="EH143" i="12"/>
  <c r="EJ143" i="12" s="1"/>
  <c r="EI143" i="12" s="1"/>
  <c r="EK143" i="12" s="1"/>
  <c r="ED70" i="12"/>
  <c r="EF70" i="12" s="1"/>
  <c r="EE70" i="12" s="1"/>
  <c r="EG70" i="12" s="1"/>
  <c r="EH145" i="12"/>
  <c r="EJ145" i="12" s="1"/>
  <c r="EI145" i="12" s="1"/>
  <c r="EK145" i="12" s="1"/>
  <c r="ED69" i="12"/>
  <c r="EF69" i="12" s="1"/>
  <c r="EE69" i="12" s="1"/>
  <c r="EG69" i="12" s="1"/>
  <c r="DZ171" i="12"/>
  <c r="EA171" i="12" s="1"/>
  <c r="EB171" i="12" s="1"/>
  <c r="EC171" i="12" s="1"/>
  <c r="I38" i="12"/>
  <c r="J38" i="12" s="1"/>
  <c r="I17" i="12"/>
  <c r="J17" i="12" s="1"/>
  <c r="I77" i="12"/>
  <c r="J77" i="12" s="1"/>
  <c r="I134" i="12"/>
  <c r="J134" i="12" s="1"/>
  <c r="K134" i="12" s="1"/>
  <c r="L134" i="12" s="1"/>
  <c r="I160" i="12"/>
  <c r="J160" i="12" s="1"/>
  <c r="K160" i="12" s="1"/>
  <c r="L160" i="12" s="1"/>
  <c r="ED67" i="12"/>
  <c r="EF67" i="12" s="1"/>
  <c r="EE67" i="12" s="1"/>
  <c r="EG67" i="12" s="1"/>
  <c r="DZ49" i="12"/>
  <c r="EA49" i="12" s="1"/>
  <c r="ED137" i="12"/>
  <c r="EF137" i="12" s="1"/>
  <c r="EE137" i="12" s="1"/>
  <c r="EG137" i="12" s="1"/>
  <c r="ED59" i="12"/>
  <c r="EF59" i="12" s="1"/>
  <c r="EE59" i="12" s="1"/>
  <c r="EG59" i="12" s="1"/>
  <c r="ED185" i="12"/>
  <c r="EF185" i="12" s="1"/>
  <c r="EE185" i="12" s="1"/>
  <c r="EG185" i="12" s="1"/>
  <c r="I46" i="12"/>
  <c r="J46" i="12" s="1"/>
  <c r="EH97" i="12"/>
  <c r="EJ97" i="12" s="1"/>
  <c r="EI97" i="12" s="1"/>
  <c r="EK97" i="12" s="1"/>
  <c r="DZ28" i="12"/>
  <c r="EA28" i="12" s="1"/>
  <c r="EH42" i="12"/>
  <c r="EJ42" i="12" s="1"/>
  <c r="EI42" i="12" s="1"/>
  <c r="EK42" i="12" s="1"/>
  <c r="I92" i="12"/>
  <c r="J92" i="12" s="1"/>
  <c r="I80" i="12"/>
  <c r="J80" i="12" s="1"/>
  <c r="EH68" i="12"/>
  <c r="EJ68" i="12" s="1"/>
  <c r="EI68" i="12" s="1"/>
  <c r="EK68" i="12" s="1"/>
  <c r="EH200" i="12"/>
  <c r="EJ200" i="12" s="1"/>
  <c r="EI200" i="12" s="1"/>
  <c r="EK200" i="12" s="1"/>
  <c r="ED184" i="12"/>
  <c r="EF184" i="12" s="1"/>
  <c r="EE184" i="12" s="1"/>
  <c r="EG184" i="12" s="1"/>
  <c r="I35" i="12"/>
  <c r="J35" i="12" s="1"/>
  <c r="DZ87" i="12"/>
  <c r="EA87" i="12" s="1"/>
  <c r="DZ22" i="12"/>
  <c r="EA22" i="12" s="1"/>
  <c r="EH37" i="12"/>
  <c r="EJ37" i="12" s="1"/>
  <c r="EI37" i="12" s="1"/>
  <c r="EK37" i="12" s="1"/>
  <c r="EH195" i="12"/>
  <c r="EJ195" i="12" s="1"/>
  <c r="EI195" i="12" s="1"/>
  <c r="EK195" i="12" s="1"/>
  <c r="ED198" i="12"/>
  <c r="EF198" i="12" s="1"/>
  <c r="EE198" i="12" s="1"/>
  <c r="EG198" i="12" s="1"/>
  <c r="ED132" i="12"/>
  <c r="EF132" i="12" s="1"/>
  <c r="EE132" i="12" s="1"/>
  <c r="EG132" i="12" s="1"/>
  <c r="DZ158" i="12"/>
  <c r="EA158" i="12" s="1"/>
  <c r="EB158" i="12" s="1"/>
  <c r="EC158" i="12" s="1"/>
  <c r="ED110" i="12"/>
  <c r="EF110" i="12" s="1"/>
  <c r="EE110" i="12" s="1"/>
  <c r="EG110" i="12" s="1"/>
  <c r="DZ198" i="12"/>
  <c r="EA198" i="12" s="1"/>
  <c r="EB198" i="12" s="1"/>
  <c r="EC198" i="12" s="1"/>
  <c r="ED100" i="12"/>
  <c r="EF100" i="12" s="1"/>
  <c r="EE100" i="12" s="1"/>
  <c r="EG100" i="12" s="1"/>
  <c r="EH198" i="12"/>
  <c r="EJ198" i="12" s="1"/>
  <c r="EI198" i="12" s="1"/>
  <c r="EK198" i="12" s="1"/>
  <c r="ED107" i="12"/>
  <c r="EF107" i="12" s="1"/>
  <c r="EE107" i="12" s="1"/>
  <c r="EG107" i="12" s="1"/>
  <c r="ED88" i="12"/>
  <c r="EF88" i="12" s="1"/>
  <c r="EE88" i="12" s="1"/>
  <c r="EG88" i="12" s="1"/>
  <c r="ED152" i="12"/>
  <c r="EF152" i="12" s="1"/>
  <c r="EE152" i="12" s="1"/>
  <c r="EG152" i="12" s="1"/>
  <c r="I183" i="12"/>
  <c r="J183" i="12" s="1"/>
  <c r="K183" i="12" s="1"/>
  <c r="L183" i="12" s="1"/>
  <c r="I144" i="12"/>
  <c r="J144" i="12" s="1"/>
  <c r="K144" i="12" s="1"/>
  <c r="L144" i="12" s="1"/>
  <c r="I171" i="12"/>
  <c r="J171" i="12" s="1"/>
  <c r="K171" i="12" s="1"/>
  <c r="L171" i="12" s="1"/>
  <c r="ED168" i="12"/>
  <c r="EF168" i="12" s="1"/>
  <c r="EE168" i="12" s="1"/>
  <c r="EG168" i="12" s="1"/>
  <c r="EH33" i="12"/>
  <c r="EJ33" i="12" s="1"/>
  <c r="EI33" i="12" s="1"/>
  <c r="EK33" i="12" s="1"/>
  <c r="EH155" i="12"/>
  <c r="EJ155" i="12" s="1"/>
  <c r="EI155" i="12" s="1"/>
  <c r="EK155" i="12" s="1"/>
  <c r="I40" i="12"/>
  <c r="J40" i="12" s="1"/>
  <c r="I6" i="12"/>
  <c r="J6" i="12" s="1"/>
  <c r="EH156" i="12"/>
  <c r="EJ156" i="12" s="1"/>
  <c r="EI156" i="12" s="1"/>
  <c r="EK156" i="12" s="1"/>
  <c r="ED39" i="12"/>
  <c r="EF39" i="12" s="1"/>
  <c r="EE39" i="12" s="1"/>
  <c r="EG39" i="12" s="1"/>
  <c r="I69" i="12"/>
  <c r="J69" i="12" s="1"/>
  <c r="ED124" i="12"/>
  <c r="EF124" i="12" s="1"/>
  <c r="EE124" i="12" s="1"/>
  <c r="EG124" i="12" s="1"/>
  <c r="I5" i="12"/>
  <c r="J5" i="12" s="1"/>
  <c r="I67" i="12"/>
  <c r="J67" i="12" s="1"/>
  <c r="DZ183" i="12"/>
  <c r="EA183" i="12" s="1"/>
  <c r="EB183" i="12" s="1"/>
  <c r="EC183" i="12" s="1"/>
  <c r="EH47" i="12"/>
  <c r="EJ47" i="12" s="1"/>
  <c r="EI47" i="12" s="1"/>
  <c r="EK47" i="12" s="1"/>
  <c r="DZ123" i="12"/>
  <c r="EA123" i="12" s="1"/>
  <c r="EH154" i="12"/>
  <c r="EJ154" i="12" s="1"/>
  <c r="EI154" i="12" s="1"/>
  <c r="EK154" i="12" s="1"/>
  <c r="EH187" i="12"/>
  <c r="EJ187" i="12" s="1"/>
  <c r="EI187" i="12" s="1"/>
  <c r="EK187" i="12" s="1"/>
  <c r="DZ155" i="12"/>
  <c r="EA155" i="12" s="1"/>
  <c r="EB155" i="12" s="1"/>
  <c r="EC155" i="12" s="1"/>
  <c r="EH127" i="12"/>
  <c r="EJ127" i="12" s="1"/>
  <c r="EI127" i="12" s="1"/>
  <c r="EK127" i="12" s="1"/>
  <c r="ED57" i="12"/>
  <c r="EF57" i="12" s="1"/>
  <c r="EE57" i="12" s="1"/>
  <c r="EG57" i="12" s="1"/>
  <c r="ED106" i="12"/>
  <c r="EF106" i="12" s="1"/>
  <c r="EE106" i="12" s="1"/>
  <c r="EG106" i="12" s="1"/>
  <c r="ED103" i="12"/>
  <c r="EF103" i="12" s="1"/>
  <c r="EE103" i="12" s="1"/>
  <c r="EG103" i="12" s="1"/>
  <c r="EH25" i="12"/>
  <c r="EJ25" i="12" s="1"/>
  <c r="EI25" i="12" s="1"/>
  <c r="EK25" i="12" s="1"/>
  <c r="EH181" i="12"/>
  <c r="EJ181" i="12" s="1"/>
  <c r="EI181" i="12" s="1"/>
  <c r="EK181" i="12" s="1"/>
  <c r="ED31" i="12"/>
  <c r="EF31" i="12" s="1"/>
  <c r="EE31" i="12" s="1"/>
  <c r="EG31" i="12" s="1"/>
  <c r="DZ42" i="12"/>
  <c r="EA42" i="12" s="1"/>
  <c r="DZ50" i="12"/>
  <c r="EA50" i="12" s="1"/>
  <c r="DZ111" i="12"/>
  <c r="EA111" i="12" s="1"/>
  <c r="DZ172" i="12"/>
  <c r="EA172" i="12" s="1"/>
  <c r="EB172" i="12" s="1"/>
  <c r="EC172" i="12" s="1"/>
  <c r="EH133" i="12"/>
  <c r="EJ133" i="12" s="1"/>
  <c r="EI133" i="12" s="1"/>
  <c r="EK133" i="12" s="1"/>
  <c r="ED52" i="12"/>
  <c r="EF52" i="12" s="1"/>
  <c r="EE52" i="12" s="1"/>
  <c r="EG52" i="12" s="1"/>
  <c r="ED154" i="12"/>
  <c r="EF154" i="12" s="1"/>
  <c r="EE154" i="12" s="1"/>
  <c r="EG154" i="12" s="1"/>
  <c r="ED65" i="12"/>
  <c r="EF65" i="12" s="1"/>
  <c r="EE65" i="12" s="1"/>
  <c r="EG65" i="12" s="1"/>
  <c r="DZ31" i="12"/>
  <c r="EA31" i="12" s="1"/>
  <c r="ED55" i="12"/>
  <c r="EF55" i="12" s="1"/>
  <c r="EE55" i="12" s="1"/>
  <c r="EG55" i="12" s="1"/>
  <c r="DZ68" i="12"/>
  <c r="EA68" i="12" s="1"/>
  <c r="DZ130" i="12"/>
  <c r="EA130" i="12" s="1"/>
  <c r="EB130" i="12" s="1"/>
  <c r="EC130" i="12" s="1"/>
  <c r="EH20" i="12"/>
  <c r="EJ20" i="12" s="1"/>
  <c r="EI20" i="12" s="1"/>
  <c r="EK20" i="12" s="1"/>
  <c r="ED150" i="12"/>
  <c r="EF150" i="12" s="1"/>
  <c r="EE150" i="12" s="1"/>
  <c r="EG150" i="12" s="1"/>
  <c r="ED27" i="12"/>
  <c r="EF27" i="12" s="1"/>
  <c r="EE27" i="12" s="1"/>
  <c r="EG27" i="12" s="1"/>
  <c r="ED66" i="12"/>
  <c r="EF66" i="12" s="1"/>
  <c r="EE66" i="12" s="1"/>
  <c r="EG66" i="12" s="1"/>
  <c r="DZ165" i="12"/>
  <c r="EA165" i="12" s="1"/>
  <c r="EB165" i="12" s="1"/>
  <c r="EC165" i="12" s="1"/>
  <c r="DZ8" i="12"/>
  <c r="EA8" i="12" s="1"/>
  <c r="ED23" i="12"/>
  <c r="EF23" i="12" s="1"/>
  <c r="EE23" i="12" s="1"/>
  <c r="EG23" i="12" s="1"/>
  <c r="ED183" i="12"/>
  <c r="EF183" i="12" s="1"/>
  <c r="EE183" i="12" s="1"/>
  <c r="EG183" i="12" s="1"/>
  <c r="ED136" i="12"/>
  <c r="EF136" i="12" s="1"/>
  <c r="EE136" i="12" s="1"/>
  <c r="EG136" i="12" s="1"/>
  <c r="DZ115" i="12"/>
  <c r="EA115" i="12" s="1"/>
  <c r="ED53" i="12"/>
  <c r="EF53" i="12" s="1"/>
  <c r="EE53" i="12" s="1"/>
  <c r="EG53" i="12" s="1"/>
  <c r="DZ137" i="12"/>
  <c r="EA137" i="12" s="1"/>
  <c r="EB137" i="12" s="1"/>
  <c r="EC137" i="12" s="1"/>
  <c r="DZ197" i="12"/>
  <c r="EA197" i="12" s="1"/>
  <c r="EB197" i="12" s="1"/>
  <c r="EC197" i="12" s="1"/>
  <c r="EH109" i="12"/>
  <c r="EJ109" i="12" s="1"/>
  <c r="EI109" i="12" s="1"/>
  <c r="EK109" i="12" s="1"/>
  <c r="EH17" i="12"/>
  <c r="EJ17" i="12" s="1"/>
  <c r="EI17" i="12" s="1"/>
  <c r="EK17" i="12" s="1"/>
  <c r="DZ134" i="12"/>
  <c r="EA134" i="12" s="1"/>
  <c r="EB134" i="12" s="1"/>
  <c r="EC134" i="12" s="1"/>
  <c r="DZ153" i="12"/>
  <c r="EA153" i="12" s="1"/>
  <c r="EB153" i="12" s="1"/>
  <c r="EC153" i="12" s="1"/>
  <c r="DZ114" i="12"/>
  <c r="EA114" i="12" s="1"/>
  <c r="DZ88" i="12"/>
  <c r="EA88" i="12" s="1"/>
  <c r="ED36" i="12"/>
  <c r="EF36" i="12" s="1"/>
  <c r="EE36" i="12" s="1"/>
  <c r="EG36" i="12" s="1"/>
  <c r="ED54" i="12"/>
  <c r="EF54" i="12" s="1"/>
  <c r="EE54" i="12" s="1"/>
  <c r="EG54" i="12" s="1"/>
  <c r="DZ19" i="12"/>
  <c r="EA19" i="12" s="1"/>
  <c r="I167" i="12"/>
  <c r="J167" i="12" s="1"/>
  <c r="K167" i="12" s="1"/>
  <c r="L167" i="12" s="1"/>
  <c r="I113" i="12"/>
  <c r="J113" i="12" s="1"/>
  <c r="I182" i="12"/>
  <c r="J182" i="12" s="1"/>
  <c r="K182" i="12" s="1"/>
  <c r="L182" i="12" s="1"/>
  <c r="I29" i="12"/>
  <c r="J29" i="12" s="1"/>
  <c r="DZ64" i="12"/>
  <c r="EA64" i="12" s="1"/>
  <c r="EH31" i="12"/>
  <c r="EJ31" i="12" s="1"/>
  <c r="EI31" i="12" s="1"/>
  <c r="EK31" i="12" s="1"/>
  <c r="I104" i="12"/>
  <c r="J104" i="12" s="1"/>
  <c r="I174" i="12"/>
  <c r="J174" i="12" s="1"/>
  <c r="K174" i="12" s="1"/>
  <c r="L174" i="12" s="1"/>
  <c r="I194" i="12"/>
  <c r="J194" i="12" s="1"/>
  <c r="K194" i="12" s="1"/>
  <c r="L194" i="12" s="1"/>
  <c r="I118" i="12"/>
  <c r="J118" i="12" s="1"/>
  <c r="I115" i="12"/>
  <c r="J115" i="12" s="1"/>
  <c r="I87" i="12"/>
  <c r="J87" i="12" s="1"/>
  <c r="I24" i="12"/>
  <c r="J24" i="12" s="1"/>
  <c r="I30" i="12"/>
  <c r="J30" i="12" s="1"/>
  <c r="I198" i="12"/>
  <c r="J198" i="12" s="1"/>
  <c r="K198" i="12" s="1"/>
  <c r="L198" i="12" s="1"/>
  <c r="I137" i="12"/>
  <c r="J137" i="12" s="1"/>
  <c r="K137" i="12" s="1"/>
  <c r="L137" i="12" s="1"/>
  <c r="I60" i="12"/>
  <c r="J60" i="12" s="1"/>
  <c r="I136" i="12"/>
  <c r="J136" i="12" s="1"/>
  <c r="K136" i="12" s="1"/>
  <c r="L136" i="12" s="1"/>
  <c r="EH194" i="12"/>
  <c r="EJ194" i="12" s="1"/>
  <c r="EI194" i="12" s="1"/>
  <c r="EK194" i="12" s="1"/>
  <c r="EH65" i="12"/>
  <c r="EJ65" i="12" s="1"/>
  <c r="EI65" i="12" s="1"/>
  <c r="EK65" i="12" s="1"/>
  <c r="I125" i="12"/>
  <c r="J125" i="12" s="1"/>
  <c r="I112" i="12"/>
  <c r="J112" i="12" s="1"/>
  <c r="I129" i="12"/>
  <c r="J129" i="12" s="1"/>
  <c r="I62" i="12"/>
  <c r="J62" i="12" s="1"/>
  <c r="I173" i="12"/>
  <c r="J173" i="12" s="1"/>
  <c r="K173" i="12" s="1"/>
  <c r="L173" i="12" s="1"/>
  <c r="DZ147" i="12"/>
  <c r="EA147" i="12" s="1"/>
  <c r="EB147" i="12" s="1"/>
  <c r="EC147" i="12" s="1"/>
  <c r="EH188" i="12"/>
  <c r="EJ188" i="12" s="1"/>
  <c r="EI188" i="12" s="1"/>
  <c r="EK188" i="12" s="1"/>
  <c r="I179" i="12"/>
  <c r="J179" i="12" s="1"/>
  <c r="K179" i="12" s="1"/>
  <c r="L179" i="12" s="1"/>
  <c r="I79" i="12"/>
  <c r="J79" i="12" s="1"/>
  <c r="I26" i="12"/>
  <c r="J26" i="12" s="1"/>
  <c r="I140" i="12"/>
  <c r="J140" i="12" s="1"/>
  <c r="K140" i="12" s="1"/>
  <c r="L140" i="12" s="1"/>
  <c r="I146" i="12"/>
  <c r="J146" i="12" s="1"/>
  <c r="K146" i="12" s="1"/>
  <c r="L146" i="12" s="1"/>
  <c r="I172" i="12"/>
  <c r="J172" i="12" s="1"/>
  <c r="K172" i="12" s="1"/>
  <c r="L172" i="12" s="1"/>
  <c r="ED119" i="12"/>
  <c r="EF119" i="12" s="1"/>
  <c r="EE119" i="12" s="1"/>
  <c r="EG119" i="12" s="1"/>
  <c r="EH122" i="12"/>
  <c r="EJ122" i="12" s="1"/>
  <c r="EI122" i="12" s="1"/>
  <c r="EK122" i="12" s="1"/>
  <c r="I4" i="12"/>
  <c r="J4" i="12" s="1"/>
  <c r="EH81" i="12"/>
  <c r="EJ81" i="12" s="1"/>
  <c r="EI81" i="12" s="1"/>
  <c r="EK81" i="12" s="1"/>
  <c r="EH38" i="12"/>
  <c r="EJ38" i="12" s="1"/>
  <c r="EI38" i="12" s="1"/>
  <c r="EK38" i="12" s="1"/>
  <c r="EH162" i="12"/>
  <c r="EJ162" i="12" s="1"/>
  <c r="EI162" i="12" s="1"/>
  <c r="EK162" i="12" s="1"/>
  <c r="I102" i="12"/>
  <c r="J102" i="12" s="1"/>
  <c r="DZ62" i="12"/>
  <c r="EA62" i="12" s="1"/>
  <c r="EH67" i="12"/>
  <c r="EJ67" i="12" s="1"/>
  <c r="EI67" i="12" s="1"/>
  <c r="EK67" i="12" s="1"/>
  <c r="I93" i="12"/>
  <c r="J93" i="12" s="1"/>
  <c r="I96" i="12"/>
  <c r="J96" i="12" s="1"/>
  <c r="EH159" i="12"/>
  <c r="EJ159" i="12" s="1"/>
  <c r="EI159" i="12" s="1"/>
  <c r="EK159" i="12" s="1"/>
  <c r="EH76" i="12"/>
  <c r="EJ76" i="12" s="1"/>
  <c r="EI76" i="12" s="1"/>
  <c r="EK76" i="12" s="1"/>
  <c r="ED197" i="12"/>
  <c r="EF197" i="12" s="1"/>
  <c r="EE197" i="12" s="1"/>
  <c r="EG197" i="12" s="1"/>
  <c r="ED62" i="12"/>
  <c r="EF62" i="12" s="1"/>
  <c r="EE62" i="12" s="1"/>
  <c r="EG62" i="12" s="1"/>
  <c r="DZ133" i="12"/>
  <c r="EA133" i="12" s="1"/>
  <c r="EB133" i="12" s="1"/>
  <c r="EC133" i="12" s="1"/>
  <c r="ED116" i="12"/>
  <c r="EF116" i="12" s="1"/>
  <c r="EE116" i="12" s="1"/>
  <c r="EG116" i="12" s="1"/>
  <c r="ED151" i="12"/>
  <c r="EF151" i="12" s="1"/>
  <c r="EE151" i="12" s="1"/>
  <c r="EG151" i="12" s="1"/>
  <c r="EH56" i="12"/>
  <c r="EJ56" i="12" s="1"/>
  <c r="EI56" i="12" s="1"/>
  <c r="EK56" i="12" s="1"/>
  <c r="ED193" i="12"/>
  <c r="EF193" i="12" s="1"/>
  <c r="EE193" i="12" s="1"/>
  <c r="EG193" i="12" s="1"/>
  <c r="ED188" i="12"/>
  <c r="EF188" i="12" s="1"/>
  <c r="EE188" i="12" s="1"/>
  <c r="EG188" i="12" s="1"/>
  <c r="EH71" i="12"/>
  <c r="EJ71" i="12" s="1"/>
  <c r="EI71" i="12" s="1"/>
  <c r="EK71" i="12" s="1"/>
  <c r="ED72" i="12"/>
  <c r="EF72" i="12" s="1"/>
  <c r="EE72" i="12" s="1"/>
  <c r="EG72" i="12" s="1"/>
  <c r="DZ79" i="12"/>
  <c r="EA79" i="12" s="1"/>
  <c r="I75" i="12"/>
  <c r="J75" i="12" s="1"/>
  <c r="I48" i="12"/>
  <c r="J48" i="12" s="1"/>
  <c r="EH96" i="12"/>
  <c r="EJ96" i="12" s="1"/>
  <c r="EI96" i="12" s="1"/>
  <c r="EK96" i="12" s="1"/>
  <c r="DZ179" i="12"/>
  <c r="EA179" i="12" s="1"/>
  <c r="EB179" i="12" s="1"/>
  <c r="EC179" i="12" s="1"/>
  <c r="ED78" i="12"/>
  <c r="EF78" i="12" s="1"/>
  <c r="EE78" i="12" s="1"/>
  <c r="EG78" i="12" s="1"/>
  <c r="ED95" i="12"/>
  <c r="EF95" i="12" s="1"/>
  <c r="EE95" i="12" s="1"/>
  <c r="EG95" i="12" s="1"/>
  <c r="ED179" i="12"/>
  <c r="EF179" i="12" s="1"/>
  <c r="EE179" i="12" s="1"/>
  <c r="EG179" i="12" s="1"/>
  <c r="DZ73" i="12"/>
  <c r="EA73" i="12" s="1"/>
  <c r="DZ122" i="12"/>
  <c r="EA122" i="12" s="1"/>
  <c r="EH104" i="12"/>
  <c r="EJ104" i="12" s="1"/>
  <c r="EI104" i="12" s="1"/>
  <c r="EK104" i="12" s="1"/>
  <c r="ED129" i="12"/>
  <c r="EF129" i="12" s="1"/>
  <c r="EE129" i="12" s="1"/>
  <c r="EG129" i="12" s="1"/>
  <c r="ED123" i="12"/>
  <c r="EF123" i="12" s="1"/>
  <c r="EE123" i="12" s="1"/>
  <c r="EG123" i="12" s="1"/>
  <c r="ED17" i="12"/>
  <c r="EF17" i="12" s="1"/>
  <c r="EE17" i="12" s="1"/>
  <c r="EG17" i="12" s="1"/>
  <c r="ED130" i="12"/>
  <c r="EF130" i="12" s="1"/>
  <c r="EE130" i="12" s="1"/>
  <c r="EG130" i="12" s="1"/>
  <c r="EH171" i="12"/>
  <c r="EJ171" i="12" s="1"/>
  <c r="EI171" i="12" s="1"/>
  <c r="EK171" i="12" s="1"/>
  <c r="EH50" i="12"/>
  <c r="EJ50" i="12" s="1"/>
  <c r="EI50" i="12" s="1"/>
  <c r="EK50" i="12" s="1"/>
  <c r="DZ146" i="12"/>
  <c r="EA146" i="12" s="1"/>
  <c r="EB146" i="12" s="1"/>
  <c r="EC146" i="12" s="1"/>
  <c r="DZ189" i="12"/>
  <c r="EA189" i="12" s="1"/>
  <c r="EB189" i="12" s="1"/>
  <c r="EC189" i="12" s="1"/>
  <c r="I28" i="12"/>
  <c r="J28" i="12" s="1"/>
  <c r="I42" i="12"/>
  <c r="J42" i="12" s="1"/>
  <c r="I163" i="12"/>
  <c r="J163" i="12" s="1"/>
  <c r="K163" i="12" s="1"/>
  <c r="L163" i="12" s="1"/>
  <c r="I159" i="12"/>
  <c r="J159" i="12" s="1"/>
  <c r="K159" i="12" s="1"/>
  <c r="L159" i="12" s="1"/>
  <c r="I141" i="12"/>
  <c r="J141" i="12" s="1"/>
  <c r="K141" i="12" s="1"/>
  <c r="L141" i="12" s="1"/>
  <c r="EH163" i="12"/>
  <c r="EJ163" i="12" s="1"/>
  <c r="EI163" i="12" s="1"/>
  <c r="EK163" i="12" s="1"/>
  <c r="DZ192" i="12"/>
  <c r="EA192" i="12" s="1"/>
  <c r="EB192" i="12" s="1"/>
  <c r="EC192" i="12" s="1"/>
  <c r="DZ131" i="12"/>
  <c r="EA131" i="12" s="1"/>
  <c r="EB131" i="12" s="1"/>
  <c r="EC131" i="12" s="1"/>
  <c r="ED190" i="12"/>
  <c r="EF190" i="12" s="1"/>
  <c r="EE190" i="12" s="1"/>
  <c r="EG190" i="12" s="1"/>
  <c r="I94" i="12"/>
  <c r="J94" i="12" s="1"/>
  <c r="I86" i="12"/>
  <c r="J86" i="12" s="1"/>
  <c r="ED85" i="12"/>
  <c r="EF85" i="12" s="1"/>
  <c r="EE85" i="12" s="1"/>
  <c r="EG85" i="12" s="1"/>
  <c r="ED76" i="12"/>
  <c r="EF76" i="12" s="1"/>
  <c r="EE76" i="12" s="1"/>
  <c r="EG76" i="12" s="1"/>
  <c r="DZ32" i="12"/>
  <c r="EA32" i="12" s="1"/>
  <c r="I91" i="12"/>
  <c r="J91" i="12" s="1"/>
  <c r="DZ200" i="12"/>
  <c r="EA200" i="12" s="1"/>
  <c r="EB200" i="12" s="1"/>
  <c r="EC200" i="12" s="1"/>
  <c r="EH63" i="12"/>
  <c r="EJ63" i="12" s="1"/>
  <c r="EI63" i="12" s="1"/>
  <c r="EK63" i="12" s="1"/>
  <c r="EH197" i="12"/>
  <c r="EJ197" i="12" s="1"/>
  <c r="EI197" i="12" s="1"/>
  <c r="EK197" i="12" s="1"/>
  <c r="I58" i="12"/>
  <c r="J58" i="12" s="1"/>
  <c r="EH69" i="12"/>
  <c r="EJ69" i="12" s="1"/>
  <c r="EI69" i="12" s="1"/>
  <c r="EK69" i="12" s="1"/>
  <c r="DZ57" i="12"/>
  <c r="EA57" i="12" s="1"/>
  <c r="EH191" i="12"/>
  <c r="EJ191" i="12" s="1"/>
  <c r="EI191" i="12" s="1"/>
  <c r="EK191" i="12" s="1"/>
  <c r="ED199" i="12"/>
  <c r="EF199" i="12" s="1"/>
  <c r="EE199" i="12" s="1"/>
  <c r="EG199" i="12" s="1"/>
  <c r="ED167" i="12"/>
  <c r="EF167" i="12" s="1"/>
  <c r="EE167" i="12" s="1"/>
  <c r="EG167" i="12" s="1"/>
  <c r="DZ54" i="12"/>
  <c r="EA54" i="12" s="1"/>
  <c r="DZ66" i="12"/>
  <c r="EA66" i="12" s="1"/>
  <c r="EH139" i="12"/>
  <c r="EJ139" i="12" s="1"/>
  <c r="EI139" i="12" s="1"/>
  <c r="EK139" i="12" s="1"/>
  <c r="ED38" i="12"/>
  <c r="EF38" i="12" s="1"/>
  <c r="EE38" i="12" s="1"/>
  <c r="EG38" i="12" s="1"/>
  <c r="ED118" i="12"/>
  <c r="EF118" i="12" s="1"/>
  <c r="EE118" i="12" s="1"/>
  <c r="EG118" i="12" s="1"/>
  <c r="EH147" i="12"/>
  <c r="EJ147" i="12" s="1"/>
  <c r="EI147" i="12" s="1"/>
  <c r="EK147" i="12" s="1"/>
  <c r="DZ119" i="12"/>
  <c r="EA119" i="12" s="1"/>
  <c r="DZ121" i="12"/>
  <c r="EA121" i="12" s="1"/>
  <c r="ED133" i="12"/>
  <c r="EF133" i="12" s="1"/>
  <c r="EE133" i="12" s="1"/>
  <c r="EG133" i="12" s="1"/>
  <c r="I114" i="12"/>
  <c r="J114" i="12" s="1"/>
  <c r="I130" i="12"/>
  <c r="J130" i="12" s="1"/>
  <c r="I127" i="12"/>
  <c r="J127" i="12" s="1"/>
  <c r="EH149" i="12"/>
  <c r="EJ149" i="12" s="1"/>
  <c r="EI149" i="12" s="1"/>
  <c r="EK149" i="12" s="1"/>
  <c r="EH70" i="12"/>
  <c r="EJ70" i="12" s="1"/>
  <c r="EI70" i="12" s="1"/>
  <c r="EK70" i="12" s="1"/>
  <c r="ED186" i="12"/>
  <c r="EF186" i="12" s="1"/>
  <c r="EE186" i="12" s="1"/>
  <c r="EG186" i="12" s="1"/>
  <c r="I68" i="12"/>
  <c r="J68" i="12" s="1"/>
  <c r="I44" i="12"/>
  <c r="J44" i="12" s="1"/>
  <c r="DZ149" i="12"/>
  <c r="EA149" i="12" s="1"/>
  <c r="EB149" i="12" s="1"/>
  <c r="EC149" i="12" s="1"/>
  <c r="ED164" i="12"/>
  <c r="EF164" i="12" s="1"/>
  <c r="EE164" i="12" s="1"/>
  <c r="EG164" i="12" s="1"/>
  <c r="I7" i="12"/>
  <c r="J7" i="12" s="1"/>
  <c r="EH121" i="12"/>
  <c r="EJ121" i="12" s="1"/>
  <c r="EI121" i="12" s="1"/>
  <c r="EK121" i="12" s="1"/>
  <c r="I81" i="12"/>
  <c r="J81" i="12" s="1"/>
  <c r="I82" i="12"/>
  <c r="J82" i="12" s="1"/>
  <c r="ED93" i="12"/>
  <c r="EF93" i="12" s="1"/>
  <c r="EE93" i="12" s="1"/>
  <c r="EG93" i="12" s="1"/>
  <c r="ED82" i="12"/>
  <c r="EF82" i="12" s="1"/>
  <c r="EE82" i="12" s="1"/>
  <c r="EG82" i="12" s="1"/>
  <c r="DZ190" i="12"/>
  <c r="EA190" i="12" s="1"/>
  <c r="EB190" i="12" s="1"/>
  <c r="EC190" i="12" s="1"/>
  <c r="EH169" i="12"/>
  <c r="EJ169" i="12" s="1"/>
  <c r="EI169" i="12" s="1"/>
  <c r="EK169" i="12" s="1"/>
  <c r="DZ65" i="12"/>
  <c r="EA65" i="12" s="1"/>
  <c r="ED89" i="12"/>
  <c r="EF89" i="12" s="1"/>
  <c r="EE89" i="12" s="1"/>
  <c r="EG89" i="12" s="1"/>
  <c r="EH108" i="12"/>
  <c r="EJ108" i="12" s="1"/>
  <c r="EI108" i="12" s="1"/>
  <c r="EK108" i="12" s="1"/>
  <c r="ED42" i="12"/>
  <c r="EF42" i="12" s="1"/>
  <c r="EE42" i="12" s="1"/>
  <c r="EG42" i="12" s="1"/>
  <c r="EH199" i="12"/>
  <c r="EJ199" i="12" s="1"/>
  <c r="EI199" i="12" s="1"/>
  <c r="EK199" i="12" s="1"/>
  <c r="EH13" i="12"/>
  <c r="EJ13" i="12" s="1"/>
  <c r="ED13" i="12"/>
  <c r="EF13" i="12" s="1"/>
  <c r="ED32" i="12"/>
  <c r="EF32" i="12" s="1"/>
  <c r="EE32" i="12" s="1"/>
  <c r="EG32" i="12" s="1"/>
  <c r="EH87" i="12"/>
  <c r="EJ87" i="12" s="1"/>
  <c r="EI87" i="12" s="1"/>
  <c r="EK87" i="12" s="1"/>
  <c r="DZ15" i="12"/>
  <c r="EA15" i="12" s="1"/>
  <c r="ED12" i="12"/>
  <c r="EF12" i="12" s="1"/>
  <c r="EH124" i="12"/>
  <c r="EJ124" i="12" s="1"/>
  <c r="EI124" i="12" s="1"/>
  <c r="EK124" i="12" s="1"/>
  <c r="EH55" i="12"/>
  <c r="EJ55" i="12" s="1"/>
  <c r="EI55" i="12" s="1"/>
  <c r="EK55" i="12" s="1"/>
  <c r="DZ36" i="12"/>
  <c r="EA36" i="12" s="1"/>
  <c r="EH160" i="12"/>
  <c r="EJ160" i="12" s="1"/>
  <c r="EI160" i="12" s="1"/>
  <c r="EK160" i="12" s="1"/>
  <c r="ED46" i="12"/>
  <c r="EF46" i="12" s="1"/>
  <c r="EE46" i="12" s="1"/>
  <c r="EG46" i="12" s="1"/>
  <c r="EH196" i="12"/>
  <c r="EJ196" i="12" s="1"/>
  <c r="EI196" i="12" s="1"/>
  <c r="EK196" i="12" s="1"/>
  <c r="DZ55" i="12"/>
  <c r="EA55" i="12" s="1"/>
  <c r="ED29" i="12"/>
  <c r="EF29" i="12" s="1"/>
  <c r="EE29" i="12" s="1"/>
  <c r="EG29" i="12" s="1"/>
  <c r="EH136" i="12"/>
  <c r="EJ136" i="12" s="1"/>
  <c r="EI136" i="12" s="1"/>
  <c r="EK136" i="12" s="1"/>
  <c r="ED11" i="12"/>
  <c r="EF11" i="12" s="1"/>
  <c r="DZ23" i="12"/>
  <c r="EA23" i="12" s="1"/>
  <c r="ED79" i="12"/>
  <c r="EF79" i="12" s="1"/>
  <c r="EE79" i="12" s="1"/>
  <c r="EG79" i="12" s="1"/>
  <c r="EH9" i="12"/>
  <c r="EJ9" i="12" s="1"/>
  <c r="DZ67" i="12"/>
  <c r="EA67" i="12" s="1"/>
  <c r="DZ81" i="12"/>
  <c r="EA81" i="12" s="1"/>
  <c r="DZ27" i="12"/>
  <c r="EA27" i="12" s="1"/>
  <c r="EH11" i="12"/>
  <c r="EJ11" i="12" s="1"/>
  <c r="ED49" i="12"/>
  <c r="EF49" i="12" s="1"/>
  <c r="EE49" i="12" s="1"/>
  <c r="EG49" i="12" s="1"/>
  <c r="DZ71" i="12"/>
  <c r="EA71" i="12" s="1"/>
  <c r="ED80" i="12"/>
  <c r="EF80" i="12" s="1"/>
  <c r="EE80" i="12" s="1"/>
  <c r="EG80" i="12" s="1"/>
  <c r="DZ14" i="12"/>
  <c r="EA14" i="12" s="1"/>
  <c r="DZ151" i="12"/>
  <c r="EA151" i="12" s="1"/>
  <c r="EB151" i="12" s="1"/>
  <c r="EC151" i="12" s="1"/>
  <c r="DZ175" i="12"/>
  <c r="EA175" i="12" s="1"/>
  <c r="EB175" i="12" s="1"/>
  <c r="EC175" i="12" s="1"/>
  <c r="ED120" i="12"/>
  <c r="EF120" i="12" s="1"/>
  <c r="EE120" i="12" s="1"/>
  <c r="EG120" i="12" s="1"/>
  <c r="ED165" i="12"/>
  <c r="EF165" i="12" s="1"/>
  <c r="EE165" i="12" s="1"/>
  <c r="EG165" i="12" s="1"/>
  <c r="EH130" i="12"/>
  <c r="EJ130" i="12" s="1"/>
  <c r="EI130" i="12" s="1"/>
  <c r="EK130" i="12" s="1"/>
  <c r="DZ160" i="12"/>
  <c r="EA160" i="12" s="1"/>
  <c r="EB160" i="12" s="1"/>
  <c r="EC160" i="12" s="1"/>
  <c r="ED134" i="12"/>
  <c r="EF134" i="12" s="1"/>
  <c r="EE134" i="12" s="1"/>
  <c r="EG134" i="12" s="1"/>
  <c r="DZ138" i="12"/>
  <c r="EA138" i="12" s="1"/>
  <c r="EB138" i="12" s="1"/>
  <c r="EC138" i="12" s="1"/>
  <c r="EH89" i="12"/>
  <c r="EJ89" i="12" s="1"/>
  <c r="EI89" i="12" s="1"/>
  <c r="EK89" i="12" s="1"/>
  <c r="DZ152" i="12"/>
  <c r="EA152" i="12" s="1"/>
  <c r="EB152" i="12" s="1"/>
  <c r="EC152" i="12" s="1"/>
  <c r="DZ128" i="12"/>
  <c r="EA128" i="12" s="1"/>
  <c r="EB128" i="12" s="1"/>
  <c r="EC128" i="12" s="1"/>
  <c r="ED126" i="12"/>
  <c r="EF126" i="12" s="1"/>
  <c r="EE126" i="12" s="1"/>
  <c r="EG126" i="12" s="1"/>
  <c r="DZ56" i="12"/>
  <c r="EA56" i="12" s="1"/>
  <c r="EH135" i="12"/>
  <c r="EJ135" i="12" s="1"/>
  <c r="EI135" i="12" s="1"/>
  <c r="EK135" i="12" s="1"/>
  <c r="ED194" i="12"/>
  <c r="EF194" i="12" s="1"/>
  <c r="EE194" i="12" s="1"/>
  <c r="EG194" i="12" s="1"/>
  <c r="EH16" i="12"/>
  <c r="EJ16" i="12" s="1"/>
  <c r="EI16" i="12" s="1"/>
  <c r="EK16" i="12" s="1"/>
  <c r="ED9" i="12"/>
  <c r="EF9" i="12" s="1"/>
  <c r="ED192" i="12"/>
  <c r="EF192" i="12" s="1"/>
  <c r="EE192" i="12" s="1"/>
  <c r="EG192" i="12" s="1"/>
  <c r="ED191" i="12"/>
  <c r="EF191" i="12" s="1"/>
  <c r="EE191" i="12" s="1"/>
  <c r="EG191" i="12" s="1"/>
  <c r="DZ25" i="12"/>
  <c r="EA25" i="12" s="1"/>
  <c r="EH24" i="12"/>
  <c r="EJ24" i="12" s="1"/>
  <c r="EI24" i="12" s="1"/>
  <c r="EK24" i="12" s="1"/>
  <c r="DZ20" i="12"/>
  <c r="EA20" i="12" s="1"/>
  <c r="DZ9" i="12"/>
  <c r="EA9" i="12" s="1"/>
  <c r="DZ139" i="12"/>
  <c r="EA139" i="12" s="1"/>
  <c r="EB139" i="12" s="1"/>
  <c r="EC139" i="12" s="1"/>
  <c r="DZ13" i="12"/>
  <c r="EA13" i="12" s="1"/>
  <c r="DZ83" i="12"/>
  <c r="EA83" i="12" s="1"/>
  <c r="DZ47" i="12"/>
  <c r="EA47" i="12" s="1"/>
  <c r="ED30" i="12"/>
  <c r="EF30" i="12" s="1"/>
  <c r="EE30" i="12" s="1"/>
  <c r="EG30" i="12" s="1"/>
  <c r="ED147" i="12"/>
  <c r="EF147" i="12" s="1"/>
  <c r="EE147" i="12" s="1"/>
  <c r="EG147" i="12" s="1"/>
  <c r="ED87" i="12"/>
  <c r="EF87" i="12" s="1"/>
  <c r="EE87" i="12" s="1"/>
  <c r="EG87" i="12" s="1"/>
  <c r="ED90" i="12"/>
  <c r="EF90" i="12" s="1"/>
  <c r="EE90" i="12" s="1"/>
  <c r="EG90" i="12" s="1"/>
  <c r="EH45" i="12"/>
  <c r="EJ45" i="12" s="1"/>
  <c r="EI45" i="12" s="1"/>
  <c r="EK45" i="12" s="1"/>
  <c r="DZ181" i="12"/>
  <c r="EA181" i="12" s="1"/>
  <c r="EB181" i="12" s="1"/>
  <c r="EC181" i="12" s="1"/>
  <c r="ED108" i="12"/>
  <c r="EF108" i="12" s="1"/>
  <c r="EE108" i="12" s="1"/>
  <c r="EG108" i="12" s="1"/>
  <c r="DZ38" i="12"/>
  <c r="EA38" i="12" s="1"/>
  <c r="DZ166" i="12"/>
  <c r="EA166" i="12" s="1"/>
  <c r="EB166" i="12" s="1"/>
  <c r="EC166" i="12" s="1"/>
  <c r="EH115" i="12"/>
  <c r="EJ115" i="12" s="1"/>
  <c r="EI115" i="12" s="1"/>
  <c r="EK115" i="12" s="1"/>
  <c r="ED111" i="12"/>
  <c r="EF111" i="12" s="1"/>
  <c r="EE111" i="12" s="1"/>
  <c r="EG111" i="12" s="1"/>
  <c r="ED158" i="12"/>
  <c r="EF158" i="12" s="1"/>
  <c r="EE158" i="12" s="1"/>
  <c r="EG158" i="12" s="1"/>
  <c r="ED138" i="12"/>
  <c r="EF138" i="12" s="1"/>
  <c r="EE138" i="12" s="1"/>
  <c r="EG138" i="12" s="1"/>
  <c r="ED50" i="12"/>
  <c r="EF50" i="12" s="1"/>
  <c r="EE50" i="12" s="1"/>
  <c r="EG50" i="12" s="1"/>
  <c r="EH79" i="12"/>
  <c r="EJ79" i="12" s="1"/>
  <c r="EI79" i="12" s="1"/>
  <c r="EK79" i="12" s="1"/>
  <c r="EH179" i="12"/>
  <c r="EJ179" i="12" s="1"/>
  <c r="EI179" i="12" s="1"/>
  <c r="EK179" i="12" s="1"/>
  <c r="ED112" i="12"/>
  <c r="EF112" i="12" s="1"/>
  <c r="EE112" i="12" s="1"/>
  <c r="EG112" i="12" s="1"/>
  <c r="EH78" i="12"/>
  <c r="EJ78" i="12" s="1"/>
  <c r="EI78" i="12" s="1"/>
  <c r="EK78" i="12" s="1"/>
  <c r="ED195" i="12"/>
  <c r="EF195" i="12" s="1"/>
  <c r="EE195" i="12" s="1"/>
  <c r="EG195" i="12" s="1"/>
  <c r="ED131" i="12"/>
  <c r="EF131" i="12" s="1"/>
  <c r="EE131" i="12" s="1"/>
  <c r="EG131" i="12" s="1"/>
  <c r="DZ196" i="12"/>
  <c r="EA196" i="12" s="1"/>
  <c r="EB196" i="12" s="1"/>
  <c r="EC196" i="12" s="1"/>
  <c r="EH22" i="12"/>
  <c r="EJ22" i="12" s="1"/>
  <c r="EI22" i="12" s="1"/>
  <c r="EK22" i="12" s="1"/>
  <c r="ED172" i="12"/>
  <c r="EF172" i="12" s="1"/>
  <c r="EE172" i="12" s="1"/>
  <c r="EG172" i="12" s="1"/>
  <c r="ED140" i="12"/>
  <c r="EF140" i="12" s="1"/>
  <c r="EE140" i="12" s="1"/>
  <c r="EG140" i="12" s="1"/>
  <c r="DZ6" i="12"/>
  <c r="EA6" i="12" s="1"/>
  <c r="ED182" i="12"/>
  <c r="EF182" i="12" s="1"/>
  <c r="EE182" i="12" s="1"/>
  <c r="EG182" i="12" s="1"/>
  <c r="EH15" i="12"/>
  <c r="EJ15" i="12" s="1"/>
  <c r="EI15" i="12" s="1"/>
  <c r="EK15" i="12" s="1"/>
  <c r="DZ29" i="12"/>
  <c r="EA29" i="12" s="1"/>
  <c r="DZ126" i="12"/>
  <c r="EA126" i="12" s="1"/>
  <c r="EB126" i="12" s="1"/>
  <c r="EC126" i="12" s="1"/>
  <c r="DZ182" i="12"/>
  <c r="EA182" i="12" s="1"/>
  <c r="EB182" i="12" s="1"/>
  <c r="EC182" i="12" s="1"/>
  <c r="DZ191" i="12"/>
  <c r="EA191" i="12" s="1"/>
  <c r="EB191" i="12" s="1"/>
  <c r="EC191" i="12" s="1"/>
  <c r="EH140" i="12"/>
  <c r="EJ140" i="12" s="1"/>
  <c r="EI140" i="12" s="1"/>
  <c r="EK140" i="12" s="1"/>
  <c r="ED94" i="12"/>
  <c r="EF94" i="12" s="1"/>
  <c r="EE94" i="12" s="1"/>
  <c r="EG94" i="12" s="1"/>
  <c r="DZ178" i="12"/>
  <c r="EA178" i="12" s="1"/>
  <c r="EB178" i="12" s="1"/>
  <c r="EC178" i="12" s="1"/>
  <c r="DZ69" i="12"/>
  <c r="EA69" i="12" s="1"/>
  <c r="DZ162" i="12"/>
  <c r="EA162" i="12" s="1"/>
  <c r="EB162" i="12" s="1"/>
  <c r="EC162" i="12" s="1"/>
  <c r="DZ43" i="12"/>
  <c r="EA43" i="12" s="1"/>
  <c r="EH132" i="12"/>
  <c r="EJ132" i="12" s="1"/>
  <c r="EI132" i="12" s="1"/>
  <c r="EK132" i="12" s="1"/>
  <c r="DZ34" i="12"/>
  <c r="EA34" i="12" s="1"/>
  <c r="DZ4" i="12"/>
  <c r="EA4" i="12" s="1"/>
  <c r="DZ90" i="12"/>
  <c r="EA90" i="12" s="1"/>
  <c r="EH14" i="12"/>
  <c r="EJ14" i="12" s="1"/>
  <c r="EI14" i="12" s="1"/>
  <c r="EK14" i="12" s="1"/>
  <c r="ED153" i="12"/>
  <c r="EF153" i="12" s="1"/>
  <c r="EE153" i="12" s="1"/>
  <c r="EG153" i="12" s="1"/>
  <c r="DZ12" i="12"/>
  <c r="EA12" i="12" s="1"/>
  <c r="ED97" i="12"/>
  <c r="EF97" i="12" s="1"/>
  <c r="EE97" i="12" s="1"/>
  <c r="EG97" i="12" s="1"/>
  <c r="DZ60" i="12"/>
  <c r="EA60" i="12" s="1"/>
  <c r="ED113" i="12"/>
  <c r="EF113" i="12" s="1"/>
  <c r="EE113" i="12" s="1"/>
  <c r="EG113" i="12" s="1"/>
  <c r="ED181" i="12"/>
  <c r="EF181" i="12" s="1"/>
  <c r="EE181" i="12" s="1"/>
  <c r="EG181" i="12" s="1"/>
  <c r="DZ157" i="12"/>
  <c r="EA157" i="12" s="1"/>
  <c r="EB157" i="12" s="1"/>
  <c r="EC157" i="12" s="1"/>
  <c r="EH19" i="12"/>
  <c r="EJ19" i="12" s="1"/>
  <c r="EI19" i="12" s="1"/>
  <c r="EK19" i="12" s="1"/>
  <c r="DZ59" i="12"/>
  <c r="EA59" i="12" s="1"/>
  <c r="DZ37" i="12"/>
  <c r="EA37" i="12" s="1"/>
  <c r="DZ110" i="12"/>
  <c r="EA110" i="12" s="1"/>
  <c r="DZ10" i="12"/>
  <c r="EA10" i="12" s="1"/>
  <c r="ED171" i="12"/>
  <c r="EF171" i="12" s="1"/>
  <c r="EE171" i="12" s="1"/>
  <c r="EG171" i="12" s="1"/>
  <c r="EH180" i="12"/>
  <c r="EJ180" i="12" s="1"/>
  <c r="EI180" i="12" s="1"/>
  <c r="EK180" i="12" s="1"/>
  <c r="DZ53" i="12"/>
  <c r="EA53" i="12" s="1"/>
  <c r="EH117" i="12"/>
  <c r="EJ117" i="12" s="1"/>
  <c r="EI117" i="12" s="1"/>
  <c r="EK117" i="12" s="1"/>
  <c r="ED128" i="12"/>
  <c r="EF128" i="12" s="1"/>
  <c r="EE128" i="12" s="1"/>
  <c r="EG128" i="12" s="1"/>
  <c r="DZ92" i="12"/>
  <c r="EA92" i="12" s="1"/>
  <c r="DZ16" i="12"/>
  <c r="EA16" i="12" s="1"/>
  <c r="ED34" i="12"/>
  <c r="EF34" i="12" s="1"/>
  <c r="EE34" i="12" s="1"/>
  <c r="EG34" i="12" s="1"/>
  <c r="EH26" i="12"/>
  <c r="EJ26" i="12" s="1"/>
  <c r="EI26" i="12" s="1"/>
  <c r="EK26" i="12" s="1"/>
  <c r="DZ100" i="12"/>
  <c r="EA100" i="12" s="1"/>
  <c r="DZ52" i="12"/>
  <c r="EA52" i="12" s="1"/>
  <c r="DZ74" i="12"/>
  <c r="EA74" i="12" s="1"/>
  <c r="DZ101" i="12"/>
  <c r="EA101" i="12" s="1"/>
  <c r="ED16" i="12"/>
  <c r="EF16" i="12" s="1"/>
  <c r="EE16" i="12" s="1"/>
  <c r="EG16" i="12" s="1"/>
  <c r="DZ85" i="12"/>
  <c r="EA85" i="12" s="1"/>
  <c r="DZ194" i="12"/>
  <c r="EA194" i="12" s="1"/>
  <c r="EB194" i="12" s="1"/>
  <c r="EC194" i="12" s="1"/>
  <c r="DZ72" i="12"/>
  <c r="EA72" i="12" s="1"/>
  <c r="DZ99" i="12"/>
  <c r="EA99" i="12" s="1"/>
  <c r="DZ104" i="12"/>
  <c r="EA104" i="12" s="1"/>
  <c r="DZ3" i="12"/>
  <c r="EA3" i="12" s="1"/>
  <c r="ED19" i="12"/>
  <c r="EF19" i="12" s="1"/>
  <c r="EE19" i="12" s="1"/>
  <c r="EG19" i="12" s="1"/>
  <c r="DZ96" i="12"/>
  <c r="EA96" i="12" s="1"/>
  <c r="DZ143" i="12"/>
  <c r="EA143" i="12" s="1"/>
  <c r="EB143" i="12" s="1"/>
  <c r="EC143" i="12" s="1"/>
  <c r="DZ40" i="12"/>
  <c r="EA40" i="12" s="1"/>
  <c r="ED7" i="12"/>
  <c r="EF7" i="12" s="1"/>
  <c r="DZ109" i="12"/>
  <c r="EA109" i="12" s="1"/>
  <c r="DZ106" i="12"/>
  <c r="EA106" i="12" s="1"/>
  <c r="DZ107" i="12"/>
  <c r="EA107" i="12" s="1"/>
  <c r="EH23" i="12"/>
  <c r="EJ23" i="12" s="1"/>
  <c r="EI23" i="12" s="1"/>
  <c r="EK23" i="12" s="1"/>
  <c r="DZ95" i="12"/>
  <c r="EA95" i="12" s="1"/>
  <c r="DZ98" i="12"/>
  <c r="EA98" i="12" s="1"/>
  <c r="DZ77" i="12"/>
  <c r="EA77" i="12" s="1"/>
  <c r="EH123" i="12"/>
  <c r="EJ123" i="12" s="1"/>
  <c r="EI123" i="12" s="1"/>
  <c r="EK123" i="12" s="1"/>
  <c r="DZ188" i="12"/>
  <c r="EA188" i="12" s="1"/>
  <c r="EB188" i="12" s="1"/>
  <c r="EC188" i="12" s="1"/>
  <c r="DZ97" i="12"/>
  <c r="EA97" i="12" s="1"/>
  <c r="EH29" i="12"/>
  <c r="EJ29" i="12" s="1"/>
  <c r="EI29" i="12" s="1"/>
  <c r="EK29" i="12" s="1"/>
  <c r="DZ102" i="12"/>
  <c r="EA102" i="12" s="1"/>
  <c r="DZ94" i="12"/>
  <c r="EA94" i="12" s="1"/>
  <c r="DZ108" i="12"/>
  <c r="EA108" i="12" s="1"/>
  <c r="DZ93" i="12"/>
  <c r="EA93" i="12" s="1"/>
  <c r="ED26" i="12"/>
  <c r="EF26" i="12" s="1"/>
  <c r="EE26" i="12" s="1"/>
  <c r="EG26" i="12" s="1"/>
  <c r="DZ103" i="12"/>
  <c r="EA103" i="12" s="1"/>
  <c r="ED10" i="12"/>
  <c r="EF10" i="12" s="1"/>
  <c r="ED24" i="12"/>
  <c r="EF24" i="12" s="1"/>
  <c r="EE24" i="12" s="1"/>
  <c r="EG24" i="12" s="1"/>
  <c r="ED15" i="12"/>
  <c r="EF15" i="12" s="1"/>
  <c r="EE15" i="12" s="1"/>
  <c r="EG15" i="12" s="1"/>
  <c r="EH10" i="12"/>
  <c r="EJ10" i="12" s="1"/>
  <c r="CD165" i="12"/>
  <c r="BV400" i="12"/>
  <c r="BU400" i="12"/>
  <c r="BX400" i="12"/>
  <c r="K19" i="12"/>
  <c r="L19" i="12" s="1"/>
  <c r="BY5" i="12"/>
  <c r="CM264" i="12"/>
  <c r="CM246" i="12"/>
  <c r="CM69" i="12"/>
  <c r="CM35" i="12"/>
  <c r="CM209" i="12"/>
  <c r="CM73" i="12"/>
  <c r="CM309" i="12"/>
  <c r="CM163" i="12"/>
  <c r="CM62" i="12"/>
  <c r="CM276" i="12"/>
  <c r="CM68" i="12"/>
  <c r="CM357" i="12"/>
  <c r="CM23" i="12"/>
  <c r="CM228" i="12"/>
  <c r="CM67" i="12"/>
  <c r="CM348" i="12"/>
  <c r="CM234" i="12"/>
  <c r="CM312" i="12"/>
  <c r="CM21" i="12"/>
  <c r="CM105" i="12"/>
  <c r="CM192" i="12"/>
  <c r="CM359" i="12"/>
  <c r="CM212" i="12"/>
  <c r="CM8" i="12"/>
  <c r="CM170" i="12"/>
  <c r="CM86" i="12"/>
  <c r="CM275" i="12"/>
  <c r="CM83" i="12"/>
  <c r="CM371" i="12"/>
  <c r="CM282" i="12"/>
  <c r="CM207" i="12"/>
  <c r="CM292" i="12"/>
  <c r="CM229" i="12"/>
  <c r="CM369" i="12"/>
  <c r="CM15" i="12"/>
  <c r="CM91" i="12"/>
  <c r="CM75" i="12"/>
  <c r="CM363" i="12"/>
  <c r="CM82" i="12"/>
  <c r="CM310" i="12"/>
  <c r="CM342" i="12"/>
  <c r="CM117" i="12"/>
  <c r="CM162" i="12"/>
  <c r="CM243" i="12"/>
  <c r="CM208" i="12"/>
  <c r="CM99" i="12"/>
  <c r="CM253" i="12"/>
  <c r="CM141" i="12"/>
  <c r="CM362" i="12"/>
  <c r="CM191" i="12"/>
  <c r="CM131" i="12"/>
  <c r="CM382" i="12"/>
  <c r="CM187" i="12"/>
  <c r="CM100" i="12"/>
  <c r="CM304" i="12"/>
  <c r="CM39" i="12"/>
  <c r="CM372" i="12"/>
  <c r="CM190" i="12"/>
  <c r="CM374" i="12"/>
  <c r="CM20" i="12"/>
  <c r="CM12" i="12"/>
  <c r="CM175" i="12"/>
  <c r="CM107" i="12"/>
  <c r="CM125" i="12"/>
  <c r="CM287" i="12"/>
  <c r="CM232" i="12"/>
  <c r="CM340" i="12"/>
  <c r="CM5" i="12"/>
  <c r="CM47" i="12"/>
  <c r="CM55" i="12"/>
  <c r="CM290" i="12"/>
  <c r="CM267" i="12"/>
  <c r="CM103" i="12"/>
  <c r="CM384" i="12"/>
  <c r="CM147" i="12"/>
  <c r="CM319" i="12"/>
  <c r="CM126" i="12"/>
  <c r="CM331" i="12"/>
  <c r="CM280" i="12"/>
  <c r="CM355" i="12"/>
  <c r="CM60" i="12"/>
  <c r="CM322" i="12"/>
  <c r="CM295" i="12"/>
  <c r="CM233" i="12"/>
  <c r="CM96" i="12"/>
  <c r="CM215" i="12"/>
  <c r="CM360" i="12"/>
  <c r="CM167" i="12"/>
  <c r="CM222" i="12"/>
  <c r="CM278" i="12"/>
  <c r="CM72" i="12"/>
  <c r="CM248" i="12"/>
  <c r="CM261" i="12"/>
  <c r="CM9" i="12"/>
  <c r="CM108" i="12"/>
  <c r="CM300" i="12"/>
  <c r="CM84" i="12"/>
  <c r="CM397" i="12"/>
  <c r="CM383" i="12"/>
  <c r="CM102" i="12"/>
  <c r="CM289" i="12"/>
  <c r="CM263" i="12"/>
  <c r="CM219" i="12"/>
  <c r="CM46" i="12"/>
  <c r="CM270" i="12"/>
  <c r="CM7" i="12"/>
  <c r="CM247" i="12"/>
  <c r="CM174" i="12"/>
  <c r="CM227" i="12"/>
  <c r="CM3" i="12"/>
  <c r="CM26" i="12"/>
  <c r="CM203" i="12"/>
  <c r="CM14" i="12"/>
  <c r="CM28" i="12"/>
  <c r="CM59" i="12"/>
  <c r="CM291" i="12"/>
  <c r="CM389" i="12"/>
  <c r="CM205" i="12"/>
  <c r="CM49" i="12"/>
  <c r="CM257" i="12"/>
  <c r="CM80" i="12"/>
  <c r="CM347" i="12"/>
  <c r="CM230" i="12"/>
  <c r="CM400" i="12"/>
  <c r="CN400" i="12" s="1"/>
  <c r="CM6" i="12"/>
  <c r="CM65" i="12"/>
  <c r="CM128" i="12"/>
  <c r="CM321" i="12"/>
  <c r="CM266" i="12"/>
  <c r="CM74" i="12"/>
  <c r="CM225" i="12"/>
  <c r="CM133" i="12"/>
  <c r="CM36" i="12"/>
  <c r="CM238" i="12"/>
  <c r="CM179" i="12"/>
  <c r="CM375" i="12"/>
  <c r="CM189" i="12"/>
  <c r="CM58" i="12"/>
  <c r="CM281" i="12"/>
  <c r="CM25" i="12"/>
  <c r="CM251" i="12"/>
  <c r="CM113" i="12"/>
  <c r="CM241" i="12"/>
  <c r="CM152" i="12"/>
  <c r="CM381" i="12"/>
  <c r="CM4" i="12"/>
  <c r="CM237" i="12"/>
  <c r="CM168" i="12"/>
  <c r="CM306" i="12"/>
  <c r="CM240" i="12"/>
  <c r="CM335" i="12"/>
  <c r="CM56" i="12"/>
  <c r="CM184" i="12"/>
  <c r="CM157" i="12"/>
  <c r="CM24" i="12"/>
  <c r="CM329" i="12"/>
  <c r="CM155" i="12"/>
  <c r="CM326" i="12"/>
  <c r="CM339" i="12"/>
  <c r="CM313" i="12"/>
  <c r="CM220" i="12"/>
  <c r="CM121" i="12"/>
  <c r="CM301" i="12"/>
  <c r="CM145" i="12"/>
  <c r="CM71" i="12"/>
  <c r="CM31" i="12"/>
  <c r="CM166" i="12"/>
  <c r="CM135" i="12"/>
  <c r="CM317" i="12"/>
  <c r="CM129" i="12"/>
  <c r="CM370" i="12"/>
  <c r="CM338" i="12"/>
  <c r="CM297" i="12"/>
  <c r="CM279" i="12"/>
  <c r="CM33" i="12"/>
  <c r="CM109" i="12"/>
  <c r="CM199" i="12"/>
  <c r="CM104" i="12"/>
  <c r="CM164" i="12"/>
  <c r="CM323" i="12"/>
  <c r="CM90" i="12"/>
  <c r="CM51" i="12"/>
  <c r="CM66" i="12"/>
  <c r="CM351" i="12"/>
  <c r="CM353" i="12"/>
  <c r="CM315" i="12"/>
  <c r="CM37" i="12"/>
  <c r="CM16" i="12"/>
  <c r="CM302" i="12"/>
  <c r="CM265" i="12"/>
  <c r="CM226" i="12"/>
  <c r="CM70" i="12"/>
  <c r="CM193" i="12"/>
  <c r="CM54" i="12"/>
  <c r="CM44" i="12"/>
  <c r="CM119" i="12"/>
  <c r="CM318" i="12"/>
  <c r="CM50" i="12"/>
  <c r="CM288" i="12"/>
  <c r="CM38" i="12"/>
  <c r="CM10" i="12"/>
  <c r="CM254" i="12"/>
  <c r="CM364" i="12"/>
  <c r="CM32" i="12"/>
  <c r="CM231" i="12"/>
  <c r="CM176" i="12"/>
  <c r="CM97" i="12"/>
  <c r="CM210" i="12"/>
  <c r="CM150" i="12"/>
  <c r="CM268" i="12"/>
  <c r="CM337" i="12"/>
  <c r="CM185" i="12"/>
  <c r="CM85" i="12"/>
  <c r="CM52" i="12"/>
  <c r="CM368" i="12"/>
  <c r="CM140" i="12"/>
  <c r="CM202" i="12"/>
  <c r="CM277" i="12"/>
  <c r="CM13" i="12"/>
  <c r="CM324" i="12"/>
  <c r="CM365" i="12"/>
  <c r="CM161" i="12"/>
  <c r="CM303" i="12"/>
  <c r="CM29" i="12"/>
  <c r="CM224" i="12"/>
  <c r="CM284" i="12"/>
  <c r="CM260" i="12"/>
  <c r="CM136" i="12"/>
  <c r="CM169" i="12"/>
  <c r="CM392" i="12"/>
  <c r="CM57" i="12"/>
  <c r="CM252" i="12"/>
  <c r="CM118" i="12"/>
  <c r="CM132" i="12"/>
  <c r="CM244" i="12"/>
  <c r="CM283" i="12"/>
  <c r="CM396" i="12"/>
  <c r="CM183" i="12"/>
  <c r="CM390" i="12"/>
  <c r="CM156" i="12"/>
  <c r="CM41" i="12"/>
  <c r="CM144" i="12"/>
  <c r="CM77" i="12"/>
  <c r="CM242" i="12"/>
  <c r="CM399" i="12"/>
  <c r="CM159" i="12"/>
  <c r="CM200" i="12"/>
  <c r="CM380" i="12"/>
  <c r="CM330" i="12"/>
  <c r="CM123" i="12"/>
  <c r="CM325" i="12"/>
  <c r="CM139" i="12"/>
  <c r="CM286" i="12"/>
  <c r="CM115" i="12"/>
  <c r="CM181" i="12"/>
  <c r="CM376" i="12"/>
  <c r="CM366" i="12"/>
  <c r="CM250" i="12"/>
  <c r="CM30" i="12"/>
  <c r="CM356" i="12"/>
  <c r="CM350" i="12"/>
  <c r="CM398" i="12"/>
  <c r="CM349" i="12"/>
  <c r="CM249" i="12"/>
  <c r="CM308" i="12"/>
  <c r="CM272" i="12"/>
  <c r="CM188" i="12"/>
  <c r="CM299" i="12"/>
  <c r="CM81" i="12"/>
  <c r="CM143" i="12"/>
  <c r="CM177" i="12"/>
  <c r="CM64" i="12"/>
  <c r="CM344" i="12"/>
  <c r="CM221" i="12"/>
  <c r="CM160" i="12"/>
  <c r="CM395" i="12"/>
  <c r="CM34" i="12"/>
  <c r="CM180" i="12"/>
  <c r="CM151" i="12"/>
  <c r="CM259" i="12"/>
  <c r="CM186" i="12"/>
  <c r="CM40" i="12"/>
  <c r="CM316" i="12"/>
  <c r="CM345" i="12"/>
  <c r="CM214" i="12"/>
  <c r="CM76" i="12"/>
  <c r="CM93" i="12"/>
  <c r="CM269" i="12"/>
  <c r="CM95" i="12"/>
  <c r="CM262" i="12"/>
  <c r="CM367" i="12"/>
  <c r="CM53" i="12"/>
  <c r="CM358" i="12"/>
  <c r="CM92" i="12"/>
  <c r="CM122" i="12"/>
  <c r="CM361" i="12"/>
  <c r="CM305" i="12"/>
  <c r="CM79" i="12"/>
  <c r="CM194" i="12"/>
  <c r="CM293" i="12"/>
  <c r="CM379" i="12"/>
  <c r="CM218" i="12"/>
  <c r="CM142" i="12"/>
  <c r="CM271" i="12"/>
  <c r="CM198" i="12"/>
  <c r="CM153" i="12"/>
  <c r="CM158" i="12"/>
  <c r="CM273" i="12"/>
  <c r="CM112" i="12"/>
  <c r="CM314" i="12"/>
  <c r="CM110" i="12"/>
  <c r="CM393" i="12"/>
  <c r="CM377" i="12"/>
  <c r="CM138" i="12"/>
  <c r="CM386" i="12"/>
  <c r="CM385" i="12"/>
  <c r="CM87" i="12"/>
  <c r="CM17" i="12"/>
  <c r="CM130" i="12"/>
  <c r="CM127" i="12"/>
  <c r="CM89" i="12"/>
  <c r="CM334" i="12"/>
  <c r="CM19" i="12"/>
  <c r="CM204" i="12"/>
  <c r="CM211" i="12"/>
  <c r="CM394" i="12"/>
  <c r="CM120" i="12"/>
  <c r="CM114" i="12"/>
  <c r="CM134" i="12"/>
  <c r="CM78" i="12"/>
  <c r="CM196" i="12"/>
  <c r="CM178" i="12"/>
  <c r="CM298" i="12"/>
  <c r="CM63" i="12"/>
  <c r="CM333" i="12"/>
  <c r="CM195" i="12"/>
  <c r="CM182" i="12"/>
  <c r="CM343" i="12"/>
  <c r="CM172" i="12"/>
  <c r="CM391" i="12"/>
  <c r="CM239" i="12"/>
  <c r="CM373" i="12"/>
  <c r="CM341" i="12"/>
  <c r="CM256" i="12"/>
  <c r="CM213" i="12"/>
  <c r="CM236" i="12"/>
  <c r="CM332" i="12"/>
  <c r="CM327" i="12"/>
  <c r="CM294" i="12"/>
  <c r="CM154" i="12"/>
  <c r="CM388" i="12"/>
  <c r="CM116" i="12"/>
  <c r="CM201" i="12"/>
  <c r="CM61" i="12"/>
  <c r="CM42" i="12"/>
  <c r="CM285" i="12"/>
  <c r="CM101" i="12"/>
  <c r="CM197" i="12"/>
  <c r="CM88" i="12"/>
  <c r="CM146" i="12"/>
  <c r="CM173" i="12"/>
  <c r="CM216" i="12"/>
  <c r="CM336" i="12"/>
  <c r="CM320" i="12"/>
  <c r="CM258" i="12"/>
  <c r="CM94" i="12"/>
  <c r="CM171" i="12"/>
  <c r="CM165" i="12"/>
  <c r="CM45" i="12"/>
  <c r="CM217" i="12"/>
  <c r="CM98" i="12"/>
  <c r="CM18" i="12"/>
  <c r="CM311" i="12"/>
  <c r="CM328" i="12"/>
  <c r="CM235" i="12"/>
  <c r="CM296" i="12"/>
  <c r="CM149" i="12"/>
  <c r="CM22" i="12"/>
  <c r="CM11" i="12"/>
  <c r="CM387" i="12"/>
  <c r="CM245" i="12"/>
  <c r="CM378" i="12"/>
  <c r="CM255" i="12"/>
  <c r="CM137" i="12"/>
  <c r="CM43" i="12"/>
  <c r="CM124" i="12"/>
  <c r="CM111" i="12"/>
  <c r="CM307" i="12"/>
  <c r="CM106" i="12"/>
  <c r="CM27" i="12"/>
  <c r="CM148" i="12"/>
  <c r="CM223" i="12"/>
  <c r="CM346" i="12"/>
  <c r="CM206" i="12"/>
  <c r="CM274" i="12"/>
  <c r="CM354" i="12"/>
  <c r="CM352" i="12"/>
  <c r="CM48" i="12"/>
  <c r="CW24" i="12" l="1"/>
  <c r="CW79" i="12"/>
  <c r="CW80" i="12" s="1"/>
  <c r="CW81" i="12" s="1"/>
  <c r="FE21" i="12"/>
  <c r="FC22" i="12"/>
  <c r="FD22" i="12" s="1"/>
  <c r="FB261" i="12"/>
  <c r="FC261" i="12" s="1"/>
  <c r="FD261" i="12" s="1"/>
  <c r="FA262" i="12"/>
  <c r="FB23" i="12"/>
  <c r="K130" i="12"/>
  <c r="L130" i="12" s="1"/>
  <c r="K126" i="12"/>
  <c r="L126" i="12" s="1"/>
  <c r="K128" i="12"/>
  <c r="L128" i="12" s="1"/>
  <c r="K127" i="12"/>
  <c r="L127" i="12" s="1"/>
  <c r="K129" i="12"/>
  <c r="L129" i="12" s="1"/>
  <c r="EB114" i="12"/>
  <c r="EC114" i="12" s="1"/>
  <c r="EB115" i="12"/>
  <c r="EC115" i="12" s="1"/>
  <c r="EB123" i="12"/>
  <c r="EC123" i="12" s="1"/>
  <c r="EB120" i="12"/>
  <c r="EC120" i="12" s="1"/>
  <c r="EB117" i="12"/>
  <c r="EC117" i="12" s="1"/>
  <c r="EB109" i="12"/>
  <c r="EC109" i="12" s="1"/>
  <c r="EB116" i="12"/>
  <c r="EC116" i="12" s="1"/>
  <c r="EB124" i="12"/>
  <c r="EC124" i="12" s="1"/>
  <c r="EB108" i="12"/>
  <c r="EC108" i="12" s="1"/>
  <c r="EB110" i="12"/>
  <c r="EC110" i="12" s="1"/>
  <c r="EB119" i="12"/>
  <c r="EC119" i="12" s="1"/>
  <c r="EB122" i="12"/>
  <c r="EC122" i="12" s="1"/>
  <c r="EB107" i="12"/>
  <c r="EC107" i="12" s="1"/>
  <c r="EB121" i="12"/>
  <c r="EC121" i="12" s="1"/>
  <c r="EB118" i="12"/>
  <c r="EC118" i="12" s="1"/>
  <c r="EB112" i="12"/>
  <c r="EC112" i="12" s="1"/>
  <c r="EB113" i="12"/>
  <c r="EC113" i="12" s="1"/>
  <c r="EB125" i="12"/>
  <c r="EC125" i="12" s="1"/>
  <c r="EB102" i="12"/>
  <c r="EC102" i="12" s="1"/>
  <c r="EB72" i="12"/>
  <c r="EC72" i="12" s="1"/>
  <c r="EB101" i="12"/>
  <c r="EC101" i="12" s="1"/>
  <c r="EB59" i="12"/>
  <c r="EC59" i="12" s="1"/>
  <c r="EB34" i="12"/>
  <c r="EC34" i="12" s="1"/>
  <c r="EB69" i="12"/>
  <c r="EC69" i="12" s="1"/>
  <c r="EB83" i="12"/>
  <c r="EC83" i="12" s="1"/>
  <c r="EB20" i="12"/>
  <c r="EC20" i="12" s="1"/>
  <c r="EB71" i="12"/>
  <c r="EC71" i="12" s="1"/>
  <c r="EB81" i="12"/>
  <c r="EC81" i="12" s="1"/>
  <c r="EB23" i="12"/>
  <c r="EC23" i="12" s="1"/>
  <c r="EB55" i="12"/>
  <c r="EC55" i="12" s="1"/>
  <c r="EB36" i="12"/>
  <c r="EC36" i="12" s="1"/>
  <c r="EB15" i="12"/>
  <c r="EC15" i="12" s="1"/>
  <c r="EI13" i="12"/>
  <c r="EK13" i="12" s="1"/>
  <c r="EB54" i="12"/>
  <c r="EC54" i="12" s="1"/>
  <c r="EB57" i="12"/>
  <c r="EC57" i="12" s="1"/>
  <c r="EB19" i="12"/>
  <c r="EC19" i="12" s="1"/>
  <c r="EB8" i="12"/>
  <c r="EC8" i="12" s="1"/>
  <c r="EB50" i="12"/>
  <c r="EC50" i="12" s="1"/>
  <c r="EB49" i="12"/>
  <c r="EC49" i="12" s="1"/>
  <c r="EI6" i="12"/>
  <c r="EK6" i="12" s="1"/>
  <c r="EB80" i="12"/>
  <c r="EC80" i="12" s="1"/>
  <c r="EI4" i="12"/>
  <c r="EK4" i="12" s="1"/>
  <c r="EB30" i="12"/>
  <c r="EC30" i="12" s="1"/>
  <c r="EB78" i="12"/>
  <c r="EC78" i="12" s="1"/>
  <c r="EB7" i="12"/>
  <c r="EC7" i="12" s="1"/>
  <c r="EB46" i="12"/>
  <c r="EC46" i="12" s="1"/>
  <c r="EB82" i="12"/>
  <c r="EC82" i="12" s="1"/>
  <c r="EB75" i="12"/>
  <c r="EC75" i="12" s="1"/>
  <c r="EB103" i="12"/>
  <c r="EC103" i="12" s="1"/>
  <c r="EB94" i="12"/>
  <c r="EC94" i="12" s="1"/>
  <c r="EB95" i="12"/>
  <c r="EC95" i="12" s="1"/>
  <c r="EB96" i="12"/>
  <c r="EC96" i="12" s="1"/>
  <c r="EB99" i="12"/>
  <c r="EC99" i="12" s="1"/>
  <c r="EB100" i="12"/>
  <c r="EC100" i="12" s="1"/>
  <c r="EB92" i="12"/>
  <c r="EC92" i="12" s="1"/>
  <c r="EB37" i="12"/>
  <c r="EC37" i="12" s="1"/>
  <c r="EB12" i="12"/>
  <c r="EC12" i="12" s="1"/>
  <c r="EB4" i="12"/>
  <c r="EC4" i="12" s="1"/>
  <c r="EB29" i="12"/>
  <c r="EC29" i="12" s="1"/>
  <c r="EB38" i="12"/>
  <c r="EC38" i="12" s="1"/>
  <c r="EB47" i="12"/>
  <c r="EC47" i="12" s="1"/>
  <c r="EB9" i="12"/>
  <c r="EC9" i="12" s="1"/>
  <c r="EB27" i="12"/>
  <c r="EC27" i="12" s="1"/>
  <c r="EB66" i="12"/>
  <c r="EC66" i="12" s="1"/>
  <c r="EB32" i="12"/>
  <c r="EC32" i="12" s="1"/>
  <c r="EB73" i="12"/>
  <c r="EC73" i="12" s="1"/>
  <c r="EB79" i="12"/>
  <c r="EC79" i="12" s="1"/>
  <c r="EB62" i="12"/>
  <c r="EC62" i="12" s="1"/>
  <c r="EB64" i="12"/>
  <c r="EC64" i="12" s="1"/>
  <c r="EB88" i="12"/>
  <c r="EC88" i="12" s="1"/>
  <c r="EB68" i="12"/>
  <c r="EC68" i="12" s="1"/>
  <c r="EB76" i="12"/>
  <c r="EC76" i="12" s="1"/>
  <c r="EB11" i="12"/>
  <c r="EC11" i="12" s="1"/>
  <c r="EB84" i="12"/>
  <c r="EC84" i="12" s="1"/>
  <c r="EB58" i="12"/>
  <c r="EC58" i="12" s="1"/>
  <c r="EB45" i="12"/>
  <c r="EC45" i="12" s="1"/>
  <c r="EB24" i="12"/>
  <c r="EC24" i="12" s="1"/>
  <c r="EB61" i="12"/>
  <c r="EC61" i="12" s="1"/>
  <c r="EB18" i="12"/>
  <c r="EC18" i="12" s="1"/>
  <c r="EB51" i="12"/>
  <c r="EC51" i="12" s="1"/>
  <c r="EB97" i="12"/>
  <c r="EC97" i="12" s="1"/>
  <c r="EB98" i="12"/>
  <c r="EC98" i="12" s="1"/>
  <c r="EB106" i="12"/>
  <c r="EC106" i="12" s="1"/>
  <c r="EB104" i="12"/>
  <c r="EC104" i="12" s="1"/>
  <c r="EB85" i="12"/>
  <c r="EC85" i="12" s="1"/>
  <c r="EB52" i="12"/>
  <c r="EC52" i="12" s="1"/>
  <c r="EB16" i="12"/>
  <c r="EC16" i="12" s="1"/>
  <c r="EB53" i="12"/>
  <c r="EC53" i="12" s="1"/>
  <c r="EB90" i="12"/>
  <c r="EC90" i="12" s="1"/>
  <c r="EB43" i="12"/>
  <c r="EC43" i="12" s="1"/>
  <c r="EB6" i="12"/>
  <c r="EC6" i="12" s="1"/>
  <c r="EB25" i="12"/>
  <c r="EC25" i="12" s="1"/>
  <c r="EB14" i="12"/>
  <c r="EC14" i="12" s="1"/>
  <c r="EI11" i="12"/>
  <c r="EK11" i="12" s="1"/>
  <c r="EB87" i="12"/>
  <c r="EC87" i="12" s="1"/>
  <c r="EB28" i="12"/>
  <c r="EC28" i="12" s="1"/>
  <c r="EB48" i="12"/>
  <c r="EC48" i="12" s="1"/>
  <c r="EB26" i="12"/>
  <c r="EC26" i="12" s="1"/>
  <c r="EB33" i="12"/>
  <c r="EC33" i="12" s="1"/>
  <c r="EB41" i="12"/>
  <c r="EC41" i="12" s="1"/>
  <c r="EI12" i="12"/>
  <c r="EK12" i="12" s="1"/>
  <c r="EB21" i="12"/>
  <c r="EC21" i="12" s="1"/>
  <c r="EB86" i="12"/>
  <c r="EC86" i="12" s="1"/>
  <c r="EB44" i="12"/>
  <c r="EC44" i="12" s="1"/>
  <c r="EB35" i="12"/>
  <c r="EC35" i="12" s="1"/>
  <c r="EB93" i="12"/>
  <c r="EC93" i="12" s="1"/>
  <c r="EB77" i="12"/>
  <c r="EC77" i="12" s="1"/>
  <c r="EB40" i="12"/>
  <c r="EC40" i="12" s="1"/>
  <c r="EB3" i="12"/>
  <c r="EC3" i="12" s="1"/>
  <c r="EB74" i="12"/>
  <c r="EC74" i="12" s="1"/>
  <c r="EB10" i="12"/>
  <c r="EC10" i="12" s="1"/>
  <c r="EB60" i="12"/>
  <c r="EC60" i="12" s="1"/>
  <c r="EB13" i="12"/>
  <c r="EC13" i="12" s="1"/>
  <c r="EB56" i="12"/>
  <c r="EC56" i="12" s="1"/>
  <c r="EB67" i="12"/>
  <c r="EC67" i="12" s="1"/>
  <c r="EB65" i="12"/>
  <c r="EC65" i="12" s="1"/>
  <c r="EB31" i="12"/>
  <c r="EC31" i="12" s="1"/>
  <c r="EB42" i="12"/>
  <c r="EC42" i="12" s="1"/>
  <c r="EB22" i="12"/>
  <c r="EC22" i="12" s="1"/>
  <c r="EB105" i="12"/>
  <c r="EC105" i="12" s="1"/>
  <c r="EB63" i="12"/>
  <c r="EC63" i="12" s="1"/>
  <c r="EB70" i="12"/>
  <c r="EC70" i="12" s="1"/>
  <c r="EB89" i="12"/>
  <c r="EC89" i="12" s="1"/>
  <c r="EB91" i="12"/>
  <c r="EC91" i="12" s="1"/>
  <c r="EB17" i="12"/>
  <c r="EC17" i="12" s="1"/>
  <c r="EB39" i="12"/>
  <c r="EC39" i="12" s="1"/>
  <c r="EB5" i="12"/>
  <c r="EC5" i="12" s="1"/>
  <c r="K119" i="12"/>
  <c r="L119" i="12" s="1"/>
  <c r="K120" i="12"/>
  <c r="L120" i="12" s="1"/>
  <c r="K116" i="12"/>
  <c r="L116" i="12" s="1"/>
  <c r="K114" i="12"/>
  <c r="L114" i="12" s="1"/>
  <c r="K125" i="12"/>
  <c r="L125" i="12" s="1"/>
  <c r="K110" i="12"/>
  <c r="L110" i="12" s="1"/>
  <c r="K121" i="12"/>
  <c r="L121" i="12" s="1"/>
  <c r="K107" i="12"/>
  <c r="L107" i="12" s="1"/>
  <c r="K122" i="12"/>
  <c r="L122" i="12" s="1"/>
  <c r="K108" i="12"/>
  <c r="L108" i="12" s="1"/>
  <c r="K112" i="12"/>
  <c r="L112" i="12" s="1"/>
  <c r="K118" i="12"/>
  <c r="L118" i="12" s="1"/>
  <c r="K113" i="12"/>
  <c r="L113" i="12" s="1"/>
  <c r="K123" i="12"/>
  <c r="L123" i="12" s="1"/>
  <c r="K124" i="12"/>
  <c r="L124" i="12" s="1"/>
  <c r="K117" i="12"/>
  <c r="L117" i="12" s="1"/>
  <c r="K115" i="12"/>
  <c r="L115" i="12" s="1"/>
  <c r="K109" i="12"/>
  <c r="L109" i="12" s="1"/>
  <c r="EE14" i="12"/>
  <c r="EG14" i="12" s="1"/>
  <c r="EE7" i="12"/>
  <c r="EG7" i="12" s="1"/>
  <c r="K44" i="12"/>
  <c r="L44" i="12" s="1"/>
  <c r="K28" i="12"/>
  <c r="L28" i="12" s="1"/>
  <c r="K96" i="12"/>
  <c r="L96" i="12" s="1"/>
  <c r="K102" i="12"/>
  <c r="L102" i="12" s="1"/>
  <c r="K4" i="12"/>
  <c r="L4" i="12" s="1"/>
  <c r="K62" i="12"/>
  <c r="L62" i="12" s="1"/>
  <c r="K87" i="12"/>
  <c r="L87" i="12" s="1"/>
  <c r="K29" i="12"/>
  <c r="L29" i="12" s="1"/>
  <c r="K5" i="12"/>
  <c r="L5" i="12" s="1"/>
  <c r="K92" i="12"/>
  <c r="L92" i="12" s="1"/>
  <c r="K46" i="12"/>
  <c r="L46" i="12" s="1"/>
  <c r="K77" i="12"/>
  <c r="L77" i="12" s="1"/>
  <c r="EE6" i="12"/>
  <c r="EG6" i="12" s="1"/>
  <c r="K36" i="12"/>
  <c r="L36" i="12" s="1"/>
  <c r="K66" i="12"/>
  <c r="L66" i="12" s="1"/>
  <c r="EE8" i="12"/>
  <c r="EG8" i="12" s="1"/>
  <c r="K95" i="12"/>
  <c r="L95" i="12" s="1"/>
  <c r="K56" i="12"/>
  <c r="L56" i="12" s="1"/>
  <c r="K101" i="12"/>
  <c r="L101" i="12" s="1"/>
  <c r="K14" i="12"/>
  <c r="L14" i="12" s="1"/>
  <c r="K88" i="12"/>
  <c r="L88" i="12" s="1"/>
  <c r="K97" i="12"/>
  <c r="L97" i="12" s="1"/>
  <c r="K100" i="12"/>
  <c r="L100" i="12" s="1"/>
  <c r="K51" i="12"/>
  <c r="L51" i="12" s="1"/>
  <c r="K59" i="12"/>
  <c r="L59" i="12" s="1"/>
  <c r="K103" i="12"/>
  <c r="L103" i="12" s="1"/>
  <c r="K98" i="12"/>
  <c r="L98" i="12" s="1"/>
  <c r="K21" i="12"/>
  <c r="L21" i="12" s="1"/>
  <c r="K70" i="12"/>
  <c r="L70" i="12" s="1"/>
  <c r="EE12" i="12"/>
  <c r="EG12" i="12" s="1"/>
  <c r="EE13" i="12"/>
  <c r="EG13" i="12" s="1"/>
  <c r="K81" i="12"/>
  <c r="L81" i="12" s="1"/>
  <c r="K94" i="12"/>
  <c r="L94" i="12" s="1"/>
  <c r="K42" i="12"/>
  <c r="L42" i="12" s="1"/>
  <c r="K79" i="12"/>
  <c r="L79" i="12" s="1"/>
  <c r="K60" i="12"/>
  <c r="L60" i="12" s="1"/>
  <c r="K24" i="12"/>
  <c r="L24" i="12" s="1"/>
  <c r="K67" i="12"/>
  <c r="L67" i="12" s="1"/>
  <c r="K35" i="12"/>
  <c r="L35" i="12" s="1"/>
  <c r="K80" i="12"/>
  <c r="L80" i="12" s="1"/>
  <c r="K37" i="12"/>
  <c r="L37" i="12" s="1"/>
  <c r="K57" i="12"/>
  <c r="L57" i="12" s="1"/>
  <c r="K72" i="12"/>
  <c r="L72" i="12" s="1"/>
  <c r="K8" i="12"/>
  <c r="L8" i="12" s="1"/>
  <c r="K85" i="12"/>
  <c r="L85" i="12" s="1"/>
  <c r="K99" i="12"/>
  <c r="L99" i="12" s="1"/>
  <c r="K13" i="12"/>
  <c r="L13" i="12" s="1"/>
  <c r="K15" i="12"/>
  <c r="L15" i="12" s="1"/>
  <c r="K11" i="12"/>
  <c r="L11" i="12" s="1"/>
  <c r="K61" i="12"/>
  <c r="L61" i="12" s="1"/>
  <c r="K23" i="12"/>
  <c r="L23" i="12" s="1"/>
  <c r="K78" i="12"/>
  <c r="L78" i="12" s="1"/>
  <c r="K31" i="12"/>
  <c r="L31" i="12" s="1"/>
  <c r="K71" i="12"/>
  <c r="L71" i="12" s="1"/>
  <c r="K63" i="12"/>
  <c r="L63" i="12" s="1"/>
  <c r="K76" i="12"/>
  <c r="L76" i="12" s="1"/>
  <c r="K106" i="12"/>
  <c r="L106" i="12" s="1"/>
  <c r="K32" i="12"/>
  <c r="L32" i="12" s="1"/>
  <c r="K22" i="12"/>
  <c r="L22" i="12" s="1"/>
  <c r="K45" i="12"/>
  <c r="L45" i="12" s="1"/>
  <c r="K43" i="12"/>
  <c r="L43" i="12" s="1"/>
  <c r="K89" i="12"/>
  <c r="L89" i="12" s="1"/>
  <c r="K82" i="12"/>
  <c r="L82" i="12" s="1"/>
  <c r="K58" i="12"/>
  <c r="L58" i="12" s="1"/>
  <c r="K91" i="12"/>
  <c r="L91" i="12" s="1"/>
  <c r="K86" i="12"/>
  <c r="L86" i="12" s="1"/>
  <c r="K75" i="12"/>
  <c r="L75" i="12" s="1"/>
  <c r="K26" i="12"/>
  <c r="L26" i="12" s="1"/>
  <c r="K30" i="12"/>
  <c r="L30" i="12" s="1"/>
  <c r="K69" i="12"/>
  <c r="L69" i="12" s="1"/>
  <c r="K40" i="12"/>
  <c r="L40" i="12" s="1"/>
  <c r="K38" i="12"/>
  <c r="L38" i="12" s="1"/>
  <c r="K105" i="12"/>
  <c r="L105" i="12" s="1"/>
  <c r="K27" i="12"/>
  <c r="L27" i="12" s="1"/>
  <c r="K3" i="12"/>
  <c r="L3" i="12" s="1"/>
  <c r="K25" i="12"/>
  <c r="L25" i="12" s="1"/>
  <c r="EE3" i="12"/>
  <c r="EG3" i="12" s="1"/>
  <c r="K64" i="12"/>
  <c r="L64" i="12" s="1"/>
  <c r="K10" i="12"/>
  <c r="L10" i="12" s="1"/>
  <c r="K20" i="12"/>
  <c r="L20" i="12" s="1"/>
  <c r="K18" i="12"/>
  <c r="L18" i="12" s="1"/>
  <c r="K84" i="12"/>
  <c r="L84" i="12" s="1"/>
  <c r="K49" i="12"/>
  <c r="L49" i="12" s="1"/>
  <c r="K73" i="12"/>
  <c r="L73" i="12" s="1"/>
  <c r="EE5" i="12"/>
  <c r="EG5" i="12" s="1"/>
  <c r="EE11" i="12"/>
  <c r="EG11" i="12" s="1"/>
  <c r="K7" i="12"/>
  <c r="L7" i="12" s="1"/>
  <c r="K68" i="12"/>
  <c r="L68" i="12" s="1"/>
  <c r="K48" i="12"/>
  <c r="L48" i="12" s="1"/>
  <c r="K93" i="12"/>
  <c r="L93" i="12" s="1"/>
  <c r="K104" i="12"/>
  <c r="L104" i="12" s="1"/>
  <c r="K6" i="12"/>
  <c r="L6" i="12" s="1"/>
  <c r="K17" i="12"/>
  <c r="L17" i="12" s="1"/>
  <c r="K47" i="12"/>
  <c r="L47" i="12" s="1"/>
  <c r="K33" i="12"/>
  <c r="L33" i="12" s="1"/>
  <c r="K52" i="12"/>
  <c r="L52" i="12" s="1"/>
  <c r="K39" i="12"/>
  <c r="L39" i="12" s="1"/>
  <c r="K83" i="12"/>
  <c r="L83" i="12" s="1"/>
  <c r="K74" i="12"/>
  <c r="L74" i="12" s="1"/>
  <c r="K9" i="12"/>
  <c r="L9" i="12" s="1"/>
  <c r="K65" i="12"/>
  <c r="L65" i="12" s="1"/>
  <c r="K55" i="12"/>
  <c r="L55" i="12" s="1"/>
  <c r="K50" i="12"/>
  <c r="L50" i="12" s="1"/>
  <c r="K41" i="12"/>
  <c r="L41" i="12" s="1"/>
  <c r="K12" i="12"/>
  <c r="L12" i="12" s="1"/>
  <c r="K34" i="12"/>
  <c r="L34" i="12" s="1"/>
  <c r="K90" i="12"/>
  <c r="L90" i="12" s="1"/>
  <c r="K53" i="12"/>
  <c r="L53" i="12" s="1"/>
  <c r="K54" i="12"/>
  <c r="L54" i="12" s="1"/>
  <c r="K16" i="12"/>
  <c r="L16" i="12" s="1"/>
  <c r="EI5" i="12"/>
  <c r="EK5" i="12" s="1"/>
  <c r="EI8" i="12"/>
  <c r="EK8" i="12" s="1"/>
  <c r="EE4" i="12"/>
  <c r="EG4" i="12" s="1"/>
  <c r="EI9" i="12"/>
  <c r="EK9" i="12" s="1"/>
  <c r="BY6" i="12"/>
  <c r="EI7" i="12"/>
  <c r="EK7" i="12" s="1"/>
  <c r="EI10" i="12"/>
  <c r="EK10" i="12" s="1"/>
  <c r="EE10" i="12"/>
  <c r="EG10" i="12" s="1"/>
  <c r="EE9" i="12"/>
  <c r="EG9" i="12" s="1"/>
  <c r="K111" i="12"/>
  <c r="L111" i="12" s="1"/>
  <c r="EB111" i="12"/>
  <c r="EC111" i="12" s="1"/>
  <c r="CN206" i="12"/>
  <c r="CO206" i="12"/>
  <c r="CN22" i="12"/>
  <c r="CO22" i="12"/>
  <c r="CN148" i="12"/>
  <c r="CO148" i="12"/>
  <c r="CN255" i="12"/>
  <c r="CO255" i="12"/>
  <c r="CN98" i="12"/>
  <c r="CO98" i="12"/>
  <c r="CN88" i="12"/>
  <c r="CO88" i="12"/>
  <c r="CN332" i="12"/>
  <c r="CO332" i="12"/>
  <c r="CN223" i="12"/>
  <c r="CO223" i="12"/>
  <c r="CN387" i="12"/>
  <c r="CO387" i="12"/>
  <c r="CN296" i="12"/>
  <c r="CO296" i="12"/>
  <c r="CN18" i="12"/>
  <c r="CO18" i="12"/>
  <c r="CN165" i="12"/>
  <c r="CO165" i="12"/>
  <c r="CN320" i="12"/>
  <c r="CO320" i="12"/>
  <c r="CN146" i="12"/>
  <c r="CO146" i="12"/>
  <c r="CN285" i="12"/>
  <c r="CO285" i="12"/>
  <c r="CN116" i="12"/>
  <c r="CO116" i="12"/>
  <c r="CN327" i="12"/>
  <c r="CO327" i="12"/>
  <c r="CN256" i="12"/>
  <c r="CO256" i="12"/>
  <c r="CN391" i="12"/>
  <c r="CO391" i="12"/>
  <c r="CN195" i="12"/>
  <c r="CO195" i="12"/>
  <c r="CN178" i="12"/>
  <c r="CO178" i="12"/>
  <c r="CN114" i="12"/>
  <c r="CO114" i="12"/>
  <c r="CN204" i="12"/>
  <c r="CO204" i="12"/>
  <c r="CN127" i="12"/>
  <c r="CO127" i="12"/>
  <c r="CN385" i="12"/>
  <c r="CO385" i="12"/>
  <c r="CN393" i="12"/>
  <c r="CO393" i="12"/>
  <c r="CN273" i="12"/>
  <c r="CO273" i="12"/>
  <c r="CN271" i="12"/>
  <c r="CO271" i="12"/>
  <c r="CN293" i="12"/>
  <c r="CO293" i="12"/>
  <c r="CN194" i="12"/>
  <c r="CO194" i="12"/>
  <c r="CN122" i="12"/>
  <c r="CO122" i="12"/>
  <c r="CN367" i="12"/>
  <c r="CO367" i="12"/>
  <c r="CN93" i="12"/>
  <c r="CO93" i="12"/>
  <c r="CN316" i="12"/>
  <c r="CO316" i="12"/>
  <c r="CN151" i="12"/>
  <c r="CO151" i="12"/>
  <c r="CN160" i="12"/>
  <c r="CO160" i="12"/>
  <c r="CN177" i="12"/>
  <c r="CO177" i="12"/>
  <c r="CN188" i="12"/>
  <c r="CO188" i="12"/>
  <c r="CN349" i="12"/>
  <c r="CO349" i="12"/>
  <c r="CN30" i="12"/>
  <c r="CO30" i="12"/>
  <c r="CN181" i="12"/>
  <c r="CO181" i="12"/>
  <c r="CN325" i="12"/>
  <c r="CO325" i="12"/>
  <c r="CN200" i="12"/>
  <c r="CO200" i="12"/>
  <c r="CN77" i="12"/>
  <c r="CO77" i="12"/>
  <c r="CN390" i="12"/>
  <c r="CO390" i="12"/>
  <c r="CN244" i="12"/>
  <c r="CO244" i="12"/>
  <c r="CN57" i="12"/>
  <c r="CO57" i="12"/>
  <c r="CN260" i="12"/>
  <c r="CO260" i="12"/>
  <c r="CN303" i="12"/>
  <c r="CO303" i="12"/>
  <c r="CN13" i="12"/>
  <c r="CO13" i="12"/>
  <c r="CN368" i="12"/>
  <c r="CO368" i="12"/>
  <c r="CN337" i="12"/>
  <c r="CO337" i="12"/>
  <c r="CN97" i="12"/>
  <c r="CO97" i="12"/>
  <c r="CN364" i="12"/>
  <c r="CO364" i="12"/>
  <c r="CN38" i="12"/>
  <c r="CO38" i="12"/>
  <c r="CN119" i="12"/>
  <c r="CO119" i="12"/>
  <c r="CN70" i="12"/>
  <c r="CO70" i="12"/>
  <c r="CN16" i="12"/>
  <c r="CO16" i="12"/>
  <c r="CN351" i="12"/>
  <c r="CO351" i="12"/>
  <c r="CN323" i="12"/>
  <c r="CO323" i="12"/>
  <c r="CN109" i="12"/>
  <c r="CO109" i="12"/>
  <c r="CN338" i="12"/>
  <c r="CO338" i="12"/>
  <c r="CN135" i="12"/>
  <c r="CO135" i="12"/>
  <c r="CN145" i="12"/>
  <c r="CO145" i="12"/>
  <c r="CN313" i="12"/>
  <c r="CO313" i="12"/>
  <c r="CN329" i="12"/>
  <c r="CO329" i="12"/>
  <c r="CN56" i="12"/>
  <c r="CO56" i="12"/>
  <c r="CN168" i="12"/>
  <c r="CO168" i="12"/>
  <c r="CN152" i="12"/>
  <c r="CO152" i="12"/>
  <c r="CN25" i="12"/>
  <c r="CO25" i="12"/>
  <c r="CN375" i="12"/>
  <c r="CO375" i="12"/>
  <c r="CN133" i="12"/>
  <c r="CO133" i="12"/>
  <c r="CN321" i="12"/>
  <c r="CO321" i="12"/>
  <c r="CO400" i="12"/>
  <c r="CN257" i="12"/>
  <c r="CO257" i="12"/>
  <c r="CN291" i="12"/>
  <c r="CO291" i="12"/>
  <c r="CN203" i="12"/>
  <c r="CO203" i="12"/>
  <c r="CN174" i="12"/>
  <c r="CO174" i="12"/>
  <c r="CN46" i="12"/>
  <c r="CO46" i="12"/>
  <c r="CN84" i="12"/>
  <c r="CO84" i="12"/>
  <c r="CN261" i="12"/>
  <c r="CO261" i="12"/>
  <c r="CN222" i="12"/>
  <c r="CO222" i="12"/>
  <c r="CN96" i="12"/>
  <c r="CO96" i="12"/>
  <c r="CN60" i="12"/>
  <c r="CO60" i="12"/>
  <c r="CN126" i="12"/>
  <c r="CO126" i="12"/>
  <c r="CN103" i="12"/>
  <c r="CO103" i="12"/>
  <c r="CN47" i="12"/>
  <c r="CO47" i="12"/>
  <c r="CN287" i="12"/>
  <c r="CO287" i="12"/>
  <c r="CN12" i="12"/>
  <c r="CO12" i="12"/>
  <c r="CN372" i="12"/>
  <c r="CO372" i="12"/>
  <c r="CN187" i="12"/>
  <c r="CO187" i="12"/>
  <c r="CN362" i="12"/>
  <c r="CO362" i="12"/>
  <c r="CN208" i="12"/>
  <c r="CO208" i="12"/>
  <c r="CN342" i="12"/>
  <c r="CO342" i="12"/>
  <c r="CN75" i="12"/>
  <c r="CO75" i="12"/>
  <c r="CN229" i="12"/>
  <c r="CO229" i="12"/>
  <c r="CN371" i="12"/>
  <c r="CO371" i="12"/>
  <c r="CN170" i="12"/>
  <c r="CO170" i="12"/>
  <c r="CN192" i="12"/>
  <c r="CO192" i="12"/>
  <c r="CN234" i="12"/>
  <c r="CO234" i="12"/>
  <c r="CN23" i="12"/>
  <c r="CO23" i="12"/>
  <c r="CN62" i="12"/>
  <c r="CO62" i="12"/>
  <c r="CN209" i="12"/>
  <c r="CO209" i="12"/>
  <c r="CN264" i="12"/>
  <c r="CO264" i="12"/>
  <c r="CN27" i="12"/>
  <c r="CO27" i="12"/>
  <c r="CN328" i="12"/>
  <c r="CO328" i="12"/>
  <c r="CN274" i="12"/>
  <c r="CO274" i="12"/>
  <c r="CN11" i="12"/>
  <c r="CO11" i="12"/>
  <c r="CN171" i="12"/>
  <c r="CO171" i="12"/>
  <c r="CN42" i="12"/>
  <c r="CO42" i="12"/>
  <c r="CN354" i="12"/>
  <c r="CO354" i="12"/>
  <c r="CN307" i="12"/>
  <c r="CO307" i="12"/>
  <c r="CN137" i="12"/>
  <c r="CO137" i="12"/>
  <c r="CN352" i="12"/>
  <c r="CO352" i="12"/>
  <c r="CN346" i="12"/>
  <c r="CO346" i="12"/>
  <c r="CN106" i="12"/>
  <c r="CO106" i="12"/>
  <c r="CN43" i="12"/>
  <c r="CO43" i="12"/>
  <c r="CN245" i="12"/>
  <c r="CO245" i="12"/>
  <c r="CN149" i="12"/>
  <c r="CO149" i="12"/>
  <c r="CN311" i="12"/>
  <c r="CO311" i="12"/>
  <c r="CN45" i="12"/>
  <c r="CO45" i="12"/>
  <c r="CN258" i="12"/>
  <c r="CO258" i="12"/>
  <c r="CN173" i="12"/>
  <c r="CO173" i="12"/>
  <c r="CN101" i="12"/>
  <c r="CO101" i="12"/>
  <c r="CN201" i="12"/>
  <c r="CO201" i="12"/>
  <c r="CN294" i="12"/>
  <c r="CO294" i="12"/>
  <c r="CN213" i="12"/>
  <c r="CO213" i="12"/>
  <c r="CN239" i="12"/>
  <c r="CO239" i="12"/>
  <c r="CN182" i="12"/>
  <c r="CO182" i="12"/>
  <c r="CN298" i="12"/>
  <c r="CO298" i="12"/>
  <c r="CN134" i="12"/>
  <c r="CO134" i="12"/>
  <c r="CN211" i="12"/>
  <c r="CO211" i="12"/>
  <c r="CN89" i="12"/>
  <c r="CO89" i="12"/>
  <c r="CN87" i="12"/>
  <c r="CO87" i="12"/>
  <c r="CN377" i="12"/>
  <c r="CO377" i="12"/>
  <c r="CN112" i="12"/>
  <c r="CO112" i="12"/>
  <c r="CN198" i="12"/>
  <c r="CO198" i="12"/>
  <c r="CN379" i="12"/>
  <c r="CO379" i="12"/>
  <c r="CN361" i="12"/>
  <c r="CO361" i="12"/>
  <c r="CN53" i="12"/>
  <c r="CO53" i="12"/>
  <c r="CN269" i="12"/>
  <c r="CO269" i="12"/>
  <c r="CN345" i="12"/>
  <c r="CO345" i="12"/>
  <c r="CN259" i="12"/>
  <c r="CO259" i="12"/>
  <c r="CN395" i="12"/>
  <c r="CO395" i="12"/>
  <c r="CN64" i="12"/>
  <c r="CO64" i="12"/>
  <c r="CN299" i="12"/>
  <c r="CO299" i="12"/>
  <c r="CN249" i="12"/>
  <c r="CO249" i="12"/>
  <c r="CN356" i="12"/>
  <c r="CO356" i="12"/>
  <c r="CN376" i="12"/>
  <c r="CO376" i="12"/>
  <c r="CN139" i="12"/>
  <c r="CO139" i="12"/>
  <c r="CN380" i="12"/>
  <c r="CO380" i="12"/>
  <c r="CN242" i="12"/>
  <c r="CO242" i="12"/>
  <c r="CN156" i="12"/>
  <c r="CO156" i="12"/>
  <c r="CN283" i="12"/>
  <c r="CO283" i="12"/>
  <c r="CN252" i="12"/>
  <c r="CO252" i="12"/>
  <c r="CN136" i="12"/>
  <c r="CO136" i="12"/>
  <c r="CN29" i="12"/>
  <c r="CO29" i="12"/>
  <c r="CN324" i="12"/>
  <c r="CO324" i="12"/>
  <c r="CN140" i="12"/>
  <c r="CO140" i="12"/>
  <c r="CN185" i="12"/>
  <c r="CO185" i="12"/>
  <c r="CN210" i="12"/>
  <c r="CO210" i="12"/>
  <c r="CN32" i="12"/>
  <c r="CO32" i="12"/>
  <c r="CN318" i="12"/>
  <c r="CO318" i="12"/>
  <c r="CN193" i="12"/>
  <c r="CO193" i="12"/>
  <c r="CN302" i="12"/>
  <c r="CO302" i="12"/>
  <c r="CN353" i="12"/>
  <c r="CO353" i="12"/>
  <c r="CN90" i="12"/>
  <c r="CO90" i="12"/>
  <c r="CN199" i="12"/>
  <c r="CO199" i="12"/>
  <c r="CN297" i="12"/>
  <c r="CO297" i="12"/>
  <c r="CN317" i="12"/>
  <c r="CO317" i="12"/>
  <c r="CN71" i="12"/>
  <c r="CO71" i="12"/>
  <c r="CN220" i="12"/>
  <c r="CO220" i="12"/>
  <c r="CN155" i="12"/>
  <c r="CO155" i="12"/>
  <c r="CN184" i="12"/>
  <c r="CO184" i="12"/>
  <c r="CN306" i="12"/>
  <c r="CO306" i="12"/>
  <c r="CN381" i="12"/>
  <c r="CO381" i="12"/>
  <c r="CN251" i="12"/>
  <c r="CO251" i="12"/>
  <c r="CN189" i="12"/>
  <c r="CO189" i="12"/>
  <c r="CN36" i="12"/>
  <c r="CO36" i="12"/>
  <c r="CN266" i="12"/>
  <c r="CO266" i="12"/>
  <c r="CN6" i="12"/>
  <c r="CO6" i="12"/>
  <c r="CN80" i="12"/>
  <c r="CO80" i="12"/>
  <c r="CN389" i="12"/>
  <c r="CO389" i="12"/>
  <c r="CN14" i="12"/>
  <c r="CO14" i="12"/>
  <c r="CN227" i="12"/>
  <c r="CO227" i="12"/>
  <c r="CN270" i="12"/>
  <c r="CO270" i="12"/>
  <c r="CN289" i="12"/>
  <c r="CO289" i="12"/>
  <c r="CN397" i="12"/>
  <c r="CO397" i="12"/>
  <c r="CN9" i="12"/>
  <c r="CO9" i="12"/>
  <c r="CN278" i="12"/>
  <c r="CO278" i="12"/>
  <c r="CN215" i="12"/>
  <c r="CO215" i="12"/>
  <c r="CN322" i="12"/>
  <c r="CO322" i="12"/>
  <c r="CN331" i="12"/>
  <c r="CO331" i="12"/>
  <c r="CN384" i="12"/>
  <c r="CO384" i="12"/>
  <c r="CN55" i="12"/>
  <c r="CO55" i="12"/>
  <c r="CN232" i="12"/>
  <c r="CO232" i="12"/>
  <c r="CN175" i="12"/>
  <c r="CO175" i="12"/>
  <c r="CN190" i="12"/>
  <c r="CO190" i="12"/>
  <c r="CN100" i="12"/>
  <c r="CO100" i="12"/>
  <c r="CN191" i="12"/>
  <c r="CO191" i="12"/>
  <c r="CN99" i="12"/>
  <c r="CO99" i="12"/>
  <c r="CN117" i="12"/>
  <c r="CO117" i="12"/>
  <c r="CN363" i="12"/>
  <c r="CO363" i="12"/>
  <c r="CN369" i="12"/>
  <c r="CO369" i="12"/>
  <c r="CN282" i="12"/>
  <c r="CO282" i="12"/>
  <c r="CN86" i="12"/>
  <c r="CO86" i="12"/>
  <c r="CN359" i="12"/>
  <c r="CO359" i="12"/>
  <c r="CN312" i="12"/>
  <c r="CO312" i="12"/>
  <c r="CN228" i="12"/>
  <c r="CO228" i="12"/>
  <c r="CN276" i="12"/>
  <c r="CO276" i="12"/>
  <c r="CN73" i="12"/>
  <c r="CO73" i="12"/>
  <c r="CN246" i="12"/>
  <c r="CO246" i="12"/>
  <c r="CN48" i="12"/>
  <c r="CO48" i="12"/>
  <c r="CN378" i="12"/>
  <c r="CO378" i="12"/>
  <c r="CN94" i="12"/>
  <c r="CO94" i="12"/>
  <c r="CN216" i="12"/>
  <c r="CO216" i="12"/>
  <c r="CN197" i="12"/>
  <c r="CO197" i="12"/>
  <c r="CN61" i="12"/>
  <c r="CO61" i="12"/>
  <c r="CN154" i="12"/>
  <c r="CO154" i="12"/>
  <c r="CN236" i="12"/>
  <c r="CO236" i="12"/>
  <c r="CN373" i="12"/>
  <c r="CO373" i="12"/>
  <c r="CN343" i="12"/>
  <c r="CO343" i="12"/>
  <c r="CN63" i="12"/>
  <c r="CO63" i="12"/>
  <c r="CN78" i="12"/>
  <c r="CO78" i="12"/>
  <c r="CN394" i="12"/>
  <c r="CO394" i="12"/>
  <c r="CN334" i="12"/>
  <c r="CO334" i="12"/>
  <c r="CN17" i="12"/>
  <c r="CO17" i="12"/>
  <c r="CN138" i="12"/>
  <c r="CO138" i="12"/>
  <c r="CN314" i="12"/>
  <c r="CO314" i="12"/>
  <c r="CN153" i="12"/>
  <c r="CO153" i="12"/>
  <c r="CN218" i="12"/>
  <c r="CO218" i="12"/>
  <c r="CN305" i="12"/>
  <c r="CO305" i="12"/>
  <c r="CN358" i="12"/>
  <c r="CO358" i="12"/>
  <c r="CN95" i="12"/>
  <c r="CO95" i="12"/>
  <c r="CN214" i="12"/>
  <c r="CO214" i="12"/>
  <c r="CN186" i="12"/>
  <c r="CO186" i="12"/>
  <c r="CN34" i="12"/>
  <c r="CO34" i="12"/>
  <c r="CN344" i="12"/>
  <c r="CO344" i="12"/>
  <c r="CN81" i="12"/>
  <c r="CO81" i="12"/>
  <c r="CN308" i="12"/>
  <c r="CO308" i="12"/>
  <c r="CN350" i="12"/>
  <c r="CO350" i="12"/>
  <c r="CN366" i="12"/>
  <c r="CO366" i="12"/>
  <c r="CN286" i="12"/>
  <c r="CO286" i="12"/>
  <c r="CN330" i="12"/>
  <c r="CO330" i="12"/>
  <c r="CO399" i="12"/>
  <c r="CN399" i="12"/>
  <c r="CN41" i="12"/>
  <c r="CO41" i="12"/>
  <c r="CN396" i="12"/>
  <c r="CO396" i="12"/>
  <c r="CN118" i="12"/>
  <c r="CO118" i="12"/>
  <c r="CN169" i="12"/>
  <c r="CO169" i="12"/>
  <c r="CN224" i="12"/>
  <c r="CO224" i="12"/>
  <c r="CN365" i="12"/>
  <c r="CO365" i="12"/>
  <c r="CN202" i="12"/>
  <c r="CO202" i="12"/>
  <c r="CN85" i="12"/>
  <c r="CO85" i="12"/>
  <c r="CN150" i="12"/>
  <c r="CO150" i="12"/>
  <c r="CN231" i="12"/>
  <c r="CO231" i="12"/>
  <c r="CN10" i="12"/>
  <c r="CO10" i="12"/>
  <c r="CN50" i="12"/>
  <c r="CO50" i="12"/>
  <c r="CN54" i="12"/>
  <c r="CO54" i="12"/>
  <c r="CN265" i="12"/>
  <c r="CO265" i="12"/>
  <c r="CN315" i="12"/>
  <c r="CO315" i="12"/>
  <c r="CN51" i="12"/>
  <c r="CO51" i="12"/>
  <c r="CN104" i="12"/>
  <c r="CO104" i="12"/>
  <c r="CN279" i="12"/>
  <c r="CO279" i="12"/>
  <c r="CN129" i="12"/>
  <c r="CO129" i="12"/>
  <c r="CN31" i="12"/>
  <c r="CO31" i="12"/>
  <c r="CN121" i="12"/>
  <c r="CO121" i="12"/>
  <c r="CN326" i="12"/>
  <c r="CO326" i="12"/>
  <c r="CN157" i="12"/>
  <c r="CO157" i="12"/>
  <c r="CN240" i="12"/>
  <c r="CO240" i="12"/>
  <c r="CO4" i="12"/>
  <c r="CN4" i="12"/>
  <c r="CN113" i="12"/>
  <c r="CO113" i="12"/>
  <c r="CN58" i="12"/>
  <c r="CO58" i="12"/>
  <c r="CN238" i="12"/>
  <c r="CO238" i="12"/>
  <c r="CN74" i="12"/>
  <c r="CO74" i="12"/>
  <c r="CN65" i="12"/>
  <c r="CO65" i="12"/>
  <c r="CN347" i="12"/>
  <c r="CO347" i="12"/>
  <c r="CN205" i="12"/>
  <c r="CO205" i="12"/>
  <c r="CN28" i="12"/>
  <c r="CO28" i="12"/>
  <c r="CN3" i="12"/>
  <c r="CO3" i="12"/>
  <c r="CN7" i="12"/>
  <c r="CO7" i="12"/>
  <c r="CN263" i="12"/>
  <c r="CO263" i="12"/>
  <c r="CN383" i="12"/>
  <c r="CO383" i="12"/>
  <c r="CN108" i="12"/>
  <c r="CO108" i="12"/>
  <c r="CN72" i="12"/>
  <c r="CO72" i="12"/>
  <c r="CN360" i="12"/>
  <c r="CO360" i="12"/>
  <c r="CN295" i="12"/>
  <c r="CO295" i="12"/>
  <c r="CN280" i="12"/>
  <c r="CO280" i="12"/>
  <c r="CN147" i="12"/>
  <c r="CO147" i="12"/>
  <c r="CN290" i="12"/>
  <c r="CO290" i="12"/>
  <c r="CN340" i="12"/>
  <c r="CO340" i="12"/>
  <c r="CN107" i="12"/>
  <c r="CO107" i="12"/>
  <c r="CN374" i="12"/>
  <c r="CO374" i="12"/>
  <c r="CN304" i="12"/>
  <c r="CO304" i="12"/>
  <c r="CN131" i="12"/>
  <c r="CO131" i="12"/>
  <c r="CN253" i="12"/>
  <c r="CO253" i="12"/>
  <c r="CN162" i="12"/>
  <c r="CO162" i="12"/>
  <c r="CN82" i="12"/>
  <c r="CO82" i="12"/>
  <c r="CN15" i="12"/>
  <c r="CO15" i="12"/>
  <c r="CN207" i="12"/>
  <c r="CO207" i="12"/>
  <c r="CN275" i="12"/>
  <c r="CO275" i="12"/>
  <c r="CN212" i="12"/>
  <c r="CO212" i="12"/>
  <c r="CN21" i="12"/>
  <c r="CO21" i="12"/>
  <c r="CN67" i="12"/>
  <c r="CO67" i="12"/>
  <c r="CN68" i="12"/>
  <c r="CO68" i="12"/>
  <c r="CN309" i="12"/>
  <c r="CO309" i="12"/>
  <c r="CN69" i="12"/>
  <c r="CO69" i="12"/>
  <c r="CN124" i="12"/>
  <c r="CO124" i="12"/>
  <c r="CN217" i="12"/>
  <c r="CO217" i="12"/>
  <c r="CN111" i="12"/>
  <c r="CO111" i="12"/>
  <c r="CN235" i="12"/>
  <c r="CO235" i="12"/>
  <c r="CN336" i="12"/>
  <c r="CO336" i="12"/>
  <c r="CN388" i="12"/>
  <c r="CO388" i="12"/>
  <c r="CN341" i="12"/>
  <c r="CO341" i="12"/>
  <c r="CN172" i="12"/>
  <c r="CO172" i="12"/>
  <c r="CN333" i="12"/>
  <c r="CO333" i="12"/>
  <c r="CN196" i="12"/>
  <c r="CO196" i="12"/>
  <c r="CN120" i="12"/>
  <c r="CO120" i="12"/>
  <c r="CN19" i="12"/>
  <c r="CO19" i="12"/>
  <c r="CN130" i="12"/>
  <c r="CO130" i="12"/>
  <c r="CN386" i="12"/>
  <c r="CO386" i="12"/>
  <c r="CN110" i="12"/>
  <c r="CO110" i="12"/>
  <c r="CN158" i="12"/>
  <c r="CO158" i="12"/>
  <c r="CN142" i="12"/>
  <c r="CO142" i="12"/>
  <c r="CN79" i="12"/>
  <c r="CO79" i="12"/>
  <c r="CN92" i="12"/>
  <c r="CO92" i="12"/>
  <c r="CN262" i="12"/>
  <c r="CO262" i="12"/>
  <c r="CN76" i="12"/>
  <c r="CO76" i="12"/>
  <c r="CN40" i="12"/>
  <c r="CO40" i="12"/>
  <c r="CN180" i="12"/>
  <c r="CO180" i="12"/>
  <c r="CN221" i="12"/>
  <c r="CO221" i="12"/>
  <c r="CN143" i="12"/>
  <c r="CO143" i="12"/>
  <c r="CN272" i="12"/>
  <c r="CO272" i="12"/>
  <c r="CN398" i="12"/>
  <c r="CO398" i="12"/>
  <c r="CN250" i="12"/>
  <c r="CO250" i="12"/>
  <c r="CN115" i="12"/>
  <c r="CO115" i="12"/>
  <c r="CN123" i="12"/>
  <c r="CO123" i="12"/>
  <c r="CN159" i="12"/>
  <c r="CO159" i="12"/>
  <c r="CN144" i="12"/>
  <c r="CO144" i="12"/>
  <c r="CN183" i="12"/>
  <c r="CO183" i="12"/>
  <c r="CN132" i="12"/>
  <c r="CO132" i="12"/>
  <c r="CN392" i="12"/>
  <c r="CO392" i="12"/>
  <c r="CN284" i="12"/>
  <c r="CO284" i="12"/>
  <c r="CN161" i="12"/>
  <c r="CO161" i="12"/>
  <c r="CN277" i="12"/>
  <c r="CO277" i="12"/>
  <c r="CN52" i="12"/>
  <c r="CO52" i="12"/>
  <c r="CN268" i="12"/>
  <c r="CO268" i="12"/>
  <c r="CN176" i="12"/>
  <c r="CO176" i="12"/>
  <c r="CN254" i="12"/>
  <c r="CO254" i="12"/>
  <c r="CN288" i="12"/>
  <c r="CO288" i="12"/>
  <c r="CN44" i="12"/>
  <c r="CO44" i="12"/>
  <c r="CN226" i="12"/>
  <c r="CO226" i="12"/>
  <c r="CN37" i="12"/>
  <c r="CO37" i="12"/>
  <c r="CN66" i="12"/>
  <c r="CO66" i="12"/>
  <c r="CN164" i="12"/>
  <c r="CO164" i="12"/>
  <c r="CN33" i="12"/>
  <c r="CO33" i="12"/>
  <c r="CN370" i="12"/>
  <c r="CO370" i="12"/>
  <c r="CN166" i="12"/>
  <c r="CO166" i="12"/>
  <c r="CN301" i="12"/>
  <c r="CO301" i="12"/>
  <c r="CN339" i="12"/>
  <c r="CO339" i="12"/>
  <c r="CN24" i="12"/>
  <c r="CO24" i="12"/>
  <c r="CN335" i="12"/>
  <c r="CO335" i="12"/>
  <c r="CN237" i="12"/>
  <c r="CO237" i="12"/>
  <c r="CN241" i="12"/>
  <c r="CO241" i="12"/>
  <c r="CN281" i="12"/>
  <c r="CO281" i="12"/>
  <c r="CN179" i="12"/>
  <c r="CO179" i="12"/>
  <c r="CN225" i="12"/>
  <c r="CO225" i="12"/>
  <c r="CN128" i="12"/>
  <c r="CO128" i="12"/>
  <c r="CN230" i="12"/>
  <c r="CO230" i="12"/>
  <c r="CN49" i="12"/>
  <c r="CO49" i="12"/>
  <c r="CN59" i="12"/>
  <c r="CO59" i="12"/>
  <c r="CN26" i="12"/>
  <c r="CO26" i="12"/>
  <c r="CN247" i="12"/>
  <c r="CO247" i="12"/>
  <c r="CN219" i="12"/>
  <c r="CO219" i="12"/>
  <c r="CN102" i="12"/>
  <c r="CO102" i="12"/>
  <c r="CN300" i="12"/>
  <c r="CO300" i="12"/>
  <c r="CN248" i="12"/>
  <c r="CO248" i="12"/>
  <c r="CN167" i="12"/>
  <c r="CO167" i="12"/>
  <c r="CN233" i="12"/>
  <c r="CO233" i="12"/>
  <c r="CN355" i="12"/>
  <c r="CO355" i="12"/>
  <c r="CN319" i="12"/>
  <c r="CO319" i="12"/>
  <c r="CN267" i="12"/>
  <c r="CO267" i="12"/>
  <c r="CN5" i="12"/>
  <c r="CO5" i="12"/>
  <c r="CN125" i="12"/>
  <c r="CO125" i="12"/>
  <c r="CN20" i="12"/>
  <c r="CO20" i="12"/>
  <c r="CN39" i="12"/>
  <c r="CO39" i="12"/>
  <c r="CN382" i="12"/>
  <c r="CO382" i="12"/>
  <c r="CN141" i="12"/>
  <c r="CO141" i="12"/>
  <c r="CN243" i="12"/>
  <c r="CO243" i="12"/>
  <c r="CN310" i="12"/>
  <c r="CO310" i="12"/>
  <c r="CN91" i="12"/>
  <c r="CO91" i="12"/>
  <c r="CN292" i="12"/>
  <c r="CO292" i="12"/>
  <c r="CN83" i="12"/>
  <c r="CO83" i="12"/>
  <c r="CN8" i="12"/>
  <c r="CO8" i="12"/>
  <c r="CN105" i="12"/>
  <c r="CO105" i="12"/>
  <c r="CN348" i="12"/>
  <c r="CO348" i="12"/>
  <c r="CN357" i="12"/>
  <c r="CO357" i="12"/>
  <c r="CN163" i="12"/>
  <c r="CO163" i="12"/>
  <c r="CN35" i="12"/>
  <c r="CO35" i="12"/>
  <c r="CW25" i="12" l="1"/>
  <c r="CW82" i="12"/>
  <c r="FE22" i="12"/>
  <c r="FC23" i="12"/>
  <c r="FD23" i="12" s="1"/>
  <c r="FB262" i="12"/>
  <c r="FC262" i="12" s="1"/>
  <c r="FD262" i="12" s="1"/>
  <c r="FA263" i="12"/>
  <c r="FB24" i="12"/>
  <c r="BY7" i="12"/>
  <c r="CW26" i="12" l="1"/>
  <c r="FE23" i="12"/>
  <c r="FC24" i="12"/>
  <c r="FD24" i="12" s="1"/>
  <c r="FB263" i="12"/>
  <c r="FC263" i="12" s="1"/>
  <c r="FD263" i="12" s="1"/>
  <c r="FA264" i="12"/>
  <c r="FB25" i="12"/>
  <c r="BY8" i="12"/>
  <c r="CW27" i="12" l="1"/>
  <c r="FE24" i="12"/>
  <c r="FC25" i="12"/>
  <c r="FD25" i="12" s="1"/>
  <c r="FB264" i="12"/>
  <c r="FC264" i="12" s="1"/>
  <c r="FD264" i="12" s="1"/>
  <c r="FA265" i="12"/>
  <c r="FB26" i="12"/>
  <c r="BY9" i="12"/>
  <c r="CW28" i="12" l="1"/>
  <c r="FE25" i="12"/>
  <c r="FC26" i="12"/>
  <c r="FD26" i="12" s="1"/>
  <c r="FB265" i="12"/>
  <c r="FC265" i="12" s="1"/>
  <c r="FD265" i="12" s="1"/>
  <c r="FA266" i="12"/>
  <c r="FB27" i="12"/>
  <c r="BY10" i="12"/>
  <c r="CW29" i="12" l="1"/>
  <c r="FE26" i="12"/>
  <c r="FC27" i="12"/>
  <c r="FD27" i="12" s="1"/>
  <c r="FB266" i="12"/>
  <c r="FC266" i="12" s="1"/>
  <c r="FD266" i="12" s="1"/>
  <c r="FA267" i="12"/>
  <c r="FB28" i="12"/>
  <c r="BY11" i="12"/>
  <c r="BY12" i="12" s="1"/>
  <c r="BY13" i="12" s="1"/>
  <c r="BY14" i="12" s="1"/>
  <c r="BY15" i="12" s="1"/>
  <c r="BY16" i="12" s="1"/>
  <c r="BY17" i="12" s="1"/>
  <c r="BY18" i="12" s="1"/>
  <c r="BY19" i="12" s="1"/>
  <c r="BY20" i="12" s="1"/>
  <c r="BY21" i="12" s="1"/>
  <c r="CW30" i="12" l="1"/>
  <c r="FE27" i="12"/>
  <c r="FC28" i="12"/>
  <c r="FD28" i="12" s="1"/>
  <c r="FB267" i="12"/>
  <c r="FC267" i="12" s="1"/>
  <c r="FD267" i="12" s="1"/>
  <c r="FA268" i="12"/>
  <c r="FB29" i="12"/>
  <c r="BY22" i="12"/>
  <c r="CW31" i="12" l="1"/>
  <c r="FE28" i="12"/>
  <c r="FC29" i="12"/>
  <c r="FD29" i="12" s="1"/>
  <c r="FB268" i="12"/>
  <c r="FC268" i="12" s="1"/>
  <c r="FD268" i="12" s="1"/>
  <c r="FA269" i="12"/>
  <c r="FB30" i="12"/>
  <c r="BY23" i="12"/>
  <c r="CW32" i="12" l="1"/>
  <c r="FE29" i="12"/>
  <c r="FC30" i="12"/>
  <c r="FD30" i="12" s="1"/>
  <c r="FB269" i="12"/>
  <c r="FC269" i="12" s="1"/>
  <c r="FD269" i="12" s="1"/>
  <c r="FA270" i="12"/>
  <c r="FB31" i="12"/>
  <c r="BY24" i="12"/>
  <c r="CW33" i="12" l="1"/>
  <c r="FE30" i="12"/>
  <c r="FC31" i="12"/>
  <c r="FD31" i="12" s="1"/>
  <c r="FB270" i="12"/>
  <c r="FC270" i="12" s="1"/>
  <c r="FD270" i="12" s="1"/>
  <c r="FA271" i="12"/>
  <c r="FB32" i="12"/>
  <c r="BY25" i="12"/>
  <c r="BY26" i="12" s="1"/>
  <c r="CW34" i="12" l="1"/>
  <c r="CW35" i="12" s="1"/>
  <c r="CW36" i="12" s="1"/>
  <c r="CW37" i="12" s="1"/>
  <c r="CW38" i="12" s="1"/>
  <c r="CW39" i="12" s="1"/>
  <c r="CW40" i="12" s="1"/>
  <c r="CW41" i="12" s="1"/>
  <c r="CW42" i="12" s="1"/>
  <c r="CW43" i="12" s="1"/>
  <c r="CW44" i="12" s="1"/>
  <c r="CW45" i="12" s="1"/>
  <c r="CW46" i="12" s="1"/>
  <c r="CW47" i="12" s="1"/>
  <c r="CW48" i="12" s="1"/>
  <c r="CW49" i="12" s="1"/>
  <c r="CW50" i="12" s="1"/>
  <c r="CW51" i="12" s="1"/>
  <c r="CW52" i="12" s="1"/>
  <c r="CW53" i="12" s="1"/>
  <c r="CW54" i="12" s="1"/>
  <c r="CW55" i="12" s="1"/>
  <c r="CW56" i="12" s="1"/>
  <c r="CW57" i="12" s="1"/>
  <c r="CW58" i="12" s="1"/>
  <c r="CW59" i="12" s="1"/>
  <c r="CW60" i="12" s="1"/>
  <c r="CW61" i="12" s="1"/>
  <c r="CW62" i="12" s="1"/>
  <c r="CW63" i="12" s="1"/>
  <c r="CW64" i="12" s="1"/>
  <c r="CW65" i="12" s="1"/>
  <c r="CW66" i="12" s="1"/>
  <c r="CW67" i="12" s="1"/>
  <c r="CW68" i="12" s="1"/>
  <c r="CW69" i="12" s="1"/>
  <c r="CW70" i="12" s="1"/>
  <c r="CW71" i="12" s="1"/>
  <c r="CW72" i="12" s="1"/>
  <c r="CW73" i="12" s="1"/>
  <c r="CW74" i="12" s="1"/>
  <c r="CW75" i="12" s="1"/>
  <c r="CW76" i="12" s="1"/>
  <c r="CW77" i="12" s="1"/>
  <c r="CW78" i="12" s="1"/>
  <c r="FE31" i="12"/>
  <c r="FC32" i="12"/>
  <c r="FD32" i="12" s="1"/>
  <c r="FB271" i="12"/>
  <c r="FC271" i="12" s="1"/>
  <c r="FD271" i="12" s="1"/>
  <c r="FA272" i="12"/>
  <c r="FB33" i="12"/>
  <c r="BY27" i="12"/>
  <c r="CY71" i="12" l="1"/>
  <c r="CY25" i="12"/>
  <c r="CY72" i="12"/>
  <c r="CY76" i="12"/>
  <c r="CY35" i="12"/>
  <c r="CY22" i="12"/>
  <c r="CY70" i="12"/>
  <c r="CY60" i="12"/>
  <c r="DB1" i="12"/>
  <c r="DF1" i="12" s="1"/>
  <c r="CY53" i="12"/>
  <c r="CY56" i="12"/>
  <c r="CY57" i="12"/>
  <c r="CY59" i="12"/>
  <c r="CY63" i="12"/>
  <c r="CY40" i="12"/>
  <c r="CY64" i="12"/>
  <c r="CY45" i="12"/>
  <c r="CY69" i="12"/>
  <c r="CY34" i="12"/>
  <c r="CY73" i="12"/>
  <c r="CY74" i="12"/>
  <c r="CY8" i="12"/>
  <c r="CY17" i="12"/>
  <c r="CY77" i="12"/>
  <c r="CY30" i="12"/>
  <c r="CY43" i="12"/>
  <c r="CY38" i="12"/>
  <c r="CY39" i="12"/>
  <c r="CY10" i="12"/>
  <c r="CY7" i="12"/>
  <c r="CY18" i="12"/>
  <c r="CY50" i="12"/>
  <c r="CY46" i="12"/>
  <c r="CY9" i="12"/>
  <c r="CY44" i="12"/>
  <c r="CY79" i="12"/>
  <c r="CY36" i="12"/>
  <c r="CY26" i="12"/>
  <c r="CY20" i="12"/>
  <c r="CY4" i="12"/>
  <c r="CY66" i="12"/>
  <c r="CY62" i="12"/>
  <c r="CY52" i="12"/>
  <c r="CY33" i="12"/>
  <c r="CY37" i="12"/>
  <c r="CY14" i="12"/>
  <c r="CY75" i="12"/>
  <c r="CY78" i="12"/>
  <c r="CY32" i="12"/>
  <c r="CY49" i="12"/>
  <c r="CY21" i="12"/>
  <c r="CY12" i="12"/>
  <c r="CY5" i="12"/>
  <c r="CY48" i="12"/>
  <c r="CY58" i="12"/>
  <c r="CY13" i="12"/>
  <c r="CY23" i="12"/>
  <c r="CY11" i="12"/>
  <c r="CY6" i="12"/>
  <c r="CY65" i="12"/>
  <c r="CY27" i="12"/>
  <c r="CY31" i="12"/>
  <c r="CY24" i="12"/>
  <c r="CY51" i="12"/>
  <c r="CY47" i="12"/>
  <c r="CY19" i="12"/>
  <c r="CY61" i="12"/>
  <c r="FE32" i="12"/>
  <c r="FC33" i="12"/>
  <c r="FD33" i="12" s="1"/>
  <c r="FB272" i="12"/>
  <c r="FC272" i="12" s="1"/>
  <c r="FD272" i="12" s="1"/>
  <c r="FA273" i="12"/>
  <c r="FB34" i="12"/>
  <c r="BY28" i="12"/>
  <c r="BY29" i="12" s="1"/>
  <c r="CZ18" i="12"/>
  <c r="CZ5" i="12"/>
  <c r="CZ57" i="12"/>
  <c r="CZ44" i="12"/>
  <c r="CZ31" i="12"/>
  <c r="CZ70" i="12"/>
  <c r="DE1" i="12" l="1"/>
  <c r="L7" i="2" s="1"/>
  <c r="B2" i="2" s="1"/>
  <c r="DA70" i="12"/>
  <c r="DC70" i="12"/>
  <c r="DB70" i="12"/>
  <c r="DE70" i="12"/>
  <c r="DD70" i="12"/>
  <c r="DA44" i="12"/>
  <c r="DC44" i="12"/>
  <c r="DB44" i="12"/>
  <c r="DE44" i="12"/>
  <c r="DD44" i="12"/>
  <c r="DE18" i="12"/>
  <c r="DB18" i="12"/>
  <c r="DA18" i="12"/>
  <c r="DC18" i="12"/>
  <c r="DD18" i="12"/>
  <c r="DB31" i="12"/>
  <c r="DD31" i="12"/>
  <c r="DE31" i="12"/>
  <c r="DA31" i="12"/>
  <c r="DC31" i="12"/>
  <c r="DE57" i="12"/>
  <c r="DD57" i="12"/>
  <c r="DC57" i="12"/>
  <c r="DB57" i="12"/>
  <c r="DA57" i="12"/>
  <c r="DB5" i="12"/>
  <c r="DA5" i="12"/>
  <c r="DD5" i="12"/>
  <c r="DC5" i="12"/>
  <c r="DE5" i="12"/>
  <c r="CX1334" i="12"/>
  <c r="CY1334" i="12" s="1"/>
  <c r="CX1326" i="12"/>
  <c r="CY1326" i="12" s="1"/>
  <c r="DB28" i="12"/>
  <c r="CX1337" i="12"/>
  <c r="CY1337" i="12" s="1"/>
  <c r="CX1328" i="12"/>
  <c r="CY1328" i="12" s="1"/>
  <c r="CX1325" i="12"/>
  <c r="CY1325" i="12" s="1"/>
  <c r="CX1317" i="12"/>
  <c r="CY1317" i="12" s="1"/>
  <c r="CX1322" i="12"/>
  <c r="CY1322" i="12" s="1"/>
  <c r="CX1332" i="12"/>
  <c r="CY1332" i="12" s="1"/>
  <c r="CX1312" i="12"/>
  <c r="CY1312" i="12" s="1"/>
  <c r="CX1331" i="12"/>
  <c r="CY1331" i="12" s="1"/>
  <c r="CX1304" i="12"/>
  <c r="CX1305" i="12"/>
  <c r="CY1305" i="12" s="1"/>
  <c r="CX1316" i="12"/>
  <c r="CY1316" i="12" s="1"/>
  <c r="CX1327" i="12"/>
  <c r="CY1327" i="12" s="1"/>
  <c r="CX1324" i="12"/>
  <c r="CY1324" i="12" s="1"/>
  <c r="CX1306" i="12"/>
  <c r="CY1306" i="12" s="1"/>
  <c r="DB67" i="12"/>
  <c r="CX1336" i="12"/>
  <c r="CY1336" i="12" s="1"/>
  <c r="CX1319" i="12"/>
  <c r="CY1319" i="12" s="1"/>
  <c r="DB80" i="12"/>
  <c r="CX1338" i="12"/>
  <c r="CX1339" i="12"/>
  <c r="CX1313" i="12"/>
  <c r="CY1313" i="12" s="1"/>
  <c r="CX1320" i="12"/>
  <c r="CY1320" i="12" s="1"/>
  <c r="DB41" i="12"/>
  <c r="DB15" i="12"/>
  <c r="CX1330" i="12"/>
  <c r="CY1330" i="12" s="1"/>
  <c r="DB54" i="12"/>
  <c r="CX1329" i="12"/>
  <c r="CY1329" i="12" s="1"/>
  <c r="CX1309" i="12"/>
  <c r="CY1309" i="12" s="1"/>
  <c r="CX1323" i="12"/>
  <c r="CY1323" i="12" s="1"/>
  <c r="CX1308" i="12"/>
  <c r="CY1308" i="12" s="1"/>
  <c r="CX1321" i="12"/>
  <c r="CY1321" i="12" s="1"/>
  <c r="CX1314" i="12"/>
  <c r="CY1314" i="12" s="1"/>
  <c r="CX1333" i="12"/>
  <c r="CY1333" i="12" s="1"/>
  <c r="CX1307" i="12"/>
  <c r="CY1307" i="12" s="1"/>
  <c r="CX1335" i="12"/>
  <c r="CY1335" i="12" s="1"/>
  <c r="CX1311" i="12"/>
  <c r="CY1311" i="12" s="1"/>
  <c r="CX1315" i="12"/>
  <c r="CY1315" i="12" s="1"/>
  <c r="CX1310" i="12"/>
  <c r="CY1310" i="12" s="1"/>
  <c r="CX1318" i="12"/>
  <c r="CY1318" i="12" s="1"/>
  <c r="FE33" i="12"/>
  <c r="FC34" i="12"/>
  <c r="FD34" i="12" s="1"/>
  <c r="FB273" i="12"/>
  <c r="FC273" i="12" s="1"/>
  <c r="FD273" i="12" s="1"/>
  <c r="FA274" i="12"/>
  <c r="FB35" i="12"/>
  <c r="BY30" i="12"/>
  <c r="BY31" i="12" s="1"/>
  <c r="CZ45" i="12"/>
  <c r="CZ58" i="12"/>
  <c r="CZ32" i="12"/>
  <c r="CZ1306" i="12"/>
  <c r="CZ71" i="12"/>
  <c r="CZ6" i="12"/>
  <c r="CZ19" i="12"/>
  <c r="DC45" i="12" l="1"/>
  <c r="DA45" i="12"/>
  <c r="DB45" i="12"/>
  <c r="DE45" i="12"/>
  <c r="DD45" i="12"/>
  <c r="DE71" i="12"/>
  <c r="DC71" i="12"/>
  <c r="DD71" i="12"/>
  <c r="DA71" i="12"/>
  <c r="DB71" i="12"/>
  <c r="DC19" i="12"/>
  <c r="DB19" i="12"/>
  <c r="DE19" i="12"/>
  <c r="DA19" i="12"/>
  <c r="DD19" i="12"/>
  <c r="DB58" i="12"/>
  <c r="DD58" i="12"/>
  <c r="DA58" i="12"/>
  <c r="DC58" i="12"/>
  <c r="DE58" i="12"/>
  <c r="DD6" i="12"/>
  <c r="DA6" i="12"/>
  <c r="DB6" i="12"/>
  <c r="DC6" i="12"/>
  <c r="DE6" i="12"/>
  <c r="DE32" i="12"/>
  <c r="DD32" i="12"/>
  <c r="DB32" i="12"/>
  <c r="DA32" i="12"/>
  <c r="DC32" i="12"/>
  <c r="DB1306" i="12"/>
  <c r="DC1306" i="12"/>
  <c r="DA1306" i="12"/>
  <c r="DE1306" i="12"/>
  <c r="DD1306" i="12"/>
  <c r="CY1304" i="12"/>
  <c r="DB1339" i="12"/>
  <c r="CY1338" i="12"/>
  <c r="FE34" i="12"/>
  <c r="FC35" i="12"/>
  <c r="FD35" i="12" s="1"/>
  <c r="FB274" i="12"/>
  <c r="FC274" i="12" s="1"/>
  <c r="FD274" i="12" s="1"/>
  <c r="FA275" i="12"/>
  <c r="FB36" i="12"/>
  <c r="BY32" i="12"/>
  <c r="CZ46" i="12"/>
  <c r="CZ20" i="12"/>
  <c r="CZ33" i="12"/>
  <c r="CZ7" i="12"/>
  <c r="CZ72" i="12"/>
  <c r="CZ59" i="12"/>
  <c r="CZ1307" i="12"/>
  <c r="DC33" i="12" l="1"/>
  <c r="DD33" i="12"/>
  <c r="DE33" i="12"/>
  <c r="DA33" i="12"/>
  <c r="DB33" i="12"/>
  <c r="DE59" i="12"/>
  <c r="DB59" i="12"/>
  <c r="DA59" i="12"/>
  <c r="DC59" i="12"/>
  <c r="DD59" i="12"/>
  <c r="DB72" i="12"/>
  <c r="DC72" i="12"/>
  <c r="DE72" i="12"/>
  <c r="DD72" i="12"/>
  <c r="DA72" i="12"/>
  <c r="DA7" i="12"/>
  <c r="DC7" i="12"/>
  <c r="DB7" i="12"/>
  <c r="DD7" i="12"/>
  <c r="DE7" i="12"/>
  <c r="DB20" i="12"/>
  <c r="DA20" i="12"/>
  <c r="DE20" i="12"/>
  <c r="DC20" i="12"/>
  <c r="DD20" i="12"/>
  <c r="DC46" i="12"/>
  <c r="DA46" i="12"/>
  <c r="DD46" i="12"/>
  <c r="DB46" i="12"/>
  <c r="DE46" i="12"/>
  <c r="DE1307" i="12"/>
  <c r="DB1307" i="12"/>
  <c r="DF1307" i="12" s="1"/>
  <c r="DC1307" i="12"/>
  <c r="DD1307" i="12"/>
  <c r="DA1307" i="12"/>
  <c r="DC1304" i="12"/>
  <c r="DA1304" i="12"/>
  <c r="FE35" i="12"/>
  <c r="FC36" i="12"/>
  <c r="FD36" i="12" s="1"/>
  <c r="FB275" i="12"/>
  <c r="FC275" i="12" s="1"/>
  <c r="FD275" i="12" s="1"/>
  <c r="FA276" i="12"/>
  <c r="FB38" i="12"/>
  <c r="FB37" i="12"/>
  <c r="BY33" i="12"/>
  <c r="BY34" i="12" s="1"/>
  <c r="BY35" i="12" s="1"/>
  <c r="CZ73" i="12"/>
  <c r="CZ34" i="12"/>
  <c r="CZ47" i="12"/>
  <c r="CZ8" i="12"/>
  <c r="CZ60" i="12"/>
  <c r="CZ21" i="12"/>
  <c r="CZ1308" i="12"/>
  <c r="DB47" i="12" l="1"/>
  <c r="DE47" i="12"/>
  <c r="DC47" i="12"/>
  <c r="DD47" i="12"/>
  <c r="DA47" i="12"/>
  <c r="DB8" i="12"/>
  <c r="DD8" i="12"/>
  <c r="DA8" i="12"/>
  <c r="DE8" i="12"/>
  <c r="DC8" i="12"/>
  <c r="DE60" i="12"/>
  <c r="DD60" i="12"/>
  <c r="DB60" i="12"/>
  <c r="DA60" i="12"/>
  <c r="DC60" i="12"/>
  <c r="DB1308" i="12"/>
  <c r="DF1308" i="12" s="1"/>
  <c r="DA1308" i="12"/>
  <c r="DD1308" i="12"/>
  <c r="DC1308" i="12"/>
  <c r="DE1308" i="12"/>
  <c r="DE21" i="12"/>
  <c r="DA21" i="12"/>
  <c r="DD21" i="12"/>
  <c r="DB21" i="12"/>
  <c r="DC21" i="12"/>
  <c r="DC73" i="12"/>
  <c r="DE73" i="12"/>
  <c r="DA73" i="12"/>
  <c r="DB73" i="12"/>
  <c r="DD73" i="12"/>
  <c r="DA34" i="12"/>
  <c r="DE34" i="12"/>
  <c r="DB34" i="12"/>
  <c r="DF33" i="12" s="1"/>
  <c r="DD34" i="12"/>
  <c r="DC34" i="12"/>
  <c r="DD1304" i="12"/>
  <c r="DE1304" i="12"/>
  <c r="DB1304" i="12"/>
  <c r="FE36" i="12"/>
  <c r="FC38" i="12"/>
  <c r="FD38" i="12" s="1"/>
  <c r="FC37" i="12"/>
  <c r="FD37" i="12" s="1"/>
  <c r="FB276" i="12"/>
  <c r="FC276" i="12" s="1"/>
  <c r="FD276" i="12" s="1"/>
  <c r="FA277" i="12"/>
  <c r="FB39" i="12"/>
  <c r="BY36" i="12"/>
  <c r="CZ9" i="12"/>
  <c r="CZ22" i="12"/>
  <c r="CZ1309" i="12"/>
  <c r="CZ74" i="12"/>
  <c r="CZ61" i="12"/>
  <c r="CZ35" i="12"/>
  <c r="CZ48" i="12"/>
  <c r="DD74" i="12" l="1"/>
  <c r="DB74" i="12"/>
  <c r="DE74" i="12"/>
  <c r="DC74" i="12"/>
  <c r="DA74" i="12"/>
  <c r="DA1309" i="12"/>
  <c r="DE1309" i="12"/>
  <c r="DC1309" i="12"/>
  <c r="DD1309" i="12"/>
  <c r="DB1309" i="12"/>
  <c r="DF1309" i="12" s="1"/>
  <c r="DC48" i="12"/>
  <c r="DE48" i="12"/>
  <c r="DD48" i="12"/>
  <c r="DA48" i="12"/>
  <c r="DB48" i="12"/>
  <c r="DD35" i="12"/>
  <c r="DC35" i="12"/>
  <c r="DB35" i="12"/>
  <c r="DF34" i="12" s="1"/>
  <c r="DA35" i="12"/>
  <c r="DE35" i="12"/>
  <c r="DB22" i="12"/>
  <c r="DC22" i="12"/>
  <c r="DA22" i="12"/>
  <c r="DD22" i="12"/>
  <c r="DE22" i="12"/>
  <c r="DD61" i="12"/>
  <c r="DE61" i="12"/>
  <c r="DC61" i="12"/>
  <c r="DB61" i="12"/>
  <c r="DA61" i="12"/>
  <c r="DB9" i="12"/>
  <c r="DC9" i="12"/>
  <c r="DE9" i="12"/>
  <c r="DA9" i="12"/>
  <c r="DD9" i="12"/>
  <c r="DB1305" i="12"/>
  <c r="DF1305" i="12" s="1"/>
  <c r="DF1306" i="12" s="1"/>
  <c r="DA1305" i="12"/>
  <c r="DC1305" i="12"/>
  <c r="DE1305" i="12"/>
  <c r="DD1305" i="12"/>
  <c r="DF1304" i="12"/>
  <c r="FE37" i="12"/>
  <c r="FE38" i="12" s="1"/>
  <c r="FC39" i="12"/>
  <c r="FD39" i="12" s="1"/>
  <c r="FB277" i="12"/>
  <c r="FC277" i="12" s="1"/>
  <c r="FD277" i="12" s="1"/>
  <c r="FA278" i="12"/>
  <c r="FB40" i="12"/>
  <c r="BY37" i="12"/>
  <c r="CZ75" i="12"/>
  <c r="CZ23" i="12"/>
  <c r="CZ62" i="12"/>
  <c r="CZ49" i="12"/>
  <c r="CZ10" i="12"/>
  <c r="CZ1310" i="12"/>
  <c r="CZ36" i="12"/>
  <c r="DE62" i="12" l="1"/>
  <c r="DD62" i="12"/>
  <c r="DA62" i="12"/>
  <c r="DB62" i="12"/>
  <c r="DC62" i="12"/>
  <c r="DA36" i="12"/>
  <c r="DE36" i="12"/>
  <c r="DC36" i="12"/>
  <c r="DB36" i="12"/>
  <c r="DF35" i="12" s="1"/>
  <c r="DD36" i="12"/>
  <c r="DC1310" i="12"/>
  <c r="DB1310" i="12"/>
  <c r="DF1310" i="12" s="1"/>
  <c r="DA1310" i="12"/>
  <c r="DD1310" i="12"/>
  <c r="DE1310" i="12"/>
  <c r="DA10" i="12"/>
  <c r="DB10" i="12"/>
  <c r="DF9" i="12" s="1"/>
  <c r="DC10" i="12"/>
  <c r="DD10" i="12"/>
  <c r="DE10" i="12"/>
  <c r="DC23" i="12"/>
  <c r="DD23" i="12"/>
  <c r="DB23" i="12"/>
  <c r="DA23" i="12"/>
  <c r="DE23" i="12"/>
  <c r="DC49" i="12"/>
  <c r="DE49" i="12"/>
  <c r="DD49" i="12"/>
  <c r="DA49" i="12"/>
  <c r="DB49" i="12"/>
  <c r="DE75" i="12"/>
  <c r="DA75" i="12"/>
  <c r="DC75" i="12"/>
  <c r="DD75" i="12"/>
  <c r="DB75" i="12"/>
  <c r="FE39" i="12"/>
  <c r="FC40" i="12"/>
  <c r="FD40" i="12" s="1"/>
  <c r="FB278" i="12"/>
  <c r="FC278" i="12" s="1"/>
  <c r="FD278" i="12" s="1"/>
  <c r="FA279" i="12"/>
  <c r="FB41" i="12"/>
  <c r="BY38" i="12"/>
  <c r="BY39" i="12" s="1"/>
  <c r="CZ37" i="12"/>
  <c r="CZ24" i="12"/>
  <c r="CZ76" i="12"/>
  <c r="CZ11" i="12"/>
  <c r="CZ63" i="12"/>
  <c r="CZ50" i="12"/>
  <c r="CZ1311" i="12"/>
  <c r="DE63" i="12" l="1"/>
  <c r="DA63" i="12"/>
  <c r="DD63" i="12"/>
  <c r="DC63" i="12"/>
  <c r="DB63" i="12"/>
  <c r="DF62" i="12" s="1"/>
  <c r="DB50" i="12"/>
  <c r="DE50" i="12"/>
  <c r="DC50" i="12"/>
  <c r="DA50" i="12"/>
  <c r="DD50" i="12"/>
  <c r="DA11" i="12"/>
  <c r="DE11" i="12"/>
  <c r="DC11" i="12"/>
  <c r="DD11" i="12"/>
  <c r="DB11" i="12"/>
  <c r="DF10" i="12" s="1"/>
  <c r="DD37" i="12"/>
  <c r="DB37" i="12"/>
  <c r="DF36" i="12" s="1"/>
  <c r="DE37" i="12"/>
  <c r="DA37" i="12"/>
  <c r="DC37" i="12"/>
  <c r="DD76" i="12"/>
  <c r="DA76" i="12"/>
  <c r="DB76" i="12"/>
  <c r="DC76" i="12"/>
  <c r="DE76" i="12"/>
  <c r="DC24" i="12"/>
  <c r="DA24" i="12"/>
  <c r="DE24" i="12"/>
  <c r="DB24" i="12"/>
  <c r="DD24" i="12"/>
  <c r="DB1311" i="12"/>
  <c r="DF1311" i="12" s="1"/>
  <c r="DE1311" i="12"/>
  <c r="DD1311" i="12"/>
  <c r="DA1311" i="12"/>
  <c r="DC1311" i="12"/>
  <c r="FE40" i="12"/>
  <c r="FC41" i="12"/>
  <c r="FD41" i="12" s="1"/>
  <c r="FB279" i="12"/>
  <c r="FC279" i="12" s="1"/>
  <c r="FD279" i="12" s="1"/>
  <c r="FA280" i="12"/>
  <c r="FB42" i="12"/>
  <c r="BY40" i="12"/>
  <c r="BY41" i="12" s="1"/>
  <c r="CZ64" i="12"/>
  <c r="CZ51" i="12"/>
  <c r="CZ77" i="12"/>
  <c r="CZ25" i="12"/>
  <c r="CZ12" i="12"/>
  <c r="CZ38" i="12"/>
  <c r="CZ1312" i="12"/>
  <c r="DB25" i="12" l="1"/>
  <c r="DF24" i="12" s="1"/>
  <c r="DA25" i="12"/>
  <c r="DE25" i="12"/>
  <c r="DD25" i="12"/>
  <c r="DC25" i="12"/>
  <c r="DC38" i="12"/>
  <c r="DA38" i="12"/>
  <c r="DE38" i="12"/>
  <c r="DB38" i="12"/>
  <c r="DF37" i="12" s="1"/>
  <c r="DD38" i="12"/>
  <c r="DE51" i="12"/>
  <c r="DB51" i="12"/>
  <c r="DC51" i="12"/>
  <c r="DD51" i="12"/>
  <c r="DA51" i="12"/>
  <c r="DE1312" i="12"/>
  <c r="DA1312" i="12"/>
  <c r="DD1312" i="12"/>
  <c r="DC1312" i="12"/>
  <c r="DB1312" i="12"/>
  <c r="DF1312" i="12" s="1"/>
  <c r="DA77" i="12"/>
  <c r="DC77" i="12"/>
  <c r="DE77" i="12"/>
  <c r="DD77" i="12"/>
  <c r="DB77" i="12"/>
  <c r="DC12" i="12"/>
  <c r="DD12" i="12"/>
  <c r="DA12" i="12"/>
  <c r="DE12" i="12"/>
  <c r="DB12" i="12"/>
  <c r="DA64" i="12"/>
  <c r="DC64" i="12"/>
  <c r="DE64" i="12"/>
  <c r="DB64" i="12"/>
  <c r="DF63" i="12" s="1"/>
  <c r="DD64" i="12"/>
  <c r="DF23" i="12"/>
  <c r="FE41" i="12"/>
  <c r="FC42" i="12"/>
  <c r="FD42" i="12" s="1"/>
  <c r="FB280" i="12"/>
  <c r="FC280" i="12" s="1"/>
  <c r="FD280" i="12" s="1"/>
  <c r="FA281" i="12"/>
  <c r="FB43" i="12"/>
  <c r="BY42" i="12"/>
  <c r="BY43" i="12" s="1"/>
  <c r="BY44" i="12" s="1"/>
  <c r="BY45" i="12" s="1"/>
  <c r="BY46" i="12" s="1"/>
  <c r="BY47" i="12" s="1"/>
  <c r="BY48" i="12" s="1"/>
  <c r="BY49" i="12" s="1"/>
  <c r="BY50" i="12" s="1"/>
  <c r="BY51" i="12" s="1"/>
  <c r="BY52" i="12" s="1"/>
  <c r="BY53" i="12" s="1"/>
  <c r="BY54" i="12" s="1"/>
  <c r="BY55" i="12" s="1"/>
  <c r="BY56" i="12" s="1"/>
  <c r="BY57" i="12" s="1"/>
  <c r="BY58" i="12" s="1"/>
  <c r="BY59" i="12" s="1"/>
  <c r="BY60" i="12" s="1"/>
  <c r="BY61" i="12" s="1"/>
  <c r="BY62" i="12" s="1"/>
  <c r="BY63" i="12" s="1"/>
  <c r="BY64" i="12" s="1"/>
  <c r="BY65" i="12" s="1"/>
  <c r="BY66" i="12" s="1"/>
  <c r="BY67" i="12" s="1"/>
  <c r="BY68" i="12" s="1"/>
  <c r="BY69" i="12" s="1"/>
  <c r="BY70" i="12" s="1"/>
  <c r="BY71" i="12" s="1"/>
  <c r="BY72" i="12" s="1"/>
  <c r="BY73" i="12" s="1"/>
  <c r="BY74" i="12" s="1"/>
  <c r="BY75" i="12" s="1"/>
  <c r="BY76" i="12" s="1"/>
  <c r="BY77" i="12" s="1"/>
  <c r="BY78" i="12" s="1"/>
  <c r="BY79" i="12" s="1"/>
  <c r="BY80" i="12" s="1"/>
  <c r="BY81" i="12" s="1"/>
  <c r="BY82" i="12" s="1"/>
  <c r="BY83" i="12" s="1"/>
  <c r="BY84" i="12" s="1"/>
  <c r="CZ26" i="12"/>
  <c r="CZ1313" i="12"/>
  <c r="CZ52" i="12"/>
  <c r="CZ78" i="12"/>
  <c r="CZ39" i="12"/>
  <c r="CZ13" i="12"/>
  <c r="CZ65" i="12"/>
  <c r="DD13" i="12" l="1"/>
  <c r="DE13" i="12"/>
  <c r="DA13" i="12"/>
  <c r="DC13" i="12"/>
  <c r="DB13" i="12"/>
  <c r="DF12" i="12" s="1"/>
  <c r="DE1313" i="12"/>
  <c r="DC1313" i="12"/>
  <c r="DB1313" i="12"/>
  <c r="DF1313" i="12" s="1"/>
  <c r="DA1313" i="12"/>
  <c r="DD1313" i="12"/>
  <c r="DB39" i="12"/>
  <c r="DC39" i="12"/>
  <c r="DD39" i="12"/>
  <c r="DE39" i="12"/>
  <c r="DA39" i="12"/>
  <c r="DE65" i="12"/>
  <c r="DB65" i="12"/>
  <c r="DF64" i="12" s="1"/>
  <c r="DC65" i="12"/>
  <c r="DA65" i="12"/>
  <c r="DD65" i="12"/>
  <c r="DC78" i="12"/>
  <c r="DD78" i="12"/>
  <c r="DB78" i="12"/>
  <c r="DA78" i="12"/>
  <c r="DE78" i="12"/>
  <c r="DC52" i="12"/>
  <c r="DA52" i="12"/>
  <c r="DE52" i="12"/>
  <c r="DD52" i="12"/>
  <c r="DB52" i="12"/>
  <c r="DF51" i="12" s="1"/>
  <c r="DD26" i="12"/>
  <c r="DE26" i="12"/>
  <c r="DA26" i="12"/>
  <c r="DC26" i="12"/>
  <c r="DB26" i="12"/>
  <c r="DF25" i="12" s="1"/>
  <c r="DF11" i="12"/>
  <c r="FE42" i="12"/>
  <c r="FC43" i="12"/>
  <c r="FD43" i="12" s="1"/>
  <c r="FB281" i="12"/>
  <c r="FC281" i="12" s="1"/>
  <c r="FD281" i="12" s="1"/>
  <c r="FA282" i="12"/>
  <c r="FB44" i="12"/>
  <c r="FB45" i="12"/>
  <c r="FC45" i="12" s="1"/>
  <c r="BY400" i="12"/>
  <c r="CA128" i="12" s="1"/>
  <c r="CZ14" i="12"/>
  <c r="CZ27" i="12"/>
  <c r="CZ40" i="12"/>
  <c r="CZ53" i="12"/>
  <c r="CZ1314" i="12"/>
  <c r="CZ79" i="12"/>
  <c r="CZ66" i="12"/>
  <c r="DE53" i="12" l="1"/>
  <c r="DD53" i="12"/>
  <c r="DA53" i="12"/>
  <c r="DC53" i="12"/>
  <c r="DB53" i="12"/>
  <c r="DF53" i="12" s="1"/>
  <c r="DC66" i="12"/>
  <c r="DD66" i="12"/>
  <c r="DE66" i="12"/>
  <c r="DA66" i="12"/>
  <c r="DB66" i="12"/>
  <c r="DE1314" i="12"/>
  <c r="DC1314" i="12"/>
  <c r="DA1314" i="12"/>
  <c r="DD1314" i="12"/>
  <c r="DB1314" i="12"/>
  <c r="DF1314" i="12" s="1"/>
  <c r="DC27" i="12"/>
  <c r="DB27" i="12"/>
  <c r="DF27" i="12" s="1"/>
  <c r="DD27" i="12"/>
  <c r="DE27" i="12"/>
  <c r="DA27" i="12"/>
  <c r="DD79" i="12"/>
  <c r="DE79" i="12"/>
  <c r="DA79" i="12"/>
  <c r="DC79" i="12"/>
  <c r="DB79" i="12"/>
  <c r="DC40" i="12"/>
  <c r="DE40" i="12"/>
  <c r="DA40" i="12"/>
  <c r="DD40" i="12"/>
  <c r="DB40" i="12"/>
  <c r="DF40" i="12" s="1"/>
  <c r="DA14" i="12"/>
  <c r="DB14" i="12"/>
  <c r="DF14" i="12" s="1"/>
  <c r="DE14" i="12"/>
  <c r="DC14" i="12"/>
  <c r="DD14" i="12"/>
  <c r="DF38" i="12"/>
  <c r="FE43" i="12"/>
  <c r="FC44" i="12"/>
  <c r="FD44" i="12" s="1"/>
  <c r="FB282" i="12"/>
  <c r="FC282" i="12" s="1"/>
  <c r="FD282" i="12" s="1"/>
  <c r="FA283" i="12"/>
  <c r="FD45" i="12"/>
  <c r="CA260" i="12"/>
  <c r="CB172" i="12"/>
  <c r="BZ237" i="12"/>
  <c r="CA380" i="12"/>
  <c r="CA154" i="12"/>
  <c r="CA175" i="12"/>
  <c r="BZ247" i="12"/>
  <c r="BZ311" i="12"/>
  <c r="CC311" i="12" s="1"/>
  <c r="CA339" i="12"/>
  <c r="CA382" i="12"/>
  <c r="BZ379" i="12"/>
  <c r="CC379" i="12" s="1"/>
  <c r="CA99" i="12"/>
  <c r="CA383" i="12"/>
  <c r="CB309" i="12"/>
  <c r="BZ60" i="12"/>
  <c r="CA231" i="12"/>
  <c r="CB265" i="12"/>
  <c r="BZ194" i="12"/>
  <c r="CA229" i="12"/>
  <c r="CA209" i="12"/>
  <c r="BZ315" i="12"/>
  <c r="CC315" i="12" s="1"/>
  <c r="BZ128" i="12"/>
  <c r="CB250" i="12"/>
  <c r="BZ383" i="12"/>
  <c r="CC383" i="12" s="1"/>
  <c r="CA300" i="12"/>
  <c r="CB278" i="12"/>
  <c r="BZ341" i="12"/>
  <c r="CC341" i="12" s="1"/>
  <c r="CB248" i="12"/>
  <c r="CB301" i="12"/>
  <c r="CB348" i="12"/>
  <c r="BZ166" i="12"/>
  <c r="CB196" i="12"/>
  <c r="CA235" i="12"/>
  <c r="BZ217" i="12"/>
  <c r="BZ68" i="12"/>
  <c r="CB130" i="12"/>
  <c r="CA317" i="12"/>
  <c r="BZ214" i="12"/>
  <c r="CB379" i="12"/>
  <c r="BZ170" i="12"/>
  <c r="CB238" i="12"/>
  <c r="CA333" i="12"/>
  <c r="BZ62" i="12"/>
  <c r="BZ210" i="12"/>
  <c r="CA111" i="12"/>
  <c r="CB88" i="12"/>
  <c r="CB284" i="12"/>
  <c r="BZ246" i="12"/>
  <c r="CB148" i="12"/>
  <c r="CB262" i="12"/>
  <c r="CA205" i="12"/>
  <c r="CB270" i="12"/>
  <c r="BZ78" i="12"/>
  <c r="CA319" i="12"/>
  <c r="BZ178" i="12"/>
  <c r="BZ250" i="12"/>
  <c r="BZ169" i="12"/>
  <c r="CA386" i="12"/>
  <c r="CB74" i="12"/>
  <c r="CA286" i="12"/>
  <c r="CB223" i="12"/>
  <c r="BZ53" i="12"/>
  <c r="CA195" i="12"/>
  <c r="CB322" i="12"/>
  <c r="CA136" i="12"/>
  <c r="CA362" i="12"/>
  <c r="BZ232" i="12"/>
  <c r="CA198" i="12"/>
  <c r="CA328" i="12"/>
  <c r="BZ355" i="12"/>
  <c r="CC355" i="12" s="1"/>
  <c r="CA330" i="12"/>
  <c r="BZ200" i="12"/>
  <c r="CA292" i="12"/>
  <c r="BZ98" i="12"/>
  <c r="CB251" i="12"/>
  <c r="BZ370" i="12"/>
  <c r="CC370" i="12" s="1"/>
  <c r="BZ342" i="12"/>
  <c r="CC342" i="12" s="1"/>
  <c r="CA183" i="12"/>
  <c r="CA282" i="12"/>
  <c r="CA223" i="12"/>
  <c r="CA160" i="12"/>
  <c r="BZ280" i="12"/>
  <c r="CC280" i="12" s="1"/>
  <c r="CA66" i="12"/>
  <c r="CA114" i="12"/>
  <c r="CB319" i="12"/>
  <c r="BZ239" i="12"/>
  <c r="BZ125" i="12"/>
  <c r="BZ297" i="12"/>
  <c r="CC297" i="12" s="1"/>
  <c r="CA80" i="12"/>
  <c r="BZ131" i="12"/>
  <c r="CB318" i="12"/>
  <c r="CB280" i="12"/>
  <c r="BZ49" i="12"/>
  <c r="CA287" i="12"/>
  <c r="CA147" i="12"/>
  <c r="BZ317" i="12"/>
  <c r="CC317" i="12" s="1"/>
  <c r="CA162" i="12"/>
  <c r="CA212" i="12"/>
  <c r="CB247" i="12"/>
  <c r="CB50" i="12"/>
  <c r="BZ103" i="12"/>
  <c r="BZ134" i="12"/>
  <c r="CA397" i="12"/>
  <c r="CA280" i="12"/>
  <c r="CA47" i="12"/>
  <c r="CB201" i="12"/>
  <c r="CB343" i="12"/>
  <c r="BZ238" i="12"/>
  <c r="BZ301" i="12"/>
  <c r="CC301" i="12" s="1"/>
  <c r="CB105" i="12"/>
  <c r="BZ248" i="12"/>
  <c r="BZ319" i="12"/>
  <c r="CC319" i="12" s="1"/>
  <c r="BZ209" i="12"/>
  <c r="CB231" i="12"/>
  <c r="BZ396" i="12"/>
  <c r="CC396" i="12" s="1"/>
  <c r="CA381" i="12"/>
  <c r="BZ211" i="12"/>
  <c r="BZ392" i="12"/>
  <c r="CC392" i="12" s="1"/>
  <c r="CB221" i="12"/>
  <c r="CB353" i="12"/>
  <c r="CB337" i="12"/>
  <c r="BZ363" i="12"/>
  <c r="CC363" i="12" s="1"/>
  <c r="BZ122" i="12"/>
  <c r="BZ150" i="12"/>
  <c r="BZ173" i="12"/>
  <c r="BZ167" i="12"/>
  <c r="CA74" i="12"/>
  <c r="BZ143" i="12"/>
  <c r="CA92" i="12"/>
  <c r="CB242" i="12"/>
  <c r="BZ272" i="12"/>
  <c r="BZ327" i="12"/>
  <c r="CC327" i="12" s="1"/>
  <c r="BZ83" i="12"/>
  <c r="CA165" i="12"/>
  <c r="CB229" i="12"/>
  <c r="CA259" i="12"/>
  <c r="CB191" i="12"/>
  <c r="CB400" i="12"/>
  <c r="BZ360" i="12"/>
  <c r="CC360" i="12" s="1"/>
  <c r="CB357" i="12"/>
  <c r="CA204" i="12"/>
  <c r="CB99" i="12"/>
  <c r="CB123" i="12"/>
  <c r="CB336" i="12"/>
  <c r="CB125" i="12"/>
  <c r="CA320" i="12"/>
  <c r="CA376" i="12"/>
  <c r="CB77" i="12"/>
  <c r="CA236" i="12"/>
  <c r="CA98" i="12"/>
  <c r="CB317" i="12"/>
  <c r="BZ202" i="12"/>
  <c r="BZ157" i="12"/>
  <c r="CB43" i="12"/>
  <c r="CB327" i="12"/>
  <c r="BZ365" i="12"/>
  <c r="CC365" i="12" s="1"/>
  <c r="CB331" i="12"/>
  <c r="BZ216" i="12"/>
  <c r="CA303" i="12"/>
  <c r="CA173" i="12"/>
  <c r="CA100" i="12"/>
  <c r="BZ100" i="12"/>
  <c r="CA50" i="12"/>
  <c r="CB241" i="12"/>
  <c r="CA168" i="12"/>
  <c r="CA90" i="12"/>
  <c r="BZ242" i="12"/>
  <c r="CB276" i="12"/>
  <c r="BZ336" i="12"/>
  <c r="CC336" i="12" s="1"/>
  <c r="CA97" i="12"/>
  <c r="CB200" i="12"/>
  <c r="CB94" i="12"/>
  <c r="CA240" i="12"/>
  <c r="BZ113" i="12"/>
  <c r="CB93" i="12"/>
  <c r="BZ309" i="12"/>
  <c r="CC309" i="12" s="1"/>
  <c r="CB397" i="12"/>
  <c r="BZ285" i="12"/>
  <c r="CC285" i="12" s="1"/>
  <c r="BZ164" i="12"/>
  <c r="BZ254" i="12"/>
  <c r="CA272" i="12"/>
  <c r="CB143" i="12"/>
  <c r="CB97" i="12"/>
  <c r="CA83" i="12"/>
  <c r="CA42" i="12"/>
  <c r="CA239" i="12"/>
  <c r="CA206" i="12"/>
  <c r="CB169" i="12"/>
  <c r="CA392" i="12"/>
  <c r="CB102" i="12"/>
  <c r="CB384" i="12"/>
  <c r="BZ132" i="12"/>
  <c r="CB320" i="12"/>
  <c r="BZ158" i="12"/>
  <c r="BZ277" i="12"/>
  <c r="CC277" i="12" s="1"/>
  <c r="CA115" i="12"/>
  <c r="BZ46" i="12"/>
  <c r="CA365" i="12"/>
  <c r="CA261" i="12"/>
  <c r="CA77" i="12"/>
  <c r="CB239" i="12"/>
  <c r="CA134" i="12"/>
  <c r="CB371" i="12"/>
  <c r="BZ264" i="12"/>
  <c r="CA285" i="12"/>
  <c r="CB359" i="12"/>
  <c r="BZ120" i="12"/>
  <c r="CA338" i="12"/>
  <c r="BZ50" i="12"/>
  <c r="CB232" i="12"/>
  <c r="BZ119" i="12"/>
  <c r="BZ124" i="12"/>
  <c r="BZ205" i="12"/>
  <c r="CA63" i="12"/>
  <c r="CB51" i="12"/>
  <c r="CB192" i="12"/>
  <c r="BZ201" i="12"/>
  <c r="CB90" i="12"/>
  <c r="CB245" i="12"/>
  <c r="CB141" i="12"/>
  <c r="BZ112" i="12"/>
  <c r="CA371" i="12"/>
  <c r="CA144" i="12"/>
  <c r="CA139" i="12"/>
  <c r="CB243" i="12"/>
  <c r="BZ233" i="12"/>
  <c r="BZ207" i="12"/>
  <c r="CB305" i="12"/>
  <c r="BZ187" i="12"/>
  <c r="BZ72" i="12"/>
  <c r="CB185" i="12"/>
  <c r="BZ352" i="12"/>
  <c r="CC352" i="12" s="1"/>
  <c r="BZ227" i="12"/>
  <c r="CA352" i="12"/>
  <c r="CA363" i="12"/>
  <c r="BZ283" i="12"/>
  <c r="CC283" i="12" s="1"/>
  <c r="BZ145" i="12"/>
  <c r="CA354" i="12"/>
  <c r="CB269" i="12"/>
  <c r="CB96" i="12"/>
  <c r="CA243" i="12"/>
  <c r="CA171" i="12"/>
  <c r="CB173" i="12"/>
  <c r="CA135" i="12"/>
  <c r="BZ96" i="12"/>
  <c r="CB252" i="12"/>
  <c r="CA110" i="12"/>
  <c r="CB314" i="12"/>
  <c r="CA291" i="12"/>
  <c r="BZ176" i="12"/>
  <c r="CB324" i="12"/>
  <c r="CA71" i="12"/>
  <c r="CB3" i="12"/>
  <c r="CB4" i="12"/>
  <c r="BZ6" i="12"/>
  <c r="CA7" i="12"/>
  <c r="CB6" i="12"/>
  <c r="BZ3" i="12"/>
  <c r="CA8" i="12"/>
  <c r="CB9" i="12"/>
  <c r="BZ4" i="12"/>
  <c r="CB5" i="12"/>
  <c r="CA4" i="12"/>
  <c r="BZ8" i="12"/>
  <c r="CB7" i="12"/>
  <c r="CB8" i="12"/>
  <c r="CA9" i="12"/>
  <c r="CA11" i="12"/>
  <c r="BZ10" i="12"/>
  <c r="CB11" i="12"/>
  <c r="CB16" i="12"/>
  <c r="CA22" i="12"/>
  <c r="CA20" i="12"/>
  <c r="BZ14" i="12"/>
  <c r="BZ13" i="12"/>
  <c r="BZ11" i="12"/>
  <c r="CB15" i="12"/>
  <c r="CA6" i="12"/>
  <c r="CB17" i="12"/>
  <c r="BZ5" i="12"/>
  <c r="CA16" i="12"/>
  <c r="CA12" i="12"/>
  <c r="CA14" i="12"/>
  <c r="CB21" i="12"/>
  <c r="CA21" i="12"/>
  <c r="CB20" i="12"/>
  <c r="BZ20" i="12"/>
  <c r="CB12" i="12"/>
  <c r="CB18" i="12"/>
  <c r="BZ17" i="12"/>
  <c r="CA17" i="12"/>
  <c r="BZ21" i="12"/>
  <c r="CB19" i="12"/>
  <c r="BZ16" i="12"/>
  <c r="BZ15" i="12"/>
  <c r="CA18" i="12"/>
  <c r="BZ18" i="12"/>
  <c r="CB13" i="12"/>
  <c r="CA5" i="12"/>
  <c r="CA3" i="12"/>
  <c r="BZ19" i="12"/>
  <c r="BZ9" i="12"/>
  <c r="CA10" i="12"/>
  <c r="CB14" i="12"/>
  <c r="CB10" i="12"/>
  <c r="BZ7" i="12"/>
  <c r="CA13" i="12"/>
  <c r="BZ12" i="12"/>
  <c r="CA23" i="12"/>
  <c r="CB22" i="12"/>
  <c r="CA19" i="12"/>
  <c r="CA15" i="12"/>
  <c r="BZ22" i="12"/>
  <c r="BZ24" i="12"/>
  <c r="CB23" i="12"/>
  <c r="CB25" i="12"/>
  <c r="BZ23" i="12"/>
  <c r="CA24" i="12"/>
  <c r="BZ25" i="12"/>
  <c r="CA26" i="12"/>
  <c r="CB27" i="12"/>
  <c r="CB24" i="12"/>
  <c r="CA27" i="12"/>
  <c r="CA25" i="12"/>
  <c r="CB26" i="12"/>
  <c r="BZ27" i="12"/>
  <c r="BZ26" i="12"/>
  <c r="CB114" i="12"/>
  <c r="BZ302" i="12"/>
  <c r="CC302" i="12" s="1"/>
  <c r="CB45" i="12"/>
  <c r="CA377" i="12"/>
  <c r="CB117" i="12"/>
  <c r="BZ141" i="12"/>
  <c r="CA112" i="12"/>
  <c r="CA181" i="12"/>
  <c r="CA117" i="12"/>
  <c r="CA389" i="12"/>
  <c r="BZ394" i="12"/>
  <c r="CC394" i="12" s="1"/>
  <c r="CB395" i="12"/>
  <c r="BZ331" i="12"/>
  <c r="CC331" i="12" s="1"/>
  <c r="BZ321" i="12"/>
  <c r="CC321" i="12" s="1"/>
  <c r="CA254" i="12"/>
  <c r="CA313" i="12"/>
  <c r="CB62" i="12"/>
  <c r="CB362" i="12"/>
  <c r="CB56" i="12"/>
  <c r="BZ371" i="12"/>
  <c r="CC371" i="12" s="1"/>
  <c r="BZ172" i="12"/>
  <c r="CA335" i="12"/>
  <c r="BZ335" i="12"/>
  <c r="CC335" i="12" s="1"/>
  <c r="BZ244" i="12"/>
  <c r="CB115" i="12"/>
  <c r="CA68" i="12"/>
  <c r="CB197" i="12"/>
  <c r="BZ288" i="12"/>
  <c r="CC288" i="12" s="1"/>
  <c r="BZ347" i="12"/>
  <c r="CC347" i="12" s="1"/>
  <c r="BZ105" i="12"/>
  <c r="BZ97" i="12"/>
  <c r="BZ174" i="12"/>
  <c r="CB295" i="12"/>
  <c r="CB174" i="12"/>
  <c r="BZ69" i="12"/>
  <c r="CB182" i="12"/>
  <c r="CA84" i="12"/>
  <c r="CA172" i="12"/>
  <c r="BZ66" i="12"/>
  <c r="BZ177" i="12"/>
  <c r="CB67" i="12"/>
  <c r="CB257" i="12"/>
  <c r="BZ182" i="12"/>
  <c r="CB124" i="12"/>
  <c r="CB341" i="12"/>
  <c r="CA72" i="12"/>
  <c r="BZ398" i="12"/>
  <c r="CC398" i="12" s="1"/>
  <c r="BZ163" i="12"/>
  <c r="CA152" i="12"/>
  <c r="CB255" i="12"/>
  <c r="CB193" i="12"/>
  <c r="CB266" i="12"/>
  <c r="BZ235" i="12"/>
  <c r="CA46" i="12"/>
  <c r="BZ245" i="12"/>
  <c r="BZ61" i="12"/>
  <c r="CA201" i="12"/>
  <c r="CA302" i="12"/>
  <c r="BZ47" i="12"/>
  <c r="CA242" i="12"/>
  <c r="CB126" i="12"/>
  <c r="BZ86" i="12"/>
  <c r="CA379" i="12"/>
  <c r="BZ45" i="12"/>
  <c r="CB199" i="12"/>
  <c r="CA256" i="12"/>
  <c r="CA234" i="12"/>
  <c r="BZ223" i="12"/>
  <c r="CB209" i="12"/>
  <c r="CA293" i="12"/>
  <c r="BZ55" i="12"/>
  <c r="CB111" i="12"/>
  <c r="CB206" i="12"/>
  <c r="CA126" i="12"/>
  <c r="CB91" i="12"/>
  <c r="CB356" i="12"/>
  <c r="CB144" i="12"/>
  <c r="CA311" i="12"/>
  <c r="BZ129" i="12"/>
  <c r="CB281" i="12"/>
  <c r="CA131" i="12"/>
  <c r="CA340" i="12"/>
  <c r="CB158" i="12"/>
  <c r="CA263" i="12"/>
  <c r="CA101" i="12"/>
  <c r="CB107" i="12"/>
  <c r="CA211" i="12"/>
  <c r="BZ366" i="12"/>
  <c r="CC366" i="12" s="1"/>
  <c r="BZ219" i="12"/>
  <c r="BZ104" i="12"/>
  <c r="CB186" i="12"/>
  <c r="CA390" i="12"/>
  <c r="BZ197" i="12"/>
  <c r="BZ180" i="12"/>
  <c r="BZ229" i="12"/>
  <c r="BZ215" i="12"/>
  <c r="CA143" i="12"/>
  <c r="CA179" i="12"/>
  <c r="CA94" i="12"/>
  <c r="CB131" i="12"/>
  <c r="CB260" i="12"/>
  <c r="BZ184" i="12"/>
  <c r="CA364" i="12"/>
  <c r="CA69" i="12"/>
  <c r="CA327" i="12"/>
  <c r="CA309" i="12"/>
  <c r="BZ320" i="12"/>
  <c r="CC320" i="12" s="1"/>
  <c r="BZ294" i="12"/>
  <c r="CC294" i="12" s="1"/>
  <c r="CA322" i="12"/>
  <c r="BZ312" i="12"/>
  <c r="CC312" i="12" s="1"/>
  <c r="CB150" i="12"/>
  <c r="CB92" i="12"/>
  <c r="CA268" i="12"/>
  <c r="CA400" i="12"/>
  <c r="BZ110" i="12"/>
  <c r="CB373" i="12"/>
  <c r="CB176" i="12"/>
  <c r="BZ369" i="12"/>
  <c r="CC369" i="12" s="1"/>
  <c r="BZ42" i="12"/>
  <c r="CB87" i="12"/>
  <c r="BZ343" i="12"/>
  <c r="CC343" i="12" s="1"/>
  <c r="CB325" i="12"/>
  <c r="CB139" i="12"/>
  <c r="BZ337" i="12"/>
  <c r="CC337" i="12" s="1"/>
  <c r="CA359" i="12"/>
  <c r="BZ275" i="12"/>
  <c r="CC275" i="12" s="1"/>
  <c r="CB380" i="12"/>
  <c r="CA85" i="12"/>
  <c r="BZ115" i="12"/>
  <c r="BZ306" i="12"/>
  <c r="CC306" i="12" s="1"/>
  <c r="CB311" i="12"/>
  <c r="BZ193" i="12"/>
  <c r="CA220" i="12"/>
  <c r="CA108" i="12"/>
  <c r="BZ399" i="12"/>
  <c r="BZ278" i="12"/>
  <c r="CC278" i="12" s="1"/>
  <c r="CB187" i="12"/>
  <c r="CA372" i="12"/>
  <c r="CB398" i="12"/>
  <c r="CA224" i="12"/>
  <c r="CA133" i="12"/>
  <c r="BZ367" i="12"/>
  <c r="CC367" i="12" s="1"/>
  <c r="CA78" i="12"/>
  <c r="BZ380" i="12"/>
  <c r="CC380" i="12" s="1"/>
  <c r="BZ228" i="12"/>
  <c r="BZ225" i="12"/>
  <c r="BZ282" i="12"/>
  <c r="CC282" i="12" s="1"/>
  <c r="CA48" i="12"/>
  <c r="BZ364" i="12"/>
  <c r="CC364" i="12" s="1"/>
  <c r="CB137" i="12"/>
  <c r="CB396" i="12"/>
  <c r="BZ118" i="12"/>
  <c r="BZ116" i="12"/>
  <c r="BZ323" i="12"/>
  <c r="CC323" i="12" s="1"/>
  <c r="BZ263" i="12"/>
  <c r="CB175" i="12"/>
  <c r="CA76" i="12"/>
  <c r="BZ123" i="12"/>
  <c r="CA227" i="12"/>
  <c r="CA248" i="12"/>
  <c r="CA266" i="12"/>
  <c r="CA91" i="12"/>
  <c r="CA62" i="12"/>
  <c r="BZ149" i="12"/>
  <c r="CB166" i="12"/>
  <c r="CB261" i="12"/>
  <c r="CB72" i="12"/>
  <c r="CB381" i="12"/>
  <c r="BZ386" i="12"/>
  <c r="CC386" i="12" s="1"/>
  <c r="BZ354" i="12"/>
  <c r="CC354" i="12" s="1"/>
  <c r="CA238" i="12"/>
  <c r="BZ310" i="12"/>
  <c r="CC310" i="12" s="1"/>
  <c r="BZ265" i="12"/>
  <c r="CB286" i="12"/>
  <c r="CA366" i="12"/>
  <c r="BZ57" i="12"/>
  <c r="BZ300" i="12"/>
  <c r="CC300" i="12" s="1"/>
  <c r="CA225" i="12"/>
  <c r="CA150" i="12"/>
  <c r="CA65" i="12"/>
  <c r="CA219" i="12"/>
  <c r="CB254" i="12"/>
  <c r="CB313" i="12"/>
  <c r="CB162" i="12"/>
  <c r="CB161" i="12"/>
  <c r="CB236" i="12"/>
  <c r="BZ107" i="12"/>
  <c r="CA296" i="12"/>
  <c r="BZ308" i="12"/>
  <c r="CC308" i="12" s="1"/>
  <c r="BZ82" i="12"/>
  <c r="BZ236" i="12"/>
  <c r="CB249" i="12"/>
  <c r="BZ140" i="12"/>
  <c r="CA132" i="12"/>
  <c r="CA367" i="12"/>
  <c r="CB121" i="12"/>
  <c r="BZ51" i="12"/>
  <c r="CB367" i="12"/>
  <c r="CB153" i="12"/>
  <c r="CB338" i="12"/>
  <c r="CA89" i="12"/>
  <c r="CA180" i="12"/>
  <c r="BZ121" i="12"/>
  <c r="CA125" i="12"/>
  <c r="CA393" i="12"/>
  <c r="CA275" i="12"/>
  <c r="BZ190" i="12"/>
  <c r="BZ316" i="12"/>
  <c r="CC316" i="12" s="1"/>
  <c r="BZ384" i="12"/>
  <c r="CC384" i="12" s="1"/>
  <c r="CA269" i="12"/>
  <c r="CA258" i="12"/>
  <c r="CB303" i="12"/>
  <c r="CB202" i="12"/>
  <c r="BZ284" i="12"/>
  <c r="CC284" i="12" s="1"/>
  <c r="CB387" i="12"/>
  <c r="BZ70" i="12"/>
  <c r="CA251" i="12"/>
  <c r="CA284" i="12"/>
  <c r="BZ179" i="12"/>
  <c r="BZ231" i="12"/>
  <c r="CA298" i="12"/>
  <c r="CB129" i="12"/>
  <c r="CB108" i="12"/>
  <c r="CB168" i="12"/>
  <c r="CA226" i="12"/>
  <c r="CB285" i="12"/>
  <c r="CB376" i="12"/>
  <c r="BZ67" i="12"/>
  <c r="CA249" i="12"/>
  <c r="CA246" i="12"/>
  <c r="BZ292" i="12"/>
  <c r="CC292" i="12" s="1"/>
  <c r="BZ192" i="12"/>
  <c r="BZ273" i="12"/>
  <c r="CB71" i="12"/>
  <c r="CB296" i="12"/>
  <c r="CB385" i="12"/>
  <c r="CB76" i="12"/>
  <c r="BZ333" i="12"/>
  <c r="CC333" i="12" s="1"/>
  <c r="CA189" i="12"/>
  <c r="BZ286" i="12"/>
  <c r="CC286" i="12" s="1"/>
  <c r="CB204" i="12"/>
  <c r="CB113" i="12"/>
  <c r="BZ56" i="12"/>
  <c r="CB334" i="12"/>
  <c r="CA185" i="12"/>
  <c r="CA86" i="12"/>
  <c r="CA262" i="12"/>
  <c r="CA255" i="12"/>
  <c r="CA347" i="12"/>
  <c r="CA82" i="12"/>
  <c r="BZ84" i="12"/>
  <c r="CA102" i="12"/>
  <c r="CA270" i="12"/>
  <c r="BZ79" i="12"/>
  <c r="CA384" i="12"/>
  <c r="BZ48" i="12"/>
  <c r="CB271" i="12"/>
  <c r="BZ266" i="12"/>
  <c r="C273" i="11" s="1"/>
  <c r="H273" i="11" s="1"/>
  <c r="BZ111" i="12"/>
  <c r="CB179" i="12"/>
  <c r="CB134" i="12"/>
  <c r="CA59" i="12"/>
  <c r="CA123" i="12"/>
  <c r="BZ54" i="12"/>
  <c r="CB375" i="12"/>
  <c r="CA193" i="12"/>
  <c r="BZ148" i="12"/>
  <c r="CA394" i="12"/>
  <c r="BZ357" i="12"/>
  <c r="CC357" i="12" s="1"/>
  <c r="CA116" i="12"/>
  <c r="CA247" i="12"/>
  <c r="CB79" i="12"/>
  <c r="CB164" i="12"/>
  <c r="CB215" i="12"/>
  <c r="CB263" i="12"/>
  <c r="CB80" i="12"/>
  <c r="CB340" i="12"/>
  <c r="BZ296" i="12"/>
  <c r="CC296" i="12" s="1"/>
  <c r="BZ400" i="12"/>
  <c r="BZ388" i="12"/>
  <c r="CC388" i="12" s="1"/>
  <c r="BZ73" i="12"/>
  <c r="BZ295" i="12"/>
  <c r="CC295" i="12" s="1"/>
  <c r="CB258" i="12"/>
  <c r="BY1" i="12"/>
  <c r="CA237" i="12"/>
  <c r="BZ255" i="12"/>
  <c r="CA156" i="12"/>
  <c r="CB360" i="12"/>
  <c r="BZ198" i="12"/>
  <c r="BZ372" i="12"/>
  <c r="CC372" i="12" s="1"/>
  <c r="CB146" i="12"/>
  <c r="CA276" i="12"/>
  <c r="BZ274" i="12"/>
  <c r="CC274" i="12" s="1"/>
  <c r="BZ102" i="12"/>
  <c r="CB54" i="12"/>
  <c r="CB267" i="12"/>
  <c r="BZ75" i="12"/>
  <c r="BZ318" i="12"/>
  <c r="CC318" i="12" s="1"/>
  <c r="BZ253" i="12"/>
  <c r="CA375" i="12"/>
  <c r="CB378" i="12"/>
  <c r="CB288" i="12"/>
  <c r="CB390" i="12"/>
  <c r="CA356" i="12"/>
  <c r="CB253" i="12"/>
  <c r="BZ339" i="12"/>
  <c r="CC339" i="12" s="1"/>
  <c r="CA345" i="12"/>
  <c r="CB224" i="12"/>
  <c r="CB159" i="12"/>
  <c r="CB328" i="12"/>
  <c r="CA329" i="12"/>
  <c r="BZ127" i="12"/>
  <c r="CA120" i="12"/>
  <c r="CB140" i="12"/>
  <c r="BZ293" i="12"/>
  <c r="CC293" i="12" s="1"/>
  <c r="CB188" i="12"/>
  <c r="BZ91" i="12"/>
  <c r="CA331" i="12"/>
  <c r="BZ77" i="12"/>
  <c r="CA196" i="12"/>
  <c r="CB275" i="12"/>
  <c r="CB307" i="12"/>
  <c r="CA194" i="12"/>
  <c r="BZ324" i="12"/>
  <c r="CC324" i="12" s="1"/>
  <c r="BZ261" i="12"/>
  <c r="CA336" i="12"/>
  <c r="CA257" i="12"/>
  <c r="CA324" i="12"/>
  <c r="CB213" i="12"/>
  <c r="BZ87" i="12"/>
  <c r="CB366" i="12"/>
  <c r="CA55" i="12"/>
  <c r="CB228" i="12"/>
  <c r="CB48" i="12"/>
  <c r="CB69" i="12"/>
  <c r="BZ240" i="12"/>
  <c r="BZ314" i="12"/>
  <c r="CC314" i="12" s="1"/>
  <c r="CB291" i="12"/>
  <c r="CA221" i="12"/>
  <c r="CB354" i="12"/>
  <c r="CB183" i="12"/>
  <c r="CB272" i="12"/>
  <c r="BZ397" i="12"/>
  <c r="CC397" i="12" s="1"/>
  <c r="CB234" i="12"/>
  <c r="CA57" i="12"/>
  <c r="CB184" i="12"/>
  <c r="CA253" i="12"/>
  <c r="BZ195" i="12"/>
  <c r="CB392" i="12"/>
  <c r="CB289" i="12"/>
  <c r="CA79" i="12"/>
  <c r="CB347" i="12"/>
  <c r="CB60" i="12"/>
  <c r="CB292" i="12"/>
  <c r="CB152" i="12"/>
  <c r="CB306" i="12"/>
  <c r="CB112" i="12"/>
  <c r="CB293" i="12"/>
  <c r="CA214" i="12"/>
  <c r="CB58" i="12"/>
  <c r="CB73" i="12"/>
  <c r="BZ89" i="12"/>
  <c r="BZ162" i="12"/>
  <c r="CB279" i="12"/>
  <c r="CB355" i="12"/>
  <c r="BZ376" i="12"/>
  <c r="CC376" i="12" s="1"/>
  <c r="CB116" i="12"/>
  <c r="BZ63" i="12"/>
  <c r="CB332" i="12"/>
  <c r="CB323" i="12"/>
  <c r="CB399" i="12"/>
  <c r="CA378" i="12"/>
  <c r="BZ196" i="12"/>
  <c r="CA387" i="12"/>
  <c r="CB44" i="12"/>
  <c r="BZ351" i="12"/>
  <c r="CC351" i="12" s="1"/>
  <c r="CA351" i="12"/>
  <c r="CB350" i="12"/>
  <c r="BZ368" i="12"/>
  <c r="CC368" i="12" s="1"/>
  <c r="CB154" i="12"/>
  <c r="CB326" i="12"/>
  <c r="CA391" i="12"/>
  <c r="CA346" i="12"/>
  <c r="BZ171" i="12"/>
  <c r="CA197" i="12"/>
  <c r="CA357" i="12"/>
  <c r="CB237" i="12"/>
  <c r="CB142" i="12"/>
  <c r="BZ203" i="12"/>
  <c r="CB65" i="12"/>
  <c r="BZ276" i="12"/>
  <c r="CC276" i="12" s="1"/>
  <c r="CA233" i="12"/>
  <c r="CA308" i="12"/>
  <c r="CA88" i="12"/>
  <c r="CA265" i="12"/>
  <c r="CB157" i="12"/>
  <c r="BZ359" i="12"/>
  <c r="CC359" i="12" s="1"/>
  <c r="BZ114" i="12"/>
  <c r="CA103" i="12"/>
  <c r="CA52" i="12"/>
  <c r="CB287" i="12"/>
  <c r="CA312" i="12"/>
  <c r="BZ126" i="12"/>
  <c r="CB149" i="12"/>
  <c r="CA174" i="12"/>
  <c r="BZ390" i="12"/>
  <c r="CC390" i="12" s="1"/>
  <c r="CB388" i="12"/>
  <c r="CA127" i="12"/>
  <c r="BZ146" i="12"/>
  <c r="BZ353" i="12"/>
  <c r="CC353" i="12" s="1"/>
  <c r="CB217" i="12"/>
  <c r="CB329" i="12"/>
  <c r="CB82" i="12"/>
  <c r="BZ109" i="12"/>
  <c r="CA323" i="12"/>
  <c r="CB120" i="12"/>
  <c r="CA343" i="12"/>
  <c r="BZ181" i="12"/>
  <c r="CA337" i="12"/>
  <c r="BZ345" i="12"/>
  <c r="CC345" i="12" s="1"/>
  <c r="BZ290" i="12"/>
  <c r="CC290" i="12" s="1"/>
  <c r="CA157" i="12"/>
  <c r="CA81" i="12"/>
  <c r="CB268" i="12"/>
  <c r="BZ133" i="12"/>
  <c r="BZ93" i="12"/>
  <c r="CB46" i="12"/>
  <c r="CB63" i="12"/>
  <c r="CA170" i="12"/>
  <c r="CB89" i="12"/>
  <c r="BZ326" i="12"/>
  <c r="CC326" i="12" s="1"/>
  <c r="CA348" i="12"/>
  <c r="BZ95" i="12"/>
  <c r="CA334" i="12"/>
  <c r="CA245" i="12"/>
  <c r="CB189" i="12"/>
  <c r="BZ270" i="12"/>
  <c r="CA281" i="12"/>
  <c r="BZ298" i="12"/>
  <c r="CC298" i="12" s="1"/>
  <c r="CB283" i="12"/>
  <c r="CA368" i="12"/>
  <c r="CB109" i="12"/>
  <c r="CA325" i="12"/>
  <c r="BZ183" i="12"/>
  <c r="CA191" i="12"/>
  <c r="CA350" i="12"/>
  <c r="CA241" i="12"/>
  <c r="BZ391" i="12"/>
  <c r="CC391" i="12" s="1"/>
  <c r="CA58" i="12"/>
  <c r="BZ260" i="12"/>
  <c r="BZ213" i="12"/>
  <c r="CB222" i="12"/>
  <c r="BZ85" i="12"/>
  <c r="CA124" i="12"/>
  <c r="CA200" i="12"/>
  <c r="CB374" i="12"/>
  <c r="CA140" i="12"/>
  <c r="CA113" i="12"/>
  <c r="CB165" i="12"/>
  <c r="BZ160" i="12"/>
  <c r="BZ268" i="12"/>
  <c r="CA370" i="12"/>
  <c r="CA146" i="12"/>
  <c r="BZ226" i="12"/>
  <c r="BZ206" i="12"/>
  <c r="CB214" i="12"/>
  <c r="CA141" i="12"/>
  <c r="CA158" i="12"/>
  <c r="CA145" i="12"/>
  <c r="BZ346" i="12"/>
  <c r="CC346" i="12" s="1"/>
  <c r="CB163" i="12"/>
  <c r="BZ258" i="12"/>
  <c r="CA250" i="12"/>
  <c r="BZ92" i="12"/>
  <c r="CB95" i="12"/>
  <c r="BZ199" i="12"/>
  <c r="BZ332" i="12"/>
  <c r="CC332" i="12" s="1"/>
  <c r="CB135" i="12"/>
  <c r="CA122" i="12"/>
  <c r="BZ188" i="12"/>
  <c r="BZ204" i="12"/>
  <c r="CA301" i="12"/>
  <c r="CA73" i="12"/>
  <c r="CA178" i="12"/>
  <c r="CB138" i="12"/>
  <c r="BZ76" i="12"/>
  <c r="CB345" i="12"/>
  <c r="BZ281" i="12"/>
  <c r="CC281" i="12" s="1"/>
  <c r="CB394" i="12"/>
  <c r="BZ307" i="12"/>
  <c r="CC307" i="12" s="1"/>
  <c r="BZ230" i="12"/>
  <c r="BZ362" i="12"/>
  <c r="CC362" i="12" s="1"/>
  <c r="BZ330" i="12"/>
  <c r="CC330" i="12" s="1"/>
  <c r="CA307" i="12"/>
  <c r="BZ155" i="12"/>
  <c r="CA230" i="12"/>
  <c r="CB226" i="12"/>
  <c r="BZ88" i="12"/>
  <c r="CB391" i="12"/>
  <c r="CA60" i="12"/>
  <c r="CA314" i="12"/>
  <c r="CB104" i="12"/>
  <c r="CB133" i="12"/>
  <c r="CA283" i="12"/>
  <c r="CA121" i="12"/>
  <c r="BZ395" i="12"/>
  <c r="CC395" i="12" s="1"/>
  <c r="CB316" i="12"/>
  <c r="CA310" i="12"/>
  <c r="CB342" i="12"/>
  <c r="CA342" i="12"/>
  <c r="CB233" i="12"/>
  <c r="CA187" i="12"/>
  <c r="BZ322" i="12"/>
  <c r="CC322" i="12" s="1"/>
  <c r="BZ249" i="12"/>
  <c r="CA279" i="12"/>
  <c r="BZ159" i="12"/>
  <c r="CB386" i="12"/>
  <c r="CB170" i="12"/>
  <c r="CB128" i="12"/>
  <c r="CA70" i="12"/>
  <c r="CB321" i="12"/>
  <c r="CB61" i="12"/>
  <c r="BZ58" i="12"/>
  <c r="CA369" i="12"/>
  <c r="BZ52" i="12"/>
  <c r="CB294" i="12"/>
  <c r="CB382" i="12"/>
  <c r="CB383" i="12"/>
  <c r="CA130" i="12"/>
  <c r="CA374" i="12"/>
  <c r="CA182" i="12"/>
  <c r="CB59" i="12"/>
  <c r="CA316" i="12"/>
  <c r="CA203" i="12"/>
  <c r="BZ81" i="12"/>
  <c r="CB308" i="12"/>
  <c r="CB218" i="12"/>
  <c r="BZ59" i="12"/>
  <c r="CB290" i="12"/>
  <c r="CB119" i="12"/>
  <c r="CA385" i="12"/>
  <c r="BZ44" i="12"/>
  <c r="CA119" i="12"/>
  <c r="CB110" i="12"/>
  <c r="BZ350" i="12"/>
  <c r="CC350" i="12" s="1"/>
  <c r="BZ305" i="12"/>
  <c r="CC305" i="12" s="1"/>
  <c r="BZ156" i="12"/>
  <c r="CA190" i="12"/>
  <c r="CB147" i="12"/>
  <c r="CB358" i="12"/>
  <c r="CB194" i="12"/>
  <c r="CA188" i="12"/>
  <c r="BZ325" i="12"/>
  <c r="CC325" i="12" s="1"/>
  <c r="CB277" i="12"/>
  <c r="CB198" i="12"/>
  <c r="CB167" i="12"/>
  <c r="CB339" i="12"/>
  <c r="BZ271" i="12"/>
  <c r="CB100" i="12"/>
  <c r="CA278" i="12"/>
  <c r="BZ144" i="12"/>
  <c r="CB180" i="12"/>
  <c r="BZ136" i="12"/>
  <c r="CA106" i="12"/>
  <c r="CA149" i="12"/>
  <c r="CA107" i="12"/>
  <c r="CA213" i="12"/>
  <c r="BZ387" i="12"/>
  <c r="CC387" i="12" s="1"/>
  <c r="BZ267" i="12"/>
  <c r="BZ389" i="12"/>
  <c r="CC389" i="12" s="1"/>
  <c r="CA208" i="12"/>
  <c r="CA395" i="12"/>
  <c r="CA299" i="12"/>
  <c r="CA360" i="12"/>
  <c r="BZ152" i="12"/>
  <c r="CB212" i="12"/>
  <c r="BZ381" i="12"/>
  <c r="CC381" i="12" s="1"/>
  <c r="BZ340" i="12"/>
  <c r="CC340" i="12" s="1"/>
  <c r="CA184" i="12"/>
  <c r="BZ74" i="12"/>
  <c r="CB106" i="12"/>
  <c r="CA142" i="12"/>
  <c r="BZ142" i="12"/>
  <c r="BZ356" i="12"/>
  <c r="CC356" i="12" s="1"/>
  <c r="BZ212" i="12"/>
  <c r="BZ291" i="12"/>
  <c r="CC291" i="12" s="1"/>
  <c r="BZ94" i="12"/>
  <c r="CB225" i="12"/>
  <c r="CB81" i="12"/>
  <c r="BZ161" i="12"/>
  <c r="CB244" i="12"/>
  <c r="CA161" i="12"/>
  <c r="CA341" i="12"/>
  <c r="CA267" i="12"/>
  <c r="BZ303" i="12"/>
  <c r="CC303" i="12" s="1"/>
  <c r="CB361" i="12"/>
  <c r="CB235" i="12"/>
  <c r="BZ378" i="12"/>
  <c r="CC378" i="12" s="1"/>
  <c r="BZ375" i="12"/>
  <c r="CC375" i="12" s="1"/>
  <c r="CB127" i="12"/>
  <c r="CA399" i="12"/>
  <c r="CB207" i="12"/>
  <c r="CA344" i="12"/>
  <c r="CA67" i="12"/>
  <c r="CA155" i="12"/>
  <c r="CB155" i="12"/>
  <c r="CB145" i="12"/>
  <c r="BZ304" i="12"/>
  <c r="CC304" i="12" s="1"/>
  <c r="BZ186" i="12"/>
  <c r="BZ90" i="12"/>
  <c r="CB227" i="12"/>
  <c r="CB282" i="12"/>
  <c r="CA176" i="12"/>
  <c r="CB344" i="12"/>
  <c r="BZ377" i="12"/>
  <c r="CC377" i="12" s="1"/>
  <c r="CA93" i="12"/>
  <c r="CB151" i="12"/>
  <c r="CB369" i="12"/>
  <c r="CA87" i="12"/>
  <c r="CB75" i="12"/>
  <c r="CA304" i="12"/>
  <c r="BZ43" i="12"/>
  <c r="CB259" i="12"/>
  <c r="CA163" i="12"/>
  <c r="CB298" i="12"/>
  <c r="CA358" i="12"/>
  <c r="CA45" i="12"/>
  <c r="CB195" i="12"/>
  <c r="CB372" i="12"/>
  <c r="CB297" i="12"/>
  <c r="BZ338" i="12"/>
  <c r="CC338" i="12" s="1"/>
  <c r="CA164" i="12"/>
  <c r="BZ101" i="12"/>
  <c r="CB349" i="12"/>
  <c r="CB181" i="12"/>
  <c r="CA353" i="12"/>
  <c r="BZ262" i="12"/>
  <c r="CB66" i="12"/>
  <c r="CA321" i="12"/>
  <c r="BZ28" i="12"/>
  <c r="CB28" i="12"/>
  <c r="CA28" i="12"/>
  <c r="BZ175" i="12"/>
  <c r="BZ279" i="12"/>
  <c r="CC279" i="12" s="1"/>
  <c r="CB246" i="12"/>
  <c r="BZ191" i="12"/>
  <c r="BZ153" i="12"/>
  <c r="CB299" i="12"/>
  <c r="CA129" i="12"/>
  <c r="BZ208" i="12"/>
  <c r="BZ328" i="12"/>
  <c r="CC328" i="12" s="1"/>
  <c r="CA388" i="12"/>
  <c r="BZ221" i="12"/>
  <c r="CA96" i="12"/>
  <c r="CB363" i="12"/>
  <c r="CA228" i="12"/>
  <c r="BZ139" i="12"/>
  <c r="CA297" i="12"/>
  <c r="BZ358" i="12"/>
  <c r="CC358" i="12" s="1"/>
  <c r="CA332" i="12"/>
  <c r="CA207" i="12"/>
  <c r="CB205" i="12"/>
  <c r="CB312" i="12"/>
  <c r="CA273" i="12"/>
  <c r="CA64" i="12"/>
  <c r="CA216" i="12"/>
  <c r="CA56" i="12"/>
  <c r="BZ138" i="12"/>
  <c r="CB256" i="12"/>
  <c r="CA305" i="12"/>
  <c r="BZ329" i="12"/>
  <c r="CC329" i="12" s="1"/>
  <c r="CA169" i="12"/>
  <c r="CB273" i="12"/>
  <c r="BZ382" i="12"/>
  <c r="CC382" i="12" s="1"/>
  <c r="CA210" i="12"/>
  <c r="CB302" i="12"/>
  <c r="CA118" i="12"/>
  <c r="BZ251" i="12"/>
  <c r="BZ151" i="12"/>
  <c r="CB83" i="12"/>
  <c r="CB42" i="12"/>
  <c r="CA61" i="12"/>
  <c r="CA264" i="12"/>
  <c r="CA151" i="12"/>
  <c r="BZ393" i="12"/>
  <c r="CC393" i="12" s="1"/>
  <c r="CB208" i="12"/>
  <c r="CB368" i="12"/>
  <c r="CA109" i="12"/>
  <c r="CB86" i="12"/>
  <c r="CB177" i="12"/>
  <c r="BZ344" i="12"/>
  <c r="CC344" i="12" s="1"/>
  <c r="CB330" i="12"/>
  <c r="BZ374" i="12"/>
  <c r="CC374" i="12" s="1"/>
  <c r="CA361" i="12"/>
  <c r="CA159" i="12"/>
  <c r="CA51" i="12"/>
  <c r="BZ361" i="12"/>
  <c r="CC361" i="12" s="1"/>
  <c r="CB210" i="12"/>
  <c r="CB64" i="12"/>
  <c r="CB57" i="12"/>
  <c r="CB335" i="12"/>
  <c r="CA218" i="12"/>
  <c r="CB136" i="12"/>
  <c r="CA153" i="12"/>
  <c r="CB364" i="12"/>
  <c r="CA186" i="12"/>
  <c r="CA232" i="12"/>
  <c r="CB393" i="12"/>
  <c r="CB78" i="12"/>
  <c r="CB98" i="12"/>
  <c r="CA148" i="12"/>
  <c r="CA398" i="12"/>
  <c r="BZ135" i="12"/>
  <c r="CA217" i="12"/>
  <c r="BZ222" i="12"/>
  <c r="CA349" i="12"/>
  <c r="CB389" i="12"/>
  <c r="CB52" i="12"/>
  <c r="CB377" i="12"/>
  <c r="CA271" i="12"/>
  <c r="CB171" i="12"/>
  <c r="CA277" i="12"/>
  <c r="BZ348" i="12"/>
  <c r="CC348" i="12" s="1"/>
  <c r="BZ165" i="12"/>
  <c r="CA396" i="12"/>
  <c r="BZ257" i="12"/>
  <c r="CA43" i="12"/>
  <c r="BZ287" i="12"/>
  <c r="CC287" i="12" s="1"/>
  <c r="BZ259" i="12"/>
  <c r="BZ313" i="12"/>
  <c r="CC313" i="12" s="1"/>
  <c r="CB160" i="12"/>
  <c r="BZ334" i="12"/>
  <c r="CC334" i="12" s="1"/>
  <c r="BZ106" i="12"/>
  <c r="CB178" i="12"/>
  <c r="BZ130" i="12"/>
  <c r="CB47" i="12"/>
  <c r="CA166" i="12"/>
  <c r="CB264" i="12"/>
  <c r="CA137" i="12"/>
  <c r="CB211" i="12"/>
  <c r="BZ243" i="12"/>
  <c r="CB190" i="12"/>
  <c r="CA288" i="12"/>
  <c r="BZ299" i="12"/>
  <c r="CC299" i="12" s="1"/>
  <c r="CA95" i="12"/>
  <c r="BZ373" i="12"/>
  <c r="CC373" i="12" s="1"/>
  <c r="BZ289" i="12"/>
  <c r="CC289" i="12" s="1"/>
  <c r="CA75" i="12"/>
  <c r="CA192" i="12"/>
  <c r="CB310" i="12"/>
  <c r="BZ117" i="12"/>
  <c r="CA289" i="12"/>
  <c r="CB40" i="12"/>
  <c r="CA54" i="12"/>
  <c r="BZ269" i="12"/>
  <c r="CB365" i="12"/>
  <c r="CB118" i="12"/>
  <c r="CB53" i="12"/>
  <c r="CA215" i="12"/>
  <c r="CA177" i="12"/>
  <c r="CA290" i="12"/>
  <c r="CA252" i="12"/>
  <c r="CB203" i="12"/>
  <c r="CA244" i="12"/>
  <c r="CA202" i="12"/>
  <c r="CB70" i="12"/>
  <c r="BZ137" i="12"/>
  <c r="CB346" i="12"/>
  <c r="CA40" i="12"/>
  <c r="BZ154" i="12"/>
  <c r="CB29" i="12"/>
  <c r="CB132" i="12"/>
  <c r="BZ241" i="12"/>
  <c r="CB103" i="12"/>
  <c r="CB351" i="12"/>
  <c r="BZ189" i="12"/>
  <c r="CB220" i="12"/>
  <c r="CB55" i="12"/>
  <c r="BZ224" i="12"/>
  <c r="CB84" i="12"/>
  <c r="CB101" i="12"/>
  <c r="CA53" i="12"/>
  <c r="CA295" i="12"/>
  <c r="CA199" i="12"/>
  <c r="BZ40" i="12"/>
  <c r="BZ65" i="12"/>
  <c r="CB49" i="12"/>
  <c r="CA105" i="12"/>
  <c r="BZ234" i="12"/>
  <c r="CA373" i="12"/>
  <c r="CA274" i="12"/>
  <c r="CB300" i="12"/>
  <c r="CA138" i="12"/>
  <c r="CA41" i="12"/>
  <c r="BZ185" i="12"/>
  <c r="BZ256" i="12"/>
  <c r="BZ80" i="12"/>
  <c r="CB240" i="12"/>
  <c r="BZ252" i="12"/>
  <c r="BZ220" i="12"/>
  <c r="CB304" i="12"/>
  <c r="BZ41" i="12"/>
  <c r="BZ99" i="12"/>
  <c r="CA29" i="12"/>
  <c r="BZ29" i="12"/>
  <c r="BZ168" i="12"/>
  <c r="CA31" i="12"/>
  <c r="BZ31" i="12"/>
  <c r="BZ30" i="12"/>
  <c r="CB35" i="12"/>
  <c r="CA30" i="12"/>
  <c r="CB30" i="12"/>
  <c r="BZ33" i="12"/>
  <c r="BZ35" i="12"/>
  <c r="BZ32" i="12"/>
  <c r="BZ34" i="12"/>
  <c r="CB31" i="12"/>
  <c r="BZ37" i="12"/>
  <c r="CA33" i="12"/>
  <c r="CA38" i="12"/>
  <c r="CA34" i="12"/>
  <c r="CA35" i="12"/>
  <c r="CB36" i="12"/>
  <c r="CA36" i="12"/>
  <c r="CB32" i="12"/>
  <c r="CB38" i="12"/>
  <c r="CA32" i="12"/>
  <c r="CB39" i="12"/>
  <c r="CA37" i="12"/>
  <c r="BZ36" i="12"/>
  <c r="CB33" i="12"/>
  <c r="CA39" i="12"/>
  <c r="BZ38" i="12"/>
  <c r="CB37" i="12"/>
  <c r="CB34" i="12"/>
  <c r="BZ39" i="12"/>
  <c r="BZ349" i="12"/>
  <c r="CC349" i="12" s="1"/>
  <c r="BZ147" i="12"/>
  <c r="BZ218" i="12"/>
  <c r="CB274" i="12"/>
  <c r="CB219" i="12"/>
  <c r="CA294" i="12"/>
  <c r="CA315" i="12"/>
  <c r="CB156" i="12"/>
  <c r="CB315" i="12"/>
  <c r="CB68" i="12"/>
  <c r="CA326" i="12"/>
  <c r="BZ108" i="12"/>
  <c r="CA318" i="12"/>
  <c r="BZ385" i="12"/>
  <c r="CC385" i="12" s="1"/>
  <c r="CB41" i="12"/>
  <c r="BZ64" i="12"/>
  <c r="CA222" i="12"/>
  <c r="CA355" i="12"/>
  <c r="CB230" i="12"/>
  <c r="CB216" i="12"/>
  <c r="CA49" i="12"/>
  <c r="CB352" i="12"/>
  <c r="CB370" i="12"/>
  <c r="CA306" i="12"/>
  <c r="CB122" i="12"/>
  <c r="CA104" i="12"/>
  <c r="CA44" i="12"/>
  <c r="CA167" i="12"/>
  <c r="BZ71" i="12"/>
  <c r="CB333" i="12"/>
  <c r="CB85" i="12"/>
  <c r="CZ1315" i="12"/>
  <c r="DF39" i="12" l="1"/>
  <c r="DF26" i="12"/>
  <c r="DF52" i="12"/>
  <c r="DB1315" i="12"/>
  <c r="DF1315" i="12" s="1"/>
  <c r="DE1315" i="12"/>
  <c r="DA1315" i="12"/>
  <c r="DC1315" i="12"/>
  <c r="DD1315" i="12"/>
  <c r="DF13" i="12"/>
  <c r="DF66" i="12"/>
  <c r="DF65" i="12"/>
  <c r="CC269" i="12"/>
  <c r="C276" i="11"/>
  <c r="B276" i="11" s="1"/>
  <c r="CC272" i="12"/>
  <c r="C279" i="11"/>
  <c r="B279" i="11" s="1"/>
  <c r="CC267" i="12"/>
  <c r="C274" i="11"/>
  <c r="B274" i="11" s="1"/>
  <c r="CC268" i="12"/>
  <c r="C275" i="11"/>
  <c r="B275" i="11" s="1"/>
  <c r="CC270" i="12"/>
  <c r="C277" i="11"/>
  <c r="B277" i="11" s="1"/>
  <c r="CC273" i="12"/>
  <c r="C280" i="11"/>
  <c r="B280" i="11" s="1"/>
  <c r="CC271" i="12"/>
  <c r="C278" i="11"/>
  <c r="B278" i="11" s="1"/>
  <c r="G273" i="11"/>
  <c r="F273" i="11"/>
  <c r="E273" i="11"/>
  <c r="D273" i="11"/>
  <c r="C10" i="11"/>
  <c r="B10" i="11" s="1"/>
  <c r="FE44" i="12"/>
  <c r="FE45" i="12" s="1"/>
  <c r="FB283" i="12"/>
  <c r="FC283" i="12" s="1"/>
  <c r="FD283" i="12" s="1"/>
  <c r="FA284" i="12"/>
  <c r="FB46" i="12"/>
  <c r="CC33" i="12"/>
  <c r="C40" i="11"/>
  <c r="CC234" i="12"/>
  <c r="C241" i="11"/>
  <c r="CC40" i="12"/>
  <c r="C47" i="11"/>
  <c r="CC241" i="12"/>
  <c r="C248" i="11"/>
  <c r="CC243" i="12"/>
  <c r="C250" i="11"/>
  <c r="CC106" i="12"/>
  <c r="C113" i="11"/>
  <c r="CC259" i="12"/>
  <c r="C266" i="11"/>
  <c r="CC135" i="12"/>
  <c r="C142" i="11"/>
  <c r="CC139" i="12"/>
  <c r="C146" i="11"/>
  <c r="CC221" i="12"/>
  <c r="C228" i="11"/>
  <c r="CC262" i="12"/>
  <c r="C269" i="11"/>
  <c r="CC101" i="12"/>
  <c r="C108" i="11"/>
  <c r="CC186" i="12"/>
  <c r="C193" i="11"/>
  <c r="CC212" i="12"/>
  <c r="C219" i="11"/>
  <c r="CC144" i="12"/>
  <c r="C151" i="11"/>
  <c r="CC52" i="12"/>
  <c r="C59" i="11"/>
  <c r="CC204" i="12"/>
  <c r="C211" i="11"/>
  <c r="CC206" i="12"/>
  <c r="C213" i="11"/>
  <c r="CC85" i="12"/>
  <c r="C92" i="11"/>
  <c r="CC95" i="12"/>
  <c r="C102" i="11"/>
  <c r="CC133" i="12"/>
  <c r="C140" i="11"/>
  <c r="CC146" i="12"/>
  <c r="C153" i="11"/>
  <c r="CC203" i="12"/>
  <c r="C210" i="11"/>
  <c r="CC196" i="12"/>
  <c r="C203" i="11"/>
  <c r="CC261" i="12"/>
  <c r="C268" i="11"/>
  <c r="CC91" i="12"/>
  <c r="C98" i="11"/>
  <c r="CC75" i="12"/>
  <c r="C82" i="11"/>
  <c r="CC198" i="12"/>
  <c r="C205" i="11"/>
  <c r="CC73" i="12"/>
  <c r="C80" i="11"/>
  <c r="CC51" i="12"/>
  <c r="C58" i="11"/>
  <c r="CC140" i="12"/>
  <c r="C147" i="11"/>
  <c r="CC265" i="12"/>
  <c r="C272" i="11"/>
  <c r="CC116" i="12"/>
  <c r="C123" i="11"/>
  <c r="CC228" i="12"/>
  <c r="C235" i="11"/>
  <c r="CC115" i="12"/>
  <c r="C122" i="11"/>
  <c r="CC197" i="12"/>
  <c r="C204" i="11"/>
  <c r="CC219" i="12"/>
  <c r="C226" i="11"/>
  <c r="CC235" i="12"/>
  <c r="C242" i="11"/>
  <c r="CC172" i="12"/>
  <c r="C179" i="11"/>
  <c r="CC12" i="12"/>
  <c r="C19" i="11"/>
  <c r="CC21" i="12"/>
  <c r="C28" i="11"/>
  <c r="CC5" i="12"/>
  <c r="C12" i="11"/>
  <c r="CC11" i="12"/>
  <c r="C18" i="11"/>
  <c r="CC8" i="12"/>
  <c r="C15" i="11"/>
  <c r="CC124" i="12"/>
  <c r="C131" i="11"/>
  <c r="CC264" i="12"/>
  <c r="C271" i="11"/>
  <c r="CC132" i="12"/>
  <c r="C139" i="11"/>
  <c r="CC254" i="12"/>
  <c r="C261" i="11"/>
  <c r="CC202" i="12"/>
  <c r="C209" i="11"/>
  <c r="CC143" i="12"/>
  <c r="C150" i="11"/>
  <c r="CC150" i="12"/>
  <c r="C157" i="11"/>
  <c r="CC238" i="12"/>
  <c r="C245" i="11"/>
  <c r="CC200" i="12"/>
  <c r="C207" i="11"/>
  <c r="CC250" i="12"/>
  <c r="C257" i="11"/>
  <c r="CC246" i="12"/>
  <c r="C253" i="11"/>
  <c r="CC210" i="12"/>
  <c r="C217" i="11"/>
  <c r="CC170" i="12"/>
  <c r="C177" i="11"/>
  <c r="CC71" i="12"/>
  <c r="C78" i="11"/>
  <c r="CC147" i="12"/>
  <c r="C154" i="11"/>
  <c r="CC36" i="12"/>
  <c r="C43" i="11"/>
  <c r="CC37" i="12"/>
  <c r="C44" i="11"/>
  <c r="CC35" i="12"/>
  <c r="C42" i="11"/>
  <c r="CC41" i="12"/>
  <c r="C48" i="11"/>
  <c r="CC65" i="12"/>
  <c r="C72" i="11"/>
  <c r="CC154" i="12"/>
  <c r="C161" i="11"/>
  <c r="CC257" i="12"/>
  <c r="C264" i="11"/>
  <c r="CC251" i="12"/>
  <c r="C258" i="11"/>
  <c r="CC208" i="12"/>
  <c r="C215" i="11"/>
  <c r="CC191" i="12"/>
  <c r="C198" i="11"/>
  <c r="CC43" i="12"/>
  <c r="C50" i="11"/>
  <c r="CC90" i="12"/>
  <c r="C97" i="11"/>
  <c r="CC161" i="12"/>
  <c r="C168" i="11"/>
  <c r="CC44" i="12"/>
  <c r="C51" i="11"/>
  <c r="CC59" i="12"/>
  <c r="C66" i="11"/>
  <c r="CC249" i="12"/>
  <c r="C256" i="11"/>
  <c r="CC88" i="12"/>
  <c r="C95" i="11"/>
  <c r="CC76" i="12"/>
  <c r="C83" i="11"/>
  <c r="CC92" i="12"/>
  <c r="C99" i="11"/>
  <c r="CC260" i="12"/>
  <c r="C267" i="11"/>
  <c r="CC93" i="12"/>
  <c r="C100" i="11"/>
  <c r="CC181" i="12"/>
  <c r="C188" i="11"/>
  <c r="CC109" i="12"/>
  <c r="C116" i="11"/>
  <c r="CC114" i="12"/>
  <c r="C121" i="11"/>
  <c r="CC89" i="12"/>
  <c r="C96" i="11"/>
  <c r="CC87" i="12"/>
  <c r="C94" i="11"/>
  <c r="CC102" i="12"/>
  <c r="C109" i="11"/>
  <c r="CC255" i="12"/>
  <c r="C262" i="11"/>
  <c r="CC266" i="12"/>
  <c r="CC79" i="12"/>
  <c r="C86" i="11"/>
  <c r="CC82" i="12"/>
  <c r="C89" i="11"/>
  <c r="CC123" i="12"/>
  <c r="C130" i="11"/>
  <c r="CC225" i="12"/>
  <c r="C232" i="11"/>
  <c r="CC184" i="12"/>
  <c r="C191" i="11"/>
  <c r="CC180" i="12"/>
  <c r="C187" i="11"/>
  <c r="CC104" i="12"/>
  <c r="C111" i="11"/>
  <c r="CC86" i="12"/>
  <c r="C93" i="11"/>
  <c r="CC105" i="12"/>
  <c r="C112" i="11"/>
  <c r="CC141" i="12"/>
  <c r="C148" i="11"/>
  <c r="CC23" i="12"/>
  <c r="C30" i="11"/>
  <c r="CC22" i="12"/>
  <c r="C29" i="11"/>
  <c r="CC19" i="12"/>
  <c r="C26" i="11"/>
  <c r="CC18" i="12"/>
  <c r="C25" i="11"/>
  <c r="CC10" i="12"/>
  <c r="C17" i="11"/>
  <c r="CC4" i="12"/>
  <c r="C11" i="11"/>
  <c r="CC96" i="12"/>
  <c r="C103" i="11"/>
  <c r="CC145" i="12"/>
  <c r="C152" i="11"/>
  <c r="CC227" i="12"/>
  <c r="C234" i="11"/>
  <c r="CC187" i="12"/>
  <c r="C194" i="11"/>
  <c r="CC112" i="12"/>
  <c r="C119" i="11"/>
  <c r="CC201" i="12"/>
  <c r="C208" i="11"/>
  <c r="CC205" i="12"/>
  <c r="C212" i="11"/>
  <c r="CC50" i="12"/>
  <c r="C57" i="11"/>
  <c r="CC46" i="12"/>
  <c r="C53" i="11"/>
  <c r="CC157" i="12"/>
  <c r="C164" i="11"/>
  <c r="CC83" i="12"/>
  <c r="C90" i="11"/>
  <c r="CC173" i="12"/>
  <c r="C180" i="11"/>
  <c r="CC211" i="12"/>
  <c r="C218" i="11"/>
  <c r="CC209" i="12"/>
  <c r="C216" i="11"/>
  <c r="CC103" i="12"/>
  <c r="C110" i="11"/>
  <c r="CC49" i="12"/>
  <c r="C56" i="11"/>
  <c r="CC169" i="12"/>
  <c r="C176" i="11"/>
  <c r="CC78" i="12"/>
  <c r="C85" i="11"/>
  <c r="CC38" i="12"/>
  <c r="C45" i="11"/>
  <c r="CC168" i="12"/>
  <c r="C175" i="11"/>
  <c r="CC218" i="12"/>
  <c r="C225" i="11"/>
  <c r="CC32" i="12"/>
  <c r="C39" i="11"/>
  <c r="CC99" i="12"/>
  <c r="C106" i="11"/>
  <c r="CC252" i="12"/>
  <c r="C259" i="11"/>
  <c r="CC185" i="12"/>
  <c r="C192" i="11"/>
  <c r="CC224" i="12"/>
  <c r="C231" i="11"/>
  <c r="CC137" i="12"/>
  <c r="C144" i="11"/>
  <c r="CC117" i="12"/>
  <c r="C124" i="11"/>
  <c r="CC130" i="12"/>
  <c r="C137" i="11"/>
  <c r="CC222" i="12"/>
  <c r="C229" i="11"/>
  <c r="CC151" i="12"/>
  <c r="C158" i="11"/>
  <c r="CC153" i="12"/>
  <c r="C160" i="11"/>
  <c r="CC175" i="12"/>
  <c r="C182" i="11"/>
  <c r="CC94" i="12"/>
  <c r="C101" i="11"/>
  <c r="CC142" i="12"/>
  <c r="C149" i="11"/>
  <c r="CC152" i="12"/>
  <c r="C159" i="11"/>
  <c r="CC136" i="12"/>
  <c r="C143" i="11"/>
  <c r="CC156" i="12"/>
  <c r="C163" i="11"/>
  <c r="CC81" i="12"/>
  <c r="C88" i="11"/>
  <c r="CC58" i="12"/>
  <c r="C65" i="11"/>
  <c r="CC155" i="12"/>
  <c r="C162" i="11"/>
  <c r="CC230" i="12"/>
  <c r="C237" i="11"/>
  <c r="CC213" i="12"/>
  <c r="C220" i="11"/>
  <c r="CC126" i="12"/>
  <c r="C133" i="11"/>
  <c r="CC162" i="12"/>
  <c r="C169" i="11"/>
  <c r="CC77" i="12"/>
  <c r="C84" i="11"/>
  <c r="CC253" i="12"/>
  <c r="C260" i="11"/>
  <c r="CC148" i="12"/>
  <c r="C155" i="11"/>
  <c r="CC111" i="12"/>
  <c r="C118" i="11"/>
  <c r="CC84" i="12"/>
  <c r="C91" i="11"/>
  <c r="CC56" i="12"/>
  <c r="C63" i="11"/>
  <c r="CC179" i="12"/>
  <c r="C186" i="11"/>
  <c r="CC190" i="12"/>
  <c r="C197" i="11"/>
  <c r="CC121" i="12"/>
  <c r="C128" i="11"/>
  <c r="CC236" i="12"/>
  <c r="C243" i="11"/>
  <c r="CC107" i="12"/>
  <c r="C114" i="11"/>
  <c r="CC263" i="12"/>
  <c r="C270" i="11"/>
  <c r="CC42" i="12"/>
  <c r="C49" i="11"/>
  <c r="CC110" i="12"/>
  <c r="C117" i="11"/>
  <c r="CC229" i="12"/>
  <c r="C236" i="11"/>
  <c r="CC129" i="12"/>
  <c r="C136" i="11"/>
  <c r="CC55" i="12"/>
  <c r="C62" i="11"/>
  <c r="CC47" i="12"/>
  <c r="C54" i="11"/>
  <c r="CC245" i="12"/>
  <c r="C252" i="11"/>
  <c r="CC182" i="12"/>
  <c r="C189" i="11"/>
  <c r="CC66" i="12"/>
  <c r="C73" i="11"/>
  <c r="CC69" i="12"/>
  <c r="C76" i="11"/>
  <c r="CC97" i="12"/>
  <c r="C104" i="11"/>
  <c r="CC27" i="12"/>
  <c r="C34" i="11"/>
  <c r="CC24" i="12"/>
  <c r="C31" i="11"/>
  <c r="CC7" i="12"/>
  <c r="C14" i="11"/>
  <c r="CC9" i="12"/>
  <c r="C16" i="11"/>
  <c r="CC16" i="12"/>
  <c r="C23" i="11"/>
  <c r="CC17" i="12"/>
  <c r="C24" i="11"/>
  <c r="CC14" i="12"/>
  <c r="C21" i="11"/>
  <c r="CC176" i="12"/>
  <c r="C183" i="11"/>
  <c r="CC72" i="12"/>
  <c r="C79" i="11"/>
  <c r="CC233" i="12"/>
  <c r="C240" i="11"/>
  <c r="CC158" i="12"/>
  <c r="C165" i="11"/>
  <c r="CC113" i="12"/>
  <c r="C120" i="11"/>
  <c r="CC100" i="12"/>
  <c r="C107" i="11"/>
  <c r="CC216" i="12"/>
  <c r="C223" i="11"/>
  <c r="CC167" i="12"/>
  <c r="C174" i="11"/>
  <c r="CC134" i="12"/>
  <c r="C141" i="11"/>
  <c r="CC131" i="12"/>
  <c r="C138" i="11"/>
  <c r="CC239" i="12"/>
  <c r="C246" i="11"/>
  <c r="CC98" i="12"/>
  <c r="C105" i="11"/>
  <c r="CC53" i="12"/>
  <c r="C60" i="11"/>
  <c r="CC214" i="12"/>
  <c r="C221" i="11"/>
  <c r="CC217" i="12"/>
  <c r="C224" i="11"/>
  <c r="CC128" i="12"/>
  <c r="C135" i="11"/>
  <c r="CC194" i="12"/>
  <c r="C201" i="11"/>
  <c r="CC30" i="12"/>
  <c r="C37" i="11"/>
  <c r="CC29" i="12"/>
  <c r="C36" i="11"/>
  <c r="CC80" i="12"/>
  <c r="C87" i="11"/>
  <c r="CC64" i="12"/>
  <c r="C71" i="11"/>
  <c r="CC108" i="12"/>
  <c r="C115" i="11"/>
  <c r="CC39" i="12"/>
  <c r="C46" i="11"/>
  <c r="CC34" i="12"/>
  <c r="C41" i="11"/>
  <c r="CC31" i="12"/>
  <c r="C38" i="11"/>
  <c r="CC220" i="12"/>
  <c r="C227" i="11"/>
  <c r="CC256" i="12"/>
  <c r="C263" i="11"/>
  <c r="CC189" i="12"/>
  <c r="C196" i="11"/>
  <c r="CC165" i="12"/>
  <c r="C172" i="11"/>
  <c r="CC138" i="12"/>
  <c r="C145" i="11"/>
  <c r="CC28" i="12"/>
  <c r="C35" i="11"/>
  <c r="CC74" i="12"/>
  <c r="C81" i="11"/>
  <c r="CC159" i="12"/>
  <c r="C166" i="11"/>
  <c r="CC188" i="12"/>
  <c r="C195" i="11"/>
  <c r="CC199" i="12"/>
  <c r="C206" i="11"/>
  <c r="CC258" i="12"/>
  <c r="C265" i="11"/>
  <c r="CC226" i="12"/>
  <c r="C233" i="11"/>
  <c r="CC160" i="12"/>
  <c r="C167" i="11"/>
  <c r="CC183" i="12"/>
  <c r="C190" i="11"/>
  <c r="CC171" i="12"/>
  <c r="C178" i="11"/>
  <c r="CC63" i="12"/>
  <c r="C70" i="11"/>
  <c r="CC195" i="12"/>
  <c r="C202" i="11"/>
  <c r="CC240" i="12"/>
  <c r="C247" i="11"/>
  <c r="CC127" i="12"/>
  <c r="C134" i="11"/>
  <c r="CC54" i="12"/>
  <c r="C61" i="11"/>
  <c r="CC48" i="12"/>
  <c r="C55" i="11"/>
  <c r="CC192" i="12"/>
  <c r="C199" i="11"/>
  <c r="CC67" i="12"/>
  <c r="C74" i="11"/>
  <c r="CC231" i="12"/>
  <c r="C238" i="11"/>
  <c r="CC70" i="12"/>
  <c r="C77" i="11"/>
  <c r="CC57" i="12"/>
  <c r="C64" i="11"/>
  <c r="CC149" i="12"/>
  <c r="C156" i="11"/>
  <c r="CC118" i="12"/>
  <c r="C125" i="11"/>
  <c r="CC193" i="12"/>
  <c r="C200" i="11"/>
  <c r="CC215" i="12"/>
  <c r="C222" i="11"/>
  <c r="CC223" i="12"/>
  <c r="C230" i="11"/>
  <c r="CC45" i="12"/>
  <c r="C52" i="11"/>
  <c r="CC61" i="12"/>
  <c r="C68" i="11"/>
  <c r="CC163" i="12"/>
  <c r="C170" i="11"/>
  <c r="CC177" i="12"/>
  <c r="C184" i="11"/>
  <c r="CC174" i="12"/>
  <c r="C181" i="11"/>
  <c r="CC244" i="12"/>
  <c r="C251" i="11"/>
  <c r="CC26" i="12"/>
  <c r="C33" i="11"/>
  <c r="CC25" i="12"/>
  <c r="C32" i="11"/>
  <c r="CC15" i="12"/>
  <c r="C22" i="11"/>
  <c r="CC20" i="12"/>
  <c r="C27" i="11"/>
  <c r="CC13" i="12"/>
  <c r="C20" i="11"/>
  <c r="CC6" i="12"/>
  <c r="C13" i="11"/>
  <c r="CC207" i="12"/>
  <c r="C214" i="11"/>
  <c r="CC119" i="12"/>
  <c r="C126" i="11"/>
  <c r="CC120" i="12"/>
  <c r="C127" i="11"/>
  <c r="CC164" i="12"/>
  <c r="C171" i="11"/>
  <c r="CC242" i="12"/>
  <c r="C249" i="11"/>
  <c r="CC122" i="12"/>
  <c r="C129" i="11"/>
  <c r="CC248" i="12"/>
  <c r="C255" i="11"/>
  <c r="CC125" i="12"/>
  <c r="C132" i="11"/>
  <c r="CC232" i="12"/>
  <c r="C239" i="11"/>
  <c r="CC178" i="12"/>
  <c r="C185" i="11"/>
  <c r="CC62" i="12"/>
  <c r="C69" i="11"/>
  <c r="CC68" i="12"/>
  <c r="C75" i="11"/>
  <c r="CC166" i="12"/>
  <c r="C173" i="11"/>
  <c r="CC60" i="12"/>
  <c r="C67" i="11"/>
  <c r="CC247" i="12"/>
  <c r="C254" i="11"/>
  <c r="CC237" i="12"/>
  <c r="C244" i="11"/>
  <c r="CC3" i="12"/>
  <c r="CZ1316" i="12"/>
  <c r="DC1316" i="12" l="1"/>
  <c r="DE1316" i="12"/>
  <c r="DA1316" i="12"/>
  <c r="DB1316" i="12"/>
  <c r="DF1316" i="12" s="1"/>
  <c r="DD1316" i="12"/>
  <c r="F276" i="11"/>
  <c r="D276" i="11"/>
  <c r="D274" i="11"/>
  <c r="G276" i="11"/>
  <c r="E276" i="11"/>
  <c r="F279" i="11"/>
  <c r="G24" i="11"/>
  <c r="H24" i="11"/>
  <c r="G16" i="11"/>
  <c r="H16" i="11"/>
  <c r="G31" i="11"/>
  <c r="H31" i="11"/>
  <c r="G11" i="11"/>
  <c r="H11" i="11"/>
  <c r="G25" i="11"/>
  <c r="H25" i="11"/>
  <c r="G29" i="11"/>
  <c r="H29" i="11"/>
  <c r="G10" i="11"/>
  <c r="H10" i="11"/>
  <c r="G20" i="11"/>
  <c r="H20" i="11"/>
  <c r="G22" i="11"/>
  <c r="H22" i="11"/>
  <c r="G15" i="11"/>
  <c r="H15" i="11"/>
  <c r="G12" i="11"/>
  <c r="H12" i="11"/>
  <c r="G19" i="11"/>
  <c r="H19" i="11"/>
  <c r="G17" i="11"/>
  <c r="H17" i="11"/>
  <c r="G26" i="11"/>
  <c r="H26" i="11"/>
  <c r="G30" i="11"/>
  <c r="H30" i="11"/>
  <c r="G21" i="11"/>
  <c r="H21" i="11"/>
  <c r="G23" i="11"/>
  <c r="H23" i="11"/>
  <c r="G14" i="11"/>
  <c r="H14" i="11"/>
  <c r="G13" i="11"/>
  <c r="H13" i="11"/>
  <c r="G27" i="11"/>
  <c r="H27" i="11"/>
  <c r="G32" i="11"/>
  <c r="H32" i="11"/>
  <c r="G18" i="11"/>
  <c r="H18" i="11"/>
  <c r="G28" i="11"/>
  <c r="H28" i="11"/>
  <c r="G104" i="11"/>
  <c r="H104" i="11"/>
  <c r="G252" i="11"/>
  <c r="H252" i="11"/>
  <c r="G236" i="11"/>
  <c r="H236" i="11"/>
  <c r="G114" i="11"/>
  <c r="H114" i="11"/>
  <c r="G186" i="11"/>
  <c r="H186" i="11"/>
  <c r="G84" i="11"/>
  <c r="H84" i="11"/>
  <c r="G65" i="11"/>
  <c r="H65" i="11"/>
  <c r="G101" i="11"/>
  <c r="H101" i="11"/>
  <c r="G229" i="11"/>
  <c r="H229" i="11"/>
  <c r="G259" i="11"/>
  <c r="H259" i="11"/>
  <c r="G85" i="11"/>
  <c r="H85" i="11"/>
  <c r="G180" i="11"/>
  <c r="H180" i="11"/>
  <c r="G57" i="11"/>
  <c r="H57" i="11"/>
  <c r="G187" i="11"/>
  <c r="H187" i="11"/>
  <c r="G89" i="11"/>
  <c r="H89" i="11"/>
  <c r="E274" i="11"/>
  <c r="F278" i="11"/>
  <c r="G73" i="11"/>
  <c r="H73" i="11"/>
  <c r="G62" i="11"/>
  <c r="H62" i="11"/>
  <c r="G49" i="11"/>
  <c r="H49" i="11"/>
  <c r="G128" i="11"/>
  <c r="H128" i="11"/>
  <c r="G91" i="11"/>
  <c r="H91" i="11"/>
  <c r="G155" i="11"/>
  <c r="H155" i="11"/>
  <c r="G133" i="11"/>
  <c r="H133" i="11"/>
  <c r="G237" i="11"/>
  <c r="H237" i="11"/>
  <c r="G163" i="11"/>
  <c r="H163" i="11"/>
  <c r="G159" i="11"/>
  <c r="H159" i="11"/>
  <c r="G160" i="11"/>
  <c r="H160" i="11"/>
  <c r="G124" i="11"/>
  <c r="H124" i="11"/>
  <c r="G231" i="11"/>
  <c r="H231" i="11"/>
  <c r="G39" i="11"/>
  <c r="H39" i="11"/>
  <c r="G175" i="11"/>
  <c r="H175" i="11"/>
  <c r="G56" i="11"/>
  <c r="H56" i="11"/>
  <c r="G216" i="11"/>
  <c r="H216" i="11"/>
  <c r="G164" i="11"/>
  <c r="H164" i="11"/>
  <c r="G208" i="11"/>
  <c r="H208" i="11"/>
  <c r="G194" i="11"/>
  <c r="H194" i="11"/>
  <c r="G152" i="11"/>
  <c r="H152" i="11"/>
  <c r="G148" i="11"/>
  <c r="H148" i="11"/>
  <c r="G93" i="11"/>
  <c r="H93" i="11"/>
  <c r="G232" i="11"/>
  <c r="H232" i="11"/>
  <c r="G254" i="11"/>
  <c r="H254" i="11"/>
  <c r="G173" i="11"/>
  <c r="H173" i="11"/>
  <c r="G69" i="11"/>
  <c r="H69" i="11"/>
  <c r="G239" i="11"/>
  <c r="H239" i="11"/>
  <c r="G255" i="11"/>
  <c r="H255" i="11"/>
  <c r="G249" i="11"/>
  <c r="H249" i="11"/>
  <c r="G127" i="11"/>
  <c r="H127" i="11"/>
  <c r="G214" i="11"/>
  <c r="H214" i="11"/>
  <c r="G33" i="11"/>
  <c r="H33" i="11"/>
  <c r="G181" i="11"/>
  <c r="H181" i="11"/>
  <c r="G170" i="11"/>
  <c r="H170" i="11"/>
  <c r="G52" i="11"/>
  <c r="H52" i="11"/>
  <c r="G222" i="11"/>
  <c r="H222" i="11"/>
  <c r="G125" i="11"/>
  <c r="H125" i="11"/>
  <c r="G64" i="11"/>
  <c r="H64" i="11"/>
  <c r="G238" i="11"/>
  <c r="H238" i="11"/>
  <c r="G199" i="11"/>
  <c r="H199" i="11"/>
  <c r="G61" i="11"/>
  <c r="H61" i="11"/>
  <c r="G247" i="11"/>
  <c r="H247" i="11"/>
  <c r="G70" i="11"/>
  <c r="H70" i="11"/>
  <c r="G190" i="11"/>
  <c r="H190" i="11"/>
  <c r="G233" i="11"/>
  <c r="H233" i="11"/>
  <c r="G206" i="11"/>
  <c r="H206" i="11"/>
  <c r="G166" i="11"/>
  <c r="H166" i="11"/>
  <c r="G35" i="11"/>
  <c r="H35" i="11"/>
  <c r="G172" i="11"/>
  <c r="H172" i="11"/>
  <c r="G263" i="11"/>
  <c r="H263" i="11"/>
  <c r="G38" i="11"/>
  <c r="H38" i="11"/>
  <c r="G46" i="11"/>
  <c r="H46" i="11"/>
  <c r="G71" i="11"/>
  <c r="H71" i="11"/>
  <c r="G36" i="11"/>
  <c r="H36" i="11"/>
  <c r="G201" i="11"/>
  <c r="H201" i="11"/>
  <c r="G224" i="11"/>
  <c r="H224" i="11"/>
  <c r="G60" i="11"/>
  <c r="H60" i="11"/>
  <c r="G246" i="11"/>
  <c r="H246" i="11"/>
  <c r="G141" i="11"/>
  <c r="H141" i="11"/>
  <c r="G223" i="11"/>
  <c r="H223" i="11"/>
  <c r="G120" i="11"/>
  <c r="H120" i="11"/>
  <c r="G240" i="11"/>
  <c r="H240" i="11"/>
  <c r="G183" i="11"/>
  <c r="H183" i="11"/>
  <c r="G109" i="11"/>
  <c r="H109" i="11"/>
  <c r="G96" i="11"/>
  <c r="H96" i="11"/>
  <c r="G116" i="11"/>
  <c r="H116" i="11"/>
  <c r="G100" i="11"/>
  <c r="H100" i="11"/>
  <c r="G99" i="11"/>
  <c r="H99" i="11"/>
  <c r="G95" i="11"/>
  <c r="H95" i="11"/>
  <c r="G66" i="11"/>
  <c r="H66" i="11"/>
  <c r="G168" i="11"/>
  <c r="H168" i="11"/>
  <c r="G50" i="11"/>
  <c r="H50" i="11"/>
  <c r="G215" i="11"/>
  <c r="H215" i="11"/>
  <c r="G264" i="11"/>
  <c r="H264" i="11"/>
  <c r="G72" i="11"/>
  <c r="H72" i="11"/>
  <c r="G42" i="11"/>
  <c r="H42" i="11"/>
  <c r="G43" i="11"/>
  <c r="H43" i="11"/>
  <c r="G78" i="11"/>
  <c r="H78" i="11"/>
  <c r="G217" i="11"/>
  <c r="H217" i="11"/>
  <c r="G257" i="11"/>
  <c r="H257" i="11"/>
  <c r="G245" i="11"/>
  <c r="H245" i="11"/>
  <c r="G150" i="11"/>
  <c r="H150" i="11"/>
  <c r="G261" i="11"/>
  <c r="H261" i="11"/>
  <c r="G271" i="11"/>
  <c r="H271" i="11"/>
  <c r="G242" i="11"/>
  <c r="H242" i="11"/>
  <c r="G204" i="11"/>
  <c r="H204" i="11"/>
  <c r="G235" i="11"/>
  <c r="H235" i="11"/>
  <c r="G272" i="11"/>
  <c r="H272" i="11"/>
  <c r="G58" i="11"/>
  <c r="H58" i="11"/>
  <c r="G205" i="11"/>
  <c r="H205" i="11"/>
  <c r="G98" i="11"/>
  <c r="H98" i="11"/>
  <c r="G203" i="11"/>
  <c r="H203" i="11"/>
  <c r="G153" i="11"/>
  <c r="H153" i="11"/>
  <c r="G102" i="11"/>
  <c r="H102" i="11"/>
  <c r="G213" i="11"/>
  <c r="H213" i="11"/>
  <c r="G59" i="11"/>
  <c r="H59" i="11"/>
  <c r="G219" i="11"/>
  <c r="H219" i="11"/>
  <c r="G108" i="11"/>
  <c r="H108" i="11"/>
  <c r="G228" i="11"/>
  <c r="H228" i="11"/>
  <c r="G142" i="11"/>
  <c r="H142" i="11"/>
  <c r="G113" i="11"/>
  <c r="H113" i="11"/>
  <c r="G248" i="11"/>
  <c r="H248" i="11"/>
  <c r="G241" i="11"/>
  <c r="H241" i="11"/>
  <c r="G34" i="11"/>
  <c r="H34" i="11"/>
  <c r="G76" i="11"/>
  <c r="H76" i="11"/>
  <c r="G189" i="11"/>
  <c r="H189" i="11"/>
  <c r="G54" i="11"/>
  <c r="H54" i="11"/>
  <c r="G136" i="11"/>
  <c r="H136" i="11"/>
  <c r="G117" i="11"/>
  <c r="H117" i="11"/>
  <c r="G270" i="11"/>
  <c r="H270" i="11"/>
  <c r="G243" i="11"/>
  <c r="H243" i="11"/>
  <c r="G197" i="11"/>
  <c r="H197" i="11"/>
  <c r="G63" i="11"/>
  <c r="H63" i="11"/>
  <c r="G118" i="11"/>
  <c r="H118" i="11"/>
  <c r="G260" i="11"/>
  <c r="H260" i="11"/>
  <c r="G169" i="11"/>
  <c r="H169" i="11"/>
  <c r="G220" i="11"/>
  <c r="H220" i="11"/>
  <c r="G162" i="11"/>
  <c r="H162" i="11"/>
  <c r="G88" i="11"/>
  <c r="H88" i="11"/>
  <c r="G143" i="11"/>
  <c r="H143" i="11"/>
  <c r="G149" i="11"/>
  <c r="H149" i="11"/>
  <c r="G182" i="11"/>
  <c r="H182" i="11"/>
  <c r="G158" i="11"/>
  <c r="H158" i="11"/>
  <c r="G137" i="11"/>
  <c r="H137" i="11"/>
  <c r="G144" i="11"/>
  <c r="H144" i="11"/>
  <c r="G192" i="11"/>
  <c r="H192" i="11"/>
  <c r="G106" i="11"/>
  <c r="H106" i="11"/>
  <c r="G225" i="11"/>
  <c r="H225" i="11"/>
  <c r="G45" i="11"/>
  <c r="H45" i="11"/>
  <c r="G176" i="11"/>
  <c r="H176" i="11"/>
  <c r="G110" i="11"/>
  <c r="H110" i="11"/>
  <c r="G218" i="11"/>
  <c r="H218" i="11"/>
  <c r="G90" i="11"/>
  <c r="H90" i="11"/>
  <c r="G53" i="11"/>
  <c r="H53" i="11"/>
  <c r="G212" i="11"/>
  <c r="H212" i="11"/>
  <c r="G119" i="11"/>
  <c r="H119" i="11"/>
  <c r="G234" i="11"/>
  <c r="H234" i="11"/>
  <c r="G103" i="11"/>
  <c r="H103" i="11"/>
  <c r="G112" i="11"/>
  <c r="H112" i="11"/>
  <c r="G111" i="11"/>
  <c r="H111" i="11"/>
  <c r="G191" i="11"/>
  <c r="H191" i="11"/>
  <c r="G130" i="11"/>
  <c r="H130" i="11"/>
  <c r="G86" i="11"/>
  <c r="H86" i="11"/>
  <c r="G244" i="11"/>
  <c r="H244" i="11"/>
  <c r="G67" i="11"/>
  <c r="H67" i="11"/>
  <c r="G75" i="11"/>
  <c r="H75" i="11"/>
  <c r="G185" i="11"/>
  <c r="H185" i="11"/>
  <c r="G132" i="11"/>
  <c r="H132" i="11"/>
  <c r="G129" i="11"/>
  <c r="H129" i="11"/>
  <c r="G171" i="11"/>
  <c r="H171" i="11"/>
  <c r="G126" i="11"/>
  <c r="H126" i="11"/>
  <c r="G251" i="11"/>
  <c r="H251" i="11"/>
  <c r="G184" i="11"/>
  <c r="H184" i="11"/>
  <c r="G68" i="11"/>
  <c r="H68" i="11"/>
  <c r="G230" i="11"/>
  <c r="H230" i="11"/>
  <c r="G200" i="11"/>
  <c r="H200" i="11"/>
  <c r="G156" i="11"/>
  <c r="H156" i="11"/>
  <c r="G77" i="11"/>
  <c r="H77" i="11"/>
  <c r="G74" i="11"/>
  <c r="H74" i="11"/>
  <c r="G55" i="11"/>
  <c r="H55" i="11"/>
  <c r="G134" i="11"/>
  <c r="H134" i="11"/>
  <c r="G202" i="11"/>
  <c r="H202" i="11"/>
  <c r="G178" i="11"/>
  <c r="H178" i="11"/>
  <c r="G167" i="11"/>
  <c r="H167" i="11"/>
  <c r="G265" i="11"/>
  <c r="H265" i="11"/>
  <c r="G195" i="11"/>
  <c r="H195" i="11"/>
  <c r="G81" i="11"/>
  <c r="H81" i="11"/>
  <c r="G145" i="11"/>
  <c r="H145" i="11"/>
  <c r="G196" i="11"/>
  <c r="H196" i="11"/>
  <c r="G227" i="11"/>
  <c r="H227" i="11"/>
  <c r="G41" i="11"/>
  <c r="H41" i="11"/>
  <c r="G115" i="11"/>
  <c r="H115" i="11"/>
  <c r="G87" i="11"/>
  <c r="H87" i="11"/>
  <c r="G37" i="11"/>
  <c r="H37" i="11"/>
  <c r="G135" i="11"/>
  <c r="H135" i="11"/>
  <c r="G221" i="11"/>
  <c r="H221" i="11"/>
  <c r="G105" i="11"/>
  <c r="H105" i="11"/>
  <c r="G138" i="11"/>
  <c r="H138" i="11"/>
  <c r="G174" i="11"/>
  <c r="H174" i="11"/>
  <c r="G107" i="11"/>
  <c r="H107" i="11"/>
  <c r="G165" i="11"/>
  <c r="H165" i="11"/>
  <c r="G79" i="11"/>
  <c r="H79" i="11"/>
  <c r="G262" i="11"/>
  <c r="H262" i="11"/>
  <c r="G94" i="11"/>
  <c r="H94" i="11"/>
  <c r="G121" i="11"/>
  <c r="H121" i="11"/>
  <c r="G188" i="11"/>
  <c r="H188" i="11"/>
  <c r="G267" i="11"/>
  <c r="H267" i="11"/>
  <c r="G83" i="11"/>
  <c r="H83" i="11"/>
  <c r="G256" i="11"/>
  <c r="H256" i="11"/>
  <c r="G51" i="11"/>
  <c r="H51" i="11"/>
  <c r="G97" i="11"/>
  <c r="H97" i="11"/>
  <c r="G198" i="11"/>
  <c r="H198" i="11"/>
  <c r="G258" i="11"/>
  <c r="H258" i="11"/>
  <c r="G161" i="11"/>
  <c r="H161" i="11"/>
  <c r="G48" i="11"/>
  <c r="H48" i="11"/>
  <c r="G44" i="11"/>
  <c r="H44" i="11"/>
  <c r="G154" i="11"/>
  <c r="H154" i="11"/>
  <c r="G177" i="11"/>
  <c r="H177" i="11"/>
  <c r="G253" i="11"/>
  <c r="H253" i="11"/>
  <c r="G207" i="11"/>
  <c r="H207" i="11"/>
  <c r="G157" i="11"/>
  <c r="H157" i="11"/>
  <c r="G209" i="11"/>
  <c r="H209" i="11"/>
  <c r="G139" i="11"/>
  <c r="H139" i="11"/>
  <c r="G131" i="11"/>
  <c r="H131" i="11"/>
  <c r="G179" i="11"/>
  <c r="H179" i="11"/>
  <c r="G226" i="11"/>
  <c r="H226" i="11"/>
  <c r="G122" i="11"/>
  <c r="H122" i="11"/>
  <c r="G123" i="11"/>
  <c r="H123" i="11"/>
  <c r="G147" i="11"/>
  <c r="H147" i="11"/>
  <c r="G80" i="11"/>
  <c r="H80" i="11"/>
  <c r="G82" i="11"/>
  <c r="H82" i="11"/>
  <c r="G268" i="11"/>
  <c r="H268" i="11"/>
  <c r="G210" i="11"/>
  <c r="H210" i="11"/>
  <c r="G140" i="11"/>
  <c r="H140" i="11"/>
  <c r="G92" i="11"/>
  <c r="H92" i="11"/>
  <c r="G211" i="11"/>
  <c r="H211" i="11"/>
  <c r="G151" i="11"/>
  <c r="H151" i="11"/>
  <c r="G193" i="11"/>
  <c r="H193" i="11"/>
  <c r="G269" i="11"/>
  <c r="H269" i="11"/>
  <c r="G146" i="11"/>
  <c r="H146" i="11"/>
  <c r="G266" i="11"/>
  <c r="H266" i="11"/>
  <c r="G250" i="11"/>
  <c r="H250" i="11"/>
  <c r="G47" i="11"/>
  <c r="H47" i="11"/>
  <c r="G40" i="11"/>
  <c r="H40" i="11"/>
  <c r="D277" i="11"/>
  <c r="E277" i="11"/>
  <c r="E278" i="11"/>
  <c r="F277" i="11"/>
  <c r="G274" i="11"/>
  <c r="E280" i="11"/>
  <c r="D278" i="11"/>
  <c r="F274" i="11"/>
  <c r="G277" i="11"/>
  <c r="G278" i="11"/>
  <c r="D279" i="11"/>
  <c r="D275" i="11"/>
  <c r="E279" i="11"/>
  <c r="E275" i="11"/>
  <c r="F275" i="11"/>
  <c r="G275" i="11"/>
  <c r="G279" i="11"/>
  <c r="D280" i="11"/>
  <c r="G280" i="11"/>
  <c r="F280" i="11"/>
  <c r="E244" i="11"/>
  <c r="F244" i="11"/>
  <c r="E67" i="11"/>
  <c r="F67" i="11"/>
  <c r="E75" i="11"/>
  <c r="F75" i="11"/>
  <c r="E185" i="11"/>
  <c r="F185" i="11"/>
  <c r="E132" i="11"/>
  <c r="F132" i="11"/>
  <c r="E129" i="11"/>
  <c r="F129" i="11"/>
  <c r="E171" i="11"/>
  <c r="F171" i="11"/>
  <c r="E126" i="11"/>
  <c r="F126" i="11"/>
  <c r="E13" i="11"/>
  <c r="F13" i="11"/>
  <c r="E27" i="11"/>
  <c r="F27" i="11"/>
  <c r="E32" i="11"/>
  <c r="F32" i="11"/>
  <c r="E251" i="11"/>
  <c r="F251" i="11"/>
  <c r="E184" i="11"/>
  <c r="F184" i="11"/>
  <c r="E68" i="11"/>
  <c r="F68" i="11"/>
  <c r="E230" i="11"/>
  <c r="F230" i="11"/>
  <c r="E200" i="11"/>
  <c r="F200" i="11"/>
  <c r="E156" i="11"/>
  <c r="F156" i="11"/>
  <c r="E77" i="11"/>
  <c r="F77" i="11"/>
  <c r="E74" i="11"/>
  <c r="F74" i="11"/>
  <c r="E55" i="11"/>
  <c r="F55" i="11"/>
  <c r="E134" i="11"/>
  <c r="F134" i="11"/>
  <c r="E202" i="11"/>
  <c r="F202" i="11"/>
  <c r="E178" i="11"/>
  <c r="F178" i="11"/>
  <c r="E167" i="11"/>
  <c r="F167" i="11"/>
  <c r="E265" i="11"/>
  <c r="F265" i="11"/>
  <c r="E195" i="11"/>
  <c r="F195" i="11"/>
  <c r="E81" i="11"/>
  <c r="F81" i="11"/>
  <c r="E145" i="11"/>
  <c r="F145" i="11"/>
  <c r="E196" i="11"/>
  <c r="F196" i="11"/>
  <c r="E227" i="11"/>
  <c r="F227" i="11"/>
  <c r="E41" i="11"/>
  <c r="F41" i="11"/>
  <c r="E115" i="11"/>
  <c r="F115" i="11"/>
  <c r="E87" i="11"/>
  <c r="F87" i="11"/>
  <c r="E37" i="11"/>
  <c r="F37" i="11"/>
  <c r="E135" i="11"/>
  <c r="F135" i="11"/>
  <c r="E221" i="11"/>
  <c r="F221" i="11"/>
  <c r="E105" i="11"/>
  <c r="F105" i="11"/>
  <c r="E138" i="11"/>
  <c r="F138" i="11"/>
  <c r="E174" i="11"/>
  <c r="F174" i="11"/>
  <c r="E107" i="11"/>
  <c r="F107" i="11"/>
  <c r="E165" i="11"/>
  <c r="F165" i="11"/>
  <c r="E79" i="11"/>
  <c r="F79" i="11"/>
  <c r="E24" i="11"/>
  <c r="F24" i="11"/>
  <c r="E16" i="11"/>
  <c r="F16" i="11"/>
  <c r="E31" i="11"/>
  <c r="F31" i="11"/>
  <c r="E104" i="11"/>
  <c r="F104" i="11"/>
  <c r="E73" i="11"/>
  <c r="F73" i="11"/>
  <c r="E252" i="11"/>
  <c r="F252" i="11"/>
  <c r="E62" i="11"/>
  <c r="F62" i="11"/>
  <c r="E236" i="11"/>
  <c r="F236" i="11"/>
  <c r="E49" i="11"/>
  <c r="F49" i="11"/>
  <c r="E114" i="11"/>
  <c r="F114" i="11"/>
  <c r="E128" i="11"/>
  <c r="F128" i="11"/>
  <c r="E186" i="11"/>
  <c r="F186" i="11"/>
  <c r="E91" i="11"/>
  <c r="F91" i="11"/>
  <c r="E155" i="11"/>
  <c r="F155" i="11"/>
  <c r="E84" i="11"/>
  <c r="F84" i="11"/>
  <c r="E133" i="11"/>
  <c r="F133" i="11"/>
  <c r="E237" i="11"/>
  <c r="F237" i="11"/>
  <c r="E65" i="11"/>
  <c r="F65" i="11"/>
  <c r="E163" i="11"/>
  <c r="F163" i="11"/>
  <c r="E159" i="11"/>
  <c r="F159" i="11"/>
  <c r="E101" i="11"/>
  <c r="F101" i="11"/>
  <c r="E160" i="11"/>
  <c r="F160" i="11"/>
  <c r="E229" i="11"/>
  <c r="F229" i="11"/>
  <c r="E124" i="11"/>
  <c r="F124" i="11"/>
  <c r="E231" i="11"/>
  <c r="F231" i="11"/>
  <c r="E259" i="11"/>
  <c r="F259" i="11"/>
  <c r="E39" i="11"/>
  <c r="F39" i="11"/>
  <c r="E175" i="11"/>
  <c r="F175" i="11"/>
  <c r="E85" i="11"/>
  <c r="F85" i="11"/>
  <c r="E56" i="11"/>
  <c r="F56" i="11"/>
  <c r="E216" i="11"/>
  <c r="F216" i="11"/>
  <c r="E180" i="11"/>
  <c r="F180" i="11"/>
  <c r="E164" i="11"/>
  <c r="F164" i="11"/>
  <c r="E57" i="11"/>
  <c r="F57" i="11"/>
  <c r="E208" i="11"/>
  <c r="F208" i="11"/>
  <c r="E194" i="11"/>
  <c r="F194" i="11"/>
  <c r="E152" i="11"/>
  <c r="F152" i="11"/>
  <c r="E11" i="11"/>
  <c r="F11" i="11"/>
  <c r="E25" i="11"/>
  <c r="F25" i="11"/>
  <c r="E29" i="11"/>
  <c r="F29" i="11"/>
  <c r="E148" i="11"/>
  <c r="F148" i="11"/>
  <c r="E93" i="11"/>
  <c r="F93" i="11"/>
  <c r="E187" i="11"/>
  <c r="F187" i="11"/>
  <c r="E232" i="11"/>
  <c r="F232" i="11"/>
  <c r="E89" i="11"/>
  <c r="F89" i="11"/>
  <c r="E109" i="11"/>
  <c r="F109" i="11"/>
  <c r="E96" i="11"/>
  <c r="F96" i="11"/>
  <c r="E116" i="11"/>
  <c r="F116" i="11"/>
  <c r="E100" i="11"/>
  <c r="F100" i="11"/>
  <c r="E99" i="11"/>
  <c r="F99" i="11"/>
  <c r="E95" i="11"/>
  <c r="F95" i="11"/>
  <c r="E66" i="11"/>
  <c r="F66" i="11"/>
  <c r="E168" i="11"/>
  <c r="F168" i="11"/>
  <c r="E50" i="11"/>
  <c r="F50" i="11"/>
  <c r="E215" i="11"/>
  <c r="F215" i="11"/>
  <c r="E264" i="11"/>
  <c r="F264" i="11"/>
  <c r="E72" i="11"/>
  <c r="F72" i="11"/>
  <c r="E42" i="11"/>
  <c r="F42" i="11"/>
  <c r="E43" i="11"/>
  <c r="F43" i="11"/>
  <c r="E78" i="11"/>
  <c r="F78" i="11"/>
  <c r="E217" i="11"/>
  <c r="F217" i="11"/>
  <c r="E257" i="11"/>
  <c r="F257" i="11"/>
  <c r="E245" i="11"/>
  <c r="F245" i="11"/>
  <c r="E150" i="11"/>
  <c r="F150" i="11"/>
  <c r="E261" i="11"/>
  <c r="F261" i="11"/>
  <c r="E271" i="11"/>
  <c r="F271" i="11"/>
  <c r="E15" i="11"/>
  <c r="F15" i="11"/>
  <c r="E12" i="11"/>
  <c r="F12" i="11"/>
  <c r="E19" i="11"/>
  <c r="F19" i="11"/>
  <c r="E242" i="11"/>
  <c r="F242" i="11"/>
  <c r="E204" i="11"/>
  <c r="F204" i="11"/>
  <c r="E235" i="11"/>
  <c r="F235" i="11"/>
  <c r="E272" i="11"/>
  <c r="F272" i="11"/>
  <c r="E58" i="11"/>
  <c r="F58" i="11"/>
  <c r="E205" i="11"/>
  <c r="F205" i="11"/>
  <c r="E98" i="11"/>
  <c r="F98" i="11"/>
  <c r="E203" i="11"/>
  <c r="F203" i="11"/>
  <c r="E153" i="11"/>
  <c r="F153" i="11"/>
  <c r="E102" i="11"/>
  <c r="F102" i="11"/>
  <c r="E213" i="11"/>
  <c r="F213" i="11"/>
  <c r="E59" i="11"/>
  <c r="F59" i="11"/>
  <c r="E219" i="11"/>
  <c r="F219" i="11"/>
  <c r="E108" i="11"/>
  <c r="F108" i="11"/>
  <c r="E228" i="11"/>
  <c r="F228" i="11"/>
  <c r="E142" i="11"/>
  <c r="F142" i="11"/>
  <c r="E113" i="11"/>
  <c r="F113" i="11"/>
  <c r="E248" i="11"/>
  <c r="F248" i="11"/>
  <c r="E241" i="11"/>
  <c r="F241" i="11"/>
  <c r="E254" i="11"/>
  <c r="F254" i="11"/>
  <c r="E173" i="11"/>
  <c r="F173" i="11"/>
  <c r="E69" i="11"/>
  <c r="F69" i="11"/>
  <c r="E239" i="11"/>
  <c r="F239" i="11"/>
  <c r="E255" i="11"/>
  <c r="F255" i="11"/>
  <c r="E249" i="11"/>
  <c r="F249" i="11"/>
  <c r="E127" i="11"/>
  <c r="F127" i="11"/>
  <c r="E214" i="11"/>
  <c r="F214" i="11"/>
  <c r="E20" i="11"/>
  <c r="F20" i="11"/>
  <c r="E22" i="11"/>
  <c r="F22" i="11"/>
  <c r="E33" i="11"/>
  <c r="F33" i="11"/>
  <c r="E181" i="11"/>
  <c r="F181" i="11"/>
  <c r="E170" i="11"/>
  <c r="F170" i="11"/>
  <c r="E52" i="11"/>
  <c r="F52" i="11"/>
  <c r="E222" i="11"/>
  <c r="F222" i="11"/>
  <c r="E125" i="11"/>
  <c r="F125" i="11"/>
  <c r="E64" i="11"/>
  <c r="F64" i="11"/>
  <c r="E238" i="11"/>
  <c r="F238" i="11"/>
  <c r="E199" i="11"/>
  <c r="F199" i="11"/>
  <c r="E61" i="11"/>
  <c r="F61" i="11"/>
  <c r="E247" i="11"/>
  <c r="F247" i="11"/>
  <c r="E70" i="11"/>
  <c r="F70" i="11"/>
  <c r="E190" i="11"/>
  <c r="F190" i="11"/>
  <c r="E233" i="11"/>
  <c r="F233" i="11"/>
  <c r="E206" i="11"/>
  <c r="F206" i="11"/>
  <c r="E166" i="11"/>
  <c r="F166" i="11"/>
  <c r="E35" i="11"/>
  <c r="F35" i="11"/>
  <c r="E172" i="11"/>
  <c r="F172" i="11"/>
  <c r="E263" i="11"/>
  <c r="F263" i="11"/>
  <c r="E38" i="11"/>
  <c r="F38" i="11"/>
  <c r="E46" i="11"/>
  <c r="F46" i="11"/>
  <c r="E71" i="11"/>
  <c r="F71" i="11"/>
  <c r="E36" i="11"/>
  <c r="F36" i="11"/>
  <c r="E201" i="11"/>
  <c r="F201" i="11"/>
  <c r="E224" i="11"/>
  <c r="F224" i="11"/>
  <c r="E60" i="11"/>
  <c r="F60" i="11"/>
  <c r="E246" i="11"/>
  <c r="F246" i="11"/>
  <c r="E141" i="11"/>
  <c r="F141" i="11"/>
  <c r="E223" i="11"/>
  <c r="F223" i="11"/>
  <c r="E120" i="11"/>
  <c r="F120" i="11"/>
  <c r="E240" i="11"/>
  <c r="F240" i="11"/>
  <c r="E183" i="11"/>
  <c r="F183" i="11"/>
  <c r="E21" i="11"/>
  <c r="F21" i="11"/>
  <c r="E23" i="11"/>
  <c r="F23" i="11"/>
  <c r="E14" i="11"/>
  <c r="F14" i="11"/>
  <c r="E34" i="11"/>
  <c r="F34" i="11"/>
  <c r="E76" i="11"/>
  <c r="F76" i="11"/>
  <c r="E189" i="11"/>
  <c r="F189" i="11"/>
  <c r="E54" i="11"/>
  <c r="F54" i="11"/>
  <c r="E136" i="11"/>
  <c r="F136" i="11"/>
  <c r="E117" i="11"/>
  <c r="F117" i="11"/>
  <c r="E270" i="11"/>
  <c r="F270" i="11"/>
  <c r="E243" i="11"/>
  <c r="F243" i="11"/>
  <c r="E197" i="11"/>
  <c r="F197" i="11"/>
  <c r="E63" i="11"/>
  <c r="F63" i="11"/>
  <c r="E118" i="11"/>
  <c r="F118" i="11"/>
  <c r="E260" i="11"/>
  <c r="F260" i="11"/>
  <c r="E169" i="11"/>
  <c r="F169" i="11"/>
  <c r="E220" i="11"/>
  <c r="F220" i="11"/>
  <c r="E162" i="11"/>
  <c r="F162" i="11"/>
  <c r="E88" i="11"/>
  <c r="F88" i="11"/>
  <c r="E143" i="11"/>
  <c r="F143" i="11"/>
  <c r="E149" i="11"/>
  <c r="F149" i="11"/>
  <c r="E182" i="11"/>
  <c r="F182" i="11"/>
  <c r="E158" i="11"/>
  <c r="F158" i="11"/>
  <c r="E137" i="11"/>
  <c r="F137" i="11"/>
  <c r="E144" i="11"/>
  <c r="F144" i="11"/>
  <c r="E192" i="11"/>
  <c r="F192" i="11"/>
  <c r="E106" i="11"/>
  <c r="F106" i="11"/>
  <c r="E225" i="11"/>
  <c r="F225" i="11"/>
  <c r="E45" i="11"/>
  <c r="F45" i="11"/>
  <c r="E176" i="11"/>
  <c r="F176" i="11"/>
  <c r="E110" i="11"/>
  <c r="F110" i="11"/>
  <c r="E218" i="11"/>
  <c r="F218" i="11"/>
  <c r="E90" i="11"/>
  <c r="F90" i="11"/>
  <c r="E53" i="11"/>
  <c r="F53" i="11"/>
  <c r="E212" i="11"/>
  <c r="F212" i="11"/>
  <c r="E119" i="11"/>
  <c r="F119" i="11"/>
  <c r="E234" i="11"/>
  <c r="F234" i="11"/>
  <c r="E103" i="11"/>
  <c r="F103" i="11"/>
  <c r="E17" i="11"/>
  <c r="F17" i="11"/>
  <c r="E26" i="11"/>
  <c r="F26" i="11"/>
  <c r="E30" i="11"/>
  <c r="F30" i="11"/>
  <c r="E112" i="11"/>
  <c r="F112" i="11"/>
  <c r="E111" i="11"/>
  <c r="F111" i="11"/>
  <c r="E191" i="11"/>
  <c r="F191" i="11"/>
  <c r="E130" i="11"/>
  <c r="F130" i="11"/>
  <c r="E86" i="11"/>
  <c r="F86" i="11"/>
  <c r="E262" i="11"/>
  <c r="F262" i="11"/>
  <c r="E94" i="11"/>
  <c r="F94" i="11"/>
  <c r="E121" i="11"/>
  <c r="F121" i="11"/>
  <c r="E188" i="11"/>
  <c r="F188" i="11"/>
  <c r="E267" i="11"/>
  <c r="F267" i="11"/>
  <c r="E83" i="11"/>
  <c r="F83" i="11"/>
  <c r="E256" i="11"/>
  <c r="F256" i="11"/>
  <c r="E51" i="11"/>
  <c r="F51" i="11"/>
  <c r="E97" i="11"/>
  <c r="F97" i="11"/>
  <c r="E198" i="11"/>
  <c r="F198" i="11"/>
  <c r="E258" i="11"/>
  <c r="F258" i="11"/>
  <c r="E161" i="11"/>
  <c r="F161" i="11"/>
  <c r="E48" i="11"/>
  <c r="F48" i="11"/>
  <c r="E44" i="11"/>
  <c r="F44" i="11"/>
  <c r="E154" i="11"/>
  <c r="F154" i="11"/>
  <c r="E177" i="11"/>
  <c r="F177" i="11"/>
  <c r="E253" i="11"/>
  <c r="F253" i="11"/>
  <c r="E207" i="11"/>
  <c r="F207" i="11"/>
  <c r="E157" i="11"/>
  <c r="F157" i="11"/>
  <c r="E209" i="11"/>
  <c r="F209" i="11"/>
  <c r="E139" i="11"/>
  <c r="F139" i="11"/>
  <c r="E131" i="11"/>
  <c r="F131" i="11"/>
  <c r="E18" i="11"/>
  <c r="F18" i="11"/>
  <c r="E28" i="11"/>
  <c r="F28" i="11"/>
  <c r="E179" i="11"/>
  <c r="F179" i="11"/>
  <c r="E226" i="11"/>
  <c r="F226" i="11"/>
  <c r="E122" i="11"/>
  <c r="F122" i="11"/>
  <c r="E123" i="11"/>
  <c r="F123" i="11"/>
  <c r="E147" i="11"/>
  <c r="F147" i="11"/>
  <c r="E80" i="11"/>
  <c r="F80" i="11"/>
  <c r="E82" i="11"/>
  <c r="F82" i="11"/>
  <c r="E268" i="11"/>
  <c r="F268" i="11"/>
  <c r="E210" i="11"/>
  <c r="F210" i="11"/>
  <c r="E140" i="11"/>
  <c r="F140" i="11"/>
  <c r="E92" i="11"/>
  <c r="F92" i="11"/>
  <c r="E211" i="11"/>
  <c r="F211" i="11"/>
  <c r="E151" i="11"/>
  <c r="F151" i="11"/>
  <c r="E193" i="11"/>
  <c r="F193" i="11"/>
  <c r="E269" i="11"/>
  <c r="F269" i="11"/>
  <c r="E146" i="11"/>
  <c r="F146" i="11"/>
  <c r="E266" i="11"/>
  <c r="F266" i="11"/>
  <c r="E250" i="11"/>
  <c r="F250" i="11"/>
  <c r="E47" i="11"/>
  <c r="F47" i="11"/>
  <c r="E40" i="11"/>
  <c r="F40" i="11"/>
  <c r="E10" i="11"/>
  <c r="F10" i="11"/>
  <c r="D244" i="11"/>
  <c r="D67" i="11"/>
  <c r="D75" i="11"/>
  <c r="D185" i="11"/>
  <c r="D132" i="11"/>
  <c r="D129" i="11"/>
  <c r="D171" i="11"/>
  <c r="D126" i="11"/>
  <c r="D13" i="11"/>
  <c r="D27" i="11"/>
  <c r="D32" i="11"/>
  <c r="D251" i="11"/>
  <c r="D184" i="11"/>
  <c r="D68" i="11"/>
  <c r="D230" i="11"/>
  <c r="D200" i="11"/>
  <c r="D156" i="11"/>
  <c r="D77" i="11"/>
  <c r="D74" i="11"/>
  <c r="D55" i="11"/>
  <c r="D134" i="11"/>
  <c r="D202" i="11"/>
  <c r="D178" i="11"/>
  <c r="D167" i="11"/>
  <c r="D265" i="11"/>
  <c r="D195" i="11"/>
  <c r="D81" i="11"/>
  <c r="D145" i="11"/>
  <c r="D196" i="11"/>
  <c r="D227" i="11"/>
  <c r="D41" i="11"/>
  <c r="D115" i="11"/>
  <c r="D87" i="11"/>
  <c r="D37" i="11"/>
  <c r="D135" i="11"/>
  <c r="D221" i="11"/>
  <c r="D105" i="11"/>
  <c r="D138" i="11"/>
  <c r="D174" i="11"/>
  <c r="D107" i="11"/>
  <c r="D165" i="11"/>
  <c r="D79" i="11"/>
  <c r="D24" i="11"/>
  <c r="D16" i="11"/>
  <c r="D31" i="11"/>
  <c r="D104" i="11"/>
  <c r="D73" i="11"/>
  <c r="D252" i="11"/>
  <c r="D62" i="11"/>
  <c r="D236" i="11"/>
  <c r="D49" i="11"/>
  <c r="D114" i="11"/>
  <c r="D128" i="11"/>
  <c r="D186" i="11"/>
  <c r="D91" i="11"/>
  <c r="D155" i="11"/>
  <c r="D84" i="11"/>
  <c r="D133" i="11"/>
  <c r="D237" i="11"/>
  <c r="D65" i="11"/>
  <c r="D163" i="11"/>
  <c r="D159" i="11"/>
  <c r="D101" i="11"/>
  <c r="D160" i="11"/>
  <c r="D229" i="11"/>
  <c r="D124" i="11"/>
  <c r="D231" i="11"/>
  <c r="D259" i="11"/>
  <c r="D39" i="11"/>
  <c r="D175" i="11"/>
  <c r="D85" i="11"/>
  <c r="D56" i="11"/>
  <c r="D216" i="11"/>
  <c r="D180" i="11"/>
  <c r="D164" i="11"/>
  <c r="D57" i="11"/>
  <c r="D208" i="11"/>
  <c r="D194" i="11"/>
  <c r="D152" i="11"/>
  <c r="D11" i="11"/>
  <c r="D25" i="11"/>
  <c r="D29" i="11"/>
  <c r="D148" i="11"/>
  <c r="D93" i="11"/>
  <c r="D187" i="11"/>
  <c r="D232" i="11"/>
  <c r="D89" i="11"/>
  <c r="D96" i="11"/>
  <c r="D100" i="11"/>
  <c r="D95" i="11"/>
  <c r="D50" i="11"/>
  <c r="D264" i="11"/>
  <c r="D72" i="11"/>
  <c r="D43" i="11"/>
  <c r="D78" i="11"/>
  <c r="D217" i="11"/>
  <c r="D257" i="11"/>
  <c r="D245" i="11"/>
  <c r="D150" i="11"/>
  <c r="D261" i="11"/>
  <c r="D271" i="11"/>
  <c r="D15" i="11"/>
  <c r="D19" i="11"/>
  <c r="D242" i="11"/>
  <c r="D204" i="11"/>
  <c r="D235" i="11"/>
  <c r="D272" i="11"/>
  <c r="D58" i="11"/>
  <c r="D205" i="11"/>
  <c r="D98" i="11"/>
  <c r="D203" i="11"/>
  <c r="D153" i="11"/>
  <c r="D102" i="11"/>
  <c r="D213" i="11"/>
  <c r="D59" i="11"/>
  <c r="D219" i="11"/>
  <c r="D108" i="11"/>
  <c r="D228" i="11"/>
  <c r="D142" i="11"/>
  <c r="D113" i="11"/>
  <c r="D248" i="11"/>
  <c r="D241" i="11"/>
  <c r="D109" i="11"/>
  <c r="D116" i="11"/>
  <c r="D99" i="11"/>
  <c r="D66" i="11"/>
  <c r="D168" i="11"/>
  <c r="D215" i="11"/>
  <c r="D42" i="11"/>
  <c r="D12" i="11"/>
  <c r="D254" i="11"/>
  <c r="D173" i="11"/>
  <c r="D69" i="11"/>
  <c r="D239" i="11"/>
  <c r="D255" i="11"/>
  <c r="D249" i="11"/>
  <c r="D127" i="11"/>
  <c r="D214" i="11"/>
  <c r="D20" i="11"/>
  <c r="D22" i="11"/>
  <c r="D33" i="11"/>
  <c r="D181" i="11"/>
  <c r="D170" i="11"/>
  <c r="D52" i="11"/>
  <c r="D222" i="11"/>
  <c r="D125" i="11"/>
  <c r="D64" i="11"/>
  <c r="D238" i="11"/>
  <c r="D199" i="11"/>
  <c r="D61" i="11"/>
  <c r="D247" i="11"/>
  <c r="D70" i="11"/>
  <c r="D190" i="11"/>
  <c r="D233" i="11"/>
  <c r="D206" i="11"/>
  <c r="D166" i="11"/>
  <c r="D35" i="11"/>
  <c r="D172" i="11"/>
  <c r="D263" i="11"/>
  <c r="D38" i="11"/>
  <c r="D46" i="11"/>
  <c r="D71" i="11"/>
  <c r="D36" i="11"/>
  <c r="D201" i="11"/>
  <c r="D224" i="11"/>
  <c r="D60" i="11"/>
  <c r="D246" i="11"/>
  <c r="D141" i="11"/>
  <c r="D223" i="11"/>
  <c r="D120" i="11"/>
  <c r="D240" i="11"/>
  <c r="D183" i="11"/>
  <c r="D21" i="11"/>
  <c r="D23" i="11"/>
  <c r="D14" i="11"/>
  <c r="D34" i="11"/>
  <c r="D76" i="11"/>
  <c r="D189" i="11"/>
  <c r="D54" i="11"/>
  <c r="D136" i="11"/>
  <c r="D117" i="11"/>
  <c r="D270" i="11"/>
  <c r="D243" i="11"/>
  <c r="D197" i="11"/>
  <c r="D63" i="11"/>
  <c r="D118" i="11"/>
  <c r="D260" i="11"/>
  <c r="D169" i="11"/>
  <c r="D220" i="11"/>
  <c r="D162" i="11"/>
  <c r="D88" i="11"/>
  <c r="D143" i="11"/>
  <c r="D149" i="11"/>
  <c r="D182" i="11"/>
  <c r="D158" i="11"/>
  <c r="D137" i="11"/>
  <c r="D144" i="11"/>
  <c r="D192" i="11"/>
  <c r="D106" i="11"/>
  <c r="D225" i="11"/>
  <c r="D45" i="11"/>
  <c r="D176" i="11"/>
  <c r="D110" i="11"/>
  <c r="D218" i="11"/>
  <c r="D90" i="11"/>
  <c r="D53" i="11"/>
  <c r="D212" i="11"/>
  <c r="D119" i="11"/>
  <c r="D234" i="11"/>
  <c r="D103" i="11"/>
  <c r="D17" i="11"/>
  <c r="D26" i="11"/>
  <c r="D30" i="11"/>
  <c r="D112" i="11"/>
  <c r="D111" i="11"/>
  <c r="D191" i="11"/>
  <c r="D130" i="11"/>
  <c r="D86" i="11"/>
  <c r="D262" i="11"/>
  <c r="D94" i="11"/>
  <c r="D121" i="11"/>
  <c r="D188" i="11"/>
  <c r="D267" i="11"/>
  <c r="D83" i="11"/>
  <c r="D256" i="11"/>
  <c r="D51" i="11"/>
  <c r="D97" i="11"/>
  <c r="D198" i="11"/>
  <c r="D258" i="11"/>
  <c r="D161" i="11"/>
  <c r="D48" i="11"/>
  <c r="D44" i="11"/>
  <c r="D154" i="11"/>
  <c r="D177" i="11"/>
  <c r="D253" i="11"/>
  <c r="D207" i="11"/>
  <c r="D157" i="11"/>
  <c r="D209" i="11"/>
  <c r="D139" i="11"/>
  <c r="D131" i="11"/>
  <c r="D18" i="11"/>
  <c r="D28" i="11"/>
  <c r="D179" i="11"/>
  <c r="D226" i="11"/>
  <c r="D122" i="11"/>
  <c r="D123" i="11"/>
  <c r="D147" i="11"/>
  <c r="D80" i="11"/>
  <c r="D82" i="11"/>
  <c r="D268" i="11"/>
  <c r="D210" i="11"/>
  <c r="D140" i="11"/>
  <c r="D92" i="11"/>
  <c r="D211" i="11"/>
  <c r="D151" i="11"/>
  <c r="D193" i="11"/>
  <c r="D269" i="11"/>
  <c r="D146" i="11"/>
  <c r="D266" i="11"/>
  <c r="D250" i="11"/>
  <c r="D47" i="11"/>
  <c r="D40" i="11"/>
  <c r="D10" i="11"/>
  <c r="FC46" i="12"/>
  <c r="FD46" i="12" s="1"/>
  <c r="FE46" i="12" s="1"/>
  <c r="FB284" i="12"/>
  <c r="FC284" i="12" s="1"/>
  <c r="FD284" i="12" s="1"/>
  <c r="FA285" i="12"/>
  <c r="FB47" i="12"/>
  <c r="FB48" i="12"/>
  <c r="FC48" i="12" s="1"/>
  <c r="EU202" i="12"/>
  <c r="EU193" i="12"/>
  <c r="EU97" i="12"/>
  <c r="EU92" i="12"/>
  <c r="EU93" i="12"/>
  <c r="EU91" i="12"/>
  <c r="EU53" i="12"/>
  <c r="EU10" i="12"/>
  <c r="EU14" i="12"/>
  <c r="EU18" i="12"/>
  <c r="EU9" i="12"/>
  <c r="EU13" i="12"/>
  <c r="EU17" i="12"/>
  <c r="EU8" i="12"/>
  <c r="EU12" i="12"/>
  <c r="EU16" i="12"/>
  <c r="EU7" i="12"/>
  <c r="EU11" i="12"/>
  <c r="EU15" i="12"/>
  <c r="EU19" i="12"/>
  <c r="EU6" i="12"/>
  <c r="B244" i="11"/>
  <c r="B67" i="11"/>
  <c r="B75" i="11"/>
  <c r="B185" i="11"/>
  <c r="B132" i="11"/>
  <c r="B129" i="11"/>
  <c r="B171" i="11"/>
  <c r="B126" i="11"/>
  <c r="B13" i="11"/>
  <c r="B27" i="11"/>
  <c r="B32" i="11"/>
  <c r="B251" i="11"/>
  <c r="B184" i="11"/>
  <c r="B68" i="11"/>
  <c r="B230" i="11"/>
  <c r="B200" i="11"/>
  <c r="B156" i="11"/>
  <c r="B77" i="11"/>
  <c r="B74" i="11"/>
  <c r="B55" i="11"/>
  <c r="B134" i="11"/>
  <c r="B202" i="11"/>
  <c r="B178" i="11"/>
  <c r="B167" i="11"/>
  <c r="B265" i="11"/>
  <c r="B195" i="11"/>
  <c r="B81" i="11"/>
  <c r="B145" i="11"/>
  <c r="B196" i="11"/>
  <c r="B227" i="11"/>
  <c r="B41" i="11"/>
  <c r="B115" i="11"/>
  <c r="B87" i="11"/>
  <c r="B37" i="11"/>
  <c r="B135" i="11"/>
  <c r="B221" i="11"/>
  <c r="B105" i="11"/>
  <c r="B138" i="11"/>
  <c r="B174" i="11"/>
  <c r="B107" i="11"/>
  <c r="B165" i="11"/>
  <c r="B79" i="11"/>
  <c r="B21" i="11"/>
  <c r="B23" i="11"/>
  <c r="B14" i="11"/>
  <c r="B34" i="11"/>
  <c r="B76" i="11"/>
  <c r="B189" i="11"/>
  <c r="B54" i="11"/>
  <c r="B136" i="11"/>
  <c r="B117" i="11"/>
  <c r="B270" i="11"/>
  <c r="B243" i="11"/>
  <c r="B197" i="11"/>
  <c r="B63" i="11"/>
  <c r="B118" i="11"/>
  <c r="B260" i="11"/>
  <c r="B169" i="11"/>
  <c r="B220" i="11"/>
  <c r="B162" i="11"/>
  <c r="B88" i="11"/>
  <c r="B143" i="11"/>
  <c r="B149" i="11"/>
  <c r="B182" i="11"/>
  <c r="B158" i="11"/>
  <c r="B137" i="11"/>
  <c r="B144" i="11"/>
  <c r="B192" i="11"/>
  <c r="B106" i="11"/>
  <c r="B225" i="11"/>
  <c r="B45" i="11"/>
  <c r="B176" i="11"/>
  <c r="B110" i="11"/>
  <c r="B218" i="11"/>
  <c r="B90" i="11"/>
  <c r="B53" i="11"/>
  <c r="B212" i="11"/>
  <c r="B119" i="11"/>
  <c r="B234" i="11"/>
  <c r="B103" i="11"/>
  <c r="B17" i="11"/>
  <c r="B26" i="11"/>
  <c r="B30" i="11"/>
  <c r="B112" i="11"/>
  <c r="B111" i="11"/>
  <c r="B191" i="11"/>
  <c r="B130" i="11"/>
  <c r="B86" i="11"/>
  <c r="B262" i="11"/>
  <c r="B94" i="11"/>
  <c r="B121" i="11"/>
  <c r="B188" i="11"/>
  <c r="B267" i="11"/>
  <c r="B83" i="11"/>
  <c r="B256" i="11"/>
  <c r="B51" i="11"/>
  <c r="B97" i="11"/>
  <c r="B198" i="11"/>
  <c r="B258" i="11"/>
  <c r="B161" i="11"/>
  <c r="B48" i="11"/>
  <c r="B44" i="11"/>
  <c r="B154" i="11"/>
  <c r="B177" i="11"/>
  <c r="B253" i="11"/>
  <c r="B207" i="11"/>
  <c r="B157" i="11"/>
  <c r="B209" i="11"/>
  <c r="B139" i="11"/>
  <c r="B131" i="11"/>
  <c r="B18" i="11"/>
  <c r="B28" i="11"/>
  <c r="B179" i="11"/>
  <c r="B226" i="11"/>
  <c r="B122" i="11"/>
  <c r="B123" i="11"/>
  <c r="B147" i="11"/>
  <c r="B80" i="11"/>
  <c r="B82" i="11"/>
  <c r="B268" i="11"/>
  <c r="B210" i="11"/>
  <c r="B140" i="11"/>
  <c r="B92" i="11"/>
  <c r="B211" i="11"/>
  <c r="B151" i="11"/>
  <c r="B193" i="11"/>
  <c r="B269" i="11"/>
  <c r="B146" i="11"/>
  <c r="B266" i="11"/>
  <c r="B250" i="11"/>
  <c r="B47" i="11"/>
  <c r="B40" i="11"/>
  <c r="B254" i="11"/>
  <c r="B173" i="11"/>
  <c r="B69" i="11"/>
  <c r="B239" i="11"/>
  <c r="B255" i="11"/>
  <c r="B249" i="11"/>
  <c r="B127" i="11"/>
  <c r="B214" i="11"/>
  <c r="B20" i="11"/>
  <c r="B22" i="11"/>
  <c r="B33" i="11"/>
  <c r="B181" i="11"/>
  <c r="B170" i="11"/>
  <c r="B52" i="11"/>
  <c r="B222" i="11"/>
  <c r="B125" i="11"/>
  <c r="B64" i="11"/>
  <c r="B238" i="11"/>
  <c r="B199" i="11"/>
  <c r="B61" i="11"/>
  <c r="B247" i="11"/>
  <c r="B70" i="11"/>
  <c r="B190" i="11"/>
  <c r="B233" i="11"/>
  <c r="B206" i="11"/>
  <c r="B166" i="11"/>
  <c r="B35" i="11"/>
  <c r="B172" i="11"/>
  <c r="B263" i="11"/>
  <c r="B38" i="11"/>
  <c r="B46" i="11"/>
  <c r="B71" i="11"/>
  <c r="B36" i="11"/>
  <c r="B201" i="11"/>
  <c r="B224" i="11"/>
  <c r="B60" i="11"/>
  <c r="B246" i="11"/>
  <c r="B141" i="11"/>
  <c r="B223" i="11"/>
  <c r="B120" i="11"/>
  <c r="B240" i="11"/>
  <c r="B183" i="11"/>
  <c r="B24" i="11"/>
  <c r="B16" i="11"/>
  <c r="B31" i="11"/>
  <c r="B104" i="11"/>
  <c r="B73" i="11"/>
  <c r="B252" i="11"/>
  <c r="B62" i="11"/>
  <c r="B236" i="11"/>
  <c r="B49" i="11"/>
  <c r="B114" i="11"/>
  <c r="B128" i="11"/>
  <c r="B186" i="11"/>
  <c r="B91" i="11"/>
  <c r="B155" i="11"/>
  <c r="B84" i="11"/>
  <c r="B133" i="11"/>
  <c r="B237" i="11"/>
  <c r="B65" i="11"/>
  <c r="B163" i="11"/>
  <c r="B159" i="11"/>
  <c r="B101" i="11"/>
  <c r="B160" i="11"/>
  <c r="B229" i="11"/>
  <c r="B124" i="11"/>
  <c r="B231" i="11"/>
  <c r="B259" i="11"/>
  <c r="B39" i="11"/>
  <c r="B175" i="11"/>
  <c r="B85" i="11"/>
  <c r="B56" i="11"/>
  <c r="B216" i="11"/>
  <c r="B180" i="11"/>
  <c r="B164" i="11"/>
  <c r="B57" i="11"/>
  <c r="B208" i="11"/>
  <c r="B194" i="11"/>
  <c r="B152" i="11"/>
  <c r="B11" i="11"/>
  <c r="B25" i="11"/>
  <c r="B29" i="11"/>
  <c r="B148" i="11"/>
  <c r="B93" i="11"/>
  <c r="B187" i="11"/>
  <c r="B232" i="11"/>
  <c r="B89" i="11"/>
  <c r="B273" i="11"/>
  <c r="B109" i="11"/>
  <c r="B96" i="11"/>
  <c r="B116" i="11"/>
  <c r="B100" i="11"/>
  <c r="B99" i="11"/>
  <c r="B95" i="11"/>
  <c r="B66" i="11"/>
  <c r="B168" i="11"/>
  <c r="B50" i="11"/>
  <c r="B215" i="11"/>
  <c r="B264" i="11"/>
  <c r="B72" i="11"/>
  <c r="B42" i="11"/>
  <c r="B43" i="11"/>
  <c r="B78" i="11"/>
  <c r="B217" i="11"/>
  <c r="B257" i="11"/>
  <c r="B245" i="11"/>
  <c r="B150" i="11"/>
  <c r="B261" i="11"/>
  <c r="B271" i="11"/>
  <c r="B15" i="11"/>
  <c r="B12" i="11"/>
  <c r="B19" i="11"/>
  <c r="B242" i="11"/>
  <c r="B204" i="11"/>
  <c r="B235" i="11"/>
  <c r="B272" i="11"/>
  <c r="B58" i="11"/>
  <c r="B205" i="11"/>
  <c r="B98" i="11"/>
  <c r="B203" i="11"/>
  <c r="B153" i="11"/>
  <c r="B102" i="11"/>
  <c r="B213" i="11"/>
  <c r="B59" i="11"/>
  <c r="B219" i="11"/>
  <c r="B108" i="11"/>
  <c r="B228" i="11"/>
  <c r="B142" i="11"/>
  <c r="B113" i="11"/>
  <c r="B248" i="11"/>
  <c r="B241" i="11"/>
  <c r="CE144" i="12"/>
  <c r="CH144" i="12" s="1"/>
  <c r="DF8" i="12"/>
  <c r="CJ37" i="12"/>
  <c r="CK37" i="12" s="1"/>
  <c r="CJ62" i="12"/>
  <c r="CK62" i="12" s="1"/>
  <c r="CE226" i="12"/>
  <c r="CH226" i="12" s="1"/>
  <c r="CJ157" i="12"/>
  <c r="CK157" i="12" s="1"/>
  <c r="CE9" i="12"/>
  <c r="CH9" i="12" s="1"/>
  <c r="CE107" i="12"/>
  <c r="CE167" i="12" s="1"/>
  <c r="CE212" i="12"/>
  <c r="CH212" i="12" s="1"/>
  <c r="CE185" i="12"/>
  <c r="CH185" i="12" s="1"/>
  <c r="CJ63" i="12"/>
  <c r="CE136" i="12"/>
  <c r="CH136" i="12" s="1"/>
  <c r="CJ132" i="12"/>
  <c r="CJ67" i="12"/>
  <c r="CE28" i="12"/>
  <c r="CD28" i="12" s="1"/>
  <c r="CE13" i="12"/>
  <c r="CD13" i="12" s="1"/>
  <c r="CE235" i="12"/>
  <c r="CD235" i="12" s="1"/>
  <c r="CJ140" i="12"/>
  <c r="CK140" i="12" s="1"/>
  <c r="CE126" i="12"/>
  <c r="CH126" i="12" s="1"/>
  <c r="CJ98" i="12"/>
  <c r="CK98" i="12" s="1"/>
  <c r="CJ66" i="12"/>
  <c r="CK66" i="12" s="1"/>
  <c r="CE210" i="12"/>
  <c r="CD210" i="12" s="1"/>
  <c r="CE109" i="12"/>
  <c r="CE169" i="12" s="1"/>
  <c r="CJ145" i="12"/>
  <c r="CK145" i="12" s="1"/>
  <c r="CE80" i="12"/>
  <c r="CH80" i="12" s="1"/>
  <c r="CE73" i="12"/>
  <c r="CH73" i="12" s="1"/>
  <c r="CE152" i="12"/>
  <c r="CD152" i="12" s="1"/>
  <c r="CE74" i="12"/>
  <c r="CD74" i="12" s="1"/>
  <c r="CJ68" i="12"/>
  <c r="CK68" i="12" s="1"/>
  <c r="CJ139" i="12"/>
  <c r="CK139" i="12" s="1"/>
  <c r="CE76" i="12"/>
  <c r="CD76" i="12" s="1"/>
  <c r="CE158" i="12"/>
  <c r="CH158" i="12" s="1"/>
  <c r="CE215" i="12"/>
  <c r="CE163" i="12"/>
  <c r="CH163" i="12" s="1"/>
  <c r="CE204" i="12"/>
  <c r="CH204" i="12" s="1"/>
  <c r="CE128" i="12"/>
  <c r="CE203" i="12"/>
  <c r="CH203" i="12" s="1"/>
  <c r="CE20" i="12"/>
  <c r="CH20" i="12" s="1"/>
  <c r="CJ31" i="12"/>
  <c r="CK31" i="12" s="1"/>
  <c r="CE214" i="12"/>
  <c r="CE146" i="12"/>
  <c r="CH146" i="12" s="1"/>
  <c r="CE97" i="12"/>
  <c r="CH97" i="12" s="1"/>
  <c r="CJ38" i="12"/>
  <c r="CK38" i="12" s="1"/>
  <c r="CJ58" i="12"/>
  <c r="CK58" i="12" s="1"/>
  <c r="CE202" i="12"/>
  <c r="CH202" i="12" s="1"/>
  <c r="CE17" i="12"/>
  <c r="CH17" i="12" s="1"/>
  <c r="CE160" i="12"/>
  <c r="CH160" i="12" s="1"/>
  <c r="CJ59" i="12"/>
  <c r="CK59" i="12" s="1"/>
  <c r="CE72" i="12"/>
  <c r="CH72" i="12" s="1"/>
  <c r="CE184" i="12"/>
  <c r="CE11" i="12"/>
  <c r="CH11" i="12" s="1"/>
  <c r="CJ39" i="12"/>
  <c r="CK39" i="12" s="1"/>
  <c r="CJ149" i="12"/>
  <c r="CK149" i="12" s="1"/>
  <c r="CE118" i="12"/>
  <c r="CE91" i="12"/>
  <c r="CH91" i="12" s="1"/>
  <c r="CJ35" i="12"/>
  <c r="CK35" i="12" s="1"/>
  <c r="CJ30" i="12"/>
  <c r="CK30" i="12" s="1"/>
  <c r="CJ152" i="12"/>
  <c r="CK152" i="12" s="1"/>
  <c r="CJ135" i="12"/>
  <c r="CK135" i="12" s="1"/>
  <c r="CJ160" i="12"/>
  <c r="CE194" i="12"/>
  <c r="CH194" i="12" s="1"/>
  <c r="CE77" i="12"/>
  <c r="CH77" i="12" s="1"/>
  <c r="CE132" i="12"/>
  <c r="CJ33" i="12"/>
  <c r="CK33" i="12" s="1"/>
  <c r="CE115" i="12"/>
  <c r="CH115" i="12" s="1"/>
  <c r="CJ64" i="12"/>
  <c r="CK64" i="12" s="1"/>
  <c r="CE63" i="12"/>
  <c r="CH63" i="12" s="1"/>
  <c r="CE111" i="12"/>
  <c r="CH111" i="12" s="1"/>
  <c r="CJ161" i="12"/>
  <c r="CK161" i="12" s="1"/>
  <c r="CJ146" i="12"/>
  <c r="CE229" i="12"/>
  <c r="CH229" i="12" s="1"/>
  <c r="CE134" i="12"/>
  <c r="CH134" i="12" s="1"/>
  <c r="CE48" i="12"/>
  <c r="CH48" i="12" s="1"/>
  <c r="CE100" i="12"/>
  <c r="CH100" i="12" s="1"/>
  <c r="CJ151" i="12"/>
  <c r="CK151" i="12" s="1"/>
  <c r="CE108" i="12"/>
  <c r="CH108" i="12" s="1"/>
  <c r="CE10" i="12"/>
  <c r="CH10" i="12" s="1"/>
  <c r="CE27" i="12"/>
  <c r="CD27" i="12" s="1"/>
  <c r="CE117" i="12"/>
  <c r="CH117" i="12" s="1"/>
  <c r="CE82" i="12"/>
  <c r="CH82" i="12" s="1"/>
  <c r="CE38" i="12"/>
  <c r="CD38" i="12" s="1"/>
  <c r="CJ133" i="12"/>
  <c r="CK133" i="12" s="1"/>
  <c r="CE231" i="12"/>
  <c r="CH231" i="12" s="1"/>
  <c r="CE92" i="12"/>
  <c r="CE238" i="12"/>
  <c r="CH238" i="12" s="1"/>
  <c r="CE19" i="12"/>
  <c r="CH19" i="12" s="1"/>
  <c r="CE7" i="12"/>
  <c r="CH7" i="12" s="1"/>
  <c r="CJ143" i="12"/>
  <c r="CK143" i="12" s="1"/>
  <c r="CJ150" i="12"/>
  <c r="CK150" i="12" s="1"/>
  <c r="CJ36" i="12"/>
  <c r="CK36" i="12" s="1"/>
  <c r="CE65" i="12"/>
  <c r="CH65" i="12" s="1"/>
  <c r="CJ136" i="12"/>
  <c r="CK136" i="12" s="1"/>
  <c r="CE240" i="12"/>
  <c r="CH240" i="12" s="1"/>
  <c r="CE188" i="12"/>
  <c r="CH188" i="12" s="1"/>
  <c r="CE227" i="12"/>
  <c r="CD227" i="12" s="1"/>
  <c r="CJ141" i="12"/>
  <c r="CK141" i="12" s="1"/>
  <c r="CE26" i="12"/>
  <c r="CD26" i="12" s="1"/>
  <c r="CJ32" i="12"/>
  <c r="CK32" i="12" s="1"/>
  <c r="CE18" i="12"/>
  <c r="CH18" i="12" s="1"/>
  <c r="CE236" i="12"/>
  <c r="CD236" i="12" s="1"/>
  <c r="CE246" i="12"/>
  <c r="CH246" i="12" s="1"/>
  <c r="CE217" i="12"/>
  <c r="CH217" i="12" s="1"/>
  <c r="CE156" i="12"/>
  <c r="CH156" i="12" s="1"/>
  <c r="CE50" i="12"/>
  <c r="CH50" i="12" s="1"/>
  <c r="CE93" i="12"/>
  <c r="CH93" i="12" s="1"/>
  <c r="CJ56" i="12"/>
  <c r="CK56" i="12" s="1"/>
  <c r="CE55" i="12"/>
  <c r="CH55" i="12" s="1"/>
  <c r="CE125" i="12"/>
  <c r="CH125" i="12" s="1"/>
  <c r="CE46" i="12"/>
  <c r="CE88" i="12"/>
  <c r="CH88" i="12" s="1"/>
  <c r="CE196" i="12"/>
  <c r="CH196" i="12" s="1"/>
  <c r="CE16" i="12"/>
  <c r="CE230" i="12"/>
  <c r="CH230" i="12" s="1"/>
  <c r="CE34" i="12"/>
  <c r="CH34" i="12" s="1"/>
  <c r="CJ158" i="12"/>
  <c r="CJ142" i="12"/>
  <c r="CE127" i="12"/>
  <c r="CD127" i="12" s="1"/>
  <c r="CE12" i="12"/>
  <c r="CH12" i="12" s="1"/>
  <c r="CE140" i="12"/>
  <c r="CD140" i="12" s="1"/>
  <c r="CE3" i="12"/>
  <c r="CH3" i="12" s="1"/>
  <c r="CE193" i="12"/>
  <c r="CH193" i="12" s="1"/>
  <c r="CE53" i="12"/>
  <c r="CH53" i="12" s="1"/>
  <c r="CJ155" i="12"/>
  <c r="CK155" i="12" s="1"/>
  <c r="CJ138" i="12"/>
  <c r="CE216" i="12"/>
  <c r="CH216" i="12" s="1"/>
  <c r="CE67" i="12"/>
  <c r="CH67" i="12" s="1"/>
  <c r="CE243" i="12"/>
  <c r="CD243" i="12" s="1"/>
  <c r="CE102" i="12"/>
  <c r="CE49" i="12"/>
  <c r="CH49" i="12" s="1"/>
  <c r="CE197" i="12"/>
  <c r="CH197" i="12" s="1"/>
  <c r="CE209" i="12"/>
  <c r="CH209" i="12" s="1"/>
  <c r="CJ153" i="12"/>
  <c r="CK153" i="12" s="1"/>
  <c r="CE186" i="12"/>
  <c r="CH186" i="12" s="1"/>
  <c r="CE40" i="12"/>
  <c r="CD40" i="12" s="1"/>
  <c r="CE85" i="12"/>
  <c r="CH85" i="12" s="1"/>
  <c r="CJ53" i="12"/>
  <c r="CE41" i="12"/>
  <c r="CH41" i="12" s="1"/>
  <c r="CJ144" i="12"/>
  <c r="CJ134" i="12"/>
  <c r="CK134" i="12" s="1"/>
  <c r="CE218" i="12"/>
  <c r="CH218" i="12" s="1"/>
  <c r="CJ57" i="12"/>
  <c r="CK57" i="12" s="1"/>
  <c r="CJ156" i="12"/>
  <c r="CE237" i="12"/>
  <c r="CH237" i="12" s="1"/>
  <c r="CE32" i="12"/>
  <c r="CD32" i="12" s="1"/>
  <c r="CE241" i="12"/>
  <c r="CD241" i="12" s="1"/>
  <c r="CE30" i="12"/>
  <c r="CH30" i="12" s="1"/>
  <c r="CE138" i="12"/>
  <c r="CH138" i="12" s="1"/>
  <c r="CJ148" i="12"/>
  <c r="CK148" i="12" s="1"/>
  <c r="CE242" i="12"/>
  <c r="CD242" i="12" s="1"/>
  <c r="CE116" i="12"/>
  <c r="CE176" i="12" s="1"/>
  <c r="CE130" i="12"/>
  <c r="CH130" i="12" s="1"/>
  <c r="CE207" i="12"/>
  <c r="CH207" i="12" s="1"/>
  <c r="CE57" i="12"/>
  <c r="CH57" i="12" s="1"/>
  <c r="CE110" i="12"/>
  <c r="CE170" i="12" s="1"/>
  <c r="CJ34" i="12"/>
  <c r="CK34" i="12" s="1"/>
  <c r="CE81" i="12"/>
  <c r="CE213" i="12"/>
  <c r="CH213" i="12" s="1"/>
  <c r="CE96" i="12"/>
  <c r="CH96" i="12" s="1"/>
  <c r="CJ61" i="12"/>
  <c r="CK61" i="12" s="1"/>
  <c r="CJ54" i="12"/>
  <c r="CK54" i="12" s="1"/>
  <c r="CJ55" i="12"/>
  <c r="CK55" i="12" s="1"/>
  <c r="CE113" i="12"/>
  <c r="CE195" i="12"/>
  <c r="CH195" i="12" s="1"/>
  <c r="CE25" i="12"/>
  <c r="CH25" i="12" s="1"/>
  <c r="CE47" i="12"/>
  <c r="CH47" i="12" s="1"/>
  <c r="CE120" i="12"/>
  <c r="CG120" i="12" s="1"/>
  <c r="CG180" i="12" s="1"/>
  <c r="CJ137" i="12"/>
  <c r="CK137" i="12" s="1"/>
  <c r="CE71" i="12"/>
  <c r="CH71" i="12" s="1"/>
  <c r="CE154" i="12"/>
  <c r="CH154" i="12" s="1"/>
  <c r="CE224" i="12"/>
  <c r="CE208" i="12"/>
  <c r="CH208" i="12" s="1"/>
  <c r="CE122" i="12"/>
  <c r="CJ147" i="12"/>
  <c r="CK147" i="12" s="1"/>
  <c r="CE206" i="12"/>
  <c r="CE114" i="12"/>
  <c r="CH114" i="12" s="1"/>
  <c r="CE61" i="12"/>
  <c r="CH61" i="12" s="1"/>
  <c r="CJ65" i="12"/>
  <c r="CK65" i="12" s="1"/>
  <c r="CE36" i="12"/>
  <c r="CH36" i="12" s="1"/>
  <c r="CE59" i="12"/>
  <c r="CH59" i="12" s="1"/>
  <c r="CE228" i="12"/>
  <c r="CJ154" i="12"/>
  <c r="CK154" i="12" s="1"/>
  <c r="CJ159" i="12"/>
  <c r="CK159" i="12" s="1"/>
  <c r="CE148" i="12"/>
  <c r="CD148" i="12" s="1"/>
  <c r="CE150" i="12"/>
  <c r="CH150" i="12" s="1"/>
  <c r="CE8" i="12"/>
  <c r="CH8" i="12" s="1"/>
  <c r="CJ60" i="12"/>
  <c r="CK60" i="12" s="1"/>
  <c r="CE24" i="12"/>
  <c r="CH24" i="12" s="1"/>
  <c r="CE142" i="12"/>
  <c r="CH142" i="12" s="1"/>
  <c r="CE219" i="12"/>
  <c r="CH219" i="12" s="1"/>
  <c r="CE75" i="12"/>
  <c r="CD75" i="12" s="1"/>
  <c r="CE99" i="12"/>
  <c r="CH99" i="12" s="1"/>
  <c r="CZ1317" i="12"/>
  <c r="DA1317" i="12" l="1"/>
  <c r="DE1317" i="12"/>
  <c r="DC1317" i="12"/>
  <c r="DD1317" i="12"/>
  <c r="DB1317" i="12"/>
  <c r="DF1317" i="12" s="1"/>
  <c r="CH224" i="12"/>
  <c r="H9" i="11"/>
  <c r="E9" i="11" s="1"/>
  <c r="FC47" i="12"/>
  <c r="FD47" i="12" s="1"/>
  <c r="FE47" i="12" s="1"/>
  <c r="FB285" i="12"/>
  <c r="FC285" i="12" s="1"/>
  <c r="FD285" i="12" s="1"/>
  <c r="FA286" i="12"/>
  <c r="FD48" i="12"/>
  <c r="FB49" i="12"/>
  <c r="FC49" i="12" s="1"/>
  <c r="CH13" i="12"/>
  <c r="CH214" i="12"/>
  <c r="CH215" i="12"/>
  <c r="CH74" i="12"/>
  <c r="CH152" i="12"/>
  <c r="CD109" i="12"/>
  <c r="CD73" i="12"/>
  <c r="CH210" i="12"/>
  <c r="CH235" i="12"/>
  <c r="CD125" i="12"/>
  <c r="CD12" i="12"/>
  <c r="CH102" i="12"/>
  <c r="CD25" i="12"/>
  <c r="CH128" i="12"/>
  <c r="CH92" i="12"/>
  <c r="CH28" i="12"/>
  <c r="CH107" i="12"/>
  <c r="CH109" i="12"/>
  <c r="CD136" i="12"/>
  <c r="CH26" i="12"/>
  <c r="CH132" i="12"/>
  <c r="CH76" i="12"/>
  <c r="CD237" i="12"/>
  <c r="CH32" i="12"/>
  <c r="CD71" i="12"/>
  <c r="CD134" i="12"/>
  <c r="CE168" i="12"/>
  <c r="CH168" i="12" s="1"/>
  <c r="CH16" i="12"/>
  <c r="CH236" i="12"/>
  <c r="CH122" i="12"/>
  <c r="CE171" i="12"/>
  <c r="CH171" i="12" s="1"/>
  <c r="CD50" i="12"/>
  <c r="CD3" i="12"/>
  <c r="CH81" i="12"/>
  <c r="CD72" i="12"/>
  <c r="CD48" i="12"/>
  <c r="CJ97" i="12"/>
  <c r="CJ95" i="12" s="1"/>
  <c r="CD20" i="12"/>
  <c r="CD209" i="12"/>
  <c r="CD55" i="12"/>
  <c r="CH140" i="12"/>
  <c r="CD65" i="12"/>
  <c r="CD11" i="12"/>
  <c r="CD231" i="12"/>
  <c r="CD30" i="12"/>
  <c r="CH27" i="12"/>
  <c r="CD77" i="12"/>
  <c r="CE83" i="12"/>
  <c r="CE79" i="12" s="1"/>
  <c r="CE182" i="12"/>
  <c r="CD182" i="12" s="1"/>
  <c r="CD34" i="12"/>
  <c r="CD240" i="12"/>
  <c r="CH38" i="12"/>
  <c r="CD10" i="12"/>
  <c r="CH46" i="12"/>
  <c r="CE175" i="12"/>
  <c r="CH175" i="12" s="1"/>
  <c r="CD238" i="12"/>
  <c r="CE200" i="12"/>
  <c r="CE129" i="12"/>
  <c r="CH129" i="12" s="1"/>
  <c r="CD93" i="12"/>
  <c r="CE94" i="12"/>
  <c r="CH94" i="12" s="1"/>
  <c r="CH127" i="12"/>
  <c r="CD57" i="12"/>
  <c r="CH241" i="12"/>
  <c r="CD41" i="12"/>
  <c r="CH242" i="12"/>
  <c r="CJ186" i="12"/>
  <c r="CH40" i="12"/>
  <c r="CE180" i="12"/>
  <c r="CD61" i="12"/>
  <c r="CD228" i="12"/>
  <c r="CD150" i="12"/>
  <c r="CH228" i="12"/>
  <c r="CH113" i="12"/>
  <c r="CE211" i="12"/>
  <c r="CE174" i="12"/>
  <c r="CH174" i="12" s="1"/>
  <c r="CE51" i="12"/>
  <c r="CD154" i="12"/>
  <c r="CD224" i="12"/>
  <c r="CD59" i="12"/>
  <c r="CE69" i="12"/>
  <c r="CH69" i="12" s="1"/>
  <c r="CH148" i="12"/>
  <c r="CE205" i="12"/>
  <c r="CE162" i="12"/>
  <c r="CH162" i="12" s="1"/>
  <c r="CE101" i="12"/>
  <c r="CE95" i="12" s="1"/>
  <c r="CJ131" i="12"/>
  <c r="CE239" i="12"/>
  <c r="CD239" i="12" s="1"/>
  <c r="CE23" i="12"/>
  <c r="CD23" i="12" s="1"/>
  <c r="CJ52" i="12"/>
  <c r="CJ44" i="12" s="1"/>
  <c r="CE78" i="12"/>
  <c r="CD78" i="12" s="1"/>
  <c r="CH75" i="12"/>
  <c r="CE52" i="12"/>
  <c r="CH118" i="12"/>
  <c r="CH116" i="12"/>
  <c r="CE14" i="12"/>
  <c r="CE6" i="12" s="1"/>
  <c r="CH184" i="12"/>
  <c r="CD88" i="12"/>
  <c r="CD89" i="12" s="1"/>
  <c r="CH243" i="12"/>
  <c r="CE178" i="12"/>
  <c r="CD178" i="12" s="1"/>
  <c r="CE234" i="12"/>
  <c r="CD234" i="12" s="1"/>
  <c r="CE225" i="12"/>
  <c r="CE232" i="12" s="1"/>
  <c r="CH206" i="12"/>
  <c r="CH120" i="12"/>
  <c r="CE173" i="12"/>
  <c r="CH110" i="12"/>
  <c r="CD99" i="12"/>
  <c r="CD24" i="12"/>
  <c r="CD36" i="12"/>
  <c r="CH227" i="12"/>
  <c r="CE177" i="12"/>
  <c r="CH177" i="12" s="1"/>
  <c r="CJ29" i="12"/>
  <c r="CJ22" i="12" s="1"/>
  <c r="CK22" i="12" s="1"/>
  <c r="CE42" i="12"/>
  <c r="CE22" i="12" s="1"/>
  <c r="CD22" i="12" s="1"/>
  <c r="CE21" i="12"/>
  <c r="CE15" i="12" s="1"/>
  <c r="CH167" i="12"/>
  <c r="CH176" i="12"/>
  <c r="CD176" i="12"/>
  <c r="CH170" i="12"/>
  <c r="CH169" i="12"/>
  <c r="CD169" i="12"/>
  <c r="CZ1318" i="12"/>
  <c r="DD1318" i="12" l="1"/>
  <c r="DB1318" i="12"/>
  <c r="DF1318" i="12" s="1"/>
  <c r="DA1318" i="12"/>
  <c r="DC1318" i="12"/>
  <c r="DE1318" i="12"/>
  <c r="FE48" i="12"/>
  <c r="FB286" i="12"/>
  <c r="FC286" i="12" s="1"/>
  <c r="FD286" i="12" s="1"/>
  <c r="FA287" i="12"/>
  <c r="FD49" i="12"/>
  <c r="FB50" i="12"/>
  <c r="FC50" i="12" s="1"/>
  <c r="CD4" i="12"/>
  <c r="B8" i="11"/>
  <c r="F8" i="11"/>
  <c r="G9" i="11"/>
  <c r="C8" i="11"/>
  <c r="D8" i="11"/>
  <c r="D9" i="11"/>
  <c r="F9" i="11"/>
  <c r="CE124" i="12"/>
  <c r="CH182" i="12"/>
  <c r="CE90" i="12"/>
  <c r="CD90" i="12" s="1"/>
  <c r="CH83" i="12"/>
  <c r="CH21" i="12"/>
  <c r="CE45" i="12"/>
  <c r="CH101" i="12"/>
  <c r="CE221" i="12"/>
  <c r="CH51" i="12"/>
  <c r="CH78" i="12"/>
  <c r="CH173" i="12"/>
  <c r="CH180" i="12"/>
  <c r="CD177" i="12"/>
  <c r="CH14" i="12"/>
  <c r="CE70" i="12"/>
  <c r="CD70" i="12" s="1"/>
  <c r="CE84" i="12"/>
  <c r="CH84" i="12" s="1"/>
  <c r="CE131" i="12"/>
  <c r="CH178" i="12"/>
  <c r="CE244" i="12"/>
  <c r="CD244" i="12" s="1"/>
  <c r="CK29" i="12"/>
  <c r="CK44" i="12" s="1"/>
  <c r="CD42" i="12"/>
  <c r="CH42" i="12"/>
  <c r="CE43" i="12"/>
  <c r="CH43" i="12" s="1"/>
  <c r="CZ1319" i="12"/>
  <c r="DA1319" i="12" l="1"/>
  <c r="DE1319" i="12"/>
  <c r="DD1319" i="12"/>
  <c r="DB1319" i="12"/>
  <c r="DF1319" i="12" s="1"/>
  <c r="DC1319" i="12"/>
  <c r="FE49" i="12"/>
  <c r="FB287" i="12"/>
  <c r="FC287" i="12" s="1"/>
  <c r="FD287" i="12" s="1"/>
  <c r="FA288" i="12"/>
  <c r="FD50" i="12"/>
  <c r="CD91" i="12"/>
  <c r="CE44" i="12"/>
  <c r="CH244" i="12"/>
  <c r="CE5" i="12"/>
  <c r="CD5" i="12" s="1"/>
  <c r="CK52" i="12"/>
  <c r="CZ1320" i="12"/>
  <c r="DA1320" i="12" l="1"/>
  <c r="DC1320" i="12"/>
  <c r="DD1320" i="12"/>
  <c r="DB1320" i="12"/>
  <c r="DF1320" i="12" s="1"/>
  <c r="DE1320" i="12"/>
  <c r="FE50" i="12"/>
  <c r="FB288" i="12"/>
  <c r="FC288" i="12" s="1"/>
  <c r="FD288" i="12" s="1"/>
  <c r="FA289" i="12"/>
  <c r="FB51" i="12"/>
  <c r="CK53" i="12"/>
  <c r="CK63" i="12" s="1"/>
  <c r="CK67" i="12" s="1"/>
  <c r="CD6" i="12"/>
  <c r="CD92" i="12"/>
  <c r="CD94" i="12" s="1"/>
  <c r="CZ1321" i="12"/>
  <c r="DC1321" i="12" l="1"/>
  <c r="DB1321" i="12"/>
  <c r="DF1321" i="12" s="1"/>
  <c r="DE1321" i="12"/>
  <c r="DD1321" i="12"/>
  <c r="DA1321" i="12"/>
  <c r="FC51" i="12"/>
  <c r="FD51" i="12" s="1"/>
  <c r="FE51" i="12" s="1"/>
  <c r="FB289" i="12"/>
  <c r="FC289" i="12" s="1"/>
  <c r="FD289" i="12" s="1"/>
  <c r="FA290" i="12"/>
  <c r="FB52" i="12"/>
  <c r="CK95" i="12"/>
  <c r="CK97" i="12" s="1"/>
  <c r="CD7" i="12"/>
  <c r="CD8" i="12"/>
  <c r="CD95" i="12"/>
  <c r="CZ1322" i="12"/>
  <c r="DB1322" i="12" l="1"/>
  <c r="DF1322" i="12" s="1"/>
  <c r="DA1322" i="12"/>
  <c r="DD1322" i="12"/>
  <c r="DE1322" i="12"/>
  <c r="DC1322" i="12"/>
  <c r="CD9" i="12"/>
  <c r="CD14" i="12" s="1"/>
  <c r="CD15" i="12" s="1"/>
  <c r="CK131" i="12"/>
  <c r="CK132" i="12" s="1"/>
  <c r="FC52" i="12"/>
  <c r="FD52" i="12" s="1"/>
  <c r="FE52" i="12" s="1"/>
  <c r="FB290" i="12"/>
  <c r="FC290" i="12" s="1"/>
  <c r="FD290" i="12" s="1"/>
  <c r="FA291" i="12"/>
  <c r="FB53" i="12"/>
  <c r="CD96" i="12"/>
  <c r="CD97" i="12" s="1"/>
  <c r="CZ1323" i="12"/>
  <c r="DB1323" i="12" l="1"/>
  <c r="DF1323" i="12" s="1"/>
  <c r="DA1323" i="12"/>
  <c r="DC1323" i="12"/>
  <c r="DD1323" i="12"/>
  <c r="DE1323" i="12"/>
  <c r="FC53" i="12"/>
  <c r="FD53" i="12" s="1"/>
  <c r="FE53" i="12" s="1"/>
  <c r="FB291" i="12"/>
  <c r="FC291" i="12" s="1"/>
  <c r="FD291" i="12" s="1"/>
  <c r="FA292" i="12"/>
  <c r="FB54" i="12"/>
  <c r="CK138" i="12"/>
  <c r="CD16" i="12"/>
  <c r="CK142" i="12"/>
  <c r="CZ1324" i="12"/>
  <c r="DA1324" i="12" l="1"/>
  <c r="DE1324" i="12"/>
  <c r="DD1324" i="12"/>
  <c r="DB1324" i="12"/>
  <c r="DF1324" i="12" s="1"/>
  <c r="DC1324" i="12"/>
  <c r="FC54" i="12"/>
  <c r="FD54" i="12" s="1"/>
  <c r="FE54" i="12" s="1"/>
  <c r="FB292" i="12"/>
  <c r="FC292" i="12" s="1"/>
  <c r="FD292" i="12" s="1"/>
  <c r="FA293" i="12"/>
  <c r="FB55" i="12"/>
  <c r="CD17" i="12"/>
  <c r="CD18" i="12" s="1"/>
  <c r="CK144" i="12"/>
  <c r="CZ1325" i="12"/>
  <c r="DA1325" i="12" l="1"/>
  <c r="DB1325" i="12"/>
  <c r="DF1325" i="12" s="1"/>
  <c r="DE1325" i="12"/>
  <c r="DD1325" i="12"/>
  <c r="DC1325" i="12"/>
  <c r="FC55" i="12"/>
  <c r="FD55" i="12" s="1"/>
  <c r="FE55" i="12" s="1"/>
  <c r="FB293" i="12"/>
  <c r="FC293" i="12" s="1"/>
  <c r="FD293" i="12" s="1"/>
  <c r="FA294" i="12"/>
  <c r="FB56" i="12"/>
  <c r="CK146" i="12"/>
  <c r="CD19" i="12"/>
  <c r="CD21" i="12" s="1"/>
  <c r="CZ1326" i="12"/>
  <c r="DA1326" i="12" l="1"/>
  <c r="DB1326" i="12"/>
  <c r="DF1326" i="12" s="1"/>
  <c r="DC1326" i="12"/>
  <c r="DD1326" i="12"/>
  <c r="DE1326" i="12"/>
  <c r="CK156" i="12"/>
  <c r="CK158" i="12" s="1"/>
  <c r="FC56" i="12"/>
  <c r="FD56" i="12" s="1"/>
  <c r="FE56" i="12" s="1"/>
  <c r="FB294" i="12"/>
  <c r="FC294" i="12" s="1"/>
  <c r="FD294" i="12" s="1"/>
  <c r="FA295" i="12"/>
  <c r="FB57" i="12"/>
  <c r="CZ1327" i="12"/>
  <c r="DA1327" i="12" l="1"/>
  <c r="DE1327" i="12"/>
  <c r="DB1327" i="12"/>
  <c r="DF1327" i="12" s="1"/>
  <c r="DD1327" i="12"/>
  <c r="DC1327" i="12"/>
  <c r="CK160" i="12"/>
  <c r="FC57" i="12"/>
  <c r="FD57" i="12" s="1"/>
  <c r="FE57" i="12" s="1"/>
  <c r="FB295" i="12"/>
  <c r="FC295" i="12" s="1"/>
  <c r="FD295" i="12" s="1"/>
  <c r="FA296" i="12"/>
  <c r="FB58" i="12"/>
  <c r="CZ1328" i="12"/>
  <c r="DB1328" i="12" l="1"/>
  <c r="DF1328" i="12" s="1"/>
  <c r="DD1328" i="12"/>
  <c r="DE1328" i="12"/>
  <c r="DC1328" i="12"/>
  <c r="DA1328" i="12"/>
  <c r="CK186" i="12"/>
  <c r="J27" i="14" s="1"/>
  <c r="FC58" i="12"/>
  <c r="FD58" i="12" s="1"/>
  <c r="FE58" i="12" s="1"/>
  <c r="FB296" i="12"/>
  <c r="FC296" i="12" s="1"/>
  <c r="FD296" i="12" s="1"/>
  <c r="FA297" i="12"/>
  <c r="FB59" i="12"/>
  <c r="CD126" i="12"/>
  <c r="CZ1329" i="12"/>
  <c r="DC1329" i="12" l="1"/>
  <c r="DB1329" i="12"/>
  <c r="DF1329" i="12" s="1"/>
  <c r="DD1329" i="12"/>
  <c r="DA1329" i="12"/>
  <c r="DE1329" i="12"/>
  <c r="H13" i="14"/>
  <c r="H16" i="14"/>
  <c r="H23" i="14"/>
  <c r="J28" i="14"/>
  <c r="J35" i="14"/>
  <c r="H56" i="14"/>
  <c r="H41" i="14"/>
  <c r="J15" i="14"/>
  <c r="H37" i="14"/>
  <c r="H14" i="14"/>
  <c r="H35" i="14"/>
  <c r="J42" i="14"/>
  <c r="H58" i="14"/>
  <c r="J49" i="14"/>
  <c r="J19" i="14"/>
  <c r="J57" i="14"/>
  <c r="J52" i="14"/>
  <c r="H52" i="14"/>
  <c r="H19" i="14"/>
  <c r="J37" i="14"/>
  <c r="J13" i="14"/>
  <c r="J14" i="14"/>
  <c r="H22" i="14"/>
  <c r="H57" i="14"/>
  <c r="J32" i="14"/>
  <c r="J56" i="14"/>
  <c r="J39" i="14"/>
  <c r="H46" i="14"/>
  <c r="H26" i="14"/>
  <c r="H42" i="14"/>
  <c r="H39" i="14"/>
  <c r="J50" i="14"/>
  <c r="J46" i="14"/>
  <c r="H25" i="14"/>
  <c r="J47" i="14"/>
  <c r="H27" i="14"/>
  <c r="H48" i="14"/>
  <c r="J24" i="14"/>
  <c r="J59" i="14"/>
  <c r="J45" i="14"/>
  <c r="H28" i="14"/>
  <c r="H33" i="14"/>
  <c r="H40" i="14"/>
  <c r="H32" i="14"/>
  <c r="H36" i="14"/>
  <c r="J26" i="14"/>
  <c r="J34" i="14"/>
  <c r="J36" i="14"/>
  <c r="H30" i="14"/>
  <c r="H50" i="14"/>
  <c r="H47" i="14"/>
  <c r="H49" i="14"/>
  <c r="J58" i="14"/>
  <c r="J30" i="14"/>
  <c r="H55" i="14"/>
  <c r="H45" i="14"/>
  <c r="H38" i="14"/>
  <c r="H21" i="14"/>
  <c r="J31" i="14"/>
  <c r="J40" i="14"/>
  <c r="H29" i="14"/>
  <c r="H51" i="14"/>
  <c r="J54" i="14"/>
  <c r="H20" i="14"/>
  <c r="J16" i="14"/>
  <c r="J51" i="14"/>
  <c r="J17" i="14"/>
  <c r="H59" i="14"/>
  <c r="H31" i="14"/>
  <c r="J38" i="14"/>
  <c r="H18" i="14"/>
  <c r="H24" i="14"/>
  <c r="H34" i="14"/>
  <c r="H15" i="14"/>
  <c r="H17" i="14"/>
  <c r="J43" i="14"/>
  <c r="J22" i="14"/>
  <c r="J25" i="14"/>
  <c r="J23" i="14"/>
  <c r="H44" i="14"/>
  <c r="H43" i="14"/>
  <c r="H53" i="14"/>
  <c r="J55" i="14"/>
  <c r="J21" i="14"/>
  <c r="J18" i="14"/>
  <c r="J33" i="14"/>
  <c r="J44" i="14"/>
  <c r="J29" i="14"/>
  <c r="J53" i="14"/>
  <c r="J48" i="14"/>
  <c r="J20" i="14"/>
  <c r="J41" i="14"/>
  <c r="H54" i="14"/>
  <c r="FC59" i="12"/>
  <c r="FD59" i="12" s="1"/>
  <c r="FE59" i="12" s="1"/>
  <c r="FB297" i="12"/>
  <c r="FC297" i="12" s="1"/>
  <c r="FD297" i="12" s="1"/>
  <c r="FA298" i="12"/>
  <c r="FB60" i="12"/>
  <c r="CZ1330" i="12"/>
  <c r="DA1330" i="12" l="1"/>
  <c r="DD1330" i="12"/>
  <c r="DB1330" i="12"/>
  <c r="DF1330" i="12" s="1"/>
  <c r="DC1330" i="12"/>
  <c r="DE1330" i="12"/>
  <c r="CE145" i="12"/>
  <c r="CD145" i="12" s="1"/>
  <c r="CE143" i="12"/>
  <c r="CI143" i="12" s="1"/>
  <c r="CE187" i="12"/>
  <c r="CI187" i="12" s="1"/>
  <c r="CE98" i="12"/>
  <c r="CD98" i="12" s="1"/>
  <c r="CD100" i="12" s="1"/>
  <c r="CD101" i="12" s="1"/>
  <c r="CD102" i="12" s="1"/>
  <c r="CE153" i="12"/>
  <c r="CD153" i="12" s="1"/>
  <c r="CE37" i="12"/>
  <c r="CD37" i="12" s="1"/>
  <c r="CE133" i="12"/>
  <c r="CI133" i="12" s="1"/>
  <c r="CE33" i="12"/>
  <c r="CD33" i="12" s="1"/>
  <c r="CE139" i="12"/>
  <c r="CI139" i="12" s="1"/>
  <c r="CE56" i="12"/>
  <c r="CI56" i="12" s="1"/>
  <c r="CE147" i="12"/>
  <c r="CE151" i="12"/>
  <c r="CD151" i="12" s="1"/>
  <c r="CE35" i="12"/>
  <c r="CD35" i="12" s="1"/>
  <c r="CE137" i="12"/>
  <c r="CI137" i="12" s="1"/>
  <c r="CE161" i="12"/>
  <c r="CI161" i="12" s="1"/>
  <c r="CE64" i="12"/>
  <c r="CI64" i="12" s="1"/>
  <c r="CE60" i="12"/>
  <c r="CD60" i="12" s="1"/>
  <c r="CE157" i="12"/>
  <c r="CI157" i="12" s="1"/>
  <c r="CE62" i="12"/>
  <c r="CD62" i="12" s="1"/>
  <c r="CE155" i="12"/>
  <c r="CI155" i="12" s="1"/>
  <c r="CE58" i="12"/>
  <c r="CD58" i="12" s="1"/>
  <c r="CE66" i="12"/>
  <c r="CD66" i="12" s="1"/>
  <c r="CE141" i="12"/>
  <c r="CI141" i="12" s="1"/>
  <c r="CE159" i="12"/>
  <c r="CD159" i="12" s="1"/>
  <c r="CE39" i="12"/>
  <c r="CD39" i="12" s="1"/>
  <c r="CE68" i="12"/>
  <c r="CI68" i="12" s="1"/>
  <c r="CE31" i="12"/>
  <c r="CD31" i="12" s="1"/>
  <c r="CE149" i="12"/>
  <c r="CD149" i="12" s="1"/>
  <c r="CE135" i="12"/>
  <c r="CI135" i="12" s="1"/>
  <c r="CE54" i="12"/>
  <c r="CI54" i="12" s="1"/>
  <c r="FC60" i="12"/>
  <c r="FD60" i="12" s="1"/>
  <c r="FE60" i="12" s="1"/>
  <c r="FB298" i="12"/>
  <c r="FC298" i="12" s="1"/>
  <c r="FD298" i="12" s="1"/>
  <c r="FA299" i="12"/>
  <c r="FB61" i="12"/>
  <c r="CZ1331" i="12"/>
  <c r="DB1331" i="12" l="1"/>
  <c r="DF1331" i="12" s="1"/>
  <c r="DC1331" i="12"/>
  <c r="DA1331" i="12"/>
  <c r="DD1331" i="12"/>
  <c r="DE1331" i="12"/>
  <c r="CI145" i="12"/>
  <c r="CD143" i="12"/>
  <c r="CD56" i="12"/>
  <c r="CI60" i="12"/>
  <c r="CI153" i="12"/>
  <c r="CI58" i="12"/>
  <c r="CD155" i="12"/>
  <c r="CI159" i="12"/>
  <c r="CI151" i="12"/>
  <c r="CI62" i="12"/>
  <c r="CI98" i="12"/>
  <c r="CE29" i="12"/>
  <c r="CD29" i="12" s="1"/>
  <c r="CD43" i="12" s="1"/>
  <c r="CD44" i="12" s="1"/>
  <c r="CD45" i="12" s="1"/>
  <c r="CD46" i="12" s="1"/>
  <c r="CD47" i="12" s="1"/>
  <c r="CD161" i="12"/>
  <c r="CD141" i="12"/>
  <c r="CI149" i="12"/>
  <c r="CD135" i="12"/>
  <c r="CI66" i="12"/>
  <c r="CD137" i="12"/>
  <c r="CD147" i="12"/>
  <c r="CI147" i="12"/>
  <c r="FC61" i="12"/>
  <c r="FD61" i="12" s="1"/>
  <c r="FE61" i="12" s="1"/>
  <c r="FB299" i="12"/>
  <c r="FC299" i="12" s="1"/>
  <c r="FD299" i="12" s="1"/>
  <c r="FA300" i="12"/>
  <c r="FB62" i="12"/>
  <c r="CD226" i="12"/>
  <c r="CZ1332" i="12"/>
  <c r="DE1332" i="12" l="1"/>
  <c r="DD1332" i="12"/>
  <c r="DB1332" i="12"/>
  <c r="DF1332" i="12" s="1"/>
  <c r="DC1332" i="12"/>
  <c r="DA1332" i="12"/>
  <c r="CD49" i="12"/>
  <c r="CD51" i="12" s="1"/>
  <c r="CD52" i="12" s="1"/>
  <c r="CD53" i="12" s="1"/>
  <c r="CD54" i="12" s="1"/>
  <c r="CD63" i="12" s="1"/>
  <c r="CD64" i="12" s="1"/>
  <c r="FC62" i="12"/>
  <c r="FD62" i="12" s="1"/>
  <c r="FE62" i="12" s="1"/>
  <c r="FB300" i="12"/>
  <c r="FC300" i="12" s="1"/>
  <c r="FD300" i="12" s="1"/>
  <c r="FA301" i="12"/>
  <c r="FB63" i="12"/>
  <c r="CZ1333" i="12"/>
  <c r="DE1333" i="12" l="1"/>
  <c r="DC1333" i="12"/>
  <c r="DD1333" i="12"/>
  <c r="DA1333" i="12"/>
  <c r="DB1333" i="12"/>
  <c r="DF1333" i="12" s="1"/>
  <c r="CD67" i="12"/>
  <c r="CD68" i="12" s="1"/>
  <c r="FC63" i="12"/>
  <c r="FD63" i="12" s="1"/>
  <c r="FE63" i="12" s="1"/>
  <c r="FB301" i="12"/>
  <c r="FC301" i="12" s="1"/>
  <c r="FD301" i="12" s="1"/>
  <c r="FA302" i="12"/>
  <c r="FB64" i="12"/>
  <c r="CZ1334" i="12"/>
  <c r="DC1334" i="12" l="1"/>
  <c r="DD1334" i="12"/>
  <c r="DE1334" i="12"/>
  <c r="DB1334" i="12"/>
  <c r="DF1334" i="12" s="1"/>
  <c r="DA1334" i="12"/>
  <c r="CD69" i="12"/>
  <c r="CD79" i="12" s="1"/>
  <c r="CD80" i="12" s="1"/>
  <c r="CD81" i="12" s="1"/>
  <c r="FC64" i="12"/>
  <c r="FD64" i="12" s="1"/>
  <c r="FE64" i="12" s="1"/>
  <c r="FB302" i="12"/>
  <c r="FC302" i="12" s="1"/>
  <c r="FD302" i="12" s="1"/>
  <c r="FA303" i="12"/>
  <c r="FB65" i="12"/>
  <c r="CZ1335" i="12"/>
  <c r="DD1335" i="12" l="1"/>
  <c r="DC1335" i="12"/>
  <c r="DE1335" i="12"/>
  <c r="DA1335" i="12"/>
  <c r="DB1335" i="12"/>
  <c r="DF1335" i="12" s="1"/>
  <c r="CD82" i="12"/>
  <c r="CD83" i="12" s="1"/>
  <c r="CD84" i="12" s="1"/>
  <c r="CD85" i="12" s="1"/>
  <c r="FC65" i="12"/>
  <c r="FD65" i="12" s="1"/>
  <c r="FE65" i="12" s="1"/>
  <c r="FB303" i="12"/>
  <c r="FC303" i="12" s="1"/>
  <c r="FD303" i="12" s="1"/>
  <c r="FA304" i="12"/>
  <c r="FB66" i="12"/>
  <c r="DF60" i="12"/>
  <c r="CZ1336" i="12"/>
  <c r="DB1336" i="12" l="1"/>
  <c r="DF1336" i="12" s="1"/>
  <c r="DA1336" i="12"/>
  <c r="DE1336" i="12"/>
  <c r="DD1336" i="12"/>
  <c r="DC1336" i="12"/>
  <c r="FC66" i="12"/>
  <c r="FD66" i="12" s="1"/>
  <c r="FE66" i="12" s="1"/>
  <c r="FB304" i="12"/>
  <c r="FC304" i="12" s="1"/>
  <c r="FD304" i="12" s="1"/>
  <c r="FA305" i="12"/>
  <c r="FB67" i="12"/>
  <c r="DF61" i="12"/>
  <c r="CZ1337" i="12"/>
  <c r="DB1337" i="12" l="1"/>
  <c r="DF1337" i="12" s="1"/>
  <c r="DA1337" i="12"/>
  <c r="DE1337" i="12"/>
  <c r="DD1337" i="12"/>
  <c r="DC1337" i="12"/>
  <c r="FC67" i="12"/>
  <c r="FD67" i="12" s="1"/>
  <c r="FE67" i="12" s="1"/>
  <c r="FB305" i="12"/>
  <c r="FC305" i="12" s="1"/>
  <c r="FD305" i="12" s="1"/>
  <c r="FA306" i="12"/>
  <c r="FB68" i="12"/>
  <c r="CZ1338" i="12"/>
  <c r="DB1338" i="12" l="1"/>
  <c r="DF1338" i="12" s="1"/>
  <c r="DF1339" i="12" s="1"/>
  <c r="DG2" i="12" s="1"/>
  <c r="DF2" i="12" s="1"/>
  <c r="DD1338" i="12"/>
  <c r="DC1338" i="12"/>
  <c r="DA1338" i="12"/>
  <c r="DE1338" i="12"/>
  <c r="FC68" i="12"/>
  <c r="FD68" i="12" s="1"/>
  <c r="FE68" i="12" s="1"/>
  <c r="FB306" i="12"/>
  <c r="FC306" i="12" s="1"/>
  <c r="FD306" i="12" s="1"/>
  <c r="FA307" i="12"/>
  <c r="FB69" i="12"/>
  <c r="FC69" i="12" l="1"/>
  <c r="FD69" i="12" s="1"/>
  <c r="FE69" i="12" s="1"/>
  <c r="FB307" i="12"/>
  <c r="FC307" i="12" s="1"/>
  <c r="FD307" i="12" s="1"/>
  <c r="FA308" i="12"/>
  <c r="FB70" i="12"/>
  <c r="FC70" i="12" l="1"/>
  <c r="FD70" i="12" s="1"/>
  <c r="FE70" i="12" s="1"/>
  <c r="FB308" i="12"/>
  <c r="FC308" i="12" s="1"/>
  <c r="FD308" i="12" s="1"/>
  <c r="FA309" i="12"/>
  <c r="FB71" i="12"/>
  <c r="FC71" i="12" l="1"/>
  <c r="FD71" i="12" s="1"/>
  <c r="FE71" i="12" s="1"/>
  <c r="FB309" i="12"/>
  <c r="FC309" i="12" s="1"/>
  <c r="FD309" i="12" s="1"/>
  <c r="FA310" i="12"/>
  <c r="FB72" i="12"/>
  <c r="FC72" i="12" l="1"/>
  <c r="FD72" i="12" s="1"/>
  <c r="FE72" i="12" s="1"/>
  <c r="FB310" i="12"/>
  <c r="FC310" i="12" s="1"/>
  <c r="FD310" i="12" s="1"/>
  <c r="FA311" i="12"/>
  <c r="FB73" i="12"/>
  <c r="FC73" i="12" l="1"/>
  <c r="FD73" i="12" s="1"/>
  <c r="FE73" i="12" s="1"/>
  <c r="FB311" i="12"/>
  <c r="FC311" i="12" s="1"/>
  <c r="FD311" i="12" s="1"/>
  <c r="FA312" i="12"/>
  <c r="FB74" i="12"/>
  <c r="FC74" i="12" l="1"/>
  <c r="FD74" i="12" s="1"/>
  <c r="FE74" i="12" s="1"/>
  <c r="FB312" i="12"/>
  <c r="FC312" i="12" s="1"/>
  <c r="FD312" i="12" s="1"/>
  <c r="FA313" i="12"/>
  <c r="FB75" i="12"/>
  <c r="FC75" i="12" l="1"/>
  <c r="FD75" i="12" s="1"/>
  <c r="FE75" i="12" s="1"/>
  <c r="FB313" i="12"/>
  <c r="FC313" i="12" s="1"/>
  <c r="FD313" i="12" s="1"/>
  <c r="FA314" i="12"/>
  <c r="FB76" i="12"/>
  <c r="DF75" i="12"/>
  <c r="FC76" i="12" l="1"/>
  <c r="FD76" i="12" s="1"/>
  <c r="FE76" i="12" s="1"/>
  <c r="FB314" i="12"/>
  <c r="FC314" i="12" s="1"/>
  <c r="FD314" i="12" s="1"/>
  <c r="FA315" i="12"/>
  <c r="FB77" i="12"/>
  <c r="DF76" i="12"/>
  <c r="FC77" i="12" l="1"/>
  <c r="FD77" i="12" s="1"/>
  <c r="FE77" i="12" s="1"/>
  <c r="FB315" i="12"/>
  <c r="FC315" i="12" s="1"/>
  <c r="FD315" i="12" s="1"/>
  <c r="FA316" i="12"/>
  <c r="FB78" i="12"/>
  <c r="DF77" i="12"/>
  <c r="FC78" i="12" l="1"/>
  <c r="FD78" i="12" s="1"/>
  <c r="FE78" i="12" s="1"/>
  <c r="FB316" i="12"/>
  <c r="FC316" i="12" s="1"/>
  <c r="FD316" i="12" s="1"/>
  <c r="FA317" i="12"/>
  <c r="FB79" i="12"/>
  <c r="DF78" i="12"/>
  <c r="FC79" i="12" l="1"/>
  <c r="FD79" i="12" s="1"/>
  <c r="FE79" i="12" s="1"/>
  <c r="FB317" i="12"/>
  <c r="FC317" i="12" s="1"/>
  <c r="FD317" i="12" s="1"/>
  <c r="FA318" i="12"/>
  <c r="FB80" i="12"/>
  <c r="DF79" i="12"/>
  <c r="FC80" i="12" l="1"/>
  <c r="FD80" i="12" s="1"/>
  <c r="FE80" i="12" s="1"/>
  <c r="FB318" i="12"/>
  <c r="FC318" i="12" s="1"/>
  <c r="FD318" i="12" s="1"/>
  <c r="FA319" i="12"/>
  <c r="FB81" i="12"/>
  <c r="FC81" i="12" l="1"/>
  <c r="FD81" i="12" s="1"/>
  <c r="FE81" i="12" s="1"/>
  <c r="FB319" i="12"/>
  <c r="FC319" i="12" s="1"/>
  <c r="FD319" i="12" s="1"/>
  <c r="FA320" i="12"/>
  <c r="FB82" i="12"/>
  <c r="FC82" i="12" l="1"/>
  <c r="FD82" i="12" s="1"/>
  <c r="FE82" i="12" s="1"/>
  <c r="FB320" i="12"/>
  <c r="FC320" i="12" s="1"/>
  <c r="FD320" i="12" s="1"/>
  <c r="FA321" i="12"/>
  <c r="FB83" i="12"/>
  <c r="FC83" i="12" l="1"/>
  <c r="FD83" i="12" s="1"/>
  <c r="FE83" i="12" s="1"/>
  <c r="FB321" i="12"/>
  <c r="FC321" i="12" s="1"/>
  <c r="FD321" i="12" s="1"/>
  <c r="FA322" i="12"/>
  <c r="FB84" i="12"/>
  <c r="FC84" i="12" l="1"/>
  <c r="FD84" i="12" s="1"/>
  <c r="FE84" i="12" s="1"/>
  <c r="FB322" i="12"/>
  <c r="FC322" i="12" s="1"/>
  <c r="FD322" i="12" s="1"/>
  <c r="FA323" i="12"/>
  <c r="FB85" i="12"/>
  <c r="FC85" i="12" l="1"/>
  <c r="FD85" i="12" s="1"/>
  <c r="FE85" i="12" s="1"/>
  <c r="FB323" i="12"/>
  <c r="FC323" i="12" s="1"/>
  <c r="FD323" i="12" s="1"/>
  <c r="FA324" i="12"/>
  <c r="FB86" i="12"/>
  <c r="FC86" i="12" l="1"/>
  <c r="FD86" i="12" s="1"/>
  <c r="FE86" i="12" s="1"/>
  <c r="FB324" i="12"/>
  <c r="FC324" i="12" s="1"/>
  <c r="FD324" i="12" s="1"/>
  <c r="FA325" i="12"/>
  <c r="FB87" i="12"/>
  <c r="FC87" i="12" l="1"/>
  <c r="FD87" i="12" s="1"/>
  <c r="FE87" i="12" s="1"/>
  <c r="FB325" i="12"/>
  <c r="FC325" i="12" s="1"/>
  <c r="FD325" i="12" s="1"/>
  <c r="FA326" i="12"/>
  <c r="FB88" i="12"/>
  <c r="FC88" i="12" l="1"/>
  <c r="FD88" i="12" s="1"/>
  <c r="FE88" i="12" s="1"/>
  <c r="FB326" i="12"/>
  <c r="FC326" i="12" s="1"/>
  <c r="FD326" i="12" s="1"/>
  <c r="FA327" i="12"/>
  <c r="FB89" i="12"/>
  <c r="FC89" i="12" l="1"/>
  <c r="FD89" i="12" s="1"/>
  <c r="FE89" i="12" s="1"/>
  <c r="FB327" i="12"/>
  <c r="FC327" i="12" s="1"/>
  <c r="FD327" i="12" s="1"/>
  <c r="FA328" i="12"/>
  <c r="FB90" i="12"/>
  <c r="FC90" i="12" l="1"/>
  <c r="FD90" i="12" s="1"/>
  <c r="FE90" i="12" s="1"/>
  <c r="FB328" i="12"/>
  <c r="FC328" i="12" s="1"/>
  <c r="FD328" i="12" s="1"/>
  <c r="FA329" i="12"/>
  <c r="FB91" i="12"/>
  <c r="FC91" i="12" l="1"/>
  <c r="FD91" i="12" s="1"/>
  <c r="FE91" i="12" s="1"/>
  <c r="FB329" i="12"/>
  <c r="FC329" i="12" s="1"/>
  <c r="FD329" i="12" s="1"/>
  <c r="FA330" i="12"/>
  <c r="FB92" i="12"/>
  <c r="FC92" i="12" l="1"/>
  <c r="FD92" i="12" s="1"/>
  <c r="FE92" i="12" s="1"/>
  <c r="FB330" i="12"/>
  <c r="FC330" i="12" s="1"/>
  <c r="FD330" i="12" s="1"/>
  <c r="FA331" i="12"/>
  <c r="FB93" i="12"/>
  <c r="FC93" i="12" l="1"/>
  <c r="FD93" i="12" s="1"/>
  <c r="FE93" i="12" s="1"/>
  <c r="FB331" i="12"/>
  <c r="FC331" i="12" s="1"/>
  <c r="FD331" i="12" s="1"/>
  <c r="FA332" i="12"/>
  <c r="FB94" i="12"/>
  <c r="FC94" i="12" l="1"/>
  <c r="FD94" i="12" s="1"/>
  <c r="FE94" i="12" s="1"/>
  <c r="FB332" i="12"/>
  <c r="FC332" i="12" s="1"/>
  <c r="FD332" i="12" s="1"/>
  <c r="FA333" i="12"/>
  <c r="FB95" i="12"/>
  <c r="FC95" i="12" l="1"/>
  <c r="FD95" i="12" s="1"/>
  <c r="FE95" i="12" s="1"/>
  <c r="FB333" i="12"/>
  <c r="FC333" i="12" s="1"/>
  <c r="FD333" i="12" s="1"/>
  <c r="FA334" i="12"/>
  <c r="FB96" i="12"/>
  <c r="FC96" i="12" l="1"/>
  <c r="FD96" i="12" s="1"/>
  <c r="FE96" i="12" s="1"/>
  <c r="FB334" i="12"/>
  <c r="FC334" i="12" s="1"/>
  <c r="FD334" i="12" s="1"/>
  <c r="FA335" i="12"/>
  <c r="FB97" i="12"/>
  <c r="FC97" i="12" l="1"/>
  <c r="FD97" i="12" s="1"/>
  <c r="FE97" i="12" s="1"/>
  <c r="FB335" i="12"/>
  <c r="FC335" i="12" s="1"/>
  <c r="FD335" i="12" s="1"/>
  <c r="FA336" i="12"/>
  <c r="FB98" i="12"/>
  <c r="FC98" i="12" l="1"/>
  <c r="FD98" i="12" s="1"/>
  <c r="FE98" i="12" s="1"/>
  <c r="FB336" i="12"/>
  <c r="FC336" i="12" s="1"/>
  <c r="FD336" i="12" s="1"/>
  <c r="FA337" i="12"/>
  <c r="FB99" i="12"/>
  <c r="FC99" i="12" l="1"/>
  <c r="FD99" i="12" s="1"/>
  <c r="FE99" i="12" s="1"/>
  <c r="FB337" i="12"/>
  <c r="FC337" i="12" s="1"/>
  <c r="FD337" i="12" s="1"/>
  <c r="FA338" i="12"/>
  <c r="FB100" i="12"/>
  <c r="FC100" i="12" l="1"/>
  <c r="FD100" i="12" s="1"/>
  <c r="FE100" i="12" s="1"/>
  <c r="FB338" i="12"/>
  <c r="FC338" i="12" s="1"/>
  <c r="FD338" i="12" s="1"/>
  <c r="FA339" i="12"/>
  <c r="FB101" i="12"/>
  <c r="FC101" i="12" l="1"/>
  <c r="FD101" i="12" s="1"/>
  <c r="FE101" i="12" s="1"/>
  <c r="FB339" i="12"/>
  <c r="FC339" i="12" s="1"/>
  <c r="FD339" i="12" s="1"/>
  <c r="FA340" i="12"/>
  <c r="FB102" i="12"/>
  <c r="FC102" i="12" l="1"/>
  <c r="FD102" i="12" s="1"/>
  <c r="FE102" i="12" s="1"/>
  <c r="FB340" i="12"/>
  <c r="FC340" i="12" s="1"/>
  <c r="FD340" i="12" s="1"/>
  <c r="FA341" i="12"/>
  <c r="FB103" i="12"/>
  <c r="FC103" i="12" l="1"/>
  <c r="FD103" i="12" s="1"/>
  <c r="FE103" i="12" s="1"/>
  <c r="FB341" i="12"/>
  <c r="FC341" i="12" s="1"/>
  <c r="FD341" i="12" s="1"/>
  <c r="FA342" i="12"/>
  <c r="FB104" i="12"/>
  <c r="FC104" i="12" l="1"/>
  <c r="FD104" i="12" s="1"/>
  <c r="FE104" i="12" s="1"/>
  <c r="FB342" i="12"/>
  <c r="FC342" i="12" s="1"/>
  <c r="FD342" i="12" s="1"/>
  <c r="FA343" i="12"/>
  <c r="FB105" i="12"/>
  <c r="FC105" i="12" l="1"/>
  <c r="FD105" i="12" s="1"/>
  <c r="FE105" i="12" s="1"/>
  <c r="FB343" i="12"/>
  <c r="FC343" i="12" s="1"/>
  <c r="FD343" i="12" s="1"/>
  <c r="FA344" i="12"/>
  <c r="FB106" i="12"/>
  <c r="FC106" i="12" l="1"/>
  <c r="FD106" i="12" s="1"/>
  <c r="FE106" i="12" s="1"/>
  <c r="FB344" i="12"/>
  <c r="FC344" i="12" s="1"/>
  <c r="FD344" i="12" s="1"/>
  <c r="FA345" i="12"/>
  <c r="FB107" i="12"/>
  <c r="FC107" i="12" l="1"/>
  <c r="FD107" i="12" s="1"/>
  <c r="FE107" i="12" s="1"/>
  <c r="FB345" i="12"/>
  <c r="FC345" i="12" s="1"/>
  <c r="FD345" i="12" s="1"/>
  <c r="FA346" i="12"/>
  <c r="FB108" i="12"/>
  <c r="FC108" i="12" l="1"/>
  <c r="FD108" i="12" s="1"/>
  <c r="FE108" i="12" s="1"/>
  <c r="FB346" i="12"/>
  <c r="FC346" i="12" s="1"/>
  <c r="FD346" i="12" s="1"/>
  <c r="FA347" i="12"/>
  <c r="FB109" i="12"/>
  <c r="FC109" i="12" l="1"/>
  <c r="FD109" i="12" s="1"/>
  <c r="FE109" i="12" s="1"/>
  <c r="FB347" i="12"/>
  <c r="FC347" i="12" s="1"/>
  <c r="FD347" i="12" s="1"/>
  <c r="FA348" i="12"/>
  <c r="FB110" i="12"/>
  <c r="FC110" i="12" l="1"/>
  <c r="FD110" i="12" s="1"/>
  <c r="FE110" i="12" s="1"/>
  <c r="FB348" i="12"/>
  <c r="FC348" i="12" s="1"/>
  <c r="FD348" i="12" s="1"/>
  <c r="FA349" i="12"/>
  <c r="FB111" i="12"/>
  <c r="FC111" i="12" l="1"/>
  <c r="FD111" i="12" s="1"/>
  <c r="FE111" i="12" s="1"/>
  <c r="FB349" i="12"/>
  <c r="FC349" i="12" s="1"/>
  <c r="FD349" i="12" s="1"/>
  <c r="FA350" i="12"/>
  <c r="FB112" i="12"/>
  <c r="FC112" i="12" l="1"/>
  <c r="FD112" i="12" s="1"/>
  <c r="FE112" i="12" s="1"/>
  <c r="FB350" i="12"/>
  <c r="FC350" i="12" s="1"/>
  <c r="FD350" i="12" s="1"/>
  <c r="FA351" i="12"/>
  <c r="FB113" i="12"/>
  <c r="FC113" i="12" l="1"/>
  <c r="FD113" i="12" s="1"/>
  <c r="FE113" i="12" s="1"/>
  <c r="FB351" i="12"/>
  <c r="FC351" i="12" s="1"/>
  <c r="FD351" i="12" s="1"/>
  <c r="FA352" i="12"/>
  <c r="FB114" i="12"/>
  <c r="FC114" i="12" l="1"/>
  <c r="FD114" i="12" s="1"/>
  <c r="FE114" i="12" s="1"/>
  <c r="FB352" i="12"/>
  <c r="FC352" i="12" s="1"/>
  <c r="FD352" i="12" s="1"/>
  <c r="FA353" i="12"/>
  <c r="FB115" i="12"/>
  <c r="FC115" i="12" l="1"/>
  <c r="FD115" i="12" s="1"/>
  <c r="FE115" i="12" s="1"/>
  <c r="FB353" i="12"/>
  <c r="FC353" i="12" s="1"/>
  <c r="FD353" i="12" s="1"/>
  <c r="FA354" i="12"/>
  <c r="FB116" i="12"/>
  <c r="FC116" i="12" l="1"/>
  <c r="FD116" i="12" s="1"/>
  <c r="FE116" i="12" s="1"/>
  <c r="FB354" i="12"/>
  <c r="FC354" i="12" s="1"/>
  <c r="FD354" i="12" s="1"/>
  <c r="FA355" i="12"/>
  <c r="FB117" i="12"/>
  <c r="FC117" i="12" l="1"/>
  <c r="FD117" i="12" s="1"/>
  <c r="FE117" i="12" s="1"/>
  <c r="FB355" i="12"/>
  <c r="FC355" i="12" s="1"/>
  <c r="FD355" i="12" s="1"/>
  <c r="FA356" i="12"/>
  <c r="FB118" i="12"/>
  <c r="FC118" i="12" l="1"/>
  <c r="FD118" i="12" s="1"/>
  <c r="FE118" i="12" s="1"/>
  <c r="FB356" i="12"/>
  <c r="FC356" i="12" s="1"/>
  <c r="FD356" i="12" s="1"/>
  <c r="FA357" i="12"/>
  <c r="FB119" i="12"/>
  <c r="FC119" i="12" l="1"/>
  <c r="FD119" i="12" s="1"/>
  <c r="FE119" i="12" s="1"/>
  <c r="FB357" i="12"/>
  <c r="FC357" i="12" s="1"/>
  <c r="FD357" i="12" s="1"/>
  <c r="FA358" i="12"/>
  <c r="FB120" i="12"/>
  <c r="FC120" i="12" l="1"/>
  <c r="FD120" i="12" s="1"/>
  <c r="FE120" i="12" s="1"/>
  <c r="FB358" i="12"/>
  <c r="FC358" i="12" s="1"/>
  <c r="FD358" i="12" s="1"/>
  <c r="FA359" i="12"/>
  <c r="FB121" i="12"/>
  <c r="FC121" i="12" l="1"/>
  <c r="FD121" i="12" s="1"/>
  <c r="FE121" i="12" s="1"/>
  <c r="FB359" i="12"/>
  <c r="FC359" i="12" s="1"/>
  <c r="FD359" i="12" s="1"/>
  <c r="FA360" i="12"/>
  <c r="FB122" i="12"/>
  <c r="FC122" i="12" l="1"/>
  <c r="FD122" i="12" s="1"/>
  <c r="FE122" i="12" s="1"/>
  <c r="FB360" i="12"/>
  <c r="FC360" i="12" s="1"/>
  <c r="FD360" i="12" s="1"/>
  <c r="FA361" i="12"/>
  <c r="FB123" i="12"/>
  <c r="FC123" i="12" l="1"/>
  <c r="FD123" i="12" s="1"/>
  <c r="FE123" i="12" s="1"/>
  <c r="FB361" i="12"/>
  <c r="FC361" i="12" s="1"/>
  <c r="FD361" i="12" s="1"/>
  <c r="FA362" i="12"/>
  <c r="FB124" i="12"/>
  <c r="FC124" i="12" l="1"/>
  <c r="FD124" i="12" s="1"/>
  <c r="FE124" i="12" s="1"/>
  <c r="FB362" i="12"/>
  <c r="FC362" i="12" s="1"/>
  <c r="FD362" i="12" s="1"/>
  <c r="FA363" i="12"/>
  <c r="FB125" i="12"/>
  <c r="FC125" i="12" l="1"/>
  <c r="FD125" i="12" s="1"/>
  <c r="FE125" i="12" s="1"/>
  <c r="FB363" i="12"/>
  <c r="FC363" i="12" s="1"/>
  <c r="FD363" i="12" s="1"/>
  <c r="FA364" i="12"/>
  <c r="FB126" i="12"/>
  <c r="FC126" i="12" l="1"/>
  <c r="FD126" i="12" s="1"/>
  <c r="FE126" i="12" s="1"/>
  <c r="FB364" i="12"/>
  <c r="FC364" i="12" s="1"/>
  <c r="FD364" i="12" s="1"/>
  <c r="FA365" i="12"/>
  <c r="FB127" i="12"/>
  <c r="FC127" i="12" l="1"/>
  <c r="FD127" i="12" s="1"/>
  <c r="FE127" i="12" s="1"/>
  <c r="FB365" i="12"/>
  <c r="FC365" i="12" s="1"/>
  <c r="FD365" i="12" s="1"/>
  <c r="FA366" i="12"/>
  <c r="FB128" i="12"/>
  <c r="FC128" i="12" l="1"/>
  <c r="FD128" i="12" s="1"/>
  <c r="FE128" i="12" s="1"/>
  <c r="FB366" i="12"/>
  <c r="FC366" i="12" s="1"/>
  <c r="FD366" i="12" s="1"/>
  <c r="FA367" i="12"/>
  <c r="FB129" i="12"/>
  <c r="FC129" i="12" l="1"/>
  <c r="FD129" i="12" s="1"/>
  <c r="FE129" i="12" s="1"/>
  <c r="FB367" i="12"/>
  <c r="FC367" i="12" s="1"/>
  <c r="FD367" i="12" s="1"/>
  <c r="FA368" i="12"/>
  <c r="FB130" i="12"/>
  <c r="FC130" i="12" l="1"/>
  <c r="FD130" i="12" s="1"/>
  <c r="FE130" i="12" s="1"/>
  <c r="FB368" i="12"/>
  <c r="FC368" i="12" s="1"/>
  <c r="FD368" i="12" s="1"/>
  <c r="FA369" i="12"/>
  <c r="FB131" i="12"/>
  <c r="FC131" i="12" l="1"/>
  <c r="FD131" i="12" s="1"/>
  <c r="FE131" i="12" s="1"/>
  <c r="FB369" i="12"/>
  <c r="FC369" i="12" s="1"/>
  <c r="FD369" i="12" s="1"/>
  <c r="FA370" i="12"/>
  <c r="FB132" i="12"/>
  <c r="FC132" i="12" l="1"/>
  <c r="FD132" i="12" s="1"/>
  <c r="FE132" i="12" s="1"/>
  <c r="FB370" i="12"/>
  <c r="FC370" i="12" s="1"/>
  <c r="FD370" i="12" s="1"/>
  <c r="FA371" i="12"/>
  <c r="FB133" i="12"/>
  <c r="FC133" i="12" l="1"/>
  <c r="FD133" i="12" s="1"/>
  <c r="FE133" i="12" s="1"/>
  <c r="FB371" i="12"/>
  <c r="FC371" i="12" s="1"/>
  <c r="FD371" i="12" s="1"/>
  <c r="FA372" i="12"/>
  <c r="FB134" i="12"/>
  <c r="FC134" i="12" l="1"/>
  <c r="FD134" i="12" s="1"/>
  <c r="FE134" i="12" s="1"/>
  <c r="FB372" i="12"/>
  <c r="FC372" i="12" s="1"/>
  <c r="FD372" i="12" s="1"/>
  <c r="FA373" i="12"/>
  <c r="FB135" i="12"/>
  <c r="FC135" i="12" l="1"/>
  <c r="FD135" i="12" s="1"/>
  <c r="FE135" i="12" s="1"/>
  <c r="FB373" i="12"/>
  <c r="FC373" i="12" s="1"/>
  <c r="FD373" i="12" s="1"/>
  <c r="FA374" i="12"/>
  <c r="FB136" i="12"/>
  <c r="FC136" i="12" l="1"/>
  <c r="FD136" i="12" s="1"/>
  <c r="FE136" i="12" s="1"/>
  <c r="FB374" i="12"/>
  <c r="FC374" i="12" s="1"/>
  <c r="FD374" i="12" s="1"/>
  <c r="FA375" i="12"/>
  <c r="FB137" i="12"/>
  <c r="FC137" i="12" l="1"/>
  <c r="FD137" i="12" s="1"/>
  <c r="FE137" i="12" s="1"/>
  <c r="FB375" i="12"/>
  <c r="FC375" i="12" s="1"/>
  <c r="FD375" i="12" s="1"/>
  <c r="FA376" i="12"/>
  <c r="FB138" i="12"/>
  <c r="FC138" i="12" l="1"/>
  <c r="FD138" i="12" s="1"/>
  <c r="FE138" i="12" s="1"/>
  <c r="FB376" i="12"/>
  <c r="FC376" i="12" s="1"/>
  <c r="FD376" i="12" s="1"/>
  <c r="FA377" i="12"/>
  <c r="FB139" i="12"/>
  <c r="FC139" i="12" l="1"/>
  <c r="FD139" i="12" s="1"/>
  <c r="FE139" i="12" s="1"/>
  <c r="FB377" i="12"/>
  <c r="FC377" i="12" s="1"/>
  <c r="FD377" i="12" s="1"/>
  <c r="FA378" i="12"/>
  <c r="FB140" i="12"/>
  <c r="FC140" i="12" l="1"/>
  <c r="FD140" i="12" s="1"/>
  <c r="FE140" i="12" s="1"/>
  <c r="FB378" i="12"/>
  <c r="FC378" i="12" s="1"/>
  <c r="FD378" i="12" s="1"/>
  <c r="FA379" i="12"/>
  <c r="FB141" i="12"/>
  <c r="FC141" i="12" l="1"/>
  <c r="FD141" i="12" s="1"/>
  <c r="FE141" i="12" s="1"/>
  <c r="FB379" i="12"/>
  <c r="FC379" i="12" s="1"/>
  <c r="FD379" i="12" s="1"/>
  <c r="FA380" i="12"/>
  <c r="FB142" i="12"/>
  <c r="FC142" i="12" l="1"/>
  <c r="FD142" i="12" s="1"/>
  <c r="FE142" i="12" s="1"/>
  <c r="FB380" i="12"/>
  <c r="FC380" i="12" s="1"/>
  <c r="FD380" i="12" s="1"/>
  <c r="FA381" i="12"/>
  <c r="FB143" i="12"/>
  <c r="FC143" i="12" l="1"/>
  <c r="FD143" i="12" s="1"/>
  <c r="FE143" i="12" s="1"/>
  <c r="FB381" i="12"/>
  <c r="FC381" i="12" s="1"/>
  <c r="FD381" i="12" s="1"/>
  <c r="FA382" i="12"/>
  <c r="FB144" i="12"/>
  <c r="CD116" i="12"/>
  <c r="FC144" i="12" l="1"/>
  <c r="FD144" i="12" s="1"/>
  <c r="FE144" i="12" s="1"/>
  <c r="FB382" i="12"/>
  <c r="FC382" i="12" s="1"/>
  <c r="FD382" i="12" s="1"/>
  <c r="FA383" i="12"/>
  <c r="FB145" i="12"/>
  <c r="CD175" i="12"/>
  <c r="CD115" i="12"/>
  <c r="CD118" i="12" s="1"/>
  <c r="FC145" i="12" l="1"/>
  <c r="FD145" i="12" s="1"/>
  <c r="FE145" i="12" s="1"/>
  <c r="FB383" i="12"/>
  <c r="FC383" i="12" s="1"/>
  <c r="FD383" i="12" s="1"/>
  <c r="FA384" i="12"/>
  <c r="FB146" i="12"/>
  <c r="FC146" i="12" l="1"/>
  <c r="FD146" i="12" s="1"/>
  <c r="FE146" i="12" s="1"/>
  <c r="FB384" i="12"/>
  <c r="FC384" i="12" s="1"/>
  <c r="FD384" i="12" s="1"/>
  <c r="FA385" i="12"/>
  <c r="FB147" i="12"/>
  <c r="CD195" i="12"/>
  <c r="FC147" i="12" l="1"/>
  <c r="FD147" i="12" s="1"/>
  <c r="FE147" i="12" s="1"/>
  <c r="FB385" i="12"/>
  <c r="FC385" i="12" s="1"/>
  <c r="FD385" i="12" s="1"/>
  <c r="FA386" i="12"/>
  <c r="FB148" i="12"/>
  <c r="FC148" i="12" l="1"/>
  <c r="FD148" i="12" s="1"/>
  <c r="FE148" i="12" s="1"/>
  <c r="FB386" i="12"/>
  <c r="FC386" i="12" s="1"/>
  <c r="FD386" i="12" s="1"/>
  <c r="FA387" i="12"/>
  <c r="FB149" i="12"/>
  <c r="FC149" i="12" l="1"/>
  <c r="FD149" i="12" s="1"/>
  <c r="FE149" i="12" s="1"/>
  <c r="FB387" i="12"/>
  <c r="FC387" i="12" s="1"/>
  <c r="FD387" i="12" s="1"/>
  <c r="FA388" i="12"/>
  <c r="FB150" i="12"/>
  <c r="CD168" i="12"/>
  <c r="FC150" i="12" l="1"/>
  <c r="FD150" i="12" s="1"/>
  <c r="FE150" i="12" s="1"/>
  <c r="FB388" i="12"/>
  <c r="FC388" i="12" s="1"/>
  <c r="FD388" i="12" s="1"/>
  <c r="FA389" i="12"/>
  <c r="FB151" i="12"/>
  <c r="CD117" i="12"/>
  <c r="FC151" i="12" l="1"/>
  <c r="FD151" i="12" s="1"/>
  <c r="FE151" i="12" s="1"/>
  <c r="FB389" i="12"/>
  <c r="FC389" i="12" s="1"/>
  <c r="FD389" i="12" s="1"/>
  <c r="FA390" i="12"/>
  <c r="FB152" i="12"/>
  <c r="FC152" i="12" l="1"/>
  <c r="FD152" i="12" s="1"/>
  <c r="FE152" i="12" s="1"/>
  <c r="FB390" i="12"/>
  <c r="FC390" i="12" s="1"/>
  <c r="FD390" i="12" s="1"/>
  <c r="FA391" i="12"/>
  <c r="FB153" i="12"/>
  <c r="FC153" i="12" l="1"/>
  <c r="FD153" i="12" s="1"/>
  <c r="FE153" i="12" s="1"/>
  <c r="FB391" i="12"/>
  <c r="FC391" i="12" s="1"/>
  <c r="FD391" i="12" s="1"/>
  <c r="FA392" i="12"/>
  <c r="FB154" i="12"/>
  <c r="FC154" i="12" l="1"/>
  <c r="FD154" i="12" s="1"/>
  <c r="FE154" i="12" s="1"/>
  <c r="FB392" i="12"/>
  <c r="FC392" i="12" s="1"/>
  <c r="FD392" i="12" s="1"/>
  <c r="FA393" i="12"/>
  <c r="FB155" i="12"/>
  <c r="CD142" i="12"/>
  <c r="FC155" i="12" l="1"/>
  <c r="FD155" i="12" s="1"/>
  <c r="FE155" i="12" s="1"/>
  <c r="FB393" i="12"/>
  <c r="FC393" i="12" s="1"/>
  <c r="FD393" i="12" s="1"/>
  <c r="FA394" i="12"/>
  <c r="FB156" i="12"/>
  <c r="FC156" i="12" l="1"/>
  <c r="FD156" i="12" s="1"/>
  <c r="FE156" i="12" s="1"/>
  <c r="FB394" i="12"/>
  <c r="FC394" i="12" s="1"/>
  <c r="FD394" i="12" s="1"/>
  <c r="FA395" i="12"/>
  <c r="FB157" i="12"/>
  <c r="FC157" i="12" l="1"/>
  <c r="FD157" i="12" s="1"/>
  <c r="FE157" i="12" s="1"/>
  <c r="FB395" i="12"/>
  <c r="FC395" i="12" s="1"/>
  <c r="FD395" i="12" s="1"/>
  <c r="FA396" i="12"/>
  <c r="FB158" i="12"/>
  <c r="FC158" i="12" l="1"/>
  <c r="FD158" i="12" s="1"/>
  <c r="FE158" i="12" s="1"/>
  <c r="FB396" i="12"/>
  <c r="FC396" i="12" s="1"/>
  <c r="FD396" i="12" s="1"/>
  <c r="FA397" i="12"/>
  <c r="FB159" i="12"/>
  <c r="FC159" i="12" l="1"/>
  <c r="FD159" i="12" s="1"/>
  <c r="FE159" i="12" s="1"/>
  <c r="FB397" i="12"/>
  <c r="FC397" i="12" s="1"/>
  <c r="FD397" i="12" s="1"/>
  <c r="FA398" i="12"/>
  <c r="FB160" i="12"/>
  <c r="FC160" i="12" l="1"/>
  <c r="FD160" i="12" s="1"/>
  <c r="FE160" i="12" s="1"/>
  <c r="FB398" i="12"/>
  <c r="FC398" i="12" s="1"/>
  <c r="FD398" i="12" s="1"/>
  <c r="FA399" i="12"/>
  <c r="FB161" i="12"/>
  <c r="FC161" i="12" l="1"/>
  <c r="FD161" i="12" s="1"/>
  <c r="FE161" i="12" s="1"/>
  <c r="FB399" i="12"/>
  <c r="FC399" i="12" s="1"/>
  <c r="FD399" i="12" s="1"/>
  <c r="FA400" i="12"/>
  <c r="FB400" i="12" s="1"/>
  <c r="FC400" i="12" s="1"/>
  <c r="FD400" i="12" s="1"/>
  <c r="FB162" i="12"/>
  <c r="FC162" i="12" l="1"/>
  <c r="FD162" i="12" s="1"/>
  <c r="FE162" i="12" s="1"/>
  <c r="FB163" i="12"/>
  <c r="FC163" i="12" l="1"/>
  <c r="FD163" i="12" s="1"/>
  <c r="FE163" i="12" s="1"/>
  <c r="FB164" i="12"/>
  <c r="FC164" i="12" l="1"/>
  <c r="FD164" i="12" s="1"/>
  <c r="FE164" i="12" s="1"/>
  <c r="FB165" i="12"/>
  <c r="FC165" i="12" l="1"/>
  <c r="FD165" i="12" s="1"/>
  <c r="FE165" i="12" s="1"/>
  <c r="FB166" i="12"/>
  <c r="FC166" i="12" l="1"/>
  <c r="FD166" i="12" s="1"/>
  <c r="FE166" i="12" s="1"/>
  <c r="FB167" i="12"/>
  <c r="FC167" i="12" l="1"/>
  <c r="FD167" i="12" s="1"/>
  <c r="FE167" i="12" s="1"/>
  <c r="FB168" i="12"/>
  <c r="FC168" i="12" l="1"/>
  <c r="FD168" i="12" s="1"/>
  <c r="FE168" i="12" s="1"/>
  <c r="FB169" i="12"/>
  <c r="FC169" i="12" l="1"/>
  <c r="FD169" i="12" s="1"/>
  <c r="FE169" i="12" s="1"/>
  <c r="FB170" i="12"/>
  <c r="FC170" i="12" l="1"/>
  <c r="FD170" i="12" s="1"/>
  <c r="FE170" i="12" s="1"/>
  <c r="FB171" i="12"/>
  <c r="FC171" i="12" l="1"/>
  <c r="FD171" i="12" s="1"/>
  <c r="FE171" i="12" s="1"/>
  <c r="FB172" i="12"/>
  <c r="FC172" i="12" l="1"/>
  <c r="FD172" i="12" s="1"/>
  <c r="FE172" i="12" s="1"/>
  <c r="FB173" i="12"/>
  <c r="FC173" i="12" l="1"/>
  <c r="FD173" i="12" s="1"/>
  <c r="FE173" i="12" s="1"/>
  <c r="FB174" i="12"/>
  <c r="FC174" i="12" l="1"/>
  <c r="FD174" i="12" s="1"/>
  <c r="FE174" i="12" s="1"/>
  <c r="FB175" i="12"/>
  <c r="FC175" i="12" l="1"/>
  <c r="FD175" i="12" s="1"/>
  <c r="FE175" i="12" s="1"/>
  <c r="FB176" i="12"/>
  <c r="FC176" i="12" l="1"/>
  <c r="FD176" i="12" s="1"/>
  <c r="FE176" i="12" s="1"/>
  <c r="FB177" i="12"/>
  <c r="FC177" i="12" l="1"/>
  <c r="FD177" i="12" s="1"/>
  <c r="FE177" i="12" s="1"/>
  <c r="FB178" i="12"/>
  <c r="FC178" i="12" l="1"/>
  <c r="FD178" i="12" s="1"/>
  <c r="FE178" i="12" s="1"/>
  <c r="FB179" i="12"/>
  <c r="FC179" i="12" l="1"/>
  <c r="FD179" i="12" s="1"/>
  <c r="FE179" i="12" s="1"/>
  <c r="FB180" i="12"/>
  <c r="FC180" i="12" l="1"/>
  <c r="FD180" i="12" s="1"/>
  <c r="FE180" i="12" s="1"/>
  <c r="FB181" i="12"/>
  <c r="FC181" i="12" l="1"/>
  <c r="FD181" i="12" s="1"/>
  <c r="FE181" i="12" s="1"/>
  <c r="FB182" i="12"/>
  <c r="FC182" i="12" l="1"/>
  <c r="FD182" i="12" s="1"/>
  <c r="FE182" i="12" s="1"/>
  <c r="FB183" i="12"/>
  <c r="FC183" i="12" l="1"/>
  <c r="FD183" i="12" s="1"/>
  <c r="FE183" i="12" s="1"/>
  <c r="FB184" i="12"/>
  <c r="FC184" i="12" l="1"/>
  <c r="FD184" i="12" s="1"/>
  <c r="FE184" i="12" s="1"/>
  <c r="FB185" i="12"/>
  <c r="FC185" i="12" l="1"/>
  <c r="FD185" i="12" s="1"/>
  <c r="FE185" i="12" s="1"/>
  <c r="FB186" i="12"/>
  <c r="FC186" i="12" l="1"/>
  <c r="FD186" i="12" s="1"/>
  <c r="FE186" i="12" s="1"/>
  <c r="FB187" i="12"/>
  <c r="FC187" i="12" l="1"/>
  <c r="FD187" i="12" s="1"/>
  <c r="FE187" i="12" s="1"/>
  <c r="FB188" i="12"/>
  <c r="FC188" i="12" l="1"/>
  <c r="FD188" i="12" s="1"/>
  <c r="FE188" i="12" s="1"/>
  <c r="FB189" i="12"/>
  <c r="FC189" i="12" l="1"/>
  <c r="FD189" i="12" s="1"/>
  <c r="FE189" i="12" s="1"/>
  <c r="FB190" i="12"/>
  <c r="FC190" i="12" l="1"/>
  <c r="FD190" i="12" s="1"/>
  <c r="FE190" i="12" s="1"/>
  <c r="FB191" i="12"/>
  <c r="FC191" i="12" l="1"/>
  <c r="FD191" i="12" s="1"/>
  <c r="FE191" i="12" s="1"/>
  <c r="FB192" i="12"/>
  <c r="FC192" i="12" l="1"/>
  <c r="FD192" i="12" s="1"/>
  <c r="FE192" i="12" s="1"/>
  <c r="FB193" i="12"/>
  <c r="FC193" i="12" l="1"/>
  <c r="FD193" i="12" s="1"/>
  <c r="FE193" i="12" s="1"/>
  <c r="FB194" i="12"/>
  <c r="FC194" i="12" l="1"/>
  <c r="FD194" i="12" s="1"/>
  <c r="FE194" i="12" s="1"/>
  <c r="FB195" i="12"/>
  <c r="FC195" i="12" l="1"/>
  <c r="FD195" i="12" s="1"/>
  <c r="FE195" i="12" s="1"/>
  <c r="FB196" i="12"/>
  <c r="FC196" i="12" l="1"/>
  <c r="FD196" i="12" s="1"/>
  <c r="FE196" i="12" s="1"/>
  <c r="FB197" i="12"/>
  <c r="FC197" i="12" l="1"/>
  <c r="FD197" i="12" s="1"/>
  <c r="FE197" i="12" s="1"/>
  <c r="FB198" i="12"/>
  <c r="FC198" i="12" l="1"/>
  <c r="FD198" i="12" s="1"/>
  <c r="FE198" i="12" s="1"/>
  <c r="FB199" i="12"/>
  <c r="FC199" i="12" l="1"/>
  <c r="FD199" i="12" s="1"/>
  <c r="FE199" i="12" s="1"/>
  <c r="FB200" i="12"/>
  <c r="FC200" i="12" l="1"/>
  <c r="FD200" i="12" s="1"/>
  <c r="FE200" i="12" s="1"/>
  <c r="FB201" i="12"/>
  <c r="FC201" i="12" l="1"/>
  <c r="FD201" i="12" s="1"/>
  <c r="FE201" i="12" s="1"/>
  <c r="FB202" i="12"/>
  <c r="FC202" i="12" l="1"/>
  <c r="FD202" i="12" s="1"/>
  <c r="FE202" i="12" s="1"/>
  <c r="FB203" i="12"/>
  <c r="FC203" i="12" l="1"/>
  <c r="FD203" i="12" s="1"/>
  <c r="FE203" i="12" s="1"/>
  <c r="FB204" i="12"/>
  <c r="FC204" i="12" l="1"/>
  <c r="FD204" i="12" s="1"/>
  <c r="FE204" i="12" s="1"/>
  <c r="FB205" i="12"/>
  <c r="FC205" i="12" l="1"/>
  <c r="FD205" i="12" s="1"/>
  <c r="FE205" i="12" s="1"/>
  <c r="FB206" i="12"/>
  <c r="FC206" i="12" l="1"/>
  <c r="FD206" i="12" s="1"/>
  <c r="FE206" i="12" s="1"/>
  <c r="FB207" i="12"/>
  <c r="FC207" i="12" l="1"/>
  <c r="FD207" i="12" s="1"/>
  <c r="FE207" i="12" s="1"/>
  <c r="FB208" i="12"/>
  <c r="FC208" i="12" l="1"/>
  <c r="FD208" i="12" s="1"/>
  <c r="FE208" i="12" s="1"/>
  <c r="FB209" i="12"/>
  <c r="FC209" i="12" l="1"/>
  <c r="FD209" i="12" s="1"/>
  <c r="FE209" i="12" s="1"/>
  <c r="FB210" i="12"/>
  <c r="FC210" i="12" l="1"/>
  <c r="FD210" i="12" s="1"/>
  <c r="FE210" i="12" s="1"/>
  <c r="FB211" i="12"/>
  <c r="FC211" i="12" l="1"/>
  <c r="FD211" i="12" s="1"/>
  <c r="FE211" i="12" s="1"/>
  <c r="FB212" i="12"/>
  <c r="FC212" i="12" l="1"/>
  <c r="FD212" i="12" s="1"/>
  <c r="FE212" i="12" s="1"/>
  <c r="FB213" i="12"/>
  <c r="FC213" i="12" l="1"/>
  <c r="FD213" i="12" s="1"/>
  <c r="FE213" i="12" s="1"/>
  <c r="FB214" i="12"/>
  <c r="FC214" i="12" l="1"/>
  <c r="FD214" i="12" s="1"/>
  <c r="FE214" i="12" s="1"/>
  <c r="FB215" i="12"/>
  <c r="FC215" i="12" l="1"/>
  <c r="FD215" i="12" s="1"/>
  <c r="FE215" i="12" s="1"/>
  <c r="FB216" i="12"/>
  <c r="FC216" i="12" l="1"/>
  <c r="FD216" i="12" s="1"/>
  <c r="FE216" i="12" s="1"/>
  <c r="FB217" i="12"/>
  <c r="FC217" i="12" l="1"/>
  <c r="FD217" i="12" s="1"/>
  <c r="FE217" i="12" s="1"/>
  <c r="FB218" i="12"/>
  <c r="FC218" i="12" l="1"/>
  <c r="FD218" i="12" s="1"/>
  <c r="FE218" i="12" s="1"/>
  <c r="FB219" i="12"/>
  <c r="FC219" i="12" l="1"/>
  <c r="FD219" i="12" s="1"/>
  <c r="FE219" i="12" s="1"/>
  <c r="FB220" i="12"/>
  <c r="FC220" i="12" l="1"/>
  <c r="FD220" i="12" s="1"/>
  <c r="FE220" i="12" s="1"/>
  <c r="FB221" i="12"/>
  <c r="FC221" i="12" l="1"/>
  <c r="FD221" i="12" s="1"/>
  <c r="FE221" i="12" s="1"/>
  <c r="FB222" i="12"/>
  <c r="FC222" i="12" l="1"/>
  <c r="FD222" i="12" s="1"/>
  <c r="FE222" i="12" s="1"/>
  <c r="FB223" i="12"/>
  <c r="FC223" i="12" l="1"/>
  <c r="FD223" i="12" s="1"/>
  <c r="FE223" i="12" s="1"/>
  <c r="FB224" i="12"/>
  <c r="FC224" i="12" l="1"/>
  <c r="FD224" i="12" s="1"/>
  <c r="FE224" i="12" s="1"/>
  <c r="FB225" i="12"/>
  <c r="FC225" i="12" l="1"/>
  <c r="FD225" i="12" s="1"/>
  <c r="FE225" i="12" s="1"/>
  <c r="FB226" i="12"/>
  <c r="FC226" i="12" l="1"/>
  <c r="FD226" i="12" s="1"/>
  <c r="FE226" i="12" s="1"/>
  <c r="FB227" i="12"/>
  <c r="FC227" i="12" l="1"/>
  <c r="FD227" i="12" s="1"/>
  <c r="FE227" i="12" s="1"/>
  <c r="FB228" i="12"/>
  <c r="FC228" i="12" l="1"/>
  <c r="FD228" i="12" s="1"/>
  <c r="FE228" i="12" s="1"/>
  <c r="FB229" i="12"/>
  <c r="FC229" i="12" l="1"/>
  <c r="FD229" i="12" s="1"/>
  <c r="FE229" i="12" s="1"/>
  <c r="FB230" i="12"/>
  <c r="FC230" i="12" l="1"/>
  <c r="FD230" i="12" s="1"/>
  <c r="FE230" i="12" s="1"/>
  <c r="FB231" i="12"/>
  <c r="FC231" i="12" l="1"/>
  <c r="FD231" i="12" s="1"/>
  <c r="FE231" i="12" s="1"/>
  <c r="FB232" i="12"/>
  <c r="FC232" i="12" l="1"/>
  <c r="FD232" i="12" s="1"/>
  <c r="FE232" i="12" s="1"/>
  <c r="FB233" i="12"/>
  <c r="FC233" i="12" l="1"/>
  <c r="FD233" i="12" s="1"/>
  <c r="FE233" i="12" s="1"/>
  <c r="FB234" i="12"/>
  <c r="FC234" i="12" l="1"/>
  <c r="FD234" i="12" s="1"/>
  <c r="FE234" i="12" s="1"/>
  <c r="FB235" i="12"/>
  <c r="FC235" i="12" l="1"/>
  <c r="FD235" i="12" s="1"/>
  <c r="FE235" i="12" s="1"/>
  <c r="FB236" i="12"/>
  <c r="FC236" i="12" l="1"/>
  <c r="FD236" i="12" s="1"/>
  <c r="FE236" i="12" s="1"/>
  <c r="FB237" i="12"/>
  <c r="FC237" i="12" l="1"/>
  <c r="FD237" i="12" s="1"/>
  <c r="FE237" i="12" s="1"/>
  <c r="FB238" i="12"/>
  <c r="FC238" i="12" l="1"/>
  <c r="FD238" i="12" s="1"/>
  <c r="FE238" i="12" s="1"/>
  <c r="FB239" i="12"/>
  <c r="FC239" i="12" l="1"/>
  <c r="FD239" i="12" s="1"/>
  <c r="FE239" i="12" s="1"/>
  <c r="FB240" i="12"/>
  <c r="FC240" i="12" l="1"/>
  <c r="FD240" i="12" s="1"/>
  <c r="FE240" i="12" s="1"/>
  <c r="FB241" i="12"/>
  <c r="FC241" i="12" l="1"/>
  <c r="FD241" i="12" s="1"/>
  <c r="FE241" i="12" s="1"/>
  <c r="FB242" i="12"/>
  <c r="FC242" i="12" l="1"/>
  <c r="FD242" i="12" s="1"/>
  <c r="FE242" i="12" s="1"/>
  <c r="FB243" i="12"/>
  <c r="FC243" i="12" l="1"/>
  <c r="FD243" i="12" s="1"/>
  <c r="FE243" i="12" s="1"/>
  <c r="FB244" i="12"/>
  <c r="FC244" i="12" l="1"/>
  <c r="FD244" i="12" s="1"/>
  <c r="FE244" i="12" s="1"/>
  <c r="FB245" i="12"/>
  <c r="FC245" i="12" l="1"/>
  <c r="FD245" i="12" s="1"/>
  <c r="FE245" i="12" s="1"/>
  <c r="FB246" i="12"/>
  <c r="FC246" i="12" l="1"/>
  <c r="FD246" i="12" s="1"/>
  <c r="FE246" i="12" s="1"/>
  <c r="FB247" i="12"/>
  <c r="FC247" i="12" l="1"/>
  <c r="FD247" i="12" s="1"/>
  <c r="FE247" i="12" s="1"/>
  <c r="FB248" i="12"/>
  <c r="FC248" i="12" l="1"/>
  <c r="FD248" i="12" s="1"/>
  <c r="FE248" i="12" s="1"/>
  <c r="FB249" i="12"/>
  <c r="CX1302" i="12"/>
  <c r="FC249" i="12" l="1"/>
  <c r="FD249" i="12" s="1"/>
  <c r="FE249" i="12" s="1"/>
  <c r="FB250" i="12"/>
  <c r="FC250" i="12" l="1"/>
  <c r="FD250" i="12" s="1"/>
  <c r="FE250" i="12" s="1"/>
  <c r="FE251" i="12" s="1"/>
  <c r="FE252" i="12" s="1"/>
  <c r="FE253" i="12" s="1"/>
  <c r="FE254" i="12" s="1"/>
  <c r="FE255" i="12" s="1"/>
  <c r="FE256" i="12" s="1"/>
  <c r="FE257" i="12" s="1"/>
  <c r="FE258" i="12" s="1"/>
  <c r="FE259" i="12" s="1"/>
  <c r="FE260" i="12" s="1"/>
  <c r="FE261" i="12" s="1"/>
  <c r="FE262" i="12" s="1"/>
  <c r="FE263" i="12" s="1"/>
  <c r="FE264" i="12" s="1"/>
  <c r="FE265" i="12" s="1"/>
  <c r="FE266" i="12" s="1"/>
  <c r="FE267" i="12" s="1"/>
  <c r="FE268" i="12" s="1"/>
  <c r="FE269" i="12" s="1"/>
  <c r="FE270" i="12" s="1"/>
  <c r="FE271" i="12" s="1"/>
  <c r="FE272" i="12" s="1"/>
  <c r="FE273" i="12" s="1"/>
  <c r="FE274" i="12" s="1"/>
  <c r="FE275" i="12" s="1"/>
  <c r="FE276" i="12" s="1"/>
  <c r="FE277" i="12" s="1"/>
  <c r="FE278" i="12" s="1"/>
  <c r="FE279" i="12" s="1"/>
  <c r="FE280" i="12" s="1"/>
  <c r="FE281" i="12" s="1"/>
  <c r="FE282" i="12" s="1"/>
  <c r="FE283" i="12" s="1"/>
  <c r="FE284" i="12" s="1"/>
  <c r="FE285" i="12" s="1"/>
  <c r="FE286" i="12" s="1"/>
  <c r="FE287" i="12" s="1"/>
  <c r="FE288" i="12" s="1"/>
  <c r="FE289" i="12" s="1"/>
  <c r="FE290" i="12" s="1"/>
  <c r="FE291" i="12" s="1"/>
  <c r="FE292" i="12" s="1"/>
  <c r="FE293" i="12" s="1"/>
  <c r="FE294" i="12" s="1"/>
  <c r="FE295" i="12" s="1"/>
  <c r="FE296" i="12" s="1"/>
  <c r="FE297" i="12" s="1"/>
  <c r="FE298" i="12" s="1"/>
  <c r="FE299" i="12" s="1"/>
  <c r="FE300" i="12" s="1"/>
  <c r="FE301" i="12" s="1"/>
  <c r="FE302" i="12" s="1"/>
  <c r="FE303" i="12" s="1"/>
  <c r="FE304" i="12" s="1"/>
  <c r="FE305" i="12" s="1"/>
  <c r="FE306" i="12" s="1"/>
  <c r="FE307" i="12" s="1"/>
  <c r="FE308" i="12" s="1"/>
  <c r="FE309" i="12" s="1"/>
  <c r="FE310" i="12" s="1"/>
  <c r="FE311" i="12" s="1"/>
  <c r="FE312" i="12" s="1"/>
  <c r="FE313" i="12" s="1"/>
  <c r="FE314" i="12" s="1"/>
  <c r="FE315" i="12" s="1"/>
  <c r="FE316" i="12" s="1"/>
  <c r="FE317" i="12" s="1"/>
  <c r="FE318" i="12" s="1"/>
  <c r="FE319" i="12" s="1"/>
  <c r="FE320" i="12" s="1"/>
  <c r="FE321" i="12" s="1"/>
  <c r="FE322" i="12" s="1"/>
  <c r="FE323" i="12" s="1"/>
  <c r="FE324" i="12" s="1"/>
  <c r="FE325" i="12" s="1"/>
  <c r="FE326" i="12" s="1"/>
  <c r="FE327" i="12" s="1"/>
  <c r="FE328" i="12" s="1"/>
  <c r="FE329" i="12" s="1"/>
  <c r="FE330" i="12" s="1"/>
  <c r="FE331" i="12" s="1"/>
  <c r="FE332" i="12" s="1"/>
  <c r="FE333" i="12" s="1"/>
  <c r="FE334" i="12" s="1"/>
  <c r="FE335" i="12" s="1"/>
  <c r="FE336" i="12" s="1"/>
  <c r="FE337" i="12" s="1"/>
  <c r="FE338" i="12" s="1"/>
  <c r="FE339" i="12" s="1"/>
  <c r="FE340" i="12" s="1"/>
  <c r="FE341" i="12" s="1"/>
  <c r="FE342" i="12" s="1"/>
  <c r="FE343" i="12" s="1"/>
  <c r="FE344" i="12" s="1"/>
  <c r="FE345" i="12" s="1"/>
  <c r="FE346" i="12" s="1"/>
  <c r="FE347" i="12" s="1"/>
  <c r="FE348" i="12" s="1"/>
  <c r="FE349" i="12" s="1"/>
  <c r="FE350" i="12" s="1"/>
  <c r="FE351" i="12" s="1"/>
  <c r="FE352" i="12" s="1"/>
  <c r="FE353" i="12" s="1"/>
  <c r="FE354" i="12" s="1"/>
  <c r="FE355" i="12" s="1"/>
  <c r="FE356" i="12" s="1"/>
  <c r="FE357" i="12" s="1"/>
  <c r="FE358" i="12" s="1"/>
  <c r="FE359" i="12" s="1"/>
  <c r="FE360" i="12" s="1"/>
  <c r="FE361" i="12" s="1"/>
  <c r="FE362" i="12" s="1"/>
  <c r="FE363" i="12" s="1"/>
  <c r="FE364" i="12" s="1"/>
  <c r="FE365" i="12" s="1"/>
  <c r="FE366" i="12" s="1"/>
  <c r="FE367" i="12" s="1"/>
  <c r="FE368" i="12" s="1"/>
  <c r="FE369" i="12" s="1"/>
  <c r="FE370" i="12" s="1"/>
  <c r="FE371" i="12" s="1"/>
  <c r="FE372" i="12" s="1"/>
  <c r="FE373" i="12" s="1"/>
  <c r="FE374" i="12" s="1"/>
  <c r="FE375" i="12" s="1"/>
  <c r="FE376" i="12" s="1"/>
  <c r="FE377" i="12" s="1"/>
  <c r="FE378" i="12" s="1"/>
  <c r="FE379" i="12" s="1"/>
  <c r="FE380" i="12" s="1"/>
  <c r="FE381" i="12" s="1"/>
  <c r="FE382" i="12" s="1"/>
  <c r="FE383" i="12" s="1"/>
  <c r="FE384" i="12" s="1"/>
  <c r="FE385" i="12" s="1"/>
  <c r="FE386" i="12" s="1"/>
  <c r="FE387" i="12" s="1"/>
  <c r="FE388" i="12" s="1"/>
  <c r="FE389" i="12" s="1"/>
  <c r="FE390" i="12" s="1"/>
  <c r="FE391" i="12" s="1"/>
  <c r="FE392" i="12" s="1"/>
  <c r="FE393" i="12" s="1"/>
  <c r="FE394" i="12" s="1"/>
  <c r="FE395" i="12" s="1"/>
  <c r="FE396" i="12" s="1"/>
  <c r="FE397" i="12" s="1"/>
  <c r="FE398" i="12" s="1"/>
  <c r="FE399" i="12" s="1"/>
  <c r="FE400" i="12" s="1"/>
  <c r="FF141" i="12" l="1"/>
  <c r="FF65" i="12"/>
  <c r="CX812" i="12" s="1"/>
  <c r="FF292" i="12"/>
  <c r="FF340" i="12"/>
  <c r="FF224" i="12"/>
  <c r="FF271" i="12"/>
  <c r="FF279" i="12"/>
  <c r="FF128" i="12"/>
  <c r="FF88" i="12"/>
  <c r="CX1109" i="12" s="1"/>
  <c r="FF28" i="12"/>
  <c r="CX331" i="12" s="1"/>
  <c r="FF331" i="12"/>
  <c r="FF299" i="12"/>
  <c r="FF74" i="12"/>
  <c r="CX927" i="12" s="1"/>
  <c r="FF378" i="12"/>
  <c r="FF176" i="12"/>
  <c r="FF280" i="12"/>
  <c r="FF374" i="12"/>
  <c r="FF250" i="12"/>
  <c r="FF312" i="12"/>
  <c r="FF318" i="12"/>
  <c r="FF240" i="12"/>
  <c r="FF243" i="12"/>
  <c r="FF104" i="12"/>
  <c r="FF327" i="12"/>
  <c r="FF134" i="12"/>
  <c r="FF118" i="12"/>
  <c r="FF186" i="12"/>
  <c r="FF124" i="12"/>
  <c r="FF383" i="12"/>
  <c r="FF180" i="12"/>
  <c r="FF140" i="12"/>
  <c r="FF172" i="12"/>
  <c r="FF42" i="12"/>
  <c r="CX521" i="12" s="1"/>
  <c r="FF123" i="12"/>
  <c r="FF126" i="12"/>
  <c r="FF396" i="12"/>
  <c r="FF300" i="12"/>
  <c r="FF170" i="12"/>
  <c r="FF255" i="12"/>
  <c r="FF190" i="12"/>
  <c r="FF202" i="12"/>
  <c r="FF81" i="12"/>
  <c r="CX1028" i="12" s="1"/>
  <c r="FF353" i="12"/>
  <c r="FF328" i="12"/>
  <c r="FF319" i="12"/>
  <c r="FF246" i="12"/>
  <c r="FF351" i="12"/>
  <c r="FF254" i="12"/>
  <c r="FF158" i="12"/>
  <c r="FF194" i="12"/>
  <c r="FF232" i="12"/>
  <c r="FF234" i="12"/>
  <c r="FF133" i="12"/>
  <c r="FF235" i="12"/>
  <c r="FF66" i="12"/>
  <c r="CX822" i="12" s="1"/>
  <c r="FF79" i="12"/>
  <c r="CX1002" i="12" s="1"/>
  <c r="FF89" i="12"/>
  <c r="CX1123" i="12" s="1"/>
  <c r="FF125" i="12"/>
  <c r="FF48" i="12"/>
  <c r="CX593" i="12" s="1"/>
  <c r="FF55" i="12"/>
  <c r="CX686" i="12" s="1"/>
  <c r="FF60" i="12"/>
  <c r="CX744" i="12" s="1"/>
  <c r="FF363" i="12"/>
  <c r="FF167" i="12"/>
  <c r="FF277" i="12"/>
  <c r="FF17" i="12"/>
  <c r="CX193" i="12" s="1"/>
  <c r="FF192" i="12"/>
  <c r="FF360" i="12"/>
  <c r="FF156" i="12"/>
  <c r="FF314" i="12"/>
  <c r="FF274" i="12"/>
  <c r="FF138" i="12"/>
  <c r="FF61" i="12"/>
  <c r="CX757" i="12" s="1"/>
  <c r="FF354" i="12"/>
  <c r="FF245" i="12"/>
  <c r="FF239" i="12"/>
  <c r="FF31" i="12"/>
  <c r="CX372" i="12" s="1"/>
  <c r="FF241" i="12"/>
  <c r="FF32" i="12"/>
  <c r="CX380" i="12" s="1"/>
  <c r="FF237" i="12"/>
  <c r="FF304" i="12"/>
  <c r="FF63" i="12"/>
  <c r="CX783" i="12" s="1"/>
  <c r="FF139" i="12"/>
  <c r="FF204" i="12"/>
  <c r="FF352" i="12"/>
  <c r="FF294" i="12"/>
  <c r="FF380" i="12"/>
  <c r="FF210" i="12"/>
  <c r="FF244" i="12"/>
  <c r="FF187" i="12"/>
  <c r="FF41" i="12"/>
  <c r="CX502" i="12" s="1"/>
  <c r="FF370" i="12"/>
  <c r="FF97" i="12"/>
  <c r="CX1236" i="12" s="1"/>
  <c r="FF308" i="12"/>
  <c r="FF391" i="12"/>
  <c r="FF34" i="12"/>
  <c r="CX410" i="12" s="1"/>
  <c r="FF350" i="12"/>
  <c r="FF193" i="12"/>
  <c r="FF178" i="12"/>
  <c r="FF264" i="12"/>
  <c r="FF356" i="12"/>
  <c r="FF15" i="12"/>
  <c r="CX166" i="12" s="1"/>
  <c r="FF249" i="12"/>
  <c r="FF119" i="12"/>
  <c r="FF342" i="12"/>
  <c r="FF29" i="12"/>
  <c r="CX352" i="12" s="1"/>
  <c r="FF222" i="12"/>
  <c r="FF113" i="12"/>
  <c r="FF339" i="12"/>
  <c r="FF22" i="12"/>
  <c r="CX252" i="12" s="1"/>
  <c r="FF93" i="12"/>
  <c r="CX1173" i="12" s="1"/>
  <c r="FF13" i="12"/>
  <c r="CX134" i="12" s="1"/>
  <c r="FF289" i="12"/>
  <c r="FF152" i="12"/>
  <c r="FF116" i="12"/>
  <c r="FF120" i="12"/>
  <c r="FF127" i="12"/>
  <c r="FF160" i="12"/>
  <c r="FF301" i="12"/>
  <c r="FF389" i="12"/>
  <c r="FF394" i="12"/>
  <c r="FF166" i="12"/>
  <c r="FF257" i="12"/>
  <c r="FF302" i="12"/>
  <c r="FF105" i="12"/>
  <c r="FF177" i="12"/>
  <c r="FF37" i="12"/>
  <c r="CX453" i="12" s="1"/>
  <c r="FF43" i="12"/>
  <c r="CX527" i="12" s="1"/>
  <c r="FF191" i="12"/>
  <c r="FF129" i="12"/>
  <c r="FF309" i="12"/>
  <c r="FF183" i="12"/>
  <c r="FF223" i="12"/>
  <c r="FF278" i="12"/>
  <c r="FF188" i="12"/>
  <c r="FF362" i="12"/>
  <c r="FF346" i="12"/>
  <c r="FF67" i="12"/>
  <c r="CX837" i="12" s="1"/>
  <c r="FF19" i="12"/>
  <c r="CX221" i="12" s="1"/>
  <c r="FF256" i="12"/>
  <c r="FF335" i="12"/>
  <c r="FF371" i="12"/>
  <c r="FF96" i="12"/>
  <c r="CX1220" i="12" s="1"/>
  <c r="FF347" i="12"/>
  <c r="FF386" i="12"/>
  <c r="FF361" i="12"/>
  <c r="FF357" i="12"/>
  <c r="FF273" i="12"/>
  <c r="FF225" i="12"/>
  <c r="FF100" i="12"/>
  <c r="CX1264" i="12" s="1"/>
  <c r="FF148" i="12"/>
  <c r="FF366" i="12"/>
  <c r="FF189" i="12"/>
  <c r="FF368" i="12"/>
  <c r="FF46" i="12"/>
  <c r="CX565" i="12" s="1"/>
  <c r="FF332" i="12"/>
  <c r="FF50" i="12"/>
  <c r="CX617" i="12" s="1"/>
  <c r="FF87" i="12"/>
  <c r="CX1106" i="12" s="1"/>
  <c r="FF110" i="12"/>
  <c r="FF30" i="12"/>
  <c r="CX364" i="12" s="1"/>
  <c r="FF143" i="12"/>
  <c r="FF146" i="12"/>
  <c r="FF227" i="12"/>
  <c r="FF27" i="12"/>
  <c r="CX315" i="12" s="1"/>
  <c r="FF47" i="12"/>
  <c r="CX580" i="12" s="1"/>
  <c r="FF397" i="12"/>
  <c r="FF106" i="12"/>
  <c r="FF343" i="12"/>
  <c r="FF217" i="12"/>
  <c r="FF382" i="12"/>
  <c r="FF45" i="12"/>
  <c r="CX549" i="12" s="1"/>
  <c r="FF385" i="12"/>
  <c r="FF59" i="12"/>
  <c r="CX736" i="12" s="1"/>
  <c r="FF159" i="12"/>
  <c r="FF313" i="12"/>
  <c r="FF395" i="12"/>
  <c r="FF367" i="12"/>
  <c r="FF195" i="12"/>
  <c r="FF270" i="12"/>
  <c r="FF377" i="12"/>
  <c r="FF11" i="12"/>
  <c r="CX109" i="12" s="1"/>
  <c r="CY109" i="12" s="1"/>
  <c r="FF76" i="12"/>
  <c r="CX953" i="12" s="1"/>
  <c r="FF36" i="12"/>
  <c r="CX438" i="12" s="1"/>
  <c r="FF56" i="12"/>
  <c r="CX703" i="12" s="1"/>
  <c r="FF75" i="12"/>
  <c r="CX950" i="12" s="1"/>
  <c r="FF18" i="12"/>
  <c r="CX204" i="12" s="1"/>
  <c r="FF203" i="12"/>
  <c r="FF70" i="12"/>
  <c r="CX875" i="12" s="1"/>
  <c r="FF242" i="12"/>
  <c r="FF326" i="12"/>
  <c r="FF288" i="12"/>
  <c r="FF293" i="12"/>
  <c r="FF365" i="12"/>
  <c r="FF153" i="12"/>
  <c r="FF168" i="12"/>
  <c r="FF51" i="12"/>
  <c r="CX631" i="12" s="1"/>
  <c r="FF99" i="12"/>
  <c r="CX1254" i="12" s="1"/>
  <c r="FF83" i="12"/>
  <c r="CX1044" i="12" s="1"/>
  <c r="FF64" i="12"/>
  <c r="CX806" i="12" s="1"/>
  <c r="FF142" i="12"/>
  <c r="FF101" i="12"/>
  <c r="CX1288" i="12" s="1"/>
  <c r="FF286" i="12"/>
  <c r="FF373" i="12"/>
  <c r="FF136" i="12"/>
  <c r="FF379" i="12"/>
  <c r="FF295" i="12"/>
  <c r="FF117" i="12"/>
  <c r="FF130" i="12"/>
  <c r="FF269" i="12"/>
  <c r="FF14" i="12"/>
  <c r="CX155" i="12" s="1"/>
  <c r="FF261" i="12"/>
  <c r="FF333" i="12"/>
  <c r="FF78" i="12"/>
  <c r="CX982" i="12" s="1"/>
  <c r="FF39" i="12"/>
  <c r="CX471" i="12" s="1"/>
  <c r="FF165" i="12"/>
  <c r="FF103" i="12"/>
  <c r="FF38" i="12"/>
  <c r="CX461" i="12" s="1"/>
  <c r="FF387" i="12"/>
  <c r="FF322" i="12"/>
  <c r="FF12" i="12"/>
  <c r="CX128" i="12" s="1"/>
  <c r="CY128" i="12" s="1"/>
  <c r="FF390" i="12"/>
  <c r="FF281" i="12"/>
  <c r="FF219" i="12"/>
  <c r="FF174" i="12"/>
  <c r="FF94" i="12"/>
  <c r="CX1190" i="12" s="1"/>
  <c r="FF275" i="12"/>
  <c r="FF149" i="12"/>
  <c r="FF155" i="12"/>
  <c r="FF10" i="12"/>
  <c r="CX102" i="12" s="1"/>
  <c r="CY102" i="12" s="1"/>
  <c r="FF392" i="12"/>
  <c r="FF112" i="12"/>
  <c r="FF40" i="12"/>
  <c r="CX485" i="12" s="1"/>
  <c r="FF369" i="12"/>
  <c r="FF135" i="12"/>
  <c r="FF306" i="12"/>
  <c r="FF58" i="12"/>
  <c r="CX718" i="12" s="1"/>
  <c r="FF229" i="12"/>
  <c r="FF316" i="12"/>
  <c r="FF52" i="12"/>
  <c r="CX640" i="12" s="1"/>
  <c r="FF320" i="12"/>
  <c r="FF381" i="12"/>
  <c r="FF122" i="12"/>
  <c r="FF216" i="12"/>
  <c r="FF150" i="12"/>
  <c r="FF157" i="12"/>
  <c r="FF77" i="12"/>
  <c r="CX965" i="12" s="1"/>
  <c r="FF209" i="12"/>
  <c r="FF44" i="12"/>
  <c r="CX540" i="12" s="1"/>
  <c r="FF171" i="12"/>
  <c r="FF384" i="12"/>
  <c r="FF62" i="12"/>
  <c r="CX770" i="12" s="1"/>
  <c r="FF311" i="12"/>
  <c r="FF164" i="12"/>
  <c r="FF212" i="12"/>
  <c r="FF57" i="12"/>
  <c r="CX706" i="12" s="1"/>
  <c r="FF253" i="12"/>
  <c r="FF114" i="12"/>
  <c r="FF228" i="12"/>
  <c r="FF276" i="12"/>
  <c r="FF121" i="12"/>
  <c r="FF317" i="12"/>
  <c r="FF181" i="12"/>
  <c r="FF84" i="12"/>
  <c r="CX1061" i="12" s="1"/>
  <c r="FF21" i="12"/>
  <c r="CX244" i="12" s="1"/>
  <c r="FF268" i="12"/>
  <c r="FF252" i="12"/>
  <c r="FF169" i="12"/>
  <c r="FF267" i="12"/>
  <c r="FF91" i="12"/>
  <c r="CX1158" i="12" s="1"/>
  <c r="FF95" i="12"/>
  <c r="CX1200" i="12" s="1"/>
  <c r="FF230" i="12"/>
  <c r="FF162" i="12"/>
  <c r="FF345" i="12"/>
  <c r="FF54" i="12"/>
  <c r="CX677" i="12" s="1"/>
  <c r="FF109" i="12"/>
  <c r="FF296" i="12"/>
  <c r="FF49" i="12"/>
  <c r="CX612" i="12" s="1"/>
  <c r="FF323" i="12"/>
  <c r="FF182" i="12"/>
  <c r="FF173" i="12"/>
  <c r="FF185" i="12"/>
  <c r="FF35" i="12"/>
  <c r="CX430" i="12" s="1"/>
  <c r="FF284" i="12"/>
  <c r="FF111" i="12"/>
  <c r="FF315" i="12"/>
  <c r="FF221" i="12"/>
  <c r="FF205" i="12"/>
  <c r="FF24" i="12"/>
  <c r="CX282" i="12" s="1"/>
  <c r="FF247" i="12"/>
  <c r="FF215" i="12"/>
  <c r="FF98" i="12"/>
  <c r="CX1249" i="12" s="1"/>
  <c r="FF375" i="12"/>
  <c r="FF198" i="12"/>
  <c r="FF33" i="12"/>
  <c r="CX393" i="12" s="1"/>
  <c r="FF355" i="12"/>
  <c r="FF226" i="12"/>
  <c r="FF82" i="12"/>
  <c r="CX1037" i="12" s="1"/>
  <c r="FF53" i="12"/>
  <c r="CX654" i="12" s="1"/>
  <c r="FF115" i="12"/>
  <c r="FF291" i="12"/>
  <c r="FF233" i="12"/>
  <c r="FF231" i="12"/>
  <c r="FF297" i="12"/>
  <c r="FF359" i="12"/>
  <c r="FF163" i="12"/>
  <c r="FF20" i="12"/>
  <c r="CX231" i="12" s="1"/>
  <c r="FF310" i="12"/>
  <c r="FF251" i="12"/>
  <c r="FF285" i="12"/>
  <c r="FF200" i="12"/>
  <c r="FF349" i="12"/>
  <c r="FF376" i="12"/>
  <c r="FF372" i="12"/>
  <c r="FF262" i="12"/>
  <c r="FF26" i="12"/>
  <c r="CX307" i="12" s="1"/>
  <c r="FF236" i="12"/>
  <c r="FF25" i="12"/>
  <c r="CX299" i="12" s="1"/>
  <c r="FF283" i="12"/>
  <c r="FF68" i="12"/>
  <c r="CX850" i="12" s="1"/>
  <c r="FF398" i="12"/>
  <c r="FF265" i="12"/>
  <c r="FF9" i="12"/>
  <c r="CX92" i="12" s="1"/>
  <c r="FF388" i="12"/>
  <c r="FF184" i="12"/>
  <c r="FF287" i="12"/>
  <c r="FF179" i="12"/>
  <c r="FF324" i="12"/>
  <c r="FF154" i="12"/>
  <c r="FF211" i="12"/>
  <c r="FF137" i="12"/>
  <c r="FF86" i="12"/>
  <c r="CX1082" i="12" s="1"/>
  <c r="FF90" i="12"/>
  <c r="CX1136" i="12" s="1"/>
  <c r="FF196" i="12"/>
  <c r="FF272" i="12"/>
  <c r="FF220" i="12"/>
  <c r="FF199" i="12"/>
  <c r="FF144" i="12"/>
  <c r="FF71" i="12"/>
  <c r="CX887" i="12" s="1"/>
  <c r="FF400" i="12"/>
  <c r="FF201" i="12"/>
  <c r="FF161" i="12"/>
  <c r="FF73" i="12"/>
  <c r="CX913" i="12" s="1"/>
  <c r="FF259" i="12"/>
  <c r="FF214" i="12"/>
  <c r="FF145" i="12"/>
  <c r="FF341" i="12"/>
  <c r="FF330" i="12"/>
  <c r="FF108" i="12"/>
  <c r="FF80" i="12"/>
  <c r="CX1005" i="12" s="1"/>
  <c r="FF334" i="12"/>
  <c r="FF248" i="12"/>
  <c r="FF263" i="12"/>
  <c r="FF92" i="12"/>
  <c r="CX1161" i="12" s="1"/>
  <c r="FF290" i="12"/>
  <c r="FF303" i="12"/>
  <c r="FF207" i="12"/>
  <c r="FF358" i="12"/>
  <c r="FF85" i="12"/>
  <c r="CX1069" i="12" s="1"/>
  <c r="FF107" i="12"/>
  <c r="FF102" i="12"/>
  <c r="CX1292" i="12" s="1"/>
  <c r="FF344" i="12"/>
  <c r="FF325" i="12"/>
  <c r="FF132" i="12"/>
  <c r="FF206" i="12"/>
  <c r="FF329" i="12"/>
  <c r="FF72" i="12"/>
  <c r="CX900" i="12" s="1"/>
  <c r="FF336" i="12"/>
  <c r="FF337" i="12"/>
  <c r="FF321" i="12"/>
  <c r="FF131" i="12"/>
  <c r="FF69" i="12"/>
  <c r="CX871" i="12" s="1"/>
  <c r="FF305" i="12"/>
  <c r="FF218" i="12"/>
  <c r="FF258" i="12"/>
  <c r="FF197" i="12"/>
  <c r="FF393" i="12"/>
  <c r="FF307" i="12"/>
  <c r="FF208" i="12"/>
  <c r="FF23" i="12"/>
  <c r="CX269" i="12" s="1"/>
  <c r="FF151" i="12"/>
  <c r="FF298" i="12"/>
  <c r="FF213" i="12"/>
  <c r="FF364" i="12"/>
  <c r="FF147" i="12"/>
  <c r="FF338" i="12"/>
  <c r="FF282" i="12"/>
  <c r="FF175" i="12"/>
  <c r="FF260" i="12"/>
  <c r="FF348" i="12"/>
  <c r="FF238" i="12"/>
  <c r="FF399" i="12"/>
  <c r="FF266" i="12"/>
  <c r="FF16" i="12"/>
  <c r="CX179" i="12" s="1"/>
  <c r="CX146" i="12"/>
  <c r="CX497" i="12"/>
  <c r="CX820" i="12"/>
  <c r="CZ109" i="12"/>
  <c r="CX816" i="12" l="1"/>
  <c r="CX328" i="12"/>
  <c r="CX338" i="12"/>
  <c r="CX589" i="12"/>
  <c r="CX594" i="12"/>
  <c r="CX829" i="12"/>
  <c r="CX832" i="12"/>
  <c r="CX588" i="12"/>
  <c r="CX830" i="12"/>
  <c r="CX827" i="12"/>
  <c r="CX591" i="12"/>
  <c r="CX590" i="12"/>
  <c r="CX823" i="12"/>
  <c r="CX826" i="12"/>
  <c r="CX595" i="12"/>
  <c r="CX1174" i="12"/>
  <c r="CX390" i="12"/>
  <c r="CX329" i="12"/>
  <c r="CX1020" i="12"/>
  <c r="CX503" i="12"/>
  <c r="CX391" i="12"/>
  <c r="CX335" i="12"/>
  <c r="CX1023" i="12"/>
  <c r="CX819" i="12"/>
  <c r="CX1178" i="12"/>
  <c r="CX499" i="12"/>
  <c r="CX1181" i="12"/>
  <c r="CX853" i="12"/>
  <c r="CX569" i="12"/>
  <c r="CX217" i="12"/>
  <c r="CX1177" i="12"/>
  <c r="CX1056" i="12"/>
  <c r="CX712" i="12"/>
  <c r="CX303" i="12"/>
  <c r="CX407" i="12"/>
  <c r="CX533" i="12"/>
  <c r="CX994" i="12"/>
  <c r="CX1225" i="12"/>
  <c r="CX1212" i="12"/>
  <c r="CX251" i="12"/>
  <c r="CX854" i="12"/>
  <c r="CX446" i="12"/>
  <c r="CX996" i="12"/>
  <c r="CX1228" i="12"/>
  <c r="CX867" i="12"/>
  <c r="CX679" i="12"/>
  <c r="CX767" i="12"/>
  <c r="CX690" i="12"/>
  <c r="CX378" i="12"/>
  <c r="CX766" i="12"/>
  <c r="CX689" i="12"/>
  <c r="CX1230" i="12"/>
  <c r="CX370" i="12"/>
  <c r="CX995" i="12"/>
  <c r="CX685" i="12"/>
  <c r="CX376" i="12"/>
  <c r="CX761" i="12"/>
  <c r="CX141" i="12"/>
  <c r="CY141" i="12" s="1"/>
  <c r="CX597" i="12"/>
  <c r="CX598" i="12"/>
  <c r="CX592" i="12"/>
  <c r="CX413" i="12"/>
  <c r="CX531" i="12"/>
  <c r="CX695" i="12"/>
  <c r="CX831" i="12"/>
  <c r="CX828" i="12"/>
  <c r="CX833" i="12"/>
  <c r="CX414" i="12"/>
  <c r="CX144" i="12"/>
  <c r="DB145" i="12" s="1"/>
  <c r="CX824" i="12"/>
  <c r="CX825" i="12"/>
  <c r="CX135" i="12"/>
  <c r="CY135" i="12" s="1"/>
  <c r="CX596" i="12"/>
  <c r="CX599" i="12"/>
  <c r="CX534" i="12"/>
  <c r="CX880" i="12"/>
  <c r="CX538" i="12"/>
  <c r="CX319" i="12"/>
  <c r="CX489" i="12"/>
  <c r="CX354" i="12"/>
  <c r="CX131" i="12"/>
  <c r="CY131" i="12" s="1"/>
  <c r="CX879" i="12"/>
  <c r="CX415" i="12"/>
  <c r="CX412" i="12"/>
  <c r="CX139" i="12"/>
  <c r="CY139" i="12" s="1"/>
  <c r="CX140" i="12"/>
  <c r="CY140" i="12" s="1"/>
  <c r="CX638" i="12"/>
  <c r="CX525" i="12"/>
  <c r="CX524" i="12"/>
  <c r="CX324" i="12"/>
  <c r="CX484" i="12"/>
  <c r="CX408" i="12"/>
  <c r="CX409" i="12"/>
  <c r="CX406" i="12"/>
  <c r="CX142" i="12"/>
  <c r="CY142" i="12" s="1"/>
  <c r="CX136" i="12"/>
  <c r="CY136" i="12" s="1"/>
  <c r="CX138" i="12"/>
  <c r="CY138" i="12" s="1"/>
  <c r="CX361" i="12"/>
  <c r="CX242" i="12"/>
  <c r="CX728" i="12"/>
  <c r="CX637" i="12"/>
  <c r="CX129" i="12"/>
  <c r="CY129" i="12" s="1"/>
  <c r="CX528" i="12"/>
  <c r="CX529" i="12"/>
  <c r="CX523" i="12"/>
  <c r="CX694" i="12"/>
  <c r="CX322" i="12"/>
  <c r="CX417" i="12"/>
  <c r="CX137" i="12"/>
  <c r="CY137" i="12" s="1"/>
  <c r="CX363" i="12"/>
  <c r="CX243" i="12"/>
  <c r="CX722" i="12"/>
  <c r="CX544" i="12"/>
  <c r="CX526" i="12"/>
  <c r="CX693" i="12"/>
  <c r="CX490" i="12"/>
  <c r="CX874" i="12"/>
  <c r="CX411" i="12"/>
  <c r="CX416" i="12"/>
  <c r="CX143" i="12"/>
  <c r="CY143" i="12" s="1"/>
  <c r="CX133" i="12"/>
  <c r="CX719" i="12"/>
  <c r="CX635" i="12"/>
  <c r="CX126" i="12"/>
  <c r="CY126" i="12" s="1"/>
  <c r="CX543" i="12"/>
  <c r="CX532" i="12"/>
  <c r="CX530" i="12"/>
  <c r="CX698" i="12"/>
  <c r="CX323" i="12"/>
  <c r="CX326" i="12"/>
  <c r="CX491" i="12"/>
  <c r="CX883" i="12"/>
  <c r="CX878" i="12"/>
  <c r="CX362" i="12"/>
  <c r="CX359" i="12"/>
  <c r="CX248" i="12"/>
  <c r="CX246" i="12"/>
  <c r="CX237" i="12"/>
  <c r="CX726" i="12"/>
  <c r="CX725" i="12"/>
  <c r="CX723" i="12"/>
  <c r="CX629" i="12"/>
  <c r="CX630" i="12"/>
  <c r="CX628" i="12"/>
  <c r="CX130" i="12"/>
  <c r="CY130" i="12" s="1"/>
  <c r="CX121" i="12"/>
  <c r="CY121" i="12" s="1"/>
  <c r="CX122" i="12"/>
  <c r="CY122" i="12" s="1"/>
  <c r="CX547" i="12"/>
  <c r="CX545" i="12"/>
  <c r="CX542" i="12"/>
  <c r="CX701" i="12"/>
  <c r="CX699" i="12"/>
  <c r="CX696" i="12"/>
  <c r="CX283" i="12"/>
  <c r="CX320" i="12"/>
  <c r="CX321" i="12"/>
  <c r="CX316" i="12"/>
  <c r="CX492" i="12"/>
  <c r="CX494" i="12"/>
  <c r="CX495" i="12"/>
  <c r="CX882" i="12"/>
  <c r="CX884" i="12"/>
  <c r="CX885" i="12"/>
  <c r="CX365" i="12"/>
  <c r="CX356" i="12"/>
  <c r="CX357" i="12"/>
  <c r="CX241" i="12"/>
  <c r="CX239" i="12"/>
  <c r="CX247" i="12"/>
  <c r="CX727" i="12"/>
  <c r="CX724" i="12"/>
  <c r="CX729" i="12"/>
  <c r="CX632" i="12"/>
  <c r="CX633" i="12"/>
  <c r="CX627" i="12"/>
  <c r="CX123" i="12"/>
  <c r="CY123" i="12" s="1"/>
  <c r="CX124" i="12"/>
  <c r="CY124" i="12" s="1"/>
  <c r="CX120" i="12"/>
  <c r="CX546" i="12"/>
  <c r="CX537" i="12"/>
  <c r="CX536" i="12"/>
  <c r="CX697" i="12"/>
  <c r="CX692" i="12"/>
  <c r="CX287" i="12"/>
  <c r="CX325" i="12"/>
  <c r="CX493" i="12"/>
  <c r="CX488" i="12"/>
  <c r="CX881" i="12"/>
  <c r="CX358" i="12"/>
  <c r="CX700" i="12"/>
  <c r="CX702" i="12"/>
  <c r="CX317" i="12"/>
  <c r="CX318" i="12"/>
  <c r="CX486" i="12"/>
  <c r="CX487" i="12"/>
  <c r="CX876" i="12"/>
  <c r="CX877" i="12"/>
  <c r="CX355" i="12"/>
  <c r="CX360" i="12"/>
  <c r="CX238" i="12"/>
  <c r="CX245" i="12"/>
  <c r="CX240" i="12"/>
  <c r="CX720" i="12"/>
  <c r="CX721" i="12"/>
  <c r="CX636" i="12"/>
  <c r="CX634" i="12"/>
  <c r="CX125" i="12"/>
  <c r="CY125" i="12" s="1"/>
  <c r="CX127" i="12"/>
  <c r="CY127" i="12" s="1"/>
  <c r="CX541" i="12"/>
  <c r="CX539" i="12"/>
  <c r="CX286" i="12"/>
  <c r="CX1143" i="12"/>
  <c r="CX278" i="12"/>
  <c r="CX1283" i="12"/>
  <c r="CX985" i="12"/>
  <c r="CX942" i="12"/>
  <c r="CX279" i="12"/>
  <c r="CX285" i="12"/>
  <c r="CX276" i="12"/>
  <c r="CX284" i="12"/>
  <c r="CX277" i="12"/>
  <c r="CX993" i="12"/>
  <c r="CX991" i="12"/>
  <c r="CX625" i="12"/>
  <c r="CX680" i="12"/>
  <c r="CX731" i="12"/>
  <c r="CX1231" i="12"/>
  <c r="CX369" i="12"/>
  <c r="CX367" i="12"/>
  <c r="CX765" i="12"/>
  <c r="CX768" i="12"/>
  <c r="CX1001" i="12"/>
  <c r="CX684" i="12"/>
  <c r="CX733" i="12"/>
  <c r="CX1227" i="12"/>
  <c r="CX1226" i="12"/>
  <c r="CX373" i="12"/>
  <c r="CX98" i="12"/>
  <c r="CY98" i="12" s="1"/>
  <c r="CX764" i="12"/>
  <c r="CX465" i="12"/>
  <c r="CX117" i="12"/>
  <c r="CY117" i="12" s="1"/>
  <c r="CX1261" i="12"/>
  <c r="CX1148" i="12"/>
  <c r="CX389" i="12"/>
  <c r="CX384" i="12"/>
  <c r="CX1243" i="12"/>
  <c r="CX334" i="12"/>
  <c r="CX1019" i="12"/>
  <c r="CX1018" i="12"/>
  <c r="CX810" i="12"/>
  <c r="CX809" i="12"/>
  <c r="CX1215" i="12"/>
  <c r="CX570" i="12"/>
  <c r="CX500" i="12"/>
  <c r="CX216" i="12"/>
  <c r="CX436" i="12"/>
  <c r="CX552" i="12"/>
  <c r="CX1183" i="12"/>
  <c r="CX648" i="12"/>
  <c r="CX388" i="12"/>
  <c r="CX381" i="12"/>
  <c r="CX302" i="12"/>
  <c r="CX805" i="12"/>
  <c r="CX337" i="12"/>
  <c r="CX1022" i="12"/>
  <c r="CX1017" i="12"/>
  <c r="CX815" i="12"/>
  <c r="CX456" i="12"/>
  <c r="CX506" i="12"/>
  <c r="CX508" i="12"/>
  <c r="CX709" i="12"/>
  <c r="CX551" i="12"/>
  <c r="CX1180" i="12"/>
  <c r="CX771" i="12"/>
  <c r="CX957" i="12"/>
  <c r="CX383" i="12"/>
  <c r="CX386" i="12"/>
  <c r="CX382" i="12"/>
  <c r="CX312" i="12"/>
  <c r="CX666" i="12"/>
  <c r="CX1063" i="12"/>
  <c r="CX807" i="12"/>
  <c r="CX1242" i="12"/>
  <c r="CX339" i="12"/>
  <c r="CX333" i="12"/>
  <c r="CX332" i="12"/>
  <c r="CX1026" i="12"/>
  <c r="CX1024" i="12"/>
  <c r="CX1021" i="12"/>
  <c r="CX818" i="12"/>
  <c r="CX814" i="12"/>
  <c r="CX813" i="12"/>
  <c r="CX1214" i="12"/>
  <c r="CX264" i="12"/>
  <c r="CX498" i="12"/>
  <c r="CX507" i="12"/>
  <c r="CX501" i="12"/>
  <c r="CX714" i="12"/>
  <c r="CX442" i="12"/>
  <c r="CX557" i="12"/>
  <c r="CX1182" i="12"/>
  <c r="CX1179" i="12"/>
  <c r="CX1184" i="12"/>
  <c r="CX777" i="12"/>
  <c r="CX650" i="12"/>
  <c r="CX385" i="12"/>
  <c r="CX387" i="12"/>
  <c r="CX931" i="12"/>
  <c r="CX1057" i="12"/>
  <c r="CX802" i="12"/>
  <c r="CX1248" i="12"/>
  <c r="CX336" i="12"/>
  <c r="CX330" i="12"/>
  <c r="CX1025" i="12"/>
  <c r="CX1027" i="12"/>
  <c r="CX852" i="12"/>
  <c r="CX817" i="12"/>
  <c r="CX811" i="12"/>
  <c r="CX445" i="12"/>
  <c r="CX563" i="12"/>
  <c r="CX505" i="12"/>
  <c r="CX504" i="12"/>
  <c r="CX211" i="12"/>
  <c r="CX433" i="12"/>
  <c r="CX1175" i="12"/>
  <c r="CX1176" i="12"/>
  <c r="CX778" i="12"/>
  <c r="CX649" i="12"/>
  <c r="CX999" i="12"/>
  <c r="CX998" i="12"/>
  <c r="CX992" i="12"/>
  <c r="CX118" i="12"/>
  <c r="DB119" i="12" s="1"/>
  <c r="CX621" i="12"/>
  <c r="CX624" i="12"/>
  <c r="CX688" i="12"/>
  <c r="CX682" i="12"/>
  <c r="CX683" i="12"/>
  <c r="CX737" i="12"/>
  <c r="CX1279" i="12"/>
  <c r="CX1278" i="12"/>
  <c r="CX1234" i="12"/>
  <c r="CX1232" i="12"/>
  <c r="CX1229" i="12"/>
  <c r="CX368" i="12"/>
  <c r="CX377" i="12"/>
  <c r="CX371" i="12"/>
  <c r="CX100" i="12"/>
  <c r="CY100" i="12" s="1"/>
  <c r="CX759" i="12"/>
  <c r="CX760" i="12"/>
  <c r="CX758" i="12"/>
  <c r="CX1189" i="12"/>
  <c r="CX986" i="12"/>
  <c r="CX1257" i="12"/>
  <c r="CX586" i="12"/>
  <c r="CX941" i="12"/>
  <c r="CX1150" i="12"/>
  <c r="CX1000" i="12"/>
  <c r="CX997" i="12"/>
  <c r="CX108" i="12"/>
  <c r="CY108" i="12" s="1"/>
  <c r="CX110" i="12"/>
  <c r="CY110" i="12" s="1"/>
  <c r="CX619" i="12"/>
  <c r="CX614" i="12"/>
  <c r="CX687" i="12"/>
  <c r="CX681" i="12"/>
  <c r="CX734" i="12"/>
  <c r="CX1282" i="12"/>
  <c r="CX1277" i="12"/>
  <c r="CX1233" i="12"/>
  <c r="CX1235" i="12"/>
  <c r="CX375" i="12"/>
  <c r="CX374" i="12"/>
  <c r="CX762" i="12"/>
  <c r="CX763" i="12"/>
  <c r="CX1188" i="12"/>
  <c r="CX1258" i="12"/>
  <c r="CX581" i="12"/>
  <c r="CX602" i="12"/>
  <c r="CX1149" i="12"/>
  <c r="CX1039" i="12"/>
  <c r="CX468" i="12"/>
  <c r="CX113" i="12"/>
  <c r="CY113" i="12" s="1"/>
  <c r="CX112" i="12"/>
  <c r="CY112" i="12" s="1"/>
  <c r="CX620" i="12"/>
  <c r="CX740" i="12"/>
  <c r="CX742" i="12"/>
  <c r="CX1280" i="12"/>
  <c r="CX97" i="12"/>
  <c r="CY97" i="12" s="1"/>
  <c r="CX1194" i="12"/>
  <c r="CX983" i="12"/>
  <c r="CX584" i="12"/>
  <c r="CX604" i="12"/>
  <c r="CX940" i="12"/>
  <c r="CX1041" i="12"/>
  <c r="CX464" i="12"/>
  <c r="CX870" i="12"/>
  <c r="CX267" i="12"/>
  <c r="CX872" i="12"/>
  <c r="CX1145" i="12"/>
  <c r="CX1140" i="12"/>
  <c r="CX1137" i="12"/>
  <c r="CX1135" i="12"/>
  <c r="CX1144" i="12"/>
  <c r="CX1138" i="12"/>
  <c r="CX1134" i="12"/>
  <c r="CX280" i="12"/>
  <c r="CX281" i="12"/>
  <c r="CX1295" i="12"/>
  <c r="CX1142" i="12"/>
  <c r="CX1141" i="12"/>
  <c r="CX1139" i="12"/>
  <c r="CX273" i="12"/>
  <c r="CX296" i="12"/>
  <c r="CX603" i="12"/>
  <c r="CX1036" i="12"/>
  <c r="CX309" i="12"/>
  <c r="CX306" i="12"/>
  <c r="CX1066" i="12"/>
  <c r="CX863" i="12"/>
  <c r="CX861" i="12"/>
  <c r="CX798" i="12"/>
  <c r="CX796" i="12"/>
  <c r="CX1246" i="12"/>
  <c r="CX1239" i="12"/>
  <c r="CX851" i="12"/>
  <c r="CX454" i="12"/>
  <c r="CX449" i="12"/>
  <c r="CX1222" i="12"/>
  <c r="CX568" i="12"/>
  <c r="CX272" i="12"/>
  <c r="CX310" i="12"/>
  <c r="CX313" i="12"/>
  <c r="CX866" i="12"/>
  <c r="CX865" i="12"/>
  <c r="CX801" i="12"/>
  <c r="CX800" i="12"/>
  <c r="CX1247" i="12"/>
  <c r="CX1244" i="12"/>
  <c r="CX849" i="12"/>
  <c r="CX855" i="12"/>
  <c r="CX447" i="12"/>
  <c r="CX448" i="12"/>
  <c r="CX1219" i="12"/>
  <c r="CX1217" i="12"/>
  <c r="CX564" i="12"/>
  <c r="CX562" i="12"/>
  <c r="CX271" i="12"/>
  <c r="CX443" i="12"/>
  <c r="CX305" i="12"/>
  <c r="CX311" i="12"/>
  <c r="CX304" i="12"/>
  <c r="CX1059" i="12"/>
  <c r="CX1062" i="12"/>
  <c r="CX1058" i="12"/>
  <c r="CX869" i="12"/>
  <c r="CX868" i="12"/>
  <c r="CX862" i="12"/>
  <c r="CX804" i="12"/>
  <c r="CX803" i="12"/>
  <c r="CX797" i="12"/>
  <c r="CX1240" i="12"/>
  <c r="CX1241" i="12"/>
  <c r="CX1238" i="12"/>
  <c r="CX859" i="12"/>
  <c r="CX857" i="12"/>
  <c r="CX848" i="12"/>
  <c r="CX452" i="12"/>
  <c r="CX451" i="12"/>
  <c r="CX455" i="12"/>
  <c r="CX1221" i="12"/>
  <c r="CX1218" i="12"/>
  <c r="CX1223" i="12"/>
  <c r="CX567" i="12"/>
  <c r="CX572" i="12"/>
  <c r="CX566" i="12"/>
  <c r="CX265" i="12"/>
  <c r="CX266" i="12"/>
  <c r="CX263" i="12"/>
  <c r="CX222" i="12"/>
  <c r="CX219" i="12"/>
  <c r="CX214" i="12"/>
  <c r="CX710" i="12"/>
  <c r="CX711" i="12"/>
  <c r="CX705" i="12"/>
  <c r="CX434" i="12"/>
  <c r="CX435" i="12"/>
  <c r="CX432" i="12"/>
  <c r="CX558" i="12"/>
  <c r="CX550" i="12"/>
  <c r="CX553" i="12"/>
  <c r="CX1083" i="12"/>
  <c r="CX1092" i="12"/>
  <c r="CX1086" i="12"/>
  <c r="CX775" i="12"/>
  <c r="CX780" i="12"/>
  <c r="CX774" i="12"/>
  <c r="CX651" i="12"/>
  <c r="CX646" i="12"/>
  <c r="CX644" i="12"/>
  <c r="CX573" i="12"/>
  <c r="CX215" i="12"/>
  <c r="CX220" i="12"/>
  <c r="CX713" i="12"/>
  <c r="CX715" i="12"/>
  <c r="CX716" i="12"/>
  <c r="CX440" i="12"/>
  <c r="CX439" i="12"/>
  <c r="CX437" i="12"/>
  <c r="CX556" i="12"/>
  <c r="CX555" i="12"/>
  <c r="CX559" i="12"/>
  <c r="CX1091" i="12"/>
  <c r="CX1088" i="12"/>
  <c r="CX1093" i="12"/>
  <c r="CX779" i="12"/>
  <c r="CX776" i="12"/>
  <c r="CX781" i="12"/>
  <c r="CX641" i="12"/>
  <c r="CX642" i="12"/>
  <c r="CX643" i="12"/>
  <c r="CX1090" i="12"/>
  <c r="CX1089" i="12"/>
  <c r="CX1087" i="12"/>
  <c r="CX308" i="12"/>
  <c r="CX1065" i="12"/>
  <c r="CX1060" i="12"/>
  <c r="CX864" i="12"/>
  <c r="CX799" i="12"/>
  <c r="CX1245" i="12"/>
  <c r="CX856" i="12"/>
  <c r="CX858" i="12"/>
  <c r="CX450" i="12"/>
  <c r="CX1213" i="12"/>
  <c r="CX1216" i="12"/>
  <c r="CX571" i="12"/>
  <c r="CX274" i="12"/>
  <c r="CX270" i="12"/>
  <c r="CX218" i="12"/>
  <c r="CX1064" i="12"/>
  <c r="CX1067" i="12"/>
  <c r="CX268" i="12"/>
  <c r="CX212" i="12"/>
  <c r="CX213" i="12"/>
  <c r="CX707" i="12"/>
  <c r="CX708" i="12"/>
  <c r="CX441" i="12"/>
  <c r="CX554" i="12"/>
  <c r="CX560" i="12"/>
  <c r="CX1084" i="12"/>
  <c r="CX1085" i="12"/>
  <c r="CX772" i="12"/>
  <c r="CX773" i="12"/>
  <c r="CX647" i="12"/>
  <c r="CX645" i="12"/>
  <c r="CX1301" i="12"/>
  <c r="CX1297" i="12"/>
  <c r="CX1291" i="12"/>
  <c r="CX1294" i="12"/>
  <c r="CX1010" i="12"/>
  <c r="CX1299" i="12"/>
  <c r="CX1290" i="12"/>
  <c r="CX298" i="12"/>
  <c r="CX1160" i="12"/>
  <c r="CX1009" i="12"/>
  <c r="CX1298" i="12"/>
  <c r="CX1300" i="12"/>
  <c r="CX1166" i="12"/>
  <c r="CX922" i="12"/>
  <c r="CX293" i="12"/>
  <c r="CX1165" i="12"/>
  <c r="CX1004" i="12"/>
  <c r="CX107" i="12"/>
  <c r="CX116" i="12"/>
  <c r="CY116" i="12" s="1"/>
  <c r="CX115" i="12"/>
  <c r="CY115" i="12" s="1"/>
  <c r="CX623" i="12"/>
  <c r="CX615" i="12"/>
  <c r="CX618" i="12"/>
  <c r="CX732" i="12"/>
  <c r="CX741" i="12"/>
  <c r="CX735" i="12"/>
  <c r="CX1286" i="12"/>
  <c r="CX1284" i="12"/>
  <c r="CX1281" i="12"/>
  <c r="CX1169" i="12"/>
  <c r="CX1167" i="12"/>
  <c r="CX1164" i="12"/>
  <c r="CX95" i="12"/>
  <c r="CY95" i="12" s="1"/>
  <c r="CX99" i="12"/>
  <c r="CY99" i="12" s="1"/>
  <c r="CX105" i="12"/>
  <c r="DB106" i="12" s="1"/>
  <c r="CX1013" i="12"/>
  <c r="CX1011" i="12"/>
  <c r="CX1008" i="12"/>
  <c r="CX1193" i="12"/>
  <c r="CX1192" i="12"/>
  <c r="CX1196" i="12"/>
  <c r="CX987" i="12"/>
  <c r="CX984" i="12"/>
  <c r="CX989" i="12"/>
  <c r="CX1256" i="12"/>
  <c r="CX1262" i="12"/>
  <c r="CX1251" i="12"/>
  <c r="CX577" i="12"/>
  <c r="CX578" i="12"/>
  <c r="CX575" i="12"/>
  <c r="CX606" i="12"/>
  <c r="CX607" i="12"/>
  <c r="CX601" i="12"/>
  <c r="CX944" i="12"/>
  <c r="CX945" i="12"/>
  <c r="CX939" i="12"/>
  <c r="CX1152" i="12"/>
  <c r="CX1153" i="12"/>
  <c r="CX1147" i="12"/>
  <c r="CX300" i="12"/>
  <c r="CX297" i="12"/>
  <c r="CX295" i="12"/>
  <c r="CX1040" i="12"/>
  <c r="CX1035" i="12"/>
  <c r="CX1030" i="12"/>
  <c r="CX459" i="12"/>
  <c r="CX469" i="12"/>
  <c r="CX458" i="12"/>
  <c r="CX114" i="12"/>
  <c r="CY114" i="12" s="1"/>
  <c r="CX111" i="12"/>
  <c r="CY111" i="12" s="1"/>
  <c r="CX622" i="12"/>
  <c r="CX616" i="12"/>
  <c r="CX739" i="12"/>
  <c r="CX738" i="12"/>
  <c r="CX1285" i="12"/>
  <c r="CX1287" i="12"/>
  <c r="CX1168" i="12"/>
  <c r="CX1170" i="12"/>
  <c r="CX1171" i="12"/>
  <c r="CX96" i="12"/>
  <c r="CY96" i="12" s="1"/>
  <c r="CX104" i="12"/>
  <c r="CY104" i="12" s="1"/>
  <c r="CX103" i="12"/>
  <c r="CY103" i="12" s="1"/>
  <c r="CX1012" i="12"/>
  <c r="CX1014" i="12"/>
  <c r="CX1015" i="12"/>
  <c r="CX1191" i="12"/>
  <c r="CX1197" i="12"/>
  <c r="CX1186" i="12"/>
  <c r="CX980" i="12"/>
  <c r="CX981" i="12"/>
  <c r="CX978" i="12"/>
  <c r="CX1260" i="12"/>
  <c r="CX1252" i="12"/>
  <c r="CX1255" i="12"/>
  <c r="CX576" i="12"/>
  <c r="CX585" i="12"/>
  <c r="CX579" i="12"/>
  <c r="CX610" i="12"/>
  <c r="CX608" i="12"/>
  <c r="CX605" i="12"/>
  <c r="CX948" i="12"/>
  <c r="CX946" i="12"/>
  <c r="CX943" i="12"/>
  <c r="CX1156" i="12"/>
  <c r="CX1154" i="12"/>
  <c r="CX1151" i="12"/>
  <c r="CX291" i="12"/>
  <c r="CX292" i="12"/>
  <c r="CX289" i="12"/>
  <c r="CX1031" i="12"/>
  <c r="CX1033" i="12"/>
  <c r="CX1034" i="12"/>
  <c r="CX467" i="12"/>
  <c r="CX463" i="12"/>
  <c r="CX462" i="12"/>
  <c r="CX1162" i="12"/>
  <c r="CX1163" i="12"/>
  <c r="CX94" i="12"/>
  <c r="CX101" i="12"/>
  <c r="CY101" i="12" s="1"/>
  <c r="CX1006" i="12"/>
  <c r="CX1007" i="12"/>
  <c r="CX1195" i="12"/>
  <c r="CX1187" i="12"/>
  <c r="CX979" i="12"/>
  <c r="CX988" i="12"/>
  <c r="CX1259" i="12"/>
  <c r="CX1253" i="12"/>
  <c r="CX583" i="12"/>
  <c r="CX582" i="12"/>
  <c r="CX609" i="12"/>
  <c r="CX611" i="12"/>
  <c r="CX947" i="12"/>
  <c r="CX949" i="12"/>
  <c r="CX1155" i="12"/>
  <c r="CX1157" i="12"/>
  <c r="CX294" i="12"/>
  <c r="CX290" i="12"/>
  <c r="CX1038" i="12"/>
  <c r="CX1032" i="12"/>
  <c r="CX466" i="12"/>
  <c r="CX460" i="12"/>
  <c r="CX176" i="12"/>
  <c r="CX1293" i="12"/>
  <c r="CX1296" i="12"/>
  <c r="CX840" i="12"/>
  <c r="CX969" i="12"/>
  <c r="CX402" i="12"/>
  <c r="CX1098" i="12"/>
  <c r="CX421" i="12"/>
  <c r="CX510" i="12"/>
  <c r="CX1268" i="12"/>
  <c r="CX1043" i="12"/>
  <c r="CX1204" i="12"/>
  <c r="CX160" i="12"/>
  <c r="CX748" i="12"/>
  <c r="CX1121" i="12"/>
  <c r="CX659" i="12"/>
  <c r="CX669" i="12"/>
  <c r="CX341" i="12"/>
  <c r="CX513" i="12"/>
  <c r="CX1108" i="12"/>
  <c r="CX86" i="12"/>
  <c r="CY86" i="12" s="1"/>
  <c r="CX162" i="12"/>
  <c r="CX975" i="12"/>
  <c r="CX185" i="12"/>
  <c r="CX751" i="12"/>
  <c r="CX1271" i="12"/>
  <c r="CX198" i="12"/>
  <c r="CX787" i="12"/>
  <c r="CX1048" i="12"/>
  <c r="CX1128" i="12"/>
  <c r="CX658" i="12"/>
  <c r="CX926" i="12"/>
  <c r="CX347" i="12"/>
  <c r="CX512" i="12"/>
  <c r="CX1114" i="12"/>
  <c r="CX835" i="12"/>
  <c r="CX952" i="12"/>
  <c r="CX194" i="12"/>
  <c r="CX753" i="12"/>
  <c r="CX1273" i="12"/>
  <c r="CX205" i="12"/>
  <c r="CX793" i="12"/>
  <c r="CX1097" i="12"/>
  <c r="CX260" i="12"/>
  <c r="CX1049" i="12"/>
  <c r="CX228" i="12"/>
  <c r="CX1095" i="12"/>
  <c r="CX256" i="12"/>
  <c r="CX1122" i="12"/>
  <c r="CX419" i="12"/>
  <c r="CX932" i="12"/>
  <c r="CX350" i="12"/>
  <c r="CX1205" i="12"/>
  <c r="CX1113" i="12"/>
  <c r="CX842" i="12"/>
  <c r="CX958" i="12"/>
  <c r="CX167" i="12"/>
  <c r="CX189" i="12"/>
  <c r="CX910" i="12"/>
  <c r="CX892" i="12"/>
  <c r="CX475" i="12"/>
  <c r="CX788" i="12"/>
  <c r="CX901" i="12"/>
  <c r="CX1073" i="12"/>
  <c r="CX478" i="12"/>
  <c r="CX148" i="12"/>
  <c r="CX230" i="12"/>
  <c r="CX226" i="12"/>
  <c r="CX422" i="12"/>
  <c r="CX653" i="12"/>
  <c r="CX668" i="12"/>
  <c r="CX1199" i="12"/>
  <c r="CX91" i="12"/>
  <c r="CY91" i="12" s="1"/>
  <c r="CX970" i="12"/>
  <c r="CX917" i="12"/>
  <c r="CX1076" i="12"/>
  <c r="CX891" i="12"/>
  <c r="CX480" i="12"/>
  <c r="CX209" i="12"/>
  <c r="CX397" i="12"/>
  <c r="CX157" i="12"/>
  <c r="CX88" i="12"/>
  <c r="CY88" i="12" s="1"/>
  <c r="CX920" i="12"/>
  <c r="CX904" i="12"/>
  <c r="CX1078" i="12"/>
  <c r="CX897" i="12"/>
  <c r="CX400" i="12"/>
  <c r="CX1100" i="12"/>
  <c r="CX1105" i="12"/>
  <c r="CX1099" i="12"/>
  <c r="CX233" i="12"/>
  <c r="CX227" i="12"/>
  <c r="CX224" i="12"/>
  <c r="CX257" i="12"/>
  <c r="CX261" i="12"/>
  <c r="CX250" i="12"/>
  <c r="CX1052" i="12"/>
  <c r="CX1050" i="12"/>
  <c r="CX1047" i="12"/>
  <c r="CX1130" i="12"/>
  <c r="CX1131" i="12"/>
  <c r="CX1125" i="12"/>
  <c r="CX420" i="12"/>
  <c r="CX429" i="12"/>
  <c r="CX423" i="12"/>
  <c r="CX662" i="12"/>
  <c r="CX660" i="12"/>
  <c r="CX657" i="12"/>
  <c r="CX935" i="12"/>
  <c r="CX933" i="12"/>
  <c r="CX930" i="12"/>
  <c r="CX671" i="12"/>
  <c r="CX676" i="12"/>
  <c r="CX670" i="12"/>
  <c r="CX342" i="12"/>
  <c r="CX351" i="12"/>
  <c r="CX345" i="12"/>
  <c r="CX1208" i="12"/>
  <c r="CX1206" i="12"/>
  <c r="CX1203" i="12"/>
  <c r="CX511" i="12"/>
  <c r="CX520" i="12"/>
  <c r="CX514" i="12"/>
  <c r="CX1117" i="12"/>
  <c r="CX1115" i="12"/>
  <c r="CX1112" i="12"/>
  <c r="CX844" i="12"/>
  <c r="CX845" i="12"/>
  <c r="CX839" i="12"/>
  <c r="CX87" i="12"/>
  <c r="CY87" i="12" s="1"/>
  <c r="CX84" i="12"/>
  <c r="CY84" i="12" s="1"/>
  <c r="CX82" i="12"/>
  <c r="CY82" i="12" s="1"/>
  <c r="CX961" i="12"/>
  <c r="CX959" i="12"/>
  <c r="CX956" i="12"/>
  <c r="CX163" i="12"/>
  <c r="CX168" i="12"/>
  <c r="CX159" i="12"/>
  <c r="CX973" i="12"/>
  <c r="CX972" i="12"/>
  <c r="CX966" i="12"/>
  <c r="CX190" i="12"/>
  <c r="CX187" i="12"/>
  <c r="CX195" i="12"/>
  <c r="CX921" i="12"/>
  <c r="CX923" i="12"/>
  <c r="CX924" i="12"/>
  <c r="CX908" i="12"/>
  <c r="CX907" i="12"/>
  <c r="CX905" i="12"/>
  <c r="CX752" i="12"/>
  <c r="CX754" i="12"/>
  <c r="CX755" i="12"/>
  <c r="CX1077" i="12"/>
  <c r="CX1079" i="12"/>
  <c r="CX1080" i="12"/>
  <c r="CX895" i="12"/>
  <c r="CX894" i="12"/>
  <c r="CX888" i="12"/>
  <c r="CX1272" i="12"/>
  <c r="CX1274" i="12"/>
  <c r="CX1275" i="12"/>
  <c r="CX479" i="12"/>
  <c r="CX481" i="12"/>
  <c r="CX482" i="12"/>
  <c r="CX202" i="12"/>
  <c r="CX207" i="12"/>
  <c r="CX199" i="12"/>
  <c r="CX401" i="12"/>
  <c r="CX403" i="12"/>
  <c r="CX404" i="12"/>
  <c r="CX791" i="12"/>
  <c r="CX790" i="12"/>
  <c r="CX784" i="12"/>
  <c r="CX153" i="12"/>
  <c r="CX147" i="12"/>
  <c r="CX156" i="12"/>
  <c r="CX1267" i="12"/>
  <c r="CX473" i="12"/>
  <c r="CX474" i="12"/>
  <c r="CX472" i="12"/>
  <c r="CX201" i="12"/>
  <c r="CX206" i="12"/>
  <c r="CX200" i="12"/>
  <c r="CX395" i="12"/>
  <c r="CX396" i="12"/>
  <c r="CX394" i="12"/>
  <c r="CX792" i="12"/>
  <c r="CX789" i="12"/>
  <c r="CX794" i="12"/>
  <c r="CX152" i="12"/>
  <c r="CX150" i="12"/>
  <c r="CX154" i="12"/>
  <c r="CX1103" i="12"/>
  <c r="CX1102" i="12"/>
  <c r="CX1096" i="12"/>
  <c r="CX235" i="12"/>
  <c r="CX229" i="12"/>
  <c r="CX234" i="12"/>
  <c r="CX254" i="12"/>
  <c r="CX259" i="12"/>
  <c r="CX255" i="12"/>
  <c r="CX1051" i="12"/>
  <c r="CX1053" i="12"/>
  <c r="CX1054" i="12"/>
  <c r="CX1129" i="12"/>
  <c r="CX1132" i="12"/>
  <c r="CX1126" i="12"/>
  <c r="CX427" i="12"/>
  <c r="CX426" i="12"/>
  <c r="CX424" i="12"/>
  <c r="CX661" i="12"/>
  <c r="CX663" i="12"/>
  <c r="CX664" i="12"/>
  <c r="CX934" i="12"/>
  <c r="CX936" i="12"/>
  <c r="CX937" i="12"/>
  <c r="CX674" i="12"/>
  <c r="CX673" i="12"/>
  <c r="CX667" i="12"/>
  <c r="CX349" i="12"/>
  <c r="CX348" i="12"/>
  <c r="CX346" i="12"/>
  <c r="CX1207" i="12"/>
  <c r="CX1209" i="12"/>
  <c r="CX1210" i="12"/>
  <c r="CX518" i="12"/>
  <c r="CX517" i="12"/>
  <c r="CX515" i="12"/>
  <c r="CX1116" i="12"/>
  <c r="CX1118" i="12"/>
  <c r="CX1119" i="12"/>
  <c r="CX843" i="12"/>
  <c r="CX846" i="12"/>
  <c r="CX836" i="12"/>
  <c r="CX81" i="12"/>
  <c r="CX90" i="12"/>
  <c r="CY90" i="12" s="1"/>
  <c r="CX89" i="12"/>
  <c r="CY89" i="12" s="1"/>
  <c r="CX960" i="12"/>
  <c r="CX962" i="12"/>
  <c r="CX963" i="12"/>
  <c r="CX164" i="12"/>
  <c r="CX161" i="12"/>
  <c r="CX169" i="12"/>
  <c r="CX974" i="12"/>
  <c r="CX971" i="12"/>
  <c r="CX976" i="12"/>
  <c r="CX196" i="12"/>
  <c r="CX191" i="12"/>
  <c r="CX192" i="12"/>
  <c r="CX915" i="12"/>
  <c r="CX916" i="12"/>
  <c r="CX914" i="12"/>
  <c r="CX909" i="12"/>
  <c r="CX906" i="12"/>
  <c r="CX911" i="12"/>
  <c r="CX746" i="12"/>
  <c r="CX747" i="12"/>
  <c r="CX745" i="12"/>
  <c r="CX1071" i="12"/>
  <c r="CX1072" i="12"/>
  <c r="CX1070" i="12"/>
  <c r="CX896" i="12"/>
  <c r="CX893" i="12"/>
  <c r="CX898" i="12"/>
  <c r="CX1266" i="12"/>
  <c r="CX1265" i="12"/>
  <c r="CX1104" i="12"/>
  <c r="CX1101" i="12"/>
  <c r="CX225" i="12"/>
  <c r="CX232" i="12"/>
  <c r="CX253" i="12"/>
  <c r="CX258" i="12"/>
  <c r="CX1045" i="12"/>
  <c r="CX1046" i="12"/>
  <c r="CX1124" i="12"/>
  <c r="CX1127" i="12"/>
  <c r="CX428" i="12"/>
  <c r="CX425" i="12"/>
  <c r="CX655" i="12"/>
  <c r="CX656" i="12"/>
  <c r="CX928" i="12"/>
  <c r="CX929" i="12"/>
  <c r="CX675" i="12"/>
  <c r="CX672" i="12"/>
  <c r="CX343" i="12"/>
  <c r="CX344" i="12"/>
  <c r="CX1201" i="12"/>
  <c r="CX1202" i="12"/>
  <c r="CX519" i="12"/>
  <c r="CX516" i="12"/>
  <c r="CX1110" i="12"/>
  <c r="CX1111" i="12"/>
  <c r="CX838" i="12"/>
  <c r="CX841" i="12"/>
  <c r="CX83" i="12"/>
  <c r="CY83" i="12" s="1"/>
  <c r="CX85" i="12"/>
  <c r="CY85" i="12" s="1"/>
  <c r="CX954" i="12"/>
  <c r="CX955" i="12"/>
  <c r="CX170" i="12"/>
  <c r="CX165" i="12"/>
  <c r="CX967" i="12"/>
  <c r="CX968" i="12"/>
  <c r="CX188" i="12"/>
  <c r="CX186" i="12"/>
  <c r="CX918" i="12"/>
  <c r="CX919" i="12"/>
  <c r="CX902" i="12"/>
  <c r="CX903" i="12"/>
  <c r="CX749" i="12"/>
  <c r="CX750" i="12"/>
  <c r="CX1074" i="12"/>
  <c r="CX1075" i="12"/>
  <c r="CX889" i="12"/>
  <c r="CX890" i="12"/>
  <c r="CX1269" i="12"/>
  <c r="CX1270" i="12"/>
  <c r="CX476" i="12"/>
  <c r="CX477" i="12"/>
  <c r="CX208" i="12"/>
  <c r="CX203" i="12"/>
  <c r="CX398" i="12"/>
  <c r="CX399" i="12"/>
  <c r="CX785" i="12"/>
  <c r="CX786" i="12"/>
  <c r="CX149" i="12"/>
  <c r="CX151" i="12"/>
  <c r="CX175" i="12"/>
  <c r="CX182" i="12"/>
  <c r="CX181" i="12"/>
  <c r="CX180" i="12"/>
  <c r="CX178" i="12"/>
  <c r="CX183" i="12"/>
  <c r="CX174" i="12"/>
  <c r="CX172" i="12"/>
  <c r="CX173" i="12"/>
  <c r="CX177" i="12"/>
  <c r="DC109" i="12"/>
  <c r="DE109" i="12"/>
  <c r="DD109" i="12"/>
  <c r="DB109" i="12"/>
  <c r="DA109" i="12"/>
  <c r="CY92" i="12"/>
  <c r="DB93" i="12"/>
  <c r="CY134" i="12"/>
  <c r="CZ110" i="12"/>
  <c r="CZ122" i="12"/>
  <c r="CZ135" i="12"/>
  <c r="CZ83" i="12"/>
  <c r="CZ96" i="12"/>
  <c r="DB132" i="12" l="1"/>
  <c r="CY144" i="12"/>
  <c r="DE122" i="12"/>
  <c r="DB122" i="12"/>
  <c r="DC122" i="12"/>
  <c r="DD122" i="12"/>
  <c r="DA122" i="12"/>
  <c r="CY118" i="12"/>
  <c r="CY105" i="12"/>
  <c r="DA110" i="12"/>
  <c r="DE110" i="12"/>
  <c r="DC110" i="12"/>
  <c r="DB110" i="12"/>
  <c r="DD110" i="12"/>
  <c r="DD96" i="12"/>
  <c r="DE96" i="12"/>
  <c r="DC96" i="12"/>
  <c r="DA96" i="12"/>
  <c r="DB96" i="12"/>
  <c r="DA83" i="12"/>
  <c r="DC83" i="12"/>
  <c r="DB83" i="12"/>
  <c r="DE83" i="12"/>
  <c r="DD83" i="12"/>
  <c r="DA135" i="12"/>
  <c r="DC135" i="12"/>
  <c r="DD135" i="12"/>
  <c r="DB135" i="12"/>
  <c r="DE135" i="12"/>
  <c r="CY150" i="12"/>
  <c r="CY151" i="12"/>
  <c r="CY152" i="12"/>
  <c r="CY148" i="12"/>
  <c r="CY155" i="12"/>
  <c r="CY149" i="12"/>
  <c r="CY157" i="12"/>
  <c r="DB158" i="12"/>
  <c r="CY156" i="12"/>
  <c r="CY147" i="12"/>
  <c r="CY153" i="12"/>
  <c r="CY154" i="12"/>
  <c r="CZ123" i="12"/>
  <c r="CZ97" i="12"/>
  <c r="CZ136" i="12"/>
  <c r="CZ111" i="12"/>
  <c r="CZ84" i="12"/>
  <c r="CZ148" i="12"/>
  <c r="DB123" i="12" l="1"/>
  <c r="DA123" i="12"/>
  <c r="DC123" i="12"/>
  <c r="DE123" i="12"/>
  <c r="DD123" i="12"/>
  <c r="DC111" i="12"/>
  <c r="DA111" i="12"/>
  <c r="DB111" i="12"/>
  <c r="DE111" i="12"/>
  <c r="DD111" i="12"/>
  <c r="DB136" i="12"/>
  <c r="DD136" i="12"/>
  <c r="DC136" i="12"/>
  <c r="DE136" i="12"/>
  <c r="DA136" i="12"/>
  <c r="DD97" i="12"/>
  <c r="DC97" i="12"/>
  <c r="DA97" i="12"/>
  <c r="DB97" i="12"/>
  <c r="DE97" i="12"/>
  <c r="DD84" i="12"/>
  <c r="DC84" i="12"/>
  <c r="DB84" i="12"/>
  <c r="DE84" i="12"/>
  <c r="DA84" i="12"/>
  <c r="DC148" i="12"/>
  <c r="DD148" i="12"/>
  <c r="DB148" i="12"/>
  <c r="DE148" i="12"/>
  <c r="DA148" i="12"/>
  <c r="CY166" i="12"/>
  <c r="CY170" i="12"/>
  <c r="DB171" i="12"/>
  <c r="CY168" i="12"/>
  <c r="CY164" i="12"/>
  <c r="CY167" i="12"/>
  <c r="CY160" i="12"/>
  <c r="CY162" i="12"/>
  <c r="CY161" i="12"/>
  <c r="CY165" i="12"/>
  <c r="CY163" i="12"/>
  <c r="CY169" i="12"/>
  <c r="CZ161" i="12"/>
  <c r="CZ137" i="12"/>
  <c r="CZ112" i="12"/>
  <c r="CZ85" i="12"/>
  <c r="CZ124" i="12"/>
  <c r="CZ149" i="12"/>
  <c r="CZ98" i="12"/>
  <c r="DC124" i="12" l="1"/>
  <c r="DB124" i="12"/>
  <c r="DE124" i="12"/>
  <c r="DA124" i="12"/>
  <c r="DD124" i="12"/>
  <c r="DD85" i="12"/>
  <c r="DB85" i="12"/>
  <c r="DC85" i="12"/>
  <c r="DE85" i="12"/>
  <c r="DA85" i="12"/>
  <c r="DC98" i="12"/>
  <c r="DE98" i="12"/>
  <c r="DA98" i="12"/>
  <c r="DD98" i="12"/>
  <c r="DB98" i="12"/>
  <c r="DA112" i="12"/>
  <c r="DE112" i="12"/>
  <c r="DC112" i="12"/>
  <c r="DD112" i="12"/>
  <c r="DB112" i="12"/>
  <c r="DD149" i="12"/>
  <c r="DE149" i="12"/>
  <c r="DC149" i="12"/>
  <c r="DA149" i="12"/>
  <c r="DB149" i="12"/>
  <c r="DD137" i="12"/>
  <c r="DA137" i="12"/>
  <c r="DC137" i="12"/>
  <c r="DB137" i="12"/>
  <c r="DE137" i="12"/>
  <c r="DA161" i="12"/>
  <c r="DB161" i="12"/>
  <c r="DE161" i="12"/>
  <c r="DD161" i="12"/>
  <c r="DC161" i="12"/>
  <c r="CY181" i="12"/>
  <c r="CY176" i="12"/>
  <c r="CY174" i="12"/>
  <c r="CY173" i="12"/>
  <c r="CY183" i="12"/>
  <c r="DB184" i="12"/>
  <c r="CY177" i="12"/>
  <c r="CY178" i="12"/>
  <c r="CY175" i="12"/>
  <c r="CY180" i="12"/>
  <c r="CY179" i="12"/>
  <c r="CY182" i="12"/>
  <c r="CZ86" i="12"/>
  <c r="CZ125" i="12"/>
  <c r="CZ174" i="12"/>
  <c r="CZ99" i="12"/>
  <c r="CZ113" i="12"/>
  <c r="CZ150" i="12"/>
  <c r="CZ162" i="12"/>
  <c r="CZ138" i="12"/>
  <c r="DA125" i="12" l="1"/>
  <c r="DC125" i="12"/>
  <c r="DB125" i="12"/>
  <c r="DD125" i="12"/>
  <c r="DE125" i="12"/>
  <c r="DB99" i="12"/>
  <c r="DD99" i="12"/>
  <c r="DE99" i="12"/>
  <c r="DA99" i="12"/>
  <c r="DC99" i="12"/>
  <c r="DC162" i="12"/>
  <c r="DB162" i="12"/>
  <c r="DE162" i="12"/>
  <c r="DA162" i="12"/>
  <c r="DD162" i="12"/>
  <c r="DD138" i="12"/>
  <c r="DC138" i="12"/>
  <c r="DE138" i="12"/>
  <c r="DB138" i="12"/>
  <c r="DA138" i="12"/>
  <c r="DE150" i="12"/>
  <c r="DC150" i="12"/>
  <c r="DA150" i="12"/>
  <c r="DB150" i="12"/>
  <c r="DD150" i="12"/>
  <c r="DD113" i="12"/>
  <c r="DA113" i="12"/>
  <c r="DE113" i="12"/>
  <c r="DB113" i="12"/>
  <c r="DC113" i="12"/>
  <c r="DC86" i="12"/>
  <c r="DD86" i="12"/>
  <c r="DB86" i="12"/>
  <c r="DE86" i="12"/>
  <c r="DA86" i="12"/>
  <c r="DE174" i="12"/>
  <c r="DA174" i="12"/>
  <c r="DB174" i="12"/>
  <c r="DC174" i="12"/>
  <c r="DD174" i="12"/>
  <c r="CY193" i="12"/>
  <c r="CY192" i="12"/>
  <c r="CY189" i="12"/>
  <c r="CY195" i="12"/>
  <c r="CY191" i="12"/>
  <c r="CY186" i="12"/>
  <c r="CY190" i="12"/>
  <c r="CY194" i="12"/>
  <c r="CY188" i="12"/>
  <c r="CY196" i="12"/>
  <c r="DB197" i="12"/>
  <c r="CY187" i="12"/>
  <c r="CZ87" i="12"/>
  <c r="CZ114" i="12"/>
  <c r="CZ151" i="12"/>
  <c r="CZ175" i="12"/>
  <c r="CZ163" i="12"/>
  <c r="CZ139" i="12"/>
  <c r="CZ126" i="12"/>
  <c r="CZ100" i="12"/>
  <c r="CZ187" i="12"/>
  <c r="DC126" i="12" l="1"/>
  <c r="DD126" i="12"/>
  <c r="DA126" i="12"/>
  <c r="DE126" i="12"/>
  <c r="DB126" i="12"/>
  <c r="DA175" i="12"/>
  <c r="DB175" i="12"/>
  <c r="DE175" i="12"/>
  <c r="DD175" i="12"/>
  <c r="DC175" i="12"/>
  <c r="DC87" i="12"/>
  <c r="DA87" i="12"/>
  <c r="DD87" i="12"/>
  <c r="DB87" i="12"/>
  <c r="DE87" i="12"/>
  <c r="DB139" i="12"/>
  <c r="DC139" i="12"/>
  <c r="DA139" i="12"/>
  <c r="DD139" i="12"/>
  <c r="DE139" i="12"/>
  <c r="DD100" i="12"/>
  <c r="DE100" i="12"/>
  <c r="DA100" i="12"/>
  <c r="DB100" i="12"/>
  <c r="DC100" i="12"/>
  <c r="DD114" i="12"/>
  <c r="DE114" i="12"/>
  <c r="DB114" i="12"/>
  <c r="DF113" i="12" s="1"/>
  <c r="DC114" i="12"/>
  <c r="DA114" i="12"/>
  <c r="DB151" i="12"/>
  <c r="DD151" i="12"/>
  <c r="DE151" i="12"/>
  <c r="DA151" i="12"/>
  <c r="DC151" i="12"/>
  <c r="DC163" i="12"/>
  <c r="DA163" i="12"/>
  <c r="DE163" i="12"/>
  <c r="DB163" i="12"/>
  <c r="DD163" i="12"/>
  <c r="DD187" i="12"/>
  <c r="DE187" i="12"/>
  <c r="DB187" i="12"/>
  <c r="DA187" i="12"/>
  <c r="DC187" i="12"/>
  <c r="CY203" i="12"/>
  <c r="CY204" i="12"/>
  <c r="CY205" i="12"/>
  <c r="CY201" i="12"/>
  <c r="CY208" i="12"/>
  <c r="CY200" i="12"/>
  <c r="CY207" i="12"/>
  <c r="CY199" i="12"/>
  <c r="CY202" i="12"/>
  <c r="CY206" i="12"/>
  <c r="CY209" i="12"/>
  <c r="DB210" i="12"/>
  <c r="CZ101" i="12"/>
  <c r="CZ188" i="12"/>
  <c r="CZ127" i="12"/>
  <c r="CZ152" i="12"/>
  <c r="CZ88" i="12"/>
  <c r="CZ115" i="12"/>
  <c r="CZ176" i="12"/>
  <c r="CZ164" i="12"/>
  <c r="CZ140" i="12"/>
  <c r="CZ200" i="12"/>
  <c r="DE127" i="12" l="1"/>
  <c r="DA127" i="12"/>
  <c r="DC127" i="12"/>
  <c r="DD127" i="12"/>
  <c r="DB127" i="12"/>
  <c r="DB188" i="12"/>
  <c r="DE188" i="12"/>
  <c r="DC188" i="12"/>
  <c r="DA188" i="12"/>
  <c r="DD188" i="12"/>
  <c r="DA164" i="12"/>
  <c r="DE164" i="12"/>
  <c r="DC164" i="12"/>
  <c r="DB164" i="12"/>
  <c r="DD164" i="12"/>
  <c r="DB152" i="12"/>
  <c r="DA152" i="12"/>
  <c r="DE152" i="12"/>
  <c r="DD152" i="12"/>
  <c r="DC152" i="12"/>
  <c r="DC101" i="12"/>
  <c r="DE101" i="12"/>
  <c r="DB101" i="12"/>
  <c r="DA101" i="12"/>
  <c r="DD101" i="12"/>
  <c r="DE176" i="12"/>
  <c r="DB176" i="12"/>
  <c r="DD176" i="12"/>
  <c r="DC176" i="12"/>
  <c r="DA176" i="12"/>
  <c r="DA115" i="12"/>
  <c r="DB115" i="12"/>
  <c r="DF114" i="12" s="1"/>
  <c r="DC115" i="12"/>
  <c r="DE115" i="12"/>
  <c r="DD115" i="12"/>
  <c r="DB140" i="12"/>
  <c r="DF139" i="12" s="1"/>
  <c r="DD140" i="12"/>
  <c r="DA140" i="12"/>
  <c r="DE140" i="12"/>
  <c r="DC140" i="12"/>
  <c r="DC88" i="12"/>
  <c r="DD88" i="12"/>
  <c r="DB88" i="12"/>
  <c r="DA88" i="12"/>
  <c r="DE88" i="12"/>
  <c r="DA200" i="12"/>
  <c r="DC200" i="12"/>
  <c r="DB200" i="12"/>
  <c r="DD200" i="12"/>
  <c r="DE200" i="12"/>
  <c r="CY221" i="12"/>
  <c r="CY215" i="12"/>
  <c r="CY220" i="12"/>
  <c r="CY214" i="12"/>
  <c r="CY217" i="12"/>
  <c r="CY219" i="12"/>
  <c r="CY222" i="12"/>
  <c r="DB223" i="12"/>
  <c r="CY212" i="12"/>
  <c r="CY213" i="12"/>
  <c r="CY218" i="12"/>
  <c r="CY216" i="12"/>
  <c r="CZ201" i="12"/>
  <c r="CZ177" i="12"/>
  <c r="CZ153" i="12"/>
  <c r="CZ102" i="12"/>
  <c r="CZ89" i="12"/>
  <c r="CZ141" i="12"/>
  <c r="CZ128" i="12"/>
  <c r="CZ116" i="12"/>
  <c r="CZ189" i="12"/>
  <c r="CZ165" i="12"/>
  <c r="CZ213" i="12"/>
  <c r="DB128" i="12" l="1"/>
  <c r="DA128" i="12"/>
  <c r="DC128" i="12"/>
  <c r="DD128" i="12"/>
  <c r="DE128" i="12"/>
  <c r="DA89" i="12"/>
  <c r="DD89" i="12"/>
  <c r="DC89" i="12"/>
  <c r="DB89" i="12"/>
  <c r="DE89" i="12"/>
  <c r="DE116" i="12"/>
  <c r="DD116" i="12"/>
  <c r="DA116" i="12"/>
  <c r="DC116" i="12"/>
  <c r="DB116" i="12"/>
  <c r="DF115" i="12" s="1"/>
  <c r="DD153" i="12"/>
  <c r="DB153" i="12"/>
  <c r="DF152" i="12" s="1"/>
  <c r="DC153" i="12"/>
  <c r="DE153" i="12"/>
  <c r="DA153" i="12"/>
  <c r="DB189" i="12"/>
  <c r="DE189" i="12"/>
  <c r="DA189" i="12"/>
  <c r="DD189" i="12"/>
  <c r="DC189" i="12"/>
  <c r="DB165" i="12"/>
  <c r="DC165" i="12"/>
  <c r="DE165" i="12"/>
  <c r="DD165" i="12"/>
  <c r="DA165" i="12"/>
  <c r="DA201" i="12"/>
  <c r="DD201" i="12"/>
  <c r="DC201" i="12"/>
  <c r="DE201" i="12"/>
  <c r="DB201" i="12"/>
  <c r="DC141" i="12"/>
  <c r="DD141" i="12"/>
  <c r="DB141" i="12"/>
  <c r="DF140" i="12" s="1"/>
  <c r="DA141" i="12"/>
  <c r="DE141" i="12"/>
  <c r="DC177" i="12"/>
  <c r="DA177" i="12"/>
  <c r="DE177" i="12"/>
  <c r="DB177" i="12"/>
  <c r="DF176" i="12" s="1"/>
  <c r="DD177" i="12"/>
  <c r="DD102" i="12"/>
  <c r="DA102" i="12"/>
  <c r="DE102" i="12"/>
  <c r="DC102" i="12"/>
  <c r="DB102" i="12"/>
  <c r="DB213" i="12"/>
  <c r="DA213" i="12"/>
  <c r="DC213" i="12"/>
  <c r="DD213" i="12"/>
  <c r="DE213" i="12"/>
  <c r="CY231" i="12"/>
  <c r="CY225" i="12"/>
  <c r="CY230" i="12"/>
  <c r="CY233" i="12"/>
  <c r="CY228" i="12"/>
  <c r="CY235" i="12"/>
  <c r="DB236" i="12"/>
  <c r="CY229" i="12"/>
  <c r="CY226" i="12"/>
  <c r="CY227" i="12"/>
  <c r="CY234" i="12"/>
  <c r="CY232" i="12"/>
  <c r="CZ202" i="12"/>
  <c r="CZ117" i="12"/>
  <c r="CZ166" i="12"/>
  <c r="CZ190" i="12"/>
  <c r="CZ103" i="12"/>
  <c r="CZ142" i="12"/>
  <c r="CZ90" i="12"/>
  <c r="CZ214" i="12"/>
  <c r="CZ178" i="12"/>
  <c r="CZ154" i="12"/>
  <c r="CZ226" i="12"/>
  <c r="CZ129" i="12"/>
  <c r="DC129" i="12" l="1"/>
  <c r="DB129" i="12"/>
  <c r="DE129" i="12"/>
  <c r="DD129" i="12"/>
  <c r="DA129" i="12"/>
  <c r="DD214" i="12"/>
  <c r="DA214" i="12"/>
  <c r="DB214" i="12"/>
  <c r="DC214" i="12"/>
  <c r="DE214" i="12"/>
  <c r="DE202" i="12"/>
  <c r="DC202" i="12"/>
  <c r="DA202" i="12"/>
  <c r="DD202" i="12"/>
  <c r="DB202" i="12"/>
  <c r="DA154" i="12"/>
  <c r="DD154" i="12"/>
  <c r="DE154" i="12"/>
  <c r="DB154" i="12"/>
  <c r="DF153" i="12" s="1"/>
  <c r="DC154" i="12"/>
  <c r="DD90" i="12"/>
  <c r="DB90" i="12"/>
  <c r="DC90" i="12"/>
  <c r="DA90" i="12"/>
  <c r="DE90" i="12"/>
  <c r="DB178" i="12"/>
  <c r="DF177" i="12" s="1"/>
  <c r="DA178" i="12"/>
  <c r="DE178" i="12"/>
  <c r="DC178" i="12"/>
  <c r="DD178" i="12"/>
  <c r="DA103" i="12"/>
  <c r="DB103" i="12"/>
  <c r="DD103" i="12"/>
  <c r="DC103" i="12"/>
  <c r="DE103" i="12"/>
  <c r="DA142" i="12"/>
  <c r="DC142" i="12"/>
  <c r="DD142" i="12"/>
  <c r="DE142" i="12"/>
  <c r="DB142" i="12"/>
  <c r="DF141" i="12" s="1"/>
  <c r="DE166" i="12"/>
  <c r="DA166" i="12"/>
  <c r="DC166" i="12"/>
  <c r="DD166" i="12"/>
  <c r="DB166" i="12"/>
  <c r="DF165" i="12" s="1"/>
  <c r="DA190" i="12"/>
  <c r="DE190" i="12"/>
  <c r="DB190" i="12"/>
  <c r="DC190" i="12"/>
  <c r="DD190" i="12"/>
  <c r="DE117" i="12"/>
  <c r="DD117" i="12"/>
  <c r="DA117" i="12"/>
  <c r="DC117" i="12"/>
  <c r="DB117" i="12"/>
  <c r="DF116" i="12" s="1"/>
  <c r="DB226" i="12"/>
  <c r="DD226" i="12"/>
  <c r="DC226" i="12"/>
  <c r="DA226" i="12"/>
  <c r="DE226" i="12"/>
  <c r="CY239" i="12"/>
  <c r="CY247" i="12"/>
  <c r="CY245" i="12"/>
  <c r="CY240" i="12"/>
  <c r="CY248" i="12"/>
  <c r="DB249" i="12"/>
  <c r="CY238" i="12"/>
  <c r="CY241" i="12"/>
  <c r="CY246" i="12"/>
  <c r="CY243" i="12"/>
  <c r="CY244" i="12"/>
  <c r="CY242" i="12"/>
  <c r="CZ179" i="12"/>
  <c r="CZ130" i="12"/>
  <c r="CZ118" i="12"/>
  <c r="CZ227" i="12"/>
  <c r="CZ104" i="12"/>
  <c r="CZ143" i="12"/>
  <c r="CZ155" i="12"/>
  <c r="CZ91" i="12"/>
  <c r="CZ203" i="12"/>
  <c r="CZ215" i="12"/>
  <c r="CZ239" i="12"/>
  <c r="CZ167" i="12"/>
  <c r="CZ191" i="12"/>
  <c r="DB130" i="12" l="1"/>
  <c r="DF129" i="12" s="1"/>
  <c r="DD130" i="12"/>
  <c r="DC130" i="12"/>
  <c r="DA130" i="12"/>
  <c r="DE130" i="12"/>
  <c r="DD191" i="12"/>
  <c r="DC191" i="12"/>
  <c r="DB191" i="12"/>
  <c r="DA191" i="12"/>
  <c r="DE191" i="12"/>
  <c r="DA167" i="12"/>
  <c r="DE167" i="12"/>
  <c r="DD167" i="12"/>
  <c r="DB167" i="12"/>
  <c r="DC167" i="12"/>
  <c r="DA104" i="12"/>
  <c r="DB104" i="12"/>
  <c r="DF103" i="12" s="1"/>
  <c r="DE104" i="12"/>
  <c r="DC104" i="12"/>
  <c r="DD104" i="12"/>
  <c r="DB203" i="12"/>
  <c r="DD203" i="12"/>
  <c r="DC203" i="12"/>
  <c r="DE203" i="12"/>
  <c r="DA203" i="12"/>
  <c r="DD215" i="12"/>
  <c r="DA215" i="12"/>
  <c r="DE215" i="12"/>
  <c r="DB215" i="12"/>
  <c r="DC215" i="12"/>
  <c r="DC118" i="12"/>
  <c r="DD118" i="12"/>
  <c r="DE118" i="12"/>
  <c r="DA118" i="12"/>
  <c r="DB118" i="12"/>
  <c r="DD143" i="12"/>
  <c r="DC143" i="12"/>
  <c r="DA143" i="12"/>
  <c r="DE143" i="12"/>
  <c r="DB143" i="12"/>
  <c r="DF142" i="12" s="1"/>
  <c r="DC179" i="12"/>
  <c r="DB179" i="12"/>
  <c r="DF178" i="12" s="1"/>
  <c r="DE179" i="12"/>
  <c r="DD179" i="12"/>
  <c r="DA179" i="12"/>
  <c r="DB155" i="12"/>
  <c r="DE155" i="12"/>
  <c r="DD155" i="12"/>
  <c r="DA155" i="12"/>
  <c r="DC155" i="12"/>
  <c r="DC227" i="12"/>
  <c r="DE227" i="12"/>
  <c r="DB227" i="12"/>
  <c r="DD227" i="12"/>
  <c r="DA227" i="12"/>
  <c r="DE91" i="12"/>
  <c r="DB91" i="12"/>
  <c r="DC91" i="12"/>
  <c r="DA91" i="12"/>
  <c r="DD91" i="12"/>
  <c r="DC239" i="12"/>
  <c r="DD239" i="12"/>
  <c r="DE239" i="12"/>
  <c r="DB239" i="12"/>
  <c r="DA239" i="12"/>
  <c r="CY256" i="12"/>
  <c r="CY261" i="12"/>
  <c r="DB262" i="12"/>
  <c r="CY260" i="12"/>
  <c r="CY253" i="12"/>
  <c r="CY259" i="12"/>
  <c r="CY255" i="12"/>
  <c r="CY257" i="12"/>
  <c r="CY252" i="12"/>
  <c r="CY254" i="12"/>
  <c r="CY251" i="12"/>
  <c r="CY258" i="12"/>
  <c r="CZ168" i="12"/>
  <c r="CZ228" i="12"/>
  <c r="CZ105" i="12"/>
  <c r="CZ144" i="12"/>
  <c r="CZ216" i="12"/>
  <c r="CZ252" i="12"/>
  <c r="CZ240" i="12"/>
  <c r="CZ180" i="12"/>
  <c r="CZ92" i="12"/>
  <c r="CZ156" i="12"/>
  <c r="CZ131" i="12"/>
  <c r="CZ204" i="12"/>
  <c r="CZ192" i="12"/>
  <c r="DB131" i="12" l="1"/>
  <c r="DF131" i="12" s="1"/>
  <c r="DE131" i="12"/>
  <c r="DA131" i="12"/>
  <c r="DC131" i="12"/>
  <c r="DD131" i="12"/>
  <c r="DE228" i="12"/>
  <c r="DA228" i="12"/>
  <c r="DD228" i="12"/>
  <c r="DB228" i="12"/>
  <c r="DC228" i="12"/>
  <c r="DD144" i="12"/>
  <c r="DB144" i="12"/>
  <c r="DF144" i="12" s="1"/>
  <c r="DE144" i="12"/>
  <c r="DC144" i="12"/>
  <c r="DA144" i="12"/>
  <c r="DD168" i="12"/>
  <c r="DA168" i="12"/>
  <c r="DB168" i="12"/>
  <c r="DF167" i="12" s="1"/>
  <c r="DE168" i="12"/>
  <c r="DC168" i="12"/>
  <c r="DD216" i="12"/>
  <c r="DA216" i="12"/>
  <c r="DE216" i="12"/>
  <c r="DC216" i="12"/>
  <c r="DB216" i="12"/>
  <c r="DF215" i="12" s="1"/>
  <c r="DA192" i="12"/>
  <c r="DC192" i="12"/>
  <c r="DE192" i="12"/>
  <c r="DD192" i="12"/>
  <c r="DB192" i="12"/>
  <c r="DB92" i="12"/>
  <c r="DA92" i="12"/>
  <c r="DE92" i="12"/>
  <c r="DD92" i="12"/>
  <c r="DC92" i="12"/>
  <c r="DB156" i="12"/>
  <c r="DF155" i="12" s="1"/>
  <c r="DE156" i="12"/>
  <c r="DD156" i="12"/>
  <c r="DA156" i="12"/>
  <c r="DC156" i="12"/>
  <c r="DC240" i="12"/>
  <c r="DE240" i="12"/>
  <c r="DD240" i="12"/>
  <c r="DB240" i="12"/>
  <c r="DA240" i="12"/>
  <c r="DB105" i="12"/>
  <c r="DF105" i="12" s="1"/>
  <c r="DC105" i="12"/>
  <c r="DD105" i="12"/>
  <c r="DA105" i="12"/>
  <c r="DE105" i="12"/>
  <c r="DA180" i="12"/>
  <c r="DC180" i="12"/>
  <c r="DB180" i="12"/>
  <c r="DF179" i="12" s="1"/>
  <c r="DE180" i="12"/>
  <c r="DD180" i="12"/>
  <c r="DB204" i="12"/>
  <c r="DA204" i="12"/>
  <c r="DE204" i="12"/>
  <c r="DD204" i="12"/>
  <c r="DC204" i="12"/>
  <c r="DF117" i="12"/>
  <c r="DF118" i="12"/>
  <c r="DF154" i="12"/>
  <c r="DF166" i="12"/>
  <c r="DD252" i="12"/>
  <c r="DE252" i="12"/>
  <c r="DB252" i="12"/>
  <c r="DA252" i="12"/>
  <c r="DC252" i="12"/>
  <c r="CY274" i="12"/>
  <c r="DB275" i="12"/>
  <c r="CY268" i="12"/>
  <c r="CY266" i="12"/>
  <c r="CY264" i="12"/>
  <c r="CY269" i="12"/>
  <c r="CY271" i="12"/>
  <c r="CY267" i="12"/>
  <c r="CY265" i="12"/>
  <c r="CY270" i="12"/>
  <c r="CY272" i="12"/>
  <c r="CY273" i="12"/>
  <c r="CZ193" i="12"/>
  <c r="CZ253" i="12"/>
  <c r="CZ217" i="12"/>
  <c r="CZ229" i="12"/>
  <c r="CZ157" i="12"/>
  <c r="CZ169" i="12"/>
  <c r="CZ181" i="12"/>
  <c r="CZ241" i="12"/>
  <c r="CZ205" i="12"/>
  <c r="CZ265" i="12"/>
  <c r="DF130" i="12" l="1"/>
  <c r="DF143" i="12"/>
  <c r="DE181" i="12"/>
  <c r="DA181" i="12"/>
  <c r="DB181" i="12"/>
  <c r="DF180" i="12" s="1"/>
  <c r="DC181" i="12"/>
  <c r="DD181" i="12"/>
  <c r="DA241" i="12"/>
  <c r="DC241" i="12"/>
  <c r="DE241" i="12"/>
  <c r="DD241" i="12"/>
  <c r="DB241" i="12"/>
  <c r="DB229" i="12"/>
  <c r="DD229" i="12"/>
  <c r="DE229" i="12"/>
  <c r="DA229" i="12"/>
  <c r="DC229" i="12"/>
  <c r="DC217" i="12"/>
  <c r="DA217" i="12"/>
  <c r="DB217" i="12"/>
  <c r="DF216" i="12" s="1"/>
  <c r="DE217" i="12"/>
  <c r="DD217" i="12"/>
  <c r="DB169" i="12"/>
  <c r="DF168" i="12" s="1"/>
  <c r="DA169" i="12"/>
  <c r="DC169" i="12"/>
  <c r="DD169" i="12"/>
  <c r="DE169" i="12"/>
  <c r="DC205" i="12"/>
  <c r="DB205" i="12"/>
  <c r="DA205" i="12"/>
  <c r="DE205" i="12"/>
  <c r="DD205" i="12"/>
  <c r="DE253" i="12"/>
  <c r="DD253" i="12"/>
  <c r="DC253" i="12"/>
  <c r="DB253" i="12"/>
  <c r="DA253" i="12"/>
  <c r="DB157" i="12"/>
  <c r="DF157" i="12" s="1"/>
  <c r="DE157" i="12"/>
  <c r="DA157" i="12"/>
  <c r="DD157" i="12"/>
  <c r="DC157" i="12"/>
  <c r="DB193" i="12"/>
  <c r="DC193" i="12"/>
  <c r="DA193" i="12"/>
  <c r="DD193" i="12"/>
  <c r="DE193" i="12"/>
  <c r="DF104" i="12"/>
  <c r="DD265" i="12"/>
  <c r="DB265" i="12"/>
  <c r="DE265" i="12"/>
  <c r="DA265" i="12"/>
  <c r="DC265" i="12"/>
  <c r="CY286" i="12"/>
  <c r="CY283" i="12"/>
  <c r="CY280" i="12"/>
  <c r="CY277" i="12"/>
  <c r="CY281" i="12"/>
  <c r="CY287" i="12"/>
  <c r="DB288" i="12"/>
  <c r="CY285" i="12"/>
  <c r="CY278" i="12"/>
  <c r="CY284" i="12"/>
  <c r="CY282" i="12"/>
  <c r="CY279" i="12"/>
  <c r="CZ266" i="12"/>
  <c r="CZ218" i="12"/>
  <c r="CZ254" i="12"/>
  <c r="CZ194" i="12"/>
  <c r="CZ170" i="12"/>
  <c r="CZ242" i="12"/>
  <c r="CZ206" i="12"/>
  <c r="CZ182" i="12"/>
  <c r="CZ230" i="12"/>
  <c r="CZ278" i="12"/>
  <c r="DF156" i="12" l="1"/>
  <c r="DA254" i="12"/>
  <c r="DE254" i="12"/>
  <c r="DB254" i="12"/>
  <c r="DD254" i="12"/>
  <c r="DC254" i="12"/>
  <c r="DC170" i="12"/>
  <c r="DD170" i="12"/>
  <c r="DE170" i="12"/>
  <c r="DA170" i="12"/>
  <c r="DB170" i="12"/>
  <c r="DF170" i="12" s="1"/>
  <c r="DC230" i="12"/>
  <c r="DD230" i="12"/>
  <c r="DB230" i="12"/>
  <c r="DA230" i="12"/>
  <c r="DE230" i="12"/>
  <c r="DD206" i="12"/>
  <c r="DE206" i="12"/>
  <c r="DA206" i="12"/>
  <c r="DC206" i="12"/>
  <c r="DB206" i="12"/>
  <c r="DB218" i="12"/>
  <c r="DF217" i="12" s="1"/>
  <c r="DA218" i="12"/>
  <c r="DD218" i="12"/>
  <c r="DC218" i="12"/>
  <c r="DE218" i="12"/>
  <c r="DB242" i="12"/>
  <c r="DF241" i="12" s="1"/>
  <c r="DA242" i="12"/>
  <c r="DE242" i="12"/>
  <c r="DD242" i="12"/>
  <c r="DC242" i="12"/>
  <c r="DB182" i="12"/>
  <c r="DF181" i="12" s="1"/>
  <c r="DC182" i="12"/>
  <c r="DE182" i="12"/>
  <c r="DA182" i="12"/>
  <c r="DD182" i="12"/>
  <c r="DA266" i="12"/>
  <c r="DB266" i="12"/>
  <c r="DE266" i="12"/>
  <c r="DD266" i="12"/>
  <c r="DC266" i="12"/>
  <c r="DD194" i="12"/>
  <c r="DB194" i="12"/>
  <c r="DF193" i="12" s="1"/>
  <c r="DE194" i="12"/>
  <c r="DA194" i="12"/>
  <c r="DC194" i="12"/>
  <c r="DB278" i="12"/>
  <c r="DD278" i="12"/>
  <c r="DC278" i="12"/>
  <c r="DA278" i="12"/>
  <c r="DE278" i="12"/>
  <c r="CY292" i="12"/>
  <c r="CY297" i="12"/>
  <c r="CY298" i="12"/>
  <c r="CY300" i="12"/>
  <c r="DB301" i="12"/>
  <c r="CY294" i="12"/>
  <c r="CY293" i="12"/>
  <c r="CY295" i="12"/>
  <c r="CY291" i="12"/>
  <c r="CY290" i="12"/>
  <c r="CY296" i="12"/>
  <c r="CY299" i="12"/>
  <c r="CZ279" i="12"/>
  <c r="CZ183" i="12"/>
  <c r="CZ219" i="12"/>
  <c r="CZ267" i="12"/>
  <c r="CZ255" i="12"/>
  <c r="CZ243" i="12"/>
  <c r="CZ231" i="12"/>
  <c r="CZ207" i="12"/>
  <c r="CZ195" i="12"/>
  <c r="CZ291" i="12"/>
  <c r="DF169" i="12" l="1"/>
  <c r="DA279" i="12"/>
  <c r="DB279" i="12"/>
  <c r="DE279" i="12"/>
  <c r="DD279" i="12"/>
  <c r="DC279" i="12"/>
  <c r="DC243" i="12"/>
  <c r="DA243" i="12"/>
  <c r="DD243" i="12"/>
  <c r="DE243" i="12"/>
  <c r="DB243" i="12"/>
  <c r="DF242" i="12" s="1"/>
  <c r="DE207" i="12"/>
  <c r="DB207" i="12"/>
  <c r="DF206" i="12" s="1"/>
  <c r="DC207" i="12"/>
  <c r="DA207" i="12"/>
  <c r="DD207" i="12"/>
  <c r="DB231" i="12"/>
  <c r="DD231" i="12"/>
  <c r="DC231" i="12"/>
  <c r="DA231" i="12"/>
  <c r="DE231" i="12"/>
  <c r="DB267" i="12"/>
  <c r="DE267" i="12"/>
  <c r="DC267" i="12"/>
  <c r="DA267" i="12"/>
  <c r="DD267" i="12"/>
  <c r="DD195" i="12"/>
  <c r="DC195" i="12"/>
  <c r="DB195" i="12"/>
  <c r="DF194" i="12" s="1"/>
  <c r="DE195" i="12"/>
  <c r="DA195" i="12"/>
  <c r="DB183" i="12"/>
  <c r="DF183" i="12" s="1"/>
  <c r="DA183" i="12"/>
  <c r="DE183" i="12"/>
  <c r="DD183" i="12"/>
  <c r="DC183" i="12"/>
  <c r="DB219" i="12"/>
  <c r="DF218" i="12" s="1"/>
  <c r="DC219" i="12"/>
  <c r="DD219" i="12"/>
  <c r="DA219" i="12"/>
  <c r="DE219" i="12"/>
  <c r="DA255" i="12"/>
  <c r="DD255" i="12"/>
  <c r="DE255" i="12"/>
  <c r="DC255" i="12"/>
  <c r="DB255" i="12"/>
  <c r="DF254" i="12" s="1"/>
  <c r="DB291" i="12"/>
  <c r="DD291" i="12"/>
  <c r="DE291" i="12"/>
  <c r="DA291" i="12"/>
  <c r="DC291" i="12"/>
  <c r="CY309" i="12"/>
  <c r="CY303" i="12"/>
  <c r="CY308" i="12"/>
  <c r="CY307" i="12"/>
  <c r="CY306" i="12"/>
  <c r="CY312" i="12"/>
  <c r="CY313" i="12"/>
  <c r="DB314" i="12"/>
  <c r="CY310" i="12"/>
  <c r="CY304" i="12"/>
  <c r="CY305" i="12"/>
  <c r="CY311" i="12"/>
  <c r="CZ280" i="12"/>
  <c r="CZ244" i="12"/>
  <c r="CZ292" i="12"/>
  <c r="CZ232" i="12"/>
  <c r="CZ220" i="12"/>
  <c r="CZ208" i="12"/>
  <c r="CZ268" i="12"/>
  <c r="CZ196" i="12"/>
  <c r="CZ256" i="12"/>
  <c r="CZ304" i="12"/>
  <c r="DF182" i="12" l="1"/>
  <c r="DE208" i="12"/>
  <c r="DD208" i="12"/>
  <c r="DC208" i="12"/>
  <c r="DB208" i="12"/>
  <c r="DF207" i="12" s="1"/>
  <c r="DA208" i="12"/>
  <c r="DE292" i="12"/>
  <c r="DC292" i="12"/>
  <c r="DD292" i="12"/>
  <c r="DB292" i="12"/>
  <c r="DA292" i="12"/>
  <c r="DA268" i="12"/>
  <c r="DB268" i="12"/>
  <c r="DF267" i="12" s="1"/>
  <c r="DD268" i="12"/>
  <c r="DC268" i="12"/>
  <c r="DE268" i="12"/>
  <c r="DC256" i="12"/>
  <c r="DD256" i="12"/>
  <c r="DB256" i="12"/>
  <c r="DF255" i="12" s="1"/>
  <c r="DA256" i="12"/>
  <c r="DE256" i="12"/>
  <c r="DD220" i="12"/>
  <c r="DC220" i="12"/>
  <c r="DE220" i="12"/>
  <c r="DB220" i="12"/>
  <c r="DF219" i="12" s="1"/>
  <c r="DA220" i="12"/>
  <c r="DB244" i="12"/>
  <c r="DF243" i="12" s="1"/>
  <c r="DA244" i="12"/>
  <c r="DC244" i="12"/>
  <c r="DE244" i="12"/>
  <c r="DD244" i="12"/>
  <c r="DE280" i="12"/>
  <c r="DD280" i="12"/>
  <c r="DA280" i="12"/>
  <c r="DC280" i="12"/>
  <c r="DB280" i="12"/>
  <c r="DB196" i="12"/>
  <c r="DF196" i="12" s="1"/>
  <c r="DE196" i="12"/>
  <c r="DD196" i="12"/>
  <c r="DA196" i="12"/>
  <c r="DC196" i="12"/>
  <c r="DB232" i="12"/>
  <c r="DE232" i="12"/>
  <c r="DD232" i="12"/>
  <c r="DA232" i="12"/>
  <c r="DC232" i="12"/>
  <c r="DF266" i="12"/>
  <c r="DE304" i="12"/>
  <c r="DA304" i="12"/>
  <c r="DB304" i="12"/>
  <c r="DC304" i="12"/>
  <c r="DD304" i="12"/>
  <c r="CY318" i="12"/>
  <c r="CY323" i="12"/>
  <c r="CY319" i="12"/>
  <c r="CY326" i="12"/>
  <c r="DB327" i="12"/>
  <c r="CY320" i="12"/>
  <c r="CY316" i="12"/>
  <c r="CY325" i="12"/>
  <c r="CY317" i="12"/>
  <c r="CY324" i="12"/>
  <c r="CY321" i="12"/>
  <c r="CY322" i="12"/>
  <c r="CZ257" i="12"/>
  <c r="CZ305" i="12"/>
  <c r="CZ221" i="12"/>
  <c r="CZ281" i="12"/>
  <c r="CZ269" i="12"/>
  <c r="CZ209" i="12"/>
  <c r="CZ293" i="12"/>
  <c r="CZ233" i="12"/>
  <c r="CZ245" i="12"/>
  <c r="CZ317" i="12"/>
  <c r="DA233" i="12" l="1"/>
  <c r="DE233" i="12"/>
  <c r="DC233" i="12"/>
  <c r="DD233" i="12"/>
  <c r="DB233" i="12"/>
  <c r="DF232" i="12" s="1"/>
  <c r="DC281" i="12"/>
  <c r="DE281" i="12"/>
  <c r="DA281" i="12"/>
  <c r="DB281" i="12"/>
  <c r="DF280" i="12" s="1"/>
  <c r="DD281" i="12"/>
  <c r="DE221" i="12"/>
  <c r="DC221" i="12"/>
  <c r="DB221" i="12"/>
  <c r="DF220" i="12" s="1"/>
  <c r="DA221" i="12"/>
  <c r="DD221" i="12"/>
  <c r="DA209" i="12"/>
  <c r="DB209" i="12"/>
  <c r="DF209" i="12" s="1"/>
  <c r="DE209" i="12"/>
  <c r="DC209" i="12"/>
  <c r="DD209" i="12"/>
  <c r="DD305" i="12"/>
  <c r="DC305" i="12"/>
  <c r="DA305" i="12"/>
  <c r="DE305" i="12"/>
  <c r="DB305" i="12"/>
  <c r="DE269" i="12"/>
  <c r="DC269" i="12"/>
  <c r="DA269" i="12"/>
  <c r="DD269" i="12"/>
  <c r="DB269" i="12"/>
  <c r="DF268" i="12" s="1"/>
  <c r="DB245" i="12"/>
  <c r="DF244" i="12" s="1"/>
  <c r="DC245" i="12"/>
  <c r="DD245" i="12"/>
  <c r="DA245" i="12"/>
  <c r="DE245" i="12"/>
  <c r="DE257" i="12"/>
  <c r="DD257" i="12"/>
  <c r="DA257" i="12"/>
  <c r="DC257" i="12"/>
  <c r="DB257" i="12"/>
  <c r="DA293" i="12"/>
  <c r="DD293" i="12"/>
  <c r="DE293" i="12"/>
  <c r="DC293" i="12"/>
  <c r="DB293" i="12"/>
  <c r="DF292" i="12" s="1"/>
  <c r="DF195" i="12"/>
  <c r="DD317" i="12"/>
  <c r="DB317" i="12"/>
  <c r="DE317" i="12"/>
  <c r="DA317" i="12"/>
  <c r="DC317" i="12"/>
  <c r="CY329" i="12"/>
  <c r="CY335" i="12"/>
  <c r="CY337" i="12"/>
  <c r="CY338" i="12"/>
  <c r="CY333" i="12"/>
  <c r="CY332" i="12"/>
  <c r="CY334" i="12"/>
  <c r="CY330" i="12"/>
  <c r="CY339" i="12"/>
  <c r="DB340" i="12"/>
  <c r="CY336" i="12"/>
  <c r="CY331" i="12"/>
  <c r="CZ234" i="12"/>
  <c r="CZ318" i="12"/>
  <c r="CZ294" i="12"/>
  <c r="CZ306" i="12"/>
  <c r="CZ258" i="12"/>
  <c r="CZ270" i="12"/>
  <c r="CZ330" i="12"/>
  <c r="CZ246" i="12"/>
  <c r="CZ222" i="12"/>
  <c r="CZ282" i="12"/>
  <c r="DF208" i="12" l="1"/>
  <c r="DD246" i="12"/>
  <c r="DE246" i="12"/>
  <c r="DC246" i="12"/>
  <c r="DB246" i="12"/>
  <c r="DF245" i="12" s="1"/>
  <c r="DA246" i="12"/>
  <c r="DC222" i="12"/>
  <c r="DA222" i="12"/>
  <c r="DB222" i="12"/>
  <c r="DF222" i="12" s="1"/>
  <c r="DE222" i="12"/>
  <c r="DD222" i="12"/>
  <c r="DE234" i="12"/>
  <c r="DA234" i="12"/>
  <c r="DD234" i="12"/>
  <c r="DC234" i="12"/>
  <c r="DB234" i="12"/>
  <c r="DB270" i="12"/>
  <c r="DF269" i="12" s="1"/>
  <c r="DC270" i="12"/>
  <c r="DE270" i="12"/>
  <c r="DD270" i="12"/>
  <c r="DA270" i="12"/>
  <c r="DD258" i="12"/>
  <c r="DB258" i="12"/>
  <c r="DF257" i="12" s="1"/>
  <c r="DE258" i="12"/>
  <c r="DA258" i="12"/>
  <c r="DC258" i="12"/>
  <c r="DC282" i="12"/>
  <c r="DA282" i="12"/>
  <c r="DB282" i="12"/>
  <c r="DF281" i="12" s="1"/>
  <c r="DE282" i="12"/>
  <c r="DD282" i="12"/>
  <c r="DB318" i="12"/>
  <c r="DC318" i="12"/>
  <c r="DA318" i="12"/>
  <c r="DE318" i="12"/>
  <c r="DD318" i="12"/>
  <c r="DE294" i="12"/>
  <c r="DC294" i="12"/>
  <c r="DD294" i="12"/>
  <c r="DA294" i="12"/>
  <c r="DB294" i="12"/>
  <c r="DF293" i="12" s="1"/>
  <c r="DD306" i="12"/>
  <c r="DC306" i="12"/>
  <c r="DB306" i="12"/>
  <c r="DE306" i="12"/>
  <c r="DA306" i="12"/>
  <c r="DF256" i="12"/>
  <c r="DA330" i="12"/>
  <c r="DC330" i="12"/>
  <c r="DD330" i="12"/>
  <c r="DB330" i="12"/>
  <c r="DE330" i="12"/>
  <c r="CY351" i="12"/>
  <c r="CY348" i="12"/>
  <c r="CY343" i="12"/>
  <c r="CY345" i="12"/>
  <c r="CY344" i="12"/>
  <c r="CY349" i="12"/>
  <c r="CY350" i="12"/>
  <c r="CY342" i="12"/>
  <c r="CY352" i="12"/>
  <c r="DB353" i="12"/>
  <c r="CY347" i="12"/>
  <c r="CY346" i="12"/>
  <c r="CZ331" i="12"/>
  <c r="CZ283" i="12"/>
  <c r="CZ235" i="12"/>
  <c r="CZ307" i="12"/>
  <c r="CZ319" i="12"/>
  <c r="CZ271" i="12"/>
  <c r="CZ247" i="12"/>
  <c r="CZ295" i="12"/>
  <c r="CZ259" i="12"/>
  <c r="CZ343" i="12"/>
  <c r="DF221" i="12" l="1"/>
  <c r="DB307" i="12"/>
  <c r="DF306" i="12" s="1"/>
  <c r="DE307" i="12"/>
  <c r="DD307" i="12"/>
  <c r="DA307" i="12"/>
  <c r="DC307" i="12"/>
  <c r="DE319" i="12"/>
  <c r="DC319" i="12"/>
  <c r="DA319" i="12"/>
  <c r="DB319" i="12"/>
  <c r="DD319" i="12"/>
  <c r="DB259" i="12"/>
  <c r="DF258" i="12" s="1"/>
  <c r="DE259" i="12"/>
  <c r="DD259" i="12"/>
  <c r="DA259" i="12"/>
  <c r="DC259" i="12"/>
  <c r="DE283" i="12"/>
  <c r="DC283" i="12"/>
  <c r="DA283" i="12"/>
  <c r="DD283" i="12"/>
  <c r="DB283" i="12"/>
  <c r="DF282" i="12" s="1"/>
  <c r="DB331" i="12"/>
  <c r="DE331" i="12"/>
  <c r="DD331" i="12"/>
  <c r="DC331" i="12"/>
  <c r="DA331" i="12"/>
  <c r="DD247" i="12"/>
  <c r="DC247" i="12"/>
  <c r="DA247" i="12"/>
  <c r="DB247" i="12"/>
  <c r="DF246" i="12" s="1"/>
  <c r="DE247" i="12"/>
  <c r="DA295" i="12"/>
  <c r="DE295" i="12"/>
  <c r="DB295" i="12"/>
  <c r="DF294" i="12" s="1"/>
  <c r="DD295" i="12"/>
  <c r="DC295" i="12"/>
  <c r="DE271" i="12"/>
  <c r="DB271" i="12"/>
  <c r="DF270" i="12" s="1"/>
  <c r="DD271" i="12"/>
  <c r="DA271" i="12"/>
  <c r="DC271" i="12"/>
  <c r="DB235" i="12"/>
  <c r="DF235" i="12" s="1"/>
  <c r="DE235" i="12"/>
  <c r="DC235" i="12"/>
  <c r="DA235" i="12"/>
  <c r="DD235" i="12"/>
  <c r="DF233" i="12"/>
  <c r="DB343" i="12"/>
  <c r="DC343" i="12"/>
  <c r="DD343" i="12"/>
  <c r="DE343" i="12"/>
  <c r="DA343" i="12"/>
  <c r="CY359" i="12"/>
  <c r="CY360" i="12"/>
  <c r="CY363" i="12"/>
  <c r="CY357" i="12"/>
  <c r="CY365" i="12"/>
  <c r="DB366" i="12"/>
  <c r="CY356" i="12"/>
  <c r="CY361" i="12"/>
  <c r="CY355" i="12"/>
  <c r="CY362" i="12"/>
  <c r="CY364" i="12"/>
  <c r="CY358" i="12"/>
  <c r="CZ332" i="12"/>
  <c r="CZ356" i="12"/>
  <c r="CZ344" i="12"/>
  <c r="CZ296" i="12"/>
  <c r="CZ248" i="12"/>
  <c r="CZ284" i="12"/>
  <c r="CZ308" i="12"/>
  <c r="CZ320" i="12"/>
  <c r="CZ260" i="12"/>
  <c r="CZ272" i="12"/>
  <c r="DA296" i="12" l="1"/>
  <c r="DE296" i="12"/>
  <c r="DD296" i="12"/>
  <c r="DB296" i="12"/>
  <c r="DF295" i="12" s="1"/>
  <c r="DC296" i="12"/>
  <c r="DE332" i="12"/>
  <c r="DA332" i="12"/>
  <c r="DD332" i="12"/>
  <c r="DC332" i="12"/>
  <c r="DB332" i="12"/>
  <c r="DD260" i="12"/>
  <c r="DB260" i="12"/>
  <c r="DF259" i="12" s="1"/>
  <c r="DA260" i="12"/>
  <c r="DC260" i="12"/>
  <c r="DE260" i="12"/>
  <c r="DD308" i="12"/>
  <c r="DA308" i="12"/>
  <c r="DB308" i="12"/>
  <c r="DF307" i="12" s="1"/>
  <c r="DE308" i="12"/>
  <c r="DC308" i="12"/>
  <c r="DC320" i="12"/>
  <c r="DB320" i="12"/>
  <c r="DF319" i="12" s="1"/>
  <c r="DA320" i="12"/>
  <c r="DE320" i="12"/>
  <c r="DD320" i="12"/>
  <c r="DD344" i="12"/>
  <c r="DC344" i="12"/>
  <c r="DA344" i="12"/>
  <c r="DE344" i="12"/>
  <c r="DB344" i="12"/>
  <c r="DB272" i="12"/>
  <c r="DF271" i="12" s="1"/>
  <c r="DC272" i="12"/>
  <c r="DE272" i="12"/>
  <c r="DD272" i="12"/>
  <c r="DA272" i="12"/>
  <c r="DA248" i="12"/>
  <c r="DC248" i="12"/>
  <c r="DB248" i="12"/>
  <c r="DF248" i="12" s="1"/>
  <c r="DE248" i="12"/>
  <c r="DD248" i="12"/>
  <c r="DC284" i="12"/>
  <c r="DA284" i="12"/>
  <c r="DE284" i="12"/>
  <c r="DD284" i="12"/>
  <c r="DB284" i="12"/>
  <c r="DF283" i="12" s="1"/>
  <c r="DF318" i="12"/>
  <c r="DF234" i="12"/>
  <c r="DB356" i="12"/>
  <c r="DC356" i="12"/>
  <c r="DA356" i="12"/>
  <c r="DE356" i="12"/>
  <c r="DD356" i="12"/>
  <c r="CY370" i="12"/>
  <c r="CY373" i="12"/>
  <c r="CY378" i="12"/>
  <c r="DB379" i="12"/>
  <c r="CY376" i="12"/>
  <c r="CY372" i="12"/>
  <c r="CY371" i="12"/>
  <c r="CY377" i="12"/>
  <c r="CY368" i="12"/>
  <c r="CY369" i="12"/>
  <c r="CY375" i="12"/>
  <c r="CY374" i="12"/>
  <c r="CZ333" i="12"/>
  <c r="CZ285" i="12"/>
  <c r="CZ261" i="12"/>
  <c r="CZ309" i="12"/>
  <c r="CZ321" i="12"/>
  <c r="CZ297" i="12"/>
  <c r="CZ357" i="12"/>
  <c r="CZ345" i="12"/>
  <c r="CZ273" i="12"/>
  <c r="CZ369" i="12"/>
  <c r="DF247" i="12" l="1"/>
  <c r="DA285" i="12"/>
  <c r="DD285" i="12"/>
  <c r="DB285" i="12"/>
  <c r="DF284" i="12" s="1"/>
  <c r="DC285" i="12"/>
  <c r="DE285" i="12"/>
  <c r="DE357" i="12"/>
  <c r="DD357" i="12"/>
  <c r="DC357" i="12"/>
  <c r="DB357" i="12"/>
  <c r="DA357" i="12"/>
  <c r="DC261" i="12"/>
  <c r="DE261" i="12"/>
  <c r="DB261" i="12"/>
  <c r="DF261" i="12" s="1"/>
  <c r="DD261" i="12"/>
  <c r="DA261" i="12"/>
  <c r="DC297" i="12"/>
  <c r="DA297" i="12"/>
  <c r="DD297" i="12"/>
  <c r="DE297" i="12"/>
  <c r="DB297" i="12"/>
  <c r="DF296" i="12" s="1"/>
  <c r="DB273" i="12"/>
  <c r="DF272" i="12" s="1"/>
  <c r="DD273" i="12"/>
  <c r="DA273" i="12"/>
  <c r="DE273" i="12"/>
  <c r="DC273" i="12"/>
  <c r="DB345" i="12"/>
  <c r="DD345" i="12"/>
  <c r="DC345" i="12"/>
  <c r="DE345" i="12"/>
  <c r="DA345" i="12"/>
  <c r="DD321" i="12"/>
  <c r="DE321" i="12"/>
  <c r="DB321" i="12"/>
  <c r="DF320" i="12" s="1"/>
  <c r="DC321" i="12"/>
  <c r="DA321" i="12"/>
  <c r="DC309" i="12"/>
  <c r="DD309" i="12"/>
  <c r="DE309" i="12"/>
  <c r="DA309" i="12"/>
  <c r="DB309" i="12"/>
  <c r="DF308" i="12" s="1"/>
  <c r="DE333" i="12"/>
  <c r="DA333" i="12"/>
  <c r="DD333" i="12"/>
  <c r="DC333" i="12"/>
  <c r="DB333" i="12"/>
  <c r="DF332" i="12" s="1"/>
  <c r="DC369" i="12"/>
  <c r="DB369" i="12"/>
  <c r="DD369" i="12"/>
  <c r="DE369" i="12"/>
  <c r="DA369" i="12"/>
  <c r="CY385" i="12"/>
  <c r="CY387" i="12"/>
  <c r="CY382" i="12"/>
  <c r="CY389" i="12"/>
  <c r="CY384" i="12"/>
  <c r="CY391" i="12"/>
  <c r="DB392" i="12"/>
  <c r="CY383" i="12"/>
  <c r="CY388" i="12"/>
  <c r="CY381" i="12"/>
  <c r="CY390" i="12"/>
  <c r="CY386" i="12"/>
  <c r="CZ274" i="12"/>
  <c r="CZ334" i="12"/>
  <c r="CZ322" i="12"/>
  <c r="CZ298" i="12"/>
  <c r="CZ370" i="12"/>
  <c r="CZ310" i="12"/>
  <c r="CZ346" i="12"/>
  <c r="CZ286" i="12"/>
  <c r="CZ358" i="12"/>
  <c r="CZ382" i="12"/>
  <c r="DF260" i="12" l="1"/>
  <c r="DC274" i="12"/>
  <c r="DB274" i="12"/>
  <c r="DF274" i="12" s="1"/>
  <c r="DD274" i="12"/>
  <c r="DE274" i="12"/>
  <c r="DA274" i="12"/>
  <c r="DC334" i="12"/>
  <c r="DD334" i="12"/>
  <c r="DA334" i="12"/>
  <c r="DE334" i="12"/>
  <c r="DB334" i="12"/>
  <c r="DF333" i="12" s="1"/>
  <c r="DE346" i="12"/>
  <c r="DD346" i="12"/>
  <c r="DA346" i="12"/>
  <c r="DC346" i="12"/>
  <c r="DB346" i="12"/>
  <c r="DF345" i="12" s="1"/>
  <c r="DD370" i="12"/>
  <c r="DE370" i="12"/>
  <c r="DB370" i="12"/>
  <c r="DC370" i="12"/>
  <c r="DA370" i="12"/>
  <c r="DB310" i="12"/>
  <c r="DF309" i="12" s="1"/>
  <c r="DC310" i="12"/>
  <c r="DE310" i="12"/>
  <c r="DA310" i="12"/>
  <c r="DD310" i="12"/>
  <c r="DD358" i="12"/>
  <c r="DA358" i="12"/>
  <c r="DB358" i="12"/>
  <c r="DE358" i="12"/>
  <c r="DC358" i="12"/>
  <c r="DC298" i="12"/>
  <c r="DB298" i="12"/>
  <c r="DF297" i="12" s="1"/>
  <c r="DE298" i="12"/>
  <c r="DA298" i="12"/>
  <c r="DD298" i="12"/>
  <c r="DE286" i="12"/>
  <c r="DD286" i="12"/>
  <c r="DC286" i="12"/>
  <c r="DA286" i="12"/>
  <c r="DB286" i="12"/>
  <c r="DB322" i="12"/>
  <c r="DC322" i="12"/>
  <c r="DA322" i="12"/>
  <c r="DE322" i="12"/>
  <c r="DD322" i="12"/>
  <c r="DE382" i="12"/>
  <c r="DA382" i="12"/>
  <c r="DC382" i="12"/>
  <c r="DB382" i="12"/>
  <c r="DD382" i="12"/>
  <c r="CY399" i="12"/>
  <c r="CY397" i="12"/>
  <c r="CY402" i="12"/>
  <c r="CY400" i="12"/>
  <c r="CY401" i="12"/>
  <c r="CY396" i="12"/>
  <c r="CY403" i="12"/>
  <c r="CY404" i="12"/>
  <c r="DB405" i="12"/>
  <c r="CY395" i="12"/>
  <c r="CY398" i="12"/>
  <c r="CY394" i="12"/>
  <c r="CZ359" i="12"/>
  <c r="CZ323" i="12"/>
  <c r="CZ347" i="12"/>
  <c r="CZ311" i="12"/>
  <c r="CZ335" i="12"/>
  <c r="CZ287" i="12"/>
  <c r="CZ299" i="12"/>
  <c r="CZ383" i="12"/>
  <c r="CZ395" i="12"/>
  <c r="CZ371" i="12"/>
  <c r="DF273" i="12" l="1"/>
  <c r="DA383" i="12"/>
  <c r="DB383" i="12"/>
  <c r="DE383" i="12"/>
  <c r="DC383" i="12"/>
  <c r="DD383" i="12"/>
  <c r="DE299" i="12"/>
  <c r="DD299" i="12"/>
  <c r="DB299" i="12"/>
  <c r="DF298" i="12" s="1"/>
  <c r="DA299" i="12"/>
  <c r="DC299" i="12"/>
  <c r="DE287" i="12"/>
  <c r="DB287" i="12"/>
  <c r="DF287" i="12" s="1"/>
  <c r="DA287" i="12"/>
  <c r="DD287" i="12"/>
  <c r="DC287" i="12"/>
  <c r="DD359" i="12"/>
  <c r="DE359" i="12"/>
  <c r="DA359" i="12"/>
  <c r="DC359" i="12"/>
  <c r="DB359" i="12"/>
  <c r="DF358" i="12" s="1"/>
  <c r="DE347" i="12"/>
  <c r="DD347" i="12"/>
  <c r="DA347" i="12"/>
  <c r="DB347" i="12"/>
  <c r="DF346" i="12" s="1"/>
  <c r="DC347" i="12"/>
  <c r="DC335" i="12"/>
  <c r="DB335" i="12"/>
  <c r="DF334" i="12" s="1"/>
  <c r="DD335" i="12"/>
  <c r="DE335" i="12"/>
  <c r="DA335" i="12"/>
  <c r="DE371" i="12"/>
  <c r="DB371" i="12"/>
  <c r="DC371" i="12"/>
  <c r="DA371" i="12"/>
  <c r="DD371" i="12"/>
  <c r="DC323" i="12"/>
  <c r="DA323" i="12"/>
  <c r="DD323" i="12"/>
  <c r="DE323" i="12"/>
  <c r="DB323" i="12"/>
  <c r="DF322" i="12" s="1"/>
  <c r="DE311" i="12"/>
  <c r="DB311" i="12"/>
  <c r="DC311" i="12"/>
  <c r="DA311" i="12"/>
  <c r="DD311" i="12"/>
  <c r="DF321" i="12"/>
  <c r="DF285" i="12"/>
  <c r="DA395" i="12"/>
  <c r="DB395" i="12"/>
  <c r="DC395" i="12"/>
  <c r="DD395" i="12"/>
  <c r="DE395" i="12"/>
  <c r="CY417" i="12"/>
  <c r="DB418" i="12"/>
  <c r="CY414" i="12"/>
  <c r="CY409" i="12"/>
  <c r="CY407" i="12"/>
  <c r="CY408" i="12"/>
  <c r="CY413" i="12"/>
  <c r="CY410" i="12"/>
  <c r="CY411" i="12"/>
  <c r="CY416" i="12"/>
  <c r="CY415" i="12"/>
  <c r="CY412" i="12"/>
  <c r="CZ336" i="12"/>
  <c r="CZ300" i="12"/>
  <c r="CZ312" i="12"/>
  <c r="CZ324" i="12"/>
  <c r="CZ384" i="12"/>
  <c r="CZ372" i="12"/>
  <c r="CZ348" i="12"/>
  <c r="CZ396" i="12"/>
  <c r="CZ360" i="12"/>
  <c r="CZ408" i="12"/>
  <c r="DF286" i="12" l="1"/>
  <c r="DD396" i="12"/>
  <c r="DC396" i="12"/>
  <c r="DA396" i="12"/>
  <c r="DE396" i="12"/>
  <c r="DB396" i="12"/>
  <c r="DB324" i="12"/>
  <c r="DF323" i="12" s="1"/>
  <c r="DE324" i="12"/>
  <c r="DC324" i="12"/>
  <c r="DA324" i="12"/>
  <c r="DD324" i="12"/>
  <c r="DE360" i="12"/>
  <c r="DC360" i="12"/>
  <c r="DB360" i="12"/>
  <c r="DF359" i="12" s="1"/>
  <c r="DD360" i="12"/>
  <c r="DA360" i="12"/>
  <c r="DA300" i="12"/>
  <c r="DD300" i="12"/>
  <c r="DE300" i="12"/>
  <c r="DB300" i="12"/>
  <c r="DF300" i="12" s="1"/>
  <c r="DC300" i="12"/>
  <c r="DC336" i="12"/>
  <c r="DE336" i="12"/>
  <c r="DD336" i="12"/>
  <c r="DA336" i="12"/>
  <c r="DB336" i="12"/>
  <c r="DF335" i="12" s="1"/>
  <c r="DD384" i="12"/>
  <c r="DE384" i="12"/>
  <c r="DC384" i="12"/>
  <c r="DB384" i="12"/>
  <c r="DA384" i="12"/>
  <c r="DC312" i="12"/>
  <c r="DB312" i="12"/>
  <c r="DF311" i="12" s="1"/>
  <c r="DD312" i="12"/>
  <c r="DA312" i="12"/>
  <c r="DE312" i="12"/>
  <c r="DC372" i="12"/>
  <c r="DD372" i="12"/>
  <c r="DA372" i="12"/>
  <c r="DE372" i="12"/>
  <c r="DB372" i="12"/>
  <c r="DF371" i="12" s="1"/>
  <c r="DD348" i="12"/>
  <c r="DB348" i="12"/>
  <c r="DC348" i="12"/>
  <c r="DA348" i="12"/>
  <c r="DE348" i="12"/>
  <c r="DF310" i="12"/>
  <c r="DA408" i="12"/>
  <c r="DC408" i="12"/>
  <c r="DB408" i="12"/>
  <c r="DD408" i="12"/>
  <c r="DE408" i="12"/>
  <c r="CY429" i="12"/>
  <c r="CY425" i="12"/>
  <c r="CY424" i="12"/>
  <c r="CY427" i="12"/>
  <c r="CY423" i="12"/>
  <c r="CY421" i="12"/>
  <c r="CY428" i="12"/>
  <c r="CY426" i="12"/>
  <c r="CY420" i="12"/>
  <c r="CY430" i="12"/>
  <c r="DB431" i="12"/>
  <c r="CY422" i="12"/>
  <c r="CZ385" i="12"/>
  <c r="CZ349" i="12"/>
  <c r="CZ373" i="12"/>
  <c r="CZ409" i="12"/>
  <c r="CZ397" i="12"/>
  <c r="CZ361" i="12"/>
  <c r="CZ337" i="12"/>
  <c r="CZ325" i="12"/>
  <c r="CZ313" i="12"/>
  <c r="CZ421" i="12"/>
  <c r="DF299" i="12" l="1"/>
  <c r="DC349" i="12"/>
  <c r="DD349" i="12"/>
  <c r="DB349" i="12"/>
  <c r="DF348" i="12" s="1"/>
  <c r="DE349" i="12"/>
  <c r="DA349" i="12"/>
  <c r="DD337" i="12"/>
  <c r="DB337" i="12"/>
  <c r="DF336" i="12" s="1"/>
  <c r="DE337" i="12"/>
  <c r="DC337" i="12"/>
  <c r="DA337" i="12"/>
  <c r="DB409" i="12"/>
  <c r="DA409" i="12"/>
  <c r="DC409" i="12"/>
  <c r="DE409" i="12"/>
  <c r="DD409" i="12"/>
  <c r="DE361" i="12"/>
  <c r="DB361" i="12"/>
  <c r="DF360" i="12" s="1"/>
  <c r="DD361" i="12"/>
  <c r="DC361" i="12"/>
  <c r="DA361" i="12"/>
  <c r="DD397" i="12"/>
  <c r="DB397" i="12"/>
  <c r="DA397" i="12"/>
  <c r="DC397" i="12"/>
  <c r="DE397" i="12"/>
  <c r="DC373" i="12"/>
  <c r="DD373" i="12"/>
  <c r="DB373" i="12"/>
  <c r="DA373" i="12"/>
  <c r="DE373" i="12"/>
  <c r="DC385" i="12"/>
  <c r="DB385" i="12"/>
  <c r="DF384" i="12" s="1"/>
  <c r="DA385" i="12"/>
  <c r="DE385" i="12"/>
  <c r="DD385" i="12"/>
  <c r="DB313" i="12"/>
  <c r="DF313" i="12" s="1"/>
  <c r="DC313" i="12"/>
  <c r="DE313" i="12"/>
  <c r="DA313" i="12"/>
  <c r="DD313" i="12"/>
  <c r="DC325" i="12"/>
  <c r="DD325" i="12"/>
  <c r="DB325" i="12"/>
  <c r="DF324" i="12" s="1"/>
  <c r="DA325" i="12"/>
  <c r="DE325" i="12"/>
  <c r="DF347" i="12"/>
  <c r="DB421" i="12"/>
  <c r="DA421" i="12"/>
  <c r="DC421" i="12"/>
  <c r="DD421" i="12"/>
  <c r="DE421" i="12"/>
  <c r="CY433" i="12"/>
  <c r="CY441" i="12"/>
  <c r="CY436" i="12"/>
  <c r="CY437" i="12"/>
  <c r="CY435" i="12"/>
  <c r="CY443" i="12"/>
  <c r="DB444" i="12"/>
  <c r="CY439" i="12"/>
  <c r="CY434" i="12"/>
  <c r="CY440" i="12"/>
  <c r="CY438" i="12"/>
  <c r="CY442" i="12"/>
  <c r="CZ338" i="12"/>
  <c r="CZ422" i="12"/>
  <c r="CZ410" i="12"/>
  <c r="CZ374" i="12"/>
  <c r="CZ386" i="12"/>
  <c r="CZ362" i="12"/>
  <c r="CZ350" i="12"/>
  <c r="CZ326" i="12"/>
  <c r="CZ398" i="12"/>
  <c r="CZ434" i="12"/>
  <c r="DE386" i="12" l="1"/>
  <c r="DA386" i="12"/>
  <c r="DD386" i="12"/>
  <c r="DB386" i="12"/>
  <c r="DF385" i="12" s="1"/>
  <c r="DC386" i="12"/>
  <c r="DE398" i="12"/>
  <c r="DC398" i="12"/>
  <c r="DD398" i="12"/>
  <c r="DA398" i="12"/>
  <c r="DB398" i="12"/>
  <c r="DF397" i="12" s="1"/>
  <c r="DD410" i="12"/>
  <c r="DB410" i="12"/>
  <c r="DE410" i="12"/>
  <c r="DC410" i="12"/>
  <c r="DA410" i="12"/>
  <c r="DC350" i="12"/>
  <c r="DB350" i="12"/>
  <c r="DF349" i="12" s="1"/>
  <c r="DE350" i="12"/>
  <c r="DA350" i="12"/>
  <c r="DD350" i="12"/>
  <c r="DB422" i="12"/>
  <c r="DE422" i="12"/>
  <c r="DD422" i="12"/>
  <c r="DC422" i="12"/>
  <c r="DA422" i="12"/>
  <c r="DA374" i="12"/>
  <c r="DD374" i="12"/>
  <c r="DB374" i="12"/>
  <c r="DF373" i="12" s="1"/>
  <c r="DC374" i="12"/>
  <c r="DE374" i="12"/>
  <c r="DE362" i="12"/>
  <c r="DD362" i="12"/>
  <c r="DB362" i="12"/>
  <c r="DF361" i="12" s="1"/>
  <c r="DA362" i="12"/>
  <c r="DC362" i="12"/>
  <c r="DC338" i="12"/>
  <c r="DB338" i="12"/>
  <c r="DF337" i="12" s="1"/>
  <c r="DA338" i="12"/>
  <c r="DE338" i="12"/>
  <c r="DD338" i="12"/>
  <c r="DC326" i="12"/>
  <c r="DE326" i="12"/>
  <c r="DA326" i="12"/>
  <c r="DB326" i="12"/>
  <c r="DF326" i="12" s="1"/>
  <c r="DD326" i="12"/>
  <c r="DF372" i="12"/>
  <c r="DF312" i="12"/>
  <c r="DD434" i="12"/>
  <c r="DC434" i="12"/>
  <c r="DA434" i="12"/>
  <c r="DB434" i="12"/>
  <c r="DE434" i="12"/>
  <c r="CY456" i="12"/>
  <c r="DB457" i="12"/>
  <c r="CY455" i="12"/>
  <c r="CY451" i="12"/>
  <c r="CY447" i="12"/>
  <c r="CY448" i="12"/>
  <c r="CY449" i="12"/>
  <c r="CY446" i="12"/>
  <c r="CY453" i="12"/>
  <c r="CY452" i="12"/>
  <c r="CY450" i="12"/>
  <c r="CY454" i="12"/>
  <c r="CZ375" i="12"/>
  <c r="CZ411" i="12"/>
  <c r="CZ435" i="12"/>
  <c r="CZ399" i="12"/>
  <c r="CZ339" i="12"/>
  <c r="CZ363" i="12"/>
  <c r="CZ387" i="12"/>
  <c r="CZ423" i="12"/>
  <c r="CZ351" i="12"/>
  <c r="CZ447" i="12"/>
  <c r="DF325" i="12" l="1"/>
  <c r="DE339" i="12"/>
  <c r="DD339" i="12"/>
  <c r="DC339" i="12"/>
  <c r="DB339" i="12"/>
  <c r="DF339" i="12" s="1"/>
  <c r="DA339" i="12"/>
  <c r="DB351" i="12"/>
  <c r="DF350" i="12" s="1"/>
  <c r="DD351" i="12"/>
  <c r="DA351" i="12"/>
  <c r="DC351" i="12"/>
  <c r="DE351" i="12"/>
  <c r="DD435" i="12"/>
  <c r="DA435" i="12"/>
  <c r="DC435" i="12"/>
  <c r="DE435" i="12"/>
  <c r="DB435" i="12"/>
  <c r="DC363" i="12"/>
  <c r="DD363" i="12"/>
  <c r="DA363" i="12"/>
  <c r="DB363" i="12"/>
  <c r="DF362" i="12" s="1"/>
  <c r="DE363" i="12"/>
  <c r="DA375" i="12"/>
  <c r="DC375" i="12"/>
  <c r="DB375" i="12"/>
  <c r="DF374" i="12" s="1"/>
  <c r="DE375" i="12"/>
  <c r="DD375" i="12"/>
  <c r="DB423" i="12"/>
  <c r="DF422" i="12" s="1"/>
  <c r="DA423" i="12"/>
  <c r="DC423" i="12"/>
  <c r="DE423" i="12"/>
  <c r="DD423" i="12"/>
  <c r="DA411" i="12"/>
  <c r="DE411" i="12"/>
  <c r="DB411" i="12"/>
  <c r="DF410" i="12" s="1"/>
  <c r="DD411" i="12"/>
  <c r="DC411" i="12"/>
  <c r="DE387" i="12"/>
  <c r="DB387" i="12"/>
  <c r="DF386" i="12" s="1"/>
  <c r="DC387" i="12"/>
  <c r="DD387" i="12"/>
  <c r="DA387" i="12"/>
  <c r="DE399" i="12"/>
  <c r="DC399" i="12"/>
  <c r="DD399" i="12"/>
  <c r="DB399" i="12"/>
  <c r="DA399" i="12"/>
  <c r="DF409" i="12"/>
  <c r="DE447" i="12"/>
  <c r="DB447" i="12"/>
  <c r="DA447" i="12"/>
  <c r="DC447" i="12"/>
  <c r="DD447" i="12"/>
  <c r="CY459" i="12"/>
  <c r="CY463" i="12"/>
  <c r="CY466" i="12"/>
  <c r="CY460" i="12"/>
  <c r="CY462" i="12"/>
  <c r="CY467" i="12"/>
  <c r="CY465" i="12"/>
  <c r="CY461" i="12"/>
  <c r="CY464" i="12"/>
  <c r="CY469" i="12"/>
  <c r="DB470" i="12"/>
  <c r="CY468" i="12"/>
  <c r="CZ448" i="12"/>
  <c r="CZ388" i="12"/>
  <c r="CZ352" i="12"/>
  <c r="CZ376" i="12"/>
  <c r="CZ436" i="12"/>
  <c r="CZ424" i="12"/>
  <c r="CZ412" i="12"/>
  <c r="CZ364" i="12"/>
  <c r="CZ400" i="12"/>
  <c r="CZ460" i="12"/>
  <c r="DF338" i="12" l="1"/>
  <c r="DD400" i="12"/>
  <c r="DE400" i="12"/>
  <c r="DA400" i="12"/>
  <c r="DB400" i="12"/>
  <c r="DF399" i="12" s="1"/>
  <c r="DC400" i="12"/>
  <c r="DD412" i="12"/>
  <c r="DE412" i="12"/>
  <c r="DA412" i="12"/>
  <c r="DC412" i="12"/>
  <c r="DB412" i="12"/>
  <c r="DF411" i="12" s="1"/>
  <c r="DE376" i="12"/>
  <c r="DA376" i="12"/>
  <c r="DB376" i="12"/>
  <c r="DF375" i="12" s="1"/>
  <c r="DD376" i="12"/>
  <c r="DC376" i="12"/>
  <c r="DD364" i="12"/>
  <c r="DE364" i="12"/>
  <c r="DC364" i="12"/>
  <c r="DB364" i="12"/>
  <c r="DF363" i="12" s="1"/>
  <c r="DA364" i="12"/>
  <c r="DD448" i="12"/>
  <c r="DB448" i="12"/>
  <c r="DA448" i="12"/>
  <c r="DE448" i="12"/>
  <c r="DC448" i="12"/>
  <c r="DA352" i="12"/>
  <c r="DB352" i="12"/>
  <c r="DF352" i="12" s="1"/>
  <c r="DC352" i="12"/>
  <c r="DE352" i="12"/>
  <c r="DD352" i="12"/>
  <c r="DD388" i="12"/>
  <c r="DC388" i="12"/>
  <c r="DB388" i="12"/>
  <c r="DF387" i="12" s="1"/>
  <c r="DE388" i="12"/>
  <c r="DA388" i="12"/>
  <c r="DC424" i="12"/>
  <c r="DA424" i="12"/>
  <c r="DE424" i="12"/>
  <c r="DB424" i="12"/>
  <c r="DF423" i="12" s="1"/>
  <c r="DD424" i="12"/>
  <c r="DE436" i="12"/>
  <c r="DB436" i="12"/>
  <c r="DD436" i="12"/>
  <c r="DC436" i="12"/>
  <c r="DA436" i="12"/>
  <c r="DF398" i="12"/>
  <c r="DD460" i="12"/>
  <c r="DB460" i="12"/>
  <c r="DE460" i="12"/>
  <c r="DA460" i="12"/>
  <c r="DC460" i="12"/>
  <c r="CY474" i="12"/>
  <c r="CY480" i="12"/>
  <c r="CY473" i="12"/>
  <c r="CY476" i="12"/>
  <c r="CY481" i="12"/>
  <c r="CY482" i="12"/>
  <c r="DB483" i="12"/>
  <c r="CY478" i="12"/>
  <c r="CY479" i="12"/>
  <c r="CY472" i="12"/>
  <c r="CY477" i="12"/>
  <c r="CY475" i="12"/>
  <c r="CD214" i="12"/>
  <c r="CD217" i="12"/>
  <c r="CZ425" i="12"/>
  <c r="CZ365" i="12"/>
  <c r="CZ377" i="12"/>
  <c r="CZ437" i="12"/>
  <c r="CZ413" i="12"/>
  <c r="CZ401" i="12"/>
  <c r="CZ449" i="12"/>
  <c r="CZ473" i="12"/>
  <c r="CZ389" i="12"/>
  <c r="CZ461" i="12"/>
  <c r="DC437" i="12" l="1"/>
  <c r="DB437" i="12"/>
  <c r="DF436" i="12" s="1"/>
  <c r="DD437" i="12"/>
  <c r="DA437" i="12"/>
  <c r="DE437" i="12"/>
  <c r="DE377" i="12"/>
  <c r="DB377" i="12"/>
  <c r="DF376" i="12" s="1"/>
  <c r="DA377" i="12"/>
  <c r="DD377" i="12"/>
  <c r="DC377" i="12"/>
  <c r="DE401" i="12"/>
  <c r="DD401" i="12"/>
  <c r="DC401" i="12"/>
  <c r="DB401" i="12"/>
  <c r="DF400" i="12" s="1"/>
  <c r="DA401" i="12"/>
  <c r="DB425" i="12"/>
  <c r="DF424" i="12" s="1"/>
  <c r="DC425" i="12"/>
  <c r="DD425" i="12"/>
  <c r="DE425" i="12"/>
  <c r="DA425" i="12"/>
  <c r="DB449" i="12"/>
  <c r="DE449" i="12"/>
  <c r="DA449" i="12"/>
  <c r="DD449" i="12"/>
  <c r="DC449" i="12"/>
  <c r="DD365" i="12"/>
  <c r="DA365" i="12"/>
  <c r="DE365" i="12"/>
  <c r="DB365" i="12"/>
  <c r="DF365" i="12" s="1"/>
  <c r="DC365" i="12"/>
  <c r="DA413" i="12"/>
  <c r="DB413" i="12"/>
  <c r="DE413" i="12"/>
  <c r="DC413" i="12"/>
  <c r="DD413" i="12"/>
  <c r="DD461" i="12"/>
  <c r="DA461" i="12"/>
  <c r="DC461" i="12"/>
  <c r="DB461" i="12"/>
  <c r="DE461" i="12"/>
  <c r="DB389" i="12"/>
  <c r="DF388" i="12" s="1"/>
  <c r="DE389" i="12"/>
  <c r="DC389" i="12"/>
  <c r="DA389" i="12"/>
  <c r="DD389" i="12"/>
  <c r="DF351" i="12"/>
  <c r="DF435" i="12"/>
  <c r="DC473" i="12"/>
  <c r="DD473" i="12"/>
  <c r="DE473" i="12"/>
  <c r="DB473" i="12"/>
  <c r="DA473" i="12"/>
  <c r="CY488" i="12"/>
  <c r="CY492" i="12"/>
  <c r="CY486" i="12"/>
  <c r="CY490" i="12"/>
  <c r="CY485" i="12"/>
  <c r="CY491" i="12"/>
  <c r="CY495" i="12"/>
  <c r="DB496" i="12"/>
  <c r="CY489" i="12"/>
  <c r="CY493" i="12"/>
  <c r="CY494" i="12"/>
  <c r="CY487" i="12"/>
  <c r="CZ450" i="12"/>
  <c r="CZ378" i="12"/>
  <c r="CZ390" i="12"/>
  <c r="CZ474" i="12"/>
  <c r="CZ402" i="12"/>
  <c r="CZ438" i="12"/>
  <c r="CZ462" i="12"/>
  <c r="CZ426" i="12"/>
  <c r="CZ414" i="12"/>
  <c r="CZ486" i="12"/>
  <c r="DF364" i="12" l="1"/>
  <c r="DB390" i="12"/>
  <c r="DF389" i="12" s="1"/>
  <c r="DE390" i="12"/>
  <c r="DD390" i="12"/>
  <c r="DC390" i="12"/>
  <c r="DA390" i="12"/>
  <c r="DA450" i="12"/>
  <c r="DE450" i="12"/>
  <c r="DD450" i="12"/>
  <c r="DC450" i="12"/>
  <c r="DB450" i="12"/>
  <c r="DF449" i="12" s="1"/>
  <c r="DA402" i="12"/>
  <c r="DB402" i="12"/>
  <c r="DF401" i="12" s="1"/>
  <c r="DD402" i="12"/>
  <c r="DE402" i="12"/>
  <c r="DC402" i="12"/>
  <c r="DD474" i="12"/>
  <c r="DB474" i="12"/>
  <c r="DC474" i="12"/>
  <c r="DA474" i="12"/>
  <c r="DE474" i="12"/>
  <c r="DE378" i="12"/>
  <c r="DC378" i="12"/>
  <c r="DB378" i="12"/>
  <c r="DF378" i="12" s="1"/>
  <c r="DA378" i="12"/>
  <c r="DD378" i="12"/>
  <c r="DB438" i="12"/>
  <c r="DF437" i="12" s="1"/>
  <c r="DD438" i="12"/>
  <c r="DE438" i="12"/>
  <c r="DA438" i="12"/>
  <c r="DC438" i="12"/>
  <c r="DA462" i="12"/>
  <c r="DB462" i="12"/>
  <c r="DE462" i="12"/>
  <c r="DD462" i="12"/>
  <c r="DC462" i="12"/>
  <c r="DA426" i="12"/>
  <c r="DD426" i="12"/>
  <c r="DB426" i="12"/>
  <c r="DE426" i="12"/>
  <c r="DC426" i="12"/>
  <c r="DC414" i="12"/>
  <c r="DE414" i="12"/>
  <c r="DD414" i="12"/>
  <c r="DA414" i="12"/>
  <c r="DB414" i="12"/>
  <c r="DF413" i="12" s="1"/>
  <c r="DF448" i="12"/>
  <c r="DF412" i="12"/>
  <c r="DB486" i="12"/>
  <c r="DD486" i="12"/>
  <c r="DE486" i="12"/>
  <c r="DA486" i="12"/>
  <c r="DC486" i="12"/>
  <c r="CY500" i="12"/>
  <c r="CY504" i="12"/>
  <c r="CY503" i="12"/>
  <c r="CY505" i="12"/>
  <c r="CY506" i="12"/>
  <c r="CY507" i="12"/>
  <c r="CY502" i="12"/>
  <c r="CY508" i="12"/>
  <c r="DB509" i="12"/>
  <c r="CY498" i="12"/>
  <c r="CY499" i="12"/>
  <c r="CY501" i="12"/>
  <c r="CZ451" i="12"/>
  <c r="CZ499" i="12"/>
  <c r="CZ475" i="12"/>
  <c r="CZ463" i="12"/>
  <c r="CZ487" i="12"/>
  <c r="CZ391" i="12"/>
  <c r="CZ403" i="12"/>
  <c r="CZ415" i="12"/>
  <c r="CZ427" i="12"/>
  <c r="CZ439" i="12"/>
  <c r="DF377" i="12" l="1"/>
  <c r="DB415" i="12"/>
  <c r="DF414" i="12" s="1"/>
  <c r="DD415" i="12"/>
  <c r="DE415" i="12"/>
  <c r="DC415" i="12"/>
  <c r="DA415" i="12"/>
  <c r="DE463" i="12"/>
  <c r="DC463" i="12"/>
  <c r="DD463" i="12"/>
  <c r="DB463" i="12"/>
  <c r="DF462" i="12" s="1"/>
  <c r="DA463" i="12"/>
  <c r="DC403" i="12"/>
  <c r="DA403" i="12"/>
  <c r="DE403" i="12"/>
  <c r="DB403" i="12"/>
  <c r="DF402" i="12" s="1"/>
  <c r="DD403" i="12"/>
  <c r="DD391" i="12"/>
  <c r="DB391" i="12"/>
  <c r="DF391" i="12" s="1"/>
  <c r="DE391" i="12"/>
  <c r="DA391" i="12"/>
  <c r="DC391" i="12"/>
  <c r="DC439" i="12"/>
  <c r="DB439" i="12"/>
  <c r="DA439" i="12"/>
  <c r="DE439" i="12"/>
  <c r="DD439" i="12"/>
  <c r="DB427" i="12"/>
  <c r="DF426" i="12" s="1"/>
  <c r="DA427" i="12"/>
  <c r="DC427" i="12"/>
  <c r="DD427" i="12"/>
  <c r="DE427" i="12"/>
  <c r="DE475" i="12"/>
  <c r="DC475" i="12"/>
  <c r="DD475" i="12"/>
  <c r="DA475" i="12"/>
  <c r="DB475" i="12"/>
  <c r="DE487" i="12"/>
  <c r="DD487" i="12"/>
  <c r="DC487" i="12"/>
  <c r="DA487" i="12"/>
  <c r="DB487" i="12"/>
  <c r="DB451" i="12"/>
  <c r="DF450" i="12" s="1"/>
  <c r="DC451" i="12"/>
  <c r="DA451" i="12"/>
  <c r="DE451" i="12"/>
  <c r="DD451" i="12"/>
  <c r="DF461" i="12"/>
  <c r="DF425" i="12"/>
  <c r="DA499" i="12"/>
  <c r="DC499" i="12"/>
  <c r="DB499" i="12"/>
  <c r="DD499" i="12"/>
  <c r="DE499" i="12"/>
  <c r="CY516" i="12"/>
  <c r="CY514" i="12"/>
  <c r="CY511" i="12"/>
  <c r="CY520" i="12"/>
  <c r="CY519" i="12"/>
  <c r="CY518" i="12"/>
  <c r="CY517" i="12"/>
  <c r="CY513" i="12"/>
  <c r="CY512" i="12"/>
  <c r="CY521" i="12"/>
  <c r="DB522" i="12"/>
  <c r="CY515" i="12"/>
  <c r="CZ416" i="12"/>
  <c r="CZ428" i="12"/>
  <c r="CZ452" i="12"/>
  <c r="CZ440" i="12"/>
  <c r="CZ404" i="12"/>
  <c r="CZ500" i="12"/>
  <c r="CZ464" i="12"/>
  <c r="CZ488" i="12"/>
  <c r="CZ476" i="12"/>
  <c r="CZ512" i="12"/>
  <c r="DF390" i="12" l="1"/>
  <c r="DE452" i="12"/>
  <c r="DD452" i="12"/>
  <c r="DA452" i="12"/>
  <c r="DB452" i="12"/>
  <c r="DF451" i="12" s="1"/>
  <c r="DC452" i="12"/>
  <c r="DC476" i="12"/>
  <c r="DE476" i="12"/>
  <c r="DA476" i="12"/>
  <c r="DB476" i="12"/>
  <c r="DF475" i="12" s="1"/>
  <c r="DD476" i="12"/>
  <c r="DA440" i="12"/>
  <c r="DD440" i="12"/>
  <c r="DB440" i="12"/>
  <c r="DF439" i="12" s="1"/>
  <c r="DE440" i="12"/>
  <c r="DC440" i="12"/>
  <c r="DC500" i="12"/>
  <c r="DE500" i="12"/>
  <c r="DA500" i="12"/>
  <c r="DD500" i="12"/>
  <c r="DB500" i="12"/>
  <c r="DD416" i="12"/>
  <c r="DE416" i="12"/>
  <c r="DB416" i="12"/>
  <c r="DF415" i="12" s="1"/>
  <c r="DC416" i="12"/>
  <c r="DA416" i="12"/>
  <c r="DA488" i="12"/>
  <c r="DE488" i="12"/>
  <c r="DC488" i="12"/>
  <c r="DD488" i="12"/>
  <c r="DB488" i="12"/>
  <c r="DA428" i="12"/>
  <c r="DB428" i="12"/>
  <c r="DF427" i="12" s="1"/>
  <c r="DD428" i="12"/>
  <c r="DE428" i="12"/>
  <c r="DC428" i="12"/>
  <c r="DE404" i="12"/>
  <c r="DC404" i="12"/>
  <c r="DD404" i="12"/>
  <c r="DB404" i="12"/>
  <c r="DF404" i="12" s="1"/>
  <c r="DA404" i="12"/>
  <c r="DB464" i="12"/>
  <c r="DD464" i="12"/>
  <c r="DC464" i="12"/>
  <c r="DA464" i="12"/>
  <c r="DE464" i="12"/>
  <c r="DF474" i="12"/>
  <c r="DF438" i="12"/>
  <c r="DA512" i="12"/>
  <c r="DD512" i="12"/>
  <c r="DB512" i="12"/>
  <c r="DE512" i="12"/>
  <c r="DC512" i="12"/>
  <c r="CY533" i="12"/>
  <c r="CY527" i="12"/>
  <c r="CY528" i="12"/>
  <c r="CY525" i="12"/>
  <c r="CY531" i="12"/>
  <c r="CY534" i="12"/>
  <c r="DB535" i="12"/>
  <c r="CY526" i="12"/>
  <c r="CY524" i="12"/>
  <c r="CY529" i="12"/>
  <c r="CY530" i="12"/>
  <c r="CY532" i="12"/>
  <c r="CZ525" i="12"/>
  <c r="CZ489" i="12"/>
  <c r="CZ417" i="12"/>
  <c r="CZ513" i="12"/>
  <c r="CZ465" i="12"/>
  <c r="CZ453" i="12"/>
  <c r="CZ501" i="12"/>
  <c r="CZ441" i="12"/>
  <c r="CZ477" i="12"/>
  <c r="CZ429" i="12"/>
  <c r="DF403" i="12" l="1"/>
  <c r="DC465" i="12"/>
  <c r="DA465" i="12"/>
  <c r="DB465" i="12"/>
  <c r="DF464" i="12" s="1"/>
  <c r="DE465" i="12"/>
  <c r="DD465" i="12"/>
  <c r="DA429" i="12"/>
  <c r="DD429" i="12"/>
  <c r="DC429" i="12"/>
  <c r="DE429" i="12"/>
  <c r="DB429" i="12"/>
  <c r="DE417" i="12"/>
  <c r="DA417" i="12"/>
  <c r="DC417" i="12"/>
  <c r="DD417" i="12"/>
  <c r="DB417" i="12"/>
  <c r="DF417" i="12" s="1"/>
  <c r="DC501" i="12"/>
  <c r="DD501" i="12"/>
  <c r="DA501" i="12"/>
  <c r="DE501" i="12"/>
  <c r="DB501" i="12"/>
  <c r="DC441" i="12"/>
  <c r="DB441" i="12"/>
  <c r="DF440" i="12" s="1"/>
  <c r="DE441" i="12"/>
  <c r="DD441" i="12"/>
  <c r="DA441" i="12"/>
  <c r="DE453" i="12"/>
  <c r="DC453" i="12"/>
  <c r="DD453" i="12"/>
  <c r="DA453" i="12"/>
  <c r="DB453" i="12"/>
  <c r="DF452" i="12" s="1"/>
  <c r="DB513" i="12"/>
  <c r="DD513" i="12"/>
  <c r="DC513" i="12"/>
  <c r="DA513" i="12"/>
  <c r="DE513" i="12"/>
  <c r="DD489" i="12"/>
  <c r="DC489" i="12"/>
  <c r="DE489" i="12"/>
  <c r="DA489" i="12"/>
  <c r="DB489" i="12"/>
  <c r="DF488" i="12" s="1"/>
  <c r="DA477" i="12"/>
  <c r="DD477" i="12"/>
  <c r="DC477" i="12"/>
  <c r="DE477" i="12"/>
  <c r="DB477" i="12"/>
  <c r="DF463" i="12"/>
  <c r="DF487" i="12"/>
  <c r="DE525" i="12"/>
  <c r="DB525" i="12"/>
  <c r="DA525" i="12"/>
  <c r="DC525" i="12"/>
  <c r="DD525" i="12"/>
  <c r="CY537" i="12"/>
  <c r="CY544" i="12"/>
  <c r="CY539" i="12"/>
  <c r="CY543" i="12"/>
  <c r="CY542" i="12"/>
  <c r="CY547" i="12"/>
  <c r="DB548" i="12"/>
  <c r="CY538" i="12"/>
  <c r="CY540" i="12"/>
  <c r="CY546" i="12"/>
  <c r="CY545" i="12"/>
  <c r="CY541" i="12"/>
  <c r="CZ454" i="12"/>
  <c r="CZ430" i="12"/>
  <c r="CZ526" i="12"/>
  <c r="CZ502" i="12"/>
  <c r="CZ442" i="12"/>
  <c r="CZ478" i="12"/>
  <c r="CZ538" i="12"/>
  <c r="CZ514" i="12"/>
  <c r="CZ490" i="12"/>
  <c r="CZ466" i="12"/>
  <c r="DF416" i="12" l="1"/>
  <c r="DB478" i="12"/>
  <c r="DF477" i="12" s="1"/>
  <c r="DE478" i="12"/>
  <c r="DC478" i="12"/>
  <c r="DD478" i="12"/>
  <c r="DA478" i="12"/>
  <c r="DD514" i="12"/>
  <c r="DC514" i="12"/>
  <c r="DA514" i="12"/>
  <c r="DE514" i="12"/>
  <c r="DB514" i="12"/>
  <c r="DE454" i="12"/>
  <c r="DB454" i="12"/>
  <c r="DC454" i="12"/>
  <c r="DA454" i="12"/>
  <c r="DD454" i="12"/>
  <c r="DD430" i="12"/>
  <c r="DA430" i="12"/>
  <c r="DB430" i="12"/>
  <c r="DF430" i="12" s="1"/>
  <c r="DC430" i="12"/>
  <c r="DE430" i="12"/>
  <c r="DA526" i="12"/>
  <c r="DE526" i="12"/>
  <c r="DC526" i="12"/>
  <c r="DB526" i="12"/>
  <c r="DD526" i="12"/>
  <c r="DD466" i="12"/>
  <c r="DA466" i="12"/>
  <c r="DC466" i="12"/>
  <c r="DB466" i="12"/>
  <c r="DE466" i="12"/>
  <c r="DA490" i="12"/>
  <c r="DE490" i="12"/>
  <c r="DD490" i="12"/>
  <c r="DC490" i="12"/>
  <c r="DB490" i="12"/>
  <c r="DF489" i="12" s="1"/>
  <c r="DA502" i="12"/>
  <c r="DE502" i="12"/>
  <c r="DB502" i="12"/>
  <c r="DF501" i="12" s="1"/>
  <c r="DD502" i="12"/>
  <c r="DC502" i="12"/>
  <c r="DB442" i="12"/>
  <c r="DF441" i="12" s="1"/>
  <c r="DE442" i="12"/>
  <c r="DD442" i="12"/>
  <c r="DC442" i="12"/>
  <c r="DA442" i="12"/>
  <c r="DF428" i="12"/>
  <c r="DF500" i="12"/>
  <c r="DF476" i="12"/>
  <c r="DB538" i="12"/>
  <c r="DC538" i="12"/>
  <c r="DA538" i="12"/>
  <c r="DE538" i="12"/>
  <c r="DD538" i="12"/>
  <c r="CY559" i="12"/>
  <c r="CY551" i="12"/>
  <c r="CY560" i="12"/>
  <c r="DB561" i="12"/>
  <c r="CY556" i="12"/>
  <c r="CY552" i="12"/>
  <c r="CY557" i="12"/>
  <c r="CY558" i="12"/>
  <c r="CY554" i="12"/>
  <c r="CY553" i="12"/>
  <c r="CY555" i="12"/>
  <c r="CY550" i="12"/>
  <c r="CZ539" i="12"/>
  <c r="CZ443" i="12"/>
  <c r="CZ503" i="12"/>
  <c r="CZ491" i="12"/>
  <c r="CZ455" i="12"/>
  <c r="CZ479" i="12"/>
  <c r="CZ551" i="12"/>
  <c r="CZ527" i="12"/>
  <c r="CZ467" i="12"/>
  <c r="CZ515" i="12"/>
  <c r="DF429" i="12" l="1"/>
  <c r="DC479" i="12"/>
  <c r="DB479" i="12"/>
  <c r="DF478" i="12" s="1"/>
  <c r="DE479" i="12"/>
  <c r="DA479" i="12"/>
  <c r="DD479" i="12"/>
  <c r="DC455" i="12"/>
  <c r="DA455" i="12"/>
  <c r="DE455" i="12"/>
  <c r="DD455" i="12"/>
  <c r="DB455" i="12"/>
  <c r="DB539" i="12"/>
  <c r="DC539" i="12"/>
  <c r="DE539" i="12"/>
  <c r="DD539" i="12"/>
  <c r="DA539" i="12"/>
  <c r="DB503" i="12"/>
  <c r="DD503" i="12"/>
  <c r="DA503" i="12"/>
  <c r="DC503" i="12"/>
  <c r="DE503" i="12"/>
  <c r="DE467" i="12"/>
  <c r="DB467" i="12"/>
  <c r="DF466" i="12" s="1"/>
  <c r="DC467" i="12"/>
  <c r="DA467" i="12"/>
  <c r="DD467" i="12"/>
  <c r="DB443" i="12"/>
  <c r="DF443" i="12" s="1"/>
  <c r="DA443" i="12"/>
  <c r="DC443" i="12"/>
  <c r="DE443" i="12"/>
  <c r="DD443" i="12"/>
  <c r="DB491" i="12"/>
  <c r="DF490" i="12" s="1"/>
  <c r="DC491" i="12"/>
  <c r="DD491" i="12"/>
  <c r="DA491" i="12"/>
  <c r="DE491" i="12"/>
  <c r="DC527" i="12"/>
  <c r="DA527" i="12"/>
  <c r="DE527" i="12"/>
  <c r="DD527" i="12"/>
  <c r="DB527" i="12"/>
  <c r="DE515" i="12"/>
  <c r="DB515" i="12"/>
  <c r="DA515" i="12"/>
  <c r="DD515" i="12"/>
  <c r="DC515" i="12"/>
  <c r="DF513" i="12"/>
  <c r="DF453" i="12"/>
  <c r="DF465" i="12"/>
  <c r="DC551" i="12"/>
  <c r="DA551" i="12"/>
  <c r="DB551" i="12"/>
  <c r="DD551" i="12"/>
  <c r="DE551" i="12"/>
  <c r="CY566" i="12"/>
  <c r="CY571" i="12"/>
  <c r="CY570" i="12"/>
  <c r="CY563" i="12"/>
  <c r="CY568" i="12"/>
  <c r="CY565" i="12"/>
  <c r="CY564" i="12"/>
  <c r="CY567" i="12"/>
  <c r="CY572" i="12"/>
  <c r="CY569" i="12"/>
  <c r="CY573" i="12"/>
  <c r="DB574" i="12"/>
  <c r="CZ492" i="12"/>
  <c r="CZ540" i="12"/>
  <c r="CZ480" i="12"/>
  <c r="CZ468" i="12"/>
  <c r="CZ456" i="12"/>
  <c r="CZ504" i="12"/>
  <c r="CZ552" i="12"/>
  <c r="CZ516" i="12"/>
  <c r="CZ528" i="12"/>
  <c r="CZ564" i="12"/>
  <c r="DC516" i="12" l="1"/>
  <c r="DA516" i="12"/>
  <c r="DE516" i="12"/>
  <c r="DD516" i="12"/>
  <c r="DB516" i="12"/>
  <c r="DF515" i="12" s="1"/>
  <c r="DA492" i="12"/>
  <c r="DB492" i="12"/>
  <c r="DF491" i="12" s="1"/>
  <c r="DC492" i="12"/>
  <c r="DD492" i="12"/>
  <c r="DE492" i="12"/>
  <c r="DA552" i="12"/>
  <c r="DB552" i="12"/>
  <c r="DE552" i="12"/>
  <c r="DD552" i="12"/>
  <c r="DC552" i="12"/>
  <c r="DA540" i="12"/>
  <c r="DE540" i="12"/>
  <c r="DD540" i="12"/>
  <c r="DC540" i="12"/>
  <c r="DB540" i="12"/>
  <c r="DD480" i="12"/>
  <c r="DA480" i="12"/>
  <c r="DB480" i="12"/>
  <c r="DF479" i="12" s="1"/>
  <c r="DC480" i="12"/>
  <c r="DE480" i="12"/>
  <c r="DE528" i="12"/>
  <c r="DD528" i="12"/>
  <c r="DA528" i="12"/>
  <c r="DC528" i="12"/>
  <c r="DB528" i="12"/>
  <c r="DF527" i="12" s="1"/>
  <c r="DE468" i="12"/>
  <c r="DB468" i="12"/>
  <c r="DF467" i="12" s="1"/>
  <c r="DD468" i="12"/>
  <c r="DA468" i="12"/>
  <c r="DC468" i="12"/>
  <c r="DA504" i="12"/>
  <c r="DC504" i="12"/>
  <c r="DE504" i="12"/>
  <c r="DB504" i="12"/>
  <c r="DF503" i="12" s="1"/>
  <c r="DD504" i="12"/>
  <c r="DE456" i="12"/>
  <c r="DB456" i="12"/>
  <c r="DF456" i="12" s="1"/>
  <c r="DD456" i="12"/>
  <c r="DA456" i="12"/>
  <c r="DC456" i="12"/>
  <c r="DF454" i="12"/>
  <c r="DF442" i="12"/>
  <c r="DF502" i="12"/>
  <c r="DF526" i="12"/>
  <c r="DF514" i="12"/>
  <c r="DA564" i="12"/>
  <c r="DE564" i="12"/>
  <c r="DD564" i="12"/>
  <c r="DB564" i="12"/>
  <c r="DC564" i="12"/>
  <c r="CY582" i="12"/>
  <c r="CY584" i="12"/>
  <c r="CY585" i="12"/>
  <c r="CY577" i="12"/>
  <c r="CY581" i="12"/>
  <c r="CY586" i="12"/>
  <c r="DB587" i="12"/>
  <c r="CY579" i="12"/>
  <c r="CY580" i="12"/>
  <c r="CY578" i="12"/>
  <c r="CY576" i="12"/>
  <c r="CY583" i="12"/>
  <c r="CZ553" i="12"/>
  <c r="CZ517" i="12"/>
  <c r="CZ469" i="12"/>
  <c r="CZ565" i="12"/>
  <c r="CZ505" i="12"/>
  <c r="CZ493" i="12"/>
  <c r="CZ541" i="12"/>
  <c r="CZ481" i="12"/>
  <c r="CZ529" i="12"/>
  <c r="CZ577" i="12"/>
  <c r="DB553" i="12" l="1"/>
  <c r="DE553" i="12"/>
  <c r="DA553" i="12"/>
  <c r="DC553" i="12"/>
  <c r="DD553" i="12"/>
  <c r="DE565" i="12"/>
  <c r="DC565" i="12"/>
  <c r="DD565" i="12"/>
  <c r="DA565" i="12"/>
  <c r="DB565" i="12"/>
  <c r="DB469" i="12"/>
  <c r="DF469" i="12" s="1"/>
  <c r="DE469" i="12"/>
  <c r="DD469" i="12"/>
  <c r="DA469" i="12"/>
  <c r="DC469" i="12"/>
  <c r="DB481" i="12"/>
  <c r="DF480" i="12" s="1"/>
  <c r="DD481" i="12"/>
  <c r="DA481" i="12"/>
  <c r="DE481" i="12"/>
  <c r="DC481" i="12"/>
  <c r="DA541" i="12"/>
  <c r="DC541" i="12"/>
  <c r="DB541" i="12"/>
  <c r="DF540" i="12" s="1"/>
  <c r="DD541" i="12"/>
  <c r="DE541" i="12"/>
  <c r="DA517" i="12"/>
  <c r="DE517" i="12"/>
  <c r="DD517" i="12"/>
  <c r="DC517" i="12"/>
  <c r="DB517" i="12"/>
  <c r="DF516" i="12" s="1"/>
  <c r="DA505" i="12"/>
  <c r="DB505" i="12"/>
  <c r="DF504" i="12" s="1"/>
  <c r="DE505" i="12"/>
  <c r="DC505" i="12"/>
  <c r="DD505" i="12"/>
  <c r="DA529" i="12"/>
  <c r="DE529" i="12"/>
  <c r="DB529" i="12"/>
  <c r="DF528" i="12" s="1"/>
  <c r="DD529" i="12"/>
  <c r="DC529" i="12"/>
  <c r="DB493" i="12"/>
  <c r="DF492" i="12" s="1"/>
  <c r="DE493" i="12"/>
  <c r="DC493" i="12"/>
  <c r="DD493" i="12"/>
  <c r="DA493" i="12"/>
  <c r="DF539" i="12"/>
  <c r="DF455" i="12"/>
  <c r="DA577" i="12"/>
  <c r="DC577" i="12"/>
  <c r="DD577" i="12"/>
  <c r="DB577" i="12"/>
  <c r="DE577" i="12"/>
  <c r="CY594" i="12"/>
  <c r="CY593" i="12"/>
  <c r="CY597" i="12"/>
  <c r="CY589" i="12"/>
  <c r="CY592" i="12"/>
  <c r="CY599" i="12"/>
  <c r="DB600" i="12"/>
  <c r="CY590" i="12"/>
  <c r="CY598" i="12"/>
  <c r="CY595" i="12"/>
  <c r="CY591" i="12"/>
  <c r="CY596" i="12"/>
  <c r="EU3" i="12"/>
  <c r="CQ7" i="12" s="1"/>
  <c r="CR7" i="12" s="1"/>
  <c r="CZ554" i="12"/>
  <c r="CZ518" i="12"/>
  <c r="CZ494" i="12"/>
  <c r="CZ530" i="12"/>
  <c r="CZ542" i="12"/>
  <c r="CZ590" i="12"/>
  <c r="CZ566" i="12"/>
  <c r="CZ578" i="12"/>
  <c r="CZ506" i="12"/>
  <c r="CZ482" i="12"/>
  <c r="DF468" i="12" l="1"/>
  <c r="DD578" i="12"/>
  <c r="DE578" i="12"/>
  <c r="DC578" i="12"/>
  <c r="DB578" i="12"/>
  <c r="DA578" i="12"/>
  <c r="DD554" i="12"/>
  <c r="DC554" i="12"/>
  <c r="DA554" i="12"/>
  <c r="DE554" i="12"/>
  <c r="DB554" i="12"/>
  <c r="DF553" i="12" s="1"/>
  <c r="DB494" i="12"/>
  <c r="DF493" i="12" s="1"/>
  <c r="DA494" i="12"/>
  <c r="DE494" i="12"/>
  <c r="DC494" i="12"/>
  <c r="DD494" i="12"/>
  <c r="DC506" i="12"/>
  <c r="DD506" i="12"/>
  <c r="DB506" i="12"/>
  <c r="DF505" i="12" s="1"/>
  <c r="DE506" i="12"/>
  <c r="DA506" i="12"/>
  <c r="DA542" i="12"/>
  <c r="DC542" i="12"/>
  <c r="DE542" i="12"/>
  <c r="DB542" i="12"/>
  <c r="DF541" i="12" s="1"/>
  <c r="DD542" i="12"/>
  <c r="DB530" i="12"/>
  <c r="DF529" i="12" s="1"/>
  <c r="DE530" i="12"/>
  <c r="DC530" i="12"/>
  <c r="DD530" i="12"/>
  <c r="DA530" i="12"/>
  <c r="DA518" i="12"/>
  <c r="DD518" i="12"/>
  <c r="DE518" i="12"/>
  <c r="DB518" i="12"/>
  <c r="DC518" i="12"/>
  <c r="DA482" i="12"/>
  <c r="DB482" i="12"/>
  <c r="DF482" i="12" s="1"/>
  <c r="DD482" i="12"/>
  <c r="DC482" i="12"/>
  <c r="DE482" i="12"/>
  <c r="DC566" i="12"/>
  <c r="DD566" i="12"/>
  <c r="DE566" i="12"/>
  <c r="DB566" i="12"/>
  <c r="DA566" i="12"/>
  <c r="DF552" i="12"/>
  <c r="DD590" i="12"/>
  <c r="DC590" i="12"/>
  <c r="DB590" i="12"/>
  <c r="DA590" i="12"/>
  <c r="DE590" i="12"/>
  <c r="CY605" i="12"/>
  <c r="CY606" i="12"/>
  <c r="CY603" i="12"/>
  <c r="CY612" i="12"/>
  <c r="DB613" i="12"/>
  <c r="CY608" i="12"/>
  <c r="CY609" i="12"/>
  <c r="CY611" i="12"/>
  <c r="CY604" i="12"/>
  <c r="CY602" i="12"/>
  <c r="CY610" i="12"/>
  <c r="CY607" i="12"/>
  <c r="CR8" i="12"/>
  <c r="CE86" i="12"/>
  <c r="CZ531" i="12"/>
  <c r="CZ567" i="12"/>
  <c r="CZ555" i="12"/>
  <c r="CZ495" i="12"/>
  <c r="CZ507" i="12"/>
  <c r="CZ519" i="12"/>
  <c r="CZ579" i="12"/>
  <c r="CZ543" i="12"/>
  <c r="CZ591" i="12"/>
  <c r="CZ603" i="12"/>
  <c r="CR9" i="12" l="1"/>
  <c r="CR10" i="12" s="1"/>
  <c r="CR1" i="12" s="1"/>
  <c r="DF481" i="12"/>
  <c r="DE567" i="12"/>
  <c r="DA567" i="12"/>
  <c r="DB567" i="12"/>
  <c r="DC567" i="12"/>
  <c r="DD567" i="12"/>
  <c r="DC519" i="12"/>
  <c r="DA519" i="12"/>
  <c r="DD519" i="12"/>
  <c r="DB519" i="12"/>
  <c r="DF518" i="12" s="1"/>
  <c r="DE519" i="12"/>
  <c r="DB531" i="12"/>
  <c r="DF530" i="12" s="1"/>
  <c r="DC531" i="12"/>
  <c r="DA531" i="12"/>
  <c r="DE531" i="12"/>
  <c r="DD531" i="12"/>
  <c r="DB591" i="12"/>
  <c r="DD591" i="12"/>
  <c r="DC591" i="12"/>
  <c r="DE591" i="12"/>
  <c r="DA591" i="12"/>
  <c r="DC495" i="12"/>
  <c r="DB495" i="12"/>
  <c r="DF495" i="12" s="1"/>
  <c r="DA495" i="12"/>
  <c r="DD495" i="12"/>
  <c r="DE495" i="12"/>
  <c r="DB579" i="12"/>
  <c r="DE579" i="12"/>
  <c r="DD579" i="12"/>
  <c r="DC579" i="12"/>
  <c r="DA579" i="12"/>
  <c r="DE543" i="12"/>
  <c r="DA543" i="12"/>
  <c r="DB543" i="12"/>
  <c r="DF542" i="12" s="1"/>
  <c r="DC543" i="12"/>
  <c r="DD543" i="12"/>
  <c r="DB507" i="12"/>
  <c r="DF506" i="12" s="1"/>
  <c r="DE507" i="12"/>
  <c r="DD507" i="12"/>
  <c r="DA507" i="12"/>
  <c r="DC507" i="12"/>
  <c r="DD555" i="12"/>
  <c r="DE555" i="12"/>
  <c r="DA555" i="12"/>
  <c r="DC555" i="12"/>
  <c r="DB555" i="12"/>
  <c r="DF554" i="12" s="1"/>
  <c r="DF517" i="12"/>
  <c r="DE603" i="12"/>
  <c r="DB603" i="12"/>
  <c r="DD603" i="12"/>
  <c r="DC603" i="12"/>
  <c r="DA603" i="12"/>
  <c r="CY620" i="12"/>
  <c r="CY619" i="12"/>
  <c r="CY623" i="12"/>
  <c r="CY617" i="12"/>
  <c r="CY624" i="12"/>
  <c r="CY622" i="12"/>
  <c r="CY615" i="12"/>
  <c r="CY616" i="12"/>
  <c r="CY618" i="12"/>
  <c r="CY621" i="12"/>
  <c r="CY625" i="12"/>
  <c r="DB626" i="12"/>
  <c r="CH86" i="12"/>
  <c r="CZ532" i="12"/>
  <c r="CZ556" i="12"/>
  <c r="CZ592" i="12"/>
  <c r="CZ568" i="12"/>
  <c r="CZ520" i="12"/>
  <c r="CZ580" i="12"/>
  <c r="CZ604" i="12"/>
  <c r="CZ544" i="12"/>
  <c r="CZ508" i="12"/>
  <c r="CZ616" i="12"/>
  <c r="CR11" i="12" l="1"/>
  <c r="CR12" i="12" s="1"/>
  <c r="CR13" i="12" s="1"/>
  <c r="DF494" i="12"/>
  <c r="DB568" i="12"/>
  <c r="DF567" i="12" s="1"/>
  <c r="DD568" i="12"/>
  <c r="DC568" i="12"/>
  <c r="DE568" i="12"/>
  <c r="DA568" i="12"/>
  <c r="DB508" i="12"/>
  <c r="DF508" i="12" s="1"/>
  <c r="DD508" i="12"/>
  <c r="DA508" i="12"/>
  <c r="DE508" i="12"/>
  <c r="DC508" i="12"/>
  <c r="DE592" i="12"/>
  <c r="DA592" i="12"/>
  <c r="DD592" i="12"/>
  <c r="DC592" i="12"/>
  <c r="DB592" i="12"/>
  <c r="DD520" i="12"/>
  <c r="DB520" i="12"/>
  <c r="DF519" i="12" s="1"/>
  <c r="DC520" i="12"/>
  <c r="DE520" i="12"/>
  <c r="DA520" i="12"/>
  <c r="DE604" i="12"/>
  <c r="DC604" i="12"/>
  <c r="DB604" i="12"/>
  <c r="DD604" i="12"/>
  <c r="DA604" i="12"/>
  <c r="DE556" i="12"/>
  <c r="DC556" i="12"/>
  <c r="DB556" i="12"/>
  <c r="DF555" i="12" s="1"/>
  <c r="DA556" i="12"/>
  <c r="DD556" i="12"/>
  <c r="DA544" i="12"/>
  <c r="DB544" i="12"/>
  <c r="DF543" i="12" s="1"/>
  <c r="DD544" i="12"/>
  <c r="DE544" i="12"/>
  <c r="DC544" i="12"/>
  <c r="DC580" i="12"/>
  <c r="DB580" i="12"/>
  <c r="DF579" i="12" s="1"/>
  <c r="DE580" i="12"/>
  <c r="DD580" i="12"/>
  <c r="DA580" i="12"/>
  <c r="DB532" i="12"/>
  <c r="DF531" i="12" s="1"/>
  <c r="DA532" i="12"/>
  <c r="DC532" i="12"/>
  <c r="DD532" i="12"/>
  <c r="DE532" i="12"/>
  <c r="DF578" i="12"/>
  <c r="DD616" i="12"/>
  <c r="DA616" i="12"/>
  <c r="DE616" i="12"/>
  <c r="DB616" i="12"/>
  <c r="DC616" i="12"/>
  <c r="CY638" i="12"/>
  <c r="DB639" i="12"/>
  <c r="CY631" i="12"/>
  <c r="CY630" i="12"/>
  <c r="CY632" i="12"/>
  <c r="CY629" i="12"/>
  <c r="CY635" i="12"/>
  <c r="CY634" i="12"/>
  <c r="CY637" i="12"/>
  <c r="CY636" i="12"/>
  <c r="CY633" i="12"/>
  <c r="CY628" i="12"/>
  <c r="CZ521" i="12"/>
  <c r="CZ605" i="12"/>
  <c r="CZ617" i="12"/>
  <c r="CZ629" i="12"/>
  <c r="CZ533" i="12"/>
  <c r="CZ581" i="12"/>
  <c r="CZ569" i="12"/>
  <c r="CZ593" i="12"/>
  <c r="CZ557" i="12"/>
  <c r="CZ545" i="12"/>
  <c r="CS4" i="12" l="1"/>
  <c r="CQ58" i="12" s="1"/>
  <c r="B4" i="10" s="1"/>
  <c r="CS3" i="12"/>
  <c r="D3" i="10" s="1"/>
  <c r="B9" i="14" s="1"/>
  <c r="DD617" i="12"/>
  <c r="DA617" i="12"/>
  <c r="DC617" i="12"/>
  <c r="DE617" i="12"/>
  <c r="DB617" i="12"/>
  <c r="DD593" i="12"/>
  <c r="DA593" i="12"/>
  <c r="DE593" i="12"/>
  <c r="DB593" i="12"/>
  <c r="DF592" i="12" s="1"/>
  <c r="DC593" i="12"/>
  <c r="DD533" i="12"/>
  <c r="DE533" i="12"/>
  <c r="DB533" i="12"/>
  <c r="DF532" i="12" s="1"/>
  <c r="DC533" i="12"/>
  <c r="DA533" i="12"/>
  <c r="DD545" i="12"/>
  <c r="DB545" i="12"/>
  <c r="DF544" i="12" s="1"/>
  <c r="DE545" i="12"/>
  <c r="DC545" i="12"/>
  <c r="DA545" i="12"/>
  <c r="DB605" i="12"/>
  <c r="DF604" i="12" s="1"/>
  <c r="DC605" i="12"/>
  <c r="DE605" i="12"/>
  <c r="DA605" i="12"/>
  <c r="DD605" i="12"/>
  <c r="DC569" i="12"/>
  <c r="DE569" i="12"/>
  <c r="DB569" i="12"/>
  <c r="DF568" i="12" s="1"/>
  <c r="DA569" i="12"/>
  <c r="DD569" i="12"/>
  <c r="DD581" i="12"/>
  <c r="DE581" i="12"/>
  <c r="DA581" i="12"/>
  <c r="DC581" i="12"/>
  <c r="DB581" i="12"/>
  <c r="DF580" i="12" s="1"/>
  <c r="DA521" i="12"/>
  <c r="DB521" i="12"/>
  <c r="DF521" i="12" s="1"/>
  <c r="DC521" i="12"/>
  <c r="DE521" i="12"/>
  <c r="DD521" i="12"/>
  <c r="DB557" i="12"/>
  <c r="DF556" i="12" s="1"/>
  <c r="DD557" i="12"/>
  <c r="DC557" i="12"/>
  <c r="DE557" i="12"/>
  <c r="DA557" i="12"/>
  <c r="DF591" i="12"/>
  <c r="DF507" i="12"/>
  <c r="B9" i="10"/>
  <c r="DC629" i="12"/>
  <c r="DD629" i="12"/>
  <c r="DB629" i="12"/>
  <c r="DA629" i="12"/>
  <c r="DE629" i="12"/>
  <c r="CY646" i="12"/>
  <c r="CY641" i="12"/>
  <c r="CY647" i="12"/>
  <c r="CY642" i="12"/>
  <c r="CY645" i="12"/>
  <c r="CY649" i="12"/>
  <c r="CY650" i="12"/>
  <c r="CY648" i="12"/>
  <c r="CY643" i="12"/>
  <c r="CY644" i="12"/>
  <c r="CY651" i="12"/>
  <c r="DB652" i="12"/>
  <c r="CZ618" i="12"/>
  <c r="CZ546" i="12"/>
  <c r="CZ534" i="12"/>
  <c r="CZ642" i="12"/>
  <c r="CZ606" i="12"/>
  <c r="CZ570" i="12"/>
  <c r="CZ630" i="12"/>
  <c r="CZ582" i="12"/>
  <c r="CZ594" i="12"/>
  <c r="CZ558" i="12"/>
  <c r="D3" i="11" l="1"/>
  <c r="E9" i="10"/>
  <c r="C9" i="10"/>
  <c r="DF520" i="12"/>
  <c r="DC582" i="12"/>
  <c r="DB582" i="12"/>
  <c r="DF581" i="12" s="1"/>
  <c r="DD582" i="12"/>
  <c r="DA582" i="12"/>
  <c r="DE582" i="12"/>
  <c r="DB570" i="12"/>
  <c r="DF569" i="12" s="1"/>
  <c r="DD570" i="12"/>
  <c r="DE570" i="12"/>
  <c r="DC570" i="12"/>
  <c r="DA570" i="12"/>
  <c r="DA606" i="12"/>
  <c r="DE606" i="12"/>
  <c r="DC606" i="12"/>
  <c r="DB606" i="12"/>
  <c r="DF605" i="12" s="1"/>
  <c r="DD606" i="12"/>
  <c r="DB534" i="12"/>
  <c r="DF534" i="12" s="1"/>
  <c r="DA534" i="12"/>
  <c r="DD534" i="12"/>
  <c r="DC534" i="12"/>
  <c r="DE534" i="12"/>
  <c r="DD558" i="12"/>
  <c r="DB558" i="12"/>
  <c r="DF557" i="12" s="1"/>
  <c r="DA558" i="12"/>
  <c r="DC558" i="12"/>
  <c r="DE558" i="12"/>
  <c r="DB630" i="12"/>
  <c r="DE630" i="12"/>
  <c r="DC630" i="12"/>
  <c r="DD630" i="12"/>
  <c r="DA630" i="12"/>
  <c r="DC546" i="12"/>
  <c r="DA546" i="12"/>
  <c r="DD546" i="12"/>
  <c r="DB546" i="12"/>
  <c r="DF545" i="12" s="1"/>
  <c r="DE546" i="12"/>
  <c r="DA594" i="12"/>
  <c r="DD594" i="12"/>
  <c r="DB594" i="12"/>
  <c r="DF593" i="12" s="1"/>
  <c r="DE594" i="12"/>
  <c r="DC594" i="12"/>
  <c r="DE618" i="12"/>
  <c r="DB618" i="12"/>
  <c r="DD618" i="12"/>
  <c r="DA618" i="12"/>
  <c r="DC618" i="12"/>
  <c r="BM1" i="12"/>
  <c r="B8" i="10"/>
  <c r="A8" i="10" s="1"/>
  <c r="D9" i="10"/>
  <c r="D12" i="10"/>
  <c r="E12" i="10" s="1"/>
  <c r="D11" i="10"/>
  <c r="E11" i="10" s="1"/>
  <c r="D10" i="10"/>
  <c r="E10" i="10" s="1"/>
  <c r="B11" i="10"/>
  <c r="C11" i="10" s="1"/>
  <c r="B13" i="10"/>
  <c r="C13" i="10" s="1"/>
  <c r="B10" i="10"/>
  <c r="C10" i="10" s="1"/>
  <c r="D13" i="10"/>
  <c r="E13" i="10" s="1"/>
  <c r="B12" i="10"/>
  <c r="C12" i="10" s="1"/>
  <c r="DD642" i="12"/>
  <c r="DA642" i="12"/>
  <c r="DB642" i="12"/>
  <c r="DE642" i="12"/>
  <c r="DC642" i="12"/>
  <c r="CY658" i="12"/>
  <c r="CY660" i="12"/>
  <c r="CY659" i="12"/>
  <c r="CY657" i="12"/>
  <c r="CY661" i="12"/>
  <c r="CY663" i="12"/>
  <c r="CY655" i="12"/>
  <c r="CY654" i="12"/>
  <c r="CY664" i="12"/>
  <c r="DB665" i="12"/>
  <c r="CY656" i="12"/>
  <c r="CY662" i="12"/>
  <c r="B16" i="10"/>
  <c r="B15" i="10"/>
  <c r="D15" i="10"/>
  <c r="B17" i="10"/>
  <c r="B18" i="10"/>
  <c r="D16" i="10"/>
  <c r="D17" i="10"/>
  <c r="D18" i="10"/>
  <c r="CZ571" i="12"/>
  <c r="CZ559" i="12"/>
  <c r="CZ607" i="12"/>
  <c r="CZ595" i="12"/>
  <c r="CZ631" i="12"/>
  <c r="CZ547" i="12"/>
  <c r="CZ643" i="12"/>
  <c r="CZ619" i="12"/>
  <c r="CZ583" i="12"/>
  <c r="CZ655" i="12"/>
  <c r="B142" i="10"/>
  <c r="C15" i="10" l="1"/>
  <c r="E15" i="10"/>
  <c r="E18" i="10"/>
  <c r="C16" i="10"/>
  <c r="C17" i="10"/>
  <c r="E17" i="10"/>
  <c r="C18" i="10"/>
  <c r="E16" i="10"/>
  <c r="C142" i="10"/>
  <c r="DF533" i="12"/>
  <c r="DD619" i="12"/>
  <c r="DE619" i="12"/>
  <c r="DA619" i="12"/>
  <c r="DB619" i="12"/>
  <c r="DF618" i="12" s="1"/>
  <c r="DC619" i="12"/>
  <c r="DB547" i="12"/>
  <c r="DF547" i="12" s="1"/>
  <c r="DE547" i="12"/>
  <c r="DC547" i="12"/>
  <c r="DA547" i="12"/>
  <c r="DD547" i="12"/>
  <c r="DC559" i="12"/>
  <c r="DA559" i="12"/>
  <c r="DB559" i="12"/>
  <c r="DF558" i="12" s="1"/>
  <c r="DD559" i="12"/>
  <c r="DE559" i="12"/>
  <c r="DE643" i="12"/>
  <c r="DC643" i="12"/>
  <c r="DD643" i="12"/>
  <c r="DB643" i="12"/>
  <c r="DA643" i="12"/>
  <c r="DB595" i="12"/>
  <c r="DF594" i="12" s="1"/>
  <c r="DA595" i="12"/>
  <c r="DC595" i="12"/>
  <c r="DD595" i="12"/>
  <c r="DE595" i="12"/>
  <c r="DD631" i="12"/>
  <c r="DE631" i="12"/>
  <c r="DA631" i="12"/>
  <c r="DC631" i="12"/>
  <c r="DB631" i="12"/>
  <c r="DC583" i="12"/>
  <c r="DD583" i="12"/>
  <c r="DE583" i="12"/>
  <c r="DA583" i="12"/>
  <c r="DB583" i="12"/>
  <c r="DF582" i="12" s="1"/>
  <c r="DD607" i="12"/>
  <c r="DE607" i="12"/>
  <c r="DC607" i="12"/>
  <c r="DB607" i="12"/>
  <c r="DF606" i="12" s="1"/>
  <c r="DA607" i="12"/>
  <c r="DB571" i="12"/>
  <c r="DD571" i="12"/>
  <c r="DA571" i="12"/>
  <c r="DE571" i="12"/>
  <c r="DC571" i="12"/>
  <c r="DF617" i="12"/>
  <c r="A12" i="10"/>
  <c r="A10" i="10"/>
  <c r="A9" i="10"/>
  <c r="A11" i="10"/>
  <c r="A13" i="10"/>
  <c r="DD655" i="12"/>
  <c r="DB655" i="12"/>
  <c r="DA655" i="12"/>
  <c r="DE655" i="12"/>
  <c r="DC655" i="12"/>
  <c r="CY669" i="12"/>
  <c r="CY677" i="12"/>
  <c r="DB678" i="12"/>
  <c r="CY676" i="12"/>
  <c r="CY670" i="12"/>
  <c r="CY673" i="12"/>
  <c r="CY667" i="12"/>
  <c r="CY675" i="12"/>
  <c r="CY674" i="12"/>
  <c r="CY672" i="12"/>
  <c r="CY671" i="12"/>
  <c r="CY668" i="12"/>
  <c r="D14" i="10"/>
  <c r="B14" i="10"/>
  <c r="D100" i="10"/>
  <c r="B143" i="10"/>
  <c r="B24" i="10"/>
  <c r="D116" i="10"/>
  <c r="D81" i="10"/>
  <c r="D78" i="10"/>
  <c r="D89" i="10"/>
  <c r="B112" i="10"/>
  <c r="D130" i="10"/>
  <c r="D124" i="10"/>
  <c r="D82" i="10"/>
  <c r="D68" i="10"/>
  <c r="B62" i="10"/>
  <c r="D20" i="10"/>
  <c r="B22" i="10"/>
  <c r="D63" i="10"/>
  <c r="B57" i="10"/>
  <c r="B34" i="10"/>
  <c r="D59" i="10"/>
  <c r="D97" i="10"/>
  <c r="D127" i="10"/>
  <c r="B74" i="10"/>
  <c r="B40" i="10"/>
  <c r="B42" i="10"/>
  <c r="D73" i="10"/>
  <c r="B106" i="10"/>
  <c r="D134" i="10"/>
  <c r="B32" i="10"/>
  <c r="D52" i="10"/>
  <c r="D129" i="10"/>
  <c r="D44" i="10"/>
  <c r="D25" i="10"/>
  <c r="D138" i="10"/>
  <c r="CZ596" i="12"/>
  <c r="D144" i="10"/>
  <c r="B100" i="10"/>
  <c r="CZ560" i="12"/>
  <c r="D117" i="10"/>
  <c r="D84" i="10"/>
  <c r="B111" i="10"/>
  <c r="B29" i="10"/>
  <c r="D106" i="10"/>
  <c r="B87" i="10"/>
  <c r="B44" i="10"/>
  <c r="D35" i="10"/>
  <c r="B60" i="10"/>
  <c r="D107" i="10"/>
  <c r="D90" i="10"/>
  <c r="B27" i="10"/>
  <c r="B83" i="10"/>
  <c r="B19" i="10"/>
  <c r="D136" i="10"/>
  <c r="D103" i="10"/>
  <c r="B30" i="10"/>
  <c r="D69" i="10"/>
  <c r="B49" i="10"/>
  <c r="B108" i="10"/>
  <c r="B84" i="10"/>
  <c r="D40" i="10"/>
  <c r="D47" i="10"/>
  <c r="B123" i="10"/>
  <c r="D92" i="10"/>
  <c r="D85" i="10"/>
  <c r="D72" i="10"/>
  <c r="B102" i="10"/>
  <c r="B59" i="10"/>
  <c r="D113" i="10"/>
  <c r="D46" i="10"/>
  <c r="D24" i="10"/>
  <c r="B134" i="10"/>
  <c r="D133" i="10"/>
  <c r="B127" i="10"/>
  <c r="D41" i="10"/>
  <c r="B93" i="10"/>
  <c r="D19" i="10"/>
  <c r="B88" i="10"/>
  <c r="D32" i="10"/>
  <c r="B144" i="10"/>
  <c r="D87" i="10"/>
  <c r="D88" i="10"/>
  <c r="D43" i="10"/>
  <c r="D110" i="10"/>
  <c r="B105" i="10"/>
  <c r="B92" i="10"/>
  <c r="B72" i="10"/>
  <c r="B126" i="10"/>
  <c r="D51" i="10"/>
  <c r="B54" i="10"/>
  <c r="D135" i="10"/>
  <c r="CZ608" i="12"/>
  <c r="D71" i="10"/>
  <c r="B98" i="10"/>
  <c r="D54" i="10"/>
  <c r="D132" i="10"/>
  <c r="D57" i="10"/>
  <c r="B65" i="10"/>
  <c r="D29" i="10"/>
  <c r="D38" i="10"/>
  <c r="D34" i="10"/>
  <c r="D66" i="10"/>
  <c r="B79" i="10"/>
  <c r="B94" i="10"/>
  <c r="D65" i="10"/>
  <c r="B135" i="10"/>
  <c r="D99" i="10"/>
  <c r="D104" i="10"/>
  <c r="B35" i="10"/>
  <c r="B61" i="10"/>
  <c r="CZ584" i="12"/>
  <c r="D49" i="10"/>
  <c r="D67" i="10"/>
  <c r="B89" i="10"/>
  <c r="CZ668" i="12"/>
  <c r="B38" i="10"/>
  <c r="D39" i="10"/>
  <c r="D142" i="10"/>
  <c r="B81" i="10"/>
  <c r="B121" i="10"/>
  <c r="D139" i="10"/>
  <c r="B133" i="10"/>
  <c r="B52" i="10"/>
  <c r="B75" i="10"/>
  <c r="B103" i="10"/>
  <c r="D62" i="10"/>
  <c r="D118" i="10"/>
  <c r="D53" i="10"/>
  <c r="D143" i="10"/>
  <c r="B63" i="10"/>
  <c r="D128" i="10"/>
  <c r="B20" i="10"/>
  <c r="B80" i="10"/>
  <c r="D58" i="10"/>
  <c r="D83" i="10"/>
  <c r="D21" i="10"/>
  <c r="B28" i="10"/>
  <c r="B76" i="10"/>
  <c r="B128" i="10"/>
  <c r="B56" i="10"/>
  <c r="CZ620" i="12"/>
  <c r="B77" i="10"/>
  <c r="B36" i="10"/>
  <c r="B51" i="10"/>
  <c r="D140" i="10"/>
  <c r="D115" i="10"/>
  <c r="B145" i="10"/>
  <c r="B85" i="10"/>
  <c r="B78" i="10"/>
  <c r="B23" i="10"/>
  <c r="B33" i="10"/>
  <c r="D131" i="10"/>
  <c r="B70" i="10"/>
  <c r="B25" i="10"/>
  <c r="D86" i="10"/>
  <c r="D76" i="10"/>
  <c r="B115" i="10"/>
  <c r="D61" i="10"/>
  <c r="D126" i="10"/>
  <c r="B119" i="10"/>
  <c r="B140" i="10"/>
  <c r="B91" i="10"/>
  <c r="B86" i="10"/>
  <c r="B66" i="10"/>
  <c r="D27" i="10"/>
  <c r="D22" i="10"/>
  <c r="D125" i="10"/>
  <c r="B43" i="10"/>
  <c r="D122" i="10"/>
  <c r="B139" i="10"/>
  <c r="D64" i="10"/>
  <c r="D48" i="10"/>
  <c r="B58" i="10"/>
  <c r="B138" i="10"/>
  <c r="B130" i="10"/>
  <c r="CZ572" i="12"/>
  <c r="B129" i="10"/>
  <c r="D23" i="10"/>
  <c r="D105" i="10"/>
  <c r="CZ656" i="12"/>
  <c r="D33" i="10"/>
  <c r="B69" i="10"/>
  <c r="D80" i="10"/>
  <c r="D36" i="10"/>
  <c r="D45" i="10"/>
  <c r="D55" i="10"/>
  <c r="B124" i="10"/>
  <c r="B110" i="10"/>
  <c r="B45" i="10"/>
  <c r="B137" i="10"/>
  <c r="B71" i="10"/>
  <c r="D56" i="10"/>
  <c r="B118" i="10"/>
  <c r="D101" i="10"/>
  <c r="D60" i="10"/>
  <c r="B21" i="10"/>
  <c r="B109" i="10"/>
  <c r="B67" i="10"/>
  <c r="D95" i="10"/>
  <c r="B64" i="10"/>
  <c r="B47" i="10"/>
  <c r="D98" i="10"/>
  <c r="D75" i="10"/>
  <c r="D42" i="10"/>
  <c r="B53" i="10"/>
  <c r="D31" i="10"/>
  <c r="D37" i="10"/>
  <c r="B113" i="10"/>
  <c r="B122" i="10"/>
  <c r="D91" i="10"/>
  <c r="B55" i="10"/>
  <c r="B101" i="10"/>
  <c r="D114" i="10"/>
  <c r="B141" i="10"/>
  <c r="B120" i="10"/>
  <c r="B68" i="10"/>
  <c r="B99" i="10"/>
  <c r="D77" i="10"/>
  <c r="B131" i="10"/>
  <c r="B97" i="10"/>
  <c r="D30" i="10"/>
  <c r="B114" i="10"/>
  <c r="D102" i="10"/>
  <c r="D94" i="10"/>
  <c r="B48" i="10"/>
  <c r="D28" i="10"/>
  <c r="D70" i="10"/>
  <c r="D96" i="10"/>
  <c r="CZ644" i="12"/>
  <c r="D93" i="10"/>
  <c r="B41" i="10"/>
  <c r="B46" i="10"/>
  <c r="B26" i="10"/>
  <c r="D120" i="10"/>
  <c r="D137" i="10"/>
  <c r="B107" i="10"/>
  <c r="D141" i="10"/>
  <c r="D79" i="10"/>
  <c r="CZ632" i="12"/>
  <c r="B132" i="10"/>
  <c r="B95" i="10"/>
  <c r="B50" i="10"/>
  <c r="D111" i="10"/>
  <c r="D50" i="10"/>
  <c r="B37" i="10"/>
  <c r="D112" i="10"/>
  <c r="D108" i="10"/>
  <c r="B96" i="10"/>
  <c r="D121" i="10"/>
  <c r="B104" i="10"/>
  <c r="D109" i="10"/>
  <c r="B136" i="10"/>
  <c r="D145" i="10"/>
  <c r="B31" i="10"/>
  <c r="D119" i="10"/>
  <c r="D26" i="10"/>
  <c r="B90" i="10"/>
  <c r="B125" i="10"/>
  <c r="B73" i="10"/>
  <c r="B82" i="10"/>
  <c r="B39" i="10"/>
  <c r="D74" i="10"/>
  <c r="B116" i="10"/>
  <c r="B117" i="10"/>
  <c r="D123" i="10"/>
  <c r="E100" i="10" l="1"/>
  <c r="C68" i="10"/>
  <c r="E20" i="10"/>
  <c r="E50" i="10"/>
  <c r="E54" i="10"/>
  <c r="C20" i="10"/>
  <c r="E99" i="10"/>
  <c r="C109" i="10"/>
  <c r="C48" i="10"/>
  <c r="C46" i="10"/>
  <c r="E139" i="10"/>
  <c r="E129" i="10"/>
  <c r="C114" i="10"/>
  <c r="E63" i="10"/>
  <c r="E127" i="10"/>
  <c r="C103" i="10"/>
  <c r="E61" i="10"/>
  <c r="E56" i="10"/>
  <c r="C136" i="10"/>
  <c r="C38" i="10"/>
  <c r="E118" i="10"/>
  <c r="E39" i="10"/>
  <c r="E114" i="10"/>
  <c r="E79" i="10"/>
  <c r="C59" i="10"/>
  <c r="C32" i="10"/>
  <c r="C107" i="10"/>
  <c r="C133" i="10"/>
  <c r="C135" i="10"/>
  <c r="C25" i="10"/>
  <c r="E83" i="10"/>
  <c r="C63" i="10"/>
  <c r="E101" i="10"/>
  <c r="C79" i="10"/>
  <c r="C90" i="10"/>
  <c r="E75" i="10"/>
  <c r="E87" i="10"/>
  <c r="E110" i="10"/>
  <c r="E94" i="10"/>
  <c r="E24" i="10"/>
  <c r="E85" i="10"/>
  <c r="C19" i="10"/>
  <c r="C30" i="10"/>
  <c r="C44" i="10"/>
  <c r="C78" i="10"/>
  <c r="C132" i="10"/>
  <c r="E19" i="10"/>
  <c r="E136" i="10"/>
  <c r="E98" i="10"/>
  <c r="C31" i="10"/>
  <c r="E88" i="10"/>
  <c r="C33" i="10"/>
  <c r="C76" i="10"/>
  <c r="E138" i="10"/>
  <c r="E122" i="10"/>
  <c r="E30" i="10"/>
  <c r="E34" i="10"/>
  <c r="E26" i="10"/>
  <c r="C55" i="10"/>
  <c r="E120" i="10"/>
  <c r="C102" i="10"/>
  <c r="C130" i="10"/>
  <c r="E144" i="10"/>
  <c r="E44" i="10"/>
  <c r="C98" i="10"/>
  <c r="A98" i="10" s="1"/>
  <c r="E109" i="10"/>
  <c r="C88" i="10"/>
  <c r="C58" i="10"/>
  <c r="E103" i="10"/>
  <c r="C104" i="10"/>
  <c r="C89" i="10"/>
  <c r="E90" i="10"/>
  <c r="C42" i="10"/>
  <c r="C99" i="10"/>
  <c r="C82" i="10"/>
  <c r="E84" i="10"/>
  <c r="E64" i="10"/>
  <c r="E14" i="10"/>
  <c r="C14" i="10"/>
  <c r="DF546" i="12"/>
  <c r="C112" i="10"/>
  <c r="E78" i="10"/>
  <c r="C47" i="10"/>
  <c r="E33" i="10"/>
  <c r="A33" i="10" s="1"/>
  <c r="E128" i="10"/>
  <c r="E104" i="10"/>
  <c r="A104" i="10" s="1"/>
  <c r="E145" i="10"/>
  <c r="E31" i="10"/>
  <c r="E65" i="10"/>
  <c r="C65" i="10"/>
  <c r="C113" i="10"/>
  <c r="C23" i="10"/>
  <c r="E142" i="10"/>
  <c r="A142" i="10" s="1"/>
  <c r="C64" i="10"/>
  <c r="C67" i="10"/>
  <c r="C49" i="10"/>
  <c r="C145" i="10"/>
  <c r="E71" i="10"/>
  <c r="E113" i="10"/>
  <c r="C81" i="10"/>
  <c r="E143" i="10"/>
  <c r="C111" i="10"/>
  <c r="C27" i="10"/>
  <c r="C50" i="10"/>
  <c r="E125" i="10"/>
  <c r="E67" i="10"/>
  <c r="E55" i="10"/>
  <c r="C22" i="10"/>
  <c r="E92" i="10"/>
  <c r="C83" i="10"/>
  <c r="C105" i="10"/>
  <c r="E37" i="10"/>
  <c r="E72" i="10"/>
  <c r="E97" i="10"/>
  <c r="C73" i="10"/>
  <c r="E116" i="10"/>
  <c r="E82" i="10"/>
  <c r="E106" i="10"/>
  <c r="C91" i="10"/>
  <c r="E112" i="10"/>
  <c r="E115" i="10"/>
  <c r="C56" i="10"/>
  <c r="A56" i="10" s="1"/>
  <c r="C84" i="10"/>
  <c r="C140" i="10"/>
  <c r="C141" i="10"/>
  <c r="E51" i="10"/>
  <c r="E77" i="10"/>
  <c r="C77" i="10"/>
  <c r="C121" i="10"/>
  <c r="E81" i="10"/>
  <c r="E107" i="10"/>
  <c r="E70" i="10"/>
  <c r="C70" i="10"/>
  <c r="C45" i="10"/>
  <c r="C96" i="10"/>
  <c r="E124" i="10"/>
  <c r="E102" i="10"/>
  <c r="A102" i="10" s="1"/>
  <c r="E58" i="10"/>
  <c r="C143" i="10"/>
  <c r="E21" i="10"/>
  <c r="C93" i="10"/>
  <c r="E66" i="10"/>
  <c r="E40" i="10"/>
  <c r="E141" i="10"/>
  <c r="C43" i="10"/>
  <c r="C131" i="10"/>
  <c r="C118" i="10"/>
  <c r="C24" i="10"/>
  <c r="C60" i="10"/>
  <c r="E38" i="10"/>
  <c r="C35" i="10"/>
  <c r="E108" i="10"/>
  <c r="E23" i="10"/>
  <c r="C119" i="10"/>
  <c r="E41" i="10"/>
  <c r="C127" i="10"/>
  <c r="C40" i="10"/>
  <c r="E74" i="10"/>
  <c r="C54" i="10"/>
  <c r="E93" i="10"/>
  <c r="E119" i="10"/>
  <c r="C144" i="10"/>
  <c r="C92" i="10"/>
  <c r="C75" i="10"/>
  <c r="A75" i="10" s="1"/>
  <c r="E89" i="10"/>
  <c r="C108" i="10"/>
  <c r="C95" i="10"/>
  <c r="E35" i="10"/>
  <c r="E69" i="10"/>
  <c r="C61" i="10"/>
  <c r="E121" i="10"/>
  <c r="E131" i="10"/>
  <c r="E126" i="10"/>
  <c r="C80" i="10"/>
  <c r="C39" i="10"/>
  <c r="E73" i="10"/>
  <c r="E29" i="10"/>
  <c r="E59" i="10"/>
  <c r="C125" i="10"/>
  <c r="C37" i="10"/>
  <c r="E135" i="10"/>
  <c r="A135" i="10" s="1"/>
  <c r="E140" i="10"/>
  <c r="E42" i="10"/>
  <c r="E133" i="10"/>
  <c r="A133" i="10" s="1"/>
  <c r="E47" i="10"/>
  <c r="C128" i="10"/>
  <c r="C138" i="10"/>
  <c r="C86" i="10"/>
  <c r="E25" i="10"/>
  <c r="C123" i="10"/>
  <c r="C106" i="10"/>
  <c r="E52" i="10"/>
  <c r="E117" i="10"/>
  <c r="C134" i="10"/>
  <c r="C34" i="10"/>
  <c r="C126" i="10"/>
  <c r="C115" i="10"/>
  <c r="A115" i="10" s="1"/>
  <c r="E22" i="10"/>
  <c r="E137" i="10"/>
  <c r="E45" i="10"/>
  <c r="E95" i="10"/>
  <c r="E96" i="10"/>
  <c r="E57" i="10"/>
  <c r="E27" i="10"/>
  <c r="E32" i="10"/>
  <c r="E80" i="10"/>
  <c r="E46" i="10"/>
  <c r="E43" i="10"/>
  <c r="E28" i="10"/>
  <c r="E62" i="10"/>
  <c r="E132" i="10"/>
  <c r="E86" i="10"/>
  <c r="E36" i="10"/>
  <c r="E76" i="10"/>
  <c r="E91" i="10"/>
  <c r="E130" i="10"/>
  <c r="E105" i="10"/>
  <c r="E49" i="10"/>
  <c r="E53" i="10"/>
  <c r="E48" i="10"/>
  <c r="E111" i="10"/>
  <c r="E60" i="10"/>
  <c r="E68" i="10"/>
  <c r="E123" i="10"/>
  <c r="E134" i="10"/>
  <c r="C85" i="10"/>
  <c r="C69" i="10"/>
  <c r="C66" i="10"/>
  <c r="C120" i="10"/>
  <c r="C62" i="10"/>
  <c r="C110" i="10"/>
  <c r="C94" i="10"/>
  <c r="C117" i="10"/>
  <c r="C137" i="10"/>
  <c r="C74" i="10"/>
  <c r="C53" i="10"/>
  <c r="C101" i="10"/>
  <c r="A101" i="10" s="1"/>
  <c r="C57" i="10"/>
  <c r="C41" i="10"/>
  <c r="A41" i="10" s="1"/>
  <c r="C139" i="10"/>
  <c r="C124" i="10"/>
  <c r="C129" i="10"/>
  <c r="C26" i="10"/>
  <c r="C21" i="10"/>
  <c r="A21" i="10" s="1"/>
  <c r="C71" i="10"/>
  <c r="C72" i="10"/>
  <c r="C100" i="10"/>
  <c r="C28" i="10"/>
  <c r="C36" i="10"/>
  <c r="C87" i="10"/>
  <c r="C97" i="10"/>
  <c r="C122" i="10"/>
  <c r="C116" i="10"/>
  <c r="C29" i="10"/>
  <c r="C52" i="10"/>
  <c r="C51" i="10"/>
  <c r="A17" i="10"/>
  <c r="DD584" i="12"/>
  <c r="DE584" i="12"/>
  <c r="DC584" i="12"/>
  <c r="DB584" i="12"/>
  <c r="DF583" i="12" s="1"/>
  <c r="DA584" i="12"/>
  <c r="DC620" i="12"/>
  <c r="DE620" i="12"/>
  <c r="DD620" i="12"/>
  <c r="DB620" i="12"/>
  <c r="DF619" i="12" s="1"/>
  <c r="DA620" i="12"/>
  <c r="DD572" i="12"/>
  <c r="DB572" i="12"/>
  <c r="DF571" i="12" s="1"/>
  <c r="DA572" i="12"/>
  <c r="DC572" i="12"/>
  <c r="DE572" i="12"/>
  <c r="DA632" i="12"/>
  <c r="DC632" i="12"/>
  <c r="DE632" i="12"/>
  <c r="DD632" i="12"/>
  <c r="DB632" i="12"/>
  <c r="DF631" i="12" s="1"/>
  <c r="DA596" i="12"/>
  <c r="DD596" i="12"/>
  <c r="DE596" i="12"/>
  <c r="DB596" i="12"/>
  <c r="DC596" i="12"/>
  <c r="DB644" i="12"/>
  <c r="DA644" i="12"/>
  <c r="DC644" i="12"/>
  <c r="DD644" i="12"/>
  <c r="DE644" i="12"/>
  <c r="DB608" i="12"/>
  <c r="DF607" i="12" s="1"/>
  <c r="DD608" i="12"/>
  <c r="DC608" i="12"/>
  <c r="DA608" i="12"/>
  <c r="DE608" i="12"/>
  <c r="DD656" i="12"/>
  <c r="DB656" i="12"/>
  <c r="DE656" i="12"/>
  <c r="DA656" i="12"/>
  <c r="DC656" i="12"/>
  <c r="DD560" i="12"/>
  <c r="DA560" i="12"/>
  <c r="DE560" i="12"/>
  <c r="DC560" i="12"/>
  <c r="DB560" i="12"/>
  <c r="DF560" i="12" s="1"/>
  <c r="DF630" i="12"/>
  <c r="DF570" i="12"/>
  <c r="A16" i="10"/>
  <c r="A18" i="10"/>
  <c r="A15" i="10"/>
  <c r="DB668" i="12"/>
  <c r="DE668" i="12"/>
  <c r="DC668" i="12"/>
  <c r="DD668" i="12"/>
  <c r="DA668" i="12"/>
  <c r="CY680" i="12"/>
  <c r="CY686" i="12"/>
  <c r="CY690" i="12"/>
  <c r="DB691" i="12"/>
  <c r="CY688" i="12"/>
  <c r="CY683" i="12"/>
  <c r="CY682" i="12"/>
  <c r="CY684" i="12"/>
  <c r="CY687" i="12"/>
  <c r="CY681" i="12"/>
  <c r="CY685" i="12"/>
  <c r="CY689" i="12"/>
  <c r="CZ657" i="12"/>
  <c r="CZ585" i="12"/>
  <c r="CZ633" i="12"/>
  <c r="CZ669" i="12"/>
  <c r="CZ609" i="12"/>
  <c r="CZ573" i="12"/>
  <c r="CZ597" i="12"/>
  <c r="CZ645" i="12"/>
  <c r="CZ621" i="12"/>
  <c r="CZ681" i="12"/>
  <c r="A107" i="10" l="1"/>
  <c r="A50" i="10"/>
  <c r="A100" i="10"/>
  <c r="A80" i="10"/>
  <c r="A68" i="10"/>
  <c r="A20" i="10"/>
  <c r="A86" i="10"/>
  <c r="A54" i="10"/>
  <c r="A139" i="10"/>
  <c r="A129" i="10"/>
  <c r="A127" i="10"/>
  <c r="A114" i="10"/>
  <c r="A48" i="10"/>
  <c r="A59" i="10"/>
  <c r="A61" i="10"/>
  <c r="A118" i="10"/>
  <c r="A32" i="10"/>
  <c r="A25" i="10"/>
  <c r="A63" i="10"/>
  <c r="A46" i="10"/>
  <c r="A39" i="10"/>
  <c r="A99" i="10"/>
  <c r="A109" i="10"/>
  <c r="A103" i="10"/>
  <c r="A55" i="10"/>
  <c r="A79" i="10"/>
  <c r="A83" i="10"/>
  <c r="A90" i="10"/>
  <c r="A136" i="10"/>
  <c r="A38" i="10"/>
  <c r="A24" i="10"/>
  <c r="A110" i="10"/>
  <c r="A37" i="10"/>
  <c r="A87" i="10"/>
  <c r="A85" i="10"/>
  <c r="A44" i="10"/>
  <c r="A120" i="10"/>
  <c r="A26" i="10"/>
  <c r="A132" i="10"/>
  <c r="A138" i="10"/>
  <c r="A130" i="10"/>
  <c r="A91" i="10"/>
  <c r="A76" i="10"/>
  <c r="A19" i="10"/>
  <c r="A30" i="10"/>
  <c r="A88" i="10"/>
  <c r="A144" i="10"/>
  <c r="A89" i="10"/>
  <c r="A82" i="10"/>
  <c r="A122" i="10"/>
  <c r="A94" i="10"/>
  <c r="A34" i="10"/>
  <c r="A31" i="10"/>
  <c r="A42" i="10"/>
  <c r="A84" i="10"/>
  <c r="A58" i="10"/>
  <c r="A64" i="10"/>
  <c r="A78" i="10"/>
  <c r="A14" i="10"/>
  <c r="A128" i="10"/>
  <c r="A51" i="10"/>
  <c r="A71" i="10"/>
  <c r="A97" i="10"/>
  <c r="A106" i="10"/>
  <c r="A67" i="10"/>
  <c r="A113" i="10"/>
  <c r="A74" i="10"/>
  <c r="A96" i="10"/>
  <c r="A73" i="10"/>
  <c r="A131" i="10"/>
  <c r="A35" i="10"/>
  <c r="A108" i="10"/>
  <c r="A77" i="10"/>
  <c r="A140" i="10"/>
  <c r="A116" i="10"/>
  <c r="A119" i="10"/>
  <c r="A47" i="10"/>
  <c r="A40" i="10"/>
  <c r="A93" i="10"/>
  <c r="A121" i="10"/>
  <c r="A145" i="10"/>
  <c r="A112" i="10"/>
  <c r="A52" i="10"/>
  <c r="A43" i="10"/>
  <c r="A124" i="10"/>
  <c r="A49" i="10"/>
  <c r="A22" i="10"/>
  <c r="A23" i="10"/>
  <c r="A70" i="10"/>
  <c r="A134" i="10"/>
  <c r="A111" i="10"/>
  <c r="A105" i="10"/>
  <c r="A95" i="10"/>
  <c r="A126" i="10"/>
  <c r="A141" i="10"/>
  <c r="A92" i="10"/>
  <c r="A125" i="10"/>
  <c r="A143" i="10"/>
  <c r="A65" i="10"/>
  <c r="A66" i="10"/>
  <c r="A123" i="10"/>
  <c r="A27" i="10"/>
  <c r="A45" i="10"/>
  <c r="A81" i="10"/>
  <c r="A117" i="10"/>
  <c r="A29" i="10"/>
  <c r="A72" i="10"/>
  <c r="A60" i="10"/>
  <c r="A69" i="10"/>
  <c r="A57" i="10"/>
  <c r="A137" i="10"/>
  <c r="A62" i="10"/>
  <c r="A28" i="10"/>
  <c r="A53" i="10"/>
  <c r="A36" i="10"/>
  <c r="DA669" i="12"/>
  <c r="DE669" i="12"/>
  <c r="DC669" i="12"/>
  <c r="DD669" i="12"/>
  <c r="DB669" i="12"/>
  <c r="DA609" i="12"/>
  <c r="DE609" i="12"/>
  <c r="DC609" i="12"/>
  <c r="DB609" i="12"/>
  <c r="DF608" i="12" s="1"/>
  <c r="DD609" i="12"/>
  <c r="DE645" i="12"/>
  <c r="DB645" i="12"/>
  <c r="DF644" i="12" s="1"/>
  <c r="DA645" i="12"/>
  <c r="DD645" i="12"/>
  <c r="DC645" i="12"/>
  <c r="DC597" i="12"/>
  <c r="DE597" i="12"/>
  <c r="DA597" i="12"/>
  <c r="DB597" i="12"/>
  <c r="DD597" i="12"/>
  <c r="DE573" i="12"/>
  <c r="DC573" i="12"/>
  <c r="DB573" i="12"/>
  <c r="DF573" i="12" s="1"/>
  <c r="DA573" i="12"/>
  <c r="DD573" i="12"/>
  <c r="DD585" i="12"/>
  <c r="DA585" i="12"/>
  <c r="DB585" i="12"/>
  <c r="DF584" i="12" s="1"/>
  <c r="DC585" i="12"/>
  <c r="DE585" i="12"/>
  <c r="DE621" i="12"/>
  <c r="DC621" i="12"/>
  <c r="DD621" i="12"/>
  <c r="DB621" i="12"/>
  <c r="DF620" i="12" s="1"/>
  <c r="DA621" i="12"/>
  <c r="DC657" i="12"/>
  <c r="DE657" i="12"/>
  <c r="DA657" i="12"/>
  <c r="DB657" i="12"/>
  <c r="DD657" i="12"/>
  <c r="DB633" i="12"/>
  <c r="DD633" i="12"/>
  <c r="DC633" i="12"/>
  <c r="DE633" i="12"/>
  <c r="DA633" i="12"/>
  <c r="DF559" i="12"/>
  <c r="DF595" i="12"/>
  <c r="DF643" i="12"/>
  <c r="DC681" i="12"/>
  <c r="DD681" i="12"/>
  <c r="DB681" i="12"/>
  <c r="DA681" i="12"/>
  <c r="DE681" i="12"/>
  <c r="CY695" i="12"/>
  <c r="CY701" i="12"/>
  <c r="CY698" i="12"/>
  <c r="CY700" i="12"/>
  <c r="CY699" i="12"/>
  <c r="CY696" i="12"/>
  <c r="CY702" i="12"/>
  <c r="CY694" i="12"/>
  <c r="CY697" i="12"/>
  <c r="CY703" i="12"/>
  <c r="DB704" i="12"/>
  <c r="CY693" i="12"/>
  <c r="CZ682" i="12"/>
  <c r="CZ634" i="12"/>
  <c r="CZ646" i="12"/>
  <c r="CZ622" i="12"/>
  <c r="CZ586" i="12"/>
  <c r="CZ658" i="12"/>
  <c r="CZ670" i="12"/>
  <c r="CZ598" i="12"/>
  <c r="CZ610" i="12"/>
  <c r="CZ694" i="12"/>
  <c r="AW5" i="12" l="1"/>
  <c r="DB646" i="12"/>
  <c r="DF645" i="12" s="1"/>
  <c r="DA646" i="12"/>
  <c r="DE646" i="12"/>
  <c r="DC646" i="12"/>
  <c r="DD646" i="12"/>
  <c r="DA670" i="12"/>
  <c r="DD670" i="12"/>
  <c r="DE670" i="12"/>
  <c r="DB670" i="12"/>
  <c r="DC670" i="12"/>
  <c r="DB634" i="12"/>
  <c r="DF633" i="12" s="1"/>
  <c r="DC634" i="12"/>
  <c r="DE634" i="12"/>
  <c r="DA634" i="12"/>
  <c r="DD634" i="12"/>
  <c r="DB682" i="12"/>
  <c r="DD682" i="12"/>
  <c r="DC682" i="12"/>
  <c r="DA682" i="12"/>
  <c r="DE682" i="12"/>
  <c r="DA586" i="12"/>
  <c r="DE586" i="12"/>
  <c r="DD586" i="12"/>
  <c r="DC586" i="12"/>
  <c r="DB586" i="12"/>
  <c r="DF586" i="12" s="1"/>
  <c r="DB658" i="12"/>
  <c r="DF657" i="12" s="1"/>
  <c r="DE658" i="12"/>
  <c r="DA658" i="12"/>
  <c r="DD658" i="12"/>
  <c r="DC658" i="12"/>
  <c r="DB610" i="12"/>
  <c r="DF609" i="12" s="1"/>
  <c r="DE610" i="12"/>
  <c r="DA610" i="12"/>
  <c r="DC610" i="12"/>
  <c r="DD610" i="12"/>
  <c r="DC622" i="12"/>
  <c r="DD622" i="12"/>
  <c r="DA622" i="12"/>
  <c r="DE622" i="12"/>
  <c r="DB622" i="12"/>
  <c r="DF621" i="12" s="1"/>
  <c r="DE598" i="12"/>
  <c r="DC598" i="12"/>
  <c r="DB598" i="12"/>
  <c r="DF597" i="12" s="1"/>
  <c r="DD598" i="12"/>
  <c r="DA598" i="12"/>
  <c r="DF572" i="12"/>
  <c r="DF632" i="12"/>
  <c r="DF656" i="12"/>
  <c r="DF596" i="12"/>
  <c r="DD694" i="12"/>
  <c r="DA694" i="12"/>
  <c r="DB694" i="12"/>
  <c r="DE694" i="12"/>
  <c r="DC694" i="12"/>
  <c r="CY706" i="12"/>
  <c r="CY716" i="12"/>
  <c r="DB717" i="12"/>
  <c r="CY707" i="12"/>
  <c r="CY713" i="12"/>
  <c r="CY714" i="12"/>
  <c r="CY715" i="12"/>
  <c r="CY710" i="12"/>
  <c r="CY709" i="12"/>
  <c r="CY712" i="12"/>
  <c r="CY711" i="12"/>
  <c r="CY708" i="12"/>
  <c r="CD198" i="12"/>
  <c r="CZ635" i="12"/>
  <c r="CZ623" i="12"/>
  <c r="CZ647" i="12"/>
  <c r="CZ683" i="12"/>
  <c r="CZ659" i="12"/>
  <c r="CZ611" i="12"/>
  <c r="CZ599" i="12"/>
  <c r="CZ695" i="12"/>
  <c r="CZ671" i="12"/>
  <c r="CZ707" i="12"/>
  <c r="DF585" i="12" l="1"/>
  <c r="DE599" i="12"/>
  <c r="DA599" i="12"/>
  <c r="DD599" i="12"/>
  <c r="DB599" i="12"/>
  <c r="DF599" i="12" s="1"/>
  <c r="DC599" i="12"/>
  <c r="DB611" i="12"/>
  <c r="DF610" i="12" s="1"/>
  <c r="DA611" i="12"/>
  <c r="DE611" i="12"/>
  <c r="DD611" i="12"/>
  <c r="DC611" i="12"/>
  <c r="DB671" i="12"/>
  <c r="DF670" i="12" s="1"/>
  <c r="DC671" i="12"/>
  <c r="DA671" i="12"/>
  <c r="DE671" i="12"/>
  <c r="DD671" i="12"/>
  <c r="DD695" i="12"/>
  <c r="DE695" i="12"/>
  <c r="DC695" i="12"/>
  <c r="DB695" i="12"/>
  <c r="DA695" i="12"/>
  <c r="DB635" i="12"/>
  <c r="DF634" i="12" s="1"/>
  <c r="DC635" i="12"/>
  <c r="DE635" i="12"/>
  <c r="DD635" i="12"/>
  <c r="DA635" i="12"/>
  <c r="DD647" i="12"/>
  <c r="DB647" i="12"/>
  <c r="DC647" i="12"/>
  <c r="DA647" i="12"/>
  <c r="DE647" i="12"/>
  <c r="DE659" i="12"/>
  <c r="DB659" i="12"/>
  <c r="DF658" i="12" s="1"/>
  <c r="DC659" i="12"/>
  <c r="DA659" i="12"/>
  <c r="DD659" i="12"/>
  <c r="DD623" i="12"/>
  <c r="DC623" i="12"/>
  <c r="DB623" i="12"/>
  <c r="DF622" i="12" s="1"/>
  <c r="DA623" i="12"/>
  <c r="DE623" i="12"/>
  <c r="DC683" i="12"/>
  <c r="DE683" i="12"/>
  <c r="DA683" i="12"/>
  <c r="DD683" i="12"/>
  <c r="DB683" i="12"/>
  <c r="DF669" i="12"/>
  <c r="DA707" i="12"/>
  <c r="DD707" i="12"/>
  <c r="DE707" i="12"/>
  <c r="DB707" i="12"/>
  <c r="DC707" i="12"/>
  <c r="CY721" i="12"/>
  <c r="CY725" i="12"/>
  <c r="CY723" i="12"/>
  <c r="CY727" i="12"/>
  <c r="CY720" i="12"/>
  <c r="CY728" i="12"/>
  <c r="CY729" i="12"/>
  <c r="DB730" i="12"/>
  <c r="CY724" i="12"/>
  <c r="CY722" i="12"/>
  <c r="CY726" i="12"/>
  <c r="CY719" i="12"/>
  <c r="CZ612" i="12"/>
  <c r="CZ672" i="12"/>
  <c r="CZ660" i="12"/>
  <c r="CZ696" i="12"/>
  <c r="CZ636" i="12"/>
  <c r="CZ720" i="12"/>
  <c r="CZ648" i="12"/>
  <c r="CZ684" i="12"/>
  <c r="CZ624" i="12"/>
  <c r="CZ708" i="12"/>
  <c r="DF598" i="12" l="1"/>
  <c r="DE672" i="12"/>
  <c r="DB672" i="12"/>
  <c r="DF671" i="12" s="1"/>
  <c r="DD672" i="12"/>
  <c r="DC672" i="12"/>
  <c r="DA672" i="12"/>
  <c r="DA684" i="12"/>
  <c r="DB684" i="12"/>
  <c r="DF683" i="12" s="1"/>
  <c r="DC684" i="12"/>
  <c r="DE684" i="12"/>
  <c r="DD684" i="12"/>
  <c r="DC636" i="12"/>
  <c r="DA636" i="12"/>
  <c r="DB636" i="12"/>
  <c r="DF635" i="12" s="1"/>
  <c r="DD636" i="12"/>
  <c r="DE636" i="12"/>
  <c r="DC624" i="12"/>
  <c r="DD624" i="12"/>
  <c r="DB624" i="12"/>
  <c r="DF623" i="12" s="1"/>
  <c r="DE624" i="12"/>
  <c r="DA624" i="12"/>
  <c r="DE648" i="12"/>
  <c r="DC648" i="12"/>
  <c r="DB648" i="12"/>
  <c r="DF647" i="12" s="1"/>
  <c r="DD648" i="12"/>
  <c r="DA648" i="12"/>
  <c r="DE696" i="12"/>
  <c r="DB696" i="12"/>
  <c r="DA696" i="12"/>
  <c r="DC696" i="12"/>
  <c r="DD696" i="12"/>
  <c r="DB612" i="12"/>
  <c r="DF612" i="12" s="1"/>
  <c r="DD612" i="12"/>
  <c r="DA612" i="12"/>
  <c r="DE612" i="12"/>
  <c r="DC612" i="12"/>
  <c r="DC708" i="12"/>
  <c r="DA708" i="12"/>
  <c r="DE708" i="12"/>
  <c r="DD708" i="12"/>
  <c r="DB708" i="12"/>
  <c r="DE660" i="12"/>
  <c r="DB660" i="12"/>
  <c r="DA660" i="12"/>
  <c r="DD660" i="12"/>
  <c r="DC660" i="12"/>
  <c r="DF682" i="12"/>
  <c r="DF646" i="12"/>
  <c r="DC720" i="12"/>
  <c r="DD720" i="12"/>
  <c r="DB720" i="12"/>
  <c r="DE720" i="12"/>
  <c r="DA720" i="12"/>
  <c r="CY741" i="12"/>
  <c r="CY740" i="12"/>
  <c r="CY738" i="12"/>
  <c r="CY739" i="12"/>
  <c r="CY737" i="12"/>
  <c r="CY742" i="12"/>
  <c r="DB743" i="12"/>
  <c r="CY735" i="12"/>
  <c r="CY732" i="12"/>
  <c r="CY733" i="12"/>
  <c r="CY736" i="12"/>
  <c r="CY734" i="12"/>
  <c r="CZ625" i="12"/>
  <c r="CZ721" i="12"/>
  <c r="CZ709" i="12"/>
  <c r="CZ637" i="12"/>
  <c r="CZ685" i="12"/>
  <c r="CZ649" i="12"/>
  <c r="CZ661" i="12"/>
  <c r="CZ697" i="12"/>
  <c r="CZ733" i="12"/>
  <c r="CZ673" i="12"/>
  <c r="DD709" i="12" l="1"/>
  <c r="DE709" i="12"/>
  <c r="DB709" i="12"/>
  <c r="DA709" i="12"/>
  <c r="DC709" i="12"/>
  <c r="DE625" i="12"/>
  <c r="DB625" i="12"/>
  <c r="DF625" i="12" s="1"/>
  <c r="DD625" i="12"/>
  <c r="DC625" i="12"/>
  <c r="DA625" i="12"/>
  <c r="DC685" i="12"/>
  <c r="DD685" i="12"/>
  <c r="DB685" i="12"/>
  <c r="DF684" i="12" s="1"/>
  <c r="DA685" i="12"/>
  <c r="DE685" i="12"/>
  <c r="DE661" i="12"/>
  <c r="DC661" i="12"/>
  <c r="DD661" i="12"/>
  <c r="DA661" i="12"/>
  <c r="DB661" i="12"/>
  <c r="DF660" i="12" s="1"/>
  <c r="DE697" i="12"/>
  <c r="DC697" i="12"/>
  <c r="DA697" i="12"/>
  <c r="DB697" i="12"/>
  <c r="DF696" i="12" s="1"/>
  <c r="DD697" i="12"/>
  <c r="DB721" i="12"/>
  <c r="DD721" i="12"/>
  <c r="DE721" i="12"/>
  <c r="DC721" i="12"/>
  <c r="DA721" i="12"/>
  <c r="DB649" i="12"/>
  <c r="DD649" i="12"/>
  <c r="DE649" i="12"/>
  <c r="DA649" i="12"/>
  <c r="DC649" i="12"/>
  <c r="DE637" i="12"/>
  <c r="DB637" i="12"/>
  <c r="DA637" i="12"/>
  <c r="DD637" i="12"/>
  <c r="DC637" i="12"/>
  <c r="DB673" i="12"/>
  <c r="DF672" i="12" s="1"/>
  <c r="DC673" i="12"/>
  <c r="DA673" i="12"/>
  <c r="DE673" i="12"/>
  <c r="DD673" i="12"/>
  <c r="DF611" i="12"/>
  <c r="DF695" i="12"/>
  <c r="DF659" i="12"/>
  <c r="DD733" i="12"/>
  <c r="DB733" i="12"/>
  <c r="DA733" i="12"/>
  <c r="DC733" i="12"/>
  <c r="DE733" i="12"/>
  <c r="CY750" i="12"/>
  <c r="CY749" i="12"/>
  <c r="CY745" i="12"/>
  <c r="CY748" i="12"/>
  <c r="CY755" i="12"/>
  <c r="DB756" i="12"/>
  <c r="CY752" i="12"/>
  <c r="CY751" i="12"/>
  <c r="CY747" i="12"/>
  <c r="CY746" i="12"/>
  <c r="CY753" i="12"/>
  <c r="CY754" i="12"/>
  <c r="CZ698" i="12"/>
  <c r="CZ686" i="12"/>
  <c r="CZ650" i="12"/>
  <c r="CZ674" i="12"/>
  <c r="CZ734" i="12"/>
  <c r="CZ722" i="12"/>
  <c r="CZ746" i="12"/>
  <c r="CZ710" i="12"/>
  <c r="CZ638" i="12"/>
  <c r="CZ662" i="12"/>
  <c r="DF624" i="12" l="1"/>
  <c r="DE674" i="12"/>
  <c r="DB674" i="12"/>
  <c r="DF673" i="12" s="1"/>
  <c r="DC674" i="12"/>
  <c r="DD674" i="12"/>
  <c r="DA674" i="12"/>
  <c r="DA698" i="12"/>
  <c r="DB698" i="12"/>
  <c r="DF697" i="12" s="1"/>
  <c r="DC698" i="12"/>
  <c r="DD698" i="12"/>
  <c r="DE698" i="12"/>
  <c r="DE686" i="12"/>
  <c r="DA686" i="12"/>
  <c r="DC686" i="12"/>
  <c r="DB686" i="12"/>
  <c r="DF685" i="12" s="1"/>
  <c r="DD686" i="12"/>
  <c r="DA734" i="12"/>
  <c r="DD734" i="12"/>
  <c r="DE734" i="12"/>
  <c r="DB734" i="12"/>
  <c r="DC734" i="12"/>
  <c r="DC638" i="12"/>
  <c r="DE638" i="12"/>
  <c r="DA638" i="12"/>
  <c r="DB638" i="12"/>
  <c r="DF638" i="12" s="1"/>
  <c r="DD638" i="12"/>
  <c r="DA722" i="12"/>
  <c r="DE722" i="12"/>
  <c r="DD722" i="12"/>
  <c r="DC722" i="12"/>
  <c r="DB722" i="12"/>
  <c r="DD662" i="12"/>
  <c r="DC662" i="12"/>
  <c r="DE662" i="12"/>
  <c r="DA662" i="12"/>
  <c r="DB662" i="12"/>
  <c r="DA710" i="12"/>
  <c r="DB710" i="12"/>
  <c r="DF709" i="12" s="1"/>
  <c r="DE710" i="12"/>
  <c r="DC710" i="12"/>
  <c r="DD710" i="12"/>
  <c r="DD650" i="12"/>
  <c r="DC650" i="12"/>
  <c r="DB650" i="12"/>
  <c r="DF649" i="12" s="1"/>
  <c r="DA650" i="12"/>
  <c r="DE650" i="12"/>
  <c r="DF708" i="12"/>
  <c r="DF648" i="12"/>
  <c r="DF636" i="12"/>
  <c r="DD746" i="12"/>
  <c r="DC746" i="12"/>
  <c r="DB746" i="12"/>
  <c r="DA746" i="12"/>
  <c r="DE746" i="12"/>
  <c r="CY762" i="12"/>
  <c r="CY766" i="12"/>
  <c r="CY760" i="12"/>
  <c r="CY764" i="12"/>
  <c r="CY761" i="12"/>
  <c r="CY763" i="12"/>
  <c r="CY767" i="12"/>
  <c r="CY759" i="12"/>
  <c r="CY765" i="12"/>
  <c r="CY768" i="12"/>
  <c r="DB769" i="12"/>
  <c r="CY758" i="12"/>
  <c r="CZ711" i="12"/>
  <c r="CZ651" i="12"/>
  <c r="CZ663" i="12"/>
  <c r="CZ699" i="12"/>
  <c r="CZ723" i="12"/>
  <c r="CZ747" i="12"/>
  <c r="CZ687" i="12"/>
  <c r="CZ675" i="12"/>
  <c r="CZ735" i="12"/>
  <c r="CZ759" i="12"/>
  <c r="DF637" i="12" l="1"/>
  <c r="DD711" i="12"/>
  <c r="DA711" i="12"/>
  <c r="DC711" i="12"/>
  <c r="DE711" i="12"/>
  <c r="DB711" i="12"/>
  <c r="DF710" i="12" s="1"/>
  <c r="DE687" i="12"/>
  <c r="DB687" i="12"/>
  <c r="DF686" i="12" s="1"/>
  <c r="DD687" i="12"/>
  <c r="DA687" i="12"/>
  <c r="DC687" i="12"/>
  <c r="DA675" i="12"/>
  <c r="DE675" i="12"/>
  <c r="DD675" i="12"/>
  <c r="DB675" i="12"/>
  <c r="DF674" i="12" s="1"/>
  <c r="DC675" i="12"/>
  <c r="DC723" i="12"/>
  <c r="DB723" i="12"/>
  <c r="DF722" i="12" s="1"/>
  <c r="DA723" i="12"/>
  <c r="DE723" i="12"/>
  <c r="DD723" i="12"/>
  <c r="DE735" i="12"/>
  <c r="DD735" i="12"/>
  <c r="DA735" i="12"/>
  <c r="DB735" i="12"/>
  <c r="DC735" i="12"/>
  <c r="DC699" i="12"/>
  <c r="DE699" i="12"/>
  <c r="DA699" i="12"/>
  <c r="DB699" i="12"/>
  <c r="DF698" i="12" s="1"/>
  <c r="DD699" i="12"/>
  <c r="DE747" i="12"/>
  <c r="DB747" i="12"/>
  <c r="DD747" i="12"/>
  <c r="DA747" i="12"/>
  <c r="DC747" i="12"/>
  <c r="DD651" i="12"/>
  <c r="DE651" i="12"/>
  <c r="DA651" i="12"/>
  <c r="DC651" i="12"/>
  <c r="DB651" i="12"/>
  <c r="DF651" i="12" s="1"/>
  <c r="DD663" i="12"/>
  <c r="DE663" i="12"/>
  <c r="DA663" i="12"/>
  <c r="DC663" i="12"/>
  <c r="DB663" i="12"/>
  <c r="DF662" i="12" s="1"/>
  <c r="DF661" i="12"/>
  <c r="DF721" i="12"/>
  <c r="DB759" i="12"/>
  <c r="DD759" i="12"/>
  <c r="DA759" i="12"/>
  <c r="DE759" i="12"/>
  <c r="DC759" i="12"/>
  <c r="CY780" i="12"/>
  <c r="CY771" i="12"/>
  <c r="CY781" i="12"/>
  <c r="DB782" i="12"/>
  <c r="CY772" i="12"/>
  <c r="CY776" i="12"/>
  <c r="CY774" i="12"/>
  <c r="CY773" i="12"/>
  <c r="CY778" i="12"/>
  <c r="CY777" i="12"/>
  <c r="CY779" i="12"/>
  <c r="CY775" i="12"/>
  <c r="CZ736" i="12"/>
  <c r="CZ664" i="12"/>
  <c r="CZ700" i="12"/>
  <c r="CZ712" i="12"/>
  <c r="CZ760" i="12"/>
  <c r="CZ748" i="12"/>
  <c r="CZ676" i="12"/>
  <c r="CZ724" i="12"/>
  <c r="CZ688" i="12"/>
  <c r="CZ772" i="12"/>
  <c r="DE748" i="12" l="1"/>
  <c r="DC748" i="12"/>
  <c r="DB748" i="12"/>
  <c r="DF747" i="12" s="1"/>
  <c r="DD748" i="12"/>
  <c r="DA748" i="12"/>
  <c r="DE736" i="12"/>
  <c r="DA736" i="12"/>
  <c r="DC736" i="12"/>
  <c r="DD736" i="12"/>
  <c r="DB736" i="12"/>
  <c r="DF735" i="12" s="1"/>
  <c r="DC676" i="12"/>
  <c r="DD676" i="12"/>
  <c r="DE676" i="12"/>
  <c r="DA676" i="12"/>
  <c r="DB676" i="12"/>
  <c r="DF675" i="12" s="1"/>
  <c r="DD712" i="12"/>
  <c r="DC712" i="12"/>
  <c r="DA712" i="12"/>
  <c r="DE712" i="12"/>
  <c r="DB712" i="12"/>
  <c r="DF711" i="12" s="1"/>
  <c r="DC760" i="12"/>
  <c r="DA760" i="12"/>
  <c r="DD760" i="12"/>
  <c r="DE760" i="12"/>
  <c r="DB760" i="12"/>
  <c r="DA700" i="12"/>
  <c r="DD700" i="12"/>
  <c r="DC700" i="12"/>
  <c r="DE700" i="12"/>
  <c r="DB700" i="12"/>
  <c r="DF699" i="12" s="1"/>
  <c r="DE724" i="12"/>
  <c r="DA724" i="12"/>
  <c r="DB724" i="12"/>
  <c r="DC724" i="12"/>
  <c r="DD724" i="12"/>
  <c r="DD688" i="12"/>
  <c r="DA688" i="12"/>
  <c r="DE688" i="12"/>
  <c r="DB688" i="12"/>
  <c r="DF687" i="12" s="1"/>
  <c r="DC688" i="12"/>
  <c r="DA664" i="12"/>
  <c r="DE664" i="12"/>
  <c r="DC664" i="12"/>
  <c r="DB664" i="12"/>
  <c r="DF664" i="12" s="1"/>
  <c r="DD664" i="12"/>
  <c r="DF734" i="12"/>
  <c r="DF650" i="12"/>
  <c r="DE772" i="12"/>
  <c r="DB772" i="12"/>
  <c r="DD772" i="12"/>
  <c r="DC772" i="12"/>
  <c r="DA772" i="12"/>
  <c r="CY792" i="12"/>
  <c r="CY791" i="12"/>
  <c r="CY787" i="12"/>
  <c r="CY785" i="12"/>
  <c r="CY794" i="12"/>
  <c r="DB795" i="12"/>
  <c r="CY788" i="12"/>
  <c r="CY790" i="12"/>
  <c r="CY786" i="12"/>
  <c r="CY789" i="12"/>
  <c r="CY784" i="12"/>
  <c r="CY793" i="12"/>
  <c r="CZ737" i="12"/>
  <c r="CZ701" i="12"/>
  <c r="CZ785" i="12"/>
  <c r="CZ713" i="12"/>
  <c r="CZ677" i="12"/>
  <c r="CZ749" i="12"/>
  <c r="CZ773" i="12"/>
  <c r="CZ725" i="12"/>
  <c r="CZ689" i="12"/>
  <c r="CZ761" i="12"/>
  <c r="DA725" i="12" l="1"/>
  <c r="DE725" i="12"/>
  <c r="DB725" i="12"/>
  <c r="DF724" i="12" s="1"/>
  <c r="DD725" i="12"/>
  <c r="DC725" i="12"/>
  <c r="DE761" i="12"/>
  <c r="DA761" i="12"/>
  <c r="DB761" i="12"/>
  <c r="DD761" i="12"/>
  <c r="DC761" i="12"/>
  <c r="DC677" i="12"/>
  <c r="DE677" i="12"/>
  <c r="DD677" i="12"/>
  <c r="DA677" i="12"/>
  <c r="DB677" i="12"/>
  <c r="DF677" i="12" s="1"/>
  <c r="DD749" i="12"/>
  <c r="DC749" i="12"/>
  <c r="DB749" i="12"/>
  <c r="DF748" i="12" s="1"/>
  <c r="DA749" i="12"/>
  <c r="DE749" i="12"/>
  <c r="DC773" i="12"/>
  <c r="DB773" i="12"/>
  <c r="DD773" i="12"/>
  <c r="DA773" i="12"/>
  <c r="DE773" i="12"/>
  <c r="DA701" i="12"/>
  <c r="DE701" i="12"/>
  <c r="DD701" i="12"/>
  <c r="DC701" i="12"/>
  <c r="DB701" i="12"/>
  <c r="DF700" i="12" s="1"/>
  <c r="DC713" i="12"/>
  <c r="DE713" i="12"/>
  <c r="DB713" i="12"/>
  <c r="DD713" i="12"/>
  <c r="DA713" i="12"/>
  <c r="DD689" i="12"/>
  <c r="DE689" i="12"/>
  <c r="DB689" i="12"/>
  <c r="DF688" i="12" s="1"/>
  <c r="DC689" i="12"/>
  <c r="DA689" i="12"/>
  <c r="DA737" i="12"/>
  <c r="DD737" i="12"/>
  <c r="DC737" i="12"/>
  <c r="DB737" i="12"/>
  <c r="DF736" i="12" s="1"/>
  <c r="DE737" i="12"/>
  <c r="DF663" i="12"/>
  <c r="DF723" i="12"/>
  <c r="DE785" i="12"/>
  <c r="DB785" i="12"/>
  <c r="DA785" i="12"/>
  <c r="DC785" i="12"/>
  <c r="DD785" i="12"/>
  <c r="CY797" i="12"/>
  <c r="CY799" i="12"/>
  <c r="CY801" i="12"/>
  <c r="CY798" i="12"/>
  <c r="CY804" i="12"/>
  <c r="CY806" i="12"/>
  <c r="CY802" i="12"/>
  <c r="CY803" i="12"/>
  <c r="CY807" i="12"/>
  <c r="DB808" i="12"/>
  <c r="CY800" i="12"/>
  <c r="CY805" i="12"/>
  <c r="CZ702" i="12"/>
  <c r="CZ798" i="12"/>
  <c r="CZ786" i="12"/>
  <c r="CZ774" i="12"/>
  <c r="CZ714" i="12"/>
  <c r="CZ762" i="12"/>
  <c r="CZ726" i="12"/>
  <c r="CZ750" i="12"/>
  <c r="CZ738" i="12"/>
  <c r="CZ690" i="12"/>
  <c r="DF676" i="12" l="1"/>
  <c r="DC786" i="12"/>
  <c r="DE786" i="12"/>
  <c r="DA786" i="12"/>
  <c r="DB786" i="12"/>
  <c r="DD786" i="12"/>
  <c r="DD738" i="12"/>
  <c r="DC738" i="12"/>
  <c r="DB738" i="12"/>
  <c r="DF737" i="12" s="1"/>
  <c r="DA738" i="12"/>
  <c r="DE738" i="12"/>
  <c r="DB714" i="12"/>
  <c r="DD714" i="12"/>
  <c r="DC714" i="12"/>
  <c r="DA714" i="12"/>
  <c r="DE714" i="12"/>
  <c r="DD774" i="12"/>
  <c r="DA774" i="12"/>
  <c r="DB774" i="12"/>
  <c r="DF773" i="12" s="1"/>
  <c r="DE774" i="12"/>
  <c r="DC774" i="12"/>
  <c r="DA726" i="12"/>
  <c r="DB726" i="12"/>
  <c r="DE726" i="12"/>
  <c r="DC726" i="12"/>
  <c r="DD726" i="12"/>
  <c r="DA750" i="12"/>
  <c r="DB750" i="12"/>
  <c r="DF749" i="12" s="1"/>
  <c r="DD750" i="12"/>
  <c r="DC750" i="12"/>
  <c r="DE750" i="12"/>
  <c r="DA690" i="12"/>
  <c r="DB690" i="12"/>
  <c r="DF690" i="12" s="1"/>
  <c r="DD690" i="12"/>
  <c r="DC690" i="12"/>
  <c r="DE690" i="12"/>
  <c r="DE702" i="12"/>
  <c r="DD702" i="12"/>
  <c r="DC702" i="12"/>
  <c r="DB702" i="12"/>
  <c r="DF701" i="12" s="1"/>
  <c r="DA702" i="12"/>
  <c r="DC762" i="12"/>
  <c r="DA762" i="12"/>
  <c r="DE762" i="12"/>
  <c r="DD762" i="12"/>
  <c r="DB762" i="12"/>
  <c r="DF760" i="12"/>
  <c r="DF712" i="12"/>
  <c r="DD798" i="12"/>
  <c r="DE798" i="12"/>
  <c r="DA798" i="12"/>
  <c r="DB798" i="12"/>
  <c r="DC798" i="12"/>
  <c r="CY818" i="12"/>
  <c r="CY819" i="12"/>
  <c r="CY811" i="12"/>
  <c r="CY812" i="12"/>
  <c r="CY813" i="12"/>
  <c r="CY816" i="12"/>
  <c r="CY820" i="12"/>
  <c r="DB821" i="12"/>
  <c r="CY815" i="12"/>
  <c r="CY817" i="12"/>
  <c r="CY814" i="12"/>
  <c r="CY810" i="12"/>
  <c r="CZ775" i="12"/>
  <c r="CZ763" i="12"/>
  <c r="CZ703" i="12"/>
  <c r="CZ715" i="12"/>
  <c r="CZ799" i="12"/>
  <c r="CZ787" i="12"/>
  <c r="CZ739" i="12"/>
  <c r="CZ727" i="12"/>
  <c r="CZ751" i="12"/>
  <c r="CZ811" i="12"/>
  <c r="DF689" i="12" l="1"/>
  <c r="DC763" i="12"/>
  <c r="DD763" i="12"/>
  <c r="DE763" i="12"/>
  <c r="DB763" i="12"/>
  <c r="DF762" i="12" s="1"/>
  <c r="DA763" i="12"/>
  <c r="DE727" i="12"/>
  <c r="DB727" i="12"/>
  <c r="DF726" i="12" s="1"/>
  <c r="DA727" i="12"/>
  <c r="DC727" i="12"/>
  <c r="DD727" i="12"/>
  <c r="DB799" i="12"/>
  <c r="DE799" i="12"/>
  <c r="DD799" i="12"/>
  <c r="DA799" i="12"/>
  <c r="DC799" i="12"/>
  <c r="DE715" i="12"/>
  <c r="DA715" i="12"/>
  <c r="DC715" i="12"/>
  <c r="DD715" i="12"/>
  <c r="DB715" i="12"/>
  <c r="DA787" i="12"/>
  <c r="DE787" i="12"/>
  <c r="DB787" i="12"/>
  <c r="DC787" i="12"/>
  <c r="DD787" i="12"/>
  <c r="DA703" i="12"/>
  <c r="DE703" i="12"/>
  <c r="DC703" i="12"/>
  <c r="DD703" i="12"/>
  <c r="DB703" i="12"/>
  <c r="DF703" i="12" s="1"/>
  <c r="DB751" i="12"/>
  <c r="DF750" i="12" s="1"/>
  <c r="DE751" i="12"/>
  <c r="DC751" i="12"/>
  <c r="DA751" i="12"/>
  <c r="DD751" i="12"/>
  <c r="DC739" i="12"/>
  <c r="DD739" i="12"/>
  <c r="DA739" i="12"/>
  <c r="DE739" i="12"/>
  <c r="DB739" i="12"/>
  <c r="DF738" i="12" s="1"/>
  <c r="DB775" i="12"/>
  <c r="DC775" i="12"/>
  <c r="DE775" i="12"/>
  <c r="DD775" i="12"/>
  <c r="DA775" i="12"/>
  <c r="DF725" i="12"/>
  <c r="DF761" i="12"/>
  <c r="DF713" i="12"/>
  <c r="DA811" i="12"/>
  <c r="DC811" i="12"/>
  <c r="DE811" i="12"/>
  <c r="DB811" i="12"/>
  <c r="DD811" i="12"/>
  <c r="CY833" i="12"/>
  <c r="DB834" i="12"/>
  <c r="CY832" i="12"/>
  <c r="CY823" i="12"/>
  <c r="CY830" i="12"/>
  <c r="CY825" i="12"/>
  <c r="CY829" i="12"/>
  <c r="CY831" i="12"/>
  <c r="CY827" i="12"/>
  <c r="CY828" i="12"/>
  <c r="CY826" i="12"/>
  <c r="CY824" i="12"/>
  <c r="CZ728" i="12"/>
  <c r="CZ812" i="12"/>
  <c r="CZ800" i="12"/>
  <c r="CZ776" i="12"/>
  <c r="CZ752" i="12"/>
  <c r="CZ788" i="12"/>
  <c r="CZ716" i="12"/>
  <c r="CZ764" i="12"/>
  <c r="CZ740" i="12"/>
  <c r="CZ824" i="12"/>
  <c r="DF702" i="12" l="1"/>
  <c r="DA776" i="12"/>
  <c r="DC776" i="12"/>
  <c r="DD776" i="12"/>
  <c r="DB776" i="12"/>
  <c r="DF775" i="12" s="1"/>
  <c r="DE776" i="12"/>
  <c r="DB752" i="12"/>
  <c r="DF751" i="12" s="1"/>
  <c r="DA752" i="12"/>
  <c r="DE752" i="12"/>
  <c r="DD752" i="12"/>
  <c r="DC752" i="12"/>
  <c r="DB812" i="12"/>
  <c r="DA812" i="12"/>
  <c r="DC812" i="12"/>
  <c r="DE812" i="12"/>
  <c r="DD812" i="12"/>
  <c r="DA788" i="12"/>
  <c r="DB788" i="12"/>
  <c r="DF787" i="12" s="1"/>
  <c r="DD788" i="12"/>
  <c r="DE788" i="12"/>
  <c r="DC788" i="12"/>
  <c r="DB764" i="12"/>
  <c r="DF763" i="12" s="1"/>
  <c r="DC764" i="12"/>
  <c r="DE764" i="12"/>
  <c r="DA764" i="12"/>
  <c r="DD764" i="12"/>
  <c r="DC800" i="12"/>
  <c r="DE800" i="12"/>
  <c r="DB800" i="12"/>
  <c r="DA800" i="12"/>
  <c r="DD800" i="12"/>
  <c r="DC740" i="12"/>
  <c r="DD740" i="12"/>
  <c r="DB740" i="12"/>
  <c r="DF739" i="12" s="1"/>
  <c r="DA740" i="12"/>
  <c r="DE740" i="12"/>
  <c r="DB716" i="12"/>
  <c r="DF716" i="12" s="1"/>
  <c r="DD716" i="12"/>
  <c r="DC716" i="12"/>
  <c r="DA716" i="12"/>
  <c r="DE716" i="12"/>
  <c r="DA728" i="12"/>
  <c r="DE728" i="12"/>
  <c r="DC728" i="12"/>
  <c r="DB728" i="12"/>
  <c r="DD728" i="12"/>
  <c r="DF786" i="12"/>
  <c r="DF774" i="12"/>
  <c r="DF714" i="12"/>
  <c r="DE824" i="12"/>
  <c r="DB824" i="12"/>
  <c r="DC824" i="12"/>
  <c r="DD824" i="12"/>
  <c r="DA824" i="12"/>
  <c r="CY837" i="12"/>
  <c r="CY841" i="12"/>
  <c r="CY843" i="12"/>
  <c r="CY844" i="12"/>
  <c r="CY839" i="12"/>
  <c r="CY840" i="12"/>
  <c r="CY842" i="12"/>
  <c r="CY838" i="12"/>
  <c r="CY836" i="12"/>
  <c r="CY845" i="12"/>
  <c r="CY846" i="12"/>
  <c r="DB847" i="12"/>
  <c r="CZ801" i="12"/>
  <c r="CZ777" i="12"/>
  <c r="CZ825" i="12"/>
  <c r="CZ753" i="12"/>
  <c r="CZ729" i="12"/>
  <c r="CZ813" i="12"/>
  <c r="CZ741" i="12"/>
  <c r="CZ789" i="12"/>
  <c r="CZ765" i="12"/>
  <c r="CZ837" i="12"/>
  <c r="DF715" i="12" l="1"/>
  <c r="DE729" i="12"/>
  <c r="DA729" i="12"/>
  <c r="DD729" i="12"/>
  <c r="DC729" i="12"/>
  <c r="DB729" i="12"/>
  <c r="DF729" i="12" s="1"/>
  <c r="DB813" i="12"/>
  <c r="DC813" i="12"/>
  <c r="DA813" i="12"/>
  <c r="DD813" i="12"/>
  <c r="DE813" i="12"/>
  <c r="DB777" i="12"/>
  <c r="DF776" i="12" s="1"/>
  <c r="DE777" i="12"/>
  <c r="DC777" i="12"/>
  <c r="DA777" i="12"/>
  <c r="DD777" i="12"/>
  <c r="DE741" i="12"/>
  <c r="DA741" i="12"/>
  <c r="DC741" i="12"/>
  <c r="DB741" i="12"/>
  <c r="DF740" i="12" s="1"/>
  <c r="DD741" i="12"/>
  <c r="DC765" i="12"/>
  <c r="DD765" i="12"/>
  <c r="DA765" i="12"/>
  <c r="DE765" i="12"/>
  <c r="DB765" i="12"/>
  <c r="DF764" i="12" s="1"/>
  <c r="DE825" i="12"/>
  <c r="DC825" i="12"/>
  <c r="DD825" i="12"/>
  <c r="DA825" i="12"/>
  <c r="DB825" i="12"/>
  <c r="DC753" i="12"/>
  <c r="DA753" i="12"/>
  <c r="DB753" i="12"/>
  <c r="DF752" i="12" s="1"/>
  <c r="DE753" i="12"/>
  <c r="DD753" i="12"/>
  <c r="DD801" i="12"/>
  <c r="DE801" i="12"/>
  <c r="DB801" i="12"/>
  <c r="DF800" i="12" s="1"/>
  <c r="DC801" i="12"/>
  <c r="DA801" i="12"/>
  <c r="DD789" i="12"/>
  <c r="DA789" i="12"/>
  <c r="DB789" i="12"/>
  <c r="DF788" i="12" s="1"/>
  <c r="DC789" i="12"/>
  <c r="DE789" i="12"/>
  <c r="DF727" i="12"/>
  <c r="DF799" i="12"/>
  <c r="DB837" i="12"/>
  <c r="DA837" i="12"/>
  <c r="DC837" i="12"/>
  <c r="DD837" i="12"/>
  <c r="DE837" i="12"/>
  <c r="CY858" i="12"/>
  <c r="CY851" i="12"/>
  <c r="CY853" i="12"/>
  <c r="CY856" i="12"/>
  <c r="CY850" i="12"/>
  <c r="CY857" i="12"/>
  <c r="CY854" i="12"/>
  <c r="CY859" i="12"/>
  <c r="DB860" i="12"/>
  <c r="CY849" i="12"/>
  <c r="CY855" i="12"/>
  <c r="CY852" i="12"/>
  <c r="CZ754" i="12"/>
  <c r="CZ790" i="12"/>
  <c r="CZ802" i="12"/>
  <c r="CZ814" i="12"/>
  <c r="CZ838" i="12"/>
  <c r="CZ742" i="12"/>
  <c r="CZ778" i="12"/>
  <c r="CZ826" i="12"/>
  <c r="CZ766" i="12"/>
  <c r="CZ850" i="12"/>
  <c r="DF728" i="12" l="1"/>
  <c r="DA766" i="12"/>
  <c r="DE766" i="12"/>
  <c r="DB766" i="12"/>
  <c r="DF765" i="12" s="1"/>
  <c r="DD766" i="12"/>
  <c r="DC766" i="12"/>
  <c r="DA778" i="12"/>
  <c r="DE778" i="12"/>
  <c r="DC778" i="12"/>
  <c r="DB778" i="12"/>
  <c r="DF777" i="12" s="1"/>
  <c r="DD778" i="12"/>
  <c r="DC838" i="12"/>
  <c r="DA838" i="12"/>
  <c r="DE838" i="12"/>
  <c r="DB838" i="12"/>
  <c r="DD838" i="12"/>
  <c r="DE802" i="12"/>
  <c r="DD802" i="12"/>
  <c r="DA802" i="12"/>
  <c r="DC802" i="12"/>
  <c r="DB802" i="12"/>
  <c r="DF801" i="12" s="1"/>
  <c r="DE754" i="12"/>
  <c r="DD754" i="12"/>
  <c r="DC754" i="12"/>
  <c r="DA754" i="12"/>
  <c r="DB754" i="12"/>
  <c r="DF753" i="12" s="1"/>
  <c r="DB826" i="12"/>
  <c r="DC826" i="12"/>
  <c r="DA826" i="12"/>
  <c r="DE826" i="12"/>
  <c r="DD826" i="12"/>
  <c r="DB742" i="12"/>
  <c r="DF742" i="12" s="1"/>
  <c r="DD742" i="12"/>
  <c r="DC742" i="12"/>
  <c r="DA742" i="12"/>
  <c r="DE742" i="12"/>
  <c r="DD814" i="12"/>
  <c r="DC814" i="12"/>
  <c r="DB814" i="12"/>
  <c r="DF813" i="12" s="1"/>
  <c r="DE814" i="12"/>
  <c r="DA814" i="12"/>
  <c r="DB790" i="12"/>
  <c r="DA790" i="12"/>
  <c r="DD790" i="12"/>
  <c r="DC790" i="12"/>
  <c r="DE790" i="12"/>
  <c r="DF812" i="12"/>
  <c r="DA850" i="12"/>
  <c r="DE850" i="12"/>
  <c r="DC850" i="12"/>
  <c r="DB850" i="12"/>
  <c r="DD850" i="12"/>
  <c r="CY868" i="12"/>
  <c r="CY867" i="12"/>
  <c r="CY863" i="12"/>
  <c r="CY866" i="12"/>
  <c r="CY865" i="12"/>
  <c r="CY862" i="12"/>
  <c r="CY872" i="12"/>
  <c r="DB873" i="12"/>
  <c r="CY870" i="12"/>
  <c r="CY869" i="12"/>
  <c r="CY864" i="12"/>
  <c r="CY871" i="12"/>
  <c r="CZ767" i="12"/>
  <c r="CZ779" i="12"/>
  <c r="CZ863" i="12"/>
  <c r="CZ815" i="12"/>
  <c r="CZ851" i="12"/>
  <c r="CZ827" i="12"/>
  <c r="CZ791" i="12"/>
  <c r="CZ803" i="12"/>
  <c r="CZ839" i="12"/>
  <c r="CZ755" i="12"/>
  <c r="DF741" i="12" l="1"/>
  <c r="DD791" i="12"/>
  <c r="DC791" i="12"/>
  <c r="DE791" i="12"/>
  <c r="DB791" i="12"/>
  <c r="DF790" i="12" s="1"/>
  <c r="DA791" i="12"/>
  <c r="DC827" i="12"/>
  <c r="DD827" i="12"/>
  <c r="DA827" i="12"/>
  <c r="DE827" i="12"/>
  <c r="DB827" i="12"/>
  <c r="DF826" i="12" s="1"/>
  <c r="DC839" i="12"/>
  <c r="DD839" i="12"/>
  <c r="DA839" i="12"/>
  <c r="DB839" i="12"/>
  <c r="DE839" i="12"/>
  <c r="DD755" i="12"/>
  <c r="DB755" i="12"/>
  <c r="DF755" i="12" s="1"/>
  <c r="DC755" i="12"/>
  <c r="DA755" i="12"/>
  <c r="DE755" i="12"/>
  <c r="DE815" i="12"/>
  <c r="DA815" i="12"/>
  <c r="DB815" i="12"/>
  <c r="DF814" i="12" s="1"/>
  <c r="DD815" i="12"/>
  <c r="DC815" i="12"/>
  <c r="DE851" i="12"/>
  <c r="DB851" i="12"/>
  <c r="DA851" i="12"/>
  <c r="DC851" i="12"/>
  <c r="DD851" i="12"/>
  <c r="DA779" i="12"/>
  <c r="DC779" i="12"/>
  <c r="DB779" i="12"/>
  <c r="DF778" i="12" s="1"/>
  <c r="DE779" i="12"/>
  <c r="DD779" i="12"/>
  <c r="DB767" i="12"/>
  <c r="DC767" i="12"/>
  <c r="DA767" i="12"/>
  <c r="DE767" i="12"/>
  <c r="DD767" i="12"/>
  <c r="DC803" i="12"/>
  <c r="DA803" i="12"/>
  <c r="DE803" i="12"/>
  <c r="DD803" i="12"/>
  <c r="DB803" i="12"/>
  <c r="DF802" i="12" s="1"/>
  <c r="DF825" i="12"/>
  <c r="DF789" i="12"/>
  <c r="DC863" i="12"/>
  <c r="DB863" i="12"/>
  <c r="DE863" i="12"/>
  <c r="DA863" i="12"/>
  <c r="DD863" i="12"/>
  <c r="CY879" i="12"/>
  <c r="CY880" i="12"/>
  <c r="CY882" i="12"/>
  <c r="CY875" i="12"/>
  <c r="CY876" i="12"/>
  <c r="CY881" i="12"/>
  <c r="CY884" i="12"/>
  <c r="CY877" i="12"/>
  <c r="CY883" i="12"/>
  <c r="CY885" i="12"/>
  <c r="DB886" i="12"/>
  <c r="CY878" i="12"/>
  <c r="CZ780" i="12"/>
  <c r="CZ828" i="12"/>
  <c r="CZ864" i="12"/>
  <c r="CZ792" i="12"/>
  <c r="CZ840" i="12"/>
  <c r="CZ816" i="12"/>
  <c r="CZ768" i="12"/>
  <c r="CZ804" i="12"/>
  <c r="CZ852" i="12"/>
  <c r="CZ876" i="12"/>
  <c r="DF754" i="12" l="1"/>
  <c r="DA804" i="12"/>
  <c r="DC804" i="12"/>
  <c r="DD804" i="12"/>
  <c r="DE804" i="12"/>
  <c r="DB804" i="12"/>
  <c r="DF803" i="12" s="1"/>
  <c r="DE816" i="12"/>
  <c r="DA816" i="12"/>
  <c r="DB816" i="12"/>
  <c r="DF815" i="12" s="1"/>
  <c r="DC816" i="12"/>
  <c r="DD816" i="12"/>
  <c r="DB864" i="12"/>
  <c r="DA864" i="12"/>
  <c r="DE864" i="12"/>
  <c r="DD864" i="12"/>
  <c r="DC864" i="12"/>
  <c r="DE768" i="12"/>
  <c r="DB768" i="12"/>
  <c r="DF768" i="12" s="1"/>
  <c r="DD768" i="12"/>
  <c r="DA768" i="12"/>
  <c r="DC768" i="12"/>
  <c r="DE840" i="12"/>
  <c r="DC840" i="12"/>
  <c r="DD840" i="12"/>
  <c r="DA840" i="12"/>
  <c r="DB840" i="12"/>
  <c r="DF839" i="12" s="1"/>
  <c r="DC792" i="12"/>
  <c r="DD792" i="12"/>
  <c r="DB792" i="12"/>
  <c r="DF791" i="12" s="1"/>
  <c r="DA792" i="12"/>
  <c r="DE792" i="12"/>
  <c r="DA852" i="12"/>
  <c r="DB852" i="12"/>
  <c r="DC852" i="12"/>
  <c r="DE852" i="12"/>
  <c r="DD852" i="12"/>
  <c r="DD780" i="12"/>
  <c r="DB780" i="12"/>
  <c r="DF779" i="12" s="1"/>
  <c r="DC780" i="12"/>
  <c r="DE780" i="12"/>
  <c r="DA780" i="12"/>
  <c r="DC828" i="12"/>
  <c r="DA828" i="12"/>
  <c r="DB828" i="12"/>
  <c r="DF827" i="12" s="1"/>
  <c r="DE828" i="12"/>
  <c r="DD828" i="12"/>
  <c r="DF838" i="12"/>
  <c r="DF766" i="12"/>
  <c r="DE876" i="12"/>
  <c r="DB876" i="12"/>
  <c r="DD876" i="12"/>
  <c r="DC876" i="12"/>
  <c r="DA876" i="12"/>
  <c r="CY891" i="12"/>
  <c r="CY889" i="12"/>
  <c r="CY895" i="12"/>
  <c r="CY893" i="12"/>
  <c r="CY894" i="12"/>
  <c r="CY888" i="12"/>
  <c r="CY892" i="12"/>
  <c r="CY898" i="12"/>
  <c r="DB899" i="12"/>
  <c r="CY890" i="12"/>
  <c r="CY896" i="12"/>
  <c r="CY897" i="12"/>
  <c r="CZ817" i="12"/>
  <c r="CZ829" i="12"/>
  <c r="CZ805" i="12"/>
  <c r="CZ781" i="12"/>
  <c r="CZ793" i="12"/>
  <c r="CZ877" i="12"/>
  <c r="CZ853" i="12"/>
  <c r="CZ841" i="12"/>
  <c r="CZ865" i="12"/>
  <c r="CZ889" i="12"/>
  <c r="DF767" i="12" l="1"/>
  <c r="DA865" i="12"/>
  <c r="DC865" i="12"/>
  <c r="DD865" i="12"/>
  <c r="DE865" i="12"/>
  <c r="DB865" i="12"/>
  <c r="DB805" i="12"/>
  <c r="DF804" i="12" s="1"/>
  <c r="DA805" i="12"/>
  <c r="DE805" i="12"/>
  <c r="DC805" i="12"/>
  <c r="DD805" i="12"/>
  <c r="DC781" i="12"/>
  <c r="DA781" i="12"/>
  <c r="DE781" i="12"/>
  <c r="DD781" i="12"/>
  <c r="DB781" i="12"/>
  <c r="DF781" i="12" s="1"/>
  <c r="DD793" i="12"/>
  <c r="DE793" i="12"/>
  <c r="DC793" i="12"/>
  <c r="DA793" i="12"/>
  <c r="DB793" i="12"/>
  <c r="DF792" i="12" s="1"/>
  <c r="DD877" i="12"/>
  <c r="DE877" i="12"/>
  <c r="DB877" i="12"/>
  <c r="DA877" i="12"/>
  <c r="DC877" i="12"/>
  <c r="DC829" i="12"/>
  <c r="DA829" i="12"/>
  <c r="DB829" i="12"/>
  <c r="DF828" i="12" s="1"/>
  <c r="DE829" i="12"/>
  <c r="DD829" i="12"/>
  <c r="DE853" i="12"/>
  <c r="DD853" i="12"/>
  <c r="DB853" i="12"/>
  <c r="DF852" i="12" s="1"/>
  <c r="DC853" i="12"/>
  <c r="DA853" i="12"/>
  <c r="DD841" i="12"/>
  <c r="DB841" i="12"/>
  <c r="DF840" i="12" s="1"/>
  <c r="DA841" i="12"/>
  <c r="DC841" i="12"/>
  <c r="DE841" i="12"/>
  <c r="DA817" i="12"/>
  <c r="DD817" i="12"/>
  <c r="DC817" i="12"/>
  <c r="DB817" i="12"/>
  <c r="DF816" i="12" s="1"/>
  <c r="DE817" i="12"/>
  <c r="DF851" i="12"/>
  <c r="DC889" i="12"/>
  <c r="DD889" i="12"/>
  <c r="DA889" i="12"/>
  <c r="DB889" i="12"/>
  <c r="DE889" i="12"/>
  <c r="CY901" i="12"/>
  <c r="CY906" i="12"/>
  <c r="CY902" i="12"/>
  <c r="CY910" i="12"/>
  <c r="CY909" i="12"/>
  <c r="CY903" i="12"/>
  <c r="CY905" i="12"/>
  <c r="CY907" i="12"/>
  <c r="CY908" i="12"/>
  <c r="CY904" i="12"/>
  <c r="CY911" i="12"/>
  <c r="DB912" i="12"/>
  <c r="CZ830" i="12"/>
  <c r="CZ878" i="12"/>
  <c r="CZ854" i="12"/>
  <c r="CZ842" i="12"/>
  <c r="CZ806" i="12"/>
  <c r="CZ818" i="12"/>
  <c r="CZ866" i="12"/>
  <c r="CZ890" i="12"/>
  <c r="CZ794" i="12"/>
  <c r="CZ902" i="12"/>
  <c r="DE866" i="12" l="1"/>
  <c r="DD866" i="12"/>
  <c r="DA866" i="12"/>
  <c r="DB866" i="12"/>
  <c r="DC866" i="12"/>
  <c r="DB842" i="12"/>
  <c r="DF841" i="12" s="1"/>
  <c r="DA842" i="12"/>
  <c r="DE842" i="12"/>
  <c r="DD842" i="12"/>
  <c r="DC842" i="12"/>
  <c r="DE830" i="12"/>
  <c r="DA830" i="12"/>
  <c r="DD830" i="12"/>
  <c r="DC830" i="12"/>
  <c r="DB830" i="12"/>
  <c r="DF829" i="12" s="1"/>
  <c r="DB878" i="12"/>
  <c r="DC878" i="12"/>
  <c r="DD878" i="12"/>
  <c r="DE878" i="12"/>
  <c r="DA878" i="12"/>
  <c r="DD806" i="12"/>
  <c r="DE806" i="12"/>
  <c r="DA806" i="12"/>
  <c r="DB806" i="12"/>
  <c r="DC806" i="12"/>
  <c r="DB890" i="12"/>
  <c r="DE890" i="12"/>
  <c r="DD890" i="12"/>
  <c r="DC890" i="12"/>
  <c r="DA890" i="12"/>
  <c r="DA818" i="12"/>
  <c r="DC818" i="12"/>
  <c r="DE818" i="12"/>
  <c r="DB818" i="12"/>
  <c r="DF817" i="12" s="1"/>
  <c r="DD818" i="12"/>
  <c r="DB854" i="12"/>
  <c r="DF853" i="12" s="1"/>
  <c r="DD854" i="12"/>
  <c r="DE854" i="12"/>
  <c r="DA854" i="12"/>
  <c r="DC854" i="12"/>
  <c r="DB794" i="12"/>
  <c r="DF794" i="12" s="1"/>
  <c r="DA794" i="12"/>
  <c r="DC794" i="12"/>
  <c r="DE794" i="12"/>
  <c r="DD794" i="12"/>
  <c r="DF864" i="12"/>
  <c r="DF780" i="12"/>
  <c r="DB902" i="12"/>
  <c r="DD902" i="12"/>
  <c r="DC902" i="12"/>
  <c r="DA902" i="12"/>
  <c r="DE902" i="12"/>
  <c r="CY916" i="12"/>
  <c r="CY923" i="12"/>
  <c r="CY919" i="12"/>
  <c r="CY924" i="12"/>
  <c r="DB925" i="12"/>
  <c r="CY921" i="12"/>
  <c r="CY918" i="12"/>
  <c r="CY917" i="12"/>
  <c r="CY920" i="12"/>
  <c r="CY922" i="12"/>
  <c r="CY915" i="12"/>
  <c r="CY914" i="12"/>
  <c r="CZ879" i="12"/>
  <c r="CZ831" i="12"/>
  <c r="CZ807" i="12"/>
  <c r="CZ819" i="12"/>
  <c r="CZ867" i="12"/>
  <c r="CZ891" i="12"/>
  <c r="CZ903" i="12"/>
  <c r="CZ855" i="12"/>
  <c r="CZ843" i="12"/>
  <c r="CZ915" i="12"/>
  <c r="DB855" i="12" l="1"/>
  <c r="DF854" i="12" s="1"/>
  <c r="DC855" i="12"/>
  <c r="DD855" i="12"/>
  <c r="DE855" i="12"/>
  <c r="DA855" i="12"/>
  <c r="DD831" i="12"/>
  <c r="DA831" i="12"/>
  <c r="DB831" i="12"/>
  <c r="DF830" i="12" s="1"/>
  <c r="DC831" i="12"/>
  <c r="DE831" i="12"/>
  <c r="DC867" i="12"/>
  <c r="DD867" i="12"/>
  <c r="DE867" i="12"/>
  <c r="DA867" i="12"/>
  <c r="DB867" i="12"/>
  <c r="DF866" i="12" s="1"/>
  <c r="DA903" i="12"/>
  <c r="DE903" i="12"/>
  <c r="DD903" i="12"/>
  <c r="DB903" i="12"/>
  <c r="DC903" i="12"/>
  <c r="DC819" i="12"/>
  <c r="DA819" i="12"/>
  <c r="DB819" i="12"/>
  <c r="DF818" i="12" s="1"/>
  <c r="DE819" i="12"/>
  <c r="DD819" i="12"/>
  <c r="DA891" i="12"/>
  <c r="DE891" i="12"/>
  <c r="DD891" i="12"/>
  <c r="DB891" i="12"/>
  <c r="DF890" i="12" s="1"/>
  <c r="DC891" i="12"/>
  <c r="DC807" i="12"/>
  <c r="DB807" i="12"/>
  <c r="DF807" i="12" s="1"/>
  <c r="DA807" i="12"/>
  <c r="DD807" i="12"/>
  <c r="DE807" i="12"/>
  <c r="DC879" i="12"/>
  <c r="DB879" i="12"/>
  <c r="DE879" i="12"/>
  <c r="DD879" i="12"/>
  <c r="DA879" i="12"/>
  <c r="DB843" i="12"/>
  <c r="DF842" i="12" s="1"/>
  <c r="DA843" i="12"/>
  <c r="DC843" i="12"/>
  <c r="DD843" i="12"/>
  <c r="DE843" i="12"/>
  <c r="DF793" i="12"/>
  <c r="DF805" i="12"/>
  <c r="DF865" i="12"/>
  <c r="DA915" i="12"/>
  <c r="DC915" i="12"/>
  <c r="DE915" i="12"/>
  <c r="DB915" i="12"/>
  <c r="DD915" i="12"/>
  <c r="CY933" i="12"/>
  <c r="CY932" i="12"/>
  <c r="CY927" i="12"/>
  <c r="CY930" i="12"/>
  <c r="CY936" i="12"/>
  <c r="CY928" i="12"/>
  <c r="CY931" i="12"/>
  <c r="CY929" i="12"/>
  <c r="CY935" i="12"/>
  <c r="CY934" i="12"/>
  <c r="CY937" i="12"/>
  <c r="DB938" i="12"/>
  <c r="CZ916" i="12"/>
  <c r="CZ880" i="12"/>
  <c r="CZ904" i="12"/>
  <c r="CZ844" i="12"/>
  <c r="CZ820" i="12"/>
  <c r="CZ832" i="12"/>
  <c r="CZ928" i="12"/>
  <c r="CZ892" i="12"/>
  <c r="CZ856" i="12"/>
  <c r="CZ868" i="12"/>
  <c r="DF806" i="12" l="1"/>
  <c r="DC844" i="12"/>
  <c r="DA844" i="12"/>
  <c r="DD844" i="12"/>
  <c r="DE844" i="12"/>
  <c r="DB844" i="12"/>
  <c r="DF843" i="12" s="1"/>
  <c r="DA892" i="12"/>
  <c r="DB892" i="12"/>
  <c r="DF891" i="12" s="1"/>
  <c r="DD892" i="12"/>
  <c r="DC892" i="12"/>
  <c r="DE892" i="12"/>
  <c r="DA820" i="12"/>
  <c r="DC820" i="12"/>
  <c r="DD820" i="12"/>
  <c r="DB820" i="12"/>
  <c r="DF820" i="12" s="1"/>
  <c r="DE820" i="12"/>
  <c r="DD904" i="12"/>
  <c r="DA904" i="12"/>
  <c r="DC904" i="12"/>
  <c r="DB904" i="12"/>
  <c r="DF903" i="12" s="1"/>
  <c r="DE904" i="12"/>
  <c r="DD868" i="12"/>
  <c r="DE868" i="12"/>
  <c r="DA868" i="12"/>
  <c r="DB868" i="12"/>
  <c r="DF867" i="12" s="1"/>
  <c r="DC868" i="12"/>
  <c r="DB856" i="12"/>
  <c r="DF855" i="12" s="1"/>
  <c r="DC856" i="12"/>
  <c r="DA856" i="12"/>
  <c r="DE856" i="12"/>
  <c r="DD856" i="12"/>
  <c r="DA916" i="12"/>
  <c r="DE916" i="12"/>
  <c r="DD916" i="12"/>
  <c r="DC916" i="12"/>
  <c r="DB916" i="12"/>
  <c r="DB880" i="12"/>
  <c r="DD880" i="12"/>
  <c r="DC880" i="12"/>
  <c r="DA880" i="12"/>
  <c r="DE880" i="12"/>
  <c r="DA832" i="12"/>
  <c r="DE832" i="12"/>
  <c r="DB832" i="12"/>
  <c r="DF831" i="12" s="1"/>
  <c r="DC832" i="12"/>
  <c r="DD832" i="12"/>
  <c r="DA928" i="12"/>
  <c r="DD928" i="12"/>
  <c r="DC928" i="12"/>
  <c r="DB928" i="12"/>
  <c r="DE928" i="12"/>
  <c r="CY947" i="12"/>
  <c r="CY941" i="12"/>
  <c r="CY940" i="12"/>
  <c r="CY948" i="12"/>
  <c r="CY942" i="12"/>
  <c r="CY949" i="12"/>
  <c r="CY945" i="12"/>
  <c r="CY944" i="12"/>
  <c r="CY943" i="12"/>
  <c r="CY946" i="12"/>
  <c r="CY950" i="12"/>
  <c r="DB951" i="12"/>
  <c r="CZ929" i="12"/>
  <c r="CZ941" i="12"/>
  <c r="CZ833" i="12"/>
  <c r="CZ881" i="12"/>
  <c r="CZ869" i="12"/>
  <c r="CZ905" i="12"/>
  <c r="CZ917" i="12"/>
  <c r="CZ857" i="12"/>
  <c r="CZ893" i="12"/>
  <c r="CZ845" i="12"/>
  <c r="DF819" i="12" l="1"/>
  <c r="DE833" i="12"/>
  <c r="DD833" i="12"/>
  <c r="DC833" i="12"/>
  <c r="DA833" i="12"/>
  <c r="DB833" i="12"/>
  <c r="DF833" i="12" s="1"/>
  <c r="DA917" i="12"/>
  <c r="DC917" i="12"/>
  <c r="DD917" i="12"/>
  <c r="DB917" i="12"/>
  <c r="DF916" i="12" s="1"/>
  <c r="DE917" i="12"/>
  <c r="DD857" i="12"/>
  <c r="DE857" i="12"/>
  <c r="DA857" i="12"/>
  <c r="DB857" i="12"/>
  <c r="DF856" i="12" s="1"/>
  <c r="DC857" i="12"/>
  <c r="DB869" i="12"/>
  <c r="DF868" i="12" s="1"/>
  <c r="DA869" i="12"/>
  <c r="DE869" i="12"/>
  <c r="DD869" i="12"/>
  <c r="DC869" i="12"/>
  <c r="DA905" i="12"/>
  <c r="DE905" i="12"/>
  <c r="DC905" i="12"/>
  <c r="DD905" i="12"/>
  <c r="DB905" i="12"/>
  <c r="DF904" i="12" s="1"/>
  <c r="DA845" i="12"/>
  <c r="DD845" i="12"/>
  <c r="DB845" i="12"/>
  <c r="DF844" i="12" s="1"/>
  <c r="DE845" i="12"/>
  <c r="DC845" i="12"/>
  <c r="DC881" i="12"/>
  <c r="DA881" i="12"/>
  <c r="DB881" i="12"/>
  <c r="DE881" i="12"/>
  <c r="DD881" i="12"/>
  <c r="DB893" i="12"/>
  <c r="DF892" i="12" s="1"/>
  <c r="DE893" i="12"/>
  <c r="DD893" i="12"/>
  <c r="DC893" i="12"/>
  <c r="DA893" i="12"/>
  <c r="DE929" i="12"/>
  <c r="DD929" i="12"/>
  <c r="DA929" i="12"/>
  <c r="DC929" i="12"/>
  <c r="DB929" i="12"/>
  <c r="DA941" i="12"/>
  <c r="DC941" i="12"/>
  <c r="DB941" i="12"/>
  <c r="DE941" i="12"/>
  <c r="DD941" i="12"/>
  <c r="CY957" i="12"/>
  <c r="CY958" i="12"/>
  <c r="CY962" i="12"/>
  <c r="CY954" i="12"/>
  <c r="CY963" i="12"/>
  <c r="DB964" i="12"/>
  <c r="CY959" i="12"/>
  <c r="CY955" i="12"/>
  <c r="CY960" i="12"/>
  <c r="CY956" i="12"/>
  <c r="CY961" i="12"/>
  <c r="CY953" i="12"/>
  <c r="CZ930" i="12"/>
  <c r="CZ942" i="12"/>
  <c r="CZ858" i="12"/>
  <c r="CZ918" i="12"/>
  <c r="CZ894" i="12"/>
  <c r="CZ906" i="12"/>
  <c r="CZ882" i="12"/>
  <c r="CZ870" i="12"/>
  <c r="CZ846" i="12"/>
  <c r="CZ954" i="12"/>
  <c r="DF832" i="12" l="1"/>
  <c r="DA942" i="12"/>
  <c r="DC942" i="12"/>
  <c r="DE942" i="12"/>
  <c r="DD942" i="12"/>
  <c r="DB942" i="12"/>
  <c r="DA894" i="12"/>
  <c r="DE894" i="12"/>
  <c r="DB894" i="12"/>
  <c r="DF893" i="12" s="1"/>
  <c r="DD894" i="12"/>
  <c r="DC894" i="12"/>
  <c r="DA846" i="12"/>
  <c r="DD846" i="12"/>
  <c r="DC846" i="12"/>
  <c r="DB846" i="12"/>
  <c r="DF846" i="12" s="1"/>
  <c r="DE846" i="12"/>
  <c r="DA918" i="12"/>
  <c r="DB918" i="12"/>
  <c r="DF917" i="12" s="1"/>
  <c r="DD918" i="12"/>
  <c r="DC918" i="12"/>
  <c r="DE918" i="12"/>
  <c r="DC930" i="12"/>
  <c r="DD930" i="12"/>
  <c r="DE930" i="12"/>
  <c r="DA930" i="12"/>
  <c r="DB930" i="12"/>
  <c r="DE882" i="12"/>
  <c r="DA882" i="12"/>
  <c r="DC882" i="12"/>
  <c r="DB882" i="12"/>
  <c r="DD882" i="12"/>
  <c r="DA906" i="12"/>
  <c r="DB906" i="12"/>
  <c r="DF905" i="12" s="1"/>
  <c r="DD906" i="12"/>
  <c r="DE906" i="12"/>
  <c r="DC906" i="12"/>
  <c r="DC870" i="12"/>
  <c r="DB870" i="12"/>
  <c r="DF869" i="12" s="1"/>
  <c r="DE870" i="12"/>
  <c r="DD870" i="12"/>
  <c r="DA870" i="12"/>
  <c r="DC858" i="12"/>
  <c r="DB858" i="12"/>
  <c r="DA858" i="12"/>
  <c r="DE858" i="12"/>
  <c r="DD858" i="12"/>
  <c r="DB954" i="12"/>
  <c r="DC954" i="12"/>
  <c r="DE954" i="12"/>
  <c r="DD954" i="12"/>
  <c r="DA954" i="12"/>
  <c r="CY966" i="12"/>
  <c r="CY969" i="12"/>
  <c r="CY973" i="12"/>
  <c r="CY967" i="12"/>
  <c r="CY968" i="12"/>
  <c r="CY975" i="12"/>
  <c r="CY971" i="12"/>
  <c r="CY972" i="12"/>
  <c r="CY976" i="12"/>
  <c r="DB977" i="12"/>
  <c r="CY970" i="12"/>
  <c r="CY974" i="12"/>
  <c r="CZ907" i="12"/>
  <c r="CZ871" i="12"/>
  <c r="CZ919" i="12"/>
  <c r="CZ955" i="12"/>
  <c r="CZ931" i="12"/>
  <c r="CZ859" i="12"/>
  <c r="CZ943" i="12"/>
  <c r="CZ883" i="12"/>
  <c r="CZ895" i="12"/>
  <c r="CZ967" i="12"/>
  <c r="DF845" i="12" l="1"/>
  <c r="DC943" i="12"/>
  <c r="DB943" i="12"/>
  <c r="DE943" i="12"/>
  <c r="DD943" i="12"/>
  <c r="DA943" i="12"/>
  <c r="DA871" i="12"/>
  <c r="DB871" i="12"/>
  <c r="DF870" i="12" s="1"/>
  <c r="DE871" i="12"/>
  <c r="DD871" i="12"/>
  <c r="DC871" i="12"/>
  <c r="DB883" i="12"/>
  <c r="DA883" i="12"/>
  <c r="DD883" i="12"/>
  <c r="DC883" i="12"/>
  <c r="DE883" i="12"/>
  <c r="DB919" i="12"/>
  <c r="DF918" i="12" s="1"/>
  <c r="DA919" i="12"/>
  <c r="DD919" i="12"/>
  <c r="DC919" i="12"/>
  <c r="DE919" i="12"/>
  <c r="DB955" i="12"/>
  <c r="DE955" i="12"/>
  <c r="DC955" i="12"/>
  <c r="DD955" i="12"/>
  <c r="DA955" i="12"/>
  <c r="DC895" i="12"/>
  <c r="DE895" i="12"/>
  <c r="DD895" i="12"/>
  <c r="DA895" i="12"/>
  <c r="DB895" i="12"/>
  <c r="DF894" i="12" s="1"/>
  <c r="DC859" i="12"/>
  <c r="DE859" i="12"/>
  <c r="DB859" i="12"/>
  <c r="DF859" i="12" s="1"/>
  <c r="DA859" i="12"/>
  <c r="DD859" i="12"/>
  <c r="DD907" i="12"/>
  <c r="DE907" i="12"/>
  <c r="DB907" i="12"/>
  <c r="DF906" i="12" s="1"/>
  <c r="DA907" i="12"/>
  <c r="DC907" i="12"/>
  <c r="DA931" i="12"/>
  <c r="DC931" i="12"/>
  <c r="DE931" i="12"/>
  <c r="DD931" i="12"/>
  <c r="DB931" i="12"/>
  <c r="DF930" i="12" s="1"/>
  <c r="DF929" i="12"/>
  <c r="DF857" i="12"/>
  <c r="DC967" i="12"/>
  <c r="DB967" i="12"/>
  <c r="DD967" i="12"/>
  <c r="DE967" i="12"/>
  <c r="DA967" i="12"/>
  <c r="CY985" i="12"/>
  <c r="CY984" i="12"/>
  <c r="CY982" i="12"/>
  <c r="CY988" i="12"/>
  <c r="CY981" i="12"/>
  <c r="CY980" i="12"/>
  <c r="CY979" i="12"/>
  <c r="CY987" i="12"/>
  <c r="CY983" i="12"/>
  <c r="CY989" i="12"/>
  <c r="DB990" i="12"/>
  <c r="CY986" i="12"/>
  <c r="CZ932" i="12"/>
  <c r="CZ884" i="12"/>
  <c r="CZ956" i="12"/>
  <c r="CZ920" i="12"/>
  <c r="CZ944" i="12"/>
  <c r="CZ896" i="12"/>
  <c r="CZ968" i="12"/>
  <c r="CZ872" i="12"/>
  <c r="CZ908" i="12"/>
  <c r="CZ980" i="12"/>
  <c r="DF858" i="12" l="1"/>
  <c r="DC932" i="12"/>
  <c r="DD932" i="12"/>
  <c r="DB932" i="12"/>
  <c r="DF931" i="12" s="1"/>
  <c r="DE932" i="12"/>
  <c r="DA932" i="12"/>
  <c r="DD968" i="12"/>
  <c r="DE968" i="12"/>
  <c r="DA968" i="12"/>
  <c r="DB968" i="12"/>
  <c r="DC968" i="12"/>
  <c r="DA920" i="12"/>
  <c r="DB920" i="12"/>
  <c r="DF919" i="12" s="1"/>
  <c r="DE920" i="12"/>
  <c r="DC920" i="12"/>
  <c r="DD920" i="12"/>
  <c r="DC884" i="12"/>
  <c r="DB884" i="12"/>
  <c r="DE884" i="12"/>
  <c r="DA884" i="12"/>
  <c r="DD884" i="12"/>
  <c r="DA956" i="12"/>
  <c r="DB956" i="12"/>
  <c r="DD956" i="12"/>
  <c r="DC956" i="12"/>
  <c r="DE956" i="12"/>
  <c r="DB908" i="12"/>
  <c r="DF907" i="12" s="1"/>
  <c r="DA908" i="12"/>
  <c r="DE908" i="12"/>
  <c r="DD908" i="12"/>
  <c r="DC908" i="12"/>
  <c r="DD896" i="12"/>
  <c r="DA896" i="12"/>
  <c r="DC896" i="12"/>
  <c r="DE896" i="12"/>
  <c r="DB896" i="12"/>
  <c r="DF895" i="12" s="1"/>
  <c r="DA872" i="12"/>
  <c r="DB872" i="12"/>
  <c r="DF872" i="12" s="1"/>
  <c r="DE872" i="12"/>
  <c r="DD872" i="12"/>
  <c r="DC872" i="12"/>
  <c r="DC944" i="12"/>
  <c r="DE944" i="12"/>
  <c r="DB944" i="12"/>
  <c r="DF943" i="12" s="1"/>
  <c r="DA944" i="12"/>
  <c r="DD944" i="12"/>
  <c r="DF942" i="12"/>
  <c r="DA980" i="12"/>
  <c r="DB980" i="12"/>
  <c r="DC980" i="12"/>
  <c r="DD980" i="12"/>
  <c r="DE980" i="12"/>
  <c r="CY999" i="12"/>
  <c r="CY1002" i="12"/>
  <c r="DB1003" i="12"/>
  <c r="CY992" i="12"/>
  <c r="CY1000" i="12"/>
  <c r="CY993" i="12"/>
  <c r="CY995" i="12"/>
  <c r="CY1001" i="12"/>
  <c r="CY996" i="12"/>
  <c r="CY994" i="12"/>
  <c r="CY997" i="12"/>
  <c r="CY998" i="12"/>
  <c r="CZ897" i="12"/>
  <c r="CZ921" i="12"/>
  <c r="CZ909" i="12"/>
  <c r="CZ981" i="12"/>
  <c r="CZ957" i="12"/>
  <c r="CZ933" i="12"/>
  <c r="CZ969" i="12"/>
  <c r="CZ885" i="12"/>
  <c r="CZ945" i="12"/>
  <c r="CZ993" i="12"/>
  <c r="DB945" i="12" l="1"/>
  <c r="DF944" i="12" s="1"/>
  <c r="DA945" i="12"/>
  <c r="DC945" i="12"/>
  <c r="DD945" i="12"/>
  <c r="DE945" i="12"/>
  <c r="DE981" i="12"/>
  <c r="DB981" i="12"/>
  <c r="DC981" i="12"/>
  <c r="DA981" i="12"/>
  <c r="DD981" i="12"/>
  <c r="DC897" i="12"/>
  <c r="DA897" i="12"/>
  <c r="DB897" i="12"/>
  <c r="DF896" i="12" s="1"/>
  <c r="DD897" i="12"/>
  <c r="DE897" i="12"/>
  <c r="DB957" i="12"/>
  <c r="DF956" i="12" s="1"/>
  <c r="DA957" i="12"/>
  <c r="DD957" i="12"/>
  <c r="DE957" i="12"/>
  <c r="DC957" i="12"/>
  <c r="DC921" i="12"/>
  <c r="DD921" i="12"/>
  <c r="DA921" i="12"/>
  <c r="DE921" i="12"/>
  <c r="DB921" i="12"/>
  <c r="DF920" i="12" s="1"/>
  <c r="DE933" i="12"/>
  <c r="DC933" i="12"/>
  <c r="DB933" i="12"/>
  <c r="DF932" i="12" s="1"/>
  <c r="DD933" i="12"/>
  <c r="DA933" i="12"/>
  <c r="DD909" i="12"/>
  <c r="DE909" i="12"/>
  <c r="DB909" i="12"/>
  <c r="DF908" i="12" s="1"/>
  <c r="DC909" i="12"/>
  <c r="DA909" i="12"/>
  <c r="DA885" i="12"/>
  <c r="DE885" i="12"/>
  <c r="DC885" i="12"/>
  <c r="DD885" i="12"/>
  <c r="DB885" i="12"/>
  <c r="DC969" i="12"/>
  <c r="DB969" i="12"/>
  <c r="DE969" i="12"/>
  <c r="DD969" i="12"/>
  <c r="DA969" i="12"/>
  <c r="DF871" i="12"/>
  <c r="DF955" i="12"/>
  <c r="DE993" i="12"/>
  <c r="DB993" i="12"/>
  <c r="DA993" i="12"/>
  <c r="DC993" i="12"/>
  <c r="DD993" i="12"/>
  <c r="CY1014" i="12"/>
  <c r="CY1006" i="12"/>
  <c r="CY1005" i="12"/>
  <c r="CY1015" i="12"/>
  <c r="DB1016" i="12"/>
  <c r="CY1011" i="12"/>
  <c r="CY1007" i="12"/>
  <c r="CY1008" i="12"/>
  <c r="CY1013" i="12"/>
  <c r="CY1012" i="12"/>
  <c r="CY1010" i="12"/>
  <c r="CY1009" i="12"/>
  <c r="CZ946" i="12"/>
  <c r="CZ910" i="12"/>
  <c r="CZ934" i="12"/>
  <c r="CZ958" i="12"/>
  <c r="CZ970" i="12"/>
  <c r="CZ898" i="12"/>
  <c r="CZ922" i="12"/>
  <c r="CZ1006" i="12"/>
  <c r="CZ994" i="12"/>
  <c r="CZ982" i="12"/>
  <c r="DD994" i="12" l="1"/>
  <c r="DE994" i="12"/>
  <c r="DA994" i="12"/>
  <c r="DC994" i="12"/>
  <c r="DB994" i="12"/>
  <c r="DA934" i="12"/>
  <c r="DC934" i="12"/>
  <c r="DE934" i="12"/>
  <c r="DD934" i="12"/>
  <c r="DB934" i="12"/>
  <c r="DF933" i="12" s="1"/>
  <c r="DB922" i="12"/>
  <c r="DF921" i="12" s="1"/>
  <c r="DC922" i="12"/>
  <c r="DA922" i="12"/>
  <c r="DD922" i="12"/>
  <c r="DE922" i="12"/>
  <c r="DA898" i="12"/>
  <c r="DE898" i="12"/>
  <c r="DB898" i="12"/>
  <c r="DF897" i="12" s="1"/>
  <c r="DF898" i="12" s="1"/>
  <c r="DD898" i="12"/>
  <c r="DC898" i="12"/>
  <c r="DC970" i="12"/>
  <c r="DE970" i="12"/>
  <c r="DB970" i="12"/>
  <c r="DF969" i="12" s="1"/>
  <c r="DD970" i="12"/>
  <c r="DA970" i="12"/>
  <c r="DE910" i="12"/>
  <c r="DD910" i="12"/>
  <c r="DA910" i="12"/>
  <c r="DB910" i="12"/>
  <c r="DF909" i="12" s="1"/>
  <c r="DC910" i="12"/>
  <c r="DE958" i="12"/>
  <c r="DA958" i="12"/>
  <c r="DB958" i="12"/>
  <c r="DF957" i="12" s="1"/>
  <c r="DC958" i="12"/>
  <c r="DD958" i="12"/>
  <c r="DE946" i="12"/>
  <c r="DA946" i="12"/>
  <c r="DB946" i="12"/>
  <c r="DC946" i="12"/>
  <c r="DD946" i="12"/>
  <c r="DE982" i="12"/>
  <c r="DB982" i="12"/>
  <c r="DC982" i="12"/>
  <c r="DA982" i="12"/>
  <c r="DD982" i="12"/>
  <c r="DF968" i="12"/>
  <c r="DB1006" i="12"/>
  <c r="DE1006" i="12"/>
  <c r="DD1006" i="12"/>
  <c r="DC1006" i="12"/>
  <c r="DA1006" i="12"/>
  <c r="CY1026" i="12"/>
  <c r="CY1024" i="12"/>
  <c r="CY1023" i="12"/>
  <c r="CY1028" i="12"/>
  <c r="DB1029" i="12"/>
  <c r="CY1019" i="12"/>
  <c r="CY1022" i="12"/>
  <c r="CY1018" i="12"/>
  <c r="CY1025" i="12"/>
  <c r="CY1021" i="12"/>
  <c r="CY1020" i="12"/>
  <c r="CY1027" i="12"/>
  <c r="CZ995" i="12"/>
  <c r="CZ983" i="12"/>
  <c r="CZ1007" i="12"/>
  <c r="CZ911" i="12"/>
  <c r="CZ935" i="12"/>
  <c r="CZ959" i="12"/>
  <c r="CZ947" i="12"/>
  <c r="CZ923" i="12"/>
  <c r="CZ971" i="12"/>
  <c r="CZ1019" i="12"/>
  <c r="DE983" i="12" l="1"/>
  <c r="DB983" i="12"/>
  <c r="DF982" i="12" s="1"/>
  <c r="DD983" i="12"/>
  <c r="DC983" i="12"/>
  <c r="DA983" i="12"/>
  <c r="DB959" i="12"/>
  <c r="DF958" i="12" s="1"/>
  <c r="DC959" i="12"/>
  <c r="DD959" i="12"/>
  <c r="DE959" i="12"/>
  <c r="DA959" i="12"/>
  <c r="DE971" i="12"/>
  <c r="DC971" i="12"/>
  <c r="DD971" i="12"/>
  <c r="DB971" i="12"/>
  <c r="DF970" i="12" s="1"/>
  <c r="DA971" i="12"/>
  <c r="DD923" i="12"/>
  <c r="DE923" i="12"/>
  <c r="DB923" i="12"/>
  <c r="DF922" i="12" s="1"/>
  <c r="DC923" i="12"/>
  <c r="DA923" i="12"/>
  <c r="DB995" i="12"/>
  <c r="DE995" i="12"/>
  <c r="DA995" i="12"/>
  <c r="DC995" i="12"/>
  <c r="DD995" i="12"/>
  <c r="DD947" i="12"/>
  <c r="DE947" i="12"/>
  <c r="DC947" i="12"/>
  <c r="DB947" i="12"/>
  <c r="DF946" i="12" s="1"/>
  <c r="DA947" i="12"/>
  <c r="DB911" i="12"/>
  <c r="DF910" i="12" s="1"/>
  <c r="DF911" i="12" s="1"/>
  <c r="DC911" i="12"/>
  <c r="DD911" i="12"/>
  <c r="DA911" i="12"/>
  <c r="DE911" i="12"/>
  <c r="DC1007" i="12"/>
  <c r="DB1007" i="12"/>
  <c r="DD1007" i="12"/>
  <c r="DE1007" i="12"/>
  <c r="DA1007" i="12"/>
  <c r="DE935" i="12"/>
  <c r="DD935" i="12"/>
  <c r="DA935" i="12"/>
  <c r="DC935" i="12"/>
  <c r="DB935" i="12"/>
  <c r="DF981" i="12"/>
  <c r="DF945" i="12"/>
  <c r="DE1019" i="12"/>
  <c r="DB1019" i="12"/>
  <c r="DD1019" i="12"/>
  <c r="DA1019" i="12"/>
  <c r="DC1019" i="12"/>
  <c r="CY1037" i="12"/>
  <c r="CY1033" i="12"/>
  <c r="CY1038" i="12"/>
  <c r="CY1035" i="12"/>
  <c r="CY1040" i="12"/>
  <c r="CY1034" i="12"/>
  <c r="CY1031" i="12"/>
  <c r="CY1036" i="12"/>
  <c r="CY1032" i="12"/>
  <c r="CY1039" i="12"/>
  <c r="CY1041" i="12"/>
  <c r="DB1042" i="12"/>
  <c r="CZ924" i="12"/>
  <c r="CZ1020" i="12"/>
  <c r="CZ972" i="12"/>
  <c r="CZ996" i="12"/>
  <c r="CZ948" i="12"/>
  <c r="CZ984" i="12"/>
  <c r="CZ936" i="12"/>
  <c r="CZ1008" i="12"/>
  <c r="CZ960" i="12"/>
  <c r="CZ1032" i="12"/>
  <c r="DD996" i="12" l="1"/>
  <c r="DA996" i="12"/>
  <c r="DB996" i="12"/>
  <c r="DF995" i="12" s="1"/>
  <c r="DC996" i="12"/>
  <c r="DE996" i="12"/>
  <c r="DD972" i="12"/>
  <c r="DA972" i="12"/>
  <c r="DC972" i="12"/>
  <c r="DE972" i="12"/>
  <c r="DB972" i="12"/>
  <c r="DF971" i="12" s="1"/>
  <c r="DB984" i="12"/>
  <c r="DF983" i="12" s="1"/>
  <c r="DC984" i="12"/>
  <c r="DA984" i="12"/>
  <c r="DE984" i="12"/>
  <c r="DD984" i="12"/>
  <c r="DB1008" i="12"/>
  <c r="DC1008" i="12"/>
  <c r="DD1008" i="12"/>
  <c r="DE1008" i="12"/>
  <c r="DA1008" i="12"/>
  <c r="DA948" i="12"/>
  <c r="DB948" i="12"/>
  <c r="DF947" i="12" s="1"/>
  <c r="DE948" i="12"/>
  <c r="DD948" i="12"/>
  <c r="DC948" i="12"/>
  <c r="DB924" i="12"/>
  <c r="DF924" i="12" s="1"/>
  <c r="DC924" i="12"/>
  <c r="DD924" i="12"/>
  <c r="DA924" i="12"/>
  <c r="DE924" i="12"/>
  <c r="DB960" i="12"/>
  <c r="DF959" i="12" s="1"/>
  <c r="DC960" i="12"/>
  <c r="DE960" i="12"/>
  <c r="DA960" i="12"/>
  <c r="DD960" i="12"/>
  <c r="DA1020" i="12"/>
  <c r="DD1020" i="12"/>
  <c r="DB1020" i="12"/>
  <c r="DC1020" i="12"/>
  <c r="DE1020" i="12"/>
  <c r="DA936" i="12"/>
  <c r="DB936" i="12"/>
  <c r="DF935" i="12" s="1"/>
  <c r="DE936" i="12"/>
  <c r="DD936" i="12"/>
  <c r="DC936" i="12"/>
  <c r="DF994" i="12"/>
  <c r="DF934" i="12"/>
  <c r="DD1032" i="12"/>
  <c r="DE1032" i="12"/>
  <c r="DB1032" i="12"/>
  <c r="DA1032" i="12"/>
  <c r="DC1032" i="12"/>
  <c r="CY1045" i="12"/>
  <c r="CY1044" i="12"/>
  <c r="CY1053" i="12"/>
  <c r="CY1051" i="12"/>
  <c r="CY1050" i="12"/>
  <c r="CY1052" i="12"/>
  <c r="CY1054" i="12"/>
  <c r="DB1055" i="12"/>
  <c r="CY1049" i="12"/>
  <c r="CY1047" i="12"/>
  <c r="CY1048" i="12"/>
  <c r="CY1046" i="12"/>
  <c r="CZ1033" i="12"/>
  <c r="CZ937" i="12"/>
  <c r="CZ985" i="12"/>
  <c r="CZ1045" i="12"/>
  <c r="CZ1021" i="12"/>
  <c r="CZ1009" i="12"/>
  <c r="CZ997" i="12"/>
  <c r="CZ973" i="12"/>
  <c r="CZ949" i="12"/>
  <c r="CZ961" i="12"/>
  <c r="DF923" i="12" l="1"/>
  <c r="DC973" i="12"/>
  <c r="DB973" i="12"/>
  <c r="DF972" i="12" s="1"/>
  <c r="DD973" i="12"/>
  <c r="DA973" i="12"/>
  <c r="DE973" i="12"/>
  <c r="DB937" i="12"/>
  <c r="DF937" i="12" s="1"/>
  <c r="DA937" i="12"/>
  <c r="DE937" i="12"/>
  <c r="DC937" i="12"/>
  <c r="DD937" i="12"/>
  <c r="DB997" i="12"/>
  <c r="DF996" i="12" s="1"/>
  <c r="DA997" i="12"/>
  <c r="DD997" i="12"/>
  <c r="DC997" i="12"/>
  <c r="DE997" i="12"/>
  <c r="DE1033" i="12"/>
  <c r="DD1033" i="12"/>
  <c r="DB1033" i="12"/>
  <c r="DC1033" i="12"/>
  <c r="DA1033" i="12"/>
  <c r="DB949" i="12"/>
  <c r="DF948" i="12" s="1"/>
  <c r="DD949" i="12"/>
  <c r="DA949" i="12"/>
  <c r="DE949" i="12"/>
  <c r="DC949" i="12"/>
  <c r="DC985" i="12"/>
  <c r="DE985" i="12"/>
  <c r="DA985" i="12"/>
  <c r="DD985" i="12"/>
  <c r="DB985" i="12"/>
  <c r="DF984" i="12" s="1"/>
  <c r="DD1021" i="12"/>
  <c r="DA1021" i="12"/>
  <c r="DB1021" i="12"/>
  <c r="DC1021" i="12"/>
  <c r="DE1021" i="12"/>
  <c r="DB961" i="12"/>
  <c r="DF960" i="12" s="1"/>
  <c r="DD961" i="12"/>
  <c r="DC961" i="12"/>
  <c r="DA961" i="12"/>
  <c r="DE961" i="12"/>
  <c r="DE1009" i="12"/>
  <c r="DD1009" i="12"/>
  <c r="DA1009" i="12"/>
  <c r="DB1009" i="12"/>
  <c r="DF1008" i="12" s="1"/>
  <c r="DC1009" i="12"/>
  <c r="DF1007" i="12"/>
  <c r="DB1045" i="12"/>
  <c r="DD1045" i="12"/>
  <c r="DC1045" i="12"/>
  <c r="DA1045" i="12"/>
  <c r="DE1045" i="12"/>
  <c r="CY1059" i="12"/>
  <c r="CY1060" i="12"/>
  <c r="CY1065" i="12"/>
  <c r="CY1063" i="12"/>
  <c r="CY1064" i="12"/>
  <c r="CY1057" i="12"/>
  <c r="CY1058" i="12"/>
  <c r="CY1061" i="12"/>
  <c r="CY1062" i="12"/>
  <c r="CY1067" i="12"/>
  <c r="DB1068" i="12"/>
  <c r="CY1066" i="12"/>
  <c r="CZ1034" i="12"/>
  <c r="CZ1022" i="12"/>
  <c r="CZ962" i="12"/>
  <c r="CZ950" i="12"/>
  <c r="CZ986" i="12"/>
  <c r="CZ1010" i="12"/>
  <c r="CZ974" i="12"/>
  <c r="CZ998" i="12"/>
  <c r="CZ1046" i="12"/>
  <c r="CZ1058" i="12"/>
  <c r="DF936" i="12" l="1"/>
  <c r="DB1010" i="12"/>
  <c r="DF1009" i="12" s="1"/>
  <c r="DE1010" i="12"/>
  <c r="DC1010" i="12"/>
  <c r="DD1010" i="12"/>
  <c r="DA1010" i="12"/>
  <c r="DA998" i="12"/>
  <c r="DC998" i="12"/>
  <c r="DB998" i="12"/>
  <c r="DF997" i="12" s="1"/>
  <c r="DD998" i="12"/>
  <c r="DE998" i="12"/>
  <c r="DE974" i="12"/>
  <c r="DB974" i="12"/>
  <c r="DF973" i="12" s="1"/>
  <c r="DD974" i="12"/>
  <c r="DC974" i="12"/>
  <c r="DA974" i="12"/>
  <c r="DB1046" i="12"/>
  <c r="DE1046" i="12"/>
  <c r="DA1046" i="12"/>
  <c r="DD1046" i="12"/>
  <c r="DC1046" i="12"/>
  <c r="DB986" i="12"/>
  <c r="DF985" i="12" s="1"/>
  <c r="DA986" i="12"/>
  <c r="DD986" i="12"/>
  <c r="DC986" i="12"/>
  <c r="DE986" i="12"/>
  <c r="DC1034" i="12"/>
  <c r="DD1034" i="12"/>
  <c r="DA1034" i="12"/>
  <c r="DE1034" i="12"/>
  <c r="DB1034" i="12"/>
  <c r="DB962" i="12"/>
  <c r="DF961" i="12" s="1"/>
  <c r="DD962" i="12"/>
  <c r="DA962" i="12"/>
  <c r="DE962" i="12"/>
  <c r="DC962" i="12"/>
  <c r="DB1022" i="12"/>
  <c r="DF1021" i="12" s="1"/>
  <c r="DC1022" i="12"/>
  <c r="DD1022" i="12"/>
  <c r="DE1022" i="12"/>
  <c r="DA1022" i="12"/>
  <c r="DD950" i="12"/>
  <c r="DC950" i="12"/>
  <c r="DB950" i="12"/>
  <c r="DF950" i="12" s="1"/>
  <c r="DA950" i="12"/>
  <c r="DE950" i="12"/>
  <c r="DF1020" i="12"/>
  <c r="DE1058" i="12"/>
  <c r="DD1058" i="12"/>
  <c r="DC1058" i="12"/>
  <c r="DB1058" i="12"/>
  <c r="DA1058" i="12"/>
  <c r="CY1075" i="12"/>
  <c r="CY1070" i="12"/>
  <c r="CY1076" i="12"/>
  <c r="CY1073" i="12"/>
  <c r="CY1079" i="12"/>
  <c r="CY1080" i="12"/>
  <c r="DB1081" i="12"/>
  <c r="CY1074" i="12"/>
  <c r="CY1071" i="12"/>
  <c r="CY1077" i="12"/>
  <c r="CY1078" i="12"/>
  <c r="CY1072" i="12"/>
  <c r="DF396" i="12"/>
  <c r="DF383" i="12"/>
  <c r="DF370" i="12"/>
  <c r="DF357" i="12"/>
  <c r="DF344" i="12"/>
  <c r="DF331" i="12"/>
  <c r="DF214" i="12"/>
  <c r="DF150" i="12"/>
  <c r="DF151" i="12"/>
  <c r="DF87" i="12"/>
  <c r="DF88" i="12"/>
  <c r="DF89" i="12"/>
  <c r="DF90" i="12"/>
  <c r="DF91" i="12"/>
  <c r="DF92" i="12"/>
  <c r="DF279" i="12"/>
  <c r="DF305" i="12"/>
  <c r="DF877" i="12"/>
  <c r="DF878" i="12"/>
  <c r="DF879" i="12"/>
  <c r="DF880" i="12"/>
  <c r="DF881" i="12"/>
  <c r="DF882" i="12"/>
  <c r="DF883" i="12"/>
  <c r="DF884" i="12"/>
  <c r="DF885" i="12"/>
  <c r="DF565" i="12"/>
  <c r="DF566" i="12"/>
  <c r="CY3" i="12"/>
  <c r="DC3" i="12" s="1"/>
  <c r="CY16" i="12"/>
  <c r="CY29" i="12"/>
  <c r="CZ1059" i="12"/>
  <c r="CZ1011" i="12"/>
  <c r="CZ975" i="12"/>
  <c r="CZ963" i="12"/>
  <c r="CZ1023" i="12"/>
  <c r="CZ1071" i="12"/>
  <c r="CZ987" i="12"/>
  <c r="CZ1035" i="12"/>
  <c r="CZ1047" i="12"/>
  <c r="CZ999" i="12"/>
  <c r="DF949" i="12" l="1"/>
  <c r="DB1059" i="12"/>
  <c r="DD1059" i="12"/>
  <c r="DC1059" i="12"/>
  <c r="DE1059" i="12"/>
  <c r="DA1059" i="12"/>
  <c r="DB987" i="12"/>
  <c r="DF986" i="12" s="1"/>
  <c r="DD987" i="12"/>
  <c r="DE987" i="12"/>
  <c r="DA987" i="12"/>
  <c r="DC987" i="12"/>
  <c r="DC975" i="12"/>
  <c r="DE975" i="12"/>
  <c r="DA975" i="12"/>
  <c r="DB975" i="12"/>
  <c r="DF974" i="12" s="1"/>
  <c r="DD975" i="12"/>
  <c r="DD1011" i="12"/>
  <c r="DB1011" i="12"/>
  <c r="DF1010" i="12" s="1"/>
  <c r="DE1011" i="12"/>
  <c r="DA1011" i="12"/>
  <c r="DC1011" i="12"/>
  <c r="DD963" i="12"/>
  <c r="DB963" i="12"/>
  <c r="DF963" i="12" s="1"/>
  <c r="DE963" i="12"/>
  <c r="DA963" i="12"/>
  <c r="DC963" i="12"/>
  <c r="DB1047" i="12"/>
  <c r="DD1047" i="12"/>
  <c r="DE1047" i="12"/>
  <c r="DA1047" i="12"/>
  <c r="DC1047" i="12"/>
  <c r="DE999" i="12"/>
  <c r="DD999" i="12"/>
  <c r="DB999" i="12"/>
  <c r="DF998" i="12" s="1"/>
  <c r="DC999" i="12"/>
  <c r="DA999" i="12"/>
  <c r="DA1023" i="12"/>
  <c r="DC1023" i="12"/>
  <c r="DE1023" i="12"/>
  <c r="DD1023" i="12"/>
  <c r="DB1023" i="12"/>
  <c r="DF1022" i="12" s="1"/>
  <c r="DE1035" i="12"/>
  <c r="DC1035" i="12"/>
  <c r="DB1035" i="12"/>
  <c r="DF1034" i="12" s="1"/>
  <c r="DA1035" i="12"/>
  <c r="DD1035" i="12"/>
  <c r="DF1033" i="12"/>
  <c r="DB1071" i="12"/>
  <c r="DE1071" i="12"/>
  <c r="DD1071" i="12"/>
  <c r="DC1071" i="12"/>
  <c r="DA1071" i="12"/>
  <c r="CY1091" i="12"/>
  <c r="CY1084" i="12"/>
  <c r="CY1087" i="12"/>
  <c r="CY1093" i="12"/>
  <c r="DB1094" i="12"/>
  <c r="CY1089" i="12"/>
  <c r="CY1085" i="12"/>
  <c r="CY1090" i="12"/>
  <c r="CY1088" i="12"/>
  <c r="CY1092" i="12"/>
  <c r="CY1086" i="12"/>
  <c r="CY1083" i="12"/>
  <c r="DD3" i="12"/>
  <c r="DE3" i="12"/>
  <c r="DC29" i="12"/>
  <c r="DB3" i="12"/>
  <c r="DC16" i="12"/>
  <c r="DB16" i="12" s="1"/>
  <c r="CZ1072" i="12"/>
  <c r="CZ1036" i="12"/>
  <c r="CZ1000" i="12"/>
  <c r="CZ1024" i="12"/>
  <c r="CZ1048" i="12"/>
  <c r="CZ988" i="12"/>
  <c r="CZ976" i="12"/>
  <c r="CZ1012" i="12"/>
  <c r="CZ1060" i="12"/>
  <c r="CZ1084" i="12"/>
  <c r="DF962" i="12" l="1"/>
  <c r="DD1036" i="12"/>
  <c r="DE1036" i="12"/>
  <c r="DC1036" i="12"/>
  <c r="DB1036" i="12"/>
  <c r="DF1035" i="12" s="1"/>
  <c r="DA1036" i="12"/>
  <c r="DC1000" i="12"/>
  <c r="DE1000" i="12"/>
  <c r="DA1000" i="12"/>
  <c r="DD1000" i="12"/>
  <c r="DB1000" i="12"/>
  <c r="DF999" i="12" s="1"/>
  <c r="DE1072" i="12"/>
  <c r="DC1072" i="12"/>
  <c r="DA1072" i="12"/>
  <c r="DD1072" i="12"/>
  <c r="DB1072" i="12"/>
  <c r="DC1060" i="12"/>
  <c r="DD1060" i="12"/>
  <c r="DE1060" i="12"/>
  <c r="DB1060" i="12"/>
  <c r="DA1060" i="12"/>
  <c r="DB1024" i="12"/>
  <c r="DF1023" i="12" s="1"/>
  <c r="DD1024" i="12"/>
  <c r="DC1024" i="12"/>
  <c r="DE1024" i="12"/>
  <c r="DA1024" i="12"/>
  <c r="DD1048" i="12"/>
  <c r="DE1048" i="12"/>
  <c r="DC1048" i="12"/>
  <c r="DA1048" i="12"/>
  <c r="DB1048" i="12"/>
  <c r="DF1047" i="12" s="1"/>
  <c r="DB1012" i="12"/>
  <c r="DF1011" i="12" s="1"/>
  <c r="DC1012" i="12"/>
  <c r="DE1012" i="12"/>
  <c r="DD1012" i="12"/>
  <c r="DA1012" i="12"/>
  <c r="DB988" i="12"/>
  <c r="DF987" i="12" s="1"/>
  <c r="DA988" i="12"/>
  <c r="DD988" i="12"/>
  <c r="DC988" i="12"/>
  <c r="DE988" i="12"/>
  <c r="DB976" i="12"/>
  <c r="DF976" i="12" s="1"/>
  <c r="DC976" i="12"/>
  <c r="DE976" i="12"/>
  <c r="DD976" i="12"/>
  <c r="DA976" i="12"/>
  <c r="DF1046" i="12"/>
  <c r="DE1084" i="12"/>
  <c r="DB1084" i="12"/>
  <c r="DD1084" i="12"/>
  <c r="DC1084" i="12"/>
  <c r="DA1084" i="12"/>
  <c r="CY1096" i="12"/>
  <c r="CY1105" i="12"/>
  <c r="CY1101" i="12"/>
  <c r="CY1098" i="12"/>
  <c r="CY1099" i="12"/>
  <c r="CY1103" i="12"/>
  <c r="CY1100" i="12"/>
  <c r="CY1097" i="12"/>
  <c r="CY1102" i="12"/>
  <c r="CY1106" i="12"/>
  <c r="DB1107" i="12"/>
  <c r="CY1104" i="12"/>
  <c r="DD17" i="12"/>
  <c r="DC17" i="12"/>
  <c r="DB17" i="12"/>
  <c r="DE17" i="12"/>
  <c r="DA17" i="12"/>
  <c r="DD4" i="12"/>
  <c r="DA4" i="12"/>
  <c r="DB4" i="12"/>
  <c r="DF3" i="12" s="1"/>
  <c r="DC4" i="12"/>
  <c r="DE4" i="12"/>
  <c r="DE29" i="12"/>
  <c r="DD29" i="12"/>
  <c r="CY42" i="12"/>
  <c r="DE16" i="12"/>
  <c r="DD16" i="12"/>
  <c r="DB29" i="12"/>
  <c r="CZ1049" i="12"/>
  <c r="CZ1097" i="12"/>
  <c r="CZ1025" i="12"/>
  <c r="CZ1073" i="12"/>
  <c r="CZ1061" i="12"/>
  <c r="CZ1013" i="12"/>
  <c r="CZ1001" i="12"/>
  <c r="CZ1037" i="12"/>
  <c r="CZ1085" i="12"/>
  <c r="CZ989" i="12"/>
  <c r="DF975" i="12" l="1"/>
  <c r="DD1013" i="12"/>
  <c r="DB1013" i="12"/>
  <c r="DF1012" i="12" s="1"/>
  <c r="DA1013" i="12"/>
  <c r="DE1013" i="12"/>
  <c r="DC1013" i="12"/>
  <c r="DB1073" i="12"/>
  <c r="DA1073" i="12"/>
  <c r="DC1073" i="12"/>
  <c r="DD1073" i="12"/>
  <c r="DE1073" i="12"/>
  <c r="DE1037" i="12"/>
  <c r="DC1037" i="12"/>
  <c r="DB1037" i="12"/>
  <c r="DF1036" i="12" s="1"/>
  <c r="DA1037" i="12"/>
  <c r="DD1037" i="12"/>
  <c r="DB1025" i="12"/>
  <c r="DF1024" i="12" s="1"/>
  <c r="DD1025" i="12"/>
  <c r="DC1025" i="12"/>
  <c r="DE1025" i="12"/>
  <c r="DA1025" i="12"/>
  <c r="DC1085" i="12"/>
  <c r="DA1085" i="12"/>
  <c r="DB1085" i="12"/>
  <c r="DD1085" i="12"/>
  <c r="DE1085" i="12"/>
  <c r="DC989" i="12"/>
  <c r="DB989" i="12"/>
  <c r="DF989" i="12" s="1"/>
  <c r="DA989" i="12"/>
  <c r="DD989" i="12"/>
  <c r="DE989" i="12"/>
  <c r="DC1049" i="12"/>
  <c r="DB1049" i="12"/>
  <c r="DF1048" i="12" s="1"/>
  <c r="DE1049" i="12"/>
  <c r="DA1049" i="12"/>
  <c r="DD1049" i="12"/>
  <c r="DA1001" i="12"/>
  <c r="DB1001" i="12"/>
  <c r="DD1001" i="12"/>
  <c r="DE1001" i="12"/>
  <c r="DC1001" i="12"/>
  <c r="DC1061" i="12"/>
  <c r="DD1061" i="12"/>
  <c r="DE1061" i="12"/>
  <c r="DB1061" i="12"/>
  <c r="DA1061" i="12"/>
  <c r="DF1059" i="12"/>
  <c r="DA1097" i="12"/>
  <c r="DB1097" i="12"/>
  <c r="DE1097" i="12"/>
  <c r="DD1097" i="12"/>
  <c r="DC1097" i="12"/>
  <c r="CY1110" i="12"/>
  <c r="CY1116" i="12"/>
  <c r="CY1111" i="12"/>
  <c r="CY1118" i="12"/>
  <c r="CY1115" i="12"/>
  <c r="CY1113" i="12"/>
  <c r="CY1112" i="12"/>
  <c r="CY1114" i="12"/>
  <c r="CY1109" i="12"/>
  <c r="CY1117" i="12"/>
  <c r="CY1119" i="12"/>
  <c r="DB1120" i="12"/>
  <c r="DC30" i="12"/>
  <c r="DB30" i="12"/>
  <c r="DA30" i="12"/>
  <c r="DE30" i="12"/>
  <c r="DD30" i="12"/>
  <c r="DC42" i="12"/>
  <c r="DB42" i="12" s="1"/>
  <c r="CY55" i="12"/>
  <c r="DF4" i="12"/>
  <c r="CZ1050" i="12"/>
  <c r="CZ1062" i="12"/>
  <c r="CZ1014" i="12"/>
  <c r="CZ1098" i="12"/>
  <c r="CZ1026" i="12"/>
  <c r="CZ1038" i="12"/>
  <c r="CZ1002" i="12"/>
  <c r="CZ1074" i="12"/>
  <c r="CZ1086" i="12"/>
  <c r="CZ1110" i="12"/>
  <c r="DF988" i="12" l="1"/>
  <c r="DC1050" i="12"/>
  <c r="DA1050" i="12"/>
  <c r="DB1050" i="12"/>
  <c r="DF1049" i="12" s="1"/>
  <c r="DE1050" i="12"/>
  <c r="DD1050" i="12"/>
  <c r="DB1098" i="12"/>
  <c r="DC1098" i="12"/>
  <c r="DE1098" i="12"/>
  <c r="DA1098" i="12"/>
  <c r="DD1098" i="12"/>
  <c r="DE1038" i="12"/>
  <c r="DD1038" i="12"/>
  <c r="DB1038" i="12"/>
  <c r="DF1037" i="12" s="1"/>
  <c r="DC1038" i="12"/>
  <c r="DA1038" i="12"/>
  <c r="DD1014" i="12"/>
  <c r="DC1014" i="12"/>
  <c r="DA1014" i="12"/>
  <c r="DE1014" i="12"/>
  <c r="DB1014" i="12"/>
  <c r="DF1013" i="12" s="1"/>
  <c r="DB1062" i="12"/>
  <c r="DF1061" i="12" s="1"/>
  <c r="DE1062" i="12"/>
  <c r="DA1062" i="12"/>
  <c r="DC1062" i="12"/>
  <c r="DD1062" i="12"/>
  <c r="DE1002" i="12"/>
  <c r="DA1002" i="12"/>
  <c r="DB1002" i="12"/>
  <c r="DF1002" i="12" s="1"/>
  <c r="DD1002" i="12"/>
  <c r="DC1002" i="12"/>
  <c r="DB1026" i="12"/>
  <c r="DF1025" i="12" s="1"/>
  <c r="DC1026" i="12"/>
  <c r="DA1026" i="12"/>
  <c r="DE1026" i="12"/>
  <c r="DD1026" i="12"/>
  <c r="DD1074" i="12"/>
  <c r="DA1074" i="12"/>
  <c r="DC1074" i="12"/>
  <c r="DE1074" i="12"/>
  <c r="DB1074" i="12"/>
  <c r="DF1073" i="12" s="1"/>
  <c r="DA1086" i="12"/>
  <c r="DE1086" i="12"/>
  <c r="DC1086" i="12"/>
  <c r="DD1086" i="12"/>
  <c r="DB1086" i="12"/>
  <c r="DF1000" i="12"/>
  <c r="DF1060" i="12"/>
  <c r="DF1072" i="12"/>
  <c r="DB1110" i="12"/>
  <c r="DE1110" i="12"/>
  <c r="DD1110" i="12"/>
  <c r="DC1110" i="12"/>
  <c r="DA1110" i="12"/>
  <c r="CY1131" i="12"/>
  <c r="CY1129" i="12"/>
  <c r="CY1132" i="12"/>
  <c r="DB1133" i="12"/>
  <c r="CY1127" i="12"/>
  <c r="CY1126" i="12"/>
  <c r="CY1124" i="12"/>
  <c r="CY1123" i="12"/>
  <c r="CY1130" i="12"/>
  <c r="CY1122" i="12"/>
  <c r="CY1125" i="12"/>
  <c r="CY1128" i="12"/>
  <c r="DC55" i="12"/>
  <c r="DB55" i="12" s="1"/>
  <c r="CY68" i="12"/>
  <c r="DC43" i="12"/>
  <c r="DE43" i="12"/>
  <c r="DD43" i="12"/>
  <c r="DA43" i="12"/>
  <c r="DB43" i="12"/>
  <c r="DF5" i="12"/>
  <c r="DE42" i="12"/>
  <c r="DD42" i="12"/>
  <c r="CZ1075" i="12"/>
  <c r="CZ1063" i="12"/>
  <c r="CZ1111" i="12"/>
  <c r="CZ1099" i="12"/>
  <c r="CZ1027" i="12"/>
  <c r="CZ1015" i="12"/>
  <c r="CZ1039" i="12"/>
  <c r="CZ1087" i="12"/>
  <c r="CZ1051" i="12"/>
  <c r="CZ1123" i="12"/>
  <c r="DF1001" i="12" l="1"/>
  <c r="DA1087" i="12"/>
  <c r="DB1087" i="12"/>
  <c r="DF1086" i="12" s="1"/>
  <c r="DD1087" i="12"/>
  <c r="DC1087" i="12"/>
  <c r="DE1087" i="12"/>
  <c r="DD1027" i="12"/>
  <c r="DA1027" i="12"/>
  <c r="DE1027" i="12"/>
  <c r="DB1027" i="12"/>
  <c r="DF1026" i="12" s="1"/>
  <c r="DC1027" i="12"/>
  <c r="DC1111" i="12"/>
  <c r="DE1111" i="12"/>
  <c r="DD1111" i="12"/>
  <c r="DA1111" i="12"/>
  <c r="DB1111" i="12"/>
  <c r="DC1039" i="12"/>
  <c r="DA1039" i="12"/>
  <c r="DB1039" i="12"/>
  <c r="DF1038" i="12" s="1"/>
  <c r="DE1039" i="12"/>
  <c r="DD1039" i="12"/>
  <c r="DD1063" i="12"/>
  <c r="DA1063" i="12"/>
  <c r="DB1063" i="12"/>
  <c r="DF1062" i="12" s="1"/>
  <c r="DE1063" i="12"/>
  <c r="DC1063" i="12"/>
  <c r="DA1075" i="12"/>
  <c r="DD1075" i="12"/>
  <c r="DC1075" i="12"/>
  <c r="DE1075" i="12"/>
  <c r="DB1075" i="12"/>
  <c r="DF1074" i="12" s="1"/>
  <c r="DD1015" i="12"/>
  <c r="DC1015" i="12"/>
  <c r="DA1015" i="12"/>
  <c r="DE1015" i="12"/>
  <c r="DB1015" i="12"/>
  <c r="DF1015" i="12" s="1"/>
  <c r="DB1099" i="12"/>
  <c r="DE1099" i="12"/>
  <c r="DA1099" i="12"/>
  <c r="DD1099" i="12"/>
  <c r="DC1099" i="12"/>
  <c r="DE1051" i="12"/>
  <c r="DC1051" i="12"/>
  <c r="DD1051" i="12"/>
  <c r="DA1051" i="12"/>
  <c r="DB1051" i="12"/>
  <c r="DF1050" i="12" s="1"/>
  <c r="DF1085" i="12"/>
  <c r="DA1123" i="12"/>
  <c r="DE1123" i="12"/>
  <c r="DD1123" i="12"/>
  <c r="DB1123" i="12"/>
  <c r="DC1123" i="12"/>
  <c r="CY1140" i="12"/>
  <c r="CY1145" i="12"/>
  <c r="DB1146" i="12"/>
  <c r="CY1144" i="12"/>
  <c r="CY1138" i="12"/>
  <c r="CY1143" i="12"/>
  <c r="CY1136" i="12"/>
  <c r="CY1142" i="12"/>
  <c r="CY1141" i="12"/>
  <c r="CY1135" i="12"/>
  <c r="CY1137" i="12"/>
  <c r="CY1139" i="12"/>
  <c r="DF6" i="12"/>
  <c r="DE56" i="12"/>
  <c r="DD56" i="12"/>
  <c r="DA56" i="12"/>
  <c r="DC56" i="12"/>
  <c r="DB56" i="12"/>
  <c r="DC68" i="12"/>
  <c r="DE55" i="12"/>
  <c r="DD55" i="12"/>
  <c r="CY81" i="12"/>
  <c r="CZ1028" i="12"/>
  <c r="CZ1040" i="12"/>
  <c r="CZ1124" i="12"/>
  <c r="CZ1076" i="12"/>
  <c r="CZ1100" i="12"/>
  <c r="CZ1112" i="12"/>
  <c r="CZ1052" i="12"/>
  <c r="CZ1064" i="12"/>
  <c r="CZ1088" i="12"/>
  <c r="CZ1136" i="12"/>
  <c r="DF7" i="12" l="1"/>
  <c r="DF15" i="12" s="1"/>
  <c r="DF1014" i="12"/>
  <c r="DA1052" i="12"/>
  <c r="DD1052" i="12"/>
  <c r="DB1052" i="12"/>
  <c r="DF1051" i="12" s="1"/>
  <c r="DC1052" i="12"/>
  <c r="DE1052" i="12"/>
  <c r="DB1064" i="12"/>
  <c r="DF1063" i="12" s="1"/>
  <c r="DA1064" i="12"/>
  <c r="DE1064" i="12"/>
  <c r="DC1064" i="12"/>
  <c r="DD1064" i="12"/>
  <c r="DB1088" i="12"/>
  <c r="DF1087" i="12" s="1"/>
  <c r="DA1088" i="12"/>
  <c r="DD1088" i="12"/>
  <c r="DC1088" i="12"/>
  <c r="DE1088" i="12"/>
  <c r="DB1124" i="12"/>
  <c r="DC1124" i="12"/>
  <c r="DA1124" i="12"/>
  <c r="DD1124" i="12"/>
  <c r="DE1124" i="12"/>
  <c r="DC1100" i="12"/>
  <c r="DB1100" i="12"/>
  <c r="DF1099" i="12" s="1"/>
  <c r="DA1100" i="12"/>
  <c r="DE1100" i="12"/>
  <c r="DD1100" i="12"/>
  <c r="DC1112" i="12"/>
  <c r="DA1112" i="12"/>
  <c r="DB1112" i="12"/>
  <c r="DD1112" i="12"/>
  <c r="DE1112" i="12"/>
  <c r="DE1076" i="12"/>
  <c r="DA1076" i="12"/>
  <c r="DB1076" i="12"/>
  <c r="DD1076" i="12"/>
  <c r="DC1076" i="12"/>
  <c r="DA1040" i="12"/>
  <c r="DC1040" i="12"/>
  <c r="DB1040" i="12"/>
  <c r="DF1039" i="12" s="1"/>
  <c r="DE1040" i="12"/>
  <c r="DD1040" i="12"/>
  <c r="DC1028" i="12"/>
  <c r="DB1028" i="12"/>
  <c r="DF1028" i="12" s="1"/>
  <c r="DE1028" i="12"/>
  <c r="DD1028" i="12"/>
  <c r="DA1028" i="12"/>
  <c r="DF1098" i="12"/>
  <c r="DE1136" i="12"/>
  <c r="DD1136" i="12"/>
  <c r="DC1136" i="12"/>
  <c r="DB1136" i="12"/>
  <c r="DA1136" i="12"/>
  <c r="CY1158" i="12"/>
  <c r="DB1159" i="12"/>
  <c r="CY1152" i="12"/>
  <c r="CY1148" i="12"/>
  <c r="CY1149" i="12"/>
  <c r="CY1151" i="12"/>
  <c r="CY1157" i="12"/>
  <c r="CY1153" i="12"/>
  <c r="CY1150" i="12"/>
  <c r="CY1154" i="12"/>
  <c r="CY1155" i="12"/>
  <c r="CY1156" i="12"/>
  <c r="DE68" i="12"/>
  <c r="DD68" i="12"/>
  <c r="DC81" i="12"/>
  <c r="DB81" i="12" s="1"/>
  <c r="CY94" i="12"/>
  <c r="DB68" i="12"/>
  <c r="CZ1101" i="12"/>
  <c r="CZ1137" i="12"/>
  <c r="CZ1113" i="12"/>
  <c r="CZ1089" i="12"/>
  <c r="CZ1053" i="12"/>
  <c r="CZ1041" i="12"/>
  <c r="CZ1065" i="12"/>
  <c r="CZ1125" i="12"/>
  <c r="CZ1149" i="12"/>
  <c r="CZ1077" i="12"/>
  <c r="DF1027" i="12" l="1"/>
  <c r="DC1137" i="12"/>
  <c r="DB1137" i="12"/>
  <c r="DE1137" i="12"/>
  <c r="DD1137" i="12"/>
  <c r="DA1137" i="12"/>
  <c r="DB1077" i="12"/>
  <c r="DF1076" i="12" s="1"/>
  <c r="DD1077" i="12"/>
  <c r="DA1077" i="12"/>
  <c r="DE1077" i="12"/>
  <c r="DC1077" i="12"/>
  <c r="DB1101" i="12"/>
  <c r="DF1100" i="12" s="1"/>
  <c r="DA1101" i="12"/>
  <c r="DD1101" i="12"/>
  <c r="DE1101" i="12"/>
  <c r="DC1101" i="12"/>
  <c r="DC1089" i="12"/>
  <c r="DD1089" i="12"/>
  <c r="DA1089" i="12"/>
  <c r="DB1089" i="12"/>
  <c r="DF1088" i="12" s="1"/>
  <c r="DE1089" i="12"/>
  <c r="DA1053" i="12"/>
  <c r="DB1053" i="12"/>
  <c r="DF1052" i="12" s="1"/>
  <c r="DE1053" i="12"/>
  <c r="DD1053" i="12"/>
  <c r="DC1053" i="12"/>
  <c r="DC1065" i="12"/>
  <c r="DE1065" i="12"/>
  <c r="DD1065" i="12"/>
  <c r="DA1065" i="12"/>
  <c r="DB1065" i="12"/>
  <c r="DF1064" i="12" s="1"/>
  <c r="DB1041" i="12"/>
  <c r="DF1041" i="12" s="1"/>
  <c r="DE1041" i="12"/>
  <c r="DD1041" i="12"/>
  <c r="DC1041" i="12"/>
  <c r="DA1041" i="12"/>
  <c r="DC1113" i="12"/>
  <c r="DD1113" i="12"/>
  <c r="DE1113" i="12"/>
  <c r="DB1113" i="12"/>
  <c r="DF1112" i="12" s="1"/>
  <c r="DA1113" i="12"/>
  <c r="DE1125" i="12"/>
  <c r="DC1125" i="12"/>
  <c r="DD1125" i="12"/>
  <c r="DA1125" i="12"/>
  <c r="DB1125" i="12"/>
  <c r="DF1075" i="12"/>
  <c r="DF1111" i="12"/>
  <c r="DB1149" i="12"/>
  <c r="DE1149" i="12"/>
  <c r="DD1149" i="12"/>
  <c r="DC1149" i="12"/>
  <c r="DA1149" i="12"/>
  <c r="CY1164" i="12"/>
  <c r="CY1161" i="12"/>
  <c r="CY1168" i="12"/>
  <c r="CY1163" i="12"/>
  <c r="CY1170" i="12"/>
  <c r="CY1162" i="12"/>
  <c r="CY1165" i="12"/>
  <c r="CY1169" i="12"/>
  <c r="CY1167" i="12"/>
  <c r="CY1166" i="12"/>
  <c r="CY1171" i="12"/>
  <c r="DB1172" i="12"/>
  <c r="DF16" i="12"/>
  <c r="DE82" i="12"/>
  <c r="DA82" i="12"/>
  <c r="DD82" i="12"/>
  <c r="DC82" i="12"/>
  <c r="DB82" i="12"/>
  <c r="DC94" i="12"/>
  <c r="CY107" i="12"/>
  <c r="DD81" i="12"/>
  <c r="DE81" i="12"/>
  <c r="DC69" i="12"/>
  <c r="DD69" i="12"/>
  <c r="DA69" i="12"/>
  <c r="DB69" i="12"/>
  <c r="DE69" i="12"/>
  <c r="CZ1114" i="12"/>
  <c r="CZ1066" i="12"/>
  <c r="CZ1078" i="12"/>
  <c r="CZ1054" i="12"/>
  <c r="CZ1102" i="12"/>
  <c r="CZ1162" i="12"/>
  <c r="CZ1090" i="12"/>
  <c r="CZ1150" i="12"/>
  <c r="CZ1138" i="12"/>
  <c r="CZ1126" i="12"/>
  <c r="DF1040" i="12" l="1"/>
  <c r="DD1126" i="12"/>
  <c r="DE1126" i="12"/>
  <c r="DB1126" i="12"/>
  <c r="DF1125" i="12" s="1"/>
  <c r="DC1126" i="12"/>
  <c r="DA1126" i="12"/>
  <c r="DC1078" i="12"/>
  <c r="DD1078" i="12"/>
  <c r="DA1078" i="12"/>
  <c r="DE1078" i="12"/>
  <c r="DB1078" i="12"/>
  <c r="DF1077" i="12" s="1"/>
  <c r="DC1150" i="12"/>
  <c r="DE1150" i="12"/>
  <c r="DD1150" i="12"/>
  <c r="DA1150" i="12"/>
  <c r="DB1150" i="12"/>
  <c r="DB1054" i="12"/>
  <c r="DF1054" i="12" s="1"/>
  <c r="DA1054" i="12"/>
  <c r="DD1054" i="12"/>
  <c r="DE1054" i="12"/>
  <c r="DC1054" i="12"/>
  <c r="DB1102" i="12"/>
  <c r="DF1101" i="12" s="1"/>
  <c r="DC1102" i="12"/>
  <c r="DE1102" i="12"/>
  <c r="DD1102" i="12"/>
  <c r="DA1102" i="12"/>
  <c r="DB1138" i="12"/>
  <c r="DC1138" i="12"/>
  <c r="DE1138" i="12"/>
  <c r="DD1138" i="12"/>
  <c r="DA1138" i="12"/>
  <c r="DC1114" i="12"/>
  <c r="DB1114" i="12"/>
  <c r="DF1113" i="12" s="1"/>
  <c r="DD1114" i="12"/>
  <c r="DA1114" i="12"/>
  <c r="DE1114" i="12"/>
  <c r="DA1066" i="12"/>
  <c r="DB1066" i="12"/>
  <c r="DF1065" i="12" s="1"/>
  <c r="DD1066" i="12"/>
  <c r="DE1066" i="12"/>
  <c r="DC1066" i="12"/>
  <c r="DA1090" i="12"/>
  <c r="DE1090" i="12"/>
  <c r="DC1090" i="12"/>
  <c r="DB1090" i="12"/>
  <c r="DF1089" i="12" s="1"/>
  <c r="DD1090" i="12"/>
  <c r="DF1124" i="12"/>
  <c r="DD1162" i="12"/>
  <c r="DC1162" i="12"/>
  <c r="DB1162" i="12"/>
  <c r="DA1162" i="12"/>
  <c r="DE1162" i="12"/>
  <c r="CY1178" i="12"/>
  <c r="CY1176" i="12"/>
  <c r="CY1174" i="12"/>
  <c r="CY1184" i="12"/>
  <c r="DB1185" i="12"/>
  <c r="CY1180" i="12"/>
  <c r="CY1179" i="12"/>
  <c r="CY1182" i="12"/>
  <c r="CY1175" i="12"/>
  <c r="CY1183" i="12"/>
  <c r="CY1181" i="12"/>
  <c r="CY1177" i="12"/>
  <c r="DF17" i="12"/>
  <c r="DC107" i="12"/>
  <c r="DE94" i="12"/>
  <c r="DD94" i="12"/>
  <c r="CY120" i="12"/>
  <c r="DB94" i="12"/>
  <c r="CZ1103" i="12"/>
  <c r="CZ1079" i="12"/>
  <c r="CZ1139" i="12"/>
  <c r="CZ1067" i="12"/>
  <c r="CZ1127" i="12"/>
  <c r="CZ1151" i="12"/>
  <c r="CZ1091" i="12"/>
  <c r="CZ1163" i="12"/>
  <c r="CZ1115" i="12"/>
  <c r="CZ1175" i="12"/>
  <c r="DC1091" i="12" l="1"/>
  <c r="DB1091" i="12"/>
  <c r="DF1090" i="12" s="1"/>
  <c r="DE1091" i="12"/>
  <c r="DD1091" i="12"/>
  <c r="DA1091" i="12"/>
  <c r="DD1115" i="12"/>
  <c r="DA1115" i="12"/>
  <c r="DE1115" i="12"/>
  <c r="DC1115" i="12"/>
  <c r="DB1115" i="12"/>
  <c r="DF1114" i="12" s="1"/>
  <c r="DB1151" i="12"/>
  <c r="DA1151" i="12"/>
  <c r="DE1151" i="12"/>
  <c r="DC1151" i="12"/>
  <c r="DD1151" i="12"/>
  <c r="DB1127" i="12"/>
  <c r="DF1126" i="12" s="1"/>
  <c r="DC1127" i="12"/>
  <c r="DD1127" i="12"/>
  <c r="DA1127" i="12"/>
  <c r="DE1127" i="12"/>
  <c r="DE1067" i="12"/>
  <c r="DA1067" i="12"/>
  <c r="DD1067" i="12"/>
  <c r="DC1067" i="12"/>
  <c r="DB1067" i="12"/>
  <c r="DF1067" i="12" s="1"/>
  <c r="DD1139" i="12"/>
  <c r="DB1139" i="12"/>
  <c r="DF1138" i="12" s="1"/>
  <c r="DE1139" i="12"/>
  <c r="DC1139" i="12"/>
  <c r="DA1139" i="12"/>
  <c r="DD1079" i="12"/>
  <c r="DC1079" i="12"/>
  <c r="DE1079" i="12"/>
  <c r="DA1079" i="12"/>
  <c r="DB1079" i="12"/>
  <c r="DB1163" i="12"/>
  <c r="DC1163" i="12"/>
  <c r="DA1163" i="12"/>
  <c r="DE1163" i="12"/>
  <c r="DD1163" i="12"/>
  <c r="DA1103" i="12"/>
  <c r="DC1103" i="12"/>
  <c r="DE1103" i="12"/>
  <c r="DD1103" i="12"/>
  <c r="DB1103" i="12"/>
  <c r="DF1102" i="12" s="1"/>
  <c r="DF1137" i="12"/>
  <c r="DF1053" i="12"/>
  <c r="DB1175" i="12"/>
  <c r="DE1175" i="12"/>
  <c r="DD1175" i="12"/>
  <c r="DC1175" i="12"/>
  <c r="DA1175" i="12"/>
  <c r="CY1192" i="12"/>
  <c r="CY1189" i="12"/>
  <c r="CY1194" i="12"/>
  <c r="CY1188" i="12"/>
  <c r="CY1196" i="12"/>
  <c r="CY1190" i="12"/>
  <c r="CY1195" i="12"/>
  <c r="CY1193" i="12"/>
  <c r="CY1197" i="12"/>
  <c r="DB1198" i="12"/>
  <c r="CY1187" i="12"/>
  <c r="CY1191" i="12"/>
  <c r="DF18" i="12"/>
  <c r="DD95" i="12"/>
  <c r="DC95" i="12"/>
  <c r="DE95" i="12"/>
  <c r="DA95" i="12"/>
  <c r="DB95" i="12"/>
  <c r="DE107" i="12"/>
  <c r="DD107" i="12"/>
  <c r="DC120" i="12"/>
  <c r="DB120" i="12" s="1"/>
  <c r="DB107" i="12"/>
  <c r="CY133" i="12"/>
  <c r="CZ1080" i="12"/>
  <c r="CZ1176" i="12"/>
  <c r="CZ1104" i="12"/>
  <c r="CZ1188" i="12"/>
  <c r="CZ1116" i="12"/>
  <c r="CZ1140" i="12"/>
  <c r="CZ1092" i="12"/>
  <c r="CZ1164" i="12"/>
  <c r="CZ1152" i="12"/>
  <c r="CZ1128" i="12"/>
  <c r="DF1066" i="12" l="1"/>
  <c r="DA1104" i="12"/>
  <c r="DD1104" i="12"/>
  <c r="DE1104" i="12"/>
  <c r="DC1104" i="12"/>
  <c r="DB1104" i="12"/>
  <c r="DF1103" i="12" s="1"/>
  <c r="DD1152" i="12"/>
  <c r="DB1152" i="12"/>
  <c r="DF1151" i="12" s="1"/>
  <c r="DE1152" i="12"/>
  <c r="DC1152" i="12"/>
  <c r="DA1152" i="12"/>
  <c r="DC1092" i="12"/>
  <c r="DD1092" i="12"/>
  <c r="DB1092" i="12"/>
  <c r="DF1091" i="12" s="1"/>
  <c r="DE1092" i="12"/>
  <c r="DA1092" i="12"/>
  <c r="DC1176" i="12"/>
  <c r="DA1176" i="12"/>
  <c r="DB1176" i="12"/>
  <c r="DE1176" i="12"/>
  <c r="DD1176" i="12"/>
  <c r="DD1164" i="12"/>
  <c r="DC1164" i="12"/>
  <c r="DA1164" i="12"/>
  <c r="DE1164" i="12"/>
  <c r="DB1164" i="12"/>
  <c r="DA1140" i="12"/>
  <c r="DD1140" i="12"/>
  <c r="DB1140" i="12"/>
  <c r="DF1139" i="12" s="1"/>
  <c r="DC1140" i="12"/>
  <c r="DE1140" i="12"/>
  <c r="DC1128" i="12"/>
  <c r="DA1128" i="12"/>
  <c r="DE1128" i="12"/>
  <c r="DD1128" i="12"/>
  <c r="DB1128" i="12"/>
  <c r="DB1116" i="12"/>
  <c r="DF1115" i="12" s="1"/>
  <c r="DC1116" i="12"/>
  <c r="DE1116" i="12"/>
  <c r="DA1116" i="12"/>
  <c r="DD1116" i="12"/>
  <c r="DC1080" i="12"/>
  <c r="DE1080" i="12"/>
  <c r="DB1080" i="12"/>
  <c r="DF1080" i="12" s="1"/>
  <c r="DA1080" i="12"/>
  <c r="DD1080" i="12"/>
  <c r="DF1150" i="12"/>
  <c r="DF1078" i="12"/>
  <c r="DF19" i="12"/>
  <c r="DE1188" i="12"/>
  <c r="DB1188" i="12"/>
  <c r="DD1188" i="12"/>
  <c r="DC1188" i="12"/>
  <c r="DA1188" i="12"/>
  <c r="CY1209" i="12"/>
  <c r="CY1207" i="12"/>
  <c r="CY1202" i="12"/>
  <c r="CY1200" i="12"/>
  <c r="CY1210" i="12"/>
  <c r="DB1211" i="12"/>
  <c r="CY1208" i="12"/>
  <c r="CY1201" i="12"/>
  <c r="CY1205" i="12"/>
  <c r="CY1204" i="12"/>
  <c r="CY1206" i="12"/>
  <c r="CY1203" i="12"/>
  <c r="DE121" i="12"/>
  <c r="DD121" i="12"/>
  <c r="DB121" i="12"/>
  <c r="DA121" i="12"/>
  <c r="DC121" i="12"/>
  <c r="DB108" i="12"/>
  <c r="DD108" i="12"/>
  <c r="DC108" i="12"/>
  <c r="DA108" i="12"/>
  <c r="DE108" i="12"/>
  <c r="DC133" i="12"/>
  <c r="CY146" i="12"/>
  <c r="DD120" i="12"/>
  <c r="DE120" i="12"/>
  <c r="CZ1141" i="12"/>
  <c r="CZ1129" i="12"/>
  <c r="CZ1117" i="12"/>
  <c r="CZ1165" i="12"/>
  <c r="CZ1105" i="12"/>
  <c r="CZ1093" i="12"/>
  <c r="CZ1177" i="12"/>
  <c r="CZ1153" i="12"/>
  <c r="CZ1189" i="12"/>
  <c r="CZ1201" i="12"/>
  <c r="DF20" i="12" l="1"/>
  <c r="DF21" i="12" s="1"/>
  <c r="DF22" i="12" s="1"/>
  <c r="DF28" i="12" s="1"/>
  <c r="DF29" i="12" s="1"/>
  <c r="DF1079" i="12"/>
  <c r="DD1189" i="12"/>
  <c r="DB1189" i="12"/>
  <c r="DE1189" i="12"/>
  <c r="DA1189" i="12"/>
  <c r="DC1189" i="12"/>
  <c r="DC1129" i="12"/>
  <c r="DB1129" i="12"/>
  <c r="DF1128" i="12" s="1"/>
  <c r="DD1129" i="12"/>
  <c r="DA1129" i="12"/>
  <c r="DE1129" i="12"/>
  <c r="DA1093" i="12"/>
  <c r="DD1093" i="12"/>
  <c r="DE1093" i="12"/>
  <c r="DB1093" i="12"/>
  <c r="DF1093" i="12" s="1"/>
  <c r="DC1093" i="12"/>
  <c r="DD1105" i="12"/>
  <c r="DE1105" i="12"/>
  <c r="DB1105" i="12"/>
  <c r="DF1104" i="12" s="1"/>
  <c r="DA1105" i="12"/>
  <c r="DC1105" i="12"/>
  <c r="DE1165" i="12"/>
  <c r="DD1165" i="12"/>
  <c r="DC1165" i="12"/>
  <c r="DB1165" i="12"/>
  <c r="DF1164" i="12" s="1"/>
  <c r="DA1165" i="12"/>
  <c r="DC1117" i="12"/>
  <c r="DD1117" i="12"/>
  <c r="DB1117" i="12"/>
  <c r="DF1116" i="12" s="1"/>
  <c r="DA1117" i="12"/>
  <c r="DE1117" i="12"/>
  <c r="DC1141" i="12"/>
  <c r="DA1141" i="12"/>
  <c r="DD1141" i="12"/>
  <c r="DE1141" i="12"/>
  <c r="DB1141" i="12"/>
  <c r="DF1140" i="12" s="1"/>
  <c r="DB1177" i="12"/>
  <c r="DE1177" i="12"/>
  <c r="DA1177" i="12"/>
  <c r="DC1177" i="12"/>
  <c r="DD1177" i="12"/>
  <c r="DE1153" i="12"/>
  <c r="DD1153" i="12"/>
  <c r="DC1153" i="12"/>
  <c r="DB1153" i="12"/>
  <c r="DA1153" i="12"/>
  <c r="DF1163" i="12"/>
  <c r="DF1127" i="12"/>
  <c r="DA1201" i="12"/>
  <c r="DE1201" i="12"/>
  <c r="DD1201" i="12"/>
  <c r="DB1201" i="12"/>
  <c r="DC1201" i="12"/>
  <c r="CY1216" i="12"/>
  <c r="CY1217" i="12"/>
  <c r="CY1218" i="12"/>
  <c r="CY1213" i="12"/>
  <c r="CY1220" i="12"/>
  <c r="CY1219" i="12"/>
  <c r="CY1214" i="12"/>
  <c r="CY1221" i="12"/>
  <c r="CY1223" i="12"/>
  <c r="DB1224" i="12"/>
  <c r="CY1215" i="12"/>
  <c r="CY1222" i="12"/>
  <c r="DE133" i="12"/>
  <c r="DD133" i="12"/>
  <c r="CY159" i="12"/>
  <c r="DC146" i="12"/>
  <c r="DB133" i="12"/>
  <c r="CZ1154" i="12"/>
  <c r="CZ1202" i="12"/>
  <c r="CZ1142" i="12"/>
  <c r="CZ1166" i="12"/>
  <c r="CZ1118" i="12"/>
  <c r="CZ1130" i="12"/>
  <c r="CZ1106" i="12"/>
  <c r="CZ1190" i="12"/>
  <c r="CZ1178" i="12"/>
  <c r="CZ1214" i="12"/>
  <c r="DF1092" i="12" l="1"/>
  <c r="DE1142" i="12"/>
  <c r="DA1142" i="12"/>
  <c r="DB1142" i="12"/>
  <c r="DF1141" i="12" s="1"/>
  <c r="DD1142" i="12"/>
  <c r="DC1142" i="12"/>
  <c r="DE1154" i="12"/>
  <c r="DA1154" i="12"/>
  <c r="DB1154" i="12"/>
  <c r="DF1153" i="12" s="1"/>
  <c r="DD1154" i="12"/>
  <c r="DC1154" i="12"/>
  <c r="DB1202" i="12"/>
  <c r="DA1202" i="12"/>
  <c r="DD1202" i="12"/>
  <c r="DE1202" i="12"/>
  <c r="DC1202" i="12"/>
  <c r="DA1106" i="12"/>
  <c r="DD1106" i="12"/>
  <c r="DE1106" i="12"/>
  <c r="DB1106" i="12"/>
  <c r="DF1106" i="12" s="1"/>
  <c r="DC1106" i="12"/>
  <c r="DC1190" i="12"/>
  <c r="DE1190" i="12"/>
  <c r="DA1190" i="12"/>
  <c r="DB1190" i="12"/>
  <c r="DD1190" i="12"/>
  <c r="DB1178" i="12"/>
  <c r="DF1177" i="12" s="1"/>
  <c r="DC1178" i="12"/>
  <c r="DA1178" i="12"/>
  <c r="DE1178" i="12"/>
  <c r="DD1178" i="12"/>
  <c r="DB1118" i="12"/>
  <c r="DF1117" i="12" s="1"/>
  <c r="DD1118" i="12"/>
  <c r="DC1118" i="12"/>
  <c r="DA1118" i="12"/>
  <c r="DE1118" i="12"/>
  <c r="DE1130" i="12"/>
  <c r="DB1130" i="12"/>
  <c r="DF1129" i="12" s="1"/>
  <c r="DD1130" i="12"/>
  <c r="DA1130" i="12"/>
  <c r="DC1130" i="12"/>
  <c r="DD1166" i="12"/>
  <c r="DA1166" i="12"/>
  <c r="DB1166" i="12"/>
  <c r="DF1165" i="12" s="1"/>
  <c r="DE1166" i="12"/>
  <c r="DC1166" i="12"/>
  <c r="DF1176" i="12"/>
  <c r="DF1152" i="12"/>
  <c r="DF30" i="12"/>
  <c r="DD1214" i="12"/>
  <c r="DB1214" i="12"/>
  <c r="DC1214" i="12"/>
  <c r="DA1214" i="12"/>
  <c r="DE1214" i="12"/>
  <c r="CY1228" i="12"/>
  <c r="CY1236" i="12"/>
  <c r="DB1237" i="12"/>
  <c r="CY1227" i="12"/>
  <c r="CY1226" i="12"/>
  <c r="CY1230" i="12"/>
  <c r="CY1235" i="12"/>
  <c r="CY1234" i="12"/>
  <c r="CY1232" i="12"/>
  <c r="CY1233" i="12"/>
  <c r="CY1231" i="12"/>
  <c r="CY1229" i="12"/>
  <c r="DC159" i="12"/>
  <c r="DD146" i="12"/>
  <c r="DE146" i="12"/>
  <c r="DB146" i="12"/>
  <c r="DC134" i="12"/>
  <c r="DE134" i="12"/>
  <c r="DD134" i="12"/>
  <c r="DA134" i="12"/>
  <c r="DB134" i="12"/>
  <c r="CY172" i="12"/>
  <c r="CZ1227" i="12"/>
  <c r="CZ1131" i="12"/>
  <c r="CZ1167" i="12"/>
  <c r="CZ1191" i="12"/>
  <c r="CZ1119" i="12"/>
  <c r="CZ1143" i="12"/>
  <c r="CZ1215" i="12"/>
  <c r="CZ1179" i="12"/>
  <c r="CZ1155" i="12"/>
  <c r="CZ1203" i="12"/>
  <c r="DF1105" i="12" l="1"/>
  <c r="DD1203" i="12"/>
  <c r="DA1203" i="12"/>
  <c r="DE1203" i="12"/>
  <c r="DC1203" i="12"/>
  <c r="DB1203" i="12"/>
  <c r="DE1215" i="12"/>
  <c r="DD1215" i="12"/>
  <c r="DB1215" i="12"/>
  <c r="DC1215" i="12"/>
  <c r="DA1215" i="12"/>
  <c r="DB1131" i="12"/>
  <c r="DF1130" i="12" s="1"/>
  <c r="DD1131" i="12"/>
  <c r="DC1131" i="12"/>
  <c r="DE1131" i="12"/>
  <c r="DA1131" i="12"/>
  <c r="DC1179" i="12"/>
  <c r="DB1179" i="12"/>
  <c r="DF1178" i="12" s="1"/>
  <c r="DA1179" i="12"/>
  <c r="DE1179" i="12"/>
  <c r="DD1179" i="12"/>
  <c r="DA1155" i="12"/>
  <c r="DB1155" i="12"/>
  <c r="DF1154" i="12" s="1"/>
  <c r="DE1155" i="12"/>
  <c r="DD1155" i="12"/>
  <c r="DC1155" i="12"/>
  <c r="DB1143" i="12"/>
  <c r="DF1142" i="12" s="1"/>
  <c r="DA1143" i="12"/>
  <c r="DC1143" i="12"/>
  <c r="DD1143" i="12"/>
  <c r="DE1143" i="12"/>
  <c r="DC1167" i="12"/>
  <c r="DE1167" i="12"/>
  <c r="DD1167" i="12"/>
  <c r="DB1167" i="12"/>
  <c r="DF1166" i="12" s="1"/>
  <c r="DA1167" i="12"/>
  <c r="DC1119" i="12"/>
  <c r="DD1119" i="12"/>
  <c r="DB1119" i="12"/>
  <c r="DF1119" i="12" s="1"/>
  <c r="DA1119" i="12"/>
  <c r="DE1119" i="12"/>
  <c r="DA1191" i="12"/>
  <c r="DB1191" i="12"/>
  <c r="DF1190" i="12" s="1"/>
  <c r="DC1191" i="12"/>
  <c r="DE1191" i="12"/>
  <c r="DD1191" i="12"/>
  <c r="DF1189" i="12"/>
  <c r="DF31" i="12"/>
  <c r="DF32" i="12" s="1"/>
  <c r="DE1227" i="12"/>
  <c r="DD1227" i="12"/>
  <c r="DB1227" i="12"/>
  <c r="DC1227" i="12"/>
  <c r="DA1227" i="12"/>
  <c r="CY1242" i="12"/>
  <c r="CY1246" i="12"/>
  <c r="CY1247" i="12"/>
  <c r="CY1243" i="12"/>
  <c r="CY1240" i="12"/>
  <c r="CY1249" i="12"/>
  <c r="DB1250" i="12"/>
  <c r="CY1239" i="12"/>
  <c r="CY1241" i="12"/>
  <c r="CY1244" i="12"/>
  <c r="CY1245" i="12"/>
  <c r="CY1248" i="12"/>
  <c r="DC172" i="12"/>
  <c r="DB172" i="12" s="1"/>
  <c r="DC147" i="12"/>
  <c r="DB147" i="12"/>
  <c r="DE147" i="12"/>
  <c r="DA147" i="12"/>
  <c r="DD147" i="12"/>
  <c r="DE159" i="12"/>
  <c r="DD159" i="12"/>
  <c r="CY185" i="12"/>
  <c r="DB159" i="12"/>
  <c r="CZ1156" i="12"/>
  <c r="CZ1168" i="12"/>
  <c r="CZ1228" i="12"/>
  <c r="CZ1204" i="12"/>
  <c r="CZ1180" i="12"/>
  <c r="CZ1216" i="12"/>
  <c r="CZ1132" i="12"/>
  <c r="CZ1144" i="12"/>
  <c r="CZ1192" i="12"/>
  <c r="CZ1240" i="12"/>
  <c r="DB1144" i="12" l="1"/>
  <c r="DF1143" i="12" s="1"/>
  <c r="DC1144" i="12"/>
  <c r="DA1144" i="12"/>
  <c r="DD1144" i="12"/>
  <c r="DE1144" i="12"/>
  <c r="DE1192" i="12"/>
  <c r="DB1192" i="12"/>
  <c r="DF1191" i="12" s="1"/>
  <c r="DD1192" i="12"/>
  <c r="DA1192" i="12"/>
  <c r="DC1192" i="12"/>
  <c r="DA1228" i="12"/>
  <c r="DD1228" i="12"/>
  <c r="DC1228" i="12"/>
  <c r="DB1228" i="12"/>
  <c r="DE1228" i="12"/>
  <c r="DB1132" i="12"/>
  <c r="DF1132" i="12" s="1"/>
  <c r="DD1132" i="12"/>
  <c r="DA1132" i="12"/>
  <c r="DC1132" i="12"/>
  <c r="DE1132" i="12"/>
  <c r="DB1204" i="12"/>
  <c r="DF1203" i="12" s="1"/>
  <c r="DA1204" i="12"/>
  <c r="DE1204" i="12"/>
  <c r="DC1204" i="12"/>
  <c r="DD1204" i="12"/>
  <c r="DC1168" i="12"/>
  <c r="DD1168" i="12"/>
  <c r="DB1168" i="12"/>
  <c r="DA1168" i="12"/>
  <c r="DE1168" i="12"/>
  <c r="DA1156" i="12"/>
  <c r="DE1156" i="12"/>
  <c r="DD1156" i="12"/>
  <c r="DC1156" i="12"/>
  <c r="DB1156" i="12"/>
  <c r="DE1180" i="12"/>
  <c r="DC1180" i="12"/>
  <c r="DA1180" i="12"/>
  <c r="DD1180" i="12"/>
  <c r="DB1180" i="12"/>
  <c r="DA1216" i="12"/>
  <c r="DB1216" i="12"/>
  <c r="DE1216" i="12"/>
  <c r="DD1216" i="12"/>
  <c r="DC1216" i="12"/>
  <c r="DF1118" i="12"/>
  <c r="DF1202" i="12"/>
  <c r="DF41" i="12"/>
  <c r="DE1240" i="12"/>
  <c r="DD1240" i="12"/>
  <c r="DB1240" i="12"/>
  <c r="DC1240" i="12"/>
  <c r="DA1240" i="12"/>
  <c r="CY1261" i="12"/>
  <c r="CY1257" i="12"/>
  <c r="CY1254" i="12"/>
  <c r="CY1253" i="12"/>
  <c r="CY1259" i="12"/>
  <c r="CY1258" i="12"/>
  <c r="CY1252" i="12"/>
  <c r="CY1262" i="12"/>
  <c r="DB1263" i="12"/>
  <c r="CY1256" i="12"/>
  <c r="CY1260" i="12"/>
  <c r="CY1255" i="12"/>
  <c r="DD173" i="12"/>
  <c r="DA173" i="12"/>
  <c r="DC173" i="12"/>
  <c r="DE173" i="12"/>
  <c r="DB173" i="12"/>
  <c r="DE172" i="12"/>
  <c r="DD172" i="12"/>
  <c r="CY198" i="12"/>
  <c r="DA160" i="12"/>
  <c r="DD160" i="12"/>
  <c r="DB160" i="12"/>
  <c r="DC160" i="12"/>
  <c r="DE160" i="12"/>
  <c r="DC185" i="12"/>
  <c r="CZ1157" i="12"/>
  <c r="CZ1181" i="12"/>
  <c r="CZ1253" i="12"/>
  <c r="CZ1169" i="12"/>
  <c r="CZ1193" i="12"/>
  <c r="CZ1229" i="12"/>
  <c r="CZ1205" i="12"/>
  <c r="CZ1145" i="12"/>
  <c r="CZ1241" i="12"/>
  <c r="CZ1217" i="12"/>
  <c r="DA1229" i="12" l="1"/>
  <c r="DC1229" i="12"/>
  <c r="DE1229" i="12"/>
  <c r="DD1229" i="12"/>
  <c r="DB1229" i="12"/>
  <c r="DD1145" i="12"/>
  <c r="DE1145" i="12"/>
  <c r="DC1145" i="12"/>
  <c r="DB1145" i="12"/>
  <c r="DF1145" i="12" s="1"/>
  <c r="DA1145" i="12"/>
  <c r="DB1169" i="12"/>
  <c r="DF1168" i="12" s="1"/>
  <c r="DC1169" i="12"/>
  <c r="DE1169" i="12"/>
  <c r="DA1169" i="12"/>
  <c r="DD1169" i="12"/>
  <c r="DB1241" i="12"/>
  <c r="DE1241" i="12"/>
  <c r="DA1241" i="12"/>
  <c r="DD1241" i="12"/>
  <c r="DC1241" i="12"/>
  <c r="DA1157" i="12"/>
  <c r="DB1157" i="12"/>
  <c r="DF1156" i="12" s="1"/>
  <c r="DD1157" i="12"/>
  <c r="DC1157" i="12"/>
  <c r="DE1157" i="12"/>
  <c r="DC1193" i="12"/>
  <c r="DB1193" i="12"/>
  <c r="DF1192" i="12" s="1"/>
  <c r="DE1193" i="12"/>
  <c r="DD1193" i="12"/>
  <c r="DA1193" i="12"/>
  <c r="DB1217" i="12"/>
  <c r="DC1217" i="12"/>
  <c r="DD1217" i="12"/>
  <c r="DE1217" i="12"/>
  <c r="DA1217" i="12"/>
  <c r="DB1181" i="12"/>
  <c r="DF1180" i="12" s="1"/>
  <c r="DD1181" i="12"/>
  <c r="DE1181" i="12"/>
  <c r="DC1181" i="12"/>
  <c r="DA1181" i="12"/>
  <c r="DD1205" i="12"/>
  <c r="DA1205" i="12"/>
  <c r="DB1205" i="12"/>
  <c r="DF1204" i="12" s="1"/>
  <c r="DC1205" i="12"/>
  <c r="DE1205" i="12"/>
  <c r="DF1215" i="12"/>
  <c r="DF1155" i="12"/>
  <c r="DF1167" i="12"/>
  <c r="DF1131" i="12"/>
  <c r="DF1179" i="12"/>
  <c r="DF42" i="12"/>
  <c r="DD1253" i="12"/>
  <c r="DC1253" i="12"/>
  <c r="DB1253" i="12"/>
  <c r="DA1253" i="12"/>
  <c r="DE1253" i="12"/>
  <c r="CY1266" i="12"/>
  <c r="CY1270" i="12"/>
  <c r="CY1267" i="12"/>
  <c r="CY1274" i="12"/>
  <c r="CY1273" i="12"/>
  <c r="CY1265" i="12"/>
  <c r="CY1268" i="12"/>
  <c r="CY1269" i="12"/>
  <c r="CY1275" i="12"/>
  <c r="DB1276" i="12"/>
  <c r="CY1271" i="12"/>
  <c r="CY1272" i="12"/>
  <c r="DE185" i="12"/>
  <c r="DD185" i="12"/>
  <c r="CY211" i="12"/>
  <c r="DB185" i="12"/>
  <c r="DC198" i="12"/>
  <c r="DB198" i="12" s="1"/>
  <c r="CZ1242" i="12"/>
  <c r="CZ1158" i="12"/>
  <c r="CZ1170" i="12"/>
  <c r="CZ1266" i="12"/>
  <c r="CZ1230" i="12"/>
  <c r="CZ1182" i="12"/>
  <c r="CZ1254" i="12"/>
  <c r="CZ1194" i="12"/>
  <c r="CZ1218" i="12"/>
  <c r="CZ1206" i="12"/>
  <c r="DF1144" i="12" l="1"/>
  <c r="DD1218" i="12"/>
  <c r="DE1218" i="12"/>
  <c r="DC1218" i="12"/>
  <c r="DB1218" i="12"/>
  <c r="DF1217" i="12" s="1"/>
  <c r="DA1218" i="12"/>
  <c r="DC1158" i="12"/>
  <c r="DB1158" i="12"/>
  <c r="DF1158" i="12" s="1"/>
  <c r="DD1158" i="12"/>
  <c r="DA1158" i="12"/>
  <c r="DE1158" i="12"/>
  <c r="DE1230" i="12"/>
  <c r="DC1230" i="12"/>
  <c r="DA1230" i="12"/>
  <c r="DB1230" i="12"/>
  <c r="DF1229" i="12" s="1"/>
  <c r="DD1230" i="12"/>
  <c r="DA1206" i="12"/>
  <c r="DE1206" i="12"/>
  <c r="DB1206" i="12"/>
  <c r="DF1205" i="12" s="1"/>
  <c r="DD1206" i="12"/>
  <c r="DC1206" i="12"/>
  <c r="DA1194" i="12"/>
  <c r="DB1194" i="12"/>
  <c r="DF1193" i="12" s="1"/>
  <c r="DD1194" i="12"/>
  <c r="DE1194" i="12"/>
  <c r="DC1194" i="12"/>
  <c r="DB1242" i="12"/>
  <c r="DD1242" i="12"/>
  <c r="DA1242" i="12"/>
  <c r="DC1242" i="12"/>
  <c r="DE1242" i="12"/>
  <c r="DB1182" i="12"/>
  <c r="DF1181" i="12" s="1"/>
  <c r="DD1182" i="12"/>
  <c r="DE1182" i="12"/>
  <c r="DA1182" i="12"/>
  <c r="DC1182" i="12"/>
  <c r="DB1254" i="12"/>
  <c r="DE1254" i="12"/>
  <c r="DA1254" i="12"/>
  <c r="DC1254" i="12"/>
  <c r="DD1254" i="12"/>
  <c r="DB1170" i="12"/>
  <c r="DE1170" i="12"/>
  <c r="DA1170" i="12"/>
  <c r="DD1170" i="12"/>
  <c r="DC1170" i="12"/>
  <c r="DF1228" i="12"/>
  <c r="DF1216" i="12"/>
  <c r="DF43" i="12"/>
  <c r="DD1266" i="12"/>
  <c r="DC1266" i="12"/>
  <c r="DA1266" i="12"/>
  <c r="DB1266" i="12"/>
  <c r="DE1266" i="12"/>
  <c r="CY1298" i="12"/>
  <c r="CY1285" i="12"/>
  <c r="CY1293" i="12"/>
  <c r="CY1280" i="12"/>
  <c r="CY1296" i="12"/>
  <c r="CY1283" i="12"/>
  <c r="CY1295" i="12"/>
  <c r="CY1282" i="12"/>
  <c r="CY1291" i="12"/>
  <c r="CY1278" i="12"/>
  <c r="CY1297" i="12"/>
  <c r="CY1284" i="12"/>
  <c r="CY1287" i="12"/>
  <c r="CY1292" i="12"/>
  <c r="CY1279" i="12"/>
  <c r="CY1288" i="12"/>
  <c r="DB1289" i="12"/>
  <c r="CY1294" i="12"/>
  <c r="CY1281" i="12"/>
  <c r="CY1299" i="12"/>
  <c r="CY1286" i="12"/>
  <c r="DC211" i="12"/>
  <c r="DC199" i="12"/>
  <c r="DD199" i="12"/>
  <c r="DE199" i="12"/>
  <c r="DA199" i="12"/>
  <c r="DB199" i="12"/>
  <c r="CY224" i="12"/>
  <c r="DE198" i="12"/>
  <c r="DD198" i="12"/>
  <c r="DE186" i="12"/>
  <c r="DD186" i="12"/>
  <c r="DC186" i="12"/>
  <c r="DA186" i="12"/>
  <c r="DB186" i="12"/>
  <c r="CZ1231" i="12"/>
  <c r="CZ1219" i="12"/>
  <c r="CZ1255" i="12"/>
  <c r="CZ1267" i="12"/>
  <c r="CZ1195" i="12"/>
  <c r="CZ1207" i="12"/>
  <c r="CZ1243" i="12"/>
  <c r="CZ1183" i="12"/>
  <c r="CZ1171" i="12"/>
  <c r="CZ1292" i="12"/>
  <c r="CZ1279" i="12"/>
  <c r="DF1157" i="12" l="1"/>
  <c r="DD1171" i="12"/>
  <c r="DB1171" i="12"/>
  <c r="DF1171" i="12" s="1"/>
  <c r="DA1171" i="12"/>
  <c r="DE1171" i="12"/>
  <c r="DC1171" i="12"/>
  <c r="DD1255" i="12"/>
  <c r="DC1255" i="12"/>
  <c r="DE1255" i="12"/>
  <c r="DB1255" i="12"/>
  <c r="DA1255" i="12"/>
  <c r="DC1183" i="12"/>
  <c r="DA1183" i="12"/>
  <c r="DE1183" i="12"/>
  <c r="DB1183" i="12"/>
  <c r="DF1182" i="12" s="1"/>
  <c r="DD1183" i="12"/>
  <c r="DE1219" i="12"/>
  <c r="DB1219" i="12"/>
  <c r="DF1218" i="12" s="1"/>
  <c r="DD1219" i="12"/>
  <c r="DA1219" i="12"/>
  <c r="DC1219" i="12"/>
  <c r="DE1243" i="12"/>
  <c r="DC1243" i="12"/>
  <c r="DB1243" i="12"/>
  <c r="DF1242" i="12" s="1"/>
  <c r="DA1243" i="12"/>
  <c r="DD1243" i="12"/>
  <c r="DD1207" i="12"/>
  <c r="DB1207" i="12"/>
  <c r="DF1206" i="12" s="1"/>
  <c r="DE1207" i="12"/>
  <c r="DC1207" i="12"/>
  <c r="DA1207" i="12"/>
  <c r="DC1267" i="12"/>
  <c r="DA1267" i="12"/>
  <c r="DE1267" i="12"/>
  <c r="DD1267" i="12"/>
  <c r="DB1267" i="12"/>
  <c r="DA1195" i="12"/>
  <c r="DC1195" i="12"/>
  <c r="DE1195" i="12"/>
  <c r="DD1195" i="12"/>
  <c r="DB1195" i="12"/>
  <c r="DF1194" i="12" s="1"/>
  <c r="DA1231" i="12"/>
  <c r="DB1231" i="12"/>
  <c r="DF1230" i="12" s="1"/>
  <c r="DE1231" i="12"/>
  <c r="DD1231" i="12"/>
  <c r="DC1231" i="12"/>
  <c r="DF1241" i="12"/>
  <c r="DF1169" i="12"/>
  <c r="DF44" i="12"/>
  <c r="DF45" i="12" s="1"/>
  <c r="DF46" i="12" s="1"/>
  <c r="DF47" i="12" s="1"/>
  <c r="DF48" i="12" s="1"/>
  <c r="DF49" i="12" s="1"/>
  <c r="DF50" i="12" s="1"/>
  <c r="DD1292" i="12"/>
  <c r="DE1292" i="12"/>
  <c r="DB1292" i="12"/>
  <c r="DA1292" i="12"/>
  <c r="DC1292" i="12"/>
  <c r="DB1279" i="12"/>
  <c r="DC1279" i="12"/>
  <c r="DA1279" i="12"/>
  <c r="DE1279" i="12"/>
  <c r="DD1279" i="12"/>
  <c r="CY1301" i="12"/>
  <c r="DB1302" i="12"/>
  <c r="CY1300" i="12"/>
  <c r="DD211" i="12"/>
  <c r="DE211" i="12"/>
  <c r="DB211" i="12"/>
  <c r="DC224" i="12"/>
  <c r="CY237" i="12"/>
  <c r="CZ1232" i="12"/>
  <c r="CZ1244" i="12"/>
  <c r="CZ1184" i="12"/>
  <c r="CZ1256" i="12"/>
  <c r="CZ1268" i="12"/>
  <c r="CZ1196" i="12"/>
  <c r="CZ1208" i="12"/>
  <c r="CZ1220" i="12"/>
  <c r="CZ1293" i="12"/>
  <c r="CZ1280" i="12"/>
  <c r="DF1170" i="12" l="1"/>
  <c r="DB1293" i="12"/>
  <c r="DD1293" i="12"/>
  <c r="DC1293" i="12"/>
  <c r="DE1293" i="12"/>
  <c r="DA1293" i="12"/>
  <c r="DD1232" i="12"/>
  <c r="DC1232" i="12"/>
  <c r="DE1232" i="12"/>
  <c r="DB1232" i="12"/>
  <c r="DF1231" i="12" s="1"/>
  <c r="DA1232" i="12"/>
  <c r="DD1268" i="12"/>
  <c r="DE1268" i="12"/>
  <c r="DB1268" i="12"/>
  <c r="DC1268" i="12"/>
  <c r="DA1268" i="12"/>
  <c r="DA1208" i="12"/>
  <c r="DB1208" i="12"/>
  <c r="DF1207" i="12" s="1"/>
  <c r="DE1208" i="12"/>
  <c r="DC1208" i="12"/>
  <c r="DD1208" i="12"/>
  <c r="DE1220" i="12"/>
  <c r="DB1220" i="12"/>
  <c r="DF1219" i="12" s="1"/>
  <c r="DA1220" i="12"/>
  <c r="DD1220" i="12"/>
  <c r="DC1220" i="12"/>
  <c r="DE1256" i="12"/>
  <c r="DD1256" i="12"/>
  <c r="DC1256" i="12"/>
  <c r="DA1256" i="12"/>
  <c r="DB1256" i="12"/>
  <c r="DF1255" i="12" s="1"/>
  <c r="DC1196" i="12"/>
  <c r="DB1196" i="12"/>
  <c r="DF1195" i="12" s="1"/>
  <c r="DA1196" i="12"/>
  <c r="DE1196" i="12"/>
  <c r="DD1196" i="12"/>
  <c r="DC1280" i="12"/>
  <c r="DD1280" i="12"/>
  <c r="DB1280" i="12"/>
  <c r="DE1280" i="12"/>
  <c r="DA1280" i="12"/>
  <c r="DB1244" i="12"/>
  <c r="DF1243" i="12" s="1"/>
  <c r="DD1244" i="12"/>
  <c r="DA1244" i="12"/>
  <c r="DC1244" i="12"/>
  <c r="DE1244" i="12"/>
  <c r="DA1184" i="12"/>
  <c r="DD1184" i="12"/>
  <c r="DC1184" i="12"/>
  <c r="DB1184" i="12"/>
  <c r="DF1184" i="12" s="1"/>
  <c r="DE1184" i="12"/>
  <c r="DF1254" i="12"/>
  <c r="DF54" i="12"/>
  <c r="CY250" i="12"/>
  <c r="DE224" i="12"/>
  <c r="DD224" i="12"/>
  <c r="DD212" i="12"/>
  <c r="DC212" i="12"/>
  <c r="DB212" i="12"/>
  <c r="DE212" i="12"/>
  <c r="DA212" i="12"/>
  <c r="DC237" i="12"/>
  <c r="DB237" i="12" s="1"/>
  <c r="DB224" i="12"/>
  <c r="CZ1281" i="12"/>
  <c r="CZ1209" i="12"/>
  <c r="CZ1257" i="12"/>
  <c r="CZ1221" i="12"/>
  <c r="CZ1233" i="12"/>
  <c r="CZ1197" i="12"/>
  <c r="CZ1269" i="12"/>
  <c r="CZ1294" i="12"/>
  <c r="CZ1245" i="12"/>
  <c r="DF55" i="12" l="1"/>
  <c r="DE1245" i="12"/>
  <c r="DD1245" i="12"/>
  <c r="DB1245" i="12"/>
  <c r="DF1244" i="12" s="1"/>
  <c r="DC1245" i="12"/>
  <c r="DA1245" i="12"/>
  <c r="DC1197" i="12"/>
  <c r="DA1197" i="12"/>
  <c r="DB1197" i="12"/>
  <c r="DF1197" i="12" s="1"/>
  <c r="DE1197" i="12"/>
  <c r="DD1197" i="12"/>
  <c r="DB1221" i="12"/>
  <c r="DF1220" i="12" s="1"/>
  <c r="DC1221" i="12"/>
  <c r="DE1221" i="12"/>
  <c r="DA1221" i="12"/>
  <c r="DD1221" i="12"/>
  <c r="DC1269" i="12"/>
  <c r="DD1269" i="12"/>
  <c r="DE1269" i="12"/>
  <c r="DB1269" i="12"/>
  <c r="DF1268" i="12" s="1"/>
  <c r="DA1269" i="12"/>
  <c r="DC1294" i="12"/>
  <c r="DD1294" i="12"/>
  <c r="DE1294" i="12"/>
  <c r="DB1294" i="12"/>
  <c r="DA1294" i="12"/>
  <c r="DC1281" i="12"/>
  <c r="DB1281" i="12"/>
  <c r="DE1281" i="12"/>
  <c r="DA1281" i="12"/>
  <c r="DD1281" i="12"/>
  <c r="DA1257" i="12"/>
  <c r="DB1257" i="12"/>
  <c r="DF1256" i="12" s="1"/>
  <c r="DE1257" i="12"/>
  <c r="DD1257" i="12"/>
  <c r="DC1257" i="12"/>
  <c r="DA1209" i="12"/>
  <c r="DD1209" i="12"/>
  <c r="DE1209" i="12"/>
  <c r="DB1209" i="12"/>
  <c r="DF1208" i="12" s="1"/>
  <c r="DC1209" i="12"/>
  <c r="DB1233" i="12"/>
  <c r="DC1233" i="12"/>
  <c r="DD1233" i="12"/>
  <c r="DA1233" i="12"/>
  <c r="DE1233" i="12"/>
  <c r="DF1183" i="12"/>
  <c r="DF1267" i="12"/>
  <c r="DD238" i="12"/>
  <c r="DC238" i="12"/>
  <c r="DE238" i="12"/>
  <c r="DA238" i="12"/>
  <c r="DB238" i="12"/>
  <c r="DC250" i="12"/>
  <c r="DB250" i="12" s="1"/>
  <c r="DD237" i="12"/>
  <c r="DE237" i="12"/>
  <c r="DD225" i="12"/>
  <c r="DB225" i="12"/>
  <c r="DC225" i="12"/>
  <c r="DA225" i="12"/>
  <c r="DE225" i="12"/>
  <c r="CY263" i="12"/>
  <c r="CZ1210" i="12"/>
  <c r="CZ1282" i="12"/>
  <c r="CZ1270" i="12"/>
  <c r="CZ1246" i="12"/>
  <c r="CZ1222" i="12"/>
  <c r="CZ1295" i="12"/>
  <c r="CZ1258" i="12"/>
  <c r="CZ1234" i="12"/>
  <c r="DF56" i="12" l="1"/>
  <c r="DF1196" i="12"/>
  <c r="DC1246" i="12"/>
  <c r="DA1246" i="12"/>
  <c r="DB1246" i="12"/>
  <c r="DF1245" i="12" s="1"/>
  <c r="DD1246" i="12"/>
  <c r="DE1246" i="12"/>
  <c r="DA1210" i="12"/>
  <c r="DE1210" i="12"/>
  <c r="DD1210" i="12"/>
  <c r="DB1210" i="12"/>
  <c r="DF1210" i="12" s="1"/>
  <c r="DC1210" i="12"/>
  <c r="DA1282" i="12"/>
  <c r="DE1282" i="12"/>
  <c r="DB1282" i="12"/>
  <c r="DF1281" i="12" s="1"/>
  <c r="DD1282" i="12"/>
  <c r="DC1282" i="12"/>
  <c r="DB1270" i="12"/>
  <c r="DE1270" i="12"/>
  <c r="DD1270" i="12"/>
  <c r="DA1270" i="12"/>
  <c r="DC1270" i="12"/>
  <c r="DA1234" i="12"/>
  <c r="DD1234" i="12"/>
  <c r="DC1234" i="12"/>
  <c r="DE1234" i="12"/>
  <c r="DB1234" i="12"/>
  <c r="DE1258" i="12"/>
  <c r="DA1258" i="12"/>
  <c r="DD1258" i="12"/>
  <c r="DB1258" i="12"/>
  <c r="DF1257" i="12" s="1"/>
  <c r="DC1258" i="12"/>
  <c r="DA1295" i="12"/>
  <c r="DD1295" i="12"/>
  <c r="DB1295" i="12"/>
  <c r="DE1295" i="12"/>
  <c r="DC1295" i="12"/>
  <c r="DE1222" i="12"/>
  <c r="DA1222" i="12"/>
  <c r="DC1222" i="12"/>
  <c r="DB1222" i="12"/>
  <c r="DF1221" i="12" s="1"/>
  <c r="DD1222" i="12"/>
  <c r="DF1232" i="12"/>
  <c r="DF1280" i="12"/>
  <c r="DF1293" i="12"/>
  <c r="DB251" i="12"/>
  <c r="DD251" i="12"/>
  <c r="DC251" i="12"/>
  <c r="DA251" i="12"/>
  <c r="DE251" i="12"/>
  <c r="DC263" i="12"/>
  <c r="DB263" i="12" s="1"/>
  <c r="CY276" i="12"/>
  <c r="DE250" i="12"/>
  <c r="DD250" i="12"/>
  <c r="CZ1247" i="12"/>
  <c r="CZ1259" i="12"/>
  <c r="CZ1283" i="12"/>
  <c r="CZ1223" i="12"/>
  <c r="CZ1271" i="12"/>
  <c r="CZ1235" i="12"/>
  <c r="CZ1296" i="12"/>
  <c r="DF57" i="12" l="1"/>
  <c r="DF1209" i="12"/>
  <c r="DC1223" i="12"/>
  <c r="DB1223" i="12"/>
  <c r="DF1223" i="12" s="1"/>
  <c r="DD1223" i="12"/>
  <c r="DE1223" i="12"/>
  <c r="DA1223" i="12"/>
  <c r="DA1259" i="12"/>
  <c r="DB1259" i="12"/>
  <c r="DF1258" i="12" s="1"/>
  <c r="DE1259" i="12"/>
  <c r="DC1259" i="12"/>
  <c r="DD1259" i="12"/>
  <c r="DC1271" i="12"/>
  <c r="DB1271" i="12"/>
  <c r="DF1270" i="12" s="1"/>
  <c r="DE1271" i="12"/>
  <c r="DD1271" i="12"/>
  <c r="DA1271" i="12"/>
  <c r="DE1296" i="12"/>
  <c r="DD1296" i="12"/>
  <c r="DB1296" i="12"/>
  <c r="DF1295" i="12" s="1"/>
  <c r="DA1296" i="12"/>
  <c r="DC1296" i="12"/>
  <c r="DB1235" i="12"/>
  <c r="DF1234" i="12" s="1"/>
  <c r="DA1235" i="12"/>
  <c r="DE1235" i="12"/>
  <c r="DC1235" i="12"/>
  <c r="DD1235" i="12"/>
  <c r="DE1283" i="12"/>
  <c r="DB1283" i="12"/>
  <c r="DF1282" i="12" s="1"/>
  <c r="DD1283" i="12"/>
  <c r="DA1283" i="12"/>
  <c r="DC1283" i="12"/>
  <c r="DC1247" i="12"/>
  <c r="DB1247" i="12"/>
  <c r="DD1247" i="12"/>
  <c r="DA1247" i="12"/>
  <c r="DE1247" i="12"/>
  <c r="DF1294" i="12"/>
  <c r="DF1269" i="12"/>
  <c r="DF1233" i="12"/>
  <c r="CY289" i="12"/>
  <c r="DD263" i="12"/>
  <c r="DE263" i="12"/>
  <c r="DC276" i="12"/>
  <c r="DB276" i="12" s="1"/>
  <c r="DE264" i="12"/>
  <c r="DA264" i="12"/>
  <c r="DD264" i="12"/>
  <c r="DC264" i="12"/>
  <c r="DB264" i="12"/>
  <c r="CZ1260" i="12"/>
  <c r="CZ1248" i="12"/>
  <c r="CZ1284" i="12"/>
  <c r="CZ1236" i="12"/>
  <c r="CZ1297" i="12"/>
  <c r="CZ1272" i="12"/>
  <c r="DF58" i="12" l="1"/>
  <c r="DF1222" i="12"/>
  <c r="DA1284" i="12"/>
  <c r="DE1284" i="12"/>
  <c r="DC1284" i="12"/>
  <c r="DD1284" i="12"/>
  <c r="DB1284" i="12"/>
  <c r="DF1283" i="12" s="1"/>
  <c r="DD1297" i="12"/>
  <c r="DC1297" i="12"/>
  <c r="DA1297" i="12"/>
  <c r="DE1297" i="12"/>
  <c r="DB1297" i="12"/>
  <c r="DF1296" i="12" s="1"/>
  <c r="DE1260" i="12"/>
  <c r="DC1260" i="12"/>
  <c r="DB1260" i="12"/>
  <c r="DF1259" i="12" s="1"/>
  <c r="DD1260" i="12"/>
  <c r="DA1260" i="12"/>
  <c r="DD1236" i="12"/>
  <c r="DC1236" i="12"/>
  <c r="DE1236" i="12"/>
  <c r="DB1236" i="12"/>
  <c r="DF1236" i="12" s="1"/>
  <c r="DA1236" i="12"/>
  <c r="DE1248" i="12"/>
  <c r="DC1248" i="12"/>
  <c r="DB1248" i="12"/>
  <c r="DF1247" i="12" s="1"/>
  <c r="DD1248" i="12"/>
  <c r="DA1248" i="12"/>
  <c r="DB1272" i="12"/>
  <c r="DF1271" i="12" s="1"/>
  <c r="DA1272" i="12"/>
  <c r="DE1272" i="12"/>
  <c r="DC1272" i="12"/>
  <c r="DD1272" i="12"/>
  <c r="DF1246" i="12"/>
  <c r="DD277" i="12"/>
  <c r="DA277" i="12"/>
  <c r="DE277" i="12"/>
  <c r="DC277" i="12"/>
  <c r="DB277" i="12"/>
  <c r="DC289" i="12"/>
  <c r="DD276" i="12"/>
  <c r="DE276" i="12"/>
  <c r="CY302" i="12"/>
  <c r="CZ1273" i="12"/>
  <c r="CZ1285" i="12"/>
  <c r="CZ1261" i="12"/>
  <c r="CZ1249" i="12"/>
  <c r="CZ1298" i="12"/>
  <c r="DF59" i="12" l="1"/>
  <c r="DF67" i="12" s="1"/>
  <c r="DA1261" i="12"/>
  <c r="DD1261" i="12"/>
  <c r="DC1261" i="12"/>
  <c r="DB1261" i="12"/>
  <c r="DF1260" i="12" s="1"/>
  <c r="DE1261" i="12"/>
  <c r="DE1285" i="12"/>
  <c r="DA1285" i="12"/>
  <c r="DC1285" i="12"/>
  <c r="DD1285" i="12"/>
  <c r="DB1285" i="12"/>
  <c r="DF1284" i="12" s="1"/>
  <c r="DB1273" i="12"/>
  <c r="DF1272" i="12" s="1"/>
  <c r="DC1273" i="12"/>
  <c r="DD1273" i="12"/>
  <c r="DE1273" i="12"/>
  <c r="DA1273" i="12"/>
  <c r="DE1298" i="12"/>
  <c r="DD1298" i="12"/>
  <c r="DA1298" i="12"/>
  <c r="DB1298" i="12"/>
  <c r="DF1297" i="12" s="1"/>
  <c r="DC1298" i="12"/>
  <c r="DD1249" i="12"/>
  <c r="DC1249" i="12"/>
  <c r="DB1249" i="12"/>
  <c r="DF1249" i="12" s="1"/>
  <c r="DA1249" i="12"/>
  <c r="DE1249" i="12"/>
  <c r="DF1235" i="12"/>
  <c r="DE289" i="12"/>
  <c r="DD289" i="12"/>
  <c r="DC302" i="12"/>
  <c r="CY315" i="12"/>
  <c r="DB289" i="12"/>
  <c r="CZ1286" i="12"/>
  <c r="CZ1299" i="12"/>
  <c r="CZ1262" i="12"/>
  <c r="CZ1274" i="12"/>
  <c r="DF68" i="12" l="1"/>
  <c r="DB1274" i="12"/>
  <c r="DF1273" i="12" s="1"/>
  <c r="DD1274" i="12"/>
  <c r="DA1274" i="12"/>
  <c r="DE1274" i="12"/>
  <c r="DC1274" i="12"/>
  <c r="DD1262" i="12"/>
  <c r="DC1262" i="12"/>
  <c r="DA1262" i="12"/>
  <c r="DB1262" i="12"/>
  <c r="DF1262" i="12" s="1"/>
  <c r="DE1262" i="12"/>
  <c r="DA1299" i="12"/>
  <c r="DD1299" i="12"/>
  <c r="DE1299" i="12"/>
  <c r="DC1299" i="12"/>
  <c r="DB1299" i="12"/>
  <c r="DE1286" i="12"/>
  <c r="DC1286" i="12"/>
  <c r="DA1286" i="12"/>
  <c r="DB1286" i="12"/>
  <c r="DF1285" i="12" s="1"/>
  <c r="DD1286" i="12"/>
  <c r="DF1248" i="12"/>
  <c r="CY328" i="12"/>
  <c r="DC315" i="12"/>
  <c r="DB315" i="12" s="1"/>
  <c r="DD302" i="12"/>
  <c r="DE302" i="12"/>
  <c r="DD290" i="12"/>
  <c r="DB290" i="12"/>
  <c r="DE290" i="12"/>
  <c r="DA290" i="12"/>
  <c r="DC290" i="12"/>
  <c r="DB302" i="12"/>
  <c r="CZ1275" i="12"/>
  <c r="CZ1287" i="12"/>
  <c r="CZ1300" i="12"/>
  <c r="DF69" i="12" l="1"/>
  <c r="DA1300" i="12"/>
  <c r="DE1300" i="12"/>
  <c r="DB1300" i="12"/>
  <c r="DF1299" i="12" s="1"/>
  <c r="DC1300" i="12"/>
  <c r="DD1300" i="12"/>
  <c r="DC1275" i="12"/>
  <c r="DB1275" i="12"/>
  <c r="DF1275" i="12" s="1"/>
  <c r="DD1275" i="12"/>
  <c r="DE1275" i="12"/>
  <c r="DA1275" i="12"/>
  <c r="DB1287" i="12"/>
  <c r="DF1286" i="12" s="1"/>
  <c r="DD1287" i="12"/>
  <c r="DE1287" i="12"/>
  <c r="DC1287" i="12"/>
  <c r="DA1287" i="12"/>
  <c r="DF1261" i="12"/>
  <c r="DF1298" i="12"/>
  <c r="DB316" i="12"/>
  <c r="DE316" i="12"/>
  <c r="DA316" i="12"/>
  <c r="DC316" i="12"/>
  <c r="DD316" i="12"/>
  <c r="DE315" i="12"/>
  <c r="DD315" i="12"/>
  <c r="CY341" i="12"/>
  <c r="DE303" i="12"/>
  <c r="DC303" i="12"/>
  <c r="DD303" i="12"/>
  <c r="DA303" i="12"/>
  <c r="DB303" i="12"/>
  <c r="DC328" i="12"/>
  <c r="DB328" i="12" s="1"/>
  <c r="CZ1288" i="12"/>
  <c r="CZ1301" i="12"/>
  <c r="DF70" i="12" l="1"/>
  <c r="DF71" i="12"/>
  <c r="DF72" i="12" s="1"/>
  <c r="DF73" i="12" s="1"/>
  <c r="DF74" i="12" s="1"/>
  <c r="DB1301" i="12"/>
  <c r="DF1300" i="12" s="1"/>
  <c r="DD1301" i="12"/>
  <c r="DC1301" i="12"/>
  <c r="DE1301" i="12"/>
  <c r="DA1301" i="12"/>
  <c r="DC1288" i="12"/>
  <c r="DE1288" i="12"/>
  <c r="DA1288" i="12"/>
  <c r="DB1288" i="12"/>
  <c r="DF1288" i="12" s="1"/>
  <c r="DD1288" i="12"/>
  <c r="DF1274" i="12"/>
  <c r="DA329" i="12"/>
  <c r="DB329" i="12"/>
  <c r="DC329" i="12"/>
  <c r="DE329" i="12"/>
  <c r="DD329" i="12"/>
  <c r="CY354" i="12"/>
  <c r="DE328" i="12"/>
  <c r="DD328" i="12"/>
  <c r="DC341" i="12"/>
  <c r="DF80" i="12" l="1"/>
  <c r="DF1302" i="12"/>
  <c r="DF1301" i="12"/>
  <c r="DF1287" i="12"/>
  <c r="DD341" i="12"/>
  <c r="DE341" i="12"/>
  <c r="DC354" i="12"/>
  <c r="DB354" i="12" s="1"/>
  <c r="DB341" i="12"/>
  <c r="CY367" i="12"/>
  <c r="DF81" i="12" l="1"/>
  <c r="DC367" i="12"/>
  <c r="DB367" i="12" s="1"/>
  <c r="DA342" i="12"/>
  <c r="DE342" i="12"/>
  <c r="DC342" i="12"/>
  <c r="DD342" i="12"/>
  <c r="DB342" i="12"/>
  <c r="CY380" i="12"/>
  <c r="DD354" i="12"/>
  <c r="DE354" i="12"/>
  <c r="DA355" i="12"/>
  <c r="DD355" i="12"/>
  <c r="DC355" i="12"/>
  <c r="DE355" i="12"/>
  <c r="DB355" i="12"/>
  <c r="DF82" i="12" l="1"/>
  <c r="DF97" i="12"/>
  <c r="DD367" i="12"/>
  <c r="DE367" i="12"/>
  <c r="DE368" i="12"/>
  <c r="DC368" i="12"/>
  <c r="DD368" i="12"/>
  <c r="DB368" i="12"/>
  <c r="DA368" i="12"/>
  <c r="DC380" i="12"/>
  <c r="DB380" i="12" s="1"/>
  <c r="CY393" i="12"/>
  <c r="DF83" i="12" l="1"/>
  <c r="DF84" i="12" s="1"/>
  <c r="DF85" i="12" s="1"/>
  <c r="DF86" i="12" s="1"/>
  <c r="DF98" i="12"/>
  <c r="CY406" i="12"/>
  <c r="DC393" i="12"/>
  <c r="DE380" i="12"/>
  <c r="DD380" i="12"/>
  <c r="DD381" i="12"/>
  <c r="DC381" i="12"/>
  <c r="DA381" i="12"/>
  <c r="DE381" i="12"/>
  <c r="DB381" i="12"/>
  <c r="DF93" i="12" l="1"/>
  <c r="DF99" i="12"/>
  <c r="DC406" i="12"/>
  <c r="DB406" i="12" s="1"/>
  <c r="CY419" i="12"/>
  <c r="DE393" i="12"/>
  <c r="DD393" i="12"/>
  <c r="DB393" i="12"/>
  <c r="DF94" i="12" l="1"/>
  <c r="DF100" i="12"/>
  <c r="DC407" i="12"/>
  <c r="DD407" i="12"/>
  <c r="DE407" i="12"/>
  <c r="DA407" i="12"/>
  <c r="DB407" i="12"/>
  <c r="DE406" i="12"/>
  <c r="DD406" i="12"/>
  <c r="DC394" i="12"/>
  <c r="DE394" i="12"/>
  <c r="DD394" i="12"/>
  <c r="DB394" i="12"/>
  <c r="DA394" i="12"/>
  <c r="CY432" i="12"/>
  <c r="DC419" i="12"/>
  <c r="DB419" i="12" s="1"/>
  <c r="DF95" i="12" l="1"/>
  <c r="DF96" i="12" s="1"/>
  <c r="DF101" i="12"/>
  <c r="DD420" i="12"/>
  <c r="DB420" i="12"/>
  <c r="DE420" i="12"/>
  <c r="DA420" i="12"/>
  <c r="DC420" i="12"/>
  <c r="DD419" i="12"/>
  <c r="DE419" i="12"/>
  <c r="CY445" i="12"/>
  <c r="DC432" i="12"/>
  <c r="DB432" i="12" s="1"/>
  <c r="DF102" i="12" l="1"/>
  <c r="DA433" i="12"/>
  <c r="DE433" i="12"/>
  <c r="DC433" i="12"/>
  <c r="DD433" i="12"/>
  <c r="DB433" i="12"/>
  <c r="DE432" i="12"/>
  <c r="DD432" i="12"/>
  <c r="CY458" i="12"/>
  <c r="DC445" i="12"/>
  <c r="DB445" i="12" s="1"/>
  <c r="DF106" i="12" l="1"/>
  <c r="DC458" i="12"/>
  <c r="DB458" i="12" s="1"/>
  <c r="DB446" i="12"/>
  <c r="DA446" i="12"/>
  <c r="DD446" i="12"/>
  <c r="DE446" i="12"/>
  <c r="DC446" i="12"/>
  <c r="CY471" i="12"/>
  <c r="DE445" i="12"/>
  <c r="DD445" i="12"/>
  <c r="DF107" i="12" l="1"/>
  <c r="DA459" i="12"/>
  <c r="DE459" i="12"/>
  <c r="DC459" i="12"/>
  <c r="DB459" i="12"/>
  <c r="DD459" i="12"/>
  <c r="DC471" i="12"/>
  <c r="CY484" i="12"/>
  <c r="DE458" i="12"/>
  <c r="DD458" i="12"/>
  <c r="DF108" i="12" l="1"/>
  <c r="DD471" i="12"/>
  <c r="DE471" i="12"/>
  <c r="DC484" i="12"/>
  <c r="DB484" i="12" s="1"/>
  <c r="DB471" i="12"/>
  <c r="CY497" i="12"/>
  <c r="DF109" i="12" l="1"/>
  <c r="DF124" i="12"/>
  <c r="DF125" i="12" s="1"/>
  <c r="DF126" i="12" s="1"/>
  <c r="DF127" i="12" s="1"/>
  <c r="DF128" i="12" s="1"/>
  <c r="DA472" i="12"/>
  <c r="DE472" i="12"/>
  <c r="DC472" i="12"/>
  <c r="DD472" i="12"/>
  <c r="DB472" i="12"/>
  <c r="CY510" i="12"/>
  <c r="DE485" i="12"/>
  <c r="DC485" i="12"/>
  <c r="DA485" i="12"/>
  <c r="DD485" i="12"/>
  <c r="DB485" i="12"/>
  <c r="DC497" i="12"/>
  <c r="DB497" i="12" s="1"/>
  <c r="DD484" i="12"/>
  <c r="DE484" i="12"/>
  <c r="DF110" i="12" l="1"/>
  <c r="DE498" i="12"/>
  <c r="DD498" i="12"/>
  <c r="DA498" i="12"/>
  <c r="DC498" i="12"/>
  <c r="DB498" i="12"/>
  <c r="CY523" i="12"/>
  <c r="DC510" i="12"/>
  <c r="DB510" i="12" s="1"/>
  <c r="DD497" i="12"/>
  <c r="DE497" i="12"/>
  <c r="DF111" i="12" l="1"/>
  <c r="DF112" i="12" s="1"/>
  <c r="DC523" i="12"/>
  <c r="DB523" i="12" s="1"/>
  <c r="DC511" i="12"/>
  <c r="DD511" i="12"/>
  <c r="DE511" i="12"/>
  <c r="DA511" i="12"/>
  <c r="DB511" i="12"/>
  <c r="DD510" i="12"/>
  <c r="DE510" i="12"/>
  <c r="CY536" i="12"/>
  <c r="DF119" i="12" l="1"/>
  <c r="DC524" i="12"/>
  <c r="DA524" i="12"/>
  <c r="DD524" i="12"/>
  <c r="DE524" i="12"/>
  <c r="DB524" i="12"/>
  <c r="DD523" i="12"/>
  <c r="DE523" i="12"/>
  <c r="DC536" i="12"/>
  <c r="CY549" i="12"/>
  <c r="DF120" i="12" l="1"/>
  <c r="DC549" i="12"/>
  <c r="DB549" i="12" s="1"/>
  <c r="CY562" i="12"/>
  <c r="DD536" i="12"/>
  <c r="DE536" i="12"/>
  <c r="DB536" i="12"/>
  <c r="DF121" i="12" l="1"/>
  <c r="DB550" i="12"/>
  <c r="DC550" i="12"/>
  <c r="DE550" i="12"/>
  <c r="DD550" i="12"/>
  <c r="DA550" i="12"/>
  <c r="DA537" i="12"/>
  <c r="DC537" i="12"/>
  <c r="DE537" i="12"/>
  <c r="DD537" i="12"/>
  <c r="DB537" i="12"/>
  <c r="DD549" i="12"/>
  <c r="DE549" i="12"/>
  <c r="DC562" i="12"/>
  <c r="DB562" i="12" s="1"/>
  <c r="CY575" i="12"/>
  <c r="DF122" i="12" l="1"/>
  <c r="DA563" i="12"/>
  <c r="DD563" i="12"/>
  <c r="DE563" i="12"/>
  <c r="DC563" i="12"/>
  <c r="DB563" i="12"/>
  <c r="CY588" i="12"/>
  <c r="DC575" i="12"/>
  <c r="DB575" i="12" s="1"/>
  <c r="DD562" i="12"/>
  <c r="DE562" i="12"/>
  <c r="DF123" i="12" l="1"/>
  <c r="DF137" i="12"/>
  <c r="DD575" i="12"/>
  <c r="DE575" i="12"/>
  <c r="CY601" i="12"/>
  <c r="DC588" i="12"/>
  <c r="DB588" i="12" s="1"/>
  <c r="DD576" i="12"/>
  <c r="DC576" i="12"/>
  <c r="DA576" i="12"/>
  <c r="DE576" i="12"/>
  <c r="DB576" i="12"/>
  <c r="DF132" i="12" l="1"/>
  <c r="DF138" i="12"/>
  <c r="DA589" i="12"/>
  <c r="DD589" i="12"/>
  <c r="DC589" i="12"/>
  <c r="DE589" i="12"/>
  <c r="DB589" i="12"/>
  <c r="DE588" i="12"/>
  <c r="DD588" i="12"/>
  <c r="CY614" i="12"/>
  <c r="DC601" i="12"/>
  <c r="DB601" i="12" s="1"/>
  <c r="DF133" i="12" l="1"/>
  <c r="DF134" i="12" s="1"/>
  <c r="DC614" i="12"/>
  <c r="DB614" i="12" s="1"/>
  <c r="CY627" i="12"/>
  <c r="DE602" i="12"/>
  <c r="DC602" i="12"/>
  <c r="DD602" i="12"/>
  <c r="DA602" i="12"/>
  <c r="DB602" i="12"/>
  <c r="DE601" i="12"/>
  <c r="DD601" i="12"/>
  <c r="DF135" i="12" l="1"/>
  <c r="DF136" i="12" s="1"/>
  <c r="DF145" i="12" s="1"/>
  <c r="DF146" i="12" s="1"/>
  <c r="DF147" i="12" s="1"/>
  <c r="DF148" i="12" s="1"/>
  <c r="DF149" i="12" s="1"/>
  <c r="DC615" i="12"/>
  <c r="DA615" i="12"/>
  <c r="DD615" i="12"/>
  <c r="DE615" i="12"/>
  <c r="DB615" i="12"/>
  <c r="DE614" i="12"/>
  <c r="DD614" i="12"/>
  <c r="CY640" i="12"/>
  <c r="DC627" i="12"/>
  <c r="DF158" i="12" l="1"/>
  <c r="DF159" i="12" s="1"/>
  <c r="DF160" i="12" s="1"/>
  <c r="DC640" i="12"/>
  <c r="DB640" i="12" s="1"/>
  <c r="DD627" i="12"/>
  <c r="DE627" i="12"/>
  <c r="CY653" i="12"/>
  <c r="DB627" i="12"/>
  <c r="DF161" i="12" l="1"/>
  <c r="DF162" i="12" s="1"/>
  <c r="DF163" i="12" s="1"/>
  <c r="DF164" i="12" s="1"/>
  <c r="DA641" i="12"/>
  <c r="DD641" i="12"/>
  <c r="DB641" i="12"/>
  <c r="DC641" i="12"/>
  <c r="DE641" i="12"/>
  <c r="DE640" i="12"/>
  <c r="DD640" i="12"/>
  <c r="CY666" i="12"/>
  <c r="DB628" i="12"/>
  <c r="DC628" i="12"/>
  <c r="DE628" i="12"/>
  <c r="DD628" i="12"/>
  <c r="DA628" i="12"/>
  <c r="DC653" i="12"/>
  <c r="DB653" i="12" s="1"/>
  <c r="DF171" i="12" l="1"/>
  <c r="DC666" i="12"/>
  <c r="DC654" i="12"/>
  <c r="DA654" i="12"/>
  <c r="DE654" i="12"/>
  <c r="DD654" i="12"/>
  <c r="DB654" i="12"/>
  <c r="CY679" i="12"/>
  <c r="DD653" i="12"/>
  <c r="DE653" i="12"/>
  <c r="DF172" i="12" l="1"/>
  <c r="DD666" i="12"/>
  <c r="DE666" i="12"/>
  <c r="DB666" i="12"/>
  <c r="CY692" i="12"/>
  <c r="DC679" i="12"/>
  <c r="DB679" i="12" s="1"/>
  <c r="DF173" i="12" l="1"/>
  <c r="DC692" i="12"/>
  <c r="CY705" i="12"/>
  <c r="DD667" i="12"/>
  <c r="DB667" i="12"/>
  <c r="DE667" i="12"/>
  <c r="DC667" i="12"/>
  <c r="DA667" i="12"/>
  <c r="DD680" i="12"/>
  <c r="DE680" i="12"/>
  <c r="DB680" i="12"/>
  <c r="DA680" i="12"/>
  <c r="DC680" i="12"/>
  <c r="DD679" i="12"/>
  <c r="DE679" i="12"/>
  <c r="DF174" i="12" l="1"/>
  <c r="DC705" i="12"/>
  <c r="DD692" i="12"/>
  <c r="DE692" i="12"/>
  <c r="DB692" i="12"/>
  <c r="CY718" i="12"/>
  <c r="DF175" i="12" l="1"/>
  <c r="DC718" i="12"/>
  <c r="CY731" i="12"/>
  <c r="DD705" i="12"/>
  <c r="DE705" i="12"/>
  <c r="DE693" i="12"/>
  <c r="DC693" i="12"/>
  <c r="DA693" i="12"/>
  <c r="DB693" i="12"/>
  <c r="DD693" i="12"/>
  <c r="DB705" i="12"/>
  <c r="DF184" i="12" l="1"/>
  <c r="DC731" i="12"/>
  <c r="DB731" i="12" s="1"/>
  <c r="DE718" i="12"/>
  <c r="DD718" i="12"/>
  <c r="DB718" i="12"/>
  <c r="CY744" i="12"/>
  <c r="DE706" i="12"/>
  <c r="DC706" i="12"/>
  <c r="DD706" i="12"/>
  <c r="DA706" i="12"/>
  <c r="DB706" i="12"/>
  <c r="DF185" i="12" l="1"/>
  <c r="DC732" i="12"/>
  <c r="DD732" i="12"/>
  <c r="DE732" i="12"/>
  <c r="DA732" i="12"/>
  <c r="DB732" i="12"/>
  <c r="DC719" i="12"/>
  <c r="DD719" i="12"/>
  <c r="DE719" i="12"/>
  <c r="DA719" i="12"/>
  <c r="DB719" i="12"/>
  <c r="DC744" i="12"/>
  <c r="DB744" i="12" s="1"/>
  <c r="CY757" i="12"/>
  <c r="DE731" i="12"/>
  <c r="DD731" i="12"/>
  <c r="DF186" i="12" l="1"/>
  <c r="CY770" i="12"/>
  <c r="DC757" i="12"/>
  <c r="DB757" i="12" s="1"/>
  <c r="DC745" i="12"/>
  <c r="DA745" i="12"/>
  <c r="DD745" i="12"/>
  <c r="DE745" i="12"/>
  <c r="DB745" i="12"/>
  <c r="DD744" i="12"/>
  <c r="DE744" i="12"/>
  <c r="DF187" i="12" l="1"/>
  <c r="DE758" i="12"/>
  <c r="DA758" i="12"/>
  <c r="DC758" i="12"/>
  <c r="DB758" i="12"/>
  <c r="DD758" i="12"/>
  <c r="DE757" i="12"/>
  <c r="DD757" i="12"/>
  <c r="DC770" i="12"/>
  <c r="CY783" i="12"/>
  <c r="DF188" i="12" l="1"/>
  <c r="DF189" i="12" s="1"/>
  <c r="DF190" i="12" s="1"/>
  <c r="DF191" i="12" s="1"/>
  <c r="DF192" i="12" s="1"/>
  <c r="DD770" i="12"/>
  <c r="DE770" i="12"/>
  <c r="CY796" i="12"/>
  <c r="DC783" i="12"/>
  <c r="DB783" i="12" s="1"/>
  <c r="DB770" i="12"/>
  <c r="DF197" i="12" l="1"/>
  <c r="DA771" i="12"/>
  <c r="DD771" i="12"/>
  <c r="DE771" i="12"/>
  <c r="DC771" i="12"/>
  <c r="DB771" i="12"/>
  <c r="DA784" i="12"/>
  <c r="DE784" i="12"/>
  <c r="DC784" i="12"/>
  <c r="DD784" i="12"/>
  <c r="DB784" i="12"/>
  <c r="DD783" i="12"/>
  <c r="DE783" i="12"/>
  <c r="CY809" i="12"/>
  <c r="DC796" i="12"/>
  <c r="DB796" i="12" s="1"/>
  <c r="DF198" i="12" l="1"/>
  <c r="DE797" i="12"/>
  <c r="DC797" i="12"/>
  <c r="DA797" i="12"/>
  <c r="DD797" i="12"/>
  <c r="DB797" i="12"/>
  <c r="DC809" i="12"/>
  <c r="DB809" i="12" s="1"/>
  <c r="CY822" i="12"/>
  <c r="DE796" i="12"/>
  <c r="DD796" i="12"/>
  <c r="DF199" i="12" l="1"/>
  <c r="DC822" i="12"/>
  <c r="DD810" i="12"/>
  <c r="DE810" i="12"/>
  <c r="DA810" i="12"/>
  <c r="DC810" i="12"/>
  <c r="DB810" i="12"/>
  <c r="CY835" i="12"/>
  <c r="DD809" i="12"/>
  <c r="DE809" i="12"/>
  <c r="DF200" i="12" l="1"/>
  <c r="DE822" i="12"/>
  <c r="DD822" i="12"/>
  <c r="CY848" i="12"/>
  <c r="DB822" i="12"/>
  <c r="DC835" i="12"/>
  <c r="DF201" i="12" l="1"/>
  <c r="DF202" i="12" s="1"/>
  <c r="DF203" i="12" s="1"/>
  <c r="DF204" i="12" s="1"/>
  <c r="DF205" i="12" s="1"/>
  <c r="DC848" i="12"/>
  <c r="CY861" i="12"/>
  <c r="DE823" i="12"/>
  <c r="DD823" i="12"/>
  <c r="DA823" i="12"/>
  <c r="DC823" i="12"/>
  <c r="DB823" i="12"/>
  <c r="DE835" i="12"/>
  <c r="DD835" i="12"/>
  <c r="DB835" i="12"/>
  <c r="DF210" i="12" l="1"/>
  <c r="DC861" i="12"/>
  <c r="DD848" i="12"/>
  <c r="DE848" i="12"/>
  <c r="DB848" i="12"/>
  <c r="DA836" i="12"/>
  <c r="DC836" i="12"/>
  <c r="DD836" i="12"/>
  <c r="DE836" i="12"/>
  <c r="DB836" i="12"/>
  <c r="CY874" i="12"/>
  <c r="DF211" i="12" l="1"/>
  <c r="CY887" i="12"/>
  <c r="DE849" i="12"/>
  <c r="DC849" i="12"/>
  <c r="DD849" i="12"/>
  <c r="DA849" i="12"/>
  <c r="DB849" i="12"/>
  <c r="DE861" i="12"/>
  <c r="DD861" i="12"/>
  <c r="DC874" i="12"/>
  <c r="DB874" i="12" s="1"/>
  <c r="DB861" i="12"/>
  <c r="DF212" i="12" l="1"/>
  <c r="DA875" i="12"/>
  <c r="DC875" i="12"/>
  <c r="DD875" i="12"/>
  <c r="DE875" i="12"/>
  <c r="DB875" i="12"/>
  <c r="DC887" i="12"/>
  <c r="DB887" i="12" s="1"/>
  <c r="DC862" i="12"/>
  <c r="DD862" i="12"/>
  <c r="DE862" i="12"/>
  <c r="DA862" i="12"/>
  <c r="DB862" i="12"/>
  <c r="CY900" i="12"/>
  <c r="DE874" i="12"/>
  <c r="DD874" i="12"/>
  <c r="DF213" i="12" l="1"/>
  <c r="DD888" i="12"/>
  <c r="DE888" i="12"/>
  <c r="DA888" i="12"/>
  <c r="DC888" i="12"/>
  <c r="DB888" i="12"/>
  <c r="DC900" i="12"/>
  <c r="DB900" i="12" s="1"/>
  <c r="CY913" i="12"/>
  <c r="DD887" i="12"/>
  <c r="DE887" i="12"/>
  <c r="DF223" i="12" l="1"/>
  <c r="DE900" i="12"/>
  <c r="DD900" i="12"/>
  <c r="DD901" i="12"/>
  <c r="DE901" i="12"/>
  <c r="DC901" i="12"/>
  <c r="DA901" i="12"/>
  <c r="DB901" i="12"/>
  <c r="CY926" i="12"/>
  <c r="DC913" i="12"/>
  <c r="DF224" i="12" l="1"/>
  <c r="DD913" i="12"/>
  <c r="DE913" i="12"/>
  <c r="DC926" i="12"/>
  <c r="CY939" i="12"/>
  <c r="DB913" i="12"/>
  <c r="DF225" i="12" l="1"/>
  <c r="DC939" i="12"/>
  <c r="DE926" i="12"/>
  <c r="DD926" i="12"/>
  <c r="CY952" i="12"/>
  <c r="DD914" i="12"/>
  <c r="DE914" i="12"/>
  <c r="DC914" i="12"/>
  <c r="DA914" i="12"/>
  <c r="DB914" i="12"/>
  <c r="DB926" i="12"/>
  <c r="DF226" i="12" l="1"/>
  <c r="DA927" i="12"/>
  <c r="DD927" i="12"/>
  <c r="DC927" i="12"/>
  <c r="DE927" i="12"/>
  <c r="DB927" i="12"/>
  <c r="CY965" i="12"/>
  <c r="DC952" i="12"/>
  <c r="DB952" i="12" s="1"/>
  <c r="DE939" i="12"/>
  <c r="DD939" i="12"/>
  <c r="DB939" i="12"/>
  <c r="DF227" i="12" l="1"/>
  <c r="DA953" i="12"/>
  <c r="DC953" i="12"/>
  <c r="DB953" i="12"/>
  <c r="DD953" i="12"/>
  <c r="DE953" i="12"/>
  <c r="DC965" i="12"/>
  <c r="DB965" i="12" s="1"/>
  <c r="DA940" i="12"/>
  <c r="DD940" i="12"/>
  <c r="DC940" i="12"/>
  <c r="DE940" i="12"/>
  <c r="DB940" i="12"/>
  <c r="DD952" i="12"/>
  <c r="DE952" i="12"/>
  <c r="CY978" i="12"/>
  <c r="DF228" i="12" l="1"/>
  <c r="DE966" i="12"/>
  <c r="DD966" i="12"/>
  <c r="DA966" i="12"/>
  <c r="DB966" i="12"/>
  <c r="DC966" i="12"/>
  <c r="DC978" i="12"/>
  <c r="DB978" i="12" s="1"/>
  <c r="CY991" i="12"/>
  <c r="DE965" i="12"/>
  <c r="DD965" i="12"/>
  <c r="DF229" i="12" l="1"/>
  <c r="DD979" i="12"/>
  <c r="DE979" i="12"/>
  <c r="DC979" i="12"/>
  <c r="DA979" i="12"/>
  <c r="DB979" i="12"/>
  <c r="CY1004" i="12"/>
  <c r="DC991" i="12"/>
  <c r="DD978" i="12"/>
  <c r="DE978" i="12"/>
  <c r="DF230" i="12" l="1"/>
  <c r="CY1017" i="12"/>
  <c r="DD991" i="12"/>
  <c r="DE991" i="12"/>
  <c r="DB991" i="12"/>
  <c r="DC1004" i="12"/>
  <c r="DB1004" i="12" s="1"/>
  <c r="DF231" i="12" l="1"/>
  <c r="DA1005" i="12"/>
  <c r="DD1005" i="12"/>
  <c r="DC1005" i="12"/>
  <c r="DE1005" i="12"/>
  <c r="DB1005" i="12"/>
  <c r="DA992" i="12"/>
  <c r="DD992" i="12"/>
  <c r="DC992" i="12"/>
  <c r="DE992" i="12"/>
  <c r="DB992" i="12"/>
  <c r="DE1004" i="12"/>
  <c r="DD1004" i="12"/>
  <c r="CY1030" i="12"/>
  <c r="DC1017" i="12"/>
  <c r="DB1017" i="12" s="1"/>
  <c r="DF236" i="12" l="1"/>
  <c r="DC1018" i="12"/>
  <c r="DA1018" i="12"/>
  <c r="DE1018" i="12"/>
  <c r="DD1018" i="12"/>
  <c r="DB1018" i="12"/>
  <c r="DD1017" i="12"/>
  <c r="DE1017" i="12"/>
  <c r="CY1043" i="12"/>
  <c r="DC1030" i="12"/>
  <c r="DB1030" i="12" s="1"/>
  <c r="DF237" i="12" l="1"/>
  <c r="DD1031" i="12"/>
  <c r="DC1031" i="12"/>
  <c r="DA1031" i="12"/>
  <c r="DE1031" i="12"/>
  <c r="DB1031" i="12"/>
  <c r="DE1030" i="12"/>
  <c r="DD1030" i="12"/>
  <c r="CY1056" i="12"/>
  <c r="DC1043" i="12"/>
  <c r="DF238" i="12" l="1"/>
  <c r="DC1056" i="12"/>
  <c r="DB1056" i="12" s="1"/>
  <c r="DD1043" i="12"/>
  <c r="DE1043" i="12"/>
  <c r="CY1069" i="12"/>
  <c r="DB1043" i="12"/>
  <c r="DF239" i="12" l="1"/>
  <c r="DB1057" i="12"/>
  <c r="DC1057" i="12"/>
  <c r="DA1057" i="12"/>
  <c r="DE1057" i="12"/>
  <c r="DD1057" i="12"/>
  <c r="DE1056" i="12"/>
  <c r="DD1056" i="12"/>
  <c r="DC1069" i="12"/>
  <c r="DB1069" i="12" s="1"/>
  <c r="DE1044" i="12"/>
  <c r="DC1044" i="12"/>
  <c r="DA1044" i="12"/>
  <c r="DD1044" i="12"/>
  <c r="DB1044" i="12"/>
  <c r="CY1082" i="12"/>
  <c r="DF240" i="12" l="1"/>
  <c r="DB1070" i="12"/>
  <c r="DA1070" i="12"/>
  <c r="DE1070" i="12"/>
  <c r="DD1070" i="12"/>
  <c r="DC1070" i="12"/>
  <c r="DF1058" i="12"/>
  <c r="DC1082" i="12"/>
  <c r="CY1095" i="12"/>
  <c r="DF1045" i="12"/>
  <c r="DD1069" i="12"/>
  <c r="DE1069" i="12"/>
  <c r="DF249" i="12" l="1"/>
  <c r="CY1108" i="12"/>
  <c r="DF1071" i="12"/>
  <c r="DE1082" i="12"/>
  <c r="DD1082" i="12"/>
  <c r="DB1082" i="12"/>
  <c r="DC1095" i="12"/>
  <c r="DB1095" i="12" s="1"/>
  <c r="DF250" i="12" l="1"/>
  <c r="CY1121" i="12"/>
  <c r="DC1108" i="12"/>
  <c r="DA1096" i="12"/>
  <c r="DD1096" i="12"/>
  <c r="DC1096" i="12"/>
  <c r="DE1096" i="12"/>
  <c r="DB1096" i="12"/>
  <c r="DE1095" i="12"/>
  <c r="DD1095" i="12"/>
  <c r="DE1083" i="12"/>
  <c r="DC1083" i="12"/>
  <c r="DA1083" i="12"/>
  <c r="DD1083" i="12"/>
  <c r="DB1083" i="12"/>
  <c r="DF251" i="12" l="1"/>
  <c r="DC1121" i="12"/>
  <c r="DB1121" i="12" s="1"/>
  <c r="DE1108" i="12"/>
  <c r="DD1108" i="12"/>
  <c r="DF1097" i="12"/>
  <c r="CY1134" i="12"/>
  <c r="DF1084" i="12"/>
  <c r="DB1108" i="12"/>
  <c r="DF252" i="12" l="1"/>
  <c r="DE1122" i="12"/>
  <c r="DD1122" i="12"/>
  <c r="DC1122" i="12"/>
  <c r="DA1122" i="12"/>
  <c r="DB1122" i="12"/>
  <c r="DC1134" i="12"/>
  <c r="CY1147" i="12"/>
  <c r="DC1109" i="12"/>
  <c r="DA1109" i="12"/>
  <c r="DE1109" i="12"/>
  <c r="DD1109" i="12"/>
  <c r="DB1109" i="12"/>
  <c r="DE1121" i="12"/>
  <c r="DD1121" i="12"/>
  <c r="DF253" i="12" l="1"/>
  <c r="DE1134" i="12"/>
  <c r="DD1134" i="12"/>
  <c r="DC1147" i="12"/>
  <c r="DB1147" i="12" s="1"/>
  <c r="DF1123" i="12"/>
  <c r="DF1110" i="12"/>
  <c r="CY1160" i="12"/>
  <c r="DB1134" i="12"/>
  <c r="DF262" i="12" l="1"/>
  <c r="DC1160" i="12"/>
  <c r="DB1160" i="12" s="1"/>
  <c r="DD1148" i="12"/>
  <c r="DE1148" i="12"/>
  <c r="DA1148" i="12"/>
  <c r="DC1148" i="12"/>
  <c r="DB1148" i="12"/>
  <c r="DA1135" i="12"/>
  <c r="DE1135" i="12"/>
  <c r="DD1135" i="12"/>
  <c r="DB1135" i="12"/>
  <c r="DC1135" i="12"/>
  <c r="CY1173" i="12"/>
  <c r="DD1147" i="12"/>
  <c r="DE1147" i="12"/>
  <c r="DF263" i="12" l="1"/>
  <c r="DE1161" i="12"/>
  <c r="DB1161" i="12"/>
  <c r="DD1161" i="12"/>
  <c r="DA1161" i="12"/>
  <c r="DC1161" i="12"/>
  <c r="DF1136" i="12"/>
  <c r="DD1160" i="12"/>
  <c r="DE1160" i="12"/>
  <c r="DC1173" i="12"/>
  <c r="DB1173" i="12" s="1"/>
  <c r="CY1186" i="12"/>
  <c r="DF1149" i="12"/>
  <c r="DF264" i="12" l="1"/>
  <c r="DF265" i="12" s="1"/>
  <c r="CY1199" i="12"/>
  <c r="DE1174" i="12"/>
  <c r="DA1174" i="12"/>
  <c r="DC1174" i="12"/>
  <c r="DB1174" i="12"/>
  <c r="DD1174" i="12"/>
  <c r="DF1162" i="12"/>
  <c r="DC1186" i="12"/>
  <c r="DE1173" i="12"/>
  <c r="DD1173" i="12"/>
  <c r="DF275" i="12" l="1"/>
  <c r="CY1212" i="12"/>
  <c r="DE1186" i="12"/>
  <c r="DD1186" i="12"/>
  <c r="DB1186" i="12"/>
  <c r="DC1199" i="12"/>
  <c r="DF1175" i="12"/>
  <c r="DF276" i="12" l="1"/>
  <c r="DC1212" i="12"/>
  <c r="DB1212" i="12" s="1"/>
  <c r="DD1199" i="12"/>
  <c r="DE1199" i="12"/>
  <c r="DC1187" i="12"/>
  <c r="DA1187" i="12"/>
  <c r="DD1187" i="12"/>
  <c r="DE1187" i="12"/>
  <c r="DB1187" i="12"/>
  <c r="CY1225" i="12"/>
  <c r="DB1199" i="12"/>
  <c r="DF277" i="12" l="1"/>
  <c r="DF278" i="12" s="1"/>
  <c r="DD1213" i="12"/>
  <c r="DA1213" i="12"/>
  <c r="DE1213" i="12"/>
  <c r="DC1213" i="12"/>
  <c r="DB1213" i="12"/>
  <c r="DC1225" i="12"/>
  <c r="DD1200" i="12"/>
  <c r="DE1200" i="12"/>
  <c r="DC1200" i="12"/>
  <c r="DA1200" i="12"/>
  <c r="DB1200" i="12"/>
  <c r="CY1238" i="12"/>
  <c r="DF1188" i="12"/>
  <c r="DE1212" i="12"/>
  <c r="DD1212" i="12"/>
  <c r="DF288" i="12" l="1"/>
  <c r="DD1225" i="12"/>
  <c r="DE1225" i="12"/>
  <c r="CY1251" i="12"/>
  <c r="DF1214" i="12"/>
  <c r="DF1201" i="12"/>
  <c r="DC1238" i="12"/>
  <c r="DB1238" i="12" s="1"/>
  <c r="DB1225" i="12"/>
  <c r="DF289" i="12" l="1"/>
  <c r="CY1264" i="12"/>
  <c r="DC1226" i="12"/>
  <c r="DD1226" i="12"/>
  <c r="DA1226" i="12"/>
  <c r="DB1226" i="12"/>
  <c r="DE1226" i="12"/>
  <c r="DE1238" i="12"/>
  <c r="DD1238" i="12"/>
  <c r="DA1239" i="12"/>
  <c r="DC1239" i="12"/>
  <c r="DE1239" i="12"/>
  <c r="DD1239" i="12"/>
  <c r="DB1239" i="12"/>
  <c r="DC1251" i="12"/>
  <c r="DF290" i="12" l="1"/>
  <c r="DF291" i="12" s="1"/>
  <c r="DF1227" i="12"/>
  <c r="DD1251" i="12"/>
  <c r="DE1251" i="12"/>
  <c r="DF1240" i="12"/>
  <c r="CY1277" i="12"/>
  <c r="DB1251" i="12"/>
  <c r="DC1264" i="12"/>
  <c r="DB1264" i="12" s="1"/>
  <c r="DF301" i="12" l="1"/>
  <c r="DA1265" i="12"/>
  <c r="DC1265" i="12"/>
  <c r="DD1265" i="12"/>
  <c r="DB1265" i="12"/>
  <c r="DE1265" i="12"/>
  <c r="DC1277" i="12"/>
  <c r="CY1290" i="12"/>
  <c r="DE1264" i="12"/>
  <c r="DD1264" i="12"/>
  <c r="DC1252" i="12"/>
  <c r="DD1252" i="12"/>
  <c r="DE1252" i="12"/>
  <c r="DB1252" i="12"/>
  <c r="DA1252" i="12"/>
  <c r="DF302" i="12" l="1"/>
  <c r="DD1277" i="12"/>
  <c r="DE1277" i="12"/>
  <c r="DC1290" i="12"/>
  <c r="DF1253" i="12"/>
  <c r="DF1266" i="12"/>
  <c r="DB1277" i="12"/>
  <c r="DF303" i="12" l="1"/>
  <c r="DF304" i="12" s="1"/>
  <c r="DA1278" i="12"/>
  <c r="DB1278" i="12"/>
  <c r="DC1278" i="12"/>
  <c r="DD1278" i="12"/>
  <c r="DE1278" i="12"/>
  <c r="DE1290" i="12"/>
  <c r="DD1290" i="12"/>
  <c r="DB1290" i="12"/>
  <c r="DF314" i="12" l="1"/>
  <c r="DF1279" i="12"/>
  <c r="DB1291" i="12"/>
  <c r="DE1291" i="12"/>
  <c r="DA1291" i="12"/>
  <c r="DD1291" i="12"/>
  <c r="DC1291" i="12"/>
  <c r="DF315" i="12" l="1"/>
  <c r="DF1292" i="12"/>
  <c r="DF316" i="12" l="1"/>
  <c r="DF317" i="12" s="1"/>
  <c r="DF327" i="12" l="1"/>
  <c r="DF328" i="12" l="1"/>
  <c r="DF329" i="12" l="1"/>
  <c r="DF330" i="12" s="1"/>
  <c r="CD187" i="12"/>
  <c r="DF340" i="12" l="1"/>
  <c r="DF341" i="12" l="1"/>
  <c r="DF342" i="12" l="1"/>
  <c r="DF343" i="12" s="1"/>
  <c r="CD174" i="12"/>
  <c r="DF353" i="12" l="1"/>
  <c r="DF354" i="12" l="1"/>
  <c r="DF355" i="12" l="1"/>
  <c r="DF356" i="12" s="1"/>
  <c r="DF366" i="12" l="1"/>
  <c r="DF367" i="12" l="1"/>
  <c r="CD122" i="12"/>
  <c r="DF368" i="12" l="1"/>
  <c r="DF369" i="12" s="1"/>
  <c r="DF379" i="12" l="1"/>
  <c r="DF380" i="12" l="1"/>
  <c r="CD157" i="12"/>
  <c r="DF381" i="12" l="1"/>
  <c r="DF382" i="12" s="1"/>
  <c r="DF392" i="12" l="1"/>
  <c r="CD108" i="12"/>
  <c r="DF393" i="12" l="1"/>
  <c r="DF394" i="12" l="1"/>
  <c r="DF395" i="12" s="1"/>
  <c r="CD114" i="12"/>
  <c r="DF405" i="12" l="1"/>
  <c r="DF406" i="12" l="1"/>
  <c r="DF407" i="12" l="1"/>
  <c r="DF408" i="12" s="1"/>
  <c r="DF418" i="12" l="1"/>
  <c r="DF419" i="12" l="1"/>
  <c r="DF420" i="12" l="1"/>
  <c r="DF421" i="12" s="1"/>
  <c r="DF431" i="12" l="1"/>
  <c r="DF432" i="12" l="1"/>
  <c r="DF433" i="12" l="1"/>
  <c r="DF434" i="12" s="1"/>
  <c r="DF444" i="12" l="1"/>
  <c r="DF445" i="12" l="1"/>
  <c r="DF446" i="12" l="1"/>
  <c r="DF447" i="12" s="1"/>
  <c r="DF457" i="12" l="1"/>
  <c r="DF458" i="12" l="1"/>
  <c r="DF459" i="12" l="1"/>
  <c r="DF460" i="12" s="1"/>
  <c r="DF470" i="12" l="1"/>
  <c r="DF471" i="12" l="1"/>
  <c r="DF472" i="12" l="1"/>
  <c r="DF473" i="12" s="1"/>
  <c r="DF483" i="12" l="1"/>
  <c r="DF484" i="12" l="1"/>
  <c r="DF485" i="12" l="1"/>
  <c r="DF486" i="12" s="1"/>
  <c r="DF496" i="12" l="1"/>
  <c r="DF497" i="12" l="1"/>
  <c r="DF498" i="12" l="1"/>
  <c r="DF499" i="12" s="1"/>
  <c r="DF509" i="12" l="1"/>
  <c r="DF510" i="12" s="1"/>
  <c r="DF511" i="12" s="1"/>
  <c r="DF512" i="12" l="1"/>
  <c r="DF522" i="12" s="1"/>
  <c r="DF523" i="12" l="1"/>
  <c r="DF524" i="12" s="1"/>
  <c r="DF525" i="12" l="1"/>
  <c r="DF535" i="12" s="1"/>
  <c r="DF536" i="12" l="1"/>
  <c r="DF537" i="12" s="1"/>
  <c r="DF538" i="12" l="1"/>
  <c r="DF548" i="12" s="1"/>
  <c r="DF549" i="12" l="1"/>
  <c r="DF550" i="12" s="1"/>
  <c r="DF551" i="12" l="1"/>
  <c r="DF561" i="12" s="1"/>
  <c r="DF562" i="12" l="1"/>
  <c r="DF563" i="12" s="1"/>
  <c r="DF564" i="12" l="1"/>
  <c r="DF574" i="12" s="1"/>
  <c r="DF575" i="12" l="1"/>
  <c r="DF576" i="12" s="1"/>
  <c r="DF577" i="12" l="1"/>
  <c r="DF587" i="12" s="1"/>
  <c r="DF588" i="12" l="1"/>
  <c r="DF589" i="12" s="1"/>
  <c r="DF590" i="12" l="1"/>
  <c r="DF600" i="12" s="1"/>
  <c r="CD160" i="12"/>
  <c r="DF601" i="12" l="1"/>
  <c r="DF602" i="12" s="1"/>
  <c r="DF603" i="12" l="1"/>
  <c r="DF613" i="12" s="1"/>
  <c r="DF614" i="12" l="1"/>
  <c r="DF615" i="12" s="1"/>
  <c r="DF616" i="12" l="1"/>
  <c r="DF626" i="12" s="1"/>
  <c r="DF627" i="12" l="1"/>
  <c r="DF628" i="12" s="1"/>
  <c r="DF629" i="12" l="1"/>
  <c r="DF639" i="12" s="1"/>
  <c r="DF640" i="12" l="1"/>
  <c r="DF641" i="12" s="1"/>
  <c r="DF642" i="12" l="1"/>
  <c r="DF652" i="12" s="1"/>
  <c r="DF653" i="12" l="1"/>
  <c r="DF654" i="12" s="1"/>
  <c r="DF655" i="12" l="1"/>
  <c r="DF665" i="12" s="1"/>
  <c r="DF666" i="12" l="1"/>
  <c r="DF667" i="12" l="1"/>
  <c r="DF668" i="12" l="1"/>
  <c r="DF678" i="12"/>
  <c r="DF679" i="12" l="1"/>
  <c r="DF680" i="12" l="1"/>
  <c r="DF681" i="12" l="1"/>
  <c r="DF691" i="12" s="1"/>
  <c r="DF692" i="12" l="1"/>
  <c r="DF693" i="12" l="1"/>
  <c r="DF694" i="12" l="1"/>
  <c r="DF704" i="12" s="1"/>
  <c r="CD111" i="12"/>
  <c r="DF705" i="12" l="1"/>
  <c r="CD171" i="12" l="1"/>
  <c r="DF706" i="12"/>
  <c r="DF707" i="12" l="1"/>
  <c r="DF717" i="12" s="1"/>
  <c r="DF718" i="12" l="1"/>
  <c r="DF719" i="12" l="1"/>
  <c r="DF720" i="12" l="1"/>
  <c r="DF730" i="12"/>
  <c r="DF731" i="12" l="1"/>
  <c r="DF732" i="12" l="1"/>
  <c r="DF733" i="12" s="1"/>
  <c r="DF743" i="12" l="1"/>
  <c r="DF744" i="12" l="1"/>
  <c r="DF745" i="12" l="1"/>
  <c r="DF746" i="12" s="1"/>
  <c r="DF756" i="12" l="1"/>
  <c r="DF757" i="12" l="1"/>
  <c r="DF758" i="12" l="1"/>
  <c r="DF759" i="12" s="1"/>
  <c r="DF769" i="12" l="1"/>
  <c r="DF770" i="12" l="1"/>
  <c r="DF771" i="12" l="1"/>
  <c r="DF772" i="12" s="1"/>
  <c r="DF782" i="12" l="1"/>
  <c r="DF783" i="12" l="1"/>
  <c r="DF784" i="12" l="1"/>
  <c r="DF785" i="12" s="1"/>
  <c r="DF795" i="12" l="1"/>
  <c r="DF796" i="12" l="1"/>
  <c r="DF797" i="12" l="1"/>
  <c r="DF798" i="12" s="1"/>
  <c r="DF808" i="12" l="1"/>
  <c r="DF809" i="12" l="1"/>
  <c r="DF810" i="12" l="1"/>
  <c r="DF811" i="12" s="1"/>
  <c r="DF821" i="12" l="1"/>
  <c r="DF822" i="12" l="1"/>
  <c r="DF823" i="12" s="1"/>
  <c r="DF824" i="12" l="1"/>
  <c r="DF834" i="12" s="1"/>
  <c r="DF835" i="12" l="1"/>
  <c r="DF836" i="12" s="1"/>
  <c r="DF837" i="12" l="1"/>
  <c r="DF847" i="12" s="1"/>
  <c r="DF848" i="12" l="1"/>
  <c r="DF849" i="12" s="1"/>
  <c r="DF850" i="12" l="1"/>
  <c r="DF860" i="12" s="1"/>
  <c r="DF861" i="12" l="1"/>
  <c r="DF862" i="12" l="1"/>
  <c r="DF863" i="12" l="1"/>
  <c r="DF873" i="12" s="1"/>
  <c r="DF874" i="12" s="1"/>
  <c r="DF875" i="12" s="1"/>
  <c r="DF876" i="12" l="1"/>
  <c r="DF886" i="12" s="1"/>
  <c r="DF887" i="12" s="1"/>
  <c r="DF888" i="12" s="1"/>
  <c r="DF889" i="12" l="1"/>
  <c r="DF899" i="12" s="1"/>
  <c r="DF900" i="12" l="1"/>
  <c r="DF901" i="12" s="1"/>
  <c r="DF902" i="12" l="1"/>
  <c r="DF912" i="12" l="1"/>
  <c r="DF1044" i="12"/>
  <c r="DF913" i="12" l="1"/>
  <c r="DF1055" i="12"/>
  <c r="DF1056" i="12" s="1"/>
  <c r="DF1057" i="12" s="1"/>
  <c r="DF1068" i="12" s="1"/>
  <c r="DF1069" i="12" s="1"/>
  <c r="DF1070" i="12" s="1"/>
  <c r="DF1081" i="12" s="1"/>
  <c r="DF1082" i="12" s="1"/>
  <c r="DF1083" i="12" s="1"/>
  <c r="DF1094" i="12" s="1"/>
  <c r="DF1095" i="12" s="1"/>
  <c r="DF1096" i="12" s="1"/>
  <c r="DF1107" i="12" s="1"/>
  <c r="DF1108" i="12" s="1"/>
  <c r="DF1109" i="12" s="1"/>
  <c r="DF1120" i="12" s="1"/>
  <c r="DF1121" i="12" s="1"/>
  <c r="DF1122" i="12" s="1"/>
  <c r="DF1133" i="12" s="1"/>
  <c r="DF1134" i="12" s="1"/>
  <c r="DF1135" i="12" s="1"/>
  <c r="DF1146" i="12" s="1"/>
  <c r="DF1147" i="12" s="1"/>
  <c r="DF1148" i="12" s="1"/>
  <c r="DF1159" i="12" s="1"/>
  <c r="DF1160" i="12" s="1"/>
  <c r="DF1161" i="12" s="1"/>
  <c r="DF1172" i="12" s="1"/>
  <c r="DF1173" i="12" s="1"/>
  <c r="DF1174" i="12" s="1"/>
  <c r="DF1185" i="12" s="1"/>
  <c r="DF1186" i="12" s="1"/>
  <c r="DF1187" i="12" s="1"/>
  <c r="DF1198" i="12" s="1"/>
  <c r="DF1199" i="12" s="1"/>
  <c r="DF1200" i="12" s="1"/>
  <c r="DF1211" i="12" s="1"/>
  <c r="DF1212" i="12" s="1"/>
  <c r="DF1213" i="12" s="1"/>
  <c r="DF1224" i="12" s="1"/>
  <c r="DF1225" i="12" s="1"/>
  <c r="DF1226" i="12" s="1"/>
  <c r="DF1237" i="12" s="1"/>
  <c r="DF1238" i="12" s="1"/>
  <c r="DF1239" i="12" s="1"/>
  <c r="DF1250" i="12" s="1"/>
  <c r="DF1251" i="12" s="1"/>
  <c r="DF1252" i="12" s="1"/>
  <c r="DF1263" i="12" s="1"/>
  <c r="DF1264" i="12" s="1"/>
  <c r="DF1265" i="12" s="1"/>
  <c r="DF1276" i="12" s="1"/>
  <c r="DF1277" i="12" s="1"/>
  <c r="DF1278" i="12" s="1"/>
  <c r="DF1289" i="12" s="1"/>
  <c r="DF1290" i="12" s="1"/>
  <c r="DF1291" i="12" s="1"/>
  <c r="DF914" i="12" l="1"/>
  <c r="CH232" i="12"/>
  <c r="CE201" i="12"/>
  <c r="CE233" i="12"/>
  <c r="CE223" i="12"/>
  <c r="DF915" i="12" l="1"/>
  <c r="CE192" i="12"/>
  <c r="DF925" i="12" l="1"/>
  <c r="CD196" i="12"/>
  <c r="DF926" i="12" l="1"/>
  <c r="DF927" i="12" l="1"/>
  <c r="DF928" i="12" l="1"/>
  <c r="DF938" i="12" l="1"/>
  <c r="DF939" i="12" l="1"/>
  <c r="DF940" i="12" l="1"/>
  <c r="DF941" i="12"/>
  <c r="DF951" i="12" l="1"/>
  <c r="DF952" i="12" l="1"/>
  <c r="DF954" i="12"/>
  <c r="DF964" i="12" s="1"/>
  <c r="DF965" i="12" s="1"/>
  <c r="DF966" i="12" s="1"/>
  <c r="DF953" i="12" l="1"/>
  <c r="DF967" i="12"/>
  <c r="DF977" i="12" s="1"/>
  <c r="DF978" i="12" s="1"/>
  <c r="DF979" i="12" s="1"/>
  <c r="DF980" i="12" l="1"/>
  <c r="DF990" i="12" l="1"/>
  <c r="DF993" i="12"/>
  <c r="DF1003" i="12" s="1"/>
  <c r="DF1004" i="12" s="1"/>
  <c r="DF1005" i="12" s="1"/>
  <c r="DF991" i="12" l="1"/>
  <c r="DF1006" i="12"/>
  <c r="DF1016" i="12" s="1"/>
  <c r="DF1017" i="12" s="1"/>
  <c r="DF1018" i="12" s="1"/>
  <c r="DF1019" i="12" s="1"/>
  <c r="DF1029" i="12" s="1"/>
  <c r="DF1030" i="12" s="1"/>
  <c r="DF1031" i="12" s="1"/>
  <c r="DF992" i="12" l="1"/>
  <c r="DF1042" i="12"/>
  <c r="DF1043" i="12" s="1"/>
  <c r="D299" i="2" s="1"/>
  <c r="DF1032" i="12"/>
  <c r="D298" i="2" s="1"/>
  <c r="E299" i="2" l="1"/>
  <c r="F299" i="2"/>
  <c r="F300" i="2"/>
  <c r="E298" i="2"/>
  <c r="B297" i="2"/>
  <c r="F298" i="2"/>
  <c r="D297" i="2"/>
  <c r="B298" i="2"/>
  <c r="C226" i="2"/>
  <c r="E146" i="2"/>
  <c r="C262" i="2"/>
  <c r="E115" i="2"/>
  <c r="D89" i="2"/>
  <c r="C157" i="2"/>
  <c r="D92" i="2"/>
  <c r="E228" i="2"/>
  <c r="D109" i="2"/>
  <c r="D210" i="2"/>
  <c r="F269" i="2"/>
  <c r="D217" i="2"/>
  <c r="B212" i="2"/>
  <c r="C281" i="2"/>
  <c r="F50" i="2"/>
  <c r="F15" i="2"/>
  <c r="E45" i="2"/>
  <c r="B122" i="2"/>
  <c r="D128" i="2"/>
  <c r="B116" i="2"/>
  <c r="B22" i="2"/>
  <c r="F208" i="2"/>
  <c r="F22" i="2"/>
  <c r="F175" i="2"/>
  <c r="F207" i="2"/>
  <c r="D177" i="2"/>
  <c r="F180" i="2"/>
  <c r="D125" i="2"/>
  <c r="F17" i="2"/>
  <c r="B78" i="2"/>
  <c r="D286" i="2"/>
  <c r="B264" i="2"/>
  <c r="B63" i="2"/>
  <c r="D24" i="2"/>
  <c r="B269" i="2"/>
  <c r="C81" i="2"/>
  <c r="F58" i="2"/>
  <c r="B114" i="2"/>
  <c r="D127" i="2"/>
  <c r="F167" i="2"/>
  <c r="D159" i="2"/>
  <c r="F68" i="2"/>
  <c r="F235" i="2"/>
  <c r="B175" i="2"/>
  <c r="C96" i="2"/>
  <c r="E84" i="2"/>
  <c r="E232" i="2"/>
  <c r="B285" i="2"/>
  <c r="B18" i="2"/>
  <c r="C64" i="2"/>
  <c r="B255" i="2"/>
  <c r="C126" i="2"/>
  <c r="E183" i="2"/>
  <c r="E153" i="2"/>
  <c r="B51" i="2"/>
  <c r="C99" i="2"/>
  <c r="E132" i="2"/>
  <c r="D72" i="2"/>
  <c r="D162" i="2"/>
  <c r="E100" i="2"/>
  <c r="C185" i="2"/>
  <c r="E156" i="2"/>
  <c r="C29" i="2"/>
  <c r="D80" i="2"/>
  <c r="F45" i="2"/>
  <c r="B140" i="2"/>
  <c r="F136" i="2"/>
  <c r="E272" i="2"/>
  <c r="E218" i="2"/>
  <c r="E242" i="2"/>
  <c r="F186" i="2"/>
  <c r="B206" i="2"/>
  <c r="E192" i="2"/>
  <c r="F142" i="2"/>
  <c r="E212" i="2"/>
  <c r="F13" i="2"/>
  <c r="B135" i="2"/>
  <c r="E148" i="2"/>
  <c r="B177" i="2"/>
  <c r="E68" i="2"/>
  <c r="E194" i="2"/>
  <c r="F255" i="2"/>
  <c r="C113" i="2"/>
  <c r="B150" i="2"/>
  <c r="F193" i="2"/>
  <c r="D90" i="2"/>
  <c r="E22" i="2"/>
  <c r="E273" i="2"/>
  <c r="D173" i="2"/>
  <c r="C162" i="2"/>
  <c r="C240" i="2"/>
  <c r="B126" i="2"/>
  <c r="B214" i="2"/>
  <c r="E219" i="2"/>
  <c r="E94" i="2"/>
  <c r="F238" i="2"/>
  <c r="F60" i="2"/>
  <c r="C167" i="2"/>
  <c r="C75" i="2"/>
  <c r="F86" i="2"/>
  <c r="E23" i="2"/>
  <c r="E284" i="2"/>
  <c r="D117" i="2"/>
  <c r="B270" i="2"/>
  <c r="D114" i="2"/>
  <c r="C135" i="2"/>
  <c r="E96" i="2"/>
  <c r="B129" i="2"/>
  <c r="D35" i="2"/>
  <c r="E51" i="2"/>
  <c r="C232" i="2"/>
  <c r="C243" i="2"/>
  <c r="B232" i="2"/>
  <c r="F198" i="2"/>
  <c r="E185" i="2"/>
  <c r="F239" i="2"/>
  <c r="E140" i="2"/>
  <c r="F223" i="2"/>
  <c r="D21" i="2"/>
  <c r="E105" i="2"/>
  <c r="B48" i="2"/>
  <c r="B208" i="2"/>
  <c r="B217" i="2"/>
  <c r="F246" i="2"/>
  <c r="E265" i="2"/>
  <c r="E49" i="2"/>
  <c r="C242" i="2"/>
  <c r="C107" i="2"/>
  <c r="F54" i="2"/>
  <c r="B57" i="2"/>
  <c r="B185" i="2"/>
  <c r="F179" i="2"/>
  <c r="C225" i="2"/>
  <c r="E174" i="2"/>
  <c r="B146" i="2"/>
  <c r="C285" i="2"/>
  <c r="D241" i="2"/>
  <c r="F64" i="2"/>
  <c r="E135" i="2"/>
  <c r="D266" i="2"/>
  <c r="C211" i="2"/>
  <c r="F217" i="2"/>
  <c r="D181" i="2"/>
  <c r="D88" i="2"/>
  <c r="D160" i="2"/>
  <c r="C40" i="2"/>
  <c r="B23" i="2"/>
  <c r="E149" i="2"/>
  <c r="F226" i="2"/>
  <c r="C198" i="2"/>
  <c r="F201" i="2"/>
  <c r="F78" i="2"/>
  <c r="D71" i="2"/>
  <c r="B142" i="2"/>
  <c r="E184" i="2"/>
  <c r="D55" i="2"/>
  <c r="E256" i="2"/>
  <c r="D47" i="2"/>
  <c r="D85" i="2"/>
  <c r="F159" i="2"/>
  <c r="B173" i="2"/>
  <c r="F275" i="2"/>
  <c r="E222" i="2"/>
  <c r="C91" i="2"/>
  <c r="C117" i="2"/>
  <c r="D15" i="2"/>
  <c r="F284" i="2"/>
  <c r="C53" i="2"/>
  <c r="E216" i="2"/>
  <c r="D281" i="2"/>
  <c r="F155" i="2"/>
  <c r="C249" i="2"/>
  <c r="F63" i="2"/>
  <c r="C90" i="2"/>
  <c r="D38" i="2"/>
  <c r="C223" i="2"/>
  <c r="D289" i="2"/>
  <c r="F31" i="2"/>
  <c r="E191" i="2"/>
  <c r="D196" i="2"/>
  <c r="D79" i="2"/>
  <c r="F105" i="2"/>
  <c r="F195" i="2"/>
  <c r="E203" i="2"/>
  <c r="B91" i="2"/>
  <c r="D245" i="2"/>
  <c r="C275" i="2"/>
  <c r="C36" i="2"/>
  <c r="D200" i="2"/>
  <c r="E64" i="2"/>
  <c r="D269" i="2"/>
  <c r="B193" i="2"/>
  <c r="D158" i="2"/>
  <c r="C202" i="2"/>
  <c r="E167" i="2"/>
  <c r="F67" i="2"/>
  <c r="B153" i="2"/>
  <c r="E288" i="2"/>
  <c r="F277" i="2"/>
  <c r="E161" i="2"/>
  <c r="D195" i="2"/>
  <c r="C152" i="2"/>
  <c r="F209" i="2"/>
  <c r="B60" i="2"/>
  <c r="B198" i="2"/>
  <c r="B182" i="2"/>
  <c r="E67" i="2"/>
  <c r="B154" i="2"/>
  <c r="F108" i="2"/>
  <c r="F103" i="2"/>
  <c r="C159" i="2"/>
  <c r="F82" i="2"/>
  <c r="C254" i="2"/>
  <c r="D220" i="2"/>
  <c r="C208" i="2"/>
  <c r="F264" i="2"/>
  <c r="C288" i="2"/>
  <c r="D183" i="2"/>
  <c r="E44" i="2"/>
  <c r="E261" i="2"/>
  <c r="B284" i="2"/>
  <c r="F148" i="2"/>
  <c r="E116" i="2"/>
  <c r="D30" i="2"/>
  <c r="F73" i="2"/>
  <c r="E204" i="2"/>
  <c r="D13" i="2"/>
  <c r="C50" i="2"/>
  <c r="B240" i="2"/>
  <c r="C192" i="2"/>
  <c r="B73" i="2"/>
  <c r="D75" i="2"/>
  <c r="B179" i="2"/>
  <c r="E112" i="2"/>
  <c r="E121" i="2"/>
  <c r="D207" i="2"/>
  <c r="D103" i="2"/>
  <c r="F113" i="2"/>
  <c r="B227" i="2"/>
  <c r="C277" i="2"/>
  <c r="E77" i="2"/>
  <c r="B283" i="2"/>
  <c r="F164" i="2"/>
  <c r="F46" i="2"/>
  <c r="B28" i="2"/>
  <c r="B155" i="2"/>
  <c r="D164" i="2"/>
  <c r="E101" i="2"/>
  <c r="D81" i="2"/>
  <c r="F70" i="2"/>
  <c r="F188" i="2"/>
  <c r="F151" i="2"/>
  <c r="E189" i="2"/>
  <c r="C143" i="2"/>
  <c r="F290" i="2"/>
  <c r="E277" i="2"/>
  <c r="E259" i="2"/>
  <c r="D56" i="2"/>
  <c r="E82" i="2"/>
  <c r="C187" i="2"/>
  <c r="C88" i="2"/>
  <c r="B210" i="2"/>
  <c r="D105" i="2"/>
  <c r="B163" i="2"/>
  <c r="D23" i="2"/>
  <c r="F21" i="2"/>
  <c r="F220" i="2"/>
  <c r="C161" i="2"/>
  <c r="F44" i="2"/>
  <c r="F168" i="2"/>
  <c r="E46" i="2"/>
  <c r="E11" i="2"/>
  <c r="F97" i="2"/>
  <c r="D221" i="2"/>
  <c r="F232" i="2"/>
  <c r="E38" i="2"/>
  <c r="E258" i="2"/>
  <c r="C38" i="2"/>
  <c r="F98" i="2"/>
  <c r="D121" i="2"/>
  <c r="B282" i="2"/>
  <c r="C63" i="2"/>
  <c r="F14" i="2"/>
  <c r="D82" i="2"/>
  <c r="E250" i="2"/>
  <c r="B127" i="2"/>
  <c r="C56" i="2"/>
  <c r="D169" i="2"/>
  <c r="C197" i="2"/>
  <c r="B131" i="2"/>
  <c r="E56" i="2"/>
  <c r="F27" i="2"/>
  <c r="D165" i="2"/>
  <c r="B167" i="2"/>
  <c r="B170" i="2"/>
  <c r="C174" i="2"/>
  <c r="F110" i="2"/>
  <c r="C176" i="2"/>
  <c r="C11" i="2"/>
  <c r="D271" i="2"/>
  <c r="F237" i="2"/>
  <c r="F181" i="2"/>
  <c r="C37" i="2"/>
  <c r="B77" i="2"/>
  <c r="C89" i="2"/>
  <c r="E18" i="2"/>
  <c r="B224" i="2"/>
  <c r="C95" i="2"/>
  <c r="C163" i="2"/>
  <c r="E43" i="2"/>
  <c r="C62" i="2"/>
  <c r="D284" i="2"/>
  <c r="E190" i="2"/>
  <c r="C115" i="2"/>
  <c r="F48" i="2"/>
  <c r="C128" i="2"/>
  <c r="E182" i="2"/>
  <c r="F57" i="2"/>
  <c r="C92" i="2"/>
  <c r="C85" i="2"/>
  <c r="F224" i="2"/>
  <c r="F289" i="2"/>
  <c r="C213" i="2"/>
  <c r="C255" i="2"/>
  <c r="B195" i="2"/>
  <c r="C80" i="2"/>
  <c r="B220" i="2"/>
  <c r="E157" i="2"/>
  <c r="D11" i="2"/>
  <c r="D64" i="2"/>
  <c r="D212" i="2"/>
  <c r="B259" i="2"/>
  <c r="D69" i="2"/>
  <c r="D198" i="2"/>
  <c r="C49" i="2"/>
  <c r="D33" i="2"/>
  <c r="F204" i="2"/>
  <c r="B221" i="2"/>
  <c r="D222" i="2"/>
  <c r="D19" i="2"/>
  <c r="F123" i="2"/>
  <c r="B144" i="2"/>
  <c r="F260" i="2"/>
  <c r="B85" i="2"/>
  <c r="F81" i="2"/>
  <c r="D104" i="2"/>
  <c r="D132" i="2"/>
  <c r="C256" i="2"/>
  <c r="F268" i="2"/>
  <c r="B24" i="2"/>
  <c r="E62" i="2"/>
  <c r="E127" i="2"/>
  <c r="F244" i="2"/>
  <c r="F287" i="2"/>
  <c r="B21" i="2"/>
  <c r="C149" i="2"/>
  <c r="E90" i="2"/>
  <c r="B275" i="2"/>
  <c r="C218" i="2"/>
  <c r="B190" i="2"/>
  <c r="D131" i="2"/>
  <c r="C32" i="2"/>
  <c r="C219" i="2"/>
  <c r="B132" i="2"/>
  <c r="C68" i="2"/>
  <c r="F199" i="2"/>
  <c r="B164" i="2"/>
  <c r="D129" i="2"/>
  <c r="D36" i="2"/>
  <c r="F280" i="2"/>
  <c r="F59" i="2"/>
  <c r="E179" i="2"/>
  <c r="E266" i="2"/>
  <c r="C266" i="2"/>
  <c r="D216" i="2"/>
  <c r="D264" i="2"/>
  <c r="B172" i="2"/>
  <c r="B30" i="2"/>
  <c r="B168" i="2"/>
  <c r="D91" i="2"/>
  <c r="B53" i="2"/>
  <c r="E123" i="2"/>
  <c r="F145" i="2"/>
  <c r="D229" i="2"/>
  <c r="E255" i="2"/>
  <c r="E30" i="2"/>
  <c r="E114" i="2"/>
  <c r="D231" i="2"/>
  <c r="C77" i="2"/>
  <c r="B11" i="2"/>
  <c r="D244" i="2"/>
  <c r="E98" i="2"/>
  <c r="C116" i="2"/>
  <c r="D285" i="2"/>
  <c r="D233" i="2"/>
  <c r="D263" i="2"/>
  <c r="F166" i="2"/>
  <c r="F274" i="2"/>
  <c r="B286" i="2"/>
  <c r="F112" i="2"/>
  <c r="D42" i="2"/>
  <c r="E213" i="2"/>
  <c r="F132" i="2"/>
  <c r="E55" i="2"/>
  <c r="E164" i="2"/>
  <c r="C171" i="2"/>
  <c r="E122" i="2"/>
  <c r="C10" i="2"/>
  <c r="B66" i="2"/>
  <c r="D287" i="2"/>
  <c r="B152" i="2"/>
  <c r="B263" i="2"/>
  <c r="F88" i="2"/>
  <c r="B257" i="2"/>
  <c r="D100" i="2"/>
  <c r="B33" i="2"/>
  <c r="D102" i="2"/>
  <c r="F18" i="2"/>
  <c r="D203" i="2"/>
  <c r="C43" i="2"/>
  <c r="D243" i="2"/>
  <c r="E173" i="2"/>
  <c r="D135" i="2"/>
  <c r="D99" i="2"/>
  <c r="E163" i="2"/>
  <c r="B37" i="2"/>
  <c r="B81" i="2"/>
  <c r="E172" i="2"/>
  <c r="F38" i="2"/>
  <c r="F29" i="2"/>
  <c r="B225" i="2"/>
  <c r="E224" i="2"/>
  <c r="B250" i="2"/>
  <c r="B41" i="2"/>
  <c r="F127" i="2"/>
  <c r="B231" i="2"/>
  <c r="B243" i="2"/>
  <c r="B186" i="2"/>
  <c r="E109" i="2"/>
  <c r="E223" i="2"/>
  <c r="F120" i="2"/>
  <c r="F282" i="2"/>
  <c r="C172" i="2"/>
  <c r="B113" i="2"/>
  <c r="C67" i="2"/>
  <c r="C106" i="2"/>
  <c r="F242" i="2"/>
  <c r="B229" i="2"/>
  <c r="B74" i="2"/>
  <c r="C183" i="2"/>
  <c r="D288" i="2"/>
  <c r="F87" i="2"/>
  <c r="B183" i="2"/>
  <c r="B137" i="2"/>
  <c r="C105" i="2"/>
  <c r="C186" i="2"/>
  <c r="F165" i="2"/>
  <c r="D65" i="2"/>
  <c r="C286" i="2"/>
  <c r="B162" i="2"/>
  <c r="E291" i="2"/>
  <c r="D108" i="2"/>
  <c r="E244" i="2"/>
  <c r="C72" i="2"/>
  <c r="C142" i="2"/>
  <c r="B254" i="2"/>
  <c r="C47" i="2"/>
  <c r="D237" i="2"/>
  <c r="E159" i="2"/>
  <c r="E186" i="2"/>
  <c r="F286" i="2"/>
  <c r="B226" i="2"/>
  <c r="B262" i="2"/>
  <c r="D18" i="2"/>
  <c r="E134" i="2"/>
  <c r="E181" i="2"/>
  <c r="F43" i="2"/>
  <c r="F157" i="2"/>
  <c r="E12" i="2"/>
  <c r="B233" i="2"/>
  <c r="B26" i="2"/>
  <c r="D201" i="2"/>
  <c r="F26" i="2"/>
  <c r="D126" i="2"/>
  <c r="D122" i="2"/>
  <c r="B10" i="2"/>
  <c r="C282" i="2"/>
  <c r="C148" i="2"/>
  <c r="D16" i="2"/>
  <c r="F228" i="2"/>
  <c r="B12" i="2"/>
  <c r="E71" i="2"/>
  <c r="B17" i="2"/>
  <c r="C82" i="2"/>
  <c r="D62" i="2"/>
  <c r="F259" i="2"/>
  <c r="E102" i="2"/>
  <c r="F80" i="2"/>
  <c r="E199" i="2"/>
  <c r="F185" i="2"/>
  <c r="F137" i="2"/>
  <c r="F121" i="2"/>
  <c r="D149" i="2"/>
  <c r="B67" i="2"/>
  <c r="F41" i="2"/>
  <c r="C103" i="2"/>
  <c r="D227" i="2"/>
  <c r="C178" i="2"/>
  <c r="C33" i="2"/>
  <c r="F40" i="2"/>
  <c r="C257" i="2"/>
  <c r="B218" i="2"/>
  <c r="B188" i="2"/>
  <c r="E15" i="2"/>
  <c r="D209" i="2"/>
  <c r="D25" i="2"/>
  <c r="E81" i="2"/>
  <c r="B245" i="2"/>
  <c r="E137" i="2"/>
  <c r="F85" i="2"/>
  <c r="C250" i="2"/>
  <c r="E151" i="2"/>
  <c r="C272" i="2"/>
  <c r="E254" i="2"/>
  <c r="B202" i="2"/>
  <c r="C108" i="2"/>
  <c r="E88" i="2"/>
  <c r="F231" i="2"/>
  <c r="C30" i="2"/>
  <c r="B49" i="2"/>
  <c r="B121" i="2"/>
  <c r="C276" i="2"/>
  <c r="B258" i="2"/>
  <c r="D186" i="2"/>
  <c r="E124" i="2"/>
  <c r="B178" i="2"/>
  <c r="D189" i="2"/>
  <c r="F273" i="2"/>
  <c r="F101" i="2"/>
  <c r="F250" i="2"/>
  <c r="E92" i="2"/>
  <c r="B281" i="2"/>
  <c r="B205" i="2"/>
  <c r="E143" i="2"/>
  <c r="E40" i="2"/>
  <c r="C216" i="2"/>
  <c r="B278" i="2"/>
  <c r="C104" i="2"/>
  <c r="D137" i="2"/>
  <c r="C83" i="2"/>
  <c r="E107" i="2"/>
  <c r="C261" i="2"/>
  <c r="C44" i="2"/>
  <c r="F227" i="2"/>
  <c r="C210" i="2"/>
  <c r="D115" i="2"/>
  <c r="F170" i="2"/>
  <c r="F278" i="2"/>
  <c r="B272" i="2"/>
  <c r="F16" i="2"/>
  <c r="E108" i="2"/>
  <c r="B16" i="2"/>
  <c r="F32" i="2"/>
  <c r="B191" i="2"/>
  <c r="B80" i="2"/>
  <c r="E126" i="2"/>
  <c r="E286" i="2"/>
  <c r="B230" i="2"/>
  <c r="E208" i="2"/>
  <c r="D138" i="2"/>
  <c r="F158" i="2"/>
  <c r="D48" i="2"/>
  <c r="B194" i="2"/>
  <c r="D275" i="2"/>
  <c r="C290" i="2"/>
  <c r="E66" i="2"/>
  <c r="F34" i="2"/>
  <c r="C26" i="2"/>
  <c r="F89" i="2"/>
  <c r="D192" i="2"/>
  <c r="B58" i="2"/>
  <c r="E234" i="2"/>
  <c r="E154" i="2"/>
  <c r="D134" i="2"/>
  <c r="C39" i="2"/>
  <c r="E177" i="2"/>
  <c r="C191" i="2"/>
  <c r="D167" i="2"/>
  <c r="D10" i="2"/>
  <c r="C84" i="2"/>
  <c r="F130" i="2"/>
  <c r="B143" i="2"/>
  <c r="F252" i="2"/>
  <c r="E231" i="2"/>
  <c r="B68" i="2"/>
  <c r="B92" i="2"/>
  <c r="C55" i="2"/>
  <c r="D120" i="2"/>
  <c r="F176" i="2"/>
  <c r="E278" i="2"/>
  <c r="D40" i="2"/>
  <c r="B242" i="2"/>
  <c r="C131" i="2"/>
  <c r="F104" i="2"/>
  <c r="F119" i="2"/>
  <c r="D20" i="2"/>
  <c r="B181" i="2"/>
  <c r="D130" i="2"/>
  <c r="E57" i="2"/>
  <c r="B156" i="2"/>
  <c r="E95" i="2"/>
  <c r="C140" i="2"/>
  <c r="C248" i="2"/>
  <c r="E211" i="2"/>
  <c r="E17" i="2"/>
  <c r="C66" i="2"/>
  <c r="F288" i="2"/>
  <c r="C231" i="2"/>
  <c r="C259" i="2"/>
  <c r="B236" i="2"/>
  <c r="C76" i="2"/>
  <c r="C268" i="2"/>
  <c r="B112" i="2"/>
  <c r="F122" i="2"/>
  <c r="E91" i="2"/>
  <c r="D259" i="2"/>
  <c r="C141" i="2"/>
  <c r="B166" i="2"/>
  <c r="D163" i="2"/>
  <c r="E111" i="2"/>
  <c r="F276" i="2"/>
  <c r="D174" i="2"/>
  <c r="C153" i="2"/>
  <c r="F147" i="2"/>
  <c r="C118" i="2"/>
  <c r="B76" i="2"/>
  <c r="C102" i="2"/>
  <c r="D76" i="2"/>
  <c r="D278" i="2"/>
  <c r="D197" i="2"/>
  <c r="C127" i="2"/>
  <c r="F206" i="2"/>
  <c r="E187" i="2"/>
  <c r="D142" i="2"/>
  <c r="F66" i="2"/>
  <c r="F139" i="2"/>
  <c r="C12" i="2"/>
  <c r="E285" i="2"/>
  <c r="B252" i="2"/>
  <c r="F118" i="2"/>
  <c r="E279" i="2"/>
  <c r="D94" i="2"/>
  <c r="E233" i="2"/>
  <c r="F83" i="2"/>
  <c r="E53" i="2"/>
  <c r="C233" i="2"/>
  <c r="B133" i="2"/>
  <c r="E34" i="2"/>
  <c r="C45" i="2"/>
  <c r="C73" i="2"/>
  <c r="E36" i="2"/>
  <c r="C221" i="2"/>
  <c r="B15" i="2"/>
  <c r="C19" i="2"/>
  <c r="C71" i="2"/>
  <c r="D185" i="2"/>
  <c r="E215" i="2"/>
  <c r="F222" i="2"/>
  <c r="B145" i="2"/>
  <c r="E221" i="2"/>
  <c r="F183" i="2"/>
  <c r="E37" i="2"/>
  <c r="E160" i="2"/>
  <c r="C279" i="2"/>
  <c r="F126" i="2"/>
  <c r="E188" i="2"/>
  <c r="C181" i="2"/>
  <c r="C94" i="2"/>
  <c r="B160" i="2"/>
  <c r="B40" i="2"/>
  <c r="E262" i="2"/>
  <c r="C289" i="2"/>
  <c r="C269" i="2"/>
  <c r="D119" i="2"/>
  <c r="D12" i="2"/>
  <c r="B265" i="2"/>
  <c r="C110" i="2"/>
  <c r="B289" i="2"/>
  <c r="E281" i="2"/>
  <c r="D280" i="2"/>
  <c r="B174" i="2"/>
  <c r="D176" i="2"/>
  <c r="E217" i="2"/>
  <c r="D193" i="2"/>
  <c r="E200" i="2"/>
  <c r="C217" i="2"/>
  <c r="E10" i="2"/>
  <c r="C194" i="2"/>
  <c r="F211" i="2"/>
  <c r="C93" i="2"/>
  <c r="F84" i="2"/>
  <c r="F256" i="2"/>
  <c r="B88" i="2"/>
  <c r="E276" i="2"/>
  <c r="B180" i="2"/>
  <c r="B82" i="2"/>
  <c r="F154" i="2"/>
  <c r="C237" i="2"/>
  <c r="D148" i="2"/>
  <c r="C46" i="2"/>
  <c r="E236" i="2"/>
  <c r="C173" i="2"/>
  <c r="F190" i="2"/>
  <c r="E128" i="2"/>
  <c r="E35" i="2"/>
  <c r="D234" i="2"/>
  <c r="B31" i="2"/>
  <c r="F257" i="2"/>
  <c r="B161" i="2"/>
  <c r="C193" i="2"/>
  <c r="D239" i="2"/>
  <c r="B247" i="2"/>
  <c r="E282" i="2"/>
  <c r="E180" i="2"/>
  <c r="E271" i="2"/>
  <c r="E210" i="2"/>
  <c r="E165" i="2"/>
  <c r="F229" i="2"/>
  <c r="B267" i="2"/>
  <c r="D150" i="2"/>
  <c r="E170" i="2"/>
  <c r="E76" i="2"/>
  <c r="D208" i="2"/>
  <c r="C136" i="2"/>
  <c r="D170" i="2"/>
  <c r="C291" i="2"/>
  <c r="B248" i="2"/>
  <c r="F92" i="2"/>
  <c r="C51" i="2"/>
  <c r="E110" i="2"/>
  <c r="C199" i="2"/>
  <c r="D77" i="2"/>
  <c r="E247" i="2"/>
  <c r="D156" i="2"/>
  <c r="C265" i="2"/>
  <c r="C168" i="2"/>
  <c r="F99" i="2"/>
  <c r="B253" i="2"/>
  <c r="F247" i="2"/>
  <c r="B25" i="2"/>
  <c r="C258" i="2"/>
  <c r="E175" i="2"/>
  <c r="F69" i="2"/>
  <c r="E267" i="2"/>
  <c r="C59" i="2"/>
  <c r="D188" i="2"/>
  <c r="C98" i="2"/>
  <c r="D236" i="2"/>
  <c r="E87" i="2"/>
  <c r="C189" i="2"/>
  <c r="E209" i="2"/>
  <c r="B47" i="2"/>
  <c r="E252" i="2"/>
  <c r="D242" i="2"/>
  <c r="D225" i="2"/>
  <c r="C41" i="2"/>
  <c r="E249" i="2"/>
  <c r="D70" i="2"/>
  <c r="F210" i="2"/>
  <c r="B290" i="2"/>
  <c r="F30" i="2"/>
  <c r="E50" i="2"/>
  <c r="B70" i="2"/>
  <c r="F96" i="2"/>
  <c r="D136" i="2"/>
  <c r="C244" i="2"/>
  <c r="D172" i="2"/>
  <c r="E125" i="2"/>
  <c r="E202" i="2"/>
  <c r="E257" i="2"/>
  <c r="B223" i="2"/>
  <c r="C54" i="2"/>
  <c r="E54" i="2"/>
  <c r="E73" i="2"/>
  <c r="F236" i="2"/>
  <c r="F174" i="2"/>
  <c r="E75" i="2"/>
  <c r="D53" i="2"/>
  <c r="C246" i="2"/>
  <c r="D107" i="2"/>
  <c r="D161" i="2"/>
  <c r="D219" i="2"/>
  <c r="E78" i="2"/>
  <c r="B27" i="2"/>
  <c r="E227" i="2"/>
  <c r="D204" i="2"/>
  <c r="E287" i="2"/>
  <c r="D44" i="2"/>
  <c r="F114" i="2"/>
  <c r="F265" i="2"/>
  <c r="D54" i="2"/>
  <c r="E230" i="2"/>
  <c r="D98" i="2"/>
  <c r="D147" i="2"/>
  <c r="E237" i="2"/>
  <c r="F192" i="2"/>
  <c r="F56" i="2"/>
  <c r="C284" i="2"/>
  <c r="E171" i="2"/>
  <c r="B171" i="2"/>
  <c r="D73" i="2"/>
  <c r="D283" i="2"/>
  <c r="F135" i="2"/>
  <c r="D223" i="2"/>
  <c r="E41" i="2"/>
  <c r="B149" i="2"/>
  <c r="F173" i="2"/>
  <c r="D66" i="2"/>
  <c r="F283" i="2"/>
  <c r="F100" i="2"/>
  <c r="F191" i="2"/>
  <c r="B87" i="2"/>
  <c r="B192" i="2"/>
  <c r="B98" i="2"/>
  <c r="B277" i="2"/>
  <c r="C120" i="2"/>
  <c r="C230" i="2"/>
  <c r="E103" i="2"/>
  <c r="E196" i="2"/>
  <c r="B138" i="2"/>
  <c r="B72" i="2"/>
  <c r="F178" i="2"/>
  <c r="F150" i="2"/>
  <c r="C190" i="2"/>
  <c r="B97" i="2"/>
  <c r="C20" i="2"/>
  <c r="B13" i="2"/>
  <c r="D235" i="2"/>
  <c r="D274" i="2"/>
  <c r="C22" i="2"/>
  <c r="B123" i="2"/>
  <c r="E39" i="2"/>
  <c r="B291" i="2"/>
  <c r="E131" i="2"/>
  <c r="C151" i="2"/>
  <c r="C247" i="2"/>
  <c r="B201" i="2"/>
  <c r="F213" i="2"/>
  <c r="B34" i="2"/>
  <c r="D254" i="2"/>
  <c r="C177" i="2"/>
  <c r="D58" i="2"/>
  <c r="B207" i="2"/>
  <c r="B147" i="2"/>
  <c r="B219" i="2"/>
  <c r="B54" i="2"/>
  <c r="E162" i="2"/>
  <c r="C154" i="2"/>
  <c r="C184" i="2"/>
  <c r="B251" i="2"/>
  <c r="E25" i="2"/>
  <c r="C79" i="2"/>
  <c r="E106" i="2"/>
  <c r="F281" i="2"/>
  <c r="D265" i="2"/>
  <c r="E226" i="2"/>
  <c r="E139" i="2"/>
  <c r="C200" i="2"/>
  <c r="B261" i="2"/>
  <c r="C133" i="2"/>
  <c r="D153" i="2"/>
  <c r="B119" i="2"/>
  <c r="F94" i="2"/>
  <c r="C112" i="2"/>
  <c r="F187" i="2"/>
  <c r="B209" i="2"/>
  <c r="F163" i="2"/>
  <c r="F62" i="2"/>
  <c r="D255" i="2"/>
  <c r="C134" i="2"/>
  <c r="E145" i="2"/>
  <c r="D261" i="2"/>
  <c r="B42" i="2"/>
  <c r="B276" i="2"/>
  <c r="D248" i="2"/>
  <c r="E42" i="2"/>
  <c r="D157" i="2"/>
  <c r="B104" i="2"/>
  <c r="C42" i="2"/>
  <c r="E193" i="2"/>
  <c r="C215" i="2"/>
  <c r="C139" i="2"/>
  <c r="F245" i="2"/>
  <c r="E60" i="2"/>
  <c r="E118" i="2"/>
  <c r="F172" i="2"/>
  <c r="E14" i="2"/>
  <c r="D175" i="2"/>
  <c r="B89" i="2"/>
  <c r="D86" i="2"/>
  <c r="E130" i="2"/>
  <c r="D179" i="2"/>
  <c r="E263" i="2"/>
  <c r="D34" i="2"/>
  <c r="D290" i="2"/>
  <c r="B128" i="2"/>
  <c r="D145" i="2"/>
  <c r="C283" i="2"/>
  <c r="C13" i="2"/>
  <c r="C260" i="2"/>
  <c r="B71" i="2"/>
  <c r="D249" i="2"/>
  <c r="B69" i="2"/>
  <c r="C209" i="2"/>
  <c r="D143" i="2"/>
  <c r="F65" i="2"/>
  <c r="B274" i="2"/>
  <c r="F144" i="2"/>
  <c r="D267" i="2"/>
  <c r="F149" i="2"/>
  <c r="C132" i="2"/>
  <c r="F249" i="2"/>
  <c r="D29" i="2"/>
  <c r="F233" i="2"/>
  <c r="E178" i="2"/>
  <c r="C34" i="2"/>
  <c r="E104" i="2"/>
  <c r="B196" i="2"/>
  <c r="F143" i="2"/>
  <c r="C182" i="2"/>
  <c r="F291" i="2"/>
  <c r="D230" i="2"/>
  <c r="D202" i="2"/>
  <c r="B62" i="2"/>
  <c r="D28" i="2"/>
  <c r="D140" i="2"/>
  <c r="F215" i="2"/>
  <c r="F271" i="2"/>
  <c r="E289" i="2"/>
  <c r="B94" i="2"/>
  <c r="F39" i="2"/>
  <c r="E239" i="2"/>
  <c r="B29" i="2"/>
  <c r="C16" i="2"/>
  <c r="E229" i="2"/>
  <c r="E246" i="2"/>
  <c r="C52" i="2"/>
  <c r="F197" i="2"/>
  <c r="F74" i="2"/>
  <c r="D83" i="2"/>
  <c r="F47" i="2"/>
  <c r="F52" i="2"/>
  <c r="D67" i="2"/>
  <c r="B50" i="2"/>
  <c r="D273" i="2"/>
  <c r="B287" i="2"/>
  <c r="E86" i="2"/>
  <c r="D106" i="2"/>
  <c r="C156" i="2"/>
  <c r="E225" i="2"/>
  <c r="F292" i="2"/>
  <c r="E292" i="2"/>
  <c r="D155" i="2"/>
  <c r="C245" i="2"/>
  <c r="C100" i="2"/>
  <c r="F196" i="2"/>
  <c r="B43" i="2"/>
  <c r="F91" i="2"/>
  <c r="B237" i="2"/>
  <c r="E21" i="2"/>
  <c r="C101" i="2"/>
  <c r="F93" i="2"/>
  <c r="F129" i="2"/>
  <c r="E89" i="2"/>
  <c r="C21" i="2"/>
  <c r="D268" i="2"/>
  <c r="C57" i="2"/>
  <c r="C74" i="2"/>
  <c r="F10" i="2"/>
  <c r="F253" i="2"/>
  <c r="D251" i="2"/>
  <c r="C60" i="2"/>
  <c r="E168" i="2"/>
  <c r="C65" i="2"/>
  <c r="D199" i="2"/>
  <c r="B106" i="2"/>
  <c r="E274" i="2"/>
  <c r="F240" i="2"/>
  <c r="F263" i="2"/>
  <c r="B279" i="2"/>
  <c r="F134" i="2"/>
  <c r="E280" i="2"/>
  <c r="D252" i="2"/>
  <c r="E290" i="2"/>
  <c r="B213" i="2"/>
  <c r="E253" i="2"/>
  <c r="D139" i="2"/>
  <c r="D240" i="2"/>
  <c r="E28" i="2"/>
  <c r="B235" i="2"/>
  <c r="F25" i="2"/>
  <c r="B249" i="2"/>
  <c r="D116" i="2"/>
  <c r="F171" i="2"/>
  <c r="C23" i="2"/>
  <c r="C253" i="2"/>
  <c r="C238" i="2"/>
  <c r="F248" i="2"/>
  <c r="B256" i="2"/>
  <c r="C15" i="2"/>
  <c r="B45" i="2"/>
  <c r="B36" i="2"/>
  <c r="C48" i="2"/>
  <c r="E176" i="2"/>
  <c r="E85" i="2"/>
  <c r="E238" i="2"/>
  <c r="E155" i="2"/>
  <c r="D262" i="2"/>
  <c r="B246" i="2"/>
  <c r="D32" i="2"/>
  <c r="B158" i="2"/>
  <c r="D113" i="2"/>
  <c r="D180" i="2"/>
  <c r="E93" i="2"/>
  <c r="F266" i="2"/>
  <c r="C17" i="2"/>
  <c r="B65" i="2"/>
  <c r="D190" i="2"/>
  <c r="D22" i="2"/>
  <c r="B234" i="2"/>
  <c r="E206" i="2"/>
  <c r="E97" i="2"/>
  <c r="B111" i="2"/>
  <c r="C203" i="2"/>
  <c r="F115" i="2"/>
  <c r="C280" i="2"/>
  <c r="E152" i="2"/>
  <c r="D39" i="2"/>
  <c r="D133" i="2"/>
  <c r="F214" i="2"/>
  <c r="B260" i="2"/>
  <c r="C97" i="2"/>
  <c r="B215" i="2"/>
  <c r="F37" i="2"/>
  <c r="E52" i="2"/>
  <c r="B109" i="2"/>
  <c r="C169" i="2"/>
  <c r="C206" i="2"/>
  <c r="E169" i="2"/>
  <c r="B46" i="2"/>
  <c r="B52" i="2"/>
  <c r="D31" i="2"/>
  <c r="D154" i="2"/>
  <c r="B61" i="2"/>
  <c r="F285" i="2"/>
  <c r="F95" i="2"/>
  <c r="F23" i="2"/>
  <c r="C214" i="2"/>
  <c r="F33" i="2"/>
  <c r="F77" i="2"/>
  <c r="C119" i="2"/>
  <c r="E142" i="2"/>
  <c r="D93" i="2"/>
  <c r="B20" i="2"/>
  <c r="B292" i="2"/>
  <c r="F152" i="2"/>
  <c r="E136" i="2"/>
  <c r="F189" i="2"/>
  <c r="C234" i="2"/>
  <c r="D215" i="2"/>
  <c r="D178" i="2"/>
  <c r="B55" i="2"/>
  <c r="E24" i="2"/>
  <c r="C25" i="2"/>
  <c r="F200" i="2"/>
  <c r="C146" i="2"/>
  <c r="D194" i="2"/>
  <c r="E32" i="2"/>
  <c r="F203" i="2"/>
  <c r="B280" i="2"/>
  <c r="D63" i="2"/>
  <c r="D205" i="2"/>
  <c r="F243" i="2"/>
  <c r="D51" i="2"/>
  <c r="E158" i="2"/>
  <c r="D279" i="2"/>
  <c r="D50" i="2"/>
  <c r="E59" i="2"/>
  <c r="F169" i="2"/>
  <c r="C144" i="2"/>
  <c r="D110" i="2"/>
  <c r="B136" i="2"/>
  <c r="F24" i="2"/>
  <c r="F138" i="2"/>
  <c r="D144" i="2"/>
  <c r="C150" i="2"/>
  <c r="C204" i="2"/>
  <c r="C239" i="2"/>
  <c r="B130" i="2"/>
  <c r="F106" i="2"/>
  <c r="D256" i="2"/>
  <c r="B56" i="2"/>
  <c r="E119" i="2"/>
  <c r="C14" i="2"/>
  <c r="E72" i="2"/>
  <c r="D226" i="2"/>
  <c r="F270" i="2"/>
  <c r="D250" i="2"/>
  <c r="F90" i="2"/>
  <c r="D78" i="2"/>
  <c r="F28" i="2"/>
  <c r="D59" i="2"/>
  <c r="E207" i="2"/>
  <c r="E147" i="2"/>
  <c r="D213" i="2"/>
  <c r="C58" i="2"/>
  <c r="B241" i="2"/>
  <c r="C164" i="2"/>
  <c r="F107" i="2"/>
  <c r="F128" i="2"/>
  <c r="F75" i="2"/>
  <c r="F162" i="2"/>
  <c r="D228" i="2"/>
  <c r="D187" i="2"/>
  <c r="C228" i="2"/>
  <c r="F212" i="2"/>
  <c r="D257" i="2"/>
  <c r="D27" i="2"/>
  <c r="B110" i="2"/>
  <c r="C147" i="2"/>
  <c r="C111" i="2"/>
  <c r="C109" i="2"/>
  <c r="F116" i="2"/>
  <c r="F177" i="2"/>
  <c r="E83" i="2"/>
  <c r="E214" i="2"/>
  <c r="C166" i="2"/>
  <c r="C69" i="2"/>
  <c r="C130" i="2"/>
  <c r="D97" i="2"/>
  <c r="B288" i="2"/>
  <c r="F102" i="2"/>
  <c r="C158" i="2"/>
  <c r="C123" i="2"/>
  <c r="B222" i="2"/>
  <c r="C31" i="2"/>
  <c r="E197" i="2"/>
  <c r="E117" i="2"/>
  <c r="F230" i="2"/>
  <c r="F76" i="2"/>
  <c r="D141" i="2"/>
  <c r="C18" i="2"/>
  <c r="B197" i="2"/>
  <c r="D184" i="2"/>
  <c r="E260" i="2"/>
  <c r="F194" i="2"/>
  <c r="C78" i="2"/>
  <c r="F254" i="2"/>
  <c r="C273" i="2"/>
  <c r="B120" i="2"/>
  <c r="F42" i="2"/>
  <c r="D14" i="2"/>
  <c r="E31" i="2"/>
  <c r="E120" i="2"/>
  <c r="F272" i="2"/>
  <c r="F219" i="2"/>
  <c r="B169" i="2"/>
  <c r="D182" i="2"/>
  <c r="F140" i="2"/>
  <c r="F133" i="2"/>
  <c r="B189" i="2"/>
  <c r="F117" i="2"/>
  <c r="E235" i="2"/>
  <c r="B38" i="2"/>
  <c r="C35" i="2"/>
  <c r="D171" i="2"/>
  <c r="E144" i="2"/>
  <c r="E61" i="2"/>
  <c r="C122" i="2"/>
  <c r="F61" i="2"/>
  <c r="C264" i="2"/>
  <c r="B159" i="2"/>
  <c r="C125" i="2"/>
  <c r="F36" i="2"/>
  <c r="E33" i="2"/>
  <c r="E58" i="2"/>
  <c r="C227" i="2"/>
  <c r="D232" i="2"/>
  <c r="E70" i="2"/>
  <c r="B157" i="2"/>
  <c r="B86" i="2"/>
  <c r="B268" i="2"/>
  <c r="D123" i="2"/>
  <c r="B176" i="2"/>
  <c r="B83" i="2"/>
  <c r="D276" i="2"/>
  <c r="E63" i="2"/>
  <c r="E195" i="2"/>
  <c r="C180" i="2"/>
  <c r="F182" i="2"/>
  <c r="E251" i="2"/>
  <c r="D26" i="2"/>
  <c r="C271" i="2"/>
  <c r="B124" i="2"/>
  <c r="D57" i="2"/>
  <c r="C278" i="2"/>
  <c r="B107" i="2"/>
  <c r="B139" i="2"/>
  <c r="E264" i="2"/>
  <c r="F262" i="2"/>
  <c r="E138" i="2"/>
  <c r="C270" i="2"/>
  <c r="D87" i="2"/>
  <c r="D43" i="2"/>
  <c r="E129" i="2"/>
  <c r="B151" i="2"/>
  <c r="B32" i="2"/>
  <c r="E74" i="2"/>
  <c r="D151" i="2"/>
  <c r="B115" i="2"/>
  <c r="D68" i="2"/>
  <c r="E13" i="2"/>
  <c r="E16" i="2"/>
  <c r="D118" i="2"/>
  <c r="B64" i="2"/>
  <c r="E248" i="2"/>
  <c r="C61" i="2"/>
  <c r="F131" i="2"/>
  <c r="D247" i="2"/>
  <c r="B199" i="2"/>
  <c r="F72" i="2"/>
  <c r="B203" i="2"/>
  <c r="D260" i="2"/>
  <c r="E80" i="2"/>
  <c r="C207" i="2"/>
  <c r="F225" i="2"/>
  <c r="F20" i="2"/>
  <c r="C267" i="2"/>
  <c r="C70" i="2"/>
  <c r="F49" i="2"/>
  <c r="C175" i="2"/>
  <c r="D214" i="2"/>
  <c r="E245" i="2"/>
  <c r="D191" i="2"/>
  <c r="C251" i="2"/>
  <c r="B211" i="2"/>
  <c r="D46" i="2"/>
  <c r="C229" i="2"/>
  <c r="E29" i="2"/>
  <c r="D95" i="2"/>
  <c r="C24" i="2"/>
  <c r="B93" i="2"/>
  <c r="D49" i="2"/>
  <c r="C28" i="2"/>
  <c r="D258" i="2"/>
  <c r="E268" i="2"/>
  <c r="D166" i="2"/>
  <c r="D224" i="2"/>
  <c r="B44" i="2"/>
  <c r="B108" i="2"/>
  <c r="D282" i="2"/>
  <c r="C236" i="2"/>
  <c r="C124" i="2"/>
  <c r="B100" i="2"/>
  <c r="D84" i="2"/>
  <c r="F258" i="2"/>
  <c r="B141" i="2"/>
  <c r="F202" i="2"/>
  <c r="D270" i="2"/>
  <c r="B187" i="2"/>
  <c r="E99" i="2"/>
  <c r="C155" i="2"/>
  <c r="D60" i="2"/>
  <c r="C179" i="2"/>
  <c r="F19" i="2"/>
  <c r="B134" i="2"/>
  <c r="B271" i="2"/>
  <c r="D101" i="2"/>
  <c r="E201" i="2"/>
  <c r="B102" i="2"/>
  <c r="D168" i="2"/>
  <c r="F12" i="2"/>
  <c r="D111" i="2"/>
  <c r="F216" i="2"/>
  <c r="F241" i="2"/>
  <c r="B117" i="2"/>
  <c r="E166" i="2"/>
  <c r="C222" i="2"/>
  <c r="C121" i="2"/>
  <c r="C145" i="2"/>
  <c r="B14" i="2"/>
  <c r="E141" i="2"/>
  <c r="F184" i="2"/>
  <c r="F53" i="2"/>
  <c r="D17" i="2"/>
  <c r="C86" i="2"/>
  <c r="E205" i="2"/>
  <c r="D112" i="2"/>
  <c r="C87" i="2"/>
  <c r="B266" i="2"/>
  <c r="F161" i="2"/>
  <c r="D291" i="2"/>
  <c r="D206" i="2"/>
  <c r="C160" i="2"/>
  <c r="B103" i="2"/>
  <c r="F125" i="2"/>
  <c r="B19" i="2"/>
  <c r="E79" i="2"/>
  <c r="E133" i="2"/>
  <c r="E65" i="2"/>
  <c r="D253" i="2"/>
  <c r="C205" i="2"/>
  <c r="F205" i="2"/>
  <c r="B200" i="2"/>
  <c r="C212" i="2"/>
  <c r="B184" i="2"/>
  <c r="C129" i="2"/>
  <c r="F79" i="2"/>
  <c r="E150" i="2"/>
  <c r="F234" i="2"/>
  <c r="E27" i="2"/>
  <c r="B148" i="2"/>
  <c r="F251" i="2"/>
  <c r="F153" i="2"/>
  <c r="C196" i="2"/>
  <c r="D74" i="2"/>
  <c r="F279" i="2"/>
  <c r="D52" i="2"/>
  <c r="E270" i="2"/>
  <c r="B90" i="2"/>
  <c r="B244" i="2"/>
  <c r="B101" i="2"/>
  <c r="D238" i="2"/>
  <c r="E241" i="2"/>
  <c r="E198" i="2"/>
  <c r="B75" i="2"/>
  <c r="B96" i="2"/>
  <c r="B165" i="2"/>
  <c r="F146" i="2"/>
  <c r="C263" i="2"/>
  <c r="E47" i="2"/>
  <c r="F35" i="2"/>
  <c r="F156" i="2"/>
  <c r="F55" i="2"/>
  <c r="F261" i="2"/>
  <c r="C137" i="2"/>
  <c r="C241" i="2"/>
  <c r="D61" i="2"/>
  <c r="E269" i="2"/>
  <c r="D45" i="2"/>
  <c r="F267" i="2"/>
  <c r="B84" i="2"/>
  <c r="F71" i="2"/>
  <c r="B204" i="2"/>
  <c r="C188" i="2"/>
  <c r="D96" i="2"/>
  <c r="D292" i="2"/>
  <c r="F111" i="2"/>
  <c r="B125" i="2"/>
  <c r="C287" i="2"/>
  <c r="D218" i="2"/>
  <c r="D211" i="2"/>
  <c r="F160" i="2"/>
  <c r="E220" i="2"/>
  <c r="F124" i="2"/>
  <c r="C252" i="2"/>
  <c r="D124" i="2"/>
  <c r="B239" i="2"/>
  <c r="E275" i="2"/>
  <c r="F218" i="2"/>
  <c r="B99" i="2"/>
  <c r="F109" i="2"/>
  <c r="C170" i="2"/>
  <c r="D146" i="2"/>
  <c r="D152" i="2"/>
  <c r="F11" i="2"/>
  <c r="B273" i="2"/>
  <c r="B79" i="2"/>
  <c r="C165" i="2"/>
  <c r="C235" i="2"/>
  <c r="C138" i="2"/>
  <c r="C114" i="2"/>
  <c r="E69" i="2"/>
  <c r="D246" i="2"/>
  <c r="C224" i="2"/>
  <c r="D37" i="2"/>
  <c r="B35" i="2"/>
  <c r="C27" i="2"/>
  <c r="C195" i="2"/>
  <c r="B39" i="2"/>
  <c r="B105" i="2"/>
  <c r="B216" i="2"/>
  <c r="B95" i="2"/>
  <c r="C201" i="2"/>
  <c r="F51" i="2"/>
  <c r="E48" i="2"/>
  <c r="F141" i="2"/>
  <c r="E240" i="2"/>
  <c r="F221" i="2"/>
  <c r="E113" i="2"/>
  <c r="E26" i="2"/>
  <c r="D272" i="2"/>
  <c r="D277" i="2"/>
  <c r="B118" i="2"/>
  <c r="E243" i="2"/>
  <c r="B228" i="2"/>
  <c r="C274" i="2"/>
  <c r="C220" i="2"/>
  <c r="B238" i="2"/>
  <c r="E283" i="2"/>
  <c r="E20" i="2"/>
  <c r="D41" i="2"/>
  <c r="B59" i="2"/>
  <c r="E19" i="2"/>
  <c r="F294" i="2"/>
  <c r="B293" i="2"/>
  <c r="C292" i="2"/>
  <c r="F295" i="2"/>
  <c r="E294" i="2"/>
  <c r="F293" i="2"/>
  <c r="E293" i="2"/>
  <c r="C293" i="2"/>
  <c r="C294" i="2"/>
  <c r="D293" i="2"/>
  <c r="B295" i="2"/>
  <c r="B294" i="2"/>
  <c r="D294" i="2"/>
  <c r="C299" i="2"/>
  <c r="E296" i="2"/>
  <c r="B296" i="2"/>
  <c r="D295" i="2"/>
  <c r="C296" i="2"/>
  <c r="D296" i="2"/>
  <c r="C295" i="2"/>
  <c r="C297" i="2"/>
  <c r="F296" i="2"/>
  <c r="E295" i="2"/>
  <c r="B299" i="2"/>
  <c r="E297" i="2"/>
  <c r="C298" i="2"/>
  <c r="F297" i="2"/>
  <c r="CE247" i="12"/>
  <c r="C594" i="2"/>
  <c r="E826" i="2"/>
  <c r="E745" i="2"/>
  <c r="E862" i="2"/>
  <c r="E709" i="2"/>
  <c r="E711" i="2"/>
  <c r="C473" i="2"/>
  <c r="F740" i="2"/>
  <c r="E402" i="2"/>
  <c r="F728" i="2"/>
  <c r="F627" i="2"/>
  <c r="F426" i="2"/>
  <c r="F490" i="2"/>
  <c r="F362" i="2"/>
  <c r="C819" i="2"/>
  <c r="B437" i="2"/>
  <c r="E704" i="2"/>
  <c r="B679" i="2"/>
  <c r="D820" i="2"/>
  <c r="C642" i="2"/>
  <c r="F875" i="2"/>
  <c r="B770" i="2"/>
  <c r="C810" i="2"/>
  <c r="B734" i="2"/>
  <c r="D325" i="2"/>
  <c r="C386" i="2"/>
  <c r="F478" i="2"/>
  <c r="F351" i="2"/>
  <c r="E619" i="2"/>
  <c r="B750" i="2"/>
  <c r="D837" i="2"/>
  <c r="D526" i="2"/>
  <c r="E446" i="2"/>
  <c r="E508" i="2"/>
  <c r="D744" i="2"/>
  <c r="C310" i="2"/>
  <c r="D382" i="2"/>
  <c r="B411" i="2"/>
  <c r="D746" i="2"/>
  <c r="D631" i="2"/>
  <c r="E607" i="2"/>
  <c r="C830" i="2"/>
  <c r="B853" i="2"/>
  <c r="C332" i="2"/>
  <c r="E753" i="2"/>
  <c r="B593" i="2"/>
  <c r="F699" i="2"/>
  <c r="D600" i="2"/>
  <c r="C401" i="2"/>
  <c r="E784" i="2"/>
  <c r="E743" i="2"/>
  <c r="B775" i="2"/>
  <c r="C395" i="2"/>
  <c r="D822" i="2"/>
  <c r="F708" i="2"/>
  <c r="B559" i="2"/>
  <c r="E422" i="2"/>
  <c r="C837" i="2"/>
  <c r="E871" i="2"/>
  <c r="E773" i="2"/>
  <c r="D829" i="2"/>
  <c r="C317" i="2"/>
  <c r="C502" i="2"/>
  <c r="D317" i="2"/>
  <c r="D617" i="2"/>
  <c r="F533" i="2"/>
  <c r="C774" i="2"/>
  <c r="F601" i="2"/>
  <c r="C397" i="2"/>
  <c r="C517" i="2"/>
  <c r="D772" i="2"/>
  <c r="F313" i="2"/>
  <c r="F311" i="2"/>
  <c r="F301" i="2"/>
  <c r="F540" i="2"/>
  <c r="E808" i="2"/>
  <c r="E566" i="2"/>
  <c r="F477" i="2"/>
  <c r="B721" i="2"/>
  <c r="C823" i="2"/>
  <c r="F460" i="2"/>
  <c r="D561" i="2"/>
  <c r="D733" i="2"/>
  <c r="D320" i="2"/>
  <c r="C683" i="2"/>
  <c r="D764" i="2"/>
  <c r="D462" i="2"/>
  <c r="C678" i="2"/>
  <c r="E512" i="2"/>
  <c r="F649" i="2"/>
  <c r="B568" i="2"/>
  <c r="C790" i="2"/>
  <c r="D478" i="2"/>
  <c r="F800" i="2"/>
  <c r="C412" i="2"/>
  <c r="F400" i="2"/>
  <c r="E713" i="2"/>
  <c r="B394" i="2"/>
  <c r="C371" i="2"/>
  <c r="C697" i="2"/>
  <c r="D758" i="2"/>
  <c r="F614" i="2"/>
  <c r="E632" i="2"/>
  <c r="F412" i="2"/>
  <c r="B832" i="2"/>
  <c r="B785" i="2"/>
  <c r="F687" i="2"/>
  <c r="F429" i="2"/>
  <c r="F572" i="2"/>
  <c r="D360" i="2"/>
  <c r="D706" i="2"/>
  <c r="F373" i="2"/>
  <c r="B485" i="2"/>
  <c r="C586" i="2"/>
  <c r="E494" i="2"/>
  <c r="F692" i="2"/>
  <c r="B417" i="2"/>
  <c r="B315" i="2"/>
  <c r="D340" i="2"/>
  <c r="E560" i="2"/>
  <c r="B846" i="2"/>
  <c r="C758" i="2"/>
  <c r="C817" i="2"/>
  <c r="E783" i="2"/>
  <c r="E360" i="2"/>
  <c r="D587" i="2"/>
  <c r="D314" i="2"/>
  <c r="F529" i="2"/>
  <c r="E464" i="2"/>
  <c r="C757" i="2"/>
  <c r="E657" i="2"/>
  <c r="D618" i="2"/>
  <c r="E430" i="2"/>
  <c r="B345" i="2"/>
  <c r="C321" i="2"/>
  <c r="F693" i="2"/>
  <c r="E518" i="2"/>
  <c r="D740" i="2"/>
  <c r="C511" i="2"/>
  <c r="D700" i="2"/>
  <c r="F706" i="2"/>
  <c r="C801" i="2"/>
  <c r="B374" i="2"/>
  <c r="D584" i="2"/>
  <c r="D436" i="2"/>
  <c r="D512" i="2"/>
  <c r="C516" i="2"/>
  <c r="C490" i="2"/>
  <c r="B738" i="2"/>
  <c r="E739" i="2"/>
  <c r="D652" i="2"/>
  <c r="C796" i="2"/>
  <c r="D518" i="2"/>
  <c r="C574" i="2"/>
  <c r="C500" i="2"/>
  <c r="F823" i="2"/>
  <c r="C311" i="2"/>
  <c r="F568" i="2"/>
  <c r="B530" i="2"/>
  <c r="D725" i="2"/>
  <c r="F640" i="2"/>
  <c r="C398" i="2"/>
  <c r="E852" i="2"/>
  <c r="B316" i="2"/>
  <c r="D427" i="2"/>
  <c r="F441" i="2"/>
  <c r="C429" i="2"/>
  <c r="C307" i="2"/>
  <c r="C842" i="2"/>
  <c r="B726" i="2"/>
  <c r="D568" i="2"/>
  <c r="D815" i="2"/>
  <c r="C675" i="2"/>
  <c r="E589" i="2"/>
  <c r="D341" i="2"/>
  <c r="F659" i="2"/>
  <c r="E418" i="2"/>
  <c r="E686" i="2"/>
  <c r="D523" i="2"/>
  <c r="E830" i="2"/>
  <c r="D802" i="2"/>
  <c r="D318" i="2"/>
  <c r="D351" i="2"/>
  <c r="E717" i="2"/>
  <c r="B731" i="2"/>
  <c r="E301" i="2"/>
  <c r="B505" i="2"/>
  <c r="B858" i="2"/>
  <c r="E401" i="2"/>
  <c r="D310" i="2"/>
  <c r="E761" i="2"/>
  <c r="D612" i="2"/>
  <c r="F590" i="2"/>
  <c r="E864" i="2"/>
  <c r="F827" i="2"/>
  <c r="B805" i="2"/>
  <c r="B744" i="2"/>
  <c r="C523" i="2"/>
  <c r="C396" i="2"/>
  <c r="C537" i="2"/>
  <c r="F658" i="2"/>
  <c r="E483" i="2"/>
  <c r="F405" i="2"/>
  <c r="C659" i="2"/>
  <c r="D508" i="2"/>
  <c r="C724" i="2"/>
  <c r="D376" i="2"/>
  <c r="C807" i="2"/>
  <c r="C834" i="2"/>
  <c r="D522" i="2"/>
  <c r="C653" i="2"/>
  <c r="F384" i="2"/>
  <c r="F592" i="2"/>
  <c r="D332" i="2"/>
  <c r="F826" i="2"/>
  <c r="E505" i="2"/>
  <c r="E479" i="2"/>
  <c r="B712" i="2"/>
  <c r="B346" i="2"/>
  <c r="B682" i="2"/>
  <c r="C878" i="2"/>
  <c r="E801" i="2"/>
  <c r="B478" i="2"/>
  <c r="B398" i="2"/>
  <c r="B532" i="2"/>
  <c r="D500" i="2"/>
  <c r="B771" i="2"/>
  <c r="F476" i="2"/>
  <c r="F806" i="2"/>
  <c r="C373" i="2"/>
  <c r="C778" i="2"/>
  <c r="E821" i="2"/>
  <c r="F792" i="2"/>
  <c r="C410" i="2"/>
  <c r="E819" i="2"/>
  <c r="B397" i="2"/>
  <c r="B311" i="2"/>
  <c r="C630" i="2"/>
  <c r="C436" i="2"/>
  <c r="E304" i="2"/>
  <c r="F488" i="2"/>
  <c r="F360" i="2"/>
  <c r="D363" i="2"/>
  <c r="F578" i="2"/>
  <c r="B724" i="2"/>
  <c r="C628" i="2"/>
  <c r="B303" i="2"/>
  <c r="B804" i="2"/>
  <c r="E799" i="2"/>
  <c r="E636" i="2"/>
  <c r="D411" i="2"/>
  <c r="C303" i="2"/>
  <c r="F774" i="2"/>
  <c r="D574" i="2"/>
  <c r="E321" i="2"/>
  <c r="E391" i="2"/>
  <c r="D756" i="2"/>
  <c r="C547" i="2"/>
  <c r="C641" i="2"/>
  <c r="D769" i="2"/>
  <c r="E548" i="2"/>
  <c r="E475" i="2"/>
  <c r="D589" i="2"/>
  <c r="F611" i="2"/>
  <c r="F341" i="2"/>
  <c r="C440" i="2"/>
  <c r="F317" i="2"/>
  <c r="F636" i="2"/>
  <c r="E339" i="2"/>
  <c r="C776" i="2"/>
  <c r="C377" i="2"/>
  <c r="D846" i="2"/>
  <c r="C712" i="2"/>
  <c r="E538" i="2"/>
  <c r="F828" i="2"/>
  <c r="E803" i="2"/>
  <c r="E815" i="2"/>
  <c r="F678" i="2"/>
  <c r="B550" i="2"/>
  <c r="B440" i="2"/>
  <c r="C822" i="2"/>
  <c r="E723" i="2"/>
  <c r="C616" i="2"/>
  <c r="B455" i="2"/>
  <c r="B821" i="2"/>
  <c r="B585" i="2"/>
  <c r="D810" i="2"/>
  <c r="E875" i="2"/>
  <c r="E690" i="2"/>
  <c r="F303" i="2"/>
  <c r="E585" i="2"/>
  <c r="D538" i="2"/>
  <c r="C797" i="2"/>
  <c r="B871" i="2"/>
  <c r="F382" i="2"/>
  <c r="F785" i="2"/>
  <c r="E317" i="2"/>
  <c r="C366" i="2"/>
  <c r="F721" i="2"/>
  <c r="F599" i="2"/>
  <c r="C671" i="2"/>
  <c r="C877" i="2"/>
  <c r="F754" i="2"/>
  <c r="C749" i="2"/>
  <c r="C824" i="2"/>
  <c r="E849" i="2"/>
  <c r="B819" i="2"/>
  <c r="F675" i="2"/>
  <c r="E474" i="2"/>
  <c r="F322" i="2"/>
  <c r="F486" i="2"/>
  <c r="F668" i="2"/>
  <c r="D675" i="2"/>
  <c r="E524" i="2"/>
  <c r="C340" i="2"/>
  <c r="C626" i="2"/>
  <c r="B672" i="2"/>
  <c r="D303" i="2"/>
  <c r="B515" i="2"/>
  <c r="F786" i="2"/>
  <c r="E670" i="2"/>
  <c r="B655" i="2"/>
  <c r="B594" i="2"/>
  <c r="C319" i="2"/>
  <c r="D825" i="2"/>
  <c r="C510" i="2"/>
  <c r="B820" i="2"/>
  <c r="B301" i="2"/>
  <c r="C703" i="2"/>
  <c r="E828" i="2"/>
  <c r="D470" i="2"/>
  <c r="F482" i="2"/>
  <c r="C314" i="2"/>
  <c r="F399" i="2"/>
  <c r="B533" i="2"/>
  <c r="F626" i="2"/>
  <c r="C694" i="2"/>
  <c r="D739" i="2"/>
  <c r="F866" i="2"/>
  <c r="F511" i="2"/>
  <c r="D444" i="2"/>
  <c r="E435" i="2"/>
  <c r="F683" i="2"/>
  <c r="C463" i="2"/>
  <c r="C753" i="2"/>
  <c r="E568" i="2"/>
  <c r="E673" i="2"/>
  <c r="F753" i="2"/>
  <c r="D639" i="2"/>
  <c r="F510" i="2"/>
  <c r="E720" i="2"/>
  <c r="D856" i="2"/>
  <c r="B589" i="2"/>
  <c r="D647" i="2"/>
  <c r="B676" i="2"/>
  <c r="D623" i="2"/>
  <c r="C320" i="2"/>
  <c r="F634" i="2"/>
  <c r="D723" i="2"/>
  <c r="E621" i="2"/>
  <c r="F824" i="2"/>
  <c r="C644" i="2"/>
  <c r="B520" i="2"/>
  <c r="C657" i="2"/>
  <c r="F845" i="2"/>
  <c r="F646" i="2"/>
  <c r="E575" i="2"/>
  <c r="F329" i="2"/>
  <c r="F354" i="2"/>
  <c r="F514" i="2"/>
  <c r="C477" i="2"/>
  <c r="E872" i="2"/>
  <c r="E758" i="2"/>
  <c r="C316" i="2"/>
  <c r="D367" i="2"/>
  <c r="C840" i="2"/>
  <c r="C474" i="2"/>
  <c r="D330" i="2"/>
  <c r="B577" i="2"/>
  <c r="F727" i="2"/>
  <c r="F860" i="2"/>
  <c r="E300" i="2"/>
  <c r="D590" i="2"/>
  <c r="F798" i="2"/>
  <c r="B864" i="2"/>
  <c r="F603" i="2"/>
  <c r="B635" i="2"/>
  <c r="C513" i="2"/>
  <c r="F685" i="2"/>
  <c r="E357" i="2"/>
  <c r="F767" i="2"/>
  <c r="E610" i="2"/>
  <c r="C660" i="2"/>
  <c r="D689" i="2"/>
  <c r="C669" i="2"/>
  <c r="F425" i="2"/>
  <c r="B467" i="2"/>
  <c r="F664" i="2"/>
  <c r="E436" i="2"/>
  <c r="C597" i="2"/>
  <c r="D643" i="2"/>
  <c r="B382" i="2"/>
  <c r="C579" i="2"/>
  <c r="F703" i="2"/>
  <c r="B838" i="2"/>
  <c r="E617" i="2"/>
  <c r="F744" i="2"/>
  <c r="C718" i="2"/>
  <c r="E788" i="2"/>
  <c r="B304" i="2"/>
  <c r="F489" i="2"/>
  <c r="D751" i="2"/>
  <c r="B786" i="2"/>
  <c r="B524" i="2"/>
  <c r="C411" i="2"/>
  <c r="D763" i="2"/>
  <c r="C539" i="2"/>
  <c r="C518" i="2"/>
  <c r="C455" i="2"/>
  <c r="D491" i="2"/>
  <c r="D781" i="2"/>
  <c r="E521" i="2"/>
  <c r="E325" i="2"/>
  <c r="D422" i="2"/>
  <c r="B334" i="2"/>
  <c r="B615" i="2"/>
  <c r="F642" i="2"/>
  <c r="B517" i="2"/>
  <c r="E519" i="2"/>
  <c r="C759" i="2"/>
  <c r="F873" i="2"/>
  <c r="E579" i="2"/>
  <c r="F304" i="2"/>
  <c r="C349" i="2"/>
  <c r="C460" i="2"/>
  <c r="B856" i="2"/>
  <c r="E716" i="2"/>
  <c r="E685" i="2"/>
  <c r="F717" i="2"/>
  <c r="F662" i="2"/>
  <c r="B737" i="2"/>
  <c r="D446" i="2"/>
  <c r="F848" i="2"/>
  <c r="C741" i="2"/>
  <c r="B831" i="2"/>
  <c r="C581" i="2"/>
  <c r="C843" i="2"/>
  <c r="F871" i="2"/>
  <c r="E825" i="2"/>
  <c r="F846" i="2"/>
  <c r="E569" i="2"/>
  <c r="D304" i="2"/>
  <c r="F383" i="2"/>
  <c r="C771" i="2"/>
  <c r="D809" i="2"/>
  <c r="C309" i="2"/>
  <c r="C794" i="2"/>
  <c r="D354" i="2"/>
  <c r="F378" i="2"/>
  <c r="F591" i="2"/>
  <c r="B789" i="2"/>
  <c r="D762" i="2"/>
  <c r="E567" i="2"/>
  <c r="E800" i="2"/>
  <c r="D426" i="2"/>
  <c r="E481" i="2"/>
  <c r="F305" i="2"/>
  <c r="D348" i="2"/>
  <c r="D563" i="2"/>
  <c r="D800" i="2"/>
  <c r="E747" i="2"/>
  <c r="C305" i="2"/>
  <c r="B800" i="2"/>
  <c r="E715" i="2"/>
  <c r="B414" i="2"/>
  <c r="C427" i="2"/>
  <c r="E539" i="2"/>
  <c r="D497" i="2"/>
  <c r="B877" i="2"/>
  <c r="C302" i="2"/>
  <c r="B809" i="2"/>
  <c r="F524" i="2"/>
  <c r="B694" i="2"/>
  <c r="D301" i="2"/>
  <c r="F689" i="2"/>
  <c r="F428" i="2"/>
  <c r="F334" i="2"/>
  <c r="E725" i="2"/>
  <c r="D374" i="2"/>
  <c r="B423" i="2"/>
  <c r="B319" i="2"/>
  <c r="F324" i="2"/>
  <c r="F691" i="2"/>
  <c r="B667" i="2"/>
  <c r="B650" i="2"/>
  <c r="B313" i="2"/>
  <c r="B837" i="2"/>
  <c r="E851" i="2"/>
  <c r="C459" i="2"/>
  <c r="F841" i="2"/>
  <c r="E612" i="2"/>
  <c r="B590" i="2"/>
  <c r="E807" i="2"/>
  <c r="E313" i="2"/>
  <c r="B620" i="2"/>
  <c r="F584" i="2"/>
  <c r="C531" i="2"/>
  <c r="E865" i="2"/>
  <c r="B421" i="2"/>
  <c r="D718" i="2"/>
  <c r="F479" i="2"/>
  <c r="B768" i="2"/>
  <c r="D664" i="2"/>
  <c r="E504" i="2"/>
  <c r="B616" i="2"/>
  <c r="E772" i="2"/>
  <c r="D588" i="2"/>
  <c r="F356" i="2"/>
  <c r="E441" i="2"/>
  <c r="D358" i="2"/>
  <c r="B451" i="2"/>
  <c r="F348" i="2"/>
  <c r="B836" i="2"/>
  <c r="B400" i="2"/>
  <c r="C670" i="2"/>
  <c r="B576" i="2"/>
  <c r="E442" i="2"/>
  <c r="D372" i="2"/>
  <c r="C481" i="2"/>
  <c r="C414" i="2"/>
  <c r="B570" i="2"/>
  <c r="F730" i="2"/>
  <c r="B314" i="2"/>
  <c r="E603" i="2"/>
  <c r="D434" i="2"/>
  <c r="F350" i="2"/>
  <c r="F353" i="2"/>
  <c r="C643" i="2"/>
  <c r="E859" i="2"/>
  <c r="D533" i="2"/>
  <c r="D399" i="2"/>
  <c r="F819" i="2"/>
  <c r="B386" i="2"/>
  <c r="E571" i="2"/>
  <c r="B341" i="2"/>
  <c r="E582" i="2"/>
  <c r="B540" i="2"/>
  <c r="C708" i="2"/>
  <c r="F752" i="2"/>
  <c r="B854" i="2"/>
  <c r="F320" i="2"/>
  <c r="D738" i="2"/>
  <c r="D679" i="2"/>
  <c r="F756" i="2"/>
  <c r="B300" i="2"/>
  <c r="E843" i="2"/>
  <c r="B642" i="2"/>
  <c r="B823" i="2"/>
  <c r="D817" i="2"/>
  <c r="D641" i="2"/>
  <c r="C696" i="2"/>
  <c r="D548" i="2"/>
  <c r="C792" i="2"/>
  <c r="F582" i="2"/>
  <c r="C426" i="2"/>
  <c r="C595" i="2"/>
  <c r="C540" i="2"/>
  <c r="C535" i="2"/>
  <c r="C497" i="2"/>
  <c r="E672" i="2"/>
  <c r="F598" i="2"/>
  <c r="B862" i="2"/>
  <c r="D370" i="2"/>
  <c r="C304" i="2"/>
  <c r="D667" i="2"/>
  <c r="E527" i="2"/>
  <c r="F833" i="2"/>
  <c r="C312" i="2"/>
  <c r="F670" i="2"/>
  <c r="C558" i="2"/>
  <c r="B873" i="2"/>
  <c r="E369" i="2"/>
  <c r="F364" i="2"/>
  <c r="C554" i="2"/>
  <c r="F758" i="2"/>
  <c r="B652" i="2"/>
  <c r="C600" i="2"/>
  <c r="B420" i="2"/>
  <c r="D313" i="2"/>
  <c r="B772" i="2"/>
  <c r="F443" i="2"/>
  <c r="F466" i="2"/>
  <c r="B538" i="2"/>
  <c r="C491" i="2"/>
  <c r="B389" i="2"/>
  <c r="E503" i="2"/>
  <c r="E611" i="2"/>
  <c r="F325" i="2"/>
  <c r="D520" i="2"/>
  <c r="D450" i="2"/>
  <c r="F820" i="2"/>
  <c r="C381" i="2"/>
  <c r="B632" i="2"/>
  <c r="B344" i="2"/>
  <c r="C871" i="2"/>
  <c r="D398" i="2"/>
  <c r="D787" i="2"/>
  <c r="D432" i="2"/>
  <c r="C739" i="2"/>
  <c r="F809" i="2"/>
  <c r="F471" i="2"/>
  <c r="B834" i="2"/>
  <c r="B701" i="2"/>
  <c r="C763" i="2"/>
  <c r="C488" i="2"/>
  <c r="E662" i="2"/>
  <c r="D702" i="2"/>
  <c r="E371" i="2"/>
  <c r="D307" i="2"/>
  <c r="E460" i="2"/>
  <c r="B335" i="2"/>
  <c r="F379" i="2"/>
  <c r="E353" i="2"/>
  <c r="F650" i="2"/>
  <c r="B426" i="2"/>
  <c r="B471" i="2"/>
  <c r="C755" i="2"/>
  <c r="F541" i="2"/>
  <c r="B553" i="2"/>
  <c r="E731" i="2"/>
  <c r="D547" i="2"/>
  <c r="D495" i="2"/>
  <c r="F737" i="2"/>
  <c r="E554" i="2"/>
  <c r="F771" i="2"/>
  <c r="F657" i="2"/>
  <c r="B373" i="2"/>
  <c r="C382" i="2"/>
  <c r="C494" i="2"/>
  <c r="D731" i="2"/>
  <c r="F437" i="2"/>
  <c r="B521" i="2"/>
  <c r="B453" i="2"/>
  <c r="F666" i="2"/>
  <c r="B357" i="2"/>
  <c r="E450" i="2"/>
  <c r="B514" i="2"/>
  <c r="E308" i="2"/>
  <c r="E379" i="2"/>
  <c r="F342" i="2"/>
  <c r="D613" i="2"/>
  <c r="C326" i="2"/>
  <c r="C300" i="2"/>
  <c r="D388" i="2"/>
  <c r="D755" i="2"/>
  <c r="C827" i="2"/>
  <c r="F410" i="2"/>
  <c r="C520" i="2"/>
  <c r="B715" i="2"/>
  <c r="B794" i="2"/>
  <c r="F543" i="2"/>
  <c r="B769" i="2"/>
  <c r="C498" i="2"/>
  <c r="E654" i="2"/>
  <c r="D748" i="2"/>
  <c r="E841" i="2"/>
  <c r="B697" i="2"/>
  <c r="C667" i="2"/>
  <c r="F566" i="2"/>
  <c r="B578" i="2"/>
  <c r="D834" i="2"/>
  <c r="F821" i="2"/>
  <c r="E341" i="2"/>
  <c r="E372" i="2"/>
  <c r="E354" i="2"/>
  <c r="D840" i="2"/>
  <c r="F448" i="2"/>
  <c r="C556" i="2"/>
  <c r="F545" i="2"/>
  <c r="F635" i="2"/>
  <c r="C599" i="2"/>
  <c r="C711" i="2"/>
  <c r="C564" i="2"/>
  <c r="C501" i="2"/>
  <c r="C664" i="2"/>
  <c r="C747" i="2"/>
  <c r="F419" i="2"/>
  <c r="C567" i="2"/>
  <c r="D777" i="2"/>
  <c r="B436" i="2"/>
  <c r="C392" i="2"/>
  <c r="B813" i="2"/>
  <c r="E746" i="2"/>
  <c r="D823" i="2"/>
  <c r="D387" i="2"/>
  <c r="B308" i="2"/>
  <c r="D816" i="2"/>
  <c r="B826" i="2"/>
  <c r="E817" i="2"/>
  <c r="F546" i="2"/>
  <c r="C550" i="2"/>
  <c r="F439" i="2"/>
  <c r="E730" i="2"/>
  <c r="C453" i="2"/>
  <c r="C844" i="2"/>
  <c r="C855" i="2"/>
  <c r="B645" i="2"/>
  <c r="D570" i="2"/>
  <c r="F863" i="2"/>
  <c r="E550" i="2"/>
  <c r="F812" i="2"/>
  <c r="D719" i="2"/>
  <c r="B555" i="2"/>
  <c r="D712" i="2"/>
  <c r="C738" i="2"/>
  <c r="F600" i="2"/>
  <c r="F390" i="2"/>
  <c r="F844" i="2"/>
  <c r="D741" i="2"/>
  <c r="E802" i="2"/>
  <c r="B688" i="2"/>
  <c r="F781" i="2"/>
  <c r="E389" i="2"/>
  <c r="F319" i="2"/>
  <c r="D842" i="2"/>
  <c r="C469" i="2"/>
  <c r="C685" i="2"/>
  <c r="E762" i="2"/>
  <c r="C408" i="2"/>
  <c r="F778" i="2"/>
  <c r="C370" i="2"/>
  <c r="D507" i="2"/>
  <c r="F604" i="2"/>
  <c r="B542" i="2"/>
  <c r="C716" i="2"/>
  <c r="F535" i="2"/>
  <c r="D352" i="2"/>
  <c r="E414" i="2"/>
  <c r="E836" i="2"/>
  <c r="B539" i="2"/>
  <c r="D306" i="2"/>
  <c r="B691" i="2"/>
  <c r="E755" i="2"/>
  <c r="C793" i="2"/>
  <c r="E561" i="2"/>
  <c r="E786" i="2"/>
  <c r="F616" i="2"/>
  <c r="B500" i="2"/>
  <c r="C693" i="2"/>
  <c r="C668" i="2"/>
  <c r="C637" i="2"/>
  <c r="E444" i="2"/>
  <c r="E457" i="2"/>
  <c r="F672" i="2"/>
  <c r="C876" i="2"/>
  <c r="B312" i="2"/>
  <c r="E765" i="2"/>
  <c r="B435" i="2"/>
  <c r="D672" i="2"/>
  <c r="F522" i="2"/>
  <c r="B452" i="2"/>
  <c r="F801" i="2"/>
  <c r="D835" i="2"/>
  <c r="E782" i="2"/>
  <c r="B486" i="2"/>
  <c r="B756" i="2"/>
  <c r="F702" i="2"/>
  <c r="F551" i="2"/>
  <c r="B841" i="2"/>
  <c r="F323" i="2"/>
  <c r="B762" i="2"/>
  <c r="C723" i="2"/>
  <c r="C730" i="2"/>
  <c r="F312" i="2"/>
  <c r="F395" i="2"/>
  <c r="F593" i="2"/>
  <c r="C618" i="2"/>
  <c r="B481" i="2"/>
  <c r="B749" i="2"/>
  <c r="C335" i="2"/>
  <c r="D596" i="2"/>
  <c r="E655" i="2"/>
  <c r="D532" i="2"/>
  <c r="C522" i="2"/>
  <c r="F394" i="2"/>
  <c r="C360" i="2"/>
  <c r="F417" i="2"/>
  <c r="F523" i="2"/>
  <c r="D544" i="2"/>
  <c r="D476" i="2"/>
  <c r="C673" i="2"/>
  <c r="D867" i="2"/>
  <c r="F750" i="2"/>
  <c r="F406" i="2"/>
  <c r="D308" i="2"/>
  <c r="B381" i="2"/>
  <c r="B574" i="2"/>
  <c r="E439" i="2"/>
  <c r="D364" i="2"/>
  <c r="B870" i="2"/>
  <c r="F447" i="2"/>
  <c r="F852" i="2"/>
  <c r="C402" i="2"/>
  <c r="D714" i="2"/>
  <c r="D336" i="2"/>
  <c r="E689" i="2"/>
  <c r="B447" i="2"/>
  <c r="B663" i="2"/>
  <c r="D696" i="2"/>
  <c r="B503" i="2"/>
  <c r="D854" i="2"/>
  <c r="D339" i="2"/>
  <c r="F449" i="2"/>
  <c r="E465" i="2"/>
  <c r="E780" i="2"/>
  <c r="E678" i="2"/>
  <c r="F606" i="2"/>
  <c r="B600" i="2"/>
  <c r="E614" i="2"/>
  <c r="F333" i="2"/>
  <c r="E458" i="2"/>
  <c r="C845" i="2"/>
  <c r="D819" i="2"/>
  <c r="F776" i="2"/>
  <c r="C635" i="2"/>
  <c r="B719" i="2"/>
  <c r="F501" i="2"/>
  <c r="D529" i="2"/>
  <c r="C575" i="2"/>
  <c r="C591" i="2"/>
  <c r="D573" i="2"/>
  <c r="E847" i="2"/>
  <c r="F487" i="2"/>
  <c r="F839" i="2"/>
  <c r="E757" i="2"/>
  <c r="C454" i="2"/>
  <c r="D698" i="2"/>
  <c r="C357" i="2"/>
  <c r="D595" i="2"/>
  <c r="D661" i="2"/>
  <c r="E501" i="2"/>
  <c r="D604" i="2"/>
  <c r="B876" i="2"/>
  <c r="B739" i="2"/>
  <c r="F711" i="2"/>
  <c r="B372" i="2"/>
  <c r="B449" i="2"/>
  <c r="E600" i="2"/>
  <c r="E645" i="2"/>
  <c r="B866" i="2"/>
  <c r="B727" i="2"/>
  <c r="B630" i="2"/>
  <c r="B406" i="2"/>
  <c r="F808" i="2"/>
  <c r="D496" i="2"/>
  <c r="B575" i="2"/>
  <c r="C624" i="2"/>
  <c r="C692" i="2"/>
  <c r="F326" i="2"/>
  <c r="E365" i="2"/>
  <c r="B732" i="2"/>
  <c r="E499" i="2"/>
  <c r="E683" i="2"/>
  <c r="B755" i="2"/>
  <c r="E498" i="2"/>
  <c r="C856" i="2"/>
  <c r="F564" i="2"/>
  <c r="F757" i="2"/>
  <c r="C598" i="2"/>
  <c r="E541" i="2"/>
  <c r="F677" i="2"/>
  <c r="F667" i="2"/>
  <c r="F346" i="2"/>
  <c r="D827" i="2"/>
  <c r="E526" i="2"/>
  <c r="E637" i="2"/>
  <c r="C808" i="2"/>
  <c r="F483" i="2"/>
  <c r="D795" i="2"/>
  <c r="B410" i="2"/>
  <c r="F547" i="2"/>
  <c r="C365" i="2"/>
  <c r="E395" i="2"/>
  <c r="C775" i="2"/>
  <c r="C658" i="2"/>
  <c r="E361" i="2"/>
  <c r="E682" i="2"/>
  <c r="C612" i="2"/>
  <c r="D868" i="2"/>
  <c r="D539" i="2"/>
  <c r="F553" i="2"/>
  <c r="D576" i="2"/>
  <c r="B643" i="2"/>
  <c r="B541" i="2"/>
  <c r="B571" i="2"/>
  <c r="F629" i="2"/>
  <c r="F331" i="2"/>
  <c r="C828" i="2"/>
  <c r="D875" i="2"/>
  <c r="D838" i="2"/>
  <c r="B350" i="2"/>
  <c r="F431" i="2"/>
  <c r="E622" i="2"/>
  <c r="E470" i="2"/>
  <c r="D566" i="2"/>
  <c r="F663" i="2"/>
  <c r="E870" i="2"/>
  <c r="E318" i="2"/>
  <c r="B479" i="2"/>
  <c r="E848" i="2"/>
  <c r="F859" i="2"/>
  <c r="D452" i="2"/>
  <c r="B754" i="2"/>
  <c r="D678" i="2"/>
  <c r="D302" i="2"/>
  <c r="F843" i="2"/>
  <c r="D717" i="2"/>
  <c r="E814" i="2"/>
  <c r="D312" i="2"/>
  <c r="C418" i="2"/>
  <c r="F377" i="2"/>
  <c r="B446" i="2"/>
  <c r="D423" i="2"/>
  <c r="E798" i="2"/>
  <c r="E750" i="2"/>
  <c r="C826" i="2"/>
  <c r="E829" i="2"/>
  <c r="D300" i="2"/>
  <c r="C781" i="2"/>
  <c r="D789" i="2"/>
  <c r="B404" i="2"/>
  <c r="F468" i="2"/>
  <c r="F759" i="2"/>
  <c r="D493" i="2"/>
  <c r="C478" i="2"/>
  <c r="C308" i="2"/>
  <c r="F561" i="2"/>
  <c r="D379" i="2"/>
  <c r="B339" i="2"/>
  <c r="B363" i="2"/>
  <c r="C404" i="2"/>
  <c r="F332" i="2"/>
  <c r="F352" i="2"/>
  <c r="B554" i="2"/>
  <c r="F700" i="2"/>
  <c r="C596" i="2"/>
  <c r="E340" i="2"/>
  <c r="C832" i="2"/>
  <c r="D447" i="2"/>
  <c r="D745" i="2"/>
  <c r="D873" i="2"/>
  <c r="E394" i="2"/>
  <c r="D579" i="2"/>
  <c r="D703" i="2"/>
  <c r="B806" i="2"/>
  <c r="E756" i="2"/>
  <c r="E547" i="2"/>
  <c r="E405" i="2"/>
  <c r="C833" i="2"/>
  <c r="D571" i="2"/>
  <c r="C862" i="2"/>
  <c r="F681" i="2"/>
  <c r="D688" i="2"/>
  <c r="C514" i="2"/>
  <c r="E573" i="2"/>
  <c r="B396" i="2"/>
  <c r="B302" i="2"/>
  <c r="B848" i="2"/>
  <c r="C784" i="2"/>
  <c r="B693" i="2"/>
  <c r="E835" i="2"/>
  <c r="E553" i="2"/>
  <c r="E347" i="2"/>
  <c r="E305" i="2"/>
  <c r="B383" i="2"/>
  <c r="B370" i="2"/>
  <c r="C804" i="2"/>
  <c r="C576" i="2"/>
  <c r="F562" i="2"/>
  <c r="F660" i="2"/>
  <c r="E378" i="2"/>
  <c r="C405" i="2"/>
  <c r="C342" i="2"/>
  <c r="F855" i="2"/>
  <c r="B658" i="2"/>
  <c r="F534" i="2"/>
  <c r="F586" i="2"/>
  <c r="F625" i="2"/>
  <c r="B463" i="2"/>
  <c r="C493" i="2"/>
  <c r="E302" i="2"/>
  <c r="E742" i="2"/>
  <c r="D329" i="2"/>
  <c r="F797" i="2"/>
  <c r="F869" i="2"/>
  <c r="B474" i="2"/>
  <c r="D492" i="2"/>
  <c r="B640" i="2"/>
  <c r="B761" i="2"/>
  <c r="C821" i="2"/>
  <c r="D378" i="2"/>
  <c r="E791" i="2"/>
  <c r="D424" i="2"/>
  <c r="B671" i="2"/>
  <c r="D413" i="2"/>
  <c r="B760" i="2"/>
  <c r="E818" i="2"/>
  <c r="D546" i="2"/>
  <c r="F835" i="2"/>
  <c r="E810" i="2"/>
  <c r="C622" i="2"/>
  <c r="F729" i="2"/>
  <c r="D591" i="2"/>
  <c r="B674" i="2"/>
  <c r="C380" i="2"/>
  <c r="F376" i="2"/>
  <c r="D796" i="2"/>
  <c r="E674" i="2"/>
  <c r="C428" i="2"/>
  <c r="E820" i="2"/>
  <c r="D632" i="2"/>
  <c r="D384" i="2"/>
  <c r="B791" i="2"/>
  <c r="C836" i="2"/>
  <c r="B333" i="2"/>
  <c r="B728" i="2"/>
  <c r="B664" i="2"/>
  <c r="D311" i="2"/>
  <c r="D369" i="2"/>
  <c r="E345" i="2"/>
  <c r="D624" i="2"/>
  <c r="D619" i="2"/>
  <c r="B332" i="2"/>
  <c r="E489" i="2"/>
  <c r="C860" i="2"/>
  <c r="F676" i="2"/>
  <c r="C324" i="2"/>
  <c r="B457" i="2"/>
  <c r="D715" i="2"/>
  <c r="D785" i="2"/>
  <c r="D701" i="2"/>
  <c r="F531" i="2"/>
  <c r="D519" i="2"/>
  <c r="C415" i="2"/>
  <c r="C813" i="2"/>
  <c r="D305" i="2"/>
  <c r="D467" i="2"/>
  <c r="C715" i="2"/>
  <c r="C875" i="2"/>
  <c r="D830" i="2"/>
  <c r="E680" i="2"/>
  <c r="B330" i="2"/>
  <c r="C791" i="2"/>
  <c r="B509" i="2"/>
  <c r="C352" i="2"/>
  <c r="B326" i="2"/>
  <c r="E787" i="2"/>
  <c r="F370" i="2"/>
  <c r="B696" i="2"/>
  <c r="D419" i="2"/>
  <c r="B549" i="2"/>
  <c r="F876" i="2"/>
  <c r="E500" i="2"/>
  <c r="E734" i="2"/>
  <c r="D466" i="2"/>
  <c r="F709" i="2"/>
  <c r="E605" i="2"/>
  <c r="D713" i="2"/>
  <c r="C416" i="2"/>
  <c r="D814" i="2"/>
  <c r="F858" i="2"/>
  <c r="E726" i="2"/>
  <c r="F811" i="2"/>
  <c r="E867" i="2"/>
  <c r="E681" i="2"/>
  <c r="F669" i="2"/>
  <c r="D355" i="2"/>
  <c r="F525" i="2"/>
  <c r="E390" i="2"/>
  <c r="E413" i="2"/>
  <c r="E404" i="2"/>
  <c r="C852" i="2"/>
  <c r="B807" i="2"/>
  <c r="C806" i="2"/>
  <c r="E468" i="2"/>
  <c r="C835" i="2"/>
  <c r="E671" i="2"/>
  <c r="C632" i="2"/>
  <c r="B450" i="2"/>
  <c r="C742" i="2"/>
  <c r="C452" i="2"/>
  <c r="C765" i="2"/>
  <c r="B777" i="2"/>
  <c r="C384" i="2"/>
  <c r="F574" i="2"/>
  <c r="D344" i="2"/>
  <c r="F694" i="2"/>
  <c r="C569" i="2"/>
  <c r="F318" i="2"/>
  <c r="D666" i="2"/>
  <c r="E812" i="2"/>
  <c r="C451" i="2"/>
  <c r="D337" i="2"/>
  <c r="C857" i="2"/>
  <c r="F734" i="2"/>
  <c r="F674" i="2"/>
  <c r="C347" i="2"/>
  <c r="C820" i="2"/>
  <c r="D586" i="2"/>
  <c r="C528" i="2"/>
  <c r="B360" i="2"/>
  <c r="C583" i="2"/>
  <c r="B351" i="2"/>
  <c r="D557" i="2"/>
  <c r="B865" i="2"/>
  <c r="C489" i="2"/>
  <c r="D653" i="2"/>
  <c r="C389" i="2"/>
  <c r="B606" i="2"/>
  <c r="F779" i="2"/>
  <c r="B631" i="2"/>
  <c r="E510" i="2"/>
  <c r="E639" i="2"/>
  <c r="F521" i="2"/>
  <c r="E625" i="2"/>
  <c r="B558" i="2"/>
  <c r="F557" i="2"/>
  <c r="E811" i="2"/>
  <c r="B430" i="2"/>
  <c r="F777" i="2"/>
  <c r="E824" i="2"/>
  <c r="C725" i="2"/>
  <c r="C496" i="2"/>
  <c r="F768" i="2"/>
  <c r="C764" i="2"/>
  <c r="F624" i="2"/>
  <c r="C748" i="2"/>
  <c r="D488" i="2"/>
  <c r="B661" i="2"/>
  <c r="B464" i="2"/>
  <c r="C649" i="2"/>
  <c r="B872" i="2"/>
  <c r="D580" i="2"/>
  <c r="B675" i="2"/>
  <c r="D357" i="2"/>
  <c r="C773" i="2"/>
  <c r="C534" i="2"/>
  <c r="D393" i="2"/>
  <c r="B757" i="2"/>
  <c r="B510" i="2"/>
  <c r="B305" i="2"/>
  <c r="E320" i="2"/>
  <c r="B867" i="2"/>
  <c r="C391" i="2"/>
  <c r="F374" i="2"/>
  <c r="B817" i="2"/>
  <c r="C354" i="2"/>
  <c r="C329" i="2"/>
  <c r="E789" i="2"/>
  <c r="C374" i="2"/>
  <c r="E329" i="2"/>
  <c r="F769" i="2"/>
  <c r="E647" i="2"/>
  <c r="D510" i="2"/>
  <c r="F648" i="2"/>
  <c r="B609" i="2"/>
  <c r="E397" i="2"/>
  <c r="B796" i="2"/>
  <c r="B705" i="2"/>
  <c r="E724" i="2"/>
  <c r="E492" i="2"/>
  <c r="F366" i="2"/>
  <c r="E806" i="2"/>
  <c r="B358" i="2"/>
  <c r="C468" i="2"/>
  <c r="F605" i="2"/>
  <c r="C419" i="2"/>
  <c r="F654" i="2"/>
  <c r="C548" i="2"/>
  <c r="D565" i="2"/>
  <c r="B647" i="2"/>
  <c r="C788" i="2"/>
  <c r="B545" i="2"/>
  <c r="B566" i="2"/>
  <c r="F783" i="2"/>
  <c r="B707" i="2"/>
  <c r="E597" i="2"/>
  <c r="E478" i="2"/>
  <c r="C847" i="2"/>
  <c r="B742" i="2"/>
  <c r="F653" i="2"/>
  <c r="D443" i="2"/>
  <c r="E631" i="2"/>
  <c r="D650" i="2"/>
  <c r="C663" i="2"/>
  <c r="F375" i="2"/>
  <c r="B522" i="2"/>
  <c r="B504" i="2"/>
  <c r="E346" i="2"/>
  <c r="B557" i="2"/>
  <c r="F401" i="2"/>
  <c r="D720" i="2"/>
  <c r="E388" i="2"/>
  <c r="C521" i="2"/>
  <c r="F458" i="2"/>
  <c r="E563" i="2"/>
  <c r="D327" i="2"/>
  <c r="C805" i="2"/>
  <c r="C561" i="2"/>
  <c r="D365" i="2"/>
  <c r="E555" i="2"/>
  <c r="D852" i="2"/>
  <c r="E809" i="2"/>
  <c r="D681" i="2"/>
  <c r="C529" i="2"/>
  <c r="C636" i="2"/>
  <c r="E733" i="2"/>
  <c r="E839" i="2"/>
  <c r="C376" i="2"/>
  <c r="C587" i="2"/>
  <c r="F745" i="2"/>
  <c r="B516" i="2"/>
  <c r="F314" i="2"/>
  <c r="E511" i="2"/>
  <c r="D878" i="2"/>
  <c r="C538" i="2"/>
  <c r="B847" i="2"/>
  <c r="D421" i="2"/>
  <c r="C851" i="2"/>
  <c r="D540" i="2"/>
  <c r="B792" i="2"/>
  <c r="B586" i="2"/>
  <c r="C443" i="2"/>
  <c r="D791" i="2"/>
  <c r="E796" i="2"/>
  <c r="F585" i="2"/>
  <c r="B543" i="2"/>
  <c r="D609" i="2"/>
  <c r="B405" i="2"/>
  <c r="D860" i="2"/>
  <c r="E740" i="2"/>
  <c r="E641" i="2"/>
  <c r="D648" i="2"/>
  <c r="E752" i="2"/>
  <c r="B622" i="2"/>
  <c r="D487" i="2"/>
  <c r="D752" i="2"/>
  <c r="C734" i="2"/>
  <c r="E855" i="2"/>
  <c r="B488" i="2"/>
  <c r="F596" i="2"/>
  <c r="F393" i="2"/>
  <c r="F536" i="2"/>
  <c r="F868" i="2"/>
  <c r="B496" i="2"/>
  <c r="C560" i="2"/>
  <c r="B378" i="2"/>
  <c r="D552" i="2"/>
  <c r="D694" i="2"/>
  <c r="F589" i="2"/>
  <c r="E675" i="2"/>
  <c r="C736" i="2"/>
  <c r="D803" i="2"/>
  <c r="F499" i="2"/>
  <c r="D315" i="2"/>
  <c r="D350" i="2"/>
  <c r="D338" i="2"/>
  <c r="C339" i="2"/>
  <c r="C577" i="2"/>
  <c r="B310" i="2"/>
  <c r="C563" i="2"/>
  <c r="C732" i="2"/>
  <c r="B494" i="2"/>
  <c r="C706" i="2"/>
  <c r="F735" i="2"/>
  <c r="B767" i="2"/>
  <c r="C858" i="2"/>
  <c r="B660" i="2"/>
  <c r="F518" i="2"/>
  <c r="E596" i="2"/>
  <c r="B535" i="2"/>
  <c r="C617" i="2"/>
  <c r="C541" i="2"/>
  <c r="B815" i="2"/>
  <c r="D395" i="2"/>
  <c r="C861" i="2"/>
  <c r="C390" i="2"/>
  <c r="C456" i="2"/>
  <c r="B782" i="2"/>
  <c r="D429" i="2"/>
  <c r="D335" i="2"/>
  <c r="D459" i="2"/>
  <c r="E520" i="2"/>
  <c r="C610" i="2"/>
  <c r="B379" i="2"/>
  <c r="B859" i="2"/>
  <c r="E667" i="2"/>
  <c r="F573" i="2"/>
  <c r="B399" i="2"/>
  <c r="B484" i="2"/>
  <c r="F358" i="2"/>
  <c r="B780" i="2"/>
  <c r="F446" i="2"/>
  <c r="F762" i="2"/>
  <c r="B361" i="2"/>
  <c r="F719" i="2"/>
  <c r="B365" i="2"/>
  <c r="B476" i="2"/>
  <c r="B849" i="2"/>
  <c r="F816" i="2"/>
  <c r="F498" i="2"/>
  <c r="F310" i="2"/>
  <c r="C476" i="2"/>
  <c r="D768" i="2"/>
  <c r="E684" i="2"/>
  <c r="F434" i="2"/>
  <c r="E536" i="2"/>
  <c r="D736" i="2"/>
  <c r="C647" i="2"/>
  <c r="C565" i="2"/>
  <c r="F563" i="2"/>
  <c r="E658" i="2"/>
  <c r="C722" i="2"/>
  <c r="C854" i="2"/>
  <c r="D637" i="2"/>
  <c r="D490" i="2"/>
  <c r="E718" i="2"/>
  <c r="B638" i="2"/>
  <c r="C551" i="2"/>
  <c r="C549" i="2"/>
  <c r="E665" i="2"/>
  <c r="E827" i="2"/>
  <c r="B779" i="2"/>
  <c r="F315" i="2"/>
  <c r="E355" i="2"/>
  <c r="E454" i="2"/>
  <c r="D437" i="2"/>
  <c r="B839" i="2"/>
  <c r="D575" i="2"/>
  <c r="D676" i="2"/>
  <c r="D482" i="2"/>
  <c r="E497" i="2"/>
  <c r="E358" i="2"/>
  <c r="B587" i="2"/>
  <c r="F617" i="2"/>
  <c r="E866" i="2"/>
  <c r="B412" i="2"/>
  <c r="D386" i="2"/>
  <c r="E858" i="2"/>
  <c r="F455" i="2"/>
  <c r="D598" i="2"/>
  <c r="F340" i="2"/>
  <c r="F612" i="2"/>
  <c r="E411" i="2"/>
  <c r="C652" i="2"/>
  <c r="F878" i="2"/>
  <c r="B781" i="2"/>
  <c r="C731" i="2"/>
  <c r="B473" i="2"/>
  <c r="B686" i="2"/>
  <c r="E453" i="2"/>
  <c r="F357" i="2"/>
  <c r="D316" i="2"/>
  <c r="B340" i="2"/>
  <c r="E640" i="2"/>
  <c r="C356" i="2"/>
  <c r="E493" i="2"/>
  <c r="E328" i="2"/>
  <c r="C447" i="2"/>
  <c r="D640" i="2"/>
  <c r="C475" i="2"/>
  <c r="C441" i="2"/>
  <c r="D646" i="2"/>
  <c r="E429" i="2"/>
  <c r="E646" i="2"/>
  <c r="B580" i="2"/>
  <c r="E644" i="2"/>
  <c r="E443" i="2"/>
  <c r="D724" i="2"/>
  <c r="E797" i="2"/>
  <c r="E559" i="2"/>
  <c r="B392" i="2"/>
  <c r="B678" i="2"/>
  <c r="E359" i="2"/>
  <c r="B730" i="2"/>
  <c r="C553" i="2"/>
  <c r="F506" i="2"/>
  <c r="C853" i="2"/>
  <c r="C495" i="2"/>
  <c r="C566" i="2"/>
  <c r="B380" i="2"/>
  <c r="E423" i="2"/>
  <c r="B773" i="2"/>
  <c r="F851" i="2"/>
  <c r="B748" i="2"/>
  <c r="C846" i="2"/>
  <c r="C313" i="2"/>
  <c r="B790" i="2"/>
  <c r="D799" i="2"/>
  <c r="E744" i="2"/>
  <c r="F630" i="2"/>
  <c r="F652" i="2"/>
  <c r="E623" i="2"/>
  <c r="E602" i="2"/>
  <c r="E767" i="2"/>
  <c r="F509" i="2"/>
  <c r="F814" i="2"/>
  <c r="D449" i="2"/>
  <c r="F427" i="2"/>
  <c r="C369" i="2"/>
  <c r="F595" i="2"/>
  <c r="E531" i="2"/>
  <c r="E509" i="2"/>
  <c r="B507" i="2"/>
  <c r="B428" i="2"/>
  <c r="F307" i="2"/>
  <c r="E691" i="2"/>
  <c r="C318" i="2"/>
  <c r="C812" i="2"/>
  <c r="D742" i="2"/>
  <c r="D729" i="2"/>
  <c r="D527" i="2"/>
  <c r="F874" i="2"/>
  <c r="B704" i="2"/>
  <c r="E323" i="2"/>
  <c r="B573" i="2"/>
  <c r="D686" i="2"/>
  <c r="E408" i="2"/>
  <c r="C327" i="2"/>
  <c r="B845" i="2"/>
  <c r="C507" i="2"/>
  <c r="D477" i="2"/>
  <c r="E850" i="2"/>
  <c r="E385" i="2"/>
  <c r="D761" i="2"/>
  <c r="E386" i="2"/>
  <c r="F644" i="2"/>
  <c r="E626" i="2"/>
  <c r="E732" i="2"/>
  <c r="E766" i="2"/>
  <c r="B470" i="2"/>
  <c r="C756" i="2"/>
  <c r="D406" i="2"/>
  <c r="C462" i="2"/>
  <c r="C761" i="2"/>
  <c r="F619" i="2"/>
  <c r="B835" i="2"/>
  <c r="B513" i="2"/>
  <c r="F513" i="2"/>
  <c r="F463" i="2"/>
  <c r="C648" i="2"/>
  <c r="B629" i="2"/>
  <c r="C799" i="2"/>
  <c r="D645" i="2"/>
  <c r="D400" i="2"/>
  <c r="F620" i="2"/>
  <c r="D759" i="2"/>
  <c r="B766" i="2"/>
  <c r="E583" i="2"/>
  <c r="B431" i="2"/>
  <c r="E650" i="2"/>
  <c r="B684" i="2"/>
  <c r="B711" i="2"/>
  <c r="B798" i="2"/>
  <c r="F567" i="2"/>
  <c r="C874" i="2"/>
  <c r="E434" i="2"/>
  <c r="F527" i="2"/>
  <c r="B391" i="2"/>
  <c r="B325" i="2"/>
  <c r="B759" i="2"/>
  <c r="D638" i="2"/>
  <c r="F454" i="2"/>
  <c r="D871" i="2"/>
  <c r="C466" i="2"/>
  <c r="D468" i="2"/>
  <c r="D569" i="2"/>
  <c r="B465" i="2"/>
  <c r="C654" i="2"/>
  <c r="B814" i="2"/>
  <c r="B808" i="2"/>
  <c r="F742" i="2"/>
  <c r="E601" i="2"/>
  <c r="F738" i="2"/>
  <c r="E669" i="2"/>
  <c r="C754" i="2"/>
  <c r="F831" i="2"/>
  <c r="F413" i="2"/>
  <c r="F520" i="2"/>
  <c r="D441" i="2"/>
  <c r="E364" i="2"/>
  <c r="F569" i="2"/>
  <c r="B708" i="2"/>
  <c r="F502" i="2"/>
  <c r="F396" i="2"/>
  <c r="E876" i="2"/>
  <c r="B482" i="2"/>
  <c r="E728" i="2"/>
  <c r="C866" i="2"/>
  <c r="E701" i="2"/>
  <c r="F610" i="2"/>
  <c r="E472" i="2"/>
  <c r="D633" i="2"/>
  <c r="C650" i="2"/>
  <c r="E331" i="2"/>
  <c r="E608" i="2"/>
  <c r="C662" i="2"/>
  <c r="E485" i="2"/>
  <c r="D433" i="2"/>
  <c r="B825" i="2"/>
  <c r="E700" i="2"/>
  <c r="B565" i="2"/>
  <c r="B833" i="2"/>
  <c r="F388" i="2"/>
  <c r="E424" i="2"/>
  <c r="E349" i="2"/>
  <c r="D553" i="2"/>
  <c r="D511" i="2"/>
  <c r="E652" i="2"/>
  <c r="C403" i="2"/>
  <c r="E581" i="2"/>
  <c r="C787" i="2"/>
  <c r="D625" i="2"/>
  <c r="D773" i="2"/>
  <c r="B810" i="2"/>
  <c r="E417" i="2"/>
  <c r="F637" i="2"/>
  <c r="D473" i="2"/>
  <c r="B544" i="2"/>
  <c r="C745" i="2"/>
  <c r="D862" i="2"/>
  <c r="B861" i="2"/>
  <c r="C701" i="2"/>
  <c r="B830" i="2"/>
  <c r="D435" i="2"/>
  <c r="F794" i="2"/>
  <c r="E736" i="2"/>
  <c r="C432" i="2"/>
  <c r="C546" i="2"/>
  <c r="F842" i="2"/>
  <c r="C691" i="2"/>
  <c r="B329" i="2"/>
  <c r="C627" i="2"/>
  <c r="D615" i="2"/>
  <c r="C471" i="2"/>
  <c r="D778" i="2"/>
  <c r="B519" i="2"/>
  <c r="F450" i="2"/>
  <c r="D670" i="2"/>
  <c r="F402" i="2"/>
  <c r="C464" i="2"/>
  <c r="D728" i="2"/>
  <c r="F432" i="2"/>
  <c r="C423" i="2"/>
  <c r="C750" i="2"/>
  <c r="F555" i="2"/>
  <c r="B763" i="2"/>
  <c r="D629" i="2"/>
  <c r="C322" i="2"/>
  <c r="F415" i="2"/>
  <c r="F787" i="2"/>
  <c r="F639" i="2"/>
  <c r="D524" i="2"/>
  <c r="F686" i="2"/>
  <c r="C337" i="2"/>
  <c r="F420" i="2"/>
  <c r="B657" i="2"/>
  <c r="F453" i="2"/>
  <c r="F472" i="2"/>
  <c r="F780" i="2"/>
  <c r="B699" i="2"/>
  <c r="C364" i="2"/>
  <c r="C444" i="2"/>
  <c r="E545" i="2"/>
  <c r="B714" i="2"/>
  <c r="B385" i="2"/>
  <c r="C542" i="2"/>
  <c r="B561" i="2"/>
  <c r="C433" i="2"/>
  <c r="B343" i="2"/>
  <c r="D812" i="2"/>
  <c r="E452" i="2"/>
  <c r="B612" i="2"/>
  <c r="C448" i="2"/>
  <c r="F834" i="2"/>
  <c r="D708" i="2"/>
  <c r="B551" i="2"/>
  <c r="F409" i="2"/>
  <c r="D770" i="2"/>
  <c r="B512" i="2"/>
  <c r="B765" i="2"/>
  <c r="B689" i="2"/>
  <c r="B366" i="2"/>
  <c r="F403" i="2"/>
  <c r="E487" i="2"/>
  <c r="C620" i="2"/>
  <c r="C363" i="2"/>
  <c r="C720" i="2"/>
  <c r="B581" i="2"/>
  <c r="F442" i="2"/>
  <c r="C467" i="2"/>
  <c r="D408" i="2"/>
  <c r="C789" i="2"/>
  <c r="D627" i="2"/>
  <c r="C865" i="2"/>
  <c r="B685" i="2"/>
  <c r="D851" i="2"/>
  <c r="D418" i="2"/>
  <c r="B317" i="2"/>
  <c r="F715" i="2"/>
  <c r="D807" i="2"/>
  <c r="D375" i="2"/>
  <c r="F470" i="2"/>
  <c r="B337" i="2"/>
  <c r="D321" i="2"/>
  <c r="C689" i="2"/>
  <c r="E400" i="2"/>
  <c r="C399" i="2"/>
  <c r="C571" i="2"/>
  <c r="D394" i="2"/>
  <c r="D475" i="2"/>
  <c r="C585" i="2"/>
  <c r="B562" i="2"/>
  <c r="E702" i="2"/>
  <c r="F638" i="2"/>
  <c r="E651" i="2"/>
  <c r="C870" i="2"/>
  <c r="E648" i="2"/>
  <c r="D583" i="2"/>
  <c r="D607" i="2"/>
  <c r="F387" i="2"/>
  <c r="D405" i="2"/>
  <c r="D582" i="2"/>
  <c r="B567" i="2"/>
  <c r="E375" i="2"/>
  <c r="F732" i="2"/>
  <c r="D464" i="2"/>
  <c r="B626" i="2"/>
  <c r="E705" i="2"/>
  <c r="D798" i="2"/>
  <c r="B857" i="2"/>
  <c r="D366" i="2"/>
  <c r="F718" i="2"/>
  <c r="D463" i="2"/>
  <c r="B637" i="2"/>
  <c r="B353" i="2"/>
  <c r="C589" i="2"/>
  <c r="D662" i="2"/>
  <c r="D771" i="2"/>
  <c r="D811" i="2"/>
  <c r="F802" i="2"/>
  <c r="E837" i="2"/>
  <c r="D782" i="2"/>
  <c r="F330" i="2"/>
  <c r="B306" i="2"/>
  <c r="E770" i="2"/>
  <c r="D858" i="2"/>
  <c r="E343" i="2"/>
  <c r="C786" i="2"/>
  <c r="B572" i="2"/>
  <c r="F381" i="2"/>
  <c r="C424" i="2"/>
  <c r="E336" i="2"/>
  <c r="B338" i="2"/>
  <c r="F615" i="2"/>
  <c r="F647" i="2"/>
  <c r="F347" i="2"/>
  <c r="F764" i="2"/>
  <c r="B843" i="2"/>
  <c r="B563" i="2"/>
  <c r="C578" i="2"/>
  <c r="E471" i="2"/>
  <c r="F493" i="2"/>
  <c r="D853" i="2"/>
  <c r="D430" i="2"/>
  <c r="E522" i="2"/>
  <c r="E874" i="2"/>
  <c r="C328" i="2"/>
  <c r="F577" i="2"/>
  <c r="E868" i="2"/>
  <c r="F345" i="2"/>
  <c r="B608" i="2"/>
  <c r="C672" i="2"/>
  <c r="C839" i="2"/>
  <c r="F338" i="2"/>
  <c r="E330" i="2"/>
  <c r="D730" i="2"/>
  <c r="B828" i="2"/>
  <c r="F722" i="2"/>
  <c r="B784" i="2"/>
  <c r="E552" i="2"/>
  <c r="D649" i="2"/>
  <c r="C559" i="2"/>
  <c r="C341" i="2"/>
  <c r="E869" i="2"/>
  <c r="D504" i="2"/>
  <c r="B408" i="2"/>
  <c r="F445" i="2"/>
  <c r="F579" i="2"/>
  <c r="C629" i="2"/>
  <c r="D721" i="2"/>
  <c r="D671" i="2"/>
  <c r="D485" i="2"/>
  <c r="D445" i="2"/>
  <c r="B583" i="2"/>
  <c r="C727" i="2"/>
  <c r="D323" i="2"/>
  <c r="C346" i="2"/>
  <c r="C695" i="2"/>
  <c r="B320" i="2"/>
  <c r="E616" i="2"/>
  <c r="F766" i="2"/>
  <c r="D630" i="2"/>
  <c r="E491" i="2"/>
  <c r="C795" i="2"/>
  <c r="E846" i="2"/>
  <c r="E754" i="2"/>
  <c r="C325" i="2"/>
  <c r="F704" i="2"/>
  <c r="E327" i="2"/>
  <c r="D567" i="2"/>
  <c r="D550" i="2"/>
  <c r="D349" i="2"/>
  <c r="D531" i="2"/>
  <c r="D711" i="2"/>
  <c r="C552" i="2"/>
  <c r="E624" i="2"/>
  <c r="F736" i="2"/>
  <c r="E879" i="2"/>
  <c r="B874" i="2"/>
  <c r="B680" i="2"/>
  <c r="C873" i="2"/>
  <c r="C849" i="2"/>
  <c r="E540" i="2"/>
  <c r="D669" i="2"/>
  <c r="E863" i="2"/>
  <c r="D381" i="2"/>
  <c r="D480" i="2"/>
  <c r="E322" i="2"/>
  <c r="C533" i="2"/>
  <c r="B547" i="2"/>
  <c r="F856" i="2"/>
  <c r="D597" i="2"/>
  <c r="E565" i="2"/>
  <c r="E760" i="2"/>
  <c r="B429" i="2"/>
  <c r="D754" i="2"/>
  <c r="D401" i="2"/>
  <c r="F763" i="2"/>
  <c r="B518" i="2"/>
  <c r="B418" i="2"/>
  <c r="C519" i="2"/>
  <c r="B659" i="2"/>
  <c r="F392" i="2"/>
  <c r="F343" i="2"/>
  <c r="E604" i="2"/>
  <c r="E438" i="2"/>
  <c r="D383" i="2"/>
  <c r="E335" i="2"/>
  <c r="B747" i="2"/>
  <c r="D716" i="2"/>
  <c r="C783" i="2"/>
  <c r="B824" i="2"/>
  <c r="C435" i="2"/>
  <c r="C400" i="2"/>
  <c r="F861" i="2"/>
  <c r="C323" i="2"/>
  <c r="F705" i="2"/>
  <c r="D870" i="2"/>
  <c r="C509" i="2"/>
  <c r="C450" i="2"/>
  <c r="D874" i="2"/>
  <c r="E421" i="2"/>
  <c r="B683" i="2"/>
  <c r="E775" i="2"/>
  <c r="B459" i="2"/>
  <c r="E350" i="2"/>
  <c r="F690" i="2"/>
  <c r="F571" i="2"/>
  <c r="C590" i="2"/>
  <c r="E834" i="2"/>
  <c r="F775" i="2"/>
  <c r="C604" i="2"/>
  <c r="D674" i="2"/>
  <c r="B718" i="2"/>
  <c r="D806" i="2"/>
  <c r="B349" i="2"/>
  <c r="E714" i="2"/>
  <c r="B875" i="2"/>
  <c r="F407" i="2"/>
  <c r="B433" i="2"/>
  <c r="F799" i="2"/>
  <c r="E551" i="2"/>
  <c r="C717" i="2"/>
  <c r="C831" i="2"/>
  <c r="B613" i="2"/>
  <c r="C445" i="2"/>
  <c r="B816" i="2"/>
  <c r="C702" i="2"/>
  <c r="E363" i="2"/>
  <c r="E466" i="2"/>
  <c r="B723" i="2"/>
  <c r="B480" i="2"/>
  <c r="B602" i="2"/>
  <c r="D692" i="2"/>
  <c r="F421" i="2"/>
  <c r="D515" i="2"/>
  <c r="D658" i="2"/>
  <c r="E793" i="2"/>
  <c r="F570" i="2"/>
  <c r="B401" i="2"/>
  <c r="B601" i="2"/>
  <c r="B698" i="2"/>
  <c r="B649" i="2"/>
  <c r="C568" i="2"/>
  <c r="E823" i="2"/>
  <c r="F751" i="2"/>
  <c r="C461" i="2"/>
  <c r="B774" i="2"/>
  <c r="C555" i="2"/>
  <c r="E459" i="2"/>
  <c r="E373" i="2"/>
  <c r="E574" i="2"/>
  <c r="C383" i="2"/>
  <c r="D397" i="2"/>
  <c r="B745" i="2"/>
  <c r="E525" i="2"/>
  <c r="B840" i="2"/>
  <c r="F673" i="2"/>
  <c r="C879" i="2"/>
  <c r="F761" i="2"/>
  <c r="E649" i="2"/>
  <c r="E676" i="2"/>
  <c r="C417" i="2"/>
  <c r="F661" i="2"/>
  <c r="D818" i="2"/>
  <c r="B409" i="2"/>
  <c r="F698" i="2"/>
  <c r="E496" i="2"/>
  <c r="C330" i="2"/>
  <c r="C639" i="2"/>
  <c r="D581" i="2"/>
  <c r="C508" i="2"/>
  <c r="B508" i="2"/>
  <c r="F337" i="2"/>
  <c r="F854" i="2"/>
  <c r="F765" i="2"/>
  <c r="E337" i="2"/>
  <c r="E722" i="2"/>
  <c r="B407" i="2"/>
  <c r="E476" i="2"/>
  <c r="F795" i="2"/>
  <c r="C767" i="2"/>
  <c r="D750" i="2"/>
  <c r="C762" i="2"/>
  <c r="C719" i="2"/>
  <c r="B668" i="2"/>
  <c r="F609" i="2"/>
  <c r="E774" i="2"/>
  <c r="D879" i="2"/>
  <c r="F464" i="2"/>
  <c r="E310" i="2"/>
  <c r="D705" i="2"/>
  <c r="F556" i="2"/>
  <c r="F344" i="2"/>
  <c r="B733" i="2"/>
  <c r="C344" i="2"/>
  <c r="B673" i="2"/>
  <c r="D412" i="2"/>
  <c r="E562" i="2"/>
  <c r="E663" i="2"/>
  <c r="D392" i="2"/>
  <c r="E804" i="2"/>
  <c r="F810" i="2"/>
  <c r="F853" i="2"/>
  <c r="B599" i="2"/>
  <c r="B448" i="2"/>
  <c r="B472" i="2"/>
  <c r="F424" i="2"/>
  <c r="D442" i="2"/>
  <c r="B617" i="2"/>
  <c r="E856" i="2"/>
  <c r="C625" i="2"/>
  <c r="F712" i="2"/>
  <c r="C682" i="2"/>
  <c r="F423" i="2"/>
  <c r="E403" i="2"/>
  <c r="D753" i="2"/>
  <c r="E707" i="2"/>
  <c r="D469" i="2"/>
  <c r="D726" i="2"/>
  <c r="D685" i="2"/>
  <c r="B607" i="2"/>
  <c r="F813" i="2"/>
  <c r="D801" i="2"/>
  <c r="D402" i="2"/>
  <c r="C744" i="2"/>
  <c r="D342" i="2"/>
  <c r="E419" i="2"/>
  <c r="F544" i="2"/>
  <c r="D626" i="2"/>
  <c r="E838" i="2"/>
  <c r="C780" i="2"/>
  <c r="F671" i="2"/>
  <c r="E656" i="2"/>
  <c r="F398" i="2"/>
  <c r="B468" i="2"/>
  <c r="D644" i="2"/>
  <c r="B869" i="2"/>
  <c r="C526" i="2"/>
  <c r="E530" i="2"/>
  <c r="C679" i="2"/>
  <c r="E352" i="2"/>
  <c r="B868" i="2"/>
  <c r="D506" i="2"/>
  <c r="B569" i="2"/>
  <c r="D479" i="2"/>
  <c r="D380" i="2"/>
  <c r="F793" i="2"/>
  <c r="C676" i="2"/>
  <c r="B764" i="2"/>
  <c r="F837" i="2"/>
  <c r="F623" i="2"/>
  <c r="D371" i="2"/>
  <c r="E448" i="2"/>
  <c r="D691" i="2"/>
  <c r="E507" i="2"/>
  <c r="E708" i="2"/>
  <c r="D455" i="2"/>
  <c r="C527" i="2"/>
  <c r="B548" i="2"/>
  <c r="E677" i="2"/>
  <c r="F467" i="2"/>
  <c r="B439" i="2"/>
  <c r="F485" i="2"/>
  <c r="D642" i="2"/>
  <c r="B369" i="2"/>
  <c r="E467" i="2"/>
  <c r="C608" i="2"/>
  <c r="E795" i="2"/>
  <c r="F372" i="2"/>
  <c r="B677" i="2"/>
  <c r="E484" i="2"/>
  <c r="F632" i="2"/>
  <c r="B490" i="2"/>
  <c r="D743" i="2"/>
  <c r="E377" i="2"/>
  <c r="C379" i="2"/>
  <c r="E794" i="2"/>
  <c r="D695" i="2"/>
  <c r="D635" i="2"/>
  <c r="F870" i="2"/>
  <c r="D346" i="2"/>
  <c r="F782" i="2"/>
  <c r="F720" i="2"/>
  <c r="C420" i="2"/>
  <c r="D857" i="2"/>
  <c r="E749" i="2"/>
  <c r="D866" i="2"/>
  <c r="C351" i="2"/>
  <c r="B879" i="2"/>
  <c r="D611" i="2"/>
  <c r="D536" i="2"/>
  <c r="E853" i="2"/>
  <c r="F807" i="2"/>
  <c r="D438" i="2"/>
  <c r="F731" i="2"/>
  <c r="D514" i="2"/>
  <c r="F368" i="2"/>
  <c r="E840" i="2"/>
  <c r="B611" i="2"/>
  <c r="E556" i="2"/>
  <c r="E374" i="2"/>
  <c r="D710" i="2"/>
  <c r="E396" i="2"/>
  <c r="B822" i="2"/>
  <c r="C769" i="2"/>
  <c r="C684" i="2"/>
  <c r="D697" i="2"/>
  <c r="D824" i="2"/>
  <c r="E699" i="2"/>
  <c r="E586" i="2"/>
  <c r="B670" i="2"/>
  <c r="C752" i="2"/>
  <c r="C480" i="2"/>
  <c r="F475" i="2"/>
  <c r="F495" i="2"/>
  <c r="D766" i="2"/>
  <c r="B393" i="2"/>
  <c r="F836" i="2"/>
  <c r="F452" i="2"/>
  <c r="E660" i="2"/>
  <c r="D483" i="2"/>
  <c r="B402" i="2"/>
  <c r="D453" i="2"/>
  <c r="E306" i="2"/>
  <c r="C431" i="2"/>
  <c r="B690" i="2"/>
  <c r="F542" i="2"/>
  <c r="D542" i="2"/>
  <c r="C864" i="2"/>
  <c r="F867" i="2"/>
  <c r="D407" i="2"/>
  <c r="B438" i="2"/>
  <c r="B424" i="2"/>
  <c r="D805" i="2"/>
  <c r="B741" i="2"/>
  <c r="D585" i="2"/>
  <c r="F538" i="2"/>
  <c r="B324" i="2"/>
  <c r="B444" i="2"/>
  <c r="B536" i="2"/>
  <c r="B492" i="2"/>
  <c r="B692" i="2"/>
  <c r="D439" i="2"/>
  <c r="C457" i="2"/>
  <c r="E462" i="2"/>
  <c r="D790" i="2"/>
  <c r="E741" i="2"/>
  <c r="F369" i="2"/>
  <c r="B669" i="2"/>
  <c r="B425" i="2"/>
  <c r="F840" i="2"/>
  <c r="B710" i="2"/>
  <c r="D855" i="2"/>
  <c r="B627" i="2"/>
  <c r="C661" i="2"/>
  <c r="E785" i="2"/>
  <c r="D326" i="2"/>
  <c r="E338" i="2"/>
  <c r="E599" i="2"/>
  <c r="D610" i="2"/>
  <c r="B477" i="2"/>
  <c r="B709" i="2"/>
  <c r="F701" i="2"/>
  <c r="C606" i="2"/>
  <c r="B556" i="2"/>
  <c r="E412" i="2"/>
  <c r="B803" i="2"/>
  <c r="B605" i="2"/>
  <c r="D577" i="2"/>
  <c r="B461" i="2"/>
  <c r="D620" i="2"/>
  <c r="D836" i="2"/>
  <c r="D489" i="2"/>
  <c r="F832" i="2"/>
  <c r="F746" i="2"/>
  <c r="C406" i="2"/>
  <c r="D767" i="2"/>
  <c r="E694" i="2"/>
  <c r="E638" i="2"/>
  <c r="F497" i="2"/>
  <c r="F656" i="2"/>
  <c r="E595" i="2"/>
  <c r="E591" i="2"/>
  <c r="B322" i="2"/>
  <c r="E606" i="2"/>
  <c r="D734" i="2"/>
  <c r="F414" i="2"/>
  <c r="D628" i="2"/>
  <c r="F517" i="2"/>
  <c r="D599" i="2"/>
  <c r="C705" i="2"/>
  <c r="F554" i="2"/>
  <c r="F576" i="2"/>
  <c r="F321" i="2"/>
  <c r="D850" i="2"/>
  <c r="C690" i="2"/>
  <c r="E763" i="2"/>
  <c r="F451" i="2"/>
  <c r="C766" i="2"/>
  <c r="F550" i="2"/>
  <c r="B623" i="2"/>
  <c r="C486" i="2"/>
  <c r="D471" i="2"/>
  <c r="C638" i="2"/>
  <c r="E532" i="2"/>
  <c r="F879" i="2"/>
  <c r="E407" i="2"/>
  <c r="D655" i="2"/>
  <c r="E598" i="2"/>
  <c r="E813" i="2"/>
  <c r="C592" i="2"/>
  <c r="C829" i="2"/>
  <c r="C483" i="2"/>
  <c r="B787" i="2"/>
  <c r="B491" i="2"/>
  <c r="B377" i="2"/>
  <c r="F575" i="2"/>
  <c r="D832" i="2"/>
  <c r="C584" i="2"/>
  <c r="C777" i="2"/>
  <c r="C375" i="2"/>
  <c r="F480" i="2"/>
  <c r="D460" i="2"/>
  <c r="F696" i="2"/>
  <c r="D783" i="2"/>
  <c r="D848" i="2"/>
  <c r="C815" i="2"/>
  <c r="F864" i="2"/>
  <c r="E831" i="2"/>
  <c r="D735" i="2"/>
  <c r="B603" i="2"/>
  <c r="B454" i="2"/>
  <c r="F416" i="2"/>
  <c r="D560" i="2"/>
  <c r="D843" i="2"/>
  <c r="E634" i="2"/>
  <c r="E425" i="2"/>
  <c r="B534" i="2"/>
  <c r="D680" i="2"/>
  <c r="B458" i="2"/>
  <c r="C378" i="2"/>
  <c r="D779" i="2"/>
  <c r="B327" i="2"/>
  <c r="E440" i="2"/>
  <c r="D530" i="2"/>
  <c r="F440" i="2"/>
  <c r="D454" i="2"/>
  <c r="C439" i="2"/>
  <c r="C465" i="2"/>
  <c r="C816" i="2"/>
  <c r="D780" i="2"/>
  <c r="D319" i="2"/>
  <c r="C729" i="2"/>
  <c r="D465" i="2"/>
  <c r="D309" i="2"/>
  <c r="F349" i="2"/>
  <c r="C458" i="2"/>
  <c r="F684" i="2"/>
  <c r="E315" i="2"/>
  <c r="C640" i="2"/>
  <c r="F760" i="2"/>
  <c r="E387" i="2"/>
  <c r="C438" i="2"/>
  <c r="C504" i="2"/>
  <c r="F788" i="2"/>
  <c r="C485" i="2"/>
  <c r="C484" i="2"/>
  <c r="C686" i="2"/>
  <c r="D535" i="2"/>
  <c r="E515" i="2"/>
  <c r="B497" i="2"/>
  <c r="E593" i="2"/>
  <c r="B359" i="2"/>
  <c r="E659" i="2"/>
  <c r="F825" i="2"/>
  <c r="B584" i="2"/>
  <c r="C615" i="2"/>
  <c r="E513" i="2"/>
  <c r="F558" i="2"/>
  <c r="E697" i="2"/>
  <c r="F602" i="2"/>
  <c r="B375" i="2"/>
  <c r="D709" i="2"/>
  <c r="F530" i="2"/>
  <c r="C714" i="2"/>
  <c r="D499" i="2"/>
  <c r="D396" i="2"/>
  <c r="D410" i="2"/>
  <c r="D682" i="2"/>
  <c r="D431" i="2"/>
  <c r="E544" i="2"/>
  <c r="E482" i="2"/>
  <c r="E719" i="2"/>
  <c r="E303" i="2"/>
  <c r="B579" i="2"/>
  <c r="D603" i="2"/>
  <c r="E578" i="2"/>
  <c r="F552" i="2"/>
  <c r="F865" i="2"/>
  <c r="D472" i="2"/>
  <c r="B624" i="2"/>
  <c r="D849" i="2"/>
  <c r="B797" i="2"/>
  <c r="F371" i="2"/>
  <c r="E695" i="2"/>
  <c r="C609" i="2"/>
  <c r="F336" i="2"/>
  <c r="D481" i="2"/>
  <c r="D775" i="2"/>
  <c r="F508" i="2"/>
  <c r="B460" i="2"/>
  <c r="C388" i="2"/>
  <c r="D660" i="2"/>
  <c r="E356" i="2"/>
  <c r="F308" i="2"/>
  <c r="B700" i="2"/>
  <c r="F665" i="2"/>
  <c r="F714" i="2"/>
  <c r="B499" i="2"/>
  <c r="C704" i="2"/>
  <c r="D562" i="2"/>
  <c r="C368" i="2"/>
  <c r="C825" i="2"/>
  <c r="B851" i="2"/>
  <c r="E609" i="2"/>
  <c r="F459" i="2"/>
  <c r="D558" i="2"/>
  <c r="B720" i="2"/>
  <c r="C841" i="2"/>
  <c r="B878" i="2"/>
  <c r="B376" i="2"/>
  <c r="D707" i="2"/>
  <c r="D509" i="2"/>
  <c r="F594" i="2"/>
  <c r="E816" i="2"/>
  <c r="B702" i="2"/>
  <c r="C713" i="2"/>
  <c r="E486" i="2"/>
  <c r="C336" i="2"/>
  <c r="B356" i="2"/>
  <c r="D813" i="2"/>
  <c r="E557" i="2"/>
  <c r="F505" i="2"/>
  <c r="F411" i="2"/>
  <c r="C525" i="2"/>
  <c r="D821" i="2"/>
  <c r="C515" i="2"/>
  <c r="F755" i="2"/>
  <c r="D788" i="2"/>
  <c r="E469" i="2"/>
  <c r="C785" i="2"/>
  <c r="F804" i="2"/>
  <c r="D844" i="2"/>
  <c r="D543" i="2"/>
  <c r="E449" i="2"/>
  <c r="C710" i="2"/>
  <c r="C492" i="2"/>
  <c r="E351" i="2"/>
  <c r="C306" i="2"/>
  <c r="D361" i="2"/>
  <c r="E768" i="2"/>
  <c r="F339" i="2"/>
  <c r="E543" i="2"/>
  <c r="D593" i="2"/>
  <c r="F438" i="2"/>
  <c r="B753" i="2"/>
  <c r="E480" i="2"/>
  <c r="B469" i="2"/>
  <c r="B526" i="2"/>
  <c r="F473" i="2"/>
  <c r="D517" i="2"/>
  <c r="C782" i="2"/>
  <c r="D545" i="2"/>
  <c r="B498" i="2"/>
  <c r="F849" i="2"/>
  <c r="F748" i="2"/>
  <c r="D677" i="2"/>
  <c r="D328" i="2"/>
  <c r="D578" i="2"/>
  <c r="D486" i="2"/>
  <c r="B743" i="2"/>
  <c r="E588" i="2"/>
  <c r="E384" i="2"/>
  <c r="D839" i="2"/>
  <c r="F465" i="2"/>
  <c r="F386" i="2"/>
  <c r="B614" i="2"/>
  <c r="C605" i="2"/>
  <c r="B610" i="2"/>
  <c r="E790" i="2"/>
  <c r="F433" i="2"/>
  <c r="E495" i="2"/>
  <c r="D864" i="2"/>
  <c r="B695" i="2"/>
  <c r="C338" i="2"/>
  <c r="E861" i="2"/>
  <c r="F857" i="2"/>
  <c r="E778" i="2"/>
  <c r="D651" i="2"/>
  <c r="C409" i="2"/>
  <c r="F607" i="2"/>
  <c r="C740" i="2"/>
  <c r="D668" i="2"/>
  <c r="B443" i="2"/>
  <c r="D847" i="2"/>
  <c r="E558" i="2"/>
  <c r="D525" i="2"/>
  <c r="B722" i="2"/>
  <c r="B618" i="2"/>
  <c r="E748" i="2"/>
  <c r="C726" i="2"/>
  <c r="F327" i="2"/>
  <c r="F688" i="2"/>
  <c r="E368" i="2"/>
  <c r="F805" i="2"/>
  <c r="D786" i="2"/>
  <c r="B740" i="2"/>
  <c r="B384" i="2"/>
  <c r="C677" i="2"/>
  <c r="C631" i="2"/>
  <c r="B651" i="2"/>
  <c r="D757" i="2"/>
  <c r="D554" i="2"/>
  <c r="F481" i="2"/>
  <c r="D841" i="2"/>
  <c r="B495" i="2"/>
  <c r="B355" i="2"/>
  <c r="D513" i="2"/>
  <c r="F504" i="2"/>
  <c r="D403" i="2"/>
  <c r="D541" i="2"/>
  <c r="C867" i="2"/>
  <c r="D414" i="2"/>
  <c r="B501" i="2"/>
  <c r="C674" i="2"/>
  <c r="C802" i="2"/>
  <c r="C345" i="2"/>
  <c r="E382" i="2"/>
  <c r="C665" i="2"/>
  <c r="E822" i="2"/>
  <c r="E416" i="2"/>
  <c r="C442" i="2"/>
  <c r="E643" i="2"/>
  <c r="B818" i="2"/>
  <c r="F877" i="2"/>
  <c r="C768" i="2"/>
  <c r="D409" i="2"/>
  <c r="D373" i="2"/>
  <c r="D727" i="2"/>
  <c r="F822" i="2"/>
  <c r="E549" i="2"/>
  <c r="B318" i="2"/>
  <c r="E594" i="2"/>
  <c r="E832" i="2"/>
  <c r="E456" i="2"/>
  <c r="C770" i="2"/>
  <c r="C859" i="2"/>
  <c r="D776" i="2"/>
  <c r="D876" i="2"/>
  <c r="B475" i="2"/>
  <c r="E712" i="2"/>
  <c r="F726" i="2"/>
  <c r="C633" i="2"/>
  <c r="B634" i="2"/>
  <c r="C868" i="2"/>
  <c r="C487" i="2"/>
  <c r="B347" i="2"/>
  <c r="B560" i="2"/>
  <c r="B633" i="2"/>
  <c r="C699" i="2"/>
  <c r="C387" i="2"/>
  <c r="D333" i="2"/>
  <c r="D614" i="2"/>
  <c r="E307" i="2"/>
  <c r="F655" i="2"/>
  <c r="E420" i="2"/>
  <c r="F749" i="2"/>
  <c r="E857" i="2"/>
  <c r="E537" i="2"/>
  <c r="B829" i="2"/>
  <c r="B445" i="2"/>
  <c r="E488" i="2"/>
  <c r="E764" i="2"/>
  <c r="F516" i="2"/>
  <c r="F444" i="2"/>
  <c r="D505" i="2"/>
  <c r="C607" i="2"/>
  <c r="C315" i="2"/>
  <c r="F328" i="2"/>
  <c r="F815" i="2"/>
  <c r="B588" i="2"/>
  <c r="C602" i="2"/>
  <c r="D704" i="2"/>
  <c r="D594" i="2"/>
  <c r="D555" i="2"/>
  <c r="D368" i="2"/>
  <c r="E666" i="2"/>
  <c r="C811" i="2"/>
  <c r="C512" i="2"/>
  <c r="C680" i="2"/>
  <c r="E564" i="2"/>
  <c r="D665" i="2"/>
  <c r="E409" i="2"/>
  <c r="B528" i="2"/>
  <c r="B716" i="2"/>
  <c r="C863" i="2"/>
  <c r="E642" i="2"/>
  <c r="F631" i="2"/>
  <c r="C872" i="2"/>
  <c r="B564" i="2"/>
  <c r="C446" i="2"/>
  <c r="B546" i="2"/>
  <c r="F862" i="2"/>
  <c r="E769" i="2"/>
  <c r="E688" i="2"/>
  <c r="F548" i="2"/>
  <c r="E516" i="2"/>
  <c r="E620" i="2"/>
  <c r="B648" i="2"/>
  <c r="F580" i="2"/>
  <c r="C503" i="2"/>
  <c r="E362" i="2"/>
  <c r="E572" i="2"/>
  <c r="D428" i="2"/>
  <c r="F628" i="2"/>
  <c r="B717" i="2"/>
  <c r="E332" i="2"/>
  <c r="C331" i="2"/>
  <c r="E693" i="2"/>
  <c r="D602" i="2"/>
  <c r="F743" i="2"/>
  <c r="C505" i="2"/>
  <c r="E324" i="2"/>
  <c r="B706" i="2"/>
  <c r="B395" i="2"/>
  <c r="B596" i="2"/>
  <c r="B811" i="2"/>
  <c r="E613" i="2"/>
  <c r="C361" i="2"/>
  <c r="E805" i="2"/>
  <c r="D521" i="2"/>
  <c r="D859" i="2"/>
  <c r="F847" i="2"/>
  <c r="B795" i="2"/>
  <c r="D863" i="2"/>
  <c r="E692" i="2"/>
  <c r="E398" i="2"/>
  <c r="C666" i="2"/>
  <c r="C588" i="2"/>
  <c r="C603" i="2"/>
  <c r="D456" i="2"/>
  <c r="D663" i="2"/>
  <c r="F680" i="2"/>
  <c r="D343" i="2"/>
  <c r="D826" i="2"/>
  <c r="F408" i="2"/>
  <c r="C735" i="2"/>
  <c r="D831" i="2"/>
  <c r="D673" i="2"/>
  <c r="B523" i="2"/>
  <c r="B729" i="2"/>
  <c r="D404" i="2"/>
  <c r="E860" i="2"/>
  <c r="E535" i="2"/>
  <c r="C367" i="2"/>
  <c r="C848" i="2"/>
  <c r="B432" i="2"/>
  <c r="B416" i="2"/>
  <c r="E721" i="2"/>
  <c r="C645" i="2"/>
  <c r="B636" i="2"/>
  <c r="E455" i="2"/>
  <c r="F679" i="2"/>
  <c r="C751" i="2"/>
  <c r="C394" i="2"/>
  <c r="C536" i="2"/>
  <c r="E381" i="2"/>
  <c r="C532" i="2"/>
  <c r="F461" i="2"/>
  <c r="B783" i="2"/>
  <c r="D516" i="2"/>
  <c r="D494" i="2"/>
  <c r="C355" i="2"/>
  <c r="F733" i="2"/>
  <c r="F784" i="2"/>
  <c r="E738" i="2"/>
  <c r="F539" i="2"/>
  <c r="D683" i="2"/>
  <c r="C353" i="2"/>
  <c r="D877" i="2"/>
  <c r="D765" i="2"/>
  <c r="D391" i="2"/>
  <c r="B687" i="2"/>
  <c r="F872" i="2"/>
  <c r="E477" i="2"/>
  <c r="B758" i="2"/>
  <c r="E311" i="2"/>
  <c r="D693" i="2"/>
  <c r="C362" i="2"/>
  <c r="C544" i="2"/>
  <c r="D732" i="2"/>
  <c r="C850" i="2"/>
  <c r="E326" i="2"/>
  <c r="C798" i="2"/>
  <c r="C407" i="2"/>
  <c r="E432" i="2"/>
  <c r="F316" i="2"/>
  <c r="D865" i="2"/>
  <c r="E842" i="2"/>
  <c r="B531" i="2"/>
  <c r="D572" i="2"/>
  <c r="F817" i="2"/>
  <c r="E528" i="2"/>
  <c r="F560" i="2"/>
  <c r="C721" i="2"/>
  <c r="B462" i="2"/>
  <c r="B419" i="2"/>
  <c r="B552" i="2"/>
  <c r="F723" i="2"/>
  <c r="E393" i="2"/>
  <c r="B415" i="2"/>
  <c r="B598" i="2"/>
  <c r="D420" i="2"/>
  <c r="B483" i="2"/>
  <c r="C359" i="2"/>
  <c r="E679" i="2"/>
  <c r="F494" i="2"/>
  <c r="D347" i="2"/>
  <c r="D699" i="2"/>
  <c r="E584" i="2"/>
  <c r="B592" i="2"/>
  <c r="D872" i="2"/>
  <c r="C582" i="2"/>
  <c r="C470" i="2"/>
  <c r="D440" i="2"/>
  <c r="D416" i="2"/>
  <c r="E383" i="2"/>
  <c r="D448" i="2"/>
  <c r="E854" i="2"/>
  <c r="D389" i="2"/>
  <c r="C743" i="2"/>
  <c r="D634" i="2"/>
  <c r="E437" i="2"/>
  <c r="B844" i="2"/>
  <c r="E399" i="2"/>
  <c r="D353" i="2"/>
  <c r="B799" i="2"/>
  <c r="C301" i="2"/>
  <c r="E427" i="2"/>
  <c r="E473" i="2"/>
  <c r="D606" i="2"/>
  <c r="C570" i="2"/>
  <c r="F608" i="2"/>
  <c r="F739" i="2"/>
  <c r="B442" i="2"/>
  <c r="D657" i="2"/>
  <c r="F456" i="2"/>
  <c r="C472" i="2"/>
  <c r="B666" i="2"/>
  <c r="D503" i="2"/>
  <c r="C655" i="2"/>
  <c r="D359" i="2"/>
  <c r="B852" i="2"/>
  <c r="F302" i="2"/>
  <c r="F830" i="2"/>
  <c r="F503" i="2"/>
  <c r="E779" i="2"/>
  <c r="C746" i="2"/>
  <c r="E576" i="2"/>
  <c r="F772" i="2"/>
  <c r="D747" i="2"/>
  <c r="F597" i="2"/>
  <c r="C333" i="2"/>
  <c r="C334" i="2"/>
  <c r="B746" i="2"/>
  <c r="C499" i="2"/>
  <c r="F725" i="2"/>
  <c r="B487" i="2"/>
  <c r="F397" i="2"/>
  <c r="B328" i="2"/>
  <c r="D501" i="2"/>
  <c r="C687" i="2"/>
  <c r="D564" i="2"/>
  <c r="B331" i="2"/>
  <c r="B348" i="2"/>
  <c r="E877" i="2"/>
  <c r="F484" i="2"/>
  <c r="E776" i="2"/>
  <c r="D498" i="2"/>
  <c r="B413" i="2"/>
  <c r="F682" i="2"/>
  <c r="E370" i="2"/>
  <c r="C646" i="2"/>
  <c r="B537" i="2"/>
  <c r="F363" i="2"/>
  <c r="F474" i="2"/>
  <c r="E533" i="2"/>
  <c r="C545" i="2"/>
  <c r="C809" i="2"/>
  <c r="B390" i="2"/>
  <c r="E348" i="2"/>
  <c r="B641" i="2"/>
  <c r="B802" i="2"/>
  <c r="E592" i="2"/>
  <c r="C348" i="2"/>
  <c r="B595" i="2"/>
  <c r="B793" i="2"/>
  <c r="F496" i="2"/>
  <c r="E844" i="2"/>
  <c r="D377" i="2"/>
  <c r="F559" i="2"/>
  <c r="D425" i="2"/>
  <c r="F422" i="2"/>
  <c r="D760" i="2"/>
  <c r="B489" i="2"/>
  <c r="F651" i="2"/>
  <c r="E534" i="2"/>
  <c r="F850" i="2"/>
  <c r="F361" i="2"/>
  <c r="B735" i="2"/>
  <c r="D749" i="2"/>
  <c r="E703" i="2"/>
  <c r="B427" i="2"/>
  <c r="E628" i="2"/>
  <c r="C760" i="2"/>
  <c r="C343" i="2"/>
  <c r="B387" i="2"/>
  <c r="E314" i="2"/>
  <c r="B456" i="2"/>
  <c r="E696" i="2"/>
  <c r="C814" i="2"/>
  <c r="D457" i="2"/>
  <c r="C350" i="2"/>
  <c r="F818" i="2"/>
  <c r="C593" i="2"/>
  <c r="C623" i="2"/>
  <c r="C422" i="2"/>
  <c r="B368" i="2"/>
  <c r="C688" i="2"/>
  <c r="F565" i="2"/>
  <c r="D869" i="2"/>
  <c r="B354" i="2"/>
  <c r="B863" i="2"/>
  <c r="C572" i="2"/>
  <c r="B362" i="2"/>
  <c r="F309" i="2"/>
  <c r="F385" i="2"/>
  <c r="E490" i="2"/>
  <c r="B665" i="2"/>
  <c r="B371" i="2"/>
  <c r="E523" i="2"/>
  <c r="C733" i="2"/>
  <c r="B323" i="2"/>
  <c r="D636" i="2"/>
  <c r="D534" i="2"/>
  <c r="C562" i="2"/>
  <c r="B778" i="2"/>
  <c r="D458" i="2"/>
  <c r="E615" i="2"/>
  <c r="B751" i="2"/>
  <c r="E542" i="2"/>
  <c r="B321" i="2"/>
  <c r="B434" i="2"/>
  <c r="E546" i="2"/>
  <c r="E878" i="2"/>
  <c r="E451" i="2"/>
  <c r="B367" i="2"/>
  <c r="B307" i="2"/>
  <c r="F389" i="2"/>
  <c r="D334" i="2"/>
  <c r="E633" i="2"/>
  <c r="E366" i="2"/>
  <c r="E376" i="2"/>
  <c r="C737" i="2"/>
  <c r="F365" i="2"/>
  <c r="B529" i="2"/>
  <c r="B656" i="2"/>
  <c r="E426" i="2"/>
  <c r="F747" i="2"/>
  <c r="D385" i="2"/>
  <c r="K9" i="2"/>
  <c r="F306" i="2"/>
  <c r="B403" i="2"/>
  <c r="C700" i="2"/>
  <c r="E698" i="2"/>
  <c r="B827" i="2"/>
  <c r="F838" i="2"/>
  <c r="B703" i="2"/>
  <c r="F355" i="2"/>
  <c r="C728" i="2"/>
  <c r="D390" i="2"/>
  <c r="F587" i="2"/>
  <c r="F621" i="2"/>
  <c r="B736" i="2"/>
  <c r="D833" i="2"/>
  <c r="E570" i="2"/>
  <c r="C543" i="2"/>
  <c r="C506" i="2"/>
  <c r="C614" i="2"/>
  <c r="B662" i="2"/>
  <c r="D415" i="2"/>
  <c r="C601" i="2"/>
  <c r="D722" i="2"/>
  <c r="B842" i="2"/>
  <c r="F457" i="2"/>
  <c r="F500" i="2"/>
  <c r="C385" i="2"/>
  <c r="C656" i="2"/>
  <c r="C869" i="2"/>
  <c r="F707" i="2"/>
  <c r="D345" i="2"/>
  <c r="D451" i="2"/>
  <c r="D793" i="2"/>
  <c r="B625" i="2"/>
  <c r="E463" i="2"/>
  <c r="E737" i="2"/>
  <c r="D474" i="2"/>
  <c r="E873" i="2"/>
  <c r="F724" i="2"/>
  <c r="E506" i="2"/>
  <c r="B352" i="2"/>
  <c r="F491" i="2"/>
  <c r="E392" i="2"/>
  <c r="E664" i="2"/>
  <c r="D556" i="2"/>
  <c r="E751" i="2"/>
  <c r="F404" i="2"/>
  <c r="D684" i="2"/>
  <c r="E433" i="2"/>
  <c r="F741" i="2"/>
  <c r="E428" i="2"/>
  <c r="F507" i="2"/>
  <c r="F710" i="2"/>
  <c r="D484" i="2"/>
  <c r="F716" i="2"/>
  <c r="F430" i="2"/>
  <c r="F713" i="2"/>
  <c r="E781" i="2"/>
  <c r="C800" i="2"/>
  <c r="F789" i="2"/>
  <c r="F380" i="2"/>
  <c r="E410" i="2"/>
  <c r="C698" i="2"/>
  <c r="B653" i="2"/>
  <c r="D656" i="2"/>
  <c r="D616" i="2"/>
  <c r="B511" i="2"/>
  <c r="B801" i="2"/>
  <c r="F790" i="2"/>
  <c r="D690" i="2"/>
  <c r="D845" i="2"/>
  <c r="D417" i="2"/>
  <c r="B812" i="2"/>
  <c r="E727" i="2"/>
  <c r="B725" i="2"/>
  <c r="E653" i="2"/>
  <c r="B619" i="2"/>
  <c r="C437" i="2"/>
  <c r="B628" i="2"/>
  <c r="E580" i="2"/>
  <c r="C425" i="2"/>
  <c r="D592" i="2"/>
  <c r="F791" i="2"/>
  <c r="E445" i="2"/>
  <c r="D324" i="2"/>
  <c r="B342" i="2"/>
  <c r="E517" i="2"/>
  <c r="E342" i="2"/>
  <c r="F367" i="2"/>
  <c r="F492" i="2"/>
  <c r="D808" i="2"/>
  <c r="C709" i="2"/>
  <c r="E629" i="2"/>
  <c r="E687" i="2"/>
  <c r="B713" i="2"/>
  <c r="D362" i="2"/>
  <c r="C557" i="2"/>
  <c r="F618" i="2"/>
  <c r="F519" i="2"/>
  <c r="E502" i="2"/>
  <c r="D794" i="2"/>
  <c r="F436" i="2"/>
  <c r="C621" i="2"/>
  <c r="E333" i="2"/>
  <c r="B336" i="2"/>
  <c r="C772" i="2"/>
  <c r="E661" i="2"/>
  <c r="F643" i="2"/>
  <c r="F469" i="2"/>
  <c r="E635" i="2"/>
  <c r="F418" i="2"/>
  <c r="D537" i="2"/>
  <c r="B441" i="2"/>
  <c r="C779" i="2"/>
  <c r="D861" i="2"/>
  <c r="E729" i="2"/>
  <c r="F697" i="2"/>
  <c r="E792" i="2"/>
  <c r="D621" i="2"/>
  <c r="C372" i="2"/>
  <c r="D322" i="2"/>
  <c r="C358" i="2"/>
  <c r="B364" i="2"/>
  <c r="D797" i="2"/>
  <c r="B527" i="2"/>
  <c r="F335" i="2"/>
  <c r="B582" i="2"/>
  <c r="E845" i="2"/>
  <c r="D502" i="2"/>
  <c r="F583" i="2"/>
  <c r="C413" i="2"/>
  <c r="D356" i="2"/>
  <c r="E461" i="2"/>
  <c r="B502" i="2"/>
  <c r="B788" i="2"/>
  <c r="E431" i="2"/>
  <c r="D331" i="2"/>
  <c r="F588" i="2"/>
  <c r="E587" i="2"/>
  <c r="F359" i="2"/>
  <c r="E319" i="2"/>
  <c r="F622" i="2"/>
  <c r="C634" i="2"/>
  <c r="B506" i="2"/>
  <c r="F695" i="2"/>
  <c r="F526" i="2"/>
  <c r="B621" i="2"/>
  <c r="F462" i="2"/>
  <c r="F537" i="2"/>
  <c r="C479" i="2"/>
  <c r="C524" i="2"/>
  <c r="F803" i="2"/>
  <c r="B525" i="2"/>
  <c r="B646" i="2"/>
  <c r="B752" i="2"/>
  <c r="D774" i="2"/>
  <c r="B309" i="2"/>
  <c r="E447" i="2"/>
  <c r="D559" i="2"/>
  <c r="E618" i="2"/>
  <c r="F532" i="2"/>
  <c r="B850" i="2"/>
  <c r="C421" i="2"/>
  <c r="F645" i="2"/>
  <c r="C530" i="2"/>
  <c r="D605" i="2"/>
  <c r="C573" i="2"/>
  <c r="F528" i="2"/>
  <c r="D608" i="2"/>
  <c r="D549" i="2"/>
  <c r="B776" i="2"/>
  <c r="C434" i="2"/>
  <c r="E759" i="2"/>
  <c r="C393" i="2"/>
  <c r="B654" i="2"/>
  <c r="E630" i="2"/>
  <c r="B388" i="2"/>
  <c r="E627" i="2"/>
  <c r="C611" i="2"/>
  <c r="B604" i="2"/>
  <c r="E309" i="2"/>
  <c r="F435" i="2"/>
  <c r="C619" i="2"/>
  <c r="E380" i="2"/>
  <c r="E833" i="2"/>
  <c r="D737" i="2"/>
  <c r="D654" i="2"/>
  <c r="F796" i="2"/>
  <c r="F633" i="2"/>
  <c r="E529" i="2"/>
  <c r="F512" i="2"/>
  <c r="E312" i="2"/>
  <c r="E777" i="2"/>
  <c r="E710" i="2"/>
  <c r="F613" i="2"/>
  <c r="D622" i="2"/>
  <c r="B860" i="2"/>
  <c r="D828" i="2"/>
  <c r="D551" i="2"/>
  <c r="C613" i="2"/>
  <c r="D687" i="2"/>
  <c r="E706" i="2"/>
  <c r="C482" i="2"/>
  <c r="D601" i="2"/>
  <c r="E590" i="2"/>
  <c r="E771" i="2"/>
  <c r="C838" i="2"/>
  <c r="F581" i="2"/>
  <c r="C449" i="2"/>
  <c r="C818" i="2"/>
  <c r="D659" i="2"/>
  <c r="B591" i="2"/>
  <c r="F641" i="2"/>
  <c r="C430" i="2"/>
  <c r="B493" i="2"/>
  <c r="E406" i="2"/>
  <c r="C681" i="2"/>
  <c r="D784" i="2"/>
  <c r="E668" i="2"/>
  <c r="F829" i="2"/>
  <c r="E735" i="2"/>
  <c r="F549" i="2"/>
  <c r="B422" i="2"/>
  <c r="E514" i="2"/>
  <c r="C651" i="2"/>
  <c r="F391" i="2"/>
  <c r="D804" i="2"/>
  <c r="B855" i="2"/>
  <c r="E577" i="2"/>
  <c r="E316" i="2"/>
  <c r="B597" i="2"/>
  <c r="E344" i="2"/>
  <c r="D461" i="2"/>
  <c r="F773" i="2"/>
  <c r="D528" i="2"/>
  <c r="E334" i="2"/>
  <c r="B681" i="2"/>
  <c r="D792" i="2"/>
  <c r="E415" i="2"/>
  <c r="B466" i="2"/>
  <c r="C580" i="2"/>
  <c r="E367" i="2"/>
  <c r="F515" i="2"/>
  <c r="F770" i="2"/>
  <c r="B639" i="2"/>
  <c r="B644" i="2"/>
  <c r="C707" i="2"/>
  <c r="C803" i="2"/>
  <c r="CE222" i="12" l="1"/>
  <c r="CE245" i="12" s="1"/>
  <c r="CE191" i="12" s="1"/>
  <c r="CD191" i="12" s="1"/>
  <c r="CE103" i="12"/>
  <c r="CH103" i="12" s="1"/>
  <c r="CD192" i="12"/>
  <c r="CH247" i="12"/>
  <c r="CG247" i="12"/>
  <c r="CD193" i="12" l="1"/>
  <c r="CH220" i="12"/>
  <c r="CH199" i="12"/>
  <c r="CE121" i="12"/>
  <c r="CD194" i="12" l="1"/>
  <c r="CE119" i="12"/>
  <c r="CE181" i="12"/>
  <c r="CH121" i="12"/>
  <c r="CG121" i="12"/>
  <c r="CG181" i="12" s="1"/>
  <c r="CD199" i="12"/>
  <c r="CH200" i="12"/>
  <c r="CD220" i="12"/>
  <c r="CH221" i="12"/>
  <c r="CH181" i="12" l="1"/>
  <c r="CE179" i="12"/>
  <c r="CH222" i="12"/>
  <c r="CH245" i="12" s="1"/>
  <c r="CE112" i="12"/>
  <c r="CD119" i="12"/>
  <c r="CH119" i="12"/>
  <c r="CD197" i="12"/>
  <c r="CD200" i="12" l="1"/>
  <c r="CD179" i="12"/>
  <c r="CH179" i="12"/>
  <c r="CE172" i="12" s="1"/>
  <c r="CE123" i="12"/>
  <c r="CE164" i="12" l="1"/>
  <c r="CH164" i="12" s="1"/>
  <c r="CH123" i="12"/>
  <c r="CE106" i="12"/>
  <c r="CD106" i="12" s="1"/>
  <c r="CE183" i="12"/>
  <c r="CD201" i="12"/>
  <c r="CD202" i="12" l="1"/>
  <c r="CD203" i="12" s="1"/>
  <c r="CD107" i="12"/>
  <c r="CE189" i="12"/>
  <c r="CH189" i="12" s="1"/>
  <c r="CE166" i="12"/>
  <c r="CD166" i="12" s="1"/>
  <c r="CH183" i="12"/>
  <c r="CD167" i="12" l="1"/>
  <c r="CD110" i="12"/>
  <c r="CD204" i="12"/>
  <c r="CD205" i="12" s="1"/>
  <c r="CD206" i="12" s="1"/>
  <c r="CD207" i="12" s="1"/>
  <c r="CD208" i="12" s="1"/>
  <c r="CD211" i="12" s="1"/>
  <c r="CD212" i="12" s="1"/>
  <c r="CD213" i="12" s="1"/>
  <c r="CD170" i="12" l="1"/>
  <c r="CD112" i="12"/>
  <c r="CD215" i="12"/>
  <c r="CD216" i="12" s="1"/>
  <c r="CD218" i="12" s="1"/>
  <c r="CD219" i="12" s="1"/>
  <c r="CD172" i="12" l="1"/>
  <c r="CD113" i="12"/>
  <c r="CD221" i="12"/>
  <c r="CD173" i="12" l="1"/>
  <c r="CD180" i="12"/>
  <c r="CD120" i="12"/>
  <c r="CD222" i="12"/>
  <c r="CD223" i="12" s="1"/>
  <c r="CD225" i="12" s="1"/>
  <c r="CD229" i="12" s="1"/>
  <c r="CD230" i="12" s="1"/>
  <c r="CD232" i="12" s="1"/>
  <c r="CD233" i="12" s="1"/>
  <c r="CD245" i="12" s="1"/>
  <c r="CD246" i="12" s="1"/>
  <c r="CD247" i="12" s="1"/>
  <c r="CD181" i="12" l="1"/>
  <c r="CD121" i="12"/>
  <c r="CD123" i="12"/>
  <c r="CD183" i="12" l="1"/>
  <c r="CD184" i="12" s="1"/>
  <c r="CD185" i="12" s="1"/>
  <c r="CD124" i="12"/>
  <c r="CD139" i="12"/>
  <c r="CD186" i="12" l="1"/>
  <c r="CD188" i="12" s="1"/>
  <c r="CD128" i="12"/>
  <c r="CD189" i="12" l="1"/>
  <c r="CD103" i="12"/>
  <c r="CD129" i="12"/>
  <c r="CD130" i="12" l="1"/>
  <c r="CD131" i="12" l="1"/>
  <c r="CD132" i="12"/>
  <c r="CD133" i="12" s="1"/>
  <c r="CD138" i="12" l="1"/>
  <c r="CD144" i="12" l="1"/>
  <c r="CD146" i="12"/>
  <c r="CD156" i="12" s="1"/>
  <c r="CD158" i="12" s="1"/>
  <c r="CD162" i="12" s="1"/>
  <c r="CD163" i="12" l="1"/>
  <c r="CD164" i="12"/>
  <c r="D13" i="14" s="1"/>
  <c r="E99" i="14"/>
  <c r="D64" i="14"/>
  <c r="D136" i="14"/>
  <c r="E114" i="14"/>
  <c r="E138" i="14"/>
  <c r="E80" i="14"/>
  <c r="D95" i="14"/>
  <c r="E54" i="14"/>
  <c r="D73" i="14"/>
  <c r="D38" i="14"/>
  <c r="D74" i="14"/>
  <c r="E128" i="14"/>
  <c r="D79" i="14"/>
  <c r="D80" i="14"/>
  <c r="E110" i="14"/>
  <c r="D99" i="14"/>
  <c r="D138" i="14"/>
  <c r="E112" i="14"/>
  <c r="E135" i="14"/>
  <c r="D128" i="14"/>
  <c r="D129" i="14"/>
  <c r="CD86" i="12"/>
  <c r="E41" i="14"/>
  <c r="D62" i="14"/>
  <c r="D63" i="14"/>
  <c r="D96" i="14"/>
  <c r="D58" i="14"/>
  <c r="D98" i="14"/>
  <c r="E62" i="14"/>
  <c r="D83" i="14"/>
  <c r="D69" i="14"/>
  <c r="D134" i="14"/>
  <c r="D71" i="14"/>
  <c r="E134" i="14"/>
  <c r="E59" i="14"/>
  <c r="E88" i="14"/>
  <c r="D115" i="14"/>
  <c r="D89" i="14"/>
  <c r="E57" i="14"/>
  <c r="E125" i="14"/>
  <c r="E45" i="14"/>
  <c r="D124" i="14"/>
  <c r="E70" i="14"/>
  <c r="E102" i="14"/>
  <c r="D121" i="14"/>
  <c r="E92" i="14"/>
  <c r="E64" i="14"/>
  <c r="E71" i="14"/>
  <c r="D59" i="14"/>
  <c r="E85" i="14"/>
  <c r="D86" i="14"/>
  <c r="E127" i="14"/>
  <c r="D52" i="14"/>
  <c r="D94" i="14"/>
  <c r="D114" i="14"/>
  <c r="D81" i="14"/>
  <c r="D139" i="14"/>
  <c r="D135" i="14"/>
  <c r="D72" i="14"/>
  <c r="D107" i="14"/>
  <c r="D100" i="14"/>
  <c r="D101" i="14"/>
  <c r="E79" i="14"/>
  <c r="D103" i="14"/>
  <c r="D113" i="14"/>
  <c r="E101" i="14"/>
  <c r="E34" i="14"/>
  <c r="E104" i="14"/>
  <c r="D82" i="14"/>
  <c r="D51" i="14"/>
  <c r="E115" i="14"/>
  <c r="E139" i="14"/>
  <c r="D127" i="14"/>
  <c r="E103" i="14"/>
  <c r="D133" i="14"/>
  <c r="D117" i="14"/>
  <c r="D132" i="14"/>
  <c r="D123" i="14"/>
  <c r="E53" i="14"/>
  <c r="E78" i="14"/>
  <c r="E69" i="14"/>
  <c r="E47" i="14"/>
  <c r="E67" i="14"/>
  <c r="E126" i="14"/>
  <c r="E130" i="14"/>
  <c r="D122" i="14"/>
  <c r="D110" i="14"/>
  <c r="E86" i="14"/>
  <c r="E91" i="14"/>
  <c r="E131" i="14"/>
  <c r="D78" i="14"/>
  <c r="E87" i="14"/>
  <c r="E132" i="14"/>
  <c r="D36" i="14"/>
  <c r="E96" i="14"/>
  <c r="E43" i="14"/>
  <c r="E77" i="14"/>
  <c r="E65" i="14"/>
  <c r="D48" i="14"/>
  <c r="D75" i="14"/>
  <c r="E129" i="14"/>
  <c r="E74" i="14"/>
  <c r="E73" i="14"/>
  <c r="E37" i="14"/>
  <c r="E39" i="14"/>
  <c r="E105" i="14"/>
  <c r="E76" i="14"/>
  <c r="E72" i="14"/>
  <c r="E60" i="14"/>
  <c r="E38" i="14"/>
  <c r="E113" i="14"/>
  <c r="D88" i="14"/>
  <c r="E97" i="14"/>
  <c r="D47" i="14"/>
  <c r="E63" i="14"/>
  <c r="E133" i="14"/>
  <c r="D77" i="14"/>
  <c r="D50" i="14"/>
  <c r="D49" i="14"/>
  <c r="D102" i="14"/>
  <c r="D119" i="14"/>
  <c r="D57" i="14"/>
  <c r="D85" i="14"/>
  <c r="E124" i="14"/>
  <c r="E90" i="14"/>
  <c r="D60" i="14"/>
  <c r="D105" i="14"/>
  <c r="D109" i="14"/>
  <c r="D68" i="14"/>
  <c r="D40" i="14"/>
  <c r="E50" i="14"/>
  <c r="D34" i="14"/>
  <c r="E111" i="14"/>
  <c r="D130" i="14"/>
  <c r="D116" i="14"/>
  <c r="D35" i="14"/>
  <c r="D56" i="14"/>
  <c r="E82" i="14"/>
  <c r="D54" i="14"/>
  <c r="E89" i="14"/>
  <c r="E93" i="14"/>
  <c r="D108" i="14"/>
  <c r="D67" i="14"/>
  <c r="E81" i="14"/>
  <c r="E48" i="14"/>
  <c r="D76" i="14"/>
  <c r="E119" i="14"/>
  <c r="E95" i="14"/>
  <c r="E75" i="14"/>
  <c r="E68" i="14"/>
  <c r="E84" i="14"/>
  <c r="E83" i="14"/>
  <c r="D125" i="14"/>
  <c r="E56" i="14"/>
  <c r="E107" i="14"/>
  <c r="D61" i="14"/>
  <c r="E35" i="14"/>
  <c r="E51" i="14"/>
  <c r="D91" i="14"/>
  <c r="E55" i="14"/>
  <c r="D104" i="14"/>
  <c r="E117" i="14"/>
  <c r="D44" i="14"/>
  <c r="D90" i="14"/>
  <c r="E121" i="14"/>
  <c r="D92" i="14"/>
  <c r="D97" i="14"/>
  <c r="D41" i="14"/>
  <c r="E61" i="14"/>
  <c r="E122" i="14"/>
  <c r="E46" i="14"/>
  <c r="D120" i="14"/>
  <c r="D31" i="14"/>
  <c r="E116" i="14"/>
  <c r="E118" i="14"/>
  <c r="E44" i="14"/>
  <c r="E120" i="14"/>
  <c r="E106" i="14"/>
  <c r="E136" i="14"/>
  <c r="D53" i="14" l="1"/>
  <c r="D70" i="14"/>
  <c r="D37" i="14"/>
  <c r="D45" i="14"/>
  <c r="E94" i="14"/>
  <c r="D39" i="14"/>
  <c r="E109" i="14"/>
  <c r="D126" i="14"/>
  <c r="D43" i="14"/>
  <c r="D137" i="14"/>
  <c r="E66" i="14"/>
  <c r="E52" i="14"/>
  <c r="D87" i="14"/>
  <c r="D111" i="14"/>
  <c r="D84" i="14"/>
  <c r="D42" i="14"/>
  <c r="E27" i="14"/>
  <c r="E33" i="14"/>
  <c r="D18" i="14"/>
  <c r="D26" i="14"/>
  <c r="D14" i="14"/>
  <c r="D22" i="14"/>
  <c r="D112" i="14"/>
  <c r="E32" i="14"/>
  <c r="D23" i="14"/>
  <c r="E24" i="14"/>
  <c r="D24" i="14"/>
  <c r="E42" i="14"/>
  <c r="E18" i="14"/>
  <c r="E17" i="14"/>
  <c r="D19" i="14"/>
  <c r="E19" i="14"/>
  <c r="D17" i="14"/>
  <c r="D20" i="14"/>
  <c r="D15" i="14"/>
  <c r="E21" i="14"/>
  <c r="E20" i="14"/>
  <c r="E14" i="14"/>
  <c r="D21" i="14"/>
  <c r="D27" i="14"/>
  <c r="D16" i="14"/>
  <c r="E13" i="14"/>
  <c r="E58" i="14"/>
  <c r="D65" i="14"/>
  <c r="E31" i="14"/>
  <c r="E28" i="14"/>
  <c r="D28" i="14"/>
  <c r="E30" i="14"/>
  <c r="D29" i="14"/>
  <c r="E29" i="14"/>
  <c r="D33" i="14"/>
  <c r="D30" i="14"/>
  <c r="D32" i="14"/>
  <c r="D25" i="14"/>
  <c r="E22" i="14"/>
  <c r="E15" i="14"/>
  <c r="E16" i="14"/>
  <c r="E26" i="14"/>
  <c r="D46" i="14"/>
  <c r="D106" i="14"/>
  <c r="D93" i="14"/>
  <c r="D131" i="14"/>
  <c r="E40" i="14"/>
  <c r="D66" i="14"/>
  <c r="CE1" i="12"/>
  <c r="E49" i="14"/>
  <c r="E98" i="14"/>
  <c r="D118" i="14"/>
  <c r="E123" i="14"/>
  <c r="E100" i="14"/>
  <c r="CD1" i="12"/>
  <c r="CI1" i="12"/>
  <c r="E23" i="14"/>
  <c r="E25" i="14"/>
  <c r="E137" i="14"/>
  <c r="E108" i="14"/>
  <c r="E36" i="14"/>
  <c r="D55" i="14"/>
  <c r="A11" i="14" l="1"/>
  <c r="A12" i="14"/>
  <c r="B20" i="14"/>
  <c r="B14" i="14"/>
  <c r="C13" i="14"/>
  <c r="C19" i="14"/>
  <c r="C20" i="14"/>
  <c r="C18" i="14"/>
  <c r="B19" i="14"/>
  <c r="C16" i="14"/>
  <c r="B15" i="14"/>
  <c r="B16" i="14"/>
  <c r="CI2" i="12"/>
  <c r="B138" i="14" s="1"/>
  <c r="B18" i="14"/>
  <c r="C15" i="14"/>
  <c r="F11" i="14"/>
  <c r="B13" i="14"/>
  <c r="C17" i="14"/>
  <c r="B17" i="14"/>
  <c r="C55" i="14"/>
  <c r="C112" i="14"/>
  <c r="C14" i="14"/>
  <c r="B130" i="14"/>
  <c r="C130" i="14"/>
  <c r="C91" i="14"/>
  <c r="B95" i="14"/>
  <c r="B116" i="14" l="1"/>
  <c r="C128" i="14"/>
  <c r="C61" i="14"/>
  <c r="B22" i="14"/>
  <c r="B134" i="14"/>
  <c r="C76" i="14"/>
  <c r="C137" i="14"/>
  <c r="C27" i="14"/>
  <c r="C32" i="14"/>
  <c r="B73" i="14"/>
  <c r="C63" i="14"/>
  <c r="C77" i="14"/>
  <c r="B69" i="14"/>
  <c r="B37" i="14"/>
  <c r="C129" i="14"/>
  <c r="B114" i="14"/>
  <c r="B87" i="14"/>
  <c r="C116" i="14"/>
  <c r="C88" i="14"/>
  <c r="C85" i="14"/>
  <c r="C28" i="14"/>
  <c r="C21" i="14"/>
  <c r="B23" i="14"/>
  <c r="C23" i="14"/>
  <c r="B67" i="14"/>
  <c r="B59" i="14"/>
  <c r="B80" i="14"/>
  <c r="C139" i="14"/>
  <c r="B98" i="14"/>
  <c r="B113" i="14"/>
  <c r="B63" i="14"/>
  <c r="C66" i="14"/>
  <c r="C73" i="14"/>
  <c r="B127" i="14"/>
  <c r="B31" i="14"/>
  <c r="C58" i="14"/>
  <c r="C59" i="14"/>
  <c r="B46" i="14"/>
  <c r="C29" i="14"/>
  <c r="B75" i="14"/>
  <c r="C113" i="14"/>
  <c r="C83" i="14"/>
  <c r="B82" i="14"/>
  <c r="B117" i="14"/>
  <c r="B61" i="14"/>
  <c r="C24" i="14"/>
  <c r="C118" i="14"/>
  <c r="C30" i="14"/>
  <c r="B105" i="14"/>
  <c r="B21" i="14"/>
  <c r="B28" i="14"/>
  <c r="C22" i="14"/>
  <c r="B26" i="14"/>
  <c r="B77" i="14"/>
  <c r="C79" i="14"/>
  <c r="B58" i="14"/>
  <c r="C56" i="14"/>
  <c r="B136" i="14"/>
  <c r="B79" i="14"/>
  <c r="B120" i="14"/>
  <c r="C127" i="14"/>
  <c r="C105" i="14"/>
  <c r="B122" i="14"/>
  <c r="B66" i="14"/>
  <c r="B135" i="14"/>
  <c r="C48" i="14"/>
  <c r="B43" i="14"/>
  <c r="C84" i="14"/>
  <c r="B81" i="14"/>
  <c r="B132" i="14"/>
  <c r="B101" i="14"/>
  <c r="B115" i="14"/>
  <c r="B71" i="14"/>
  <c r="C71" i="14"/>
  <c r="B44" i="14"/>
  <c r="B55" i="14"/>
  <c r="B128" i="14"/>
  <c r="C46" i="14"/>
  <c r="B30" i="14"/>
  <c r="C136" i="14"/>
  <c r="B39" i="14"/>
  <c r="C25" i="14"/>
  <c r="B25" i="14"/>
  <c r="B100" i="14"/>
  <c r="C100" i="14"/>
  <c r="B109" i="14"/>
  <c r="C81" i="14"/>
  <c r="C78" i="14"/>
  <c r="C95" i="14"/>
  <c r="C123" i="14"/>
  <c r="B118" i="14"/>
  <c r="C124" i="14"/>
  <c r="B85" i="14"/>
  <c r="C121" i="14"/>
  <c r="B41" i="14"/>
  <c r="C43" i="14"/>
  <c r="C69" i="14"/>
  <c r="C75" i="14"/>
  <c r="B56" i="14"/>
  <c r="C133" i="14"/>
  <c r="B89" i="14"/>
  <c r="C96" i="14"/>
  <c r="C104" i="14"/>
  <c r="B119" i="14"/>
  <c r="B93" i="14"/>
  <c r="B84" i="14"/>
  <c r="C37" i="14"/>
  <c r="B27" i="14"/>
  <c r="C26" i="14"/>
  <c r="B24" i="14"/>
  <c r="C31" i="14"/>
  <c r="C33" i="14"/>
  <c r="B29" i="14"/>
  <c r="B32" i="14"/>
  <c r="B33" i="14"/>
  <c r="C51" i="14"/>
  <c r="C115" i="14"/>
  <c r="C125" i="14"/>
  <c r="B111" i="14"/>
  <c r="B129" i="14"/>
  <c r="B34" i="14"/>
  <c r="C35" i="14"/>
  <c r="B42" i="14"/>
  <c r="B51" i="14"/>
  <c r="C54" i="14"/>
  <c r="C53" i="14"/>
  <c r="B74" i="14"/>
  <c r="B106" i="14"/>
  <c r="B35" i="14"/>
  <c r="C40" i="14"/>
  <c r="C39" i="14"/>
  <c r="C36" i="14"/>
  <c r="C38" i="14"/>
  <c r="B38" i="14"/>
  <c r="B40" i="14"/>
  <c r="C42" i="14"/>
  <c r="C41" i="14"/>
  <c r="B88" i="14"/>
  <c r="B36" i="14"/>
  <c r="C34" i="14"/>
  <c r="C101" i="14"/>
  <c r="C52" i="14"/>
  <c r="B48" i="14"/>
  <c r="C45" i="14"/>
  <c r="B54" i="14"/>
  <c r="C103" i="14"/>
  <c r="B108" i="14"/>
  <c r="C90" i="14"/>
  <c r="B107" i="14"/>
  <c r="B112" i="14"/>
  <c r="B125" i="14"/>
  <c r="C50" i="14"/>
  <c r="C94" i="14"/>
  <c r="B99" i="14"/>
  <c r="B49" i="14"/>
  <c r="C47" i="14"/>
  <c r="B45" i="14"/>
  <c r="C44" i="14"/>
  <c r="B53" i="14"/>
  <c r="B47" i="14"/>
  <c r="C64" i="14"/>
  <c r="B50" i="14"/>
  <c r="B102" i="14"/>
  <c r="B64" i="14"/>
  <c r="C92" i="14"/>
  <c r="B52" i="14"/>
  <c r="C107" i="14"/>
  <c r="B65" i="14"/>
  <c r="B94" i="14"/>
  <c r="C49" i="14"/>
  <c r="C126" i="14"/>
  <c r="C109" i="14"/>
  <c r="C67" i="14"/>
  <c r="B139" i="14"/>
  <c r="C120" i="14"/>
  <c r="B121" i="14"/>
  <c r="B57" i="14"/>
  <c r="C80" i="14"/>
  <c r="B90" i="14"/>
  <c r="B124" i="14"/>
  <c r="C98" i="14"/>
  <c r="C89" i="14"/>
  <c r="B97" i="14"/>
  <c r="C99" i="14"/>
  <c r="C57" i="14"/>
  <c r="C97" i="14"/>
  <c r="B83" i="14"/>
  <c r="C87" i="14"/>
  <c r="B62" i="14"/>
  <c r="C65" i="14"/>
  <c r="C102" i="14"/>
  <c r="C106" i="14"/>
  <c r="C111" i="14"/>
  <c r="C60" i="14"/>
  <c r="B123" i="14"/>
  <c r="B103" i="14"/>
  <c r="C132" i="14"/>
  <c r="C72" i="14"/>
  <c r="B126" i="14"/>
  <c r="B72" i="14"/>
  <c r="B104" i="14"/>
  <c r="C110" i="14"/>
  <c r="B131" i="14"/>
  <c r="C86" i="14"/>
  <c r="C122" i="14"/>
  <c r="C114" i="14"/>
  <c r="B70" i="14"/>
  <c r="B86" i="14"/>
  <c r="B60" i="14"/>
  <c r="C108" i="14"/>
  <c r="B68" i="14"/>
  <c r="C82" i="14"/>
  <c r="C74" i="14"/>
  <c r="C135" i="14"/>
  <c r="C119" i="14"/>
  <c r="B110" i="14"/>
  <c r="B96" i="14"/>
  <c r="C62" i="14"/>
  <c r="C68" i="14"/>
  <c r="C131" i="14"/>
  <c r="C70" i="14"/>
  <c r="C117" i="14"/>
  <c r="C134" i="14"/>
  <c r="B78" i="14"/>
  <c r="B133" i="14"/>
  <c r="C93" i="14"/>
  <c r="B92" i="14"/>
  <c r="C138" i="14"/>
  <c r="B76" i="14"/>
  <c r="B137" i="14"/>
  <c r="B91" i="14"/>
  <c r="A55" i="14"/>
  <c r="A30" i="14"/>
  <c r="A98" i="14"/>
  <c r="A41" i="14"/>
  <c r="A13" i="14"/>
  <c r="A119" i="14"/>
  <c r="A118" i="14"/>
  <c r="A34" i="14"/>
  <c r="A83" i="14"/>
  <c r="A15" i="14"/>
  <c r="A71" i="14"/>
  <c r="A132" i="14"/>
  <c r="A106" i="14"/>
  <c r="A42" i="14"/>
  <c r="A18" i="14"/>
  <c r="A86" i="14"/>
  <c r="A135" i="14"/>
  <c r="A99" i="14"/>
  <c r="A131" i="14"/>
  <c r="A37" i="14"/>
  <c r="A17" i="14"/>
  <c r="A117" i="14"/>
  <c r="A21" i="14"/>
  <c r="A112" i="14"/>
  <c r="A75" i="14"/>
  <c r="A79" i="14"/>
  <c r="A14" i="14"/>
  <c r="A101" i="14"/>
  <c r="A130" i="14"/>
  <c r="A64" i="14"/>
  <c r="A115" i="14"/>
  <c r="A25" i="14"/>
  <c r="A102" i="14"/>
  <c r="A59" i="14"/>
  <c r="A24" i="14"/>
  <c r="A53" i="14"/>
  <c r="A28" i="14"/>
  <c r="A137" i="14"/>
  <c r="A103" i="14"/>
  <c r="A51" i="14"/>
  <c r="A58" i="14"/>
  <c r="A39" i="14"/>
  <c r="A19" i="14"/>
  <c r="A134" i="14"/>
  <c r="A27" i="14"/>
  <c r="A114" i="14"/>
  <c r="A125" i="14"/>
  <c r="A63" i="14"/>
  <c r="A74" i="14"/>
  <c r="A29" i="14"/>
  <c r="A94" i="14"/>
  <c r="A111" i="14"/>
  <c r="A84" i="14"/>
  <c r="A85" i="14"/>
  <c r="A128" i="14"/>
  <c r="A107" i="14"/>
  <c r="A44" i="14"/>
  <c r="A104" i="14"/>
  <c r="A81" i="14"/>
  <c r="A110" i="14"/>
  <c r="A87" i="14"/>
  <c r="A138" i="14"/>
  <c r="A80" i="14"/>
  <c r="A47" i="14"/>
  <c r="A73" i="14"/>
  <c r="A68" i="14"/>
  <c r="A88" i="14"/>
  <c r="A136" i="14"/>
  <c r="A95" i="14"/>
  <c r="A61" i="14"/>
  <c r="A93" i="14"/>
  <c r="A62" i="14"/>
  <c r="A54" i="14"/>
  <c r="A129" i="14"/>
  <c r="A22" i="14"/>
  <c r="A65" i="14"/>
  <c r="A43" i="14"/>
  <c r="A123" i="14"/>
  <c r="A32" i="14"/>
  <c r="A49" i="14"/>
  <c r="A78" i="14"/>
  <c r="A108" i="14"/>
  <c r="A120" i="14"/>
  <c r="A90" i="14"/>
  <c r="A76" i="14"/>
  <c r="A35" i="14"/>
  <c r="A92" i="14"/>
  <c r="A70" i="14"/>
  <c r="A124" i="14"/>
  <c r="A67" i="14"/>
  <c r="A36" i="14"/>
  <c r="A77" i="14"/>
  <c r="A52" i="14"/>
  <c r="A113" i="14"/>
  <c r="A57" i="14"/>
  <c r="A116" i="14"/>
  <c r="A38" i="14"/>
  <c r="A109" i="14"/>
  <c r="A121" i="14"/>
  <c r="A82" i="14"/>
  <c r="A40" i="14"/>
  <c r="A33" i="14"/>
  <c r="A69" i="14"/>
  <c r="A72" i="14"/>
  <c r="A97" i="14"/>
  <c r="A45" i="14"/>
  <c r="A100" i="14"/>
  <c r="A127" i="14"/>
  <c r="A60" i="14"/>
  <c r="A48" i="14"/>
  <c r="A133" i="14"/>
  <c r="A20" i="14"/>
  <c r="A31" i="14"/>
  <c r="A126" i="14"/>
  <c r="A46" i="14"/>
  <c r="A26" i="14"/>
  <c r="A66" i="14"/>
  <c r="A96" i="14"/>
  <c r="A139" i="14"/>
  <c r="A56" i="14"/>
  <c r="A122" i="14"/>
  <c r="A91" i="14"/>
  <c r="A89" i="14"/>
  <c r="A105" i="14"/>
  <c r="A50" i="14"/>
  <c r="A23" i="14"/>
  <c r="A16" i="14"/>
  <c r="AW4" i="12"/>
</calcChain>
</file>

<file path=xl/sharedStrings.xml><?xml version="1.0" encoding="utf-8"?>
<sst xmlns="http://schemas.openxmlformats.org/spreadsheetml/2006/main" count="4342" uniqueCount="1154">
  <si>
    <t>DATA</t>
  </si>
  <si>
    <t>DESCRIZIONE</t>
  </si>
  <si>
    <t>DARE</t>
  </si>
  <si>
    <t>AVERE</t>
  </si>
  <si>
    <t>PATRIMONIO NETTO</t>
  </si>
  <si>
    <t>DEBITI</t>
  </si>
  <si>
    <t>CREDITI</t>
  </si>
  <si>
    <t>COSTI D'ESERCIZIO</t>
  </si>
  <si>
    <t>RICAVI D'ESERCIZIO</t>
  </si>
  <si>
    <t>COSTI PLURIENNALI</t>
  </si>
  <si>
    <t>Codice</t>
  </si>
  <si>
    <t xml:space="preserve"> CLASSIFICAZIONE</t>
  </si>
  <si>
    <t xml:space="preserve"> DESTINAZIONE</t>
  </si>
  <si>
    <t>COSTI SOSPESI</t>
  </si>
  <si>
    <t>01.00</t>
  </si>
  <si>
    <t>01.01</t>
  </si>
  <si>
    <t>01.11</t>
  </si>
  <si>
    <t>SOFTWARE</t>
  </si>
  <si>
    <t>AVVIAMENTO</t>
  </si>
  <si>
    <t>FONDO AMMORTAMENTO AVVIAMENTO</t>
  </si>
  <si>
    <t>IMMOBILIZZAZIONI IMMATERIALI</t>
  </si>
  <si>
    <t>IMMOBILIZZAZIONI MATERIALI</t>
  </si>
  <si>
    <t>02.00</t>
  </si>
  <si>
    <t>ARREDAMENTO</t>
  </si>
  <si>
    <t>AUTOMEZZI</t>
  </si>
  <si>
    <t>IMBALLAGGI DUREVOLI</t>
  </si>
  <si>
    <t>FONDO AMMORTAMENTO FABBRICATI</t>
  </si>
  <si>
    <t>02.01</t>
  </si>
  <si>
    <t>02.02</t>
  </si>
  <si>
    <t>02.04</t>
  </si>
  <si>
    <t>02.05</t>
  </si>
  <si>
    <t>02.06</t>
  </si>
  <si>
    <t>02.07</t>
  </si>
  <si>
    <t>02.08</t>
  </si>
  <si>
    <t>02.11</t>
  </si>
  <si>
    <t>02.12</t>
  </si>
  <si>
    <t>02.14</t>
  </si>
  <si>
    <t>02.15</t>
  </si>
  <si>
    <t>02.16</t>
  </si>
  <si>
    <t>02.17</t>
  </si>
  <si>
    <t>02.18</t>
  </si>
  <si>
    <t>03.00</t>
  </si>
  <si>
    <t>IMMOBILIZZAZIONI FINANZIARIE</t>
  </si>
  <si>
    <t>MUTUI ATTIVI</t>
  </si>
  <si>
    <t>03.01</t>
  </si>
  <si>
    <t>04.00</t>
  </si>
  <si>
    <t>RIMANENZE</t>
  </si>
  <si>
    <t>04.01</t>
  </si>
  <si>
    <t>04.04</t>
  </si>
  <si>
    <t>MERCI</t>
  </si>
  <si>
    <t>04.10</t>
  </si>
  <si>
    <t>05.00</t>
  </si>
  <si>
    <t>CREDITI COMMERCIALI</t>
  </si>
  <si>
    <t>FATTURE DA EMETTERE</t>
  </si>
  <si>
    <t>CREDITI COMMERCIALI DIVERSI</t>
  </si>
  <si>
    <t>CLIENTI C/COSTI ANTICIPATI</t>
  </si>
  <si>
    <t>CAMBIALI ATTIVE</t>
  </si>
  <si>
    <t>CAMBIALI ALLO SCONTO</t>
  </si>
  <si>
    <t>CAMBIALI ALL'INCASSO</t>
  </si>
  <si>
    <t>CREDITI DA LIQUIDARE</t>
  </si>
  <si>
    <t>CREDITI INSOLUTI</t>
  </si>
  <si>
    <t>CAMBIALI INSOLUTE</t>
  </si>
  <si>
    <t>FONDO SVALUTAZIONE CREDITI</t>
  </si>
  <si>
    <t>05.01</t>
  </si>
  <si>
    <t>05.02</t>
  </si>
  <si>
    <t>05.03</t>
  </si>
  <si>
    <t>05.05</t>
  </si>
  <si>
    <t>05.06</t>
  </si>
  <si>
    <t>05.07</t>
  </si>
  <si>
    <t>05.09</t>
  </si>
  <si>
    <t>05.10</t>
  </si>
  <si>
    <t>05.11</t>
  </si>
  <si>
    <t>06.00</t>
  </si>
  <si>
    <t>CREDITI DIVERSI</t>
  </si>
  <si>
    <t>CREDITI PER IMPOSTE</t>
  </si>
  <si>
    <t>CREDITI PER CAUZIONI</t>
  </si>
  <si>
    <t>06.01</t>
  </si>
  <si>
    <t>06.05</t>
  </si>
  <si>
    <t>06.07</t>
  </si>
  <si>
    <t>06.10</t>
  </si>
  <si>
    <t>06.20</t>
  </si>
  <si>
    <t>08.00</t>
  </si>
  <si>
    <t>DISPONIBILITÀ LIQUIDE</t>
  </si>
  <si>
    <t>BANCHE C/C ATTIVI</t>
  </si>
  <si>
    <t>C/C POSTALI</t>
  </si>
  <si>
    <t>08.01</t>
  </si>
  <si>
    <t>ASSEGNI</t>
  </si>
  <si>
    <t>DENARO IN CASSA</t>
  </si>
  <si>
    <t>VALORI BOLLATI</t>
  </si>
  <si>
    <t>RATEI E RISCONTI ATTIVI</t>
  </si>
  <si>
    <t>09.00</t>
  </si>
  <si>
    <t>RATEI ATTIVI</t>
  </si>
  <si>
    <t>RISCONTI ATTIVI</t>
  </si>
  <si>
    <t>09.01</t>
  </si>
  <si>
    <t>09.02</t>
  </si>
  <si>
    <t>10.00</t>
  </si>
  <si>
    <t>10.01</t>
  </si>
  <si>
    <t>UTILE D'ESERCIZIO</t>
  </si>
  <si>
    <t>PERDITA D'ESERCIZIO</t>
  </si>
  <si>
    <t>10.02</t>
  </si>
  <si>
    <t>10.03</t>
  </si>
  <si>
    <t>10.04</t>
  </si>
  <si>
    <t>10.05</t>
  </si>
  <si>
    <t>FONDI PER RISCHI E ONERI</t>
  </si>
  <si>
    <t>11.00</t>
  </si>
  <si>
    <t>FONDO RESPONSABILITÀ CIVILE</t>
  </si>
  <si>
    <t>11.01</t>
  </si>
  <si>
    <t>TRATTAMENTO FINE RAPPORTO</t>
  </si>
  <si>
    <t>12.00</t>
  </si>
  <si>
    <t>DEBITI PER TFR</t>
  </si>
  <si>
    <t>12.01</t>
  </si>
  <si>
    <t>DEBITI FINANZIARI</t>
  </si>
  <si>
    <t>13.00</t>
  </si>
  <si>
    <t>MUTUI PASSIVI</t>
  </si>
  <si>
    <t>BANCHE C/RI.BA. SBF</t>
  </si>
  <si>
    <t>BANCHE C/ANTICIPI SU FATTURE</t>
  </si>
  <si>
    <t>BANCHE C/C PASSIVI</t>
  </si>
  <si>
    <t>BANCHE C/INTERESSI MATURATI</t>
  </si>
  <si>
    <t>DEBITI V/ALTRI FINANZIATORI</t>
  </si>
  <si>
    <t>13.10</t>
  </si>
  <si>
    <t>13.11</t>
  </si>
  <si>
    <t>13.20</t>
  </si>
  <si>
    <t>13.21</t>
  </si>
  <si>
    <t>14.00</t>
  </si>
  <si>
    <t>DEBITI COMMERCIALI</t>
  </si>
  <si>
    <t>FATTURE DA RICEVERE</t>
  </si>
  <si>
    <t>CAMBIALI PASSIVE</t>
  </si>
  <si>
    <t>DEBITI DA LIQUIDARE</t>
  </si>
  <si>
    <t>14.01</t>
  </si>
  <si>
    <t>14.03</t>
  </si>
  <si>
    <t>15.00</t>
  </si>
  <si>
    <t>DEBITI DIVERSI</t>
  </si>
  <si>
    <t>IVA NS/DEBITO</t>
  </si>
  <si>
    <t>DEBITI PER RITENUTE DA VERSARE</t>
  </si>
  <si>
    <t>DEBITI PER IVA</t>
  </si>
  <si>
    <t>DEBITI PER IMPOSTE</t>
  </si>
  <si>
    <t>DEBITI V/ISTITUTI PREVIDENZIALI</t>
  </si>
  <si>
    <t>DEBITI PER CAUZIONI</t>
  </si>
  <si>
    <t>PERSONALE C/RETRIBUZIONI</t>
  </si>
  <si>
    <t>PERSONALE C/LIQUIDAZIONE</t>
  </si>
  <si>
    <t>15.01</t>
  </si>
  <si>
    <t>15.02</t>
  </si>
  <si>
    <t>15.05</t>
  </si>
  <si>
    <t>15.06</t>
  </si>
  <si>
    <t>15.20</t>
  </si>
  <si>
    <t>15.21</t>
  </si>
  <si>
    <t>15.30</t>
  </si>
  <si>
    <t>RATEI E RISCONTI PASSIVI</t>
  </si>
  <si>
    <t>16.00</t>
  </si>
  <si>
    <t>RATEI PASSIVI</t>
  </si>
  <si>
    <t>RISCONTI PASSIVI</t>
  </si>
  <si>
    <t>16.01</t>
  </si>
  <si>
    <t>16.02</t>
  </si>
  <si>
    <t>18.00</t>
  </si>
  <si>
    <t>BILANCIO DI APERTURA</t>
  </si>
  <si>
    <t>BILANCIO DI CHIUSURA</t>
  </si>
  <si>
    <t>IVA C/LIQUIDAZIONE</t>
  </si>
  <si>
    <t>ISTITUTI PREVIDENZIALI</t>
  </si>
  <si>
    <t>18.01</t>
  </si>
  <si>
    <t>18.02</t>
  </si>
  <si>
    <t>19.00</t>
  </si>
  <si>
    <t>BENI DI TERZI</t>
  </si>
  <si>
    <t>DEPOSITANTI BENI</t>
  </si>
  <si>
    <t>IMPEGNI PER BENI IN LEASING</t>
  </si>
  <si>
    <t>CREDITORI C/LEASING</t>
  </si>
  <si>
    <t>RISCHI PER FIDEIUSSIONI</t>
  </si>
  <si>
    <t>CREDITORI PER FIDEIUSSIONI</t>
  </si>
  <si>
    <t>19.01</t>
  </si>
  <si>
    <t>19.02</t>
  </si>
  <si>
    <t>19.11</t>
  </si>
  <si>
    <t>19.12</t>
  </si>
  <si>
    <t>19.21</t>
  </si>
  <si>
    <t>19.22</t>
  </si>
  <si>
    <t>20.00</t>
  </si>
  <si>
    <t>MERCI C/VENDITE</t>
  </si>
  <si>
    <t>RESI SU VENDITE</t>
  </si>
  <si>
    <t>RIBASSI E ABBUONI PASSIVI</t>
  </si>
  <si>
    <t>PREMI SU VENDITE</t>
  </si>
  <si>
    <t>FITTI ATTIVI</t>
  </si>
  <si>
    <t>RIMBORSI COSTI DI VENDITA</t>
  </si>
  <si>
    <t>20.01</t>
  </si>
  <si>
    <t>20.02</t>
  </si>
  <si>
    <t>20.10</t>
  </si>
  <si>
    <t>20.11</t>
  </si>
  <si>
    <t>20.12</t>
  </si>
  <si>
    <t>30.00</t>
  </si>
  <si>
    <t>MERCI C/ACQUISTI</t>
  </si>
  <si>
    <t>MERCI C/APPORTI</t>
  </si>
  <si>
    <t>RESI SU ACQUISTI</t>
  </si>
  <si>
    <t>RIBASSI E ABBUONI ATTIVI</t>
  </si>
  <si>
    <t>30.01</t>
  </si>
  <si>
    <t>30.02</t>
  </si>
  <si>
    <t>31.00</t>
  </si>
  <si>
    <t>COSTI PER SERVIZI</t>
  </si>
  <si>
    <t>COSTI DI TRASPORTO</t>
  </si>
  <si>
    <t>COSTI PER ENERGIA</t>
  </si>
  <si>
    <t>CONSULENZE</t>
  </si>
  <si>
    <t>COSTI TELEFONICI</t>
  </si>
  <si>
    <t>COSTI DI VIGILANZA</t>
  </si>
  <si>
    <t>COSTI POSTALI</t>
  </si>
  <si>
    <t>COSTI PER I LOCALI</t>
  </si>
  <si>
    <t>COSTI DI ETICHETTATURA</t>
  </si>
  <si>
    <t>PROVVIGIONI PASSIVE</t>
  </si>
  <si>
    <t>COMMISSIONI BANCARIE</t>
  </si>
  <si>
    <t>31.01</t>
  </si>
  <si>
    <t>31.02</t>
  </si>
  <si>
    <t>31.03</t>
  </si>
  <si>
    <t>31.04</t>
  </si>
  <si>
    <t>31.05</t>
  </si>
  <si>
    <t>31.06</t>
  </si>
  <si>
    <t>31.07</t>
  </si>
  <si>
    <t>31.08</t>
  </si>
  <si>
    <t>31.10</t>
  </si>
  <si>
    <t>31.11</t>
  </si>
  <si>
    <t>31.12</t>
  </si>
  <si>
    <t>31.13</t>
  </si>
  <si>
    <t>32.00</t>
  </si>
  <si>
    <t>32.01</t>
  </si>
  <si>
    <t>32.02</t>
  </si>
  <si>
    <t>FITTI PASSIVI</t>
  </si>
  <si>
    <t>CANONI DI LEASING</t>
  </si>
  <si>
    <t>COSTI PER IL PERSONALE</t>
  </si>
  <si>
    <t>33.00</t>
  </si>
  <si>
    <t>ONERI SOCIALI</t>
  </si>
  <si>
    <t>TFR</t>
  </si>
  <si>
    <t>33.01</t>
  </si>
  <si>
    <t>33.02</t>
  </si>
  <si>
    <t>34.00</t>
  </si>
  <si>
    <t>34.01</t>
  </si>
  <si>
    <t>AMMORTAMENTO SOFTWARE</t>
  </si>
  <si>
    <t>AMMORTAMENTO AVVIAMENTO</t>
  </si>
  <si>
    <t>35.00</t>
  </si>
  <si>
    <t>AMMORTAMENTO FABBRICATI</t>
  </si>
  <si>
    <t>AMMORTAMENTO IMPIANTI E MACCHINARI</t>
  </si>
  <si>
    <t>AMMORTAMENTO MACCHINE D'UFFICIO</t>
  </si>
  <si>
    <t>AMMORTAMENTO ARREDAMENTO</t>
  </si>
  <si>
    <t>AMMORTAMENTO AUTOMEZZI</t>
  </si>
  <si>
    <t>AMMORTAMENTO IMBALLAGGI DUREVOLI</t>
  </si>
  <si>
    <t>35.01</t>
  </si>
  <si>
    <t>35.02</t>
  </si>
  <si>
    <t>36.00</t>
  </si>
  <si>
    <t>SVALUTAZIONI</t>
  </si>
  <si>
    <t>37.00</t>
  </si>
  <si>
    <t>MERCI C/ESISTENZE INIZIALI</t>
  </si>
  <si>
    <t>MATERIE DI CONSUMO C/ESISTENZE INIZIALI</t>
  </si>
  <si>
    <t>MERCI C/RIMANENZE FINALI</t>
  </si>
  <si>
    <t>MATERIE DI CONSUMO C/RIMANENZE FINALI</t>
  </si>
  <si>
    <t>38.00</t>
  </si>
  <si>
    <t>ONERI DIVERSI</t>
  </si>
  <si>
    <t>39.00</t>
  </si>
  <si>
    <t>ARROTONDAMENTI PASSIVI</t>
  </si>
  <si>
    <t>39.01</t>
  </si>
  <si>
    <t>ONERI FISCALI DIVERSI</t>
  </si>
  <si>
    <t>PERDITE SU CREDITI</t>
  </si>
  <si>
    <t>39.05</t>
  </si>
  <si>
    <t>39.10</t>
  </si>
  <si>
    <t>PROVENTI FINANZIARI</t>
  </si>
  <si>
    <t>INTERESSI ATTIVI BANCARI</t>
  </si>
  <si>
    <t>INTERESSI ATTIVI POSTALI</t>
  </si>
  <si>
    <t>PROVENTI FINANZIARI DIVERSI</t>
  </si>
  <si>
    <t>ONERI FINANZIARI</t>
  </si>
  <si>
    <t>INTERESSI PASSIVI BANCARI</t>
  </si>
  <si>
    <t>SCONTI PASSIVI BANCARI</t>
  </si>
  <si>
    <t>INTERESSI PASSIVI SU MUTUI</t>
  </si>
  <si>
    <t>ONERI FINANZIARI DIVERSI</t>
  </si>
  <si>
    <t>IMPOSTE DELL'ESERCIZIO</t>
  </si>
  <si>
    <t>60.00</t>
  </si>
  <si>
    <t>60.01</t>
  </si>
  <si>
    <t>CONTI DI RISULTATO</t>
  </si>
  <si>
    <t>CONTO DI RISULTATO ECONOMICO</t>
  </si>
  <si>
    <t>SP DARE</t>
  </si>
  <si>
    <t>D/A</t>
  </si>
  <si>
    <t>RATEI, FONDI RISCHI E ONERI</t>
  </si>
  <si>
    <t>RICAVI SOSPESI</t>
  </si>
  <si>
    <t>TRANSITORIO DI CONTROPARTITA</t>
  </si>
  <si>
    <t>D</t>
  </si>
  <si>
    <t>01.06</t>
  </si>
  <si>
    <t>01.16</t>
  </si>
  <si>
    <t>02.21</t>
  </si>
  <si>
    <t>CREDITI PER ACCONTI DA CLIENTI</t>
  </si>
  <si>
    <t>06.04</t>
  </si>
  <si>
    <t>CREDITI PER IVA</t>
  </si>
  <si>
    <t>06.30</t>
  </si>
  <si>
    <t>FONDO PER IMPOSTE</t>
  </si>
  <si>
    <t>13.40</t>
  </si>
  <si>
    <t>DEBITI PER ACCONTI A FORNITORI</t>
  </si>
  <si>
    <t>15.40</t>
  </si>
  <si>
    <t>CONTI DEI SISTEMI MINORI</t>
  </si>
  <si>
    <t>21.00</t>
  </si>
  <si>
    <t>PROVENTI VARI</t>
  </si>
  <si>
    <t>SOPRAVVENIENZE ATTIVE</t>
  </si>
  <si>
    <t>INSUSSISTENZE ATTIVE</t>
  </si>
  <si>
    <t>AMMORTAMENTI IMMOBILIZZAZIONI MATERIALI</t>
  </si>
  <si>
    <t>39.06</t>
  </si>
  <si>
    <t>ACCANTONAMENTO PER IMPOSTE INDIRETTE</t>
  </si>
  <si>
    <t>MINUSVALENZE</t>
  </si>
  <si>
    <t>SOPRAVVENIENZE PASSIVE</t>
  </si>
  <si>
    <t>INSUSSISTENZE PASSIVE</t>
  </si>
  <si>
    <t>A</t>
  </si>
  <si>
    <t>SP AVERE</t>
  </si>
  <si>
    <t>SE AVERE</t>
  </si>
  <si>
    <t>SE DARE</t>
  </si>
  <si>
    <t>SP DARE/AVERE</t>
  </si>
  <si>
    <t>SVALUTAZIONE CREDITI</t>
  </si>
  <si>
    <t>CODICE</t>
  </si>
  <si>
    <t>NATURA</t>
  </si>
  <si>
    <t>mastro</t>
  </si>
  <si>
    <t>PER TOTALI</t>
  </si>
  <si>
    <t>PER ECCEDENZE</t>
  </si>
  <si>
    <t>PER TOTALI ED ECCEDENZE</t>
  </si>
  <si>
    <t>AMMORTAMENTI IMMOBILIZZAZIONI IMMATERIALI</t>
  </si>
  <si>
    <t>E</t>
  </si>
  <si>
    <t>F</t>
  </si>
  <si>
    <t xml:space="preserve">      </t>
  </si>
  <si>
    <t xml:space="preserve">  DENOMINAZIONE DEI CONTI</t>
  </si>
  <si>
    <t>Nr. riga</t>
  </si>
  <si>
    <t xml:space="preserve"> DENOMINAZIONE DEI CONTI</t>
  </si>
  <si>
    <t xml:space="preserve"> DESCRIZIONE</t>
  </si>
  <si>
    <t>RETTIFICHE COSTI PLURIENNALI</t>
  </si>
  <si>
    <t>RETTIFICHE RICAVI D'ESERCIZIO</t>
  </si>
  <si>
    <t>RETTIFICHE COSTI D'ESERCIZIO</t>
  </si>
  <si>
    <t>DENOMINANZIONE DEL CONTO</t>
  </si>
  <si>
    <t>00.00</t>
  </si>
  <si>
    <t>CREDITI V/SOCI</t>
  </si>
  <si>
    <t>00.01</t>
  </si>
  <si>
    <t>00.02</t>
  </si>
  <si>
    <t>01.02</t>
  </si>
  <si>
    <t>COSTI DI AMPLIAMENTO</t>
  </si>
  <si>
    <t>01.03</t>
  </si>
  <si>
    <t>COSTI DI SVILUPPO</t>
  </si>
  <si>
    <t>01.04</t>
  </si>
  <si>
    <t>01.05</t>
  </si>
  <si>
    <t>01.12</t>
  </si>
  <si>
    <t>01.13</t>
  </si>
  <si>
    <t>01.14</t>
  </si>
  <si>
    <t>01.15</t>
  </si>
  <si>
    <t>IMMOBILIZZAZIONI IMMATERIALI IN CORSO</t>
  </si>
  <si>
    <t>TERRENI E FABBRICATI</t>
  </si>
  <si>
    <t>02.03</t>
  </si>
  <si>
    <t>ATTREZZATURE INDUSTRIALI</t>
  </si>
  <si>
    <t>ATTREZZATURE COMMERCIALI</t>
  </si>
  <si>
    <t>02.13</t>
  </si>
  <si>
    <t>FONDO SVALUTAZIONE TERRENI E FABBRICATI</t>
  </si>
  <si>
    <t>02.30</t>
  </si>
  <si>
    <t>02.31</t>
  </si>
  <si>
    <t>PARTECIPAZIONI IN CONTROLLATE</t>
  </si>
  <si>
    <t>03.02</t>
  </si>
  <si>
    <t>PARTECIPAZIONI IN COLLEGATE</t>
  </si>
  <si>
    <t>03.03</t>
  </si>
  <si>
    <t>03.04</t>
  </si>
  <si>
    <t>PARTECIPAZIONI DIVERSE</t>
  </si>
  <si>
    <t>03.10</t>
  </si>
  <si>
    <t>PRESTITI A CONTROLLATE</t>
  </si>
  <si>
    <t>03.11</t>
  </si>
  <si>
    <t>PRESTITI A COLLEGATE</t>
  </si>
  <si>
    <t>03.12</t>
  </si>
  <si>
    <t>TITOLI IMMOBILIZZATI</t>
  </si>
  <si>
    <t>MATERIE PRIME</t>
  </si>
  <si>
    <t>04.02</t>
  </si>
  <si>
    <t>MATERIE SUSSIDIARIE</t>
  </si>
  <si>
    <t>04.03</t>
  </si>
  <si>
    <t>PRODOTTI IN LAVORAZIONE</t>
  </si>
  <si>
    <t>04.05</t>
  </si>
  <si>
    <t>SEMILAVORATI</t>
  </si>
  <si>
    <t>04.06</t>
  </si>
  <si>
    <t>PRODOTTI FINITI</t>
  </si>
  <si>
    <t>05.04</t>
  </si>
  <si>
    <t>CREDITI FATTORIZZATI</t>
  </si>
  <si>
    <t>06.02</t>
  </si>
  <si>
    <t>06.03</t>
  </si>
  <si>
    <t>CREDITI PER RITENUTE SUBITE</t>
  </si>
  <si>
    <t>CREDITI D'IMPOSTA</t>
  </si>
  <si>
    <t>06.06</t>
  </si>
  <si>
    <t>CREDITI V/CONTROLLATE</t>
  </si>
  <si>
    <t>CREDITI V/COLLEGATE</t>
  </si>
  <si>
    <t>OBBLIGAZIONISTI C/SOTTOSCRIZIONE</t>
  </si>
  <si>
    <t>ENTE CONCEDENTE C/CONTRIBUTI</t>
  </si>
  <si>
    <t>07.00</t>
  </si>
  <si>
    <t>ATTIVITÀ FINANZIARIE</t>
  </si>
  <si>
    <t>07.01</t>
  </si>
  <si>
    <t>PARTECIPAZIONI</t>
  </si>
  <si>
    <t>TITOLI</t>
  </si>
  <si>
    <t>08.02</t>
  </si>
  <si>
    <t>CAPITALE SOCIALE</t>
  </si>
  <si>
    <t>RISERVA DI RIVALUTAZIONE</t>
  </si>
  <si>
    <t>RISERVA LEGALE</t>
  </si>
  <si>
    <t>RISERVA STATUTARIA</t>
  </si>
  <si>
    <t>10.06</t>
  </si>
  <si>
    <t>RISERVA STRAORDINARIA</t>
  </si>
  <si>
    <t>10.09</t>
  </si>
  <si>
    <t>FONDO RIMBORSO SPESE</t>
  </si>
  <si>
    <t>10.10</t>
  </si>
  <si>
    <t>10.11</t>
  </si>
  <si>
    <t>VERSAMENTI C/AUMENTO CAPITALE</t>
  </si>
  <si>
    <t>10.20</t>
  </si>
  <si>
    <t>UTILI A NUOVO</t>
  </si>
  <si>
    <t>10.21</t>
  </si>
  <si>
    <t>PERDITE A NUOVO</t>
  </si>
  <si>
    <t>10.30</t>
  </si>
  <si>
    <t>10.31</t>
  </si>
  <si>
    <t>RISERVA NEGATIVA PER AZIONI PROPRIE</t>
  </si>
  <si>
    <t>11.02</t>
  </si>
  <si>
    <t>11.03</t>
  </si>
  <si>
    <t>13.01</t>
  </si>
  <si>
    <t>PRESTITI OBBLIGAZIONARI</t>
  </si>
  <si>
    <t>13.02</t>
  </si>
  <si>
    <t>PRESTITI OBBLIGAZIONARI CONVERTIBILI</t>
  </si>
  <si>
    <t>13.15</t>
  </si>
  <si>
    <t>13.30</t>
  </si>
  <si>
    <t>PRESTITI DA CONTROLLATE</t>
  </si>
  <si>
    <t>13.31</t>
  </si>
  <si>
    <t>PRESTITI DA COLLEGATE</t>
  </si>
  <si>
    <t>13.32</t>
  </si>
  <si>
    <t>15.03</t>
  </si>
  <si>
    <t>15.50</t>
  </si>
  <si>
    <t>15.51</t>
  </si>
  <si>
    <t>15.60</t>
  </si>
  <si>
    <t>OBBLIGAZIONISTI C/INTERESSI</t>
  </si>
  <si>
    <t>15.61</t>
  </si>
  <si>
    <t>OBBLIGAZIONISTI C/RIMBORSI</t>
  </si>
  <si>
    <t>15.70</t>
  </si>
  <si>
    <t>AMMINISTRATORI C/COMPETENZE</t>
  </si>
  <si>
    <t>SOCIETÀ DI FACTORING C/C</t>
  </si>
  <si>
    <t>20.05</t>
  </si>
  <si>
    <t>20.20</t>
  </si>
  <si>
    <t>COSTRUZIONI INTERNE</t>
  </si>
  <si>
    <t>20.21</t>
  </si>
  <si>
    <t>COSTI DI SVILUPPO RINVIATI</t>
  </si>
  <si>
    <t>20.30</t>
  </si>
  <si>
    <t>CONTRIBUTI IN C/ESERCIZIO</t>
  </si>
  <si>
    <t>20.40</t>
  </si>
  <si>
    <t>20.41</t>
  </si>
  <si>
    <t>RIVALUTAZIONE TERRENI E FABBRICATI</t>
  </si>
  <si>
    <t>RIVALUTAZIONE IMPIANTI E MACCHINARI</t>
  </si>
  <si>
    <t>PRODOTTI IN LAVORAZIONE C/ESISTENZE INIZIALI</t>
  </si>
  <si>
    <t>SEMILAVORATI C/ESISTENZE INIZIALI</t>
  </si>
  <si>
    <t>MATERIE PRIME C/ACQUISTI</t>
  </si>
  <si>
    <t>MATERIE SUSSIDIARIE C/ACQUISTI</t>
  </si>
  <si>
    <t>30.03</t>
  </si>
  <si>
    <t>LAVORAZIONI PRESSO TERZI</t>
  </si>
  <si>
    <t>COMPETENZE AMMINISTRATORI</t>
  </si>
  <si>
    <t>ALTRI COSTI PER IL PERSONALE</t>
  </si>
  <si>
    <t>34.02</t>
  </si>
  <si>
    <t>AMMORTAMENTO COSTI DI AMPLIAMENTO</t>
  </si>
  <si>
    <t>AMMORTAMENTO COSTI DI SVILUPPO</t>
  </si>
  <si>
    <t>AMMORTAMENTO ATTREZZATURE INDUSTRIALI</t>
  </si>
  <si>
    <t>AMMORTAMENTO ATTREZZATURE COMMERCIALI</t>
  </si>
  <si>
    <t>36.01</t>
  </si>
  <si>
    <t>36.02</t>
  </si>
  <si>
    <t>SVALUTAZIONE IMPIANTI E MACCHINARI</t>
  </si>
  <si>
    <t>MATERIE PRIME C/ESISTENZE INIZIALI</t>
  </si>
  <si>
    <t>MATERIE SUSSIDIARIE C/ESISTENZE INIZIALI</t>
  </si>
  <si>
    <t>MATERIE PRIME C/RIMANENZE FINALI</t>
  </si>
  <si>
    <t>MATERIE SUSSIDIARIE C/RIMANENZE FINALI</t>
  </si>
  <si>
    <t>ACCONTONAMENTO PER RESPONSABILITÀ CIVILE</t>
  </si>
  <si>
    <t>38.10</t>
  </si>
  <si>
    <t>PROVENTI DA PARTECIPAZIONI</t>
  </si>
  <si>
    <t>PLUSVALENZE DA PARTECIPAZIONI</t>
  </si>
  <si>
    <t>INTERESSI SU TITOLI</t>
  </si>
  <si>
    <t>INTERESSI SU OBBLIGAZIONI</t>
  </si>
  <si>
    <t>MINUSVALENZE DA PARTECIPAZIONI</t>
  </si>
  <si>
    <t>RIVALUTAZIONI DI ATTIVITÀ FINANZIARIE</t>
  </si>
  <si>
    <t>RIVALUTAZIONE PARTECIPAZIONI</t>
  </si>
  <si>
    <t>RIVALUTAZIONE TITOLI</t>
  </si>
  <si>
    <t>SVALUTAZIONI DI ATTIVITÀ FINANZIARIE</t>
  </si>
  <si>
    <t>SVALUTAZIONE PARTECIPAZIONI</t>
  </si>
  <si>
    <t>SVALUTAZIONE TITOLI</t>
  </si>
  <si>
    <t>ACCANTONAMENTO PER IMPOSTE DIRETTE</t>
  </si>
  <si>
    <t>GESTIONE TITOLI</t>
  </si>
  <si>
    <t>00.03</t>
  </si>
  <si>
    <t>FONDO AMMORTAMENTO IMPIANTI E MACCHINARI</t>
  </si>
  <si>
    <t>FONDO AMMORTAMENTO ARREDAMENTO</t>
  </si>
  <si>
    <t>FONDO AMMORTAMENTO AUTOMEZZI</t>
  </si>
  <si>
    <t>FONDO AMMORTAMENTO IMBALLAGGI DUREVOLI</t>
  </si>
  <si>
    <t>02.20</t>
  </si>
  <si>
    <t>FONDO SVALUTAZIONE MACCHINARI</t>
  </si>
  <si>
    <t>10.07</t>
  </si>
  <si>
    <t>RISERVA VOLONTARIA</t>
  </si>
  <si>
    <t>ECCEDENZA</t>
  </si>
  <si>
    <t>IMMOBILIZZAZIONI MATERIALI IN CORSO</t>
  </si>
  <si>
    <t>CONTI D'ORDINE</t>
  </si>
  <si>
    <t>MERCI C/VENDITE ON LINE</t>
  </si>
  <si>
    <t xml:space="preserve">ONERI DIVERSI </t>
  </si>
  <si>
    <t>00.10</t>
  </si>
  <si>
    <t>00.20</t>
  </si>
  <si>
    <t>00.04</t>
  </si>
  <si>
    <t>00.11</t>
  </si>
  <si>
    <t>00.12</t>
  </si>
  <si>
    <t>00.13</t>
  </si>
  <si>
    <t>00.21</t>
  </si>
  <si>
    <t>00.22</t>
  </si>
  <si>
    <t>00.23</t>
  </si>
  <si>
    <t>10.12</t>
  </si>
  <si>
    <t>10.13</t>
  </si>
  <si>
    <t>15.52</t>
  </si>
  <si>
    <t>15.53</t>
  </si>
  <si>
    <t>15.62</t>
  </si>
  <si>
    <t>15.63</t>
  </si>
  <si>
    <t>PLUSVALENZE</t>
  </si>
  <si>
    <t>CALENDARIO</t>
  </si>
  <si>
    <t>MASTRO</t>
  </si>
  <si>
    <t>B)_Immobilizzazioni</t>
  </si>
  <si>
    <t>C)_Attivo circolante</t>
  </si>
  <si>
    <t>_____4) concessioni, licenze, marchi e diritti simili</t>
  </si>
  <si>
    <t>_____5) immobilizzazioni in corso e acconti</t>
  </si>
  <si>
    <t>_____Totale</t>
  </si>
  <si>
    <t>_III_-_Immobilizzazioni finanziarie</t>
  </si>
  <si>
    <t>_____1) partecipazioni in:</t>
  </si>
  <si>
    <t>_______c) imprese controllanti</t>
  </si>
  <si>
    <t>_______d) imprese sottoposte al controllo delle controllanti</t>
  </si>
  <si>
    <t>_______d bis) altre imprese</t>
  </si>
  <si>
    <t>_____2) crediti:</t>
  </si>
  <si>
    <t>_______c) verso imprese controllanti</t>
  </si>
  <si>
    <t>_______d) verso imprese sottoposte al controllo delle controllanti</t>
  </si>
  <si>
    <t>_______d bis) verso altri</t>
  </si>
  <si>
    <t>_____3) altri titoli;</t>
  </si>
  <si>
    <t>_____4) strumenti finanziari derivati attivi.</t>
  </si>
  <si>
    <t>_____4) prodotti finiti e merci</t>
  </si>
  <si>
    <t>_____5) acconti</t>
  </si>
  <si>
    <t>__I_-_Rimanenze</t>
  </si>
  <si>
    <t>_II_-_Crediti</t>
  </si>
  <si>
    <t>_____1) verso clienti</t>
  </si>
  <si>
    <t>_____2) verso imprese controllate</t>
  </si>
  <si>
    <t>_____3) verso imprese collegate</t>
  </si>
  <si>
    <t>_____4) verso imprese controllanti</t>
  </si>
  <si>
    <t>_____5) verso imprese sottoposte al controllo delle controllanti</t>
  </si>
  <si>
    <t>_____5 bis) crediti tributari</t>
  </si>
  <si>
    <t>_____5 ter) imposte anticipate</t>
  </si>
  <si>
    <t>_____5 quater) verso altri</t>
  </si>
  <si>
    <t>_III_-_Attività finanziarie che non costituiscono immobilizzazioni</t>
  </si>
  <si>
    <t>_____1) partecipazioni in imprese controllate</t>
  </si>
  <si>
    <t>_____2) partecipazioni in imprese collegate</t>
  </si>
  <si>
    <t>_____3) partecipazioni in imprese controllanti</t>
  </si>
  <si>
    <t>_____4) altre partecipazioni;</t>
  </si>
  <si>
    <t>_____5) strumenti finanziari derivati attivi</t>
  </si>
  <si>
    <t>_____6) altri titoli</t>
  </si>
  <si>
    <t>_IV_-_Disponibilità liquide</t>
  </si>
  <si>
    <t>_____1) depositi bancari e postali</t>
  </si>
  <si>
    <t>_____2) assegni</t>
  </si>
  <si>
    <t>_____3) denaro e valori in cassa</t>
  </si>
  <si>
    <t>_____Totale attivo circolante</t>
  </si>
  <si>
    <t>_____5) avviamento</t>
  </si>
  <si>
    <t>_____6) immobilizzazioni in corso e acconti</t>
  </si>
  <si>
    <t>_____7) altre</t>
  </si>
  <si>
    <t>A)_Patrimonio netto</t>
  </si>
  <si>
    <t>IV _- Riserva legale</t>
  </si>
  <si>
    <t>II _-_Riserva da soprapprezzo delle azioni</t>
  </si>
  <si>
    <t>III_ - Riserva di rivalutazione</t>
  </si>
  <si>
    <t>V__- Riserve statutarie</t>
  </si>
  <si>
    <t>X__- Riserva negativa per azioni proprie in portafoglio</t>
  </si>
  <si>
    <t>B) Fondi per rischi e oneri</t>
  </si>
  <si>
    <t>D) Debiti</t>
  </si>
  <si>
    <t>___1) per trattamento di quiescenza e obblighi simili</t>
  </si>
  <si>
    <t>___2) per imposte, anche differite</t>
  </si>
  <si>
    <t>___3) strumenti finanziari derivati passivi</t>
  </si>
  <si>
    <t>___4) altri</t>
  </si>
  <si>
    <t>___Totale</t>
  </si>
  <si>
    <t>___1) obbligazioni</t>
  </si>
  <si>
    <t>___2) obbligazioni convertibili</t>
  </si>
  <si>
    <t>__14) altri debiti</t>
  </si>
  <si>
    <t>__12) debiti tributari</t>
  </si>
  <si>
    <t>__11) debiti verso controllanti</t>
  </si>
  <si>
    <t>__10) debiti verso imprese collegate</t>
  </si>
  <si>
    <t>___9) debiti verso imprese controllate</t>
  </si>
  <si>
    <t>___8) debiti rappresentati da titoli di credito</t>
  </si>
  <si>
    <t>___7) debiti verso fornitori</t>
  </si>
  <si>
    <t>___6) acconti</t>
  </si>
  <si>
    <t>___5) debiti verso altri finanziatori</t>
  </si>
  <si>
    <t>___4) debiti verso banche</t>
  </si>
  <si>
    <t>___3) debiti verso soci per finanziamenti</t>
  </si>
  <si>
    <t>_______di cui esigibili entro l'esercizio</t>
  </si>
  <si>
    <t>_______di cui esigibili oltre l'esercizio</t>
  </si>
  <si>
    <t>_____3 bis) partecipaz. in imprese sottoposte al controllo delle controllanti</t>
  </si>
  <si>
    <t>A) Valore della produzione</t>
  </si>
  <si>
    <t>__4) incrementi di immobilizzazioni per lavori interni</t>
  </si>
  <si>
    <t>B) Costi della produzione</t>
  </si>
  <si>
    <t>__8) per godimento di beni di terzi</t>
  </si>
  <si>
    <t>__9) per il personale:</t>
  </si>
  <si>
    <t>____a) salari e stipendi</t>
  </si>
  <si>
    <t>____b) oneri sociali</t>
  </si>
  <si>
    <t>____e) altri costi</t>
  </si>
  <si>
    <t>____d) trattamento di quiescenza e simili</t>
  </si>
  <si>
    <t>_10) ammortamenti e svalutazioni:</t>
  </si>
  <si>
    <t>____c) altre svalutazioni delle immobilizzazioni</t>
  </si>
  <si>
    <t>____d) svalutazioni dei crediti compresi nell'attivo circolante e delle disponibilità liquide</t>
  </si>
  <si>
    <t>_12) accantonamenti per rischi</t>
  </si>
  <si>
    <t>_13) altri accantonamenti</t>
  </si>
  <si>
    <t>_14) oneri diversi di gestione</t>
  </si>
  <si>
    <t>_15) proventi da partecipazione</t>
  </si>
  <si>
    <t>_16) altri proventi finanziari:</t>
  </si>
  <si>
    <t>____a) da crediti iscritti nelle immobilizzazioni</t>
  </si>
  <si>
    <t>____c) da titoli iscritti nell'attivo circolante che non costituiscono partecipazioni</t>
  </si>
  <si>
    <t>____d) proventi diversi dai precedenti</t>
  </si>
  <si>
    <t>_17) interessi e altri oneri finanziari</t>
  </si>
  <si>
    <t>_17 bis) utili e perdite su cambi</t>
  </si>
  <si>
    <t>_18) rivalutazioni:</t>
  </si>
  <si>
    <t>____b) di immobilizzazioni finanziarie che non costituiscono partecipazioni</t>
  </si>
  <si>
    <t>____c) di titoli iscritti nell'attivo circolante che non costituiscono partecipazioni</t>
  </si>
  <si>
    <t>____d) di strumenti finanziari derivati</t>
  </si>
  <si>
    <t>_19) svalutazioni</t>
  </si>
  <si>
    <t>Risultato prima delle imposte (A - B +/- C +/- D)</t>
  </si>
  <si>
    <t>pac11</t>
  </si>
  <si>
    <t>pab34</t>
  </si>
  <si>
    <t>pab33</t>
  </si>
  <si>
    <t>pab32db</t>
  </si>
  <si>
    <t>pab32d</t>
  </si>
  <si>
    <t>pab32c</t>
  </si>
  <si>
    <t>pab32a</t>
  </si>
  <si>
    <t>pab31db</t>
  </si>
  <si>
    <t>pab31d</t>
  </si>
  <si>
    <t>pab31c</t>
  </si>
  <si>
    <t>pab31b</t>
  </si>
  <si>
    <t>pab31a</t>
  </si>
  <si>
    <t>pab25</t>
  </si>
  <si>
    <t>pab24</t>
  </si>
  <si>
    <t>pab23</t>
  </si>
  <si>
    <t>pab22</t>
  </si>
  <si>
    <t>pab21</t>
  </si>
  <si>
    <t>pab11</t>
  </si>
  <si>
    <t>pab12</t>
  </si>
  <si>
    <t>pab13</t>
  </si>
  <si>
    <t>pab14</t>
  </si>
  <si>
    <t>pab15</t>
  </si>
  <si>
    <t>pab16</t>
  </si>
  <si>
    <t>pab17</t>
  </si>
  <si>
    <t>paa</t>
  </si>
  <si>
    <t>pac12</t>
  </si>
  <si>
    <t>pac13</t>
  </si>
  <si>
    <t>pac14</t>
  </si>
  <si>
    <t>pac15</t>
  </si>
  <si>
    <t>pac21</t>
  </si>
  <si>
    <t>pac22</t>
  </si>
  <si>
    <t>pac23</t>
  </si>
  <si>
    <t>pac24</t>
  </si>
  <si>
    <t>pac25</t>
  </si>
  <si>
    <t>pac31</t>
  </si>
  <si>
    <t>pac25b</t>
  </si>
  <si>
    <t>pac25t</t>
  </si>
  <si>
    <t>pac25q</t>
  </si>
  <si>
    <t>pac32</t>
  </si>
  <si>
    <t>pac33</t>
  </si>
  <si>
    <t>pac34</t>
  </si>
  <si>
    <t>pac35</t>
  </si>
  <si>
    <t>pac36</t>
  </si>
  <si>
    <t>pac41</t>
  </si>
  <si>
    <t>pac42</t>
  </si>
  <si>
    <t>pac43</t>
  </si>
  <si>
    <t>pad</t>
  </si>
  <si>
    <t>pab32b</t>
  </si>
  <si>
    <t>ppa1</t>
  </si>
  <si>
    <t>ppa2</t>
  </si>
  <si>
    <t>ppa3</t>
  </si>
  <si>
    <t>ppa4</t>
  </si>
  <si>
    <t>ppa5</t>
  </si>
  <si>
    <t>ppa8</t>
  </si>
  <si>
    <t>ppa9</t>
  </si>
  <si>
    <t>ppa10</t>
  </si>
  <si>
    <t>ppb2</t>
  </si>
  <si>
    <t>ppb4</t>
  </si>
  <si>
    <t>ppc</t>
  </si>
  <si>
    <t>ppd1</t>
  </si>
  <si>
    <t>ppd2</t>
  </si>
  <si>
    <t>ppd</t>
  </si>
  <si>
    <t>ppd14</t>
  </si>
  <si>
    <t>ppd13</t>
  </si>
  <si>
    <t>ppd12</t>
  </si>
  <si>
    <t>ppd9</t>
  </si>
  <si>
    <t>ppd10</t>
  </si>
  <si>
    <t>ppd11</t>
  </si>
  <si>
    <t>ppd6</t>
  </si>
  <si>
    <t>ppd8</t>
  </si>
  <si>
    <t>ppd7</t>
  </si>
  <si>
    <t>_____1) materie prime, sussidiarie e di consumo</t>
  </si>
  <si>
    <t>_____2) prodotti in corso di lavorazione e semilavorati</t>
  </si>
  <si>
    <t>_____3) lavori in corso su ordinazione</t>
  </si>
  <si>
    <t>ppb</t>
  </si>
  <si>
    <t>ppb1</t>
  </si>
  <si>
    <t>ppb3</t>
  </si>
  <si>
    <t>ppd3</t>
  </si>
  <si>
    <t>ppd4</t>
  </si>
  <si>
    <t>ppd5</t>
  </si>
  <si>
    <t>ppd11b</t>
  </si>
  <si>
    <t>pab1</t>
  </si>
  <si>
    <t>paar</t>
  </si>
  <si>
    <t>pab32af</t>
  </si>
  <si>
    <t>pab32cf</t>
  </si>
  <si>
    <t>pab32df</t>
  </si>
  <si>
    <t>pab32dbf</t>
  </si>
  <si>
    <t>pac21f</t>
  </si>
  <si>
    <t>pac22f</t>
  </si>
  <si>
    <t>pac23f</t>
  </si>
  <si>
    <t>pac24f</t>
  </si>
  <si>
    <t>pac25f</t>
  </si>
  <si>
    <t>pac25bf</t>
  </si>
  <si>
    <t>pac25tf</t>
  </si>
  <si>
    <t>pac25qf</t>
  </si>
  <si>
    <t>VALORE DELLA PRODUZIONE</t>
  </si>
  <si>
    <t>_____1) terreni e fabbricati</t>
  </si>
  <si>
    <t>_____3) attrezzature industriali e commerciali</t>
  </si>
  <si>
    <t>_____4) altri beni</t>
  </si>
  <si>
    <t>_____Totale immobilizzazioni</t>
  </si>
  <si>
    <t>ea1</t>
  </si>
  <si>
    <t>20.22</t>
  </si>
  <si>
    <t>PRODOTTI IN LAVORAZIONE C/RIMANENZE FINALI</t>
  </si>
  <si>
    <t>SEMILAVORATI C/RIMANENZE FINALI</t>
  </si>
  <si>
    <t>ARROTONDAMENTI ATTIVI</t>
  </si>
  <si>
    <t>ea2</t>
  </si>
  <si>
    <t>ea4</t>
  </si>
  <si>
    <t>ea5</t>
  </si>
  <si>
    <t>eb6</t>
  </si>
  <si>
    <t>eb7</t>
  </si>
  <si>
    <t>eb8</t>
  </si>
  <si>
    <t>eb9a</t>
  </si>
  <si>
    <t>eb9b</t>
  </si>
  <si>
    <t>eb9c</t>
  </si>
  <si>
    <t>eb9e</t>
  </si>
  <si>
    <t>eb10a</t>
  </si>
  <si>
    <t>eb10b</t>
  </si>
  <si>
    <t>eb10c</t>
  </si>
  <si>
    <t>eb11</t>
  </si>
  <si>
    <t>eb12</t>
  </si>
  <si>
    <t>eb13</t>
  </si>
  <si>
    <t>eb14</t>
  </si>
  <si>
    <t>ec15</t>
  </si>
  <si>
    <t>ec16a</t>
  </si>
  <si>
    <t>ec16c</t>
  </si>
  <si>
    <t>ec16d</t>
  </si>
  <si>
    <t>ec16b</t>
  </si>
  <si>
    <t>ec17</t>
  </si>
  <si>
    <t>ed18a</t>
  </si>
  <si>
    <t>ed18c</t>
  </si>
  <si>
    <t>ed19a</t>
  </si>
  <si>
    <t>pab2</t>
  </si>
  <si>
    <t>pab3</t>
  </si>
  <si>
    <t>pac1</t>
  </si>
  <si>
    <t>pac2</t>
  </si>
  <si>
    <t>pac4</t>
  </si>
  <si>
    <t>ppe</t>
  </si>
  <si>
    <t>eb9</t>
  </si>
  <si>
    <t>eb10</t>
  </si>
  <si>
    <t>ppa61</t>
  </si>
  <si>
    <t>ppa62</t>
  </si>
  <si>
    <t>ppa63</t>
  </si>
  <si>
    <t>ppa64</t>
  </si>
  <si>
    <t>ppa65</t>
  </si>
  <si>
    <t>TOTALE ATTIVO</t>
  </si>
  <si>
    <t>TOTALE PASSIVO</t>
  </si>
  <si>
    <t>__1) ricavi delle vendite e delle prestazioni</t>
  </si>
  <si>
    <t>eb9d</t>
  </si>
  <si>
    <t>eb10d</t>
  </si>
  <si>
    <t>ec17b</t>
  </si>
  <si>
    <t>ed18b</t>
  </si>
  <si>
    <t>ed18d</t>
  </si>
  <si>
    <t>ed19b</t>
  </si>
  <si>
    <t>ed19c</t>
  </si>
  <si>
    <t>ed19d</t>
  </si>
  <si>
    <t>e20</t>
  </si>
  <si>
    <t>e21</t>
  </si>
  <si>
    <t>FONDO AMMORTAMENTO SOFTWARE</t>
  </si>
  <si>
    <t>SVALUTAZIONE TERRENI E FABBRICATI</t>
  </si>
  <si>
    <t>RISERVA SOPRAPPREZZO AZIONI</t>
  </si>
  <si>
    <t>ATTIVA</t>
  </si>
  <si>
    <t>TOTALI</t>
  </si>
  <si>
    <t>_____2) costi di sviluppo</t>
  </si>
  <si>
    <t>pab</t>
  </si>
  <si>
    <t>_______di cui richiamati</t>
  </si>
  <si>
    <t>__Differenza tra valore e costi della produzione (A-B)</t>
  </si>
  <si>
    <t>__7) per servizi</t>
  </si>
  <si>
    <t>_I___-_Immobilizzazioni immateriali</t>
  </si>
  <si>
    <t xml:space="preserve">_____1) costi di impianto e di ampliamento    </t>
  </si>
  <si>
    <t>_______Riserva conversione obbligazioni</t>
  </si>
  <si>
    <t>_______Riserva rivalutazione partecipazioni</t>
  </si>
  <si>
    <t>_______Fondo rimborso spese</t>
  </si>
  <si>
    <t>pac</t>
  </si>
  <si>
    <t>pac3</t>
  </si>
  <si>
    <t>PASSIVO</t>
  </si>
  <si>
    <t>C) Proventi e oneri finanziari</t>
  </si>
  <si>
    <t>_II__-_Immobilizzazioni materiali</t>
  </si>
  <si>
    <t>E) Ratei e risconti</t>
  </si>
  <si>
    <t>D) Ratei e risconti</t>
  </si>
  <si>
    <t>VI_ - Altre riserve:</t>
  </si>
  <si>
    <t>_I_- Capitale</t>
  </si>
  <si>
    <t>RIGHE TRA I PROSPETTI</t>
  </si>
  <si>
    <t>__Totale A</t>
  </si>
  <si>
    <t>__Totale B</t>
  </si>
  <si>
    <t>__Totale C</t>
  </si>
  <si>
    <t>__Totale D</t>
  </si>
  <si>
    <t>__5) altri ricavi e proventi</t>
  </si>
  <si>
    <t>pab32bf</t>
  </si>
  <si>
    <t>ppd1f</t>
  </si>
  <si>
    <t>ppd2f</t>
  </si>
  <si>
    <t>ppd3f</t>
  </si>
  <si>
    <t>ppd4f</t>
  </si>
  <si>
    <t>ppd5f</t>
  </si>
  <si>
    <t>ppd6f</t>
  </si>
  <si>
    <t>ppd7f</t>
  </si>
  <si>
    <t>ppd8f</t>
  </si>
  <si>
    <t>ppd9f</t>
  </si>
  <si>
    <t>ppd10f</t>
  </si>
  <si>
    <t>ppd11f</t>
  </si>
  <si>
    <t>ppd11bf</t>
  </si>
  <si>
    <t>ppd12f</t>
  </si>
  <si>
    <t>ppd13f</t>
  </si>
  <si>
    <t>ppd14f</t>
  </si>
  <si>
    <t>_______a) imprese controllate</t>
  </si>
  <si>
    <t>_______b) imprese collegate</t>
  </si>
  <si>
    <t>_______a) verso imprese controllate</t>
  </si>
  <si>
    <t>_______b)verso imprese collegate</t>
  </si>
  <si>
    <t>pac2f</t>
  </si>
  <si>
    <t>ppdf</t>
  </si>
  <si>
    <t>pac33b</t>
  </si>
  <si>
    <t>_____ arrotondamento passivo</t>
  </si>
  <si>
    <t>SP</t>
  </si>
  <si>
    <t>n</t>
  </si>
  <si>
    <t>imposte</t>
  </si>
  <si>
    <t>registrazioni</t>
  </si>
  <si>
    <t>n+2</t>
  </si>
  <si>
    <t>n+3</t>
  </si>
  <si>
    <t>n+4</t>
  </si>
  <si>
    <t>n+5</t>
  </si>
  <si>
    <t>n+1</t>
  </si>
  <si>
    <t>IN FORMA ORDINARIA</t>
  </si>
  <si>
    <t>IN FORMA ABBREVIATA</t>
  </si>
  <si>
    <t>FONDO AMMORTAMENTO MACCHINE D'UFFICIO</t>
  </si>
  <si>
    <t>PER SISTEMAZIONE UTILE MANCANTE</t>
  </si>
  <si>
    <t>utile perdita due volte</t>
  </si>
  <si>
    <t>PERDITA</t>
  </si>
  <si>
    <t>UTILE</t>
  </si>
  <si>
    <t>re manuale rilevato</t>
  </si>
  <si>
    <t>perdita</t>
  </si>
  <si>
    <t>valore ril.</t>
  </si>
  <si>
    <t>utile tot</t>
  </si>
  <si>
    <t>utile ril</t>
  </si>
  <si>
    <t>_____ arrotondamento attivo</t>
  </si>
  <si>
    <t>_______Riserva per arrotondamenti</t>
  </si>
  <si>
    <t>CONTRIBUTI IN C/IMPIANTI</t>
  </si>
  <si>
    <t>FONDO AMMORTAMENTO ATTREZZATURE COMMERCIALI</t>
  </si>
  <si>
    <t>FONDO AMMORTAMENTO ATTREZZATURE INDUSTRIALI</t>
  </si>
  <si>
    <t>FORNITORI IMMOBILIZZAZIONI MATERIALI C/ACCONTI</t>
  </si>
  <si>
    <t>FONDO AMMORTAMENTO COSTI DI AMPLIAMENTO</t>
  </si>
  <si>
    <t>FONDO AMMORTAMENTO COSTI DI SVILUPPO</t>
  </si>
  <si>
    <t>ACCANTONAMENTO PER MANUTENZIONI PROGRAMMATE</t>
  </si>
  <si>
    <t>__3) variazioni di lavori in corso su ordinazione"</t>
  </si>
  <si>
    <t>__6) per materie prime, sussidiarie, di consumo e di merci</t>
  </si>
  <si>
    <t>D) Rettifiche di valore di attività e passività finanziarie</t>
  </si>
  <si>
    <t>C) Trattamento di fine rapporto di lavoro subordinato</t>
  </si>
  <si>
    <t>_20) imposte sul reddito dell'esercizio, correnti, differite e anticipate</t>
  </si>
  <si>
    <t>__11 bis) debiti verso imprese sottoposte al controllo delle controllanti</t>
  </si>
  <si>
    <t>_____2) impianti e macchinario</t>
  </si>
  <si>
    <t>____b) ammortamento delle immobilizzazioni materiali</t>
  </si>
  <si>
    <t>DISAGGIO SU PRESTITI</t>
  </si>
  <si>
    <t>RISERVA CONVERSIONE OBBLIGAZIONI</t>
  </si>
  <si>
    <t>FONDO AMMORTAMENTO COSTI DI IMPIANTO</t>
  </si>
  <si>
    <t>01.30</t>
  </si>
  <si>
    <t>01.31</t>
  </si>
  <si>
    <t>FORNITORI IMMOBILIZZAZIONI IMMATERIALI C/ACCONTI</t>
  </si>
  <si>
    <t>FABBRICATI</t>
  </si>
  <si>
    <t>IMPIANTI E MACCHINARI</t>
  </si>
  <si>
    <t>MATERIE DI CONSUMO</t>
  </si>
  <si>
    <t>FORNITORI C/ACCONTI</t>
  </si>
  <si>
    <t>CREDITI V/CLIENTI</t>
  </si>
  <si>
    <t>05.15</t>
  </si>
  <si>
    <t>IVA C/ACCONTO</t>
  </si>
  <si>
    <t>IMPOSTE C/ACCONTO</t>
  </si>
  <si>
    <t>CREDITI V/ISTITUTI PREVIDENZIALI</t>
  </si>
  <si>
    <t>PERSONALE C/ACCONTI</t>
  </si>
  <si>
    <t>08.10</t>
  </si>
  <si>
    <t>08.20</t>
  </si>
  <si>
    <t>08.21</t>
  </si>
  <si>
    <t>FONDO MANUTENZIONI PROGRAMMATE</t>
  </si>
  <si>
    <t>DEBITI V/FORNITORI</t>
  </si>
  <si>
    <t>CLIENTI C/ACCONTI</t>
  </si>
  <si>
    <t>14.15</t>
  </si>
  <si>
    <t>14.20</t>
  </si>
  <si>
    <t>DEBITI V/FONDI PENSIONE</t>
  </si>
  <si>
    <t>15.41</t>
  </si>
  <si>
    <t>15.42</t>
  </si>
  <si>
    <t>15.43</t>
  </si>
  <si>
    <t>CONTI TRANSITORI E DIVERSI</t>
  </si>
  <si>
    <t>18.10</t>
  </si>
  <si>
    <t>18.11</t>
  </si>
  <si>
    <t>18.20</t>
  </si>
  <si>
    <t>18.21</t>
  </si>
  <si>
    <t>20.26</t>
  </si>
  <si>
    <t>30.10</t>
  </si>
  <si>
    <t>MATERIE DI CONSUMO C/ACQUISTI</t>
  </si>
  <si>
    <t>PREMI SU ACQUISTI</t>
  </si>
  <si>
    <t>30.11</t>
  </si>
  <si>
    <t>30.12</t>
  </si>
  <si>
    <t>31.09</t>
  </si>
  <si>
    <t>31.14</t>
  </si>
  <si>
    <t>31.15</t>
  </si>
  <si>
    <t>31.99</t>
  </si>
  <si>
    <t>PUBBLICITÀ</t>
  </si>
  <si>
    <t>ASSICURAZIONI</t>
  </si>
  <si>
    <t>MANUTENZIONI E RIPARAZIONI</t>
  </si>
  <si>
    <t>33.03</t>
  </si>
  <si>
    <t>33.04</t>
  </si>
  <si>
    <t>34.03</t>
  </si>
  <si>
    <t>34.04</t>
  </si>
  <si>
    <t>34.05</t>
  </si>
  <si>
    <t>35.04</t>
  </si>
  <si>
    <t>35.05</t>
  </si>
  <si>
    <t>35.06</t>
  </si>
  <si>
    <t>35.07</t>
  </si>
  <si>
    <t>35.08</t>
  </si>
  <si>
    <t>37.01</t>
  </si>
  <si>
    <t>37.02</t>
  </si>
  <si>
    <t>37.03</t>
  </si>
  <si>
    <t>40.00</t>
  </si>
  <si>
    <t>40.01</t>
  </si>
  <si>
    <t>40.02</t>
  </si>
  <si>
    <t>40.20</t>
  </si>
  <si>
    <t>41.00</t>
  </si>
  <si>
    <t>41.01</t>
  </si>
  <si>
    <t>41.02</t>
  </si>
  <si>
    <t>41.03</t>
  </si>
  <si>
    <t>41.20</t>
  </si>
  <si>
    <t>90.00</t>
  </si>
  <si>
    <t>90.01</t>
  </si>
  <si>
    <t>COSTI DI IMPIANTO</t>
  </si>
  <si>
    <t>MACCHINE D'UFFICIO</t>
  </si>
  <si>
    <t>FONDO SVALUTAZIONE IMPIANTI E MACCHINARI</t>
  </si>
  <si>
    <t>IVA NS/CREDITO</t>
  </si>
  <si>
    <t>06.09</t>
  </si>
  <si>
    <t>06.15</t>
  </si>
  <si>
    <t>06.16</t>
  </si>
  <si>
    <t>06.17</t>
  </si>
  <si>
    <t>10.40</t>
  </si>
  <si>
    <t>DEBITI PER AZIONI ESTRATTE</t>
  </si>
  <si>
    <t>15.71</t>
  </si>
  <si>
    <t>SINDACI C/COMPETENZE</t>
  </si>
  <si>
    <t>SRL</t>
  </si>
  <si>
    <t>PRODOTTI C/VENDITE</t>
  </si>
  <si>
    <t>20.32</t>
  </si>
  <si>
    <t>21.10</t>
  </si>
  <si>
    <t>ONERI DI FACTORING</t>
  </si>
  <si>
    <t>COMPETENZE SINDACI</t>
  </si>
  <si>
    <t>SALARI E STIPENDI</t>
  </si>
  <si>
    <t>AMMORTAMENTO COSTI DI IMPIANTO</t>
  </si>
  <si>
    <t>34.06</t>
  </si>
  <si>
    <t>35.03</t>
  </si>
  <si>
    <t>37.10</t>
  </si>
  <si>
    <t>37.11</t>
  </si>
  <si>
    <t>37.12</t>
  </si>
  <si>
    <t>ACCANTONAMENTI</t>
  </si>
  <si>
    <t>40.31</t>
  </si>
  <si>
    <t>40.32</t>
  </si>
  <si>
    <t>40.40</t>
  </si>
  <si>
    <t>41.10</t>
  </si>
  <si>
    <t>41.11</t>
  </si>
  <si>
    <t>41.30</t>
  </si>
  <si>
    <t>41.40</t>
  </si>
  <si>
    <t>41.50</t>
  </si>
  <si>
    <t>50.00</t>
  </si>
  <si>
    <t>50.01</t>
  </si>
  <si>
    <t>51.00</t>
  </si>
  <si>
    <t>60.02</t>
  </si>
  <si>
    <t>90.02</t>
  </si>
  <si>
    <t>_______Riserva conguaglio utili</t>
  </si>
  <si>
    <t>ACCANTONAMENTO PER RESPONSABILITÀ CIVILE</t>
  </si>
  <si>
    <t>ACCANTONAMENTO PER GARANZIA PRODOTTI</t>
  </si>
  <si>
    <t>11.10</t>
  </si>
  <si>
    <t>30.05</t>
  </si>
  <si>
    <t>_____3) diritti di brevetto industriale e diritti di utilizzazione delle opere dell'ingegno</t>
  </si>
  <si>
    <t>____c) trattamento di fine rapporto</t>
  </si>
  <si>
    <t>____a) di partecipazioni</t>
  </si>
  <si>
    <t>COSTI PER GODIMENTO BENI DI TERZI</t>
  </si>
  <si>
    <t>_11) variazioni delle rimanenze di materie prime, sussidiarie, di consumo e merci</t>
  </si>
  <si>
    <t>__13) debiti verso istituti di previdenza e di sicurezza sociale</t>
  </si>
  <si>
    <t>A)_Crediti verso soci</t>
  </si>
  <si>
    <t>FORMA SOCIETARIA</t>
  </si>
  <si>
    <t>MODALITÀ DI CALCOLO DEL RISULTATO ECONOMICO</t>
  </si>
  <si>
    <t>RINOMINA I CONTI CON DENOMINAZIONE GENERICA</t>
  </si>
  <si>
    <t>TOT. DARE</t>
  </si>
  <si>
    <t>TOT.AVERE</t>
  </si>
  <si>
    <t>SCEGLI LA VERSIONE</t>
  </si>
  <si>
    <t>gg</t>
  </si>
  <si>
    <t>mm</t>
  </si>
  <si>
    <t>aa</t>
  </si>
  <si>
    <t>Periodo di riferimento dei prospetti</t>
  </si>
  <si>
    <t>Nascondi riga dalla n.</t>
  </si>
  <si>
    <t>OPZIONI DI VISUALIZZAZIONE</t>
  </si>
  <si>
    <t>I valori devono riferirsi all'anno corrente</t>
  </si>
  <si>
    <t>TOT. AVERE</t>
  </si>
  <si>
    <t>DELIMITAZIONE ARTICOLO ATTIVATA</t>
  </si>
  <si>
    <r>
      <t xml:space="preserve">Riquadro di controllo: </t>
    </r>
    <r>
      <rPr>
        <b/>
        <sz val="11"/>
        <color rgb="FFFFFF00"/>
        <rFont val="Arial Narrow"/>
        <family val="2"/>
      </rPr>
      <t>DENOMINAZIONE</t>
    </r>
  </si>
  <si>
    <r>
      <t>Riquadro di controllo:</t>
    </r>
    <r>
      <rPr>
        <b/>
        <sz val="11"/>
        <color rgb="FFFFFF00"/>
        <rFont val="Arial Narrow"/>
        <family val="2"/>
      </rPr>
      <t xml:space="preserve"> ECCEDENZA</t>
    </r>
  </si>
  <si>
    <t>STUDENTE</t>
  </si>
  <si>
    <t>PIANO DEI CONTI SELEZIONATO</t>
  </si>
  <si>
    <t>NOME DEI SOCI</t>
  </si>
  <si>
    <t>ATTIVITÀ</t>
  </si>
  <si>
    <t>VISUALIZZA TUTTI I CONTI</t>
  </si>
  <si>
    <t>OPZIONI DI VISUALIZZAZIONE:</t>
  </si>
  <si>
    <t>VISUALIZZA I TOTALI:</t>
  </si>
  <si>
    <t>È possibile riportare la Situazione contabile pregressa o singoli valori, per totali o per eccedenze.</t>
  </si>
  <si>
    <t>La suddivisione dei conti è quella impostata nel Foglio Libro Giornale</t>
  </si>
  <si>
    <t>La descrizione Valore iniziale può essere modificata sovrascrivendone il testo</t>
  </si>
  <si>
    <t>B</t>
  </si>
  <si>
    <t>C</t>
  </si>
  <si>
    <t>OPZIONI DI STAMPA</t>
  </si>
  <si>
    <t>MOSTRA UN CONTO IN EVIDENZA</t>
  </si>
  <si>
    <t>ordine mastri</t>
  </si>
  <si>
    <t>SEMPLIFICAZIONI PER LO STATO PATRIMONIALE IN FORMA ABBREVIATA</t>
  </si>
  <si>
    <t>ordine cronologico</t>
  </si>
  <si>
    <t>N</t>
  </si>
  <si>
    <t>.</t>
  </si>
  <si>
    <t>VISUALIZZA IL SALDO ECONOMICO</t>
  </si>
  <si>
    <t>NON ATTIVATE</t>
  </si>
  <si>
    <t>VISUALIZZA I MOVIMENTI E IL SALDO</t>
  </si>
  <si>
    <r>
      <rPr>
        <sz val="11"/>
        <color theme="0"/>
        <rFont val="Arial Narrow"/>
        <family val="2"/>
      </rPr>
      <t>Destinazione degli interessi attivi</t>
    </r>
    <r>
      <rPr>
        <sz val="10"/>
        <color theme="0"/>
        <rFont val="Arial Narrow"/>
        <family val="2"/>
      </rPr>
      <t xml:space="preserve"> verso controllate, collegate, controllanti:</t>
    </r>
  </si>
  <si>
    <t>C 16 b)</t>
  </si>
  <si>
    <t>CONCESSIONI E LICENZE</t>
  </si>
  <si>
    <t>FONDO AMMORTAMENTO CONCESSIONI E LICENZE</t>
  </si>
  <si>
    <t>01.25</t>
  </si>
  <si>
    <t>FONDO SVALUTAZIONE BREVETTI INDUSTRIALI</t>
  </si>
  <si>
    <t>LAVORI IN CORSO SU ORDINAZIONE</t>
  </si>
  <si>
    <t>CONSORZIO BANCARIO C/SOTTOSCRIZIONE</t>
  </si>
  <si>
    <t>RISERVA RIVALUTAZIONE PARTECIPAZIONI</t>
  </si>
  <si>
    <t>FONDO IMPOSTE DIFFERITE</t>
  </si>
  <si>
    <t>11.11</t>
  </si>
  <si>
    <t>FONDO OPERAZIONI E CONCORSI A PREMIO</t>
  </si>
  <si>
    <t>13.05</t>
  </si>
  <si>
    <t>15.72</t>
  </si>
  <si>
    <t>15.90</t>
  </si>
  <si>
    <t>CONTI CON ALTERNANZA DI SALDO</t>
  </si>
  <si>
    <t>18.22</t>
  </si>
  <si>
    <t>COSTI DELLE MATERIE</t>
  </si>
  <si>
    <t>VARIAZIONI DELLE RIMANZENZE DI MATERIE</t>
  </si>
  <si>
    <t>38.11</t>
  </si>
  <si>
    <t>40.61</t>
  </si>
  <si>
    <t>AGGIO SU PRESTITI</t>
  </si>
  <si>
    <t>CONTRIBUTI IN C/INTERESSI</t>
  </si>
  <si>
    <t>13.33</t>
  </si>
  <si>
    <t>31.18</t>
  </si>
  <si>
    <t>ABBONAMENTI</t>
  </si>
  <si>
    <t>ppa66</t>
  </si>
  <si>
    <t>CALCOLO AUTOMATICO</t>
  </si>
  <si>
    <t>VISUALIZZA PRIMA I CONTI DELL'ULTIMO ARTICOLO</t>
  </si>
  <si>
    <t>CONTI SUDDIVISI PER RAGGRUPPAMENTO</t>
  </si>
  <si>
    <t>COSTI DI TENUTA C/C</t>
  </si>
  <si>
    <t>31.16</t>
  </si>
  <si>
    <t>DEBITI FISCALI DIVERSI</t>
  </si>
  <si>
    <t>15.04</t>
  </si>
  <si>
    <t>DELLE CLASSI</t>
  </si>
  <si>
    <t>Desktop: Office</t>
  </si>
  <si>
    <t>CREDITI VERSO SOCI</t>
  </si>
  <si>
    <t>BREVETTI</t>
  </si>
  <si>
    <t>FONDO AMMORTAMENTO BREVETTI</t>
  </si>
  <si>
    <t>05.08</t>
  </si>
  <si>
    <t>05.20</t>
  </si>
  <si>
    <t>CREDITI V/SOCI PER RITENUTE</t>
  </si>
  <si>
    <t>06.21</t>
  </si>
  <si>
    <t>SOVVENZIONI BANCARIE</t>
  </si>
  <si>
    <t>14.02</t>
  </si>
  <si>
    <t>DEBITI COMMERCIALI DIVERSI</t>
  </si>
  <si>
    <t>14.06</t>
  </si>
  <si>
    <t>14.09</t>
  </si>
  <si>
    <t>15.07</t>
  </si>
  <si>
    <t>15.22</t>
  </si>
  <si>
    <t>20.03</t>
  </si>
  <si>
    <t>SERVIZI ON LINE</t>
  </si>
  <si>
    <t>20.13</t>
  </si>
  <si>
    <t>20.15</t>
  </si>
  <si>
    <t>20.18</t>
  </si>
  <si>
    <t>20.19</t>
  </si>
  <si>
    <t>20.27</t>
  </si>
  <si>
    <t>COSTI PER MERCI E MATERIE DI CONSUMO</t>
  </si>
  <si>
    <t>AMMORTAMENTO BREVETTI</t>
  </si>
  <si>
    <t>36.20</t>
  </si>
  <si>
    <t>38.01</t>
  </si>
  <si>
    <t>39.02</t>
  </si>
  <si>
    <t>39.11</t>
  </si>
  <si>
    <t>39.12</t>
  </si>
  <si>
    <t>INTERESSI ATTIVI  DA CLIENTI</t>
  </si>
  <si>
    <t>INTERESSI ATTIVI  DA SOCI</t>
  </si>
  <si>
    <t>40.03</t>
  </si>
  <si>
    <t>40.04</t>
  </si>
  <si>
    <t>INTERESSI PASSIVI A FORNITORI</t>
  </si>
  <si>
    <t>41.04</t>
  </si>
  <si>
    <t>COSTI DI INCASSO</t>
  </si>
  <si>
    <t>VARIAZIONI RIMANENZE DI MERCI E MATERIE DI CONSUMO</t>
  </si>
  <si>
    <t>PARTECIPAZIONI IN CONTROLLANTE</t>
  </si>
  <si>
    <t>PRESTITI A CONTROLLANTE</t>
  </si>
  <si>
    <t>03.13</t>
  </si>
  <si>
    <t>03.30</t>
  </si>
  <si>
    <t>04.30</t>
  </si>
  <si>
    <t>06.11</t>
  </si>
  <si>
    <t>06.31</t>
  </si>
  <si>
    <t>06.40</t>
  </si>
  <si>
    <t>07.02</t>
  </si>
  <si>
    <t>08.03</t>
  </si>
  <si>
    <t>10.41</t>
  </si>
  <si>
    <t>10.42</t>
  </si>
  <si>
    <t>FONDO GARANZIA PRODOTTI</t>
  </si>
  <si>
    <t>PRESTITI DA CONTROLLANTE</t>
  </si>
  <si>
    <t>13.03</t>
  </si>
  <si>
    <t>18.30</t>
  </si>
  <si>
    <t>PRODOTTI C/VENDITE ON LINE</t>
  </si>
  <si>
    <t>LAVORAZIONI C/TERZI</t>
  </si>
  <si>
    <t>20.33</t>
  </si>
  <si>
    <t>20.34</t>
  </si>
  <si>
    <t>20.38</t>
  </si>
  <si>
    <t>20.39</t>
  </si>
  <si>
    <t>20.42</t>
  </si>
  <si>
    <t>20.46</t>
  </si>
  <si>
    <t>20.47</t>
  </si>
  <si>
    <t>21.04</t>
  </si>
  <si>
    <t>21.05</t>
  </si>
  <si>
    <t>21.06</t>
  </si>
  <si>
    <t>PRODOTTI FINITI C/ESISTENZE INIZIALI</t>
  </si>
  <si>
    <t>PRODOTTI FINITI C/RIMANENZE FINALI</t>
  </si>
  <si>
    <t>21.11</t>
  </si>
  <si>
    <t>21.12</t>
  </si>
  <si>
    <t>MATERIE C/APPORTI</t>
  </si>
  <si>
    <t>30.04</t>
  </si>
  <si>
    <t>31.17</t>
  </si>
  <si>
    <t>31.70</t>
  </si>
  <si>
    <t>31.71</t>
  </si>
  <si>
    <t>39.03</t>
  </si>
  <si>
    <t>40.05</t>
  </si>
  <si>
    <t>INTERESSI ATTIVI DA CONTROLLATE</t>
  </si>
  <si>
    <t>INTERESSI ATTIVI DA COLLEGATE</t>
  </si>
  <si>
    <t>INTERESSI ATTIVI DA CONTROLLANTE</t>
  </si>
  <si>
    <t>INTERESSI ATTIVI DA CLIENTI</t>
  </si>
  <si>
    <t>INTERESSI ATTIVI DA SOCI</t>
  </si>
  <si>
    <t>40.21</t>
  </si>
  <si>
    <t>40.33</t>
  </si>
  <si>
    <t>40.34</t>
  </si>
  <si>
    <t>INTERESSI PASSIVI A CONTROLLATE</t>
  </si>
  <si>
    <t>INTERESSI PASSIVI A COLLEGATE</t>
  </si>
  <si>
    <t>INTERESSI PASSIVI A CONTROLLANTE</t>
  </si>
  <si>
    <t>PERDITA SU TITOLI</t>
  </si>
  <si>
    <t>41.09</t>
  </si>
  <si>
    <t>41.31</t>
  </si>
  <si>
    <t>41.32</t>
  </si>
  <si>
    <t>41.60</t>
  </si>
  <si>
    <t>51.10</t>
  </si>
  <si>
    <t>51.11</t>
  </si>
  <si>
    <t>CREDITI V/CONTROLLANTE</t>
  </si>
  <si>
    <t>RISERVA CONGUAGLIO UTILI</t>
  </si>
  <si>
    <t>VARIAZ. RIM. PROD. IN CORSO DI LAVORAZ., SEMIL. E FINITI</t>
  </si>
  <si>
    <t>50.02</t>
  </si>
  <si>
    <t>19.30</t>
  </si>
  <si>
    <t>19.31</t>
  </si>
  <si>
    <t>SOCIETÀ PER AZIONI</t>
  </si>
  <si>
    <t>RIPORTA LA DESCRIZIONE VALORE INIZIALE</t>
  </si>
  <si>
    <r>
      <rPr>
        <b/>
        <sz val="14"/>
        <color rgb="FFB40000"/>
        <rFont val="Arial Narrow"/>
        <family val="2"/>
      </rPr>
      <t>PIANO DEI CONTI</t>
    </r>
    <r>
      <rPr>
        <sz val="12"/>
        <color theme="1"/>
        <rFont val="Arial Narrow"/>
        <family val="2"/>
      </rPr>
      <t xml:space="preserve"> </t>
    </r>
  </si>
  <si>
    <t>LIBRO GIORNALE</t>
  </si>
  <si>
    <r>
      <rPr>
        <b/>
        <sz val="12"/>
        <color rgb="FFC00000"/>
        <rFont val="Arial Narrow"/>
        <family val="2"/>
      </rPr>
      <t>CONTI DI MASTRO</t>
    </r>
    <r>
      <rPr>
        <b/>
        <sz val="12"/>
        <rFont val="Arial Narrow"/>
        <family val="2"/>
      </rPr>
      <t xml:space="preserve"> </t>
    </r>
  </si>
  <si>
    <t>SITUAZIONE CONTABILE</t>
  </si>
  <si>
    <r>
      <rPr>
        <b/>
        <sz val="12"/>
        <color rgb="FFC00000"/>
        <rFont val="Arial Narrow"/>
        <family val="2"/>
      </rPr>
      <t>SITUAZIONE CONTABILE PER DESTINAZIONE</t>
    </r>
    <r>
      <rPr>
        <sz val="12"/>
        <color theme="1"/>
        <rFont val="Arial Narrow"/>
        <family val="2"/>
      </rPr>
      <t xml:space="preserve"> </t>
    </r>
  </si>
  <si>
    <r>
      <rPr>
        <b/>
        <sz val="12"/>
        <color rgb="FFC00000"/>
        <rFont val="Arial Narrow"/>
        <family val="2"/>
      </rPr>
      <t>BILANCIO DI ESERCIZIO</t>
    </r>
    <r>
      <rPr>
        <sz val="12"/>
        <color theme="1"/>
        <rFont val="Arial Narrow"/>
        <family val="2"/>
      </rPr>
      <t xml:space="preserve"> </t>
    </r>
  </si>
  <si>
    <r>
      <rPr>
        <b/>
        <sz val="12"/>
        <color rgb="FFC00000"/>
        <rFont val="Arial Narrow"/>
        <family val="2"/>
      </rPr>
      <t>VALORI INIZIALI</t>
    </r>
    <r>
      <rPr>
        <b/>
        <sz val="12"/>
        <rFont val="Arial Narro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</si>
</sst>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#,##0.00_ ;\-#,##0.00\ "/>
    <numFmt numFmtId="166" formatCode="00000"/>
    <numFmt numFmtId="167" formatCode="[$-410]d\-mmm;@"/>
    <numFmt numFmtId="168" formatCode="#,##0_ ;\-#,##0\ "/>
  </numFmts>
  <fonts count="76" x14ac:knownFonts="1">
    <font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sz val="12"/>
      <color theme="0"/>
      <name val="Arial Narrow"/>
      <family val="2"/>
    </font>
    <font>
      <sz val="12"/>
      <color theme="0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rial Narrow"/>
      <family val="2"/>
    </font>
    <font>
      <sz val="11"/>
      <name val="Arial Narrow"/>
      <family val="2"/>
    </font>
    <font>
      <b/>
      <sz val="14"/>
      <color theme="9" tint="-0.249977111117893"/>
      <name val="Arial Narrow"/>
      <family val="2"/>
    </font>
    <font>
      <b/>
      <sz val="14"/>
      <color rgb="FF0070C0"/>
      <name val="Arial Narrow"/>
      <family val="2"/>
    </font>
    <font>
      <b/>
      <sz val="12"/>
      <color theme="9" tint="-0.249977111117893"/>
      <name val="Arial Narrow"/>
      <family val="2"/>
    </font>
    <font>
      <sz val="10"/>
      <color theme="1"/>
      <name val="Arial Narrow"/>
      <family val="2"/>
    </font>
    <font>
      <b/>
      <i/>
      <sz val="12"/>
      <color theme="9" tint="-0.249977111117893"/>
      <name val="Arial Narrow"/>
      <family val="2"/>
    </font>
    <font>
      <sz val="10.5"/>
      <color theme="1"/>
      <name val="Arial Narrow"/>
      <family val="2"/>
    </font>
    <font>
      <strike/>
      <sz val="12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name val="Arial Narrow"/>
      <family val="2"/>
    </font>
    <font>
      <sz val="12"/>
      <color theme="8" tint="-0.499984740745262"/>
      <name val="Arial Narrow"/>
      <family val="2"/>
    </font>
    <font>
      <sz val="11"/>
      <color rgb="FFFF0000"/>
      <name val="Arial Narrow"/>
      <family val="2"/>
    </font>
    <font>
      <sz val="10"/>
      <name val="Arial Narrow"/>
      <family val="2"/>
    </font>
    <font>
      <b/>
      <sz val="10"/>
      <color theme="2" tint="-0.89999084444715716"/>
      <name val="Arial Narrow"/>
      <family val="2"/>
    </font>
    <font>
      <sz val="12"/>
      <color theme="9" tint="-0.249977111117893"/>
      <name val="Arial Narrow"/>
      <family val="2"/>
    </font>
    <font>
      <b/>
      <sz val="10"/>
      <color theme="0"/>
      <name val="Arial Narrow"/>
      <family val="2"/>
    </font>
    <font>
      <b/>
      <sz val="10"/>
      <color theme="8" tint="0.39997558519241921"/>
      <name val="Arial Narrow"/>
      <family val="2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70C0"/>
      <name val="Arial Narrow"/>
      <family val="2"/>
    </font>
    <font>
      <b/>
      <sz val="16"/>
      <color rgb="FFB40000"/>
      <name val="Arial Narrow"/>
      <family val="2"/>
    </font>
    <font>
      <b/>
      <sz val="11"/>
      <color theme="1"/>
      <name val="Arial Narrow"/>
      <family val="2"/>
    </font>
    <font>
      <b/>
      <sz val="12"/>
      <color theme="0"/>
      <name val="Arial Narrow"/>
      <family val="2"/>
    </font>
    <font>
      <i/>
      <sz val="12"/>
      <name val="Arial Narrow"/>
      <family val="2"/>
    </font>
    <font>
      <b/>
      <sz val="18"/>
      <color rgb="FFC00000"/>
      <name val="Arial Narrow"/>
      <family val="2"/>
    </font>
    <font>
      <sz val="8"/>
      <color theme="0"/>
      <name val="Arial Narrow"/>
      <family val="2"/>
    </font>
    <font>
      <sz val="11.5"/>
      <color theme="1"/>
      <name val="Arial Narrow"/>
      <family val="2"/>
    </font>
    <font>
      <b/>
      <sz val="11.5"/>
      <color rgb="FFC00000"/>
      <name val="Arial Narrow"/>
      <family val="2"/>
    </font>
    <font>
      <b/>
      <sz val="11.5"/>
      <color theme="1"/>
      <name val="Arial Narrow"/>
      <family val="2"/>
    </font>
    <font>
      <b/>
      <sz val="11"/>
      <name val="Arial Narrow"/>
      <family val="2"/>
    </font>
    <font>
      <sz val="8"/>
      <color theme="1"/>
      <name val="Arial Narrow"/>
      <family val="2"/>
    </font>
    <font>
      <b/>
      <sz val="14"/>
      <color rgb="FFB40000"/>
      <name val="Arial Narrow"/>
      <family val="2"/>
    </font>
    <font>
      <sz val="11"/>
      <color theme="0"/>
      <name val="Calibri"/>
      <family val="2"/>
      <scheme val="minor"/>
    </font>
    <font>
      <b/>
      <sz val="12"/>
      <color rgb="FFC00000"/>
      <name val="Arial Narrow"/>
      <family val="2"/>
    </font>
    <font>
      <sz val="10"/>
      <color theme="0"/>
      <name val="Arial Narrow"/>
      <family val="2"/>
    </font>
    <font>
      <sz val="11"/>
      <color theme="0"/>
      <name val="Arial Narrow"/>
      <family val="2"/>
    </font>
    <font>
      <b/>
      <i/>
      <sz val="12"/>
      <color theme="0"/>
      <name val="Arial Narrow"/>
      <family val="2"/>
    </font>
    <font>
      <b/>
      <i/>
      <sz val="12"/>
      <name val="Arial Narrow"/>
      <family val="2"/>
    </font>
    <font>
      <b/>
      <sz val="12"/>
      <color theme="8" tint="-0.249977111117893"/>
      <name val="Arial Narrow"/>
      <family val="2"/>
    </font>
    <font>
      <sz val="12"/>
      <color theme="8" tint="-0.249977111117893"/>
      <name val="Arial Narrow"/>
      <family val="2"/>
    </font>
    <font>
      <b/>
      <sz val="11"/>
      <color rgb="FFFFFF00"/>
      <name val="Arial Narrow"/>
      <family val="2"/>
    </font>
    <font>
      <b/>
      <sz val="8"/>
      <color theme="1"/>
      <name val="Arial Narrow"/>
      <family val="2"/>
    </font>
    <font>
      <b/>
      <sz val="10"/>
      <color theme="2" tint="-0.499984740745262"/>
      <name val="Arial Narrow"/>
      <family val="2"/>
    </font>
    <font>
      <b/>
      <sz val="9"/>
      <color theme="0"/>
      <name val="Arial Narrow"/>
      <family val="2"/>
    </font>
    <font>
      <b/>
      <sz val="7"/>
      <color theme="0"/>
      <name val="Arial Narrow"/>
      <family val="2"/>
    </font>
    <font>
      <b/>
      <sz val="9"/>
      <color theme="1"/>
      <name val="Arial Narrow"/>
      <family val="2"/>
    </font>
    <font>
      <sz val="9.5"/>
      <color theme="1"/>
      <name val="Arial Narrow"/>
      <family val="2"/>
    </font>
    <font>
      <b/>
      <u/>
      <sz val="12"/>
      <color theme="1"/>
      <name val="Arial Narrow"/>
      <family val="2"/>
    </font>
    <font>
      <b/>
      <sz val="10"/>
      <name val="Arial Narrow"/>
      <family val="2"/>
    </font>
    <font>
      <b/>
      <sz val="11"/>
      <color rgb="FF177F09"/>
      <name val="Arial Narrow"/>
      <family val="2"/>
    </font>
    <font>
      <b/>
      <sz val="1"/>
      <color theme="0"/>
      <name val="Calibri"/>
      <family val="2"/>
      <scheme val="minor"/>
    </font>
    <font>
      <b/>
      <sz val="16"/>
      <color theme="8" tint="-0.249977111117893"/>
      <name val="Arial Narrow"/>
      <family val="2"/>
    </font>
    <font>
      <b/>
      <sz val="15"/>
      <color rgb="FFFF0000"/>
      <name val="Arial Narrow"/>
      <family val="2"/>
    </font>
    <font>
      <b/>
      <u/>
      <sz val="12"/>
      <color theme="9" tint="-0.499984740745262"/>
      <name val="Calibri"/>
      <family val="2"/>
      <scheme val="minor"/>
    </font>
    <font>
      <sz val="11"/>
      <color theme="8" tint="-0.249977111117893"/>
      <name val="Arial Narrow"/>
      <family val="2"/>
    </font>
    <font>
      <b/>
      <sz val="15"/>
      <color rgb="FFC00000"/>
      <name val="Arial Narrow"/>
      <family val="2"/>
    </font>
    <font>
      <b/>
      <sz val="15"/>
      <color theme="8" tint="-0.249977111117893"/>
      <name val="Arial Narrow"/>
      <family val="2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0"/>
      <name val="Arial Narrow"/>
      <family val="2"/>
    </font>
    <font>
      <sz val="9.5"/>
      <color theme="0"/>
      <name val="Arial Narrow"/>
      <family val="2"/>
    </font>
    <font>
      <b/>
      <sz val="9.5"/>
      <color theme="0"/>
      <name val="Arial Narrow"/>
      <family val="2"/>
    </font>
    <font>
      <i/>
      <sz val="9.5"/>
      <color theme="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BFBFB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2" tint="-0.499984740745262"/>
      </top>
      <bottom style="thin">
        <color indexed="64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3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" fontId="0" fillId="0" borderId="0" xfId="0" applyNumberFormat="1"/>
    <xf numFmtId="0" fontId="0" fillId="0" borderId="0" xfId="0" applyProtection="1">
      <protection locked="0"/>
    </xf>
    <xf numFmtId="0" fontId="7" fillId="0" borderId="0" xfId="0" applyFont="1" applyAlignment="1" applyProtection="1">
      <alignment horizontal="center"/>
      <protection hidden="1"/>
    </xf>
    <xf numFmtId="43" fontId="7" fillId="0" borderId="0" xfId="0" applyNumberFormat="1" applyFont="1" applyAlignment="1" applyProtection="1">
      <alignment horizontal="right"/>
      <protection hidden="1"/>
    </xf>
    <xf numFmtId="0" fontId="3" fillId="0" borderId="0" xfId="0" applyFont="1" applyProtection="1">
      <protection hidden="1"/>
    </xf>
    <xf numFmtId="0" fontId="7" fillId="0" borderId="0" xfId="0" applyFont="1" applyProtection="1">
      <protection hidden="1"/>
    </xf>
    <xf numFmtId="39" fontId="7" fillId="0" borderId="0" xfId="0" applyNumberFormat="1" applyFont="1" applyAlignment="1" applyProtection="1">
      <alignment horizontal="right"/>
      <protection hidden="1"/>
    </xf>
    <xf numFmtId="3" fontId="7" fillId="0" borderId="0" xfId="0" applyNumberFormat="1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" fillId="0" borderId="0" xfId="0" applyFont="1" applyProtection="1">
      <protection hidden="1"/>
    </xf>
    <xf numFmtId="165" fontId="4" fillId="0" borderId="0" xfId="0" applyNumberFormat="1" applyFont="1" applyProtection="1">
      <protection hidden="1"/>
    </xf>
    <xf numFmtId="3" fontId="15" fillId="0" borderId="0" xfId="0" applyNumberFormat="1" applyFont="1" applyAlignment="1" applyProtection="1">
      <alignment horizontal="centerContinuous" vertical="center" wrapText="1"/>
      <protection hidden="1"/>
    </xf>
    <xf numFmtId="3" fontId="15" fillId="0" borderId="0" xfId="0" applyNumberFormat="1" applyFont="1" applyAlignment="1" applyProtection="1">
      <alignment horizontal="centerContinuous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13" fillId="0" borderId="0" xfId="0" applyFont="1" applyAlignment="1" applyProtection="1">
      <alignment wrapText="1"/>
      <protection hidden="1"/>
    </xf>
    <xf numFmtId="0" fontId="12" fillId="0" borderId="0" xfId="0" applyFont="1" applyProtection="1"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67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4" fontId="1" fillId="0" borderId="0" xfId="0" applyNumberFormat="1" applyFont="1" applyAlignment="1" applyProtection="1">
      <alignment vertical="center"/>
      <protection locked="0"/>
    </xf>
    <xf numFmtId="4" fontId="1" fillId="0" borderId="0" xfId="0" applyNumberFormat="1" applyFont="1" applyAlignment="1" applyProtection="1">
      <alignment horizontal="right" vertical="center"/>
      <protection locked="0"/>
    </xf>
    <xf numFmtId="0" fontId="1" fillId="0" borderId="0" xfId="0" applyFont="1" applyProtection="1">
      <protection locked="0"/>
    </xf>
    <xf numFmtId="0" fontId="1" fillId="2" borderId="0" xfId="0" applyFont="1" applyFill="1" applyProtection="1">
      <protection hidden="1"/>
    </xf>
    <xf numFmtId="3" fontId="10" fillId="0" borderId="0" xfId="0" applyNumberFormat="1" applyFont="1" applyProtection="1">
      <protection hidden="1"/>
    </xf>
    <xf numFmtId="49" fontId="7" fillId="0" borderId="0" xfId="0" applyNumberFormat="1" applyFont="1" applyAlignment="1" applyProtection="1">
      <alignment horizontal="center"/>
      <protection hidden="1"/>
    </xf>
    <xf numFmtId="39" fontId="7" fillId="0" borderId="0" xfId="0" applyNumberFormat="1" applyFont="1" applyAlignment="1" applyProtection="1">
      <alignment horizontal="right" vertical="center"/>
      <protection hidden="1"/>
    </xf>
    <xf numFmtId="4" fontId="1" fillId="0" borderId="0" xfId="0" applyNumberFormat="1" applyFont="1" applyAlignment="1" applyProtection="1">
      <alignment horizontal="right"/>
      <protection hidden="1"/>
    </xf>
    <xf numFmtId="0" fontId="11" fillId="0" borderId="0" xfId="0" applyFont="1" applyProtection="1">
      <protection hidden="1"/>
    </xf>
    <xf numFmtId="43" fontId="0" fillId="0" borderId="0" xfId="0" applyNumberFormat="1" applyProtection="1">
      <protection hidden="1"/>
    </xf>
    <xf numFmtId="4" fontId="0" fillId="0" borderId="0" xfId="0" applyNumberForma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top"/>
      <protection hidden="1"/>
    </xf>
    <xf numFmtId="4" fontId="0" fillId="0" borderId="0" xfId="0" applyNumberFormat="1" applyAlignment="1" applyProtection="1">
      <alignment vertical="top"/>
      <protection hidden="1"/>
    </xf>
    <xf numFmtId="0" fontId="23" fillId="0" borderId="0" xfId="0" applyFont="1" applyAlignment="1" applyProtection="1">
      <alignment vertical="top" wrapText="1"/>
      <protection hidden="1"/>
    </xf>
    <xf numFmtId="0" fontId="13" fillId="0" borderId="0" xfId="0" applyFont="1" applyAlignment="1" applyProtection="1">
      <alignment vertical="top" wrapText="1"/>
      <protection hidden="1"/>
    </xf>
    <xf numFmtId="0" fontId="1" fillId="0" borderId="1" xfId="0" applyFont="1" applyBorder="1" applyAlignment="1" applyProtection="1">
      <alignment horizontal="left" vertical="center"/>
      <protection locked="0"/>
    </xf>
    <xf numFmtId="4" fontId="1" fillId="0" borderId="1" xfId="0" applyNumberFormat="1" applyFont="1" applyBorder="1" applyAlignment="1" applyProtection="1">
      <alignment horizontal="right" vertical="center"/>
      <protection locked="0"/>
    </xf>
    <xf numFmtId="16" fontId="1" fillId="0" borderId="1" xfId="0" applyNumberFormat="1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" fillId="0" borderId="0" xfId="0" applyFont="1"/>
    <xf numFmtId="0" fontId="26" fillId="0" borderId="0" xfId="0" applyFont="1" applyAlignment="1" applyProtection="1">
      <alignment horizontal="centerContinuous" vertical="center"/>
      <protection hidden="1"/>
    </xf>
    <xf numFmtId="0" fontId="21" fillId="0" borderId="0" xfId="0" applyFont="1" applyAlignment="1" applyProtection="1">
      <alignment horizontal="centerContinuous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30" fillId="0" borderId="0" xfId="0" applyFont="1" applyProtection="1">
      <protection hidden="1"/>
    </xf>
    <xf numFmtId="0" fontId="31" fillId="0" borderId="0" xfId="0" applyFont="1" applyProtection="1">
      <protection locked="0"/>
    </xf>
    <xf numFmtId="0" fontId="31" fillId="0" borderId="0" xfId="0" applyFont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4" fontId="22" fillId="0" borderId="0" xfId="0" applyNumberFormat="1" applyFont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centerContinuous" vertical="center"/>
      <protection hidden="1"/>
    </xf>
    <xf numFmtId="0" fontId="17" fillId="0" borderId="0" xfId="0" applyFont="1" applyAlignment="1" applyProtection="1">
      <alignment vertical="center"/>
      <protection hidden="1"/>
    </xf>
    <xf numFmtId="4" fontId="22" fillId="0" borderId="0" xfId="1" applyNumberFormat="1" applyFont="1" applyFill="1" applyBorder="1" applyAlignment="1" applyProtection="1">
      <alignment horizontal="right" vertical="center"/>
      <protection hidden="1"/>
    </xf>
    <xf numFmtId="43" fontId="23" fillId="0" borderId="0" xfId="0" applyNumberFormat="1" applyFont="1" applyAlignment="1" applyProtection="1">
      <alignment vertical="top" wrapText="1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3" fontId="1" fillId="0" borderId="1" xfId="0" applyNumberFormat="1" applyFont="1" applyBorder="1" applyAlignment="1" applyProtection="1">
      <alignment horizontal="center" vertical="center"/>
      <protection hidden="1"/>
    </xf>
    <xf numFmtId="0" fontId="17" fillId="0" borderId="0" xfId="0" applyFont="1"/>
    <xf numFmtId="4" fontId="17" fillId="0" borderId="0" xfId="0" applyNumberFormat="1" applyFont="1"/>
    <xf numFmtId="4" fontId="17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left" indent="1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49" fontId="7" fillId="0" borderId="0" xfId="0" applyNumberFormat="1" applyFont="1" applyAlignment="1" applyProtection="1">
      <alignment horizontal="center" vertical="center"/>
      <protection hidden="1"/>
    </xf>
    <xf numFmtId="4" fontId="12" fillId="0" borderId="0" xfId="1" applyNumberFormat="1" applyFont="1" applyAlignment="1" applyProtection="1">
      <alignment horizontal="right"/>
      <protection hidden="1"/>
    </xf>
    <xf numFmtId="43" fontId="12" fillId="0" borderId="0" xfId="1" applyNumberFormat="1" applyFont="1" applyAlignment="1" applyProtection="1">
      <alignment horizontal="right"/>
      <protection hidden="1"/>
    </xf>
    <xf numFmtId="0" fontId="36" fillId="0" borderId="0" xfId="0" applyFont="1" applyAlignment="1" applyProtection="1">
      <alignment horizontal="left" indent="1"/>
      <protection hidden="1"/>
    </xf>
    <xf numFmtId="43" fontId="1" fillId="0" borderId="0" xfId="1" applyNumberFormat="1" applyFont="1" applyAlignment="1" applyProtection="1">
      <alignment horizontal="right"/>
      <protection hidden="1"/>
    </xf>
    <xf numFmtId="0" fontId="35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horizontal="left" vertical="center" indent="1"/>
      <protection hidden="1"/>
    </xf>
    <xf numFmtId="0" fontId="1" fillId="0" borderId="0" xfId="0" applyFont="1" applyAlignment="1" applyProtection="1">
      <alignment horizontal="center"/>
      <protection hidden="1"/>
    </xf>
    <xf numFmtId="4" fontId="35" fillId="0" borderId="0" xfId="0" applyNumberFormat="1" applyFont="1" applyAlignment="1" applyProtection="1">
      <alignment horizontal="center" vertical="center"/>
      <protection hidden="1"/>
    </xf>
    <xf numFmtId="4" fontId="1" fillId="0" borderId="0" xfId="0" applyNumberFormat="1" applyFont="1" applyAlignment="1" applyProtection="1">
      <alignment horizontal="right" vertic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righ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" fillId="4" borderId="0" xfId="0" applyFont="1" applyFill="1" applyAlignment="1" applyProtection="1">
      <alignment horizontal="center" vertical="center" wrapText="1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hidden="1"/>
    </xf>
    <xf numFmtId="0" fontId="9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horizontal="right"/>
      <protection locked="0"/>
    </xf>
    <xf numFmtId="0" fontId="14" fillId="0" borderId="0" xfId="0" applyFont="1" applyAlignment="1" applyProtection="1">
      <alignment horizontal="centerContinuous" vertical="top" wrapText="1"/>
      <protection hidden="1"/>
    </xf>
    <xf numFmtId="0" fontId="4" fillId="0" borderId="0" xfId="0" applyFont="1" applyAlignment="1" applyProtection="1">
      <alignment horizontal="centerContinuous" vertical="center" wrapText="1"/>
      <protection hidden="1"/>
    </xf>
    <xf numFmtId="0" fontId="35" fillId="0" borderId="0" xfId="0" applyFont="1" applyAlignment="1" applyProtection="1">
      <alignment vertical="center"/>
      <protection hidden="1"/>
    </xf>
    <xf numFmtId="3" fontId="15" fillId="0" borderId="0" xfId="0" applyNumberFormat="1" applyFont="1" applyAlignment="1" applyProtection="1">
      <alignment horizontal="left" wrapText="1" indent="1"/>
      <protection hidden="1"/>
    </xf>
    <xf numFmtId="0" fontId="0" fillId="0" borderId="0" xfId="0" applyAlignment="1" applyProtection="1">
      <alignment horizontal="left" vertical="center" indent="1"/>
      <protection hidden="1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16" fontId="1" fillId="0" borderId="2" xfId="0" applyNumberFormat="1" applyFont="1" applyBorder="1" applyAlignment="1" applyProtection="1">
      <alignment vertical="center"/>
      <protection locked="0"/>
    </xf>
    <xf numFmtId="4" fontId="1" fillId="0" borderId="2" xfId="0" applyNumberFormat="1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left" vertical="center"/>
      <protection hidden="1"/>
    </xf>
    <xf numFmtId="167" fontId="1" fillId="4" borderId="0" xfId="0" applyNumberFormat="1" applyFont="1" applyFill="1" applyAlignment="1" applyProtection="1">
      <alignment horizontal="center" vertical="center"/>
      <protection hidden="1"/>
    </xf>
    <xf numFmtId="0" fontId="1" fillId="4" borderId="0" xfId="0" applyFont="1" applyFill="1" applyAlignment="1" applyProtection="1">
      <alignment horizontal="left" vertical="center"/>
      <protection hidden="1"/>
    </xf>
    <xf numFmtId="0" fontId="1" fillId="4" borderId="0" xfId="0" applyFont="1" applyFill="1" applyProtection="1">
      <protection hidden="1"/>
    </xf>
    <xf numFmtId="4" fontId="1" fillId="4" borderId="0" xfId="0" applyNumberFormat="1" applyFont="1" applyFill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right"/>
      <protection hidden="1"/>
    </xf>
    <xf numFmtId="168" fontId="1" fillId="0" borderId="0" xfId="0" applyNumberFormat="1" applyFont="1" applyAlignment="1">
      <alignment horizontal="right"/>
    </xf>
    <xf numFmtId="168" fontId="1" fillId="2" borderId="0" xfId="0" applyNumberFormat="1" applyFont="1" applyFill="1" applyAlignment="1" applyProtection="1">
      <alignment horizontal="center"/>
      <protection hidden="1"/>
    </xf>
    <xf numFmtId="168" fontId="1" fillId="0" borderId="0" xfId="0" applyNumberFormat="1" applyFont="1" applyAlignment="1" applyProtection="1">
      <alignment horizontal="right" vertical="center"/>
      <protection hidden="1"/>
    </xf>
    <xf numFmtId="168" fontId="1" fillId="0" borderId="0" xfId="0" applyNumberFormat="1" applyFont="1" applyAlignment="1">
      <alignment horizontal="left" indent="2"/>
    </xf>
    <xf numFmtId="168" fontId="1" fillId="2" borderId="0" xfId="0" applyNumberFormat="1" applyFont="1" applyFill="1" applyAlignment="1" applyProtection="1">
      <alignment horizontal="left" indent="2"/>
      <protection hidden="1"/>
    </xf>
    <xf numFmtId="0" fontId="2" fillId="5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 applyAlignment="1" applyProtection="1">
      <alignment horizontal="center" vertical="center"/>
      <protection hidden="1"/>
    </xf>
    <xf numFmtId="4" fontId="2" fillId="5" borderId="1" xfId="0" applyNumberFormat="1" applyFont="1" applyFill="1" applyBorder="1" applyAlignment="1" applyProtection="1">
      <alignment horizontal="center" vertical="center"/>
      <protection hidden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49" fontId="28" fillId="5" borderId="0" xfId="0" applyNumberFormat="1" applyFont="1" applyFill="1" applyAlignment="1" applyProtection="1">
      <alignment horizontal="center" vertical="center" wrapText="1"/>
      <protection hidden="1"/>
    </xf>
    <xf numFmtId="0" fontId="28" fillId="5" borderId="0" xfId="0" applyFont="1" applyFill="1" applyAlignment="1" applyProtection="1">
      <alignment horizontal="left" vertical="center" wrapText="1"/>
      <protection hidden="1"/>
    </xf>
    <xf numFmtId="0" fontId="28" fillId="5" borderId="0" xfId="0" applyFont="1" applyFill="1" applyAlignment="1" applyProtection="1">
      <alignment horizontal="center" vertical="center" wrapText="1"/>
      <protection hidden="1"/>
    </xf>
    <xf numFmtId="0" fontId="25" fillId="0" borderId="0" xfId="0" applyFont="1" applyAlignment="1" applyProtection="1">
      <alignment vertical="center"/>
      <protection hidden="1"/>
    </xf>
    <xf numFmtId="0" fontId="38" fillId="0" borderId="0" xfId="0" applyFont="1" applyProtection="1">
      <protection hidden="1"/>
    </xf>
    <xf numFmtId="0" fontId="16" fillId="0" borderId="0" xfId="0" applyFont="1" applyProtection="1">
      <protection hidden="1"/>
    </xf>
    <xf numFmtId="0" fontId="39" fillId="0" borderId="0" xfId="0" applyFont="1" applyAlignment="1">
      <alignment horizontal="left" indent="1"/>
    </xf>
    <xf numFmtId="0" fontId="41" fillId="2" borderId="0" xfId="0" applyFont="1" applyFill="1" applyAlignment="1" applyProtection="1">
      <alignment horizontal="left" indent="1"/>
      <protection hidden="1"/>
    </xf>
    <xf numFmtId="0" fontId="39" fillId="0" borderId="0" xfId="0" applyFont="1" applyAlignment="1" applyProtection="1">
      <alignment horizontal="left" vertical="center" indent="1"/>
      <protection hidden="1"/>
    </xf>
    <xf numFmtId="3" fontId="39" fillId="0" borderId="0" xfId="0" applyNumberFormat="1" applyFont="1" applyAlignment="1">
      <alignment horizontal="left" indent="1"/>
    </xf>
    <xf numFmtId="3" fontId="41" fillId="2" borderId="0" xfId="0" applyNumberFormat="1" applyFont="1" applyFill="1" applyAlignment="1" applyProtection="1">
      <alignment horizontal="left" indent="1"/>
      <protection hidden="1"/>
    </xf>
    <xf numFmtId="3" fontId="39" fillId="0" borderId="0" xfId="0" applyNumberFormat="1" applyFont="1" applyAlignment="1" applyProtection="1">
      <alignment horizontal="left" vertical="center" indent="1"/>
      <protection hidden="1"/>
    </xf>
    <xf numFmtId="0" fontId="7" fillId="0" borderId="0" xfId="0" applyFont="1" applyAlignment="1" applyProtection="1">
      <alignment horizontal="left" indent="1"/>
      <protection hidden="1"/>
    </xf>
    <xf numFmtId="0" fontId="17" fillId="0" borderId="0" xfId="0" applyFont="1" applyProtection="1">
      <protection hidden="1"/>
    </xf>
    <xf numFmtId="0" fontId="43" fillId="0" borderId="0" xfId="0" applyFont="1" applyAlignment="1" applyProtection="1">
      <alignment horizontal="center"/>
      <protection hidden="1"/>
    </xf>
    <xf numFmtId="4" fontId="47" fillId="7" borderId="15" xfId="0" applyNumberFormat="1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>
      <alignment horizontal="left" indent="1"/>
    </xf>
    <xf numFmtId="3" fontId="45" fillId="0" borderId="0" xfId="0" applyNumberFormat="1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right" vertical="center" indent="1"/>
      <protection hidden="1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 vertical="top"/>
    </xf>
    <xf numFmtId="0" fontId="34" fillId="0" borderId="0" xfId="0" applyFont="1" applyAlignment="1" applyProtection="1">
      <alignment horizontal="centerContinuous" vertical="center"/>
      <protection hidden="1"/>
    </xf>
    <xf numFmtId="4" fontId="1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/>
    <xf numFmtId="4" fontId="11" fillId="0" borderId="0" xfId="0" applyNumberFormat="1" applyFont="1" applyAlignment="1" applyProtection="1">
      <alignment horizontal="center" vertical="center"/>
      <protection hidden="1"/>
    </xf>
    <xf numFmtId="4" fontId="13" fillId="0" borderId="0" xfId="0" applyNumberFormat="1" applyFont="1" applyAlignment="1" applyProtection="1">
      <alignment horizontal="left"/>
      <protection locked="0"/>
    </xf>
    <xf numFmtId="4" fontId="13" fillId="0" borderId="0" xfId="0" applyNumberFormat="1" applyFont="1" applyAlignment="1">
      <alignment horizontal="left"/>
    </xf>
    <xf numFmtId="0" fontId="59" fillId="0" borderId="1" xfId="0" applyFont="1" applyBorder="1" applyAlignment="1" applyProtection="1">
      <alignment horizontal="center" vertical="center" wrapText="1"/>
      <protection hidden="1"/>
    </xf>
    <xf numFmtId="0" fontId="1" fillId="7" borderId="15" xfId="0" applyFont="1" applyFill="1" applyBorder="1" applyAlignment="1" applyProtection="1">
      <alignment horizontal="center" vertical="center"/>
      <protection hidden="1"/>
    </xf>
    <xf numFmtId="0" fontId="49" fillId="7" borderId="2" xfId="0" applyFont="1" applyFill="1" applyBorder="1" applyAlignment="1" applyProtection="1">
      <alignment horizontal="left" vertical="center" wrapText="1" indent="1"/>
      <protection hidden="1"/>
    </xf>
    <xf numFmtId="4" fontId="28" fillId="10" borderId="1" xfId="1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63" fillId="0" borderId="0" xfId="0" applyFont="1" applyAlignment="1" applyProtection="1">
      <alignment horizontal="center" vertical="center"/>
      <protection hidden="1"/>
    </xf>
    <xf numFmtId="0" fontId="35" fillId="0" borderId="0" xfId="0" applyFont="1" applyProtection="1">
      <protection hidden="1"/>
    </xf>
    <xf numFmtId="0" fontId="2" fillId="5" borderId="15" xfId="0" applyFont="1" applyFill="1" applyBorder="1" applyAlignment="1" applyProtection="1">
      <alignment horizontal="left" vertical="center" indent="1"/>
      <protection hidden="1"/>
    </xf>
    <xf numFmtId="0" fontId="41" fillId="0" borderId="0" xfId="0" applyFont="1" applyAlignment="1">
      <alignment horizontal="center"/>
    </xf>
    <xf numFmtId="3" fontId="41" fillId="0" borderId="0" xfId="0" applyNumberFormat="1" applyFont="1" applyAlignment="1">
      <alignment horizontal="center"/>
    </xf>
    <xf numFmtId="0" fontId="9" fillId="0" borderId="0" xfId="0" applyFont="1" applyAlignment="1" applyProtection="1">
      <alignment horizontal="center" vertical="center"/>
      <protection locked="0" hidden="1"/>
    </xf>
    <xf numFmtId="4" fontId="3" fillId="0" borderId="0" xfId="0" applyNumberFormat="1" applyFont="1" applyProtection="1">
      <protection hidden="1"/>
    </xf>
    <xf numFmtId="0" fontId="21" fillId="6" borderId="1" xfId="0" applyFont="1" applyFill="1" applyBorder="1" applyAlignment="1" applyProtection="1">
      <alignment horizontal="center" vertical="center"/>
      <protection locked="0"/>
    </xf>
    <xf numFmtId="0" fontId="34" fillId="3" borderId="1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4" fontId="1" fillId="0" borderId="3" xfId="0" applyNumberFormat="1" applyFont="1" applyBorder="1" applyAlignment="1" applyProtection="1">
      <alignment horizontal="center"/>
      <protection hidden="1"/>
    </xf>
    <xf numFmtId="4" fontId="62" fillId="0" borderId="1" xfId="0" applyNumberFormat="1" applyFont="1" applyBorder="1" applyAlignment="1" applyProtection="1">
      <alignment horizontal="center" vertical="center"/>
      <protection hidden="1"/>
    </xf>
    <xf numFmtId="4" fontId="24" fillId="0" borderId="1" xfId="0" applyNumberFormat="1" applyFont="1" applyBorder="1" applyAlignment="1" applyProtection="1">
      <alignment horizontal="center" vertical="center"/>
      <protection hidden="1"/>
    </xf>
    <xf numFmtId="4" fontId="7" fillId="0" borderId="1" xfId="0" applyNumberFormat="1" applyFont="1" applyBorder="1" applyAlignment="1" applyProtection="1">
      <alignment horizontal="center" vertical="center"/>
      <protection hidden="1"/>
    </xf>
    <xf numFmtId="4" fontId="1" fillId="0" borderId="14" xfId="0" applyNumberFormat="1" applyFont="1" applyBorder="1" applyAlignment="1" applyProtection="1">
      <alignment horizontal="center"/>
      <protection hidden="1"/>
    </xf>
    <xf numFmtId="4" fontId="42" fillId="0" borderId="0" xfId="0" applyNumberFormat="1" applyFont="1" applyAlignment="1" applyProtection="1">
      <alignment horizontal="left"/>
      <protection locked="0"/>
    </xf>
    <xf numFmtId="4" fontId="11" fillId="0" borderId="0" xfId="0" applyNumberFormat="1" applyFont="1" applyAlignment="1" applyProtection="1">
      <alignment horizontal="left"/>
      <protection locked="0"/>
    </xf>
    <xf numFmtId="0" fontId="58" fillId="6" borderId="1" xfId="0" applyFont="1" applyFill="1" applyBorder="1" applyAlignment="1" applyProtection="1">
      <alignment horizontal="center" vertical="center"/>
      <protection locked="0"/>
    </xf>
    <xf numFmtId="0" fontId="58" fillId="12" borderId="1" xfId="0" applyFont="1" applyFill="1" applyBorder="1" applyAlignment="1" applyProtection="1">
      <alignment horizontal="center" vertical="center"/>
      <protection locked="0"/>
    </xf>
    <xf numFmtId="0" fontId="1" fillId="12" borderId="3" xfId="0" applyFon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left" vertical="center" wrapText="1" indent="1"/>
      <protection locked="0"/>
    </xf>
    <xf numFmtId="0" fontId="50" fillId="12" borderId="14" xfId="0" applyFont="1" applyFill="1" applyBorder="1" applyAlignment="1" applyProtection="1">
      <alignment horizontal="left" vertical="center" wrapText="1" indent="1"/>
      <protection locked="0"/>
    </xf>
    <xf numFmtId="0" fontId="61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4" fontId="12" fillId="0" borderId="0" xfId="1" applyNumberFormat="1" applyFont="1" applyBorder="1" applyAlignment="1" applyProtection="1">
      <alignment horizontal="right"/>
      <protection locked="0"/>
    </xf>
    <xf numFmtId="0" fontId="18" fillId="0" borderId="0" xfId="0" applyFont="1" applyAlignment="1" applyProtection="1">
      <alignment horizontal="left" vertical="center" indent="1"/>
      <protection locked="0"/>
    </xf>
    <xf numFmtId="43" fontId="1" fillId="0" borderId="0" xfId="1" applyNumberFormat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left" indent="1"/>
      <protection locked="0"/>
    </xf>
    <xf numFmtId="3" fontId="4" fillId="0" borderId="0" xfId="0" applyNumberFormat="1" applyFont="1" applyAlignment="1" applyProtection="1">
      <alignment horizontal="left" indent="1"/>
      <protection locked="0"/>
    </xf>
    <xf numFmtId="168" fontId="1" fillId="0" borderId="0" xfId="0" applyNumberFormat="1" applyFont="1" applyAlignment="1" applyProtection="1">
      <alignment horizontal="left" indent="2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3" fontId="41" fillId="0" borderId="0" xfId="0" applyNumberFormat="1" applyFont="1" applyAlignment="1" applyProtection="1">
      <alignment horizontal="left" indent="1"/>
      <protection locked="0"/>
    </xf>
    <xf numFmtId="168" fontId="1" fillId="0" borderId="0" xfId="0" applyNumberFormat="1" applyFont="1" applyAlignment="1" applyProtection="1">
      <alignment horizontal="left" indent="2"/>
      <protection locked="0"/>
    </xf>
    <xf numFmtId="0" fontId="3" fillId="0" borderId="0" xfId="0" applyFont="1" applyAlignment="1" applyProtection="1">
      <alignment horizontal="right"/>
      <protection locked="0"/>
    </xf>
    <xf numFmtId="168" fontId="2" fillId="0" borderId="0" xfId="0" applyNumberFormat="1" applyFont="1" applyAlignment="1" applyProtection="1">
      <alignment wrapText="1"/>
      <protection hidden="1"/>
    </xf>
    <xf numFmtId="0" fontId="35" fillId="0" borderId="0" xfId="0" applyFont="1" applyAlignment="1" applyProtection="1">
      <alignment horizontal="center" vertical="top"/>
      <protection locked="0"/>
    </xf>
    <xf numFmtId="0" fontId="66" fillId="0" borderId="0" xfId="0" applyFont="1" applyAlignment="1" applyProtection="1">
      <alignment horizontal="center" vertical="center"/>
      <protection locked="0"/>
    </xf>
    <xf numFmtId="3" fontId="34" fillId="0" borderId="11" xfId="0" applyNumberFormat="1" applyFont="1" applyBorder="1" applyProtection="1">
      <protection hidden="1"/>
    </xf>
    <xf numFmtId="0" fontId="35" fillId="0" borderId="11" xfId="0" applyFont="1" applyBorder="1" applyAlignment="1" applyProtection="1">
      <alignment vertical="top"/>
      <protection locked="0"/>
    </xf>
    <xf numFmtId="0" fontId="16" fillId="0" borderId="11" xfId="0" applyFont="1" applyBorder="1" applyProtection="1"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4" fontId="51" fillId="0" borderId="10" xfId="0" applyNumberFormat="1" applyFont="1" applyBorder="1" applyAlignment="1">
      <alignment horizontal="center" vertical="center"/>
    </xf>
    <xf numFmtId="4" fontId="51" fillId="0" borderId="12" xfId="0" applyNumberFormat="1" applyFont="1" applyBorder="1" applyAlignment="1">
      <alignment horizontal="center" vertical="center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8" fillId="7" borderId="1" xfId="0" applyFont="1" applyFill="1" applyBorder="1" applyAlignment="1">
      <alignment horizontal="left" vertical="center" indent="1"/>
    </xf>
    <xf numFmtId="0" fontId="7" fillId="12" borderId="1" xfId="0" applyFont="1" applyFill="1" applyBorder="1" applyAlignment="1" applyProtection="1">
      <alignment horizontal="left" vertical="center" indent="1"/>
      <protection locked="0"/>
    </xf>
    <xf numFmtId="3" fontId="48" fillId="7" borderId="1" xfId="0" applyNumberFormat="1" applyFont="1" applyFill="1" applyBorder="1" applyAlignment="1">
      <alignment horizontal="left" vertical="center" indent="1"/>
    </xf>
    <xf numFmtId="3" fontId="7" fillId="12" borderId="1" xfId="0" applyNumberFormat="1" applyFont="1" applyFill="1" applyBorder="1" applyAlignment="1" applyProtection="1">
      <alignment horizontal="left" vertical="center" indent="1"/>
      <protection locked="0"/>
    </xf>
    <xf numFmtId="3" fontId="47" fillId="7" borderId="1" xfId="0" applyNumberFormat="1" applyFont="1" applyFill="1" applyBorder="1" applyAlignment="1">
      <alignment horizontal="left" vertical="center" indent="1"/>
    </xf>
    <xf numFmtId="3" fontId="7" fillId="12" borderId="9" xfId="0" applyNumberFormat="1" applyFont="1" applyFill="1" applyBorder="1" applyAlignment="1" applyProtection="1">
      <alignment horizontal="left" vertical="center" indent="1"/>
      <protection locked="0"/>
    </xf>
    <xf numFmtId="0" fontId="2" fillId="5" borderId="2" xfId="0" applyFont="1" applyFill="1" applyBorder="1" applyAlignment="1" applyProtection="1">
      <alignment horizontal="center" vertical="center"/>
      <protection hidden="1"/>
    </xf>
    <xf numFmtId="4" fontId="51" fillId="0" borderId="6" xfId="0" applyNumberFormat="1" applyFont="1" applyBorder="1" applyAlignment="1" applyProtection="1">
      <alignment horizontal="center" vertical="center"/>
      <protection hidden="1"/>
    </xf>
    <xf numFmtId="4" fontId="51" fillId="0" borderId="7" xfId="0" applyNumberFormat="1" applyFont="1" applyBorder="1" applyAlignment="1" applyProtection="1">
      <alignment horizontal="center" vertical="center"/>
      <protection hidden="1"/>
    </xf>
    <xf numFmtId="4" fontId="0" fillId="0" borderId="6" xfId="0" applyNumberFormat="1" applyBorder="1" applyAlignment="1" applyProtection="1">
      <alignment horizontal="center" vertical="center"/>
      <protection hidden="1"/>
    </xf>
    <xf numFmtId="4" fontId="0" fillId="0" borderId="7" xfId="0" applyNumberFormat="1" applyBorder="1" applyAlignment="1" applyProtection="1">
      <alignment horizontal="center" vertical="center"/>
      <protection hidden="1"/>
    </xf>
    <xf numFmtId="0" fontId="68" fillId="0" borderId="0" xfId="0" applyFont="1" applyAlignment="1" applyProtection="1">
      <alignment horizontal="center" vertical="center"/>
      <protection hidden="1"/>
    </xf>
    <xf numFmtId="0" fontId="3" fillId="0" borderId="0" xfId="0" applyFont="1" applyProtection="1">
      <protection locked="0" hidden="1"/>
    </xf>
    <xf numFmtId="0" fontId="3" fillId="0" borderId="0" xfId="0" applyFont="1" applyAlignment="1" applyProtection="1">
      <alignment horizontal="center"/>
      <protection locked="0" hidden="1"/>
    </xf>
    <xf numFmtId="0" fontId="31" fillId="0" borderId="0" xfId="0" applyFont="1" applyProtection="1">
      <protection locked="0" hidden="1"/>
    </xf>
    <xf numFmtId="0" fontId="31" fillId="0" borderId="0" xfId="0" applyFont="1" applyAlignment="1" applyProtection="1">
      <alignment horizontal="center"/>
      <protection locked="0" hidden="1"/>
    </xf>
    <xf numFmtId="14" fontId="31" fillId="0" borderId="0" xfId="0" applyNumberFormat="1" applyFont="1" applyAlignment="1" applyProtection="1">
      <alignment horizontal="center"/>
      <protection locked="0" hidden="1"/>
    </xf>
    <xf numFmtId="2" fontId="31" fillId="0" borderId="0" xfId="0" applyNumberFormat="1" applyFont="1" applyAlignment="1" applyProtection="1">
      <alignment horizontal="left"/>
      <protection locked="0" hidden="1"/>
    </xf>
    <xf numFmtId="1" fontId="3" fillId="0" borderId="0" xfId="0" applyNumberFormat="1" applyFont="1" applyProtection="1">
      <protection locked="0" hidden="1"/>
    </xf>
    <xf numFmtId="0" fontId="3" fillId="0" borderId="0" xfId="0" applyFont="1" applyAlignment="1" applyProtection="1">
      <alignment vertical="center"/>
      <protection locked="0" hidden="1"/>
    </xf>
    <xf numFmtId="0" fontId="3" fillId="0" borderId="0" xfId="0" applyFont="1" applyAlignment="1" applyProtection="1">
      <alignment vertical="top"/>
      <protection locked="0" hidden="1"/>
    </xf>
    <xf numFmtId="14" fontId="3" fillId="0" borderId="0" xfId="0" applyNumberFormat="1" applyFont="1" applyProtection="1">
      <protection locked="0" hidden="1"/>
    </xf>
    <xf numFmtId="49" fontId="3" fillId="0" borderId="0" xfId="0" applyNumberFormat="1" applyFont="1" applyAlignment="1">
      <alignment horizontal="center"/>
    </xf>
    <xf numFmtId="0" fontId="31" fillId="0" borderId="0" xfId="0" applyFont="1"/>
    <xf numFmtId="0" fontId="3" fillId="0" borderId="0" xfId="0" applyFont="1" applyAlignment="1">
      <alignment horizontal="center" wrapText="1"/>
    </xf>
    <xf numFmtId="0" fontId="71" fillId="0" borderId="0" xfId="0" applyFont="1"/>
    <xf numFmtId="0" fontId="2" fillId="0" borderId="0" xfId="0" applyFont="1" applyAlignment="1">
      <alignment vertical="top"/>
    </xf>
    <xf numFmtId="1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47" fillId="0" borderId="0" xfId="0" applyFont="1"/>
    <xf numFmtId="49" fontId="72" fillId="0" borderId="0" xfId="0" applyNumberFormat="1" applyFont="1" applyAlignment="1" applyProtection="1">
      <alignment horizontal="center" vertical="center" wrapText="1"/>
      <protection hidden="1"/>
    </xf>
    <xf numFmtId="0" fontId="72" fillId="0" borderId="0" xfId="0" applyFont="1" applyAlignment="1" applyProtection="1">
      <alignment horizontal="center" vertical="center" wrapText="1"/>
      <protection hidden="1"/>
    </xf>
    <xf numFmtId="0" fontId="72" fillId="0" borderId="0" xfId="0" applyFont="1" applyAlignment="1" applyProtection="1">
      <alignment horizontal="centerContinuous" vertical="center" wrapText="1"/>
      <protection hidden="1"/>
    </xf>
    <xf numFmtId="1" fontId="3" fillId="0" borderId="0" xfId="0" applyNumberFormat="1" applyFont="1"/>
    <xf numFmtId="4" fontId="3" fillId="0" borderId="0" xfId="0" applyNumberFormat="1" applyFont="1"/>
    <xf numFmtId="166" fontId="3" fillId="0" borderId="0" xfId="0" applyNumberFormat="1" applyFont="1" applyAlignment="1">
      <alignment horizontal="center"/>
    </xf>
    <xf numFmtId="0" fontId="73" fillId="0" borderId="0" xfId="0" applyFont="1"/>
    <xf numFmtId="0" fontId="74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2" fillId="0" borderId="0" xfId="0" applyFont="1"/>
    <xf numFmtId="14" fontId="73" fillId="0" borderId="0" xfId="0" applyNumberFormat="1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75" fillId="0" borderId="0" xfId="0" applyFont="1"/>
    <xf numFmtId="49" fontId="31" fillId="0" borderId="0" xfId="0" applyNumberFormat="1" applyFont="1" applyAlignment="1">
      <alignment horizontal="center"/>
    </xf>
    <xf numFmtId="0" fontId="34" fillId="3" borderId="15" xfId="0" applyFont="1" applyFill="1" applyBorder="1" applyAlignment="1" applyProtection="1">
      <alignment horizontal="center" vertical="center"/>
      <protection locked="0"/>
    </xf>
    <xf numFmtId="0" fontId="34" fillId="3" borderId="2" xfId="0" applyFont="1" applyFill="1" applyBorder="1" applyAlignment="1" applyProtection="1">
      <alignment horizontal="center" vertical="center"/>
      <protection locked="0"/>
    </xf>
    <xf numFmtId="4" fontId="54" fillId="0" borderId="11" xfId="0" applyNumberFormat="1" applyFont="1" applyBorder="1" applyAlignment="1">
      <alignment horizontal="center"/>
    </xf>
    <xf numFmtId="0" fontId="56" fillId="7" borderId="15" xfId="0" applyFont="1" applyFill="1" applyBorder="1" applyAlignment="1" applyProtection="1">
      <alignment horizontal="center" vertical="center"/>
      <protection hidden="1"/>
    </xf>
    <xf numFmtId="0" fontId="56" fillId="7" borderId="17" xfId="0" applyFont="1" applyFill="1" applyBorder="1" applyAlignment="1" applyProtection="1">
      <alignment horizontal="center" vertical="center"/>
      <protection hidden="1"/>
    </xf>
    <xf numFmtId="0" fontId="56" fillId="7" borderId="2" xfId="0" applyFont="1" applyFill="1" applyBorder="1" applyAlignment="1" applyProtection="1">
      <alignment horizontal="center" vertical="center"/>
      <protection hidden="1"/>
    </xf>
    <xf numFmtId="0" fontId="58" fillId="0" borderId="1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4" fontId="16" fillId="0" borderId="6" xfId="0" applyNumberFormat="1" applyFont="1" applyBorder="1" applyAlignment="1" applyProtection="1">
      <alignment horizontal="center" vertical="center"/>
      <protection hidden="1"/>
    </xf>
    <xf numFmtId="4" fontId="16" fillId="0" borderId="7" xfId="0" applyNumberFormat="1" applyFont="1" applyBorder="1" applyAlignment="1" applyProtection="1">
      <alignment horizontal="center" vertical="center"/>
      <protection hidden="1"/>
    </xf>
    <xf numFmtId="0" fontId="31" fillId="8" borderId="10" xfId="0" applyFont="1" applyFill="1" applyBorder="1" applyAlignment="1">
      <alignment horizontal="center" vertical="center"/>
    </xf>
    <xf numFmtId="0" fontId="31" fillId="8" borderId="11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54" fillId="0" borderId="17" xfId="0" applyFont="1" applyBorder="1" applyAlignment="1">
      <alignment horizontal="center"/>
    </xf>
    <xf numFmtId="0" fontId="21" fillId="6" borderId="3" xfId="0" applyFont="1" applyFill="1" applyBorder="1" applyAlignment="1" applyProtection="1">
      <alignment horizontal="center" vertical="center"/>
      <protection locked="0"/>
    </xf>
    <xf numFmtId="0" fontId="21" fillId="6" borderId="13" xfId="0" applyFont="1" applyFill="1" applyBorder="1" applyAlignment="1" applyProtection="1">
      <alignment horizontal="center" vertical="center"/>
      <protection locked="0"/>
    </xf>
    <xf numFmtId="0" fontId="21" fillId="6" borderId="14" xfId="0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/>
    </xf>
    <xf numFmtId="0" fontId="64" fillId="0" borderId="7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49" fontId="7" fillId="0" borderId="0" xfId="0" applyNumberFormat="1" applyFont="1" applyAlignment="1" applyProtection="1">
      <alignment horizontal="left" vertical="center"/>
      <protection hidden="1"/>
    </xf>
    <xf numFmtId="0" fontId="35" fillId="7" borderId="15" xfId="0" applyFont="1" applyFill="1" applyBorder="1" applyAlignment="1" applyProtection="1">
      <alignment horizontal="center" vertical="center"/>
      <protection hidden="1"/>
    </xf>
    <xf numFmtId="0" fontId="35" fillId="7" borderId="17" xfId="0" applyFont="1" applyFill="1" applyBorder="1" applyAlignment="1" applyProtection="1">
      <alignment horizontal="center" vertical="center"/>
      <protection hidden="1"/>
    </xf>
    <xf numFmtId="0" fontId="35" fillId="7" borderId="2" xfId="0" applyFont="1" applyFill="1" applyBorder="1" applyAlignment="1" applyProtection="1">
      <alignment horizontal="center" vertical="center"/>
      <protection hidden="1"/>
    </xf>
    <xf numFmtId="0" fontId="4" fillId="12" borderId="15" xfId="0" applyFont="1" applyFill="1" applyBorder="1" applyAlignment="1" applyProtection="1">
      <alignment horizontal="center" vertical="center"/>
      <protection locked="0"/>
    </xf>
    <xf numFmtId="0" fontId="4" fillId="12" borderId="17" xfId="0" applyFont="1" applyFill="1" applyBorder="1" applyAlignment="1" applyProtection="1">
      <alignment horizontal="center" vertical="center"/>
      <protection locked="0"/>
    </xf>
    <xf numFmtId="0" fontId="4" fillId="12" borderId="2" xfId="0" applyFont="1" applyFill="1" applyBorder="1" applyAlignment="1" applyProtection="1">
      <alignment horizontal="center" vertical="center"/>
      <protection locked="0"/>
    </xf>
    <xf numFmtId="0" fontId="35" fillId="7" borderId="10" xfId="0" applyFont="1" applyFill="1" applyBorder="1" applyAlignment="1" applyProtection="1">
      <alignment horizontal="center" vertical="center"/>
      <protection hidden="1"/>
    </xf>
    <xf numFmtId="0" fontId="35" fillId="7" borderId="11" xfId="0" applyFont="1" applyFill="1" applyBorder="1" applyAlignment="1" applyProtection="1">
      <alignment horizontal="center" vertical="center"/>
      <protection hidden="1"/>
    </xf>
    <xf numFmtId="0" fontId="35" fillId="7" borderId="12" xfId="0" applyFont="1" applyFill="1" applyBorder="1" applyAlignment="1" applyProtection="1">
      <alignment horizontal="center" vertical="center"/>
      <protection hidden="1"/>
    </xf>
    <xf numFmtId="0" fontId="17" fillId="0" borderId="3" xfId="0" applyFont="1" applyBorder="1" applyAlignment="1" applyProtection="1">
      <alignment horizontal="center" vertical="center"/>
      <protection hidden="1"/>
    </xf>
    <xf numFmtId="0" fontId="17" fillId="0" borderId="13" xfId="0" applyFont="1" applyBorder="1" applyAlignment="1" applyProtection="1">
      <alignment horizontal="center" vertical="center"/>
      <protection hidden="1"/>
    </xf>
    <xf numFmtId="0" fontId="17" fillId="0" borderId="14" xfId="0" applyFont="1" applyBorder="1" applyAlignment="1" applyProtection="1">
      <alignment horizontal="center" vertical="center"/>
      <protection hidden="1"/>
    </xf>
    <xf numFmtId="49" fontId="35" fillId="7" borderId="15" xfId="0" applyNumberFormat="1" applyFont="1" applyFill="1" applyBorder="1" applyAlignment="1" applyProtection="1">
      <alignment horizontal="center" vertical="center"/>
      <protection hidden="1"/>
    </xf>
    <xf numFmtId="49" fontId="35" fillId="7" borderId="2" xfId="0" applyNumberFormat="1" applyFont="1" applyFill="1" applyBorder="1" applyAlignment="1" applyProtection="1">
      <alignment horizontal="center" vertical="center"/>
      <protection hidden="1"/>
    </xf>
    <xf numFmtId="0" fontId="22" fillId="12" borderId="15" xfId="0" applyFont="1" applyFill="1" applyBorder="1" applyAlignment="1" applyProtection="1">
      <alignment horizontal="center" vertical="center"/>
      <protection locked="0"/>
    </xf>
    <xf numFmtId="0" fontId="22" fillId="12" borderId="2" xfId="0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12" fillId="0" borderId="20" xfId="0" applyFont="1" applyBorder="1" applyAlignment="1" applyProtection="1">
      <alignment horizontal="left"/>
      <protection locked="0"/>
    </xf>
    <xf numFmtId="0" fontId="35" fillId="5" borderId="15" xfId="0" applyFont="1" applyFill="1" applyBorder="1" applyAlignment="1" applyProtection="1">
      <alignment horizontal="left" vertical="center" indent="1"/>
      <protection hidden="1"/>
    </xf>
    <xf numFmtId="0" fontId="35" fillId="5" borderId="17" xfId="0" applyFont="1" applyFill="1" applyBorder="1" applyAlignment="1" applyProtection="1">
      <alignment horizontal="left" vertical="center" indent="1"/>
      <protection hidden="1"/>
    </xf>
    <xf numFmtId="0" fontId="35" fillId="5" borderId="2" xfId="0" applyFont="1" applyFill="1" applyBorder="1" applyAlignment="1" applyProtection="1">
      <alignment horizontal="left" vertical="center" indent="1"/>
      <protection hidden="1"/>
    </xf>
    <xf numFmtId="0" fontId="2" fillId="0" borderId="4" xfId="0" applyFont="1" applyBorder="1" applyAlignment="1" applyProtection="1">
      <alignment horizontal="left"/>
      <protection locked="0"/>
    </xf>
    <xf numFmtId="0" fontId="12" fillId="0" borderId="5" xfId="0" applyFont="1" applyBorder="1" applyAlignment="1" applyProtection="1">
      <alignment horizontal="left"/>
      <protection locked="0"/>
    </xf>
    <xf numFmtId="0" fontId="9" fillId="10" borderId="0" xfId="0" applyFont="1" applyFill="1" applyAlignment="1" applyProtection="1">
      <alignment horizontal="center" vertical="center"/>
      <protection hidden="1"/>
    </xf>
    <xf numFmtId="0" fontId="12" fillId="0" borderId="19" xfId="0" applyFont="1" applyBorder="1" applyAlignment="1" applyProtection="1">
      <alignment horizontal="left"/>
      <protection locked="0"/>
    </xf>
    <xf numFmtId="0" fontId="12" fillId="0" borderId="18" xfId="0" applyFont="1" applyBorder="1" applyAlignment="1" applyProtection="1">
      <alignment horizontal="left"/>
      <protection locked="0"/>
    </xf>
    <xf numFmtId="0" fontId="35" fillId="0" borderId="11" xfId="0" applyFont="1" applyBorder="1" applyAlignment="1" applyProtection="1">
      <alignment horizontal="center" vertical="top"/>
      <protection locked="0"/>
    </xf>
    <xf numFmtId="0" fontId="33" fillId="0" borderId="0" xfId="0" applyFont="1" applyAlignment="1" applyProtection="1">
      <alignment horizontal="center" vertical="center"/>
      <protection hidden="1"/>
    </xf>
    <xf numFmtId="3" fontId="1" fillId="0" borderId="0" xfId="0" applyNumberFormat="1" applyFont="1" applyAlignment="1" applyProtection="1">
      <alignment horizontal="left" vertical="center"/>
      <protection hidden="1"/>
    </xf>
    <xf numFmtId="3" fontId="48" fillId="11" borderId="0" xfId="0" applyNumberFormat="1" applyFont="1" applyFill="1" applyAlignment="1" applyProtection="1">
      <alignment horizontal="center" vertical="center" wrapText="1"/>
      <protection hidden="1"/>
    </xf>
    <xf numFmtId="39" fontId="48" fillId="7" borderId="15" xfId="0" applyNumberFormat="1" applyFont="1" applyFill="1" applyBorder="1" applyAlignment="1" applyProtection="1">
      <alignment horizontal="center" vertical="center"/>
      <protection hidden="1"/>
    </xf>
    <xf numFmtId="39" fontId="48" fillId="7" borderId="17" xfId="0" applyNumberFormat="1" applyFont="1" applyFill="1" applyBorder="1" applyAlignment="1" applyProtection="1">
      <alignment horizontal="center" vertical="center"/>
      <protection hidden="1"/>
    </xf>
    <xf numFmtId="39" fontId="48" fillId="7" borderId="2" xfId="0" applyNumberFormat="1" applyFont="1" applyFill="1" applyBorder="1" applyAlignment="1" applyProtection="1">
      <alignment horizontal="center" vertical="center"/>
      <protection hidden="1"/>
    </xf>
    <xf numFmtId="0" fontId="48" fillId="7" borderId="15" xfId="0" applyFont="1" applyFill="1" applyBorder="1" applyAlignment="1" applyProtection="1">
      <alignment horizontal="center" vertical="center"/>
      <protection hidden="1"/>
    </xf>
    <xf numFmtId="0" fontId="48" fillId="7" borderId="17" xfId="0" applyFont="1" applyFill="1" applyBorder="1" applyAlignment="1" applyProtection="1">
      <alignment horizontal="center" vertical="center"/>
      <protection hidden="1"/>
    </xf>
    <xf numFmtId="0" fontId="48" fillId="7" borderId="2" xfId="0" applyFont="1" applyFill="1" applyBorder="1" applyAlignment="1" applyProtection="1">
      <alignment horizontal="center" vertical="center"/>
      <protection hidden="1"/>
    </xf>
    <xf numFmtId="0" fontId="58" fillId="12" borderId="15" xfId="0" applyFont="1" applyFill="1" applyBorder="1" applyAlignment="1" applyProtection="1">
      <alignment horizontal="center" vertical="center"/>
      <protection locked="0"/>
    </xf>
    <xf numFmtId="0" fontId="58" fillId="12" borderId="17" xfId="0" applyFont="1" applyFill="1" applyBorder="1" applyAlignment="1" applyProtection="1">
      <alignment horizontal="center" vertical="center"/>
      <protection locked="0"/>
    </xf>
    <xf numFmtId="0" fontId="58" fillId="12" borderId="2" xfId="0" applyFont="1" applyFill="1" applyBorder="1" applyAlignment="1" applyProtection="1">
      <alignment horizontal="center" vertical="center"/>
      <protection locked="0"/>
    </xf>
    <xf numFmtId="39" fontId="58" fillId="12" borderId="15" xfId="0" applyNumberFormat="1" applyFont="1" applyFill="1" applyBorder="1" applyAlignment="1" applyProtection="1">
      <alignment horizontal="center" vertical="center"/>
      <protection locked="0"/>
    </xf>
    <xf numFmtId="39" fontId="58" fillId="12" borderId="17" xfId="0" applyNumberFormat="1" applyFont="1" applyFill="1" applyBorder="1" applyAlignment="1" applyProtection="1">
      <alignment horizontal="center" vertical="center"/>
      <protection locked="0"/>
    </xf>
    <xf numFmtId="39" fontId="58" fillId="12" borderId="2" xfId="0" applyNumberFormat="1" applyFont="1" applyFill="1" applyBorder="1" applyAlignment="1" applyProtection="1">
      <alignment horizontal="center" vertical="center"/>
      <protection locked="0"/>
    </xf>
    <xf numFmtId="3" fontId="57" fillId="7" borderId="15" xfId="0" applyNumberFormat="1" applyFont="1" applyFill="1" applyBorder="1" applyAlignment="1" applyProtection="1">
      <alignment horizontal="center" vertical="center" wrapText="1"/>
      <protection hidden="1"/>
    </xf>
    <xf numFmtId="3" fontId="57" fillId="7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0" fontId="0" fillId="0" borderId="11" xfId="0" applyBorder="1" applyAlignment="1" applyProtection="1">
      <alignment horizontal="center" vertical="center" wrapText="1"/>
      <protection hidden="1"/>
    </xf>
    <xf numFmtId="0" fontId="0" fillId="0" borderId="12" xfId="0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 wrapText="1"/>
      <protection hidden="1"/>
    </xf>
    <xf numFmtId="0" fontId="0" fillId="0" borderId="13" xfId="0" applyBorder="1" applyAlignment="1" applyProtection="1">
      <alignment horizontal="center" vertical="center" wrapText="1"/>
      <protection hidden="1"/>
    </xf>
    <xf numFmtId="0" fontId="0" fillId="0" borderId="14" xfId="0" applyBorder="1" applyAlignment="1" applyProtection="1">
      <alignment horizontal="center" vertical="center" wrapText="1"/>
      <protection hidden="1"/>
    </xf>
    <xf numFmtId="39" fontId="17" fillId="0" borderId="10" xfId="0" applyNumberFormat="1" applyFont="1" applyBorder="1" applyAlignment="1" applyProtection="1">
      <alignment horizontal="center" vertical="center" wrapText="1"/>
      <protection hidden="1"/>
    </xf>
    <xf numFmtId="39" fontId="17" fillId="0" borderId="11" xfId="0" applyNumberFormat="1" applyFont="1" applyBorder="1" applyAlignment="1" applyProtection="1">
      <alignment horizontal="center" vertical="center" wrapText="1"/>
      <protection hidden="1"/>
    </xf>
    <xf numFmtId="39" fontId="17" fillId="0" borderId="12" xfId="0" applyNumberFormat="1" applyFont="1" applyBorder="1" applyAlignment="1" applyProtection="1">
      <alignment horizontal="center" vertical="center" wrapText="1"/>
      <protection hidden="1"/>
    </xf>
    <xf numFmtId="39" fontId="17" fillId="0" borderId="3" xfId="0" applyNumberFormat="1" applyFont="1" applyBorder="1" applyAlignment="1" applyProtection="1">
      <alignment horizontal="center" vertical="center" wrapText="1"/>
      <protection hidden="1"/>
    </xf>
    <xf numFmtId="39" fontId="17" fillId="0" borderId="13" xfId="0" applyNumberFormat="1" applyFont="1" applyBorder="1" applyAlignment="1" applyProtection="1">
      <alignment horizontal="center" vertical="center" wrapText="1"/>
      <protection hidden="1"/>
    </xf>
    <xf numFmtId="39" fontId="17" fillId="0" borderId="14" xfId="0" applyNumberFormat="1" applyFont="1" applyBorder="1" applyAlignment="1" applyProtection="1">
      <alignment horizontal="center" vertical="center" wrapText="1"/>
      <protection hidden="1"/>
    </xf>
    <xf numFmtId="43" fontId="7" fillId="0" borderId="13" xfId="0" applyNumberFormat="1" applyFont="1" applyBorder="1" applyAlignment="1" applyProtection="1">
      <alignment horizontal="center"/>
      <protection hidden="1"/>
    </xf>
    <xf numFmtId="3" fontId="34" fillId="0" borderId="0" xfId="0" applyNumberFormat="1" applyFont="1" applyAlignment="1" applyProtection="1">
      <alignment horizontal="left"/>
      <protection hidden="1"/>
    </xf>
    <xf numFmtId="3" fontId="3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4" fontId="4" fillId="0" borderId="0" xfId="0" applyNumberFormat="1" applyFont="1" applyAlignment="1" applyProtection="1">
      <alignment horizontal="center" vertical="center"/>
      <protection hidden="1"/>
    </xf>
    <xf numFmtId="4" fontId="1" fillId="0" borderId="0" xfId="0" applyNumberFormat="1" applyFont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left" vertical="center" indent="1"/>
      <protection hidden="1"/>
    </xf>
    <xf numFmtId="0" fontId="1" fillId="0" borderId="0" xfId="0" applyFont="1" applyAlignment="1" applyProtection="1">
      <alignment horizontal="center"/>
      <protection hidden="1"/>
    </xf>
    <xf numFmtId="0" fontId="37" fillId="0" borderId="0" xfId="0" applyFont="1" applyAlignment="1" applyProtection="1">
      <alignment horizontal="center"/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17" fillId="0" borderId="10" xfId="0" applyFont="1" applyBorder="1" applyAlignment="1" applyProtection="1">
      <alignment horizontal="center" vertical="center" wrapText="1"/>
      <protection hidden="1"/>
    </xf>
    <xf numFmtId="0" fontId="17" fillId="0" borderId="11" xfId="0" applyFont="1" applyBorder="1" applyAlignment="1" applyProtection="1">
      <alignment horizontal="center" vertical="center" wrapText="1"/>
      <protection hidden="1"/>
    </xf>
    <xf numFmtId="0" fontId="17" fillId="0" borderId="12" xfId="0" applyFont="1" applyBorder="1" applyAlignment="1" applyProtection="1">
      <alignment horizontal="center" vertical="center" wrapText="1"/>
      <protection hidden="1"/>
    </xf>
    <xf numFmtId="0" fontId="17" fillId="0" borderId="3" xfId="0" applyFont="1" applyBorder="1" applyAlignment="1" applyProtection="1">
      <alignment horizontal="center" vertical="center" wrapText="1"/>
      <protection hidden="1"/>
    </xf>
    <xf numFmtId="0" fontId="17" fillId="0" borderId="13" xfId="0" applyFont="1" applyBorder="1" applyAlignment="1" applyProtection="1">
      <alignment horizontal="center" vertical="center" wrapText="1"/>
      <protection hidden="1"/>
    </xf>
    <xf numFmtId="0" fontId="17" fillId="0" borderId="14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>
      <alignment horizontal="center" vertical="center"/>
    </xf>
    <xf numFmtId="0" fontId="40" fillId="0" borderId="0" xfId="0" applyFont="1" applyAlignment="1" applyProtection="1">
      <alignment horizontal="center"/>
      <protection hidden="1"/>
    </xf>
    <xf numFmtId="168" fontId="13" fillId="2" borderId="10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2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4" xfId="0" applyNumberFormat="1" applyFont="1" applyFill="1" applyBorder="1" applyAlignment="1" applyProtection="1">
      <alignment horizontal="center" vertical="center" wrapText="1"/>
      <protection locked="0"/>
    </xf>
    <xf numFmtId="168" fontId="48" fillId="10" borderId="10" xfId="0" applyNumberFormat="1" applyFont="1" applyFill="1" applyBorder="1" applyAlignment="1" applyProtection="1">
      <alignment horizontal="center" vertical="center" wrapText="1"/>
      <protection hidden="1"/>
    </xf>
    <xf numFmtId="168" fontId="48" fillId="10" borderId="11" xfId="0" applyNumberFormat="1" applyFont="1" applyFill="1" applyBorder="1" applyAlignment="1" applyProtection="1">
      <alignment horizontal="center" vertical="center" wrapText="1"/>
      <protection hidden="1"/>
    </xf>
    <xf numFmtId="168" fontId="48" fillId="10" borderId="12" xfId="0" applyNumberFormat="1" applyFont="1" applyFill="1" applyBorder="1" applyAlignment="1" applyProtection="1">
      <alignment horizontal="center" vertical="center" wrapText="1"/>
      <protection hidden="1"/>
    </xf>
    <xf numFmtId="168" fontId="48" fillId="10" borderId="3" xfId="0" applyNumberFormat="1" applyFont="1" applyFill="1" applyBorder="1" applyAlignment="1" applyProtection="1">
      <alignment horizontal="center" vertical="center" wrapText="1"/>
      <protection hidden="1"/>
    </xf>
    <xf numFmtId="168" fontId="48" fillId="10" borderId="13" xfId="0" applyNumberFormat="1" applyFont="1" applyFill="1" applyBorder="1" applyAlignment="1" applyProtection="1">
      <alignment horizontal="center" vertical="center" wrapText="1"/>
      <protection hidden="1"/>
    </xf>
    <xf numFmtId="168" fontId="48" fillId="10" borderId="1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/>
    </xf>
    <xf numFmtId="0" fontId="7" fillId="0" borderId="0" xfId="0" applyFont="1" applyAlignment="1" applyProtection="1">
      <alignment horizontal="center" vertical="center" wrapText="1"/>
      <protection hidden="1"/>
    </xf>
    <xf numFmtId="0" fontId="17" fillId="0" borderId="15" xfId="0" applyFont="1" applyBorder="1" applyAlignment="1" applyProtection="1">
      <alignment horizontal="center" vertical="center" wrapText="1"/>
      <protection hidden="1"/>
    </xf>
    <xf numFmtId="0" fontId="17" fillId="0" borderId="17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 wrapText="1"/>
      <protection hidden="1"/>
    </xf>
    <xf numFmtId="0" fontId="0" fillId="0" borderId="13" xfId="0" applyBorder="1" applyAlignment="1" applyProtection="1">
      <alignment horizontal="center" vertical="top"/>
      <protection hidden="1"/>
    </xf>
    <xf numFmtId="4" fontId="67" fillId="0" borderId="10" xfId="0" applyNumberFormat="1" applyFont="1" applyBorder="1" applyAlignment="1" applyProtection="1">
      <alignment horizontal="center" vertical="center"/>
      <protection hidden="1"/>
    </xf>
    <xf numFmtId="4" fontId="67" fillId="0" borderId="12" xfId="0" applyNumberFormat="1" applyFont="1" applyBorder="1" applyAlignment="1" applyProtection="1">
      <alignment horizontal="center" vertical="center"/>
      <protection hidden="1"/>
    </xf>
    <xf numFmtId="4" fontId="52" fillId="0" borderId="3" xfId="0" applyNumberFormat="1" applyFont="1" applyBorder="1" applyAlignment="1" applyProtection="1">
      <alignment horizontal="center" vertical="center"/>
      <protection hidden="1"/>
    </xf>
    <xf numFmtId="4" fontId="52" fillId="0" borderId="14" xfId="0" applyNumberFormat="1" applyFont="1" applyBorder="1" applyAlignment="1" applyProtection="1">
      <alignment horizontal="center" vertical="center"/>
      <protection hidden="1"/>
    </xf>
    <xf numFmtId="0" fontId="42" fillId="0" borderId="13" xfId="0" applyFont="1" applyBorder="1" applyAlignment="1" applyProtection="1">
      <alignment horizontal="center" vertical="center"/>
      <protection hidden="1"/>
    </xf>
    <xf numFmtId="0" fontId="17" fillId="9" borderId="10" xfId="0" applyFont="1" applyFill="1" applyBorder="1" applyAlignment="1" applyProtection="1">
      <alignment horizontal="center" vertical="center" wrapText="1"/>
      <protection hidden="1"/>
    </xf>
    <xf numFmtId="0" fontId="17" fillId="9" borderId="11" xfId="0" applyFont="1" applyFill="1" applyBorder="1" applyAlignment="1" applyProtection="1">
      <alignment horizontal="center" vertical="center" wrapText="1"/>
      <protection hidden="1"/>
    </xf>
    <xf numFmtId="0" fontId="17" fillId="9" borderId="12" xfId="0" applyFont="1" applyFill="1" applyBorder="1" applyAlignment="1" applyProtection="1">
      <alignment horizontal="center" vertical="center" wrapText="1"/>
      <protection hidden="1"/>
    </xf>
    <xf numFmtId="0" fontId="17" fillId="9" borderId="6" xfId="0" applyFont="1" applyFill="1" applyBorder="1" applyAlignment="1" applyProtection="1">
      <alignment horizontal="center" vertical="center" wrapText="1"/>
      <protection hidden="1"/>
    </xf>
    <xf numFmtId="0" fontId="17" fillId="9" borderId="0" xfId="0" applyFont="1" applyFill="1" applyAlignment="1" applyProtection="1">
      <alignment horizontal="center" vertical="center" wrapText="1"/>
      <protection hidden="1"/>
    </xf>
    <xf numFmtId="0" fontId="17" fillId="9" borderId="7" xfId="0" applyFont="1" applyFill="1" applyBorder="1" applyAlignment="1" applyProtection="1">
      <alignment horizontal="center" vertical="center" wrapText="1"/>
      <protection hidden="1"/>
    </xf>
    <xf numFmtId="0" fontId="17" fillId="9" borderId="3" xfId="0" applyFont="1" applyFill="1" applyBorder="1" applyAlignment="1" applyProtection="1">
      <alignment horizontal="center" vertical="center" wrapText="1"/>
      <protection hidden="1"/>
    </xf>
    <xf numFmtId="0" fontId="17" fillId="9" borderId="13" xfId="0" applyFont="1" applyFill="1" applyBorder="1" applyAlignment="1" applyProtection="1">
      <alignment horizontal="center" vertical="center" wrapText="1"/>
      <protection hidden="1"/>
    </xf>
    <xf numFmtId="0" fontId="17" fillId="9" borderId="14" xfId="0" applyFont="1" applyFill="1" applyBorder="1" applyAlignment="1" applyProtection="1">
      <alignment horizontal="center" vertical="center" wrapText="1"/>
      <protection hidden="1"/>
    </xf>
    <xf numFmtId="0" fontId="17" fillId="9" borderId="15" xfId="0" applyFont="1" applyFill="1" applyBorder="1" applyAlignment="1" applyProtection="1">
      <alignment horizontal="center" vertical="center" wrapText="1"/>
      <protection hidden="1"/>
    </xf>
    <xf numFmtId="0" fontId="17" fillId="9" borderId="2" xfId="0" applyFont="1" applyFill="1" applyBorder="1" applyAlignment="1" applyProtection="1">
      <alignment horizontal="center" vertical="center" wrapText="1"/>
      <protection hidden="1"/>
    </xf>
    <xf numFmtId="0" fontId="17" fillId="9" borderId="8" xfId="0" applyFont="1" applyFill="1" applyBorder="1" applyAlignment="1" applyProtection="1">
      <alignment horizontal="center" vertical="center" wrapText="1"/>
      <protection hidden="1"/>
    </xf>
    <xf numFmtId="0" fontId="17" fillId="9" borderId="16" xfId="0" applyFont="1" applyFill="1" applyBorder="1" applyAlignment="1" applyProtection="1">
      <alignment horizontal="center" vertical="center" wrapText="1"/>
      <protection hidden="1"/>
    </xf>
    <xf numFmtId="0" fontId="17" fillId="9" borderId="9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69" fillId="0" borderId="6" xfId="0" applyFont="1" applyBorder="1" applyAlignment="1" applyProtection="1">
      <alignment horizontal="center" vertical="center"/>
      <protection hidden="1"/>
    </xf>
    <xf numFmtId="0" fontId="46" fillId="0" borderId="0" xfId="0" applyFont="1" applyAlignment="1">
      <alignment horizontal="left" vertical="center"/>
    </xf>
    <xf numFmtId="3" fontId="4" fillId="0" borderId="0" xfId="0" applyNumberFormat="1" applyFont="1" applyAlignment="1" applyProtection="1">
      <alignment horizontal="left" vertical="center"/>
      <protection hidden="1"/>
    </xf>
    <xf numFmtId="0" fontId="46" fillId="0" borderId="0" xfId="0" applyFont="1" applyAlignment="1" applyProtection="1">
      <alignment horizontal="left" vertical="center"/>
      <protection hidden="1"/>
    </xf>
  </cellXfs>
  <cellStyles count="2">
    <cellStyle name="Normale" xfId="0" builtinId="0"/>
    <cellStyle name="Valuta" xfId="1" builtinId="4"/>
  </cellStyles>
  <dxfs count="95"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 tint="-4.9989318521683403E-2"/>
        </patternFill>
      </fill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2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b val="0"/>
        <i val="0"/>
      </font>
      <border>
        <left style="thin">
          <color auto="1"/>
        </left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fill>
        <patternFill>
          <bgColor theme="2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b/>
        <i val="0"/>
        <color rgb="FFC00000"/>
      </font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b/>
        <i val="0"/>
        <color rgb="FFC00000"/>
      </font>
    </dxf>
    <dxf>
      <font>
        <b val="0"/>
        <i val="0"/>
        <color rgb="FF00B050"/>
      </font>
    </dxf>
    <dxf>
      <font>
        <color theme="0"/>
      </font>
      <fill>
        <patternFill>
          <bgColor theme="2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fill>
        <patternFill>
          <bgColor theme="2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2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fgColor auto="1"/>
        </patternFill>
      </fill>
      <border>
        <left style="thin">
          <color theme="2" tint="-0.499984740745262"/>
        </left>
        <right style="thin">
          <color theme="2" tint="-0.499984740745262"/>
        </right>
        <vertical/>
        <horizontal/>
      </border>
    </dxf>
    <dxf>
      <font>
        <color theme="0"/>
      </font>
      <fill>
        <patternFill patternType="solid">
          <bgColor theme="2" tint="-0.499984740745262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b/>
        <i val="0"/>
        <color rgb="FF177F09"/>
      </font>
    </dxf>
    <dxf>
      <font>
        <b/>
        <i val="0"/>
        <color rgb="FFFF0000"/>
      </font>
    </dxf>
    <dxf>
      <font>
        <b/>
        <i val="0"/>
        <color rgb="FF177F09"/>
      </font>
      <fill>
        <patternFill patternType="none">
          <bgColor auto="1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6DFA6"/>
        </patternFill>
      </fill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</dxf>
    <dxf>
      <border>
        <right style="thin">
          <color auto="1"/>
        </right>
        <vertical/>
        <horizontal/>
      </border>
    </dxf>
    <dxf>
      <fill>
        <patternFill>
          <bgColor theme="0" tint="-4.9989318521683403E-2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ont>
        <b/>
        <i val="0"/>
        <color auto="1"/>
      </font>
      <fill>
        <patternFill patternType="solid">
          <bgColor theme="0" tint="-4.9989318521683403E-2"/>
        </patternFill>
      </fill>
      <border>
        <left/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BFBFB"/>
      <color rgb="FF177F09"/>
      <color rgb="FFB40000"/>
      <color rgb="FF69A12B"/>
      <color rgb="FFDAA600"/>
      <color rgb="FF26C84D"/>
      <color rgb="FFD6D61C"/>
      <color rgb="FFF6DFA6"/>
      <color rgb="FF41B164"/>
      <color rgb="FFF8FB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List" dx="22" fmlaLink="COPIA!$U$1" fmlaRange="COPIA!$T$3:$T$40" sel="1" val="0"/>
</file>

<file path=xl/ctrlProps/ctrlProp2.xml><?xml version="1.0" encoding="utf-8"?>
<formControlPr xmlns="http://schemas.microsoft.com/office/spreadsheetml/2009/9/main" objectType="List" dx="22" fmlaLink="COPIA!$U$1" fmlaRange="COPIA!$T$3:$T$40" sel="1" val="0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144780</xdr:colOff>
          <xdr:row>2</xdr:row>
          <xdr:rowOff>30480</xdr:rowOff>
        </xdr:from>
        <xdr:to>
          <xdr:col>4</xdr:col>
          <xdr:colOff>3543300</xdr:colOff>
          <xdr:row>7</xdr:row>
          <xdr:rowOff>152400</xdr:rowOff>
        </xdr:to>
        <xdr:sp macro="" textlink="">
          <xdr:nvSpPr>
            <xdr:cNvPr id="3088" name="List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228600</xdr:colOff>
          <xdr:row>1</xdr:row>
          <xdr:rowOff>7620</xdr:rowOff>
        </xdr:from>
        <xdr:to>
          <xdr:col>4</xdr:col>
          <xdr:colOff>3451860</xdr:colOff>
          <xdr:row>5</xdr:row>
          <xdr:rowOff>350520</xdr:rowOff>
        </xdr:to>
        <xdr:sp macro="" textlink="">
          <xdr:nvSpPr>
            <xdr:cNvPr id="4106" name="List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146539</xdr:colOff>
      <xdr:row>97</xdr:row>
      <xdr:rowOff>0</xdr:rowOff>
    </xdr:from>
    <xdr:to>
      <xdr:col>55</xdr:col>
      <xdr:colOff>43962</xdr:colOff>
      <xdr:row>98</xdr:row>
      <xdr:rowOff>146538</xdr:rowOff>
    </xdr:to>
    <xdr:sp macro="" textlink="">
      <xdr:nvSpPr>
        <xdr:cNvPr id="131" name="CasellaDiTesto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 txBox="1"/>
      </xdr:nvSpPr>
      <xdr:spPr>
        <a:xfrm>
          <a:off x="54695481" y="19775365"/>
          <a:ext cx="1443404" cy="344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it-IT" sz="1100"/>
            <a:t>mi sa levare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accent5">
              <a:lumMod val="75000"/>
            </a:schemeClr>
          </a:solidFill>
        </a:ln>
      </a:spPr>
      <a:bodyPr vertOverflow="clip" wrap="square" lIns="36000" tIns="0" rIns="36000" bIns="0" rtlCol="0" anchor="ctr"/>
      <a:lstStyle>
        <a:defPPr algn="ctr">
          <a:defRPr sz="900" b="0" i="0" u="none" strike="noStrike">
            <a:solidFill>
              <a:srgbClr val="000000"/>
            </a:solidFill>
            <a:latin typeface="Arial Narrow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9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1">
    <tabColor rgb="FF00B050"/>
  </sheetPr>
  <dimension ref="A1:N399"/>
  <sheetViews>
    <sheetView showGridLines="0" showRowColHeaders="0" zoomScale="110" zoomScaleNormal="110" workbookViewId="0">
      <pane ySplit="7" topLeftCell="A8" activePane="bottomLeft" state="frozen"/>
      <selection activeCell="B1" sqref="B1"/>
      <selection pane="bottomLeft" activeCell="K8" sqref="K8:M8"/>
    </sheetView>
  </sheetViews>
  <sheetFormatPr defaultColWidth="9" defaultRowHeight="15.6" x14ac:dyDescent="0.3"/>
  <cols>
    <col min="1" max="1" width="1.3984375" style="17" customWidth="1"/>
    <col min="2" max="3" width="4.19921875" style="17" hidden="1" customWidth="1"/>
    <col min="4" max="4" width="7.59765625" style="77" customWidth="1"/>
    <col min="5" max="5" width="46.19921875" style="75" customWidth="1"/>
    <col min="6" max="6" width="8" style="5" customWidth="1"/>
    <col min="7" max="7" width="10.69921875" style="5" customWidth="1"/>
    <col min="8" max="8" width="30" style="5" customWidth="1"/>
    <col min="9" max="9" width="14.8984375" style="5" customWidth="1"/>
    <col min="10" max="10" width="3.19921875" style="19" customWidth="1"/>
    <col min="11" max="11" width="6.69921875" style="19" customWidth="1"/>
    <col min="12" max="12" width="19.09765625" style="19" customWidth="1"/>
    <col min="13" max="13" width="14.59765625" style="17" customWidth="1"/>
    <col min="14" max="14" width="3" style="17" customWidth="1"/>
    <col min="15" max="16384" width="9" style="17"/>
  </cols>
  <sheetData>
    <row r="1" spans="1:14" ht="24" customHeight="1" x14ac:dyDescent="0.3">
      <c r="A1" s="27"/>
      <c r="D1" s="272" t="s">
        <v>1147</v>
      </c>
      <c r="E1" s="272"/>
      <c r="F1" s="272"/>
      <c r="G1" s="272"/>
    </row>
    <row r="2" spans="1:14" hidden="1" x14ac:dyDescent="0.3">
      <c r="E2" s="77"/>
      <c r="F2" s="77"/>
      <c r="G2" s="77"/>
    </row>
    <row r="3" spans="1:14" x14ac:dyDescent="0.3">
      <c r="D3" s="285" t="s">
        <v>971</v>
      </c>
      <c r="E3" s="286"/>
      <c r="F3" s="273" t="s">
        <v>972</v>
      </c>
      <c r="G3" s="274"/>
      <c r="H3" s="275"/>
      <c r="I3" s="279" t="s">
        <v>973</v>
      </c>
      <c r="J3" s="280"/>
      <c r="K3" s="280"/>
      <c r="L3" s="280"/>
      <c r="M3" s="280"/>
      <c r="N3" s="281"/>
    </row>
    <row r="4" spans="1:14" x14ac:dyDescent="0.3">
      <c r="D4" s="287" t="s">
        <v>1145</v>
      </c>
      <c r="E4" s="288"/>
      <c r="F4" s="276" t="s">
        <v>1037</v>
      </c>
      <c r="G4" s="277"/>
      <c r="H4" s="278"/>
      <c r="I4" s="282" t="str">
        <f ca="1">IF(COPIA!A1=1,"1.BANCA X C/C - 2.BANCA Y C/C - 3.BANCA Z C/C","1.BANCA X C/C - 2.BANCA Y C/C - 3.BANCA Z C/C - 4.BANCA X C/VINCOLATO")</f>
        <v>1.BANCA X C/C - 2.BANCA Y C/C - 3.BANCA Z C/C - 4.BANCA X C/VINCOLATO</v>
      </c>
      <c r="J4" s="283"/>
      <c r="K4" s="283"/>
      <c r="L4" s="283"/>
      <c r="M4" s="283"/>
      <c r="N4" s="284"/>
    </row>
    <row r="5" spans="1:14" hidden="1" x14ac:dyDescent="0.3">
      <c r="E5" s="73"/>
      <c r="I5" s="138"/>
      <c r="J5" s="138"/>
      <c r="K5" s="138"/>
      <c r="L5" s="138"/>
      <c r="M5" s="138"/>
      <c r="N5" s="138"/>
    </row>
    <row r="6" spans="1:14" x14ac:dyDescent="0.3">
      <c r="D6" s="289"/>
      <c r="E6" s="289"/>
      <c r="F6" s="290"/>
      <c r="G6" s="290"/>
      <c r="H6" s="290"/>
      <c r="I6" s="138"/>
      <c r="J6" s="138"/>
      <c r="K6" s="138"/>
      <c r="L6" s="138"/>
      <c r="M6" s="138"/>
      <c r="N6" s="138"/>
    </row>
    <row r="7" spans="1:14" ht="21" customHeight="1" x14ac:dyDescent="0.3">
      <c r="B7" s="90"/>
      <c r="C7" s="90"/>
      <c r="D7" s="297" t="str">
        <f ca="1">CONCATENATE(B8," - DAL FASCICOLO ALLEGATO AL LIBRO DI TESTO Futuro impresa smart 4 - TE214FA TRAMONTANA")</f>
        <v xml:space="preserve"> QUADRO DEI CONTI DI UN'IMPRESA INDUSTRIALE IN FORMA DI SPA  - DAL FASCICOLO ALLEGATO AL LIBRO DI TESTO Futuro impresa smart 4 - TE214FA TRAMONTANA</v>
      </c>
      <c r="E7" s="297"/>
      <c r="F7" s="297"/>
      <c r="G7" s="297"/>
      <c r="H7" s="297"/>
      <c r="I7" s="297"/>
      <c r="J7" s="297"/>
      <c r="K7" s="297"/>
      <c r="L7" s="297"/>
      <c r="M7" s="166"/>
      <c r="N7" s="28"/>
    </row>
    <row r="8" spans="1:14" ht="21" customHeight="1" x14ac:dyDescent="0.3">
      <c r="A8" s="49"/>
      <c r="B8" s="63" t="str">
        <f ca="1">IF(COPIA!A1=1," QUADRO DEI CONTI DI UN'IMPRESA COMMERCIALE IN FORMA DI SNC "," QUADRO DEI CONTI DI UN'IMPRESA INDUSTRIALE IN FORMA DI SPA ")</f>
        <v xml:space="preserve"> QUADRO DEI CONTI DI UN'IMPRESA INDUSTRIALE IN FORMA DI SPA </v>
      </c>
      <c r="C8" s="50"/>
      <c r="D8" s="124" t="s">
        <v>304</v>
      </c>
      <c r="E8" s="125" t="s">
        <v>321</v>
      </c>
      <c r="F8" s="126" t="s">
        <v>305</v>
      </c>
      <c r="G8" s="126" t="s">
        <v>478</v>
      </c>
      <c r="H8" s="126" t="s">
        <v>11</v>
      </c>
      <c r="I8" s="126" t="s">
        <v>12</v>
      </c>
      <c r="J8" s="112">
        <v>1</v>
      </c>
      <c r="K8" s="298"/>
      <c r="L8" s="298"/>
      <c r="M8" s="298"/>
    </row>
    <row r="9" spans="1:14" ht="20.100000000000001" customHeight="1" x14ac:dyDescent="0.3">
      <c r="A9" s="51"/>
      <c r="B9" s="52"/>
      <c r="C9" s="51"/>
      <c r="D9" s="76" t="str">
        <f ca="1">IFERROR(IF(COPIA!A3&lt;&gt;0,COPIA!A3,""),"")</f>
        <v>00.00</v>
      </c>
      <c r="E9" s="74" t="str">
        <f ca="1">IFERROR(IF(COPIA!B3&lt;&gt;0,COPIA!B3,""),"")</f>
        <v>CREDITI V/SOCI</v>
      </c>
      <c r="F9" s="76" t="str">
        <f ca="1">IFERROR(IF(COPIA!C3&lt;&gt;0,COPIA!C3,""),"")</f>
        <v/>
      </c>
      <c r="G9" s="76" t="str">
        <f ca="1">IFERROR(IF(COPIA!D3&lt;&gt;0,COPIA!D3,""),"")</f>
        <v/>
      </c>
      <c r="H9" s="76" t="str">
        <f ca="1">IF(E9="FONDO SVALUTAZIONE CREDITI","RETTIFICA CREDITI",IFERROR(IF(COPIA!E3&lt;&gt;0,COPIA!E3,""),""))</f>
        <v/>
      </c>
      <c r="I9" s="76" t="str">
        <f ca="1">IFERROR(IF(COPIA!F3&lt;&gt;0,COPIA!F3,""),"")</f>
        <v/>
      </c>
      <c r="J9" s="112">
        <v>2</v>
      </c>
      <c r="K9" s="296"/>
      <c r="L9" s="296"/>
      <c r="M9" s="296"/>
    </row>
    <row r="10" spans="1:14" ht="20.100000000000001" customHeight="1" x14ac:dyDescent="0.3">
      <c r="A10" s="16"/>
      <c r="B10" s="52"/>
      <c r="C10" s="16"/>
      <c r="D10" s="73" t="str">
        <f ca="1">IFERROR(IF(COPIA!A4&lt;&gt;0,COPIA!A4,""),"")</f>
        <v>00.01</v>
      </c>
      <c r="E10" s="75" t="str">
        <f ca="1">IFERROR(IF(COPIA!B4&lt;&gt;0,COPIA!B4,""),"")</f>
        <v>AZIONISTI C/SOTTOSCRIZIONE</v>
      </c>
      <c r="F10" s="73" t="str">
        <f ca="1">IFERROR(IF(COPIA!C4&lt;&gt;0,COPIA!C4,""),"")</f>
        <v>F</v>
      </c>
      <c r="G10" s="73" t="str">
        <f ca="1">IFERROR(IF(COPIA!D4&lt;&gt;0,COPIA!D4,""),"")</f>
        <v>D</v>
      </c>
      <c r="H10" s="73" t="str">
        <f ca="1">IF(E10="FONDO SVALUTAZIONE CREDITI","RETTIFICA CREDITI",IFERROR(IF(COPIA!E4&lt;&gt;0,COPIA!E4,""),""))</f>
        <v>CREDITI</v>
      </c>
      <c r="I10" s="73" t="str">
        <f ca="1">IFERROR(IF(COPIA!F4&lt;&gt;0,COPIA!F4,""),"")</f>
        <v>SP DARE</v>
      </c>
      <c r="J10" s="112">
        <v>3</v>
      </c>
      <c r="K10" s="296"/>
      <c r="L10" s="296"/>
      <c r="M10" s="296"/>
      <c r="N10" s="20"/>
    </row>
    <row r="11" spans="1:14" ht="20.100000000000001" customHeight="1" x14ac:dyDescent="0.3">
      <c r="A11" s="16"/>
      <c r="B11" s="52"/>
      <c r="C11" s="16"/>
      <c r="D11" s="73" t="str">
        <f ca="1">IFERROR(IF(COPIA!A5&lt;&gt;0,COPIA!A5,""),"")</f>
        <v>00.02</v>
      </c>
      <c r="E11" s="75" t="str">
        <f ca="1">IFERROR(IF(COPIA!B5&lt;&gt;0,COPIA!B5,""),"")</f>
        <v>AZIONISTI C/VERSAMENTI RICHIAMATI</v>
      </c>
      <c r="F11" s="73" t="str">
        <f ca="1">IFERROR(IF(COPIA!C5&lt;&gt;0,COPIA!C5,""),"")</f>
        <v>F</v>
      </c>
      <c r="G11" s="73" t="str">
        <f ca="1">IFERROR(IF(COPIA!D5&lt;&gt;0,COPIA!D5,""),"")</f>
        <v>D</v>
      </c>
      <c r="H11" s="73" t="str">
        <f ca="1">IF(E11="FONDO SVALUTAZIONE CREDITI","RETTIFICA CREDITI",IFERROR(IF(COPIA!E5&lt;&gt;0,COPIA!E5,""),""))</f>
        <v>CREDITI</v>
      </c>
      <c r="I11" s="73" t="str">
        <f ca="1">IFERROR(IF(COPIA!F5&lt;&gt;0,COPIA!F5,""),"")</f>
        <v>SP DARE</v>
      </c>
      <c r="J11" s="112">
        <f ca="1">IF(COPIA!A1=1,"",4)</f>
        <v>4</v>
      </c>
      <c r="K11" s="299"/>
      <c r="L11" s="299"/>
      <c r="M11" s="299"/>
      <c r="N11" s="20"/>
    </row>
    <row r="12" spans="1:14" ht="20.100000000000001" customHeight="1" x14ac:dyDescent="0.3">
      <c r="A12" s="16"/>
      <c r="B12" s="52"/>
      <c r="C12" s="16"/>
      <c r="D12" s="73" t="str">
        <f ca="1">IFERROR(IF(COPIA!A6&lt;&gt;0,COPIA!A6,""),"")</f>
        <v>00.03</v>
      </c>
      <c r="E12" s="75" t="str">
        <f ca="1">IFERROR(IF(COPIA!B6&lt;&gt;0,COPIA!B6,""),"")</f>
        <v>AZIONISTI C/REINTEGRO</v>
      </c>
      <c r="F12" s="73" t="str">
        <f ca="1">IFERROR(IF(COPIA!C6&lt;&gt;0,COPIA!C6,""),"")</f>
        <v>F</v>
      </c>
      <c r="G12" s="73" t="str">
        <f ca="1">IFERROR(IF(COPIA!D6&lt;&gt;0,COPIA!D6,""),"")</f>
        <v>D</v>
      </c>
      <c r="H12" s="73" t="str">
        <f ca="1">IF(E12="FONDO SVALUTAZIONE CREDITI","RETTIFICA CREDITI",IFERROR(IF(COPIA!E6&lt;&gt;0,COPIA!E6,""),""))</f>
        <v>CREDITI</v>
      </c>
      <c r="I12" s="73" t="str">
        <f ca="1">IFERROR(IF(COPIA!F6&lt;&gt;0,COPIA!F6,""),"")</f>
        <v>SP DARE</v>
      </c>
      <c r="J12" s="162"/>
      <c r="K12" s="292" t="s">
        <v>990</v>
      </c>
      <c r="L12" s="293"/>
      <c r="M12" s="294"/>
      <c r="N12" s="20"/>
    </row>
    <row r="13" spans="1:14" ht="20.100000000000001" customHeight="1" x14ac:dyDescent="0.3">
      <c r="A13" s="16"/>
      <c r="B13" s="52"/>
      <c r="C13" s="16"/>
      <c r="D13" s="73" t="str">
        <f ca="1">IFERROR(IF(COPIA!A7&lt;&gt;0,COPIA!A7,""),"")</f>
        <v>01.00</v>
      </c>
      <c r="E13" s="75" t="str">
        <f ca="1">IFERROR(IF(COPIA!B7&lt;&gt;0,COPIA!B7,""),"")</f>
        <v>IMMOBILIZZAZIONI IMMATERIALI</v>
      </c>
      <c r="F13" s="73" t="str">
        <f ca="1">IFERROR(IF(COPIA!C7&lt;&gt;0,COPIA!C7,""),"")</f>
        <v/>
      </c>
      <c r="G13" s="73" t="str">
        <f ca="1">IFERROR(IF(COPIA!D7&lt;&gt;0,COPIA!D7,""),"")</f>
        <v/>
      </c>
      <c r="H13" s="73" t="str">
        <f ca="1">IF(E13="FONDO SVALUTAZIONE CREDITI","RETTIFICA CREDITI",IFERROR(IF(COPIA!E7&lt;&gt;0,COPIA!E7,""),""))</f>
        <v/>
      </c>
      <c r="I13" s="73" t="str">
        <f ca="1">IFERROR(IF(COPIA!F7&lt;&gt;0,COPIA!F7,""),"")</f>
        <v/>
      </c>
      <c r="J13" s="112" t="s">
        <v>298</v>
      </c>
      <c r="K13" s="291"/>
      <c r="L13" s="291"/>
      <c r="M13" s="291"/>
      <c r="N13" s="20"/>
    </row>
    <row r="14" spans="1:14" ht="20.100000000000001" customHeight="1" x14ac:dyDescent="0.3">
      <c r="A14" s="16"/>
      <c r="B14" s="52"/>
      <c r="C14" s="16"/>
      <c r="D14" s="73" t="str">
        <f ca="1">IFERROR(IF(COPIA!A8&lt;&gt;0,COPIA!A8,""),"")</f>
        <v>01.01</v>
      </c>
      <c r="E14" s="75" t="str">
        <f ca="1">IFERROR(IF(COPIA!B8&lt;&gt;0,COPIA!B8,""),"")</f>
        <v>COSTI DI IMPIANTO</v>
      </c>
      <c r="F14" s="73" t="str">
        <f ca="1">IFERROR(IF(COPIA!C8&lt;&gt;0,COPIA!C8,""),"")</f>
        <v>E</v>
      </c>
      <c r="G14" s="73" t="str">
        <f ca="1">IFERROR(IF(COPIA!D8&lt;&gt;0,COPIA!D8,""),"")</f>
        <v>D</v>
      </c>
      <c r="H14" s="73" t="str">
        <f ca="1">IF(E14="FONDO SVALUTAZIONE CREDITI","RETTIFICA CREDITI",IFERROR(IF(COPIA!E8&lt;&gt;0,COPIA!E8,""),""))</f>
        <v>COSTI PLURIENNALI</v>
      </c>
      <c r="I14" s="73" t="str">
        <f ca="1">IFERROR(IF(COPIA!F8&lt;&gt;0,COPIA!F8,""),"")</f>
        <v>SP DARE</v>
      </c>
      <c r="J14" s="112" t="s">
        <v>998</v>
      </c>
      <c r="K14" s="296"/>
      <c r="L14" s="296"/>
      <c r="M14" s="296"/>
      <c r="N14" s="21"/>
    </row>
    <row r="15" spans="1:14" ht="20.100000000000001" customHeight="1" x14ac:dyDescent="0.3">
      <c r="A15" s="16"/>
      <c r="B15" s="52"/>
      <c r="C15" s="16"/>
      <c r="D15" s="73" t="str">
        <f ca="1">IFERROR(IF(COPIA!A9&lt;&gt;0,COPIA!A9,""),"")</f>
        <v>01.02</v>
      </c>
      <c r="E15" s="75" t="str">
        <f ca="1">IFERROR(IF(COPIA!B9&lt;&gt;0,COPIA!B9,""),"")</f>
        <v>COSTI DI AMPLIAMENTO</v>
      </c>
      <c r="F15" s="73" t="str">
        <f ca="1">IFERROR(IF(COPIA!C9&lt;&gt;0,COPIA!C9,""),"")</f>
        <v>E</v>
      </c>
      <c r="G15" s="73" t="str">
        <f ca="1">IFERROR(IF(COPIA!D9&lt;&gt;0,COPIA!D9,""),"")</f>
        <v>D</v>
      </c>
      <c r="H15" s="73" t="str">
        <f ca="1">IF(E15="FONDO SVALUTAZIONE CREDITI","RETTIFICA CREDITI",IFERROR(IF(COPIA!E9&lt;&gt;0,COPIA!E9,""),""))</f>
        <v>COSTI PLURIENNALI</v>
      </c>
      <c r="I15" s="73" t="str">
        <f ca="1">IFERROR(IF(COPIA!F9&lt;&gt;0,COPIA!F9,""),"")</f>
        <v>SP DARE</v>
      </c>
      <c r="J15" s="112" t="s">
        <v>999</v>
      </c>
      <c r="K15" s="296"/>
      <c r="L15" s="296"/>
      <c r="M15" s="296"/>
      <c r="N15" s="21"/>
    </row>
    <row r="16" spans="1:14" ht="20.100000000000001" customHeight="1" x14ac:dyDescent="0.3">
      <c r="A16" s="16"/>
      <c r="B16" s="52"/>
      <c r="C16" s="16"/>
      <c r="D16" s="73" t="str">
        <f ca="1">IFERROR(IF(COPIA!A10&lt;&gt;0,COPIA!A10,""),"")</f>
        <v>01.03</v>
      </c>
      <c r="E16" s="75" t="str">
        <f ca="1">IFERROR(IF(COPIA!B10&lt;&gt;0,COPIA!B10,""),"")</f>
        <v>COSTI DI SVILUPPO</v>
      </c>
      <c r="F16" s="73" t="str">
        <f ca="1">IFERROR(IF(COPIA!C10&lt;&gt;0,COPIA!C10,""),"")</f>
        <v>E</v>
      </c>
      <c r="G16" s="73" t="str">
        <f ca="1">IFERROR(IF(COPIA!D10&lt;&gt;0,COPIA!D10,""),"")</f>
        <v>D</v>
      </c>
      <c r="H16" s="73" t="str">
        <f ca="1">IF(E16="FONDO SVALUTAZIONE CREDITI","RETTIFICA CREDITI",IFERROR(IF(COPIA!E10&lt;&gt;0,COPIA!E10,""),""))</f>
        <v>COSTI PLURIENNALI</v>
      </c>
      <c r="I16" s="73" t="str">
        <f ca="1">IFERROR(IF(COPIA!F10&lt;&gt;0,COPIA!F10,""),"")</f>
        <v>SP DARE</v>
      </c>
      <c r="J16" s="112" t="s">
        <v>275</v>
      </c>
      <c r="K16" s="296"/>
      <c r="L16" s="296"/>
      <c r="M16" s="296"/>
      <c r="N16" s="21"/>
    </row>
    <row r="17" spans="1:14" ht="20.100000000000001" customHeight="1" x14ac:dyDescent="0.3">
      <c r="A17" s="16"/>
      <c r="B17" s="52"/>
      <c r="C17" s="16"/>
      <c r="D17" s="73" t="str">
        <f ca="1">IFERROR(IF(COPIA!A11&lt;&gt;0,COPIA!A11,""),"")</f>
        <v>01.04</v>
      </c>
      <c r="E17" s="75" t="str">
        <f ca="1">IFERROR(IF(COPIA!B11&lt;&gt;0,COPIA!B11,""),"")</f>
        <v>BREVETTI</v>
      </c>
      <c r="F17" s="73" t="str">
        <f ca="1">IFERROR(IF(COPIA!C11&lt;&gt;0,COPIA!C11,""),"")</f>
        <v>E</v>
      </c>
      <c r="G17" s="73" t="str">
        <f ca="1">IFERROR(IF(COPIA!D11&lt;&gt;0,COPIA!D11,""),"")</f>
        <v>D</v>
      </c>
      <c r="H17" s="73" t="str">
        <f ca="1">IF(E17="FONDO SVALUTAZIONE CREDITI","RETTIFICA CREDITI",IFERROR(IF(COPIA!E11&lt;&gt;0,COPIA!E11,""),""))</f>
        <v>COSTI PLURIENNALI</v>
      </c>
      <c r="I17" s="73" t="str">
        <f ca="1">IFERROR(IF(COPIA!F11&lt;&gt;0,COPIA!F11,""),"")</f>
        <v>SP DARE</v>
      </c>
      <c r="J17" s="47"/>
      <c r="K17" s="295"/>
      <c r="L17" s="295"/>
      <c r="M17" s="295"/>
      <c r="N17" s="21"/>
    </row>
    <row r="18" spans="1:14" ht="20.100000000000001" customHeight="1" x14ac:dyDescent="0.3">
      <c r="A18" s="53"/>
      <c r="B18" s="52"/>
      <c r="C18" s="16"/>
      <c r="D18" s="73" t="str">
        <f ca="1">IFERROR(IF(COPIA!A12&lt;&gt;0,COPIA!A12,""),"")</f>
        <v>01.05</v>
      </c>
      <c r="E18" s="75" t="str">
        <f ca="1">IFERROR(IF(COPIA!B12&lt;&gt;0,COPIA!B12,""),"")</f>
        <v>SOFTWARE</v>
      </c>
      <c r="F18" s="73" t="str">
        <f ca="1">IFERROR(IF(COPIA!C12&lt;&gt;0,COPIA!C12,""),"")</f>
        <v>E</v>
      </c>
      <c r="G18" s="73" t="str">
        <f ca="1">IFERROR(IF(COPIA!D12&lt;&gt;0,COPIA!D12,""),"")</f>
        <v>D</v>
      </c>
      <c r="H18" s="73" t="str">
        <f ca="1">IF(E18="FONDO SVALUTAZIONE CREDITI","RETTIFICA CREDITI",IFERROR(IF(COPIA!E12&lt;&gt;0,COPIA!E12,""),""))</f>
        <v>COSTI PLURIENNALI</v>
      </c>
      <c r="I18" s="73" t="str">
        <f ca="1">IFERROR(IF(COPIA!F12&lt;&gt;0,COPIA!F12,""),"")</f>
        <v>SP DARE</v>
      </c>
      <c r="N18" s="21"/>
    </row>
    <row r="19" spans="1:14" ht="20.100000000000001" customHeight="1" x14ac:dyDescent="0.3">
      <c r="A19" s="16"/>
      <c r="B19" s="52"/>
      <c r="C19" s="16"/>
      <c r="D19" s="73" t="str">
        <f ca="1">IFERROR(IF(COPIA!A13&lt;&gt;0,COPIA!A13,""),"")</f>
        <v>01.06</v>
      </c>
      <c r="E19" s="75" t="str">
        <f ca="1">IFERROR(IF(COPIA!B13&lt;&gt;0,COPIA!B13,""),"")</f>
        <v>AVVIAMENTO</v>
      </c>
      <c r="F19" s="73" t="str">
        <f ca="1">IFERROR(IF(COPIA!C13&lt;&gt;0,COPIA!C13,""),"")</f>
        <v>E</v>
      </c>
      <c r="G19" s="73" t="str">
        <f ca="1">IFERROR(IF(COPIA!D13&lt;&gt;0,COPIA!D13,""),"")</f>
        <v>D</v>
      </c>
      <c r="H19" s="73" t="str">
        <f ca="1">IF(E19="FONDO SVALUTAZIONE CREDITI","RETTIFICA CREDITI",IFERROR(IF(COPIA!E13&lt;&gt;0,COPIA!E13,""),""))</f>
        <v>COSTI PLURIENNALI</v>
      </c>
      <c r="I19" s="73" t="str">
        <f ca="1">IFERROR(IF(COPIA!F13&lt;&gt;0,COPIA!F13,""),"")</f>
        <v>SP DARE</v>
      </c>
      <c r="N19" s="21"/>
    </row>
    <row r="20" spans="1:14" ht="20.100000000000001" customHeight="1" x14ac:dyDescent="0.3">
      <c r="A20" s="16"/>
      <c r="B20" s="52"/>
      <c r="C20" s="16"/>
      <c r="D20" s="73" t="str">
        <f ca="1">IFERROR(IF(COPIA!A14&lt;&gt;0,COPIA!A14,""),"")</f>
        <v>01.11</v>
      </c>
      <c r="E20" s="75" t="str">
        <f ca="1">IFERROR(IF(COPIA!B14&lt;&gt;0,COPIA!B14,""),"")</f>
        <v>FONDO AMMORTAMENTO COSTI DI IMPIANTO</v>
      </c>
      <c r="F20" s="73" t="str">
        <f ca="1">IFERROR(IF(COPIA!C14&lt;&gt;0,COPIA!C14,""),"")</f>
        <v>E</v>
      </c>
      <c r="G20" s="73" t="str">
        <f ca="1">IFERROR(IF(COPIA!D14&lt;&gt;0,COPIA!D14,""),"")</f>
        <v>A</v>
      </c>
      <c r="H20" s="73" t="str">
        <f ca="1">IF(E20="FONDO SVALUTAZIONE CREDITI","RETTIFICA CREDITI",IFERROR(IF(COPIA!E14&lt;&gt;0,COPIA!E14,""),""))</f>
        <v>RETTIFICHE COSTI PLURIENNALI</v>
      </c>
      <c r="I20" s="73" t="str">
        <f ca="1">IFERROR(IF(COPIA!F14&lt;&gt;0,COPIA!F14,""),"")</f>
        <v>SP AVERE</v>
      </c>
      <c r="N20" s="21"/>
    </row>
    <row r="21" spans="1:14" ht="20.100000000000001" customHeight="1" x14ac:dyDescent="0.3">
      <c r="A21" s="16"/>
      <c r="B21" s="52"/>
      <c r="C21" s="16"/>
      <c r="D21" s="73" t="str">
        <f ca="1">IFERROR(IF(COPIA!A15&lt;&gt;0,COPIA!A15,""),"")</f>
        <v>01.12</v>
      </c>
      <c r="E21" s="75" t="str">
        <f ca="1">IFERROR(IF(COPIA!B15&lt;&gt;0,COPIA!B15,""),"")</f>
        <v>FONDO AMMORTAMENTO COSTI DI AMPLIAMENTO</v>
      </c>
      <c r="F21" s="73" t="str">
        <f ca="1">IFERROR(IF(COPIA!C15&lt;&gt;0,COPIA!C15,""),"")</f>
        <v>E</v>
      </c>
      <c r="G21" s="73" t="str">
        <f ca="1">IFERROR(IF(COPIA!D15&lt;&gt;0,COPIA!D15,""),"")</f>
        <v>A</v>
      </c>
      <c r="H21" s="73" t="str">
        <f ca="1">IF(E21="FONDO SVALUTAZIONE CREDITI","RETTIFICA CREDITI",IFERROR(IF(COPIA!E15&lt;&gt;0,COPIA!E15,""),""))</f>
        <v>RETTIFICHE COSTI PLURIENNALI</v>
      </c>
      <c r="I21" s="73" t="str">
        <f ca="1">IFERROR(IF(COPIA!F15&lt;&gt;0,COPIA!F15,""),"")</f>
        <v>SP AVERE</v>
      </c>
      <c r="K21" s="21"/>
      <c r="L21" s="21"/>
      <c r="M21" s="21"/>
      <c r="N21" s="21"/>
    </row>
    <row r="22" spans="1:14" ht="20.100000000000001" customHeight="1" x14ac:dyDescent="0.3">
      <c r="A22" s="16"/>
      <c r="B22" s="52"/>
      <c r="C22" s="16"/>
      <c r="D22" s="73" t="str">
        <f ca="1">IFERROR(IF(COPIA!A16&lt;&gt;0,COPIA!A16,""),"")</f>
        <v>01.13</v>
      </c>
      <c r="E22" s="75" t="str">
        <f ca="1">IFERROR(IF(COPIA!B16&lt;&gt;0,COPIA!B16,""),"")</f>
        <v>FONDO AMMORTAMENTO COSTI DI SVILUPPO</v>
      </c>
      <c r="F22" s="73" t="str">
        <f ca="1">IFERROR(IF(COPIA!C16&lt;&gt;0,COPIA!C16,""),"")</f>
        <v>E</v>
      </c>
      <c r="G22" s="73" t="str">
        <f ca="1">IFERROR(IF(COPIA!D16&lt;&gt;0,COPIA!D16,""),"")</f>
        <v>A</v>
      </c>
      <c r="H22" s="73" t="str">
        <f ca="1">IF(E22="FONDO SVALUTAZIONE CREDITI","RETTIFICA CREDITI",IFERROR(IF(COPIA!E16&lt;&gt;0,COPIA!E16,""),""))</f>
        <v>RETTIFICHE COSTI PLURIENNALI</v>
      </c>
      <c r="I22" s="73" t="str">
        <f ca="1">IFERROR(IF(COPIA!F16&lt;&gt;0,COPIA!F16,""),"")</f>
        <v>SP AVERE</v>
      </c>
      <c r="K22" s="21"/>
      <c r="L22" s="21"/>
      <c r="M22" s="21"/>
      <c r="N22" s="21"/>
    </row>
    <row r="23" spans="1:14" ht="20.100000000000001" customHeight="1" x14ac:dyDescent="0.3">
      <c r="A23" s="16"/>
      <c r="B23" s="52"/>
      <c r="C23" s="16"/>
      <c r="D23" s="73" t="str">
        <f ca="1">IFERROR(IF(COPIA!A17&lt;&gt;0,COPIA!A17,""),"")</f>
        <v>01.14</v>
      </c>
      <c r="E23" s="75" t="str">
        <f ca="1">IFERROR(IF(COPIA!B17&lt;&gt;0,COPIA!B17,""),"")</f>
        <v>FONDO AMMORTAMENTO BREVETTI</v>
      </c>
      <c r="F23" s="73" t="str">
        <f ca="1">IFERROR(IF(COPIA!C17&lt;&gt;0,COPIA!C17,""),"")</f>
        <v>E</v>
      </c>
      <c r="G23" s="73" t="str">
        <f ca="1">IFERROR(IF(COPIA!D17&lt;&gt;0,COPIA!D17,""),"")</f>
        <v>A</v>
      </c>
      <c r="H23" s="73" t="str">
        <f ca="1">IF(E23="FONDO SVALUTAZIONE CREDITI","RETTIFICA CREDITI",IFERROR(IF(COPIA!E17&lt;&gt;0,COPIA!E17,""),""))</f>
        <v>RETTIFICHE COSTI PLURIENNALI</v>
      </c>
      <c r="I23" s="73" t="str">
        <f ca="1">IFERROR(IF(COPIA!F17&lt;&gt;0,COPIA!F17,""),"")</f>
        <v>SP AVERE</v>
      </c>
      <c r="K23" s="21"/>
      <c r="L23" s="21"/>
      <c r="M23" s="21"/>
      <c r="N23" s="21"/>
    </row>
    <row r="24" spans="1:14" ht="20.100000000000001" customHeight="1" x14ac:dyDescent="0.3">
      <c r="A24" s="16"/>
      <c r="B24" s="52"/>
      <c r="C24" s="16"/>
      <c r="D24" s="73" t="str">
        <f ca="1">IFERROR(IF(COPIA!A18&lt;&gt;0,COPIA!A18,""),"")</f>
        <v>01.15</v>
      </c>
      <c r="E24" s="75" t="str">
        <f ca="1">IFERROR(IF(COPIA!B18&lt;&gt;0,COPIA!B18,""),"")</f>
        <v>FONDO AMMORTAMENTO SOFTWARE</v>
      </c>
      <c r="F24" s="73" t="str">
        <f ca="1">IFERROR(IF(COPIA!C18&lt;&gt;0,COPIA!C18,""),"")</f>
        <v>E</v>
      </c>
      <c r="G24" s="73" t="str">
        <f ca="1">IFERROR(IF(COPIA!D18&lt;&gt;0,COPIA!D18,""),"")</f>
        <v>A</v>
      </c>
      <c r="H24" s="73" t="str">
        <f ca="1">IF(E24="FONDO SVALUTAZIONE CREDITI","RETTIFICA CREDITI",IFERROR(IF(COPIA!E18&lt;&gt;0,COPIA!E18,""),""))</f>
        <v>RETTIFICHE COSTI PLURIENNALI</v>
      </c>
      <c r="I24" s="73" t="str">
        <f ca="1">IFERROR(IF(COPIA!F18&lt;&gt;0,COPIA!F18,""),"")</f>
        <v>SP AVERE</v>
      </c>
      <c r="N24" s="21"/>
    </row>
    <row r="25" spans="1:14" ht="20.100000000000001" customHeight="1" x14ac:dyDescent="0.3">
      <c r="A25" s="16"/>
      <c r="B25" s="52"/>
      <c r="C25" s="16"/>
      <c r="D25" s="73" t="str">
        <f ca="1">IFERROR(IF(COPIA!A19&lt;&gt;0,COPIA!A19,""),"")</f>
        <v>01.16</v>
      </c>
      <c r="E25" s="75" t="str">
        <f ca="1">IFERROR(IF(COPIA!B19&lt;&gt;0,COPIA!B19,""),"")</f>
        <v>FONDO AMMORTAMENTO AVVIAMENTO</v>
      </c>
      <c r="F25" s="73" t="str">
        <f ca="1">IFERROR(IF(COPIA!C19&lt;&gt;0,COPIA!C19,""),"")</f>
        <v>E</v>
      </c>
      <c r="G25" s="73" t="str">
        <f ca="1">IFERROR(IF(COPIA!D19&lt;&gt;0,COPIA!D19,""),"")</f>
        <v>A</v>
      </c>
      <c r="H25" s="73" t="str">
        <f ca="1">IF(E25="FONDO SVALUTAZIONE CREDITI","RETTIFICA CREDITI",IFERROR(IF(COPIA!E19&lt;&gt;0,COPIA!E19,""),""))</f>
        <v>RETTIFICHE COSTI PLURIENNALI</v>
      </c>
      <c r="I25" s="73" t="str">
        <f ca="1">IFERROR(IF(COPIA!F19&lt;&gt;0,COPIA!F19,""),"")</f>
        <v>SP AVERE</v>
      </c>
      <c r="N25" s="21"/>
    </row>
    <row r="26" spans="1:14" ht="20.100000000000001" customHeight="1" x14ac:dyDescent="0.3">
      <c r="A26" s="16"/>
      <c r="B26" s="52"/>
      <c r="C26" s="16"/>
      <c r="D26" s="73" t="str">
        <f ca="1">IFERROR(IF(COPIA!A20&lt;&gt;0,COPIA!A20,""),"")</f>
        <v>01.30</v>
      </c>
      <c r="E26" s="75" t="str">
        <f ca="1">IFERROR(IF(COPIA!B20&lt;&gt;0,COPIA!B20,""),"")</f>
        <v>IMMOBILIZZAZIONI IMMATERIALI IN CORSO</v>
      </c>
      <c r="F26" s="73" t="str">
        <f ca="1">IFERROR(IF(COPIA!C20&lt;&gt;0,COPIA!C20,""),"")</f>
        <v>E</v>
      </c>
      <c r="G26" s="73" t="str">
        <f ca="1">IFERROR(IF(COPIA!D20&lt;&gt;0,COPIA!D20,""),"")</f>
        <v>D</v>
      </c>
      <c r="H26" s="73" t="str">
        <f ca="1">IF(E26="FONDO SVALUTAZIONE CREDITI","RETTIFICA CREDITI",IFERROR(IF(COPIA!E20&lt;&gt;0,COPIA!E20,""),""))</f>
        <v>COSTI PLURIENNALI</v>
      </c>
      <c r="I26" s="73" t="str">
        <f ca="1">IFERROR(IF(COPIA!F20&lt;&gt;0,COPIA!F20,""),"")</f>
        <v>SP DARE</v>
      </c>
      <c r="N26" s="21"/>
    </row>
    <row r="27" spans="1:14" ht="20.100000000000001" customHeight="1" x14ac:dyDescent="0.3">
      <c r="A27" s="16"/>
      <c r="B27" s="52"/>
      <c r="C27" s="16"/>
      <c r="D27" s="73" t="str">
        <f ca="1">IFERROR(IF(COPIA!A21&lt;&gt;0,COPIA!A21,""),"")</f>
        <v>01.31</v>
      </c>
      <c r="E27" s="75" t="str">
        <f ca="1">IFERROR(IF(COPIA!B21&lt;&gt;0,COPIA!B21,""),"")</f>
        <v>FORNITORI IMMOBILIZZAZIONI IMMATERIALI C/ACCONTI</v>
      </c>
      <c r="F27" s="73" t="str">
        <f ca="1">IFERROR(IF(COPIA!C21&lt;&gt;0,COPIA!C21,""),"")</f>
        <v>F</v>
      </c>
      <c r="G27" s="73" t="str">
        <f ca="1">IFERROR(IF(COPIA!D21&lt;&gt;0,COPIA!D21,""),"")</f>
        <v>D</v>
      </c>
      <c r="H27" s="73" t="str">
        <f ca="1">IF(E27="FONDO SVALUTAZIONE CREDITI","RETTIFICA CREDITI",IFERROR(IF(COPIA!E21&lt;&gt;0,COPIA!E21,""),""))</f>
        <v>CREDITI</v>
      </c>
      <c r="I27" s="73" t="str">
        <f ca="1">IFERROR(IF(COPIA!F21&lt;&gt;0,COPIA!F21,""),"")</f>
        <v>SP DARE</v>
      </c>
    </row>
    <row r="28" spans="1:14" ht="20.100000000000001" customHeight="1" x14ac:dyDescent="0.3">
      <c r="A28" s="16"/>
      <c r="B28" s="52"/>
      <c r="C28" s="16"/>
      <c r="D28" s="73" t="str">
        <f ca="1">IFERROR(IF(COPIA!A22&lt;&gt;0,COPIA!A22,""),"")</f>
        <v>02.00</v>
      </c>
      <c r="E28" s="75" t="str">
        <f ca="1">IFERROR(IF(COPIA!B22&lt;&gt;0,COPIA!B22,""),"")</f>
        <v>IMMOBILIZZAZIONI MATERIALI</v>
      </c>
      <c r="F28" s="73" t="str">
        <f ca="1">IFERROR(IF(COPIA!C22&lt;&gt;0,COPIA!C22,""),"")</f>
        <v/>
      </c>
      <c r="G28" s="73" t="str">
        <f ca="1">IFERROR(IF(COPIA!D22&lt;&gt;0,COPIA!D22,""),"")</f>
        <v/>
      </c>
      <c r="H28" s="73" t="str">
        <f ca="1">IF(E28="FONDO SVALUTAZIONE CREDITI","RETTIFICA CREDITI",IFERROR(IF(COPIA!E22&lt;&gt;0,COPIA!E22,""),""))</f>
        <v/>
      </c>
      <c r="I28" s="73" t="str">
        <f ca="1">IFERROR(IF(COPIA!F22&lt;&gt;0,COPIA!F22,""),"")</f>
        <v/>
      </c>
    </row>
    <row r="29" spans="1:14" ht="20.100000000000001" customHeight="1" x14ac:dyDescent="0.3">
      <c r="A29" s="16"/>
      <c r="B29" s="52"/>
      <c r="C29" s="16"/>
      <c r="D29" s="73" t="str">
        <f ca="1">IFERROR(IF(COPIA!A23&lt;&gt;0,COPIA!A23,""),"")</f>
        <v>02.01</v>
      </c>
      <c r="E29" s="75" t="str">
        <f ca="1">IFERROR(IF(COPIA!B23&lt;&gt;0,COPIA!B23,""),"")</f>
        <v>TERRENI E FABBRICATI</v>
      </c>
      <c r="F29" s="73" t="str">
        <f ca="1">IFERROR(IF(COPIA!C23&lt;&gt;0,COPIA!C23,""),"")</f>
        <v>E</v>
      </c>
      <c r="G29" s="73" t="str">
        <f ca="1">IFERROR(IF(COPIA!D23&lt;&gt;0,COPIA!D23,""),"")</f>
        <v>D</v>
      </c>
      <c r="H29" s="73" t="str">
        <f ca="1">IF(E29="FONDO SVALUTAZIONE CREDITI","RETTIFICA CREDITI",IFERROR(IF(COPIA!E23&lt;&gt;0,COPIA!E23,""),""))</f>
        <v>COSTI PLURIENNALI</v>
      </c>
      <c r="I29" s="73" t="str">
        <f ca="1">IFERROR(IF(COPIA!F23&lt;&gt;0,COPIA!F23,""),"")</f>
        <v>SP DARE</v>
      </c>
    </row>
    <row r="30" spans="1:14" ht="20.100000000000001" customHeight="1" x14ac:dyDescent="0.3">
      <c r="A30" s="16"/>
      <c r="B30" s="52"/>
      <c r="C30" s="16"/>
      <c r="D30" s="73" t="str">
        <f ca="1">IFERROR(IF(COPIA!A24&lt;&gt;0,COPIA!A24,""),"")</f>
        <v>02.02</v>
      </c>
      <c r="E30" s="75" t="str">
        <f ca="1">IFERROR(IF(COPIA!B24&lt;&gt;0,COPIA!B24,""),"")</f>
        <v>IMPIANTI E MACCHINARI</v>
      </c>
      <c r="F30" s="73" t="str">
        <f ca="1">IFERROR(IF(COPIA!C24&lt;&gt;0,COPIA!C24,""),"")</f>
        <v>E</v>
      </c>
      <c r="G30" s="73" t="str">
        <f ca="1">IFERROR(IF(COPIA!D24&lt;&gt;0,COPIA!D24,""),"")</f>
        <v>D</v>
      </c>
      <c r="H30" s="73" t="str">
        <f ca="1">IF(E30="FONDO SVALUTAZIONE CREDITI","RETTIFICA CREDITI",IFERROR(IF(COPIA!E24&lt;&gt;0,COPIA!E24,""),""))</f>
        <v>COSTI PLURIENNALI</v>
      </c>
      <c r="I30" s="73" t="str">
        <f ca="1">IFERROR(IF(COPIA!F24&lt;&gt;0,COPIA!F24,""),"")</f>
        <v>SP DARE</v>
      </c>
    </row>
    <row r="31" spans="1:14" ht="20.100000000000001" customHeight="1" x14ac:dyDescent="0.3">
      <c r="A31" s="16"/>
      <c r="B31" s="52"/>
      <c r="C31" s="16"/>
      <c r="D31" s="73" t="str">
        <f ca="1">IFERROR(IF(COPIA!A25&lt;&gt;0,COPIA!A25,""),"")</f>
        <v>02.03</v>
      </c>
      <c r="E31" s="75" t="str">
        <f ca="1">IFERROR(IF(COPIA!B25&lt;&gt;0,COPIA!B25,""),"")</f>
        <v>ATTREZZATURE INDUSTRIALI</v>
      </c>
      <c r="F31" s="73" t="str">
        <f ca="1">IFERROR(IF(COPIA!C25&lt;&gt;0,COPIA!C25,""),"")</f>
        <v>E</v>
      </c>
      <c r="G31" s="73" t="str">
        <f ca="1">IFERROR(IF(COPIA!D25&lt;&gt;0,COPIA!D25,""),"")</f>
        <v>D</v>
      </c>
      <c r="H31" s="73" t="str">
        <f ca="1">IF(E31="FONDO SVALUTAZIONE CREDITI","RETTIFICA CREDITI",IFERROR(IF(COPIA!E25&lt;&gt;0,COPIA!E25,""),""))</f>
        <v>COSTI PLURIENNALI</v>
      </c>
      <c r="I31" s="73" t="str">
        <f ca="1">IFERROR(IF(COPIA!F25&lt;&gt;0,COPIA!F25,""),"")</f>
        <v>SP DARE</v>
      </c>
    </row>
    <row r="32" spans="1:14" ht="20.100000000000001" customHeight="1" x14ac:dyDescent="0.3">
      <c r="B32" s="52"/>
      <c r="D32" s="73" t="str">
        <f ca="1">IFERROR(IF(COPIA!A26&lt;&gt;0,COPIA!A26,""),"")</f>
        <v>02.04</v>
      </c>
      <c r="E32" s="75" t="str">
        <f ca="1">IFERROR(IF(COPIA!B26&lt;&gt;0,COPIA!B26,""),"")</f>
        <v>ATTREZZATURE COMMERCIALI</v>
      </c>
      <c r="F32" s="73" t="str">
        <f ca="1">IFERROR(IF(COPIA!C26&lt;&gt;0,COPIA!C26,""),"")</f>
        <v>E</v>
      </c>
      <c r="G32" s="73" t="str">
        <f ca="1">IFERROR(IF(COPIA!D26&lt;&gt;0,COPIA!D26,""),"")</f>
        <v>D</v>
      </c>
      <c r="H32" s="73" t="str">
        <f ca="1">IF(E32="FONDO SVALUTAZIONE CREDITI","RETTIFICA CREDITI",IFERROR(IF(COPIA!E26&lt;&gt;0,COPIA!E26,""),""))</f>
        <v>COSTI PLURIENNALI</v>
      </c>
      <c r="I32" s="73" t="str">
        <f ca="1">IFERROR(IF(COPIA!F26&lt;&gt;0,COPIA!F26,""),"")</f>
        <v>SP DARE</v>
      </c>
    </row>
    <row r="33" spans="2:9" ht="20.100000000000001" customHeight="1" x14ac:dyDescent="0.3">
      <c r="B33" s="52"/>
      <c r="D33" s="73" t="str">
        <f ca="1">IFERROR(IF(COPIA!A27&lt;&gt;0,COPIA!A27,""),"")</f>
        <v>02.05</v>
      </c>
      <c r="E33" s="75" t="str">
        <f ca="1">IFERROR(IF(COPIA!B27&lt;&gt;0,COPIA!B27,""),"")</f>
        <v>MACCHINE D'UFFICIO</v>
      </c>
      <c r="F33" s="73" t="str">
        <f ca="1">IFERROR(IF(COPIA!C27&lt;&gt;0,COPIA!C27,""),"")</f>
        <v>E</v>
      </c>
      <c r="G33" s="73" t="str">
        <f ca="1">IFERROR(IF(COPIA!D27&lt;&gt;0,COPIA!D27,""),"")</f>
        <v>D</v>
      </c>
      <c r="H33" s="73" t="str">
        <f ca="1">IF(E33="FONDO SVALUTAZIONE CREDITI","RETTIFICA CREDITI",IFERROR(IF(COPIA!E27&lt;&gt;0,COPIA!E27,""),""))</f>
        <v>COSTI PLURIENNALI</v>
      </c>
      <c r="I33" s="73" t="str">
        <f ca="1">IFERROR(IF(COPIA!F27&lt;&gt;0,COPIA!F27,""),"")</f>
        <v>SP DARE</v>
      </c>
    </row>
    <row r="34" spans="2:9" ht="20.100000000000001" customHeight="1" x14ac:dyDescent="0.3">
      <c r="B34" s="52"/>
      <c r="D34" s="73" t="str">
        <f ca="1">IFERROR(IF(COPIA!A28&lt;&gt;0,COPIA!A28,""),"")</f>
        <v>02.06</v>
      </c>
      <c r="E34" s="75" t="str">
        <f ca="1">IFERROR(IF(COPIA!B28&lt;&gt;0,COPIA!B28,""),"")</f>
        <v>ARREDAMENTO</v>
      </c>
      <c r="F34" s="73" t="str">
        <f ca="1">IFERROR(IF(COPIA!C28&lt;&gt;0,COPIA!C28,""),"")</f>
        <v>E</v>
      </c>
      <c r="G34" s="73" t="str">
        <f ca="1">IFERROR(IF(COPIA!D28&lt;&gt;0,COPIA!D28,""),"")</f>
        <v>D</v>
      </c>
      <c r="H34" s="73" t="str">
        <f ca="1">IF(E34="FONDO SVALUTAZIONE CREDITI","RETTIFICA CREDITI",IFERROR(IF(COPIA!E28&lt;&gt;0,COPIA!E28,""),""))</f>
        <v>COSTI PLURIENNALI</v>
      </c>
      <c r="I34" s="73" t="str">
        <f ca="1">IFERROR(IF(COPIA!F28&lt;&gt;0,COPIA!F28,""),"")</f>
        <v>SP DARE</v>
      </c>
    </row>
    <row r="35" spans="2:9" ht="20.100000000000001" customHeight="1" x14ac:dyDescent="0.3">
      <c r="B35" s="52"/>
      <c r="D35" s="73" t="str">
        <f ca="1">IFERROR(IF(COPIA!A29&lt;&gt;0,COPIA!A29,""),"")</f>
        <v>02.07</v>
      </c>
      <c r="E35" s="75" t="str">
        <f ca="1">IFERROR(IF(COPIA!B29&lt;&gt;0,COPIA!B29,""),"")</f>
        <v>AUTOMEZZI</v>
      </c>
      <c r="F35" s="73" t="str">
        <f ca="1">IFERROR(IF(COPIA!C29&lt;&gt;0,COPIA!C29,""),"")</f>
        <v>E</v>
      </c>
      <c r="G35" s="73" t="str">
        <f ca="1">IFERROR(IF(COPIA!D29&lt;&gt;0,COPIA!D29,""),"")</f>
        <v>D</v>
      </c>
      <c r="H35" s="73" t="str">
        <f ca="1">IF(E35="FONDO SVALUTAZIONE CREDITI","RETTIFICA CREDITI",IFERROR(IF(COPIA!E29&lt;&gt;0,COPIA!E29,""),""))</f>
        <v>COSTI PLURIENNALI</v>
      </c>
      <c r="I35" s="73" t="str">
        <f ca="1">IFERROR(IF(COPIA!F29&lt;&gt;0,COPIA!F29,""),"")</f>
        <v>SP DARE</v>
      </c>
    </row>
    <row r="36" spans="2:9" ht="20.100000000000001" customHeight="1" x14ac:dyDescent="0.3">
      <c r="B36" s="52"/>
      <c r="D36" s="73" t="str">
        <f ca="1">IFERROR(IF(COPIA!A30&lt;&gt;0,COPIA!A30,""),"")</f>
        <v>02.08</v>
      </c>
      <c r="E36" s="75" t="str">
        <f ca="1">IFERROR(IF(COPIA!B30&lt;&gt;0,COPIA!B30,""),"")</f>
        <v>IMBALLAGGI DUREVOLI</v>
      </c>
      <c r="F36" s="73" t="str">
        <f ca="1">IFERROR(IF(COPIA!C30&lt;&gt;0,COPIA!C30,""),"")</f>
        <v>E</v>
      </c>
      <c r="G36" s="73" t="str">
        <f ca="1">IFERROR(IF(COPIA!D30&lt;&gt;0,COPIA!D30,""),"")</f>
        <v>D</v>
      </c>
      <c r="H36" s="73" t="str">
        <f ca="1">IF(E36="FONDO SVALUTAZIONE CREDITI","RETTIFICA CREDITI",IFERROR(IF(COPIA!E30&lt;&gt;0,COPIA!E30,""),""))</f>
        <v>COSTI PLURIENNALI</v>
      </c>
      <c r="I36" s="73" t="str">
        <f ca="1">IFERROR(IF(COPIA!F30&lt;&gt;0,COPIA!F30,""),"")</f>
        <v>SP DARE</v>
      </c>
    </row>
    <row r="37" spans="2:9" ht="20.100000000000001" customHeight="1" x14ac:dyDescent="0.3">
      <c r="B37" s="52"/>
      <c r="D37" s="73" t="str">
        <f ca="1">IFERROR(IF(COPIA!A31&lt;&gt;0,COPIA!A31,""),"")</f>
        <v>02.11</v>
      </c>
      <c r="E37" s="75" t="str">
        <f ca="1">IFERROR(IF(COPIA!B31&lt;&gt;0,COPIA!B31,""),"")</f>
        <v>FONDO AMMORTAMENTO FABBRICATI</v>
      </c>
      <c r="F37" s="73" t="str">
        <f ca="1">IFERROR(IF(COPIA!C31&lt;&gt;0,COPIA!C31,""),"")</f>
        <v>E</v>
      </c>
      <c r="G37" s="73" t="str">
        <f ca="1">IFERROR(IF(COPIA!D31&lt;&gt;0,COPIA!D31,""),"")</f>
        <v>A</v>
      </c>
      <c r="H37" s="73" t="str">
        <f ca="1">IF(E37="FONDO SVALUTAZIONE CREDITI","RETTIFICA CREDITI",IFERROR(IF(COPIA!E31&lt;&gt;0,COPIA!E31,""),""))</f>
        <v>RETTIFICHE COSTI PLURIENNALI</v>
      </c>
      <c r="I37" s="73" t="str">
        <f ca="1">IFERROR(IF(COPIA!F31&lt;&gt;0,COPIA!F31,""),"")</f>
        <v>SP AVERE</v>
      </c>
    </row>
    <row r="38" spans="2:9" ht="20.100000000000001" customHeight="1" x14ac:dyDescent="0.3">
      <c r="B38" s="52"/>
      <c r="D38" s="73" t="str">
        <f ca="1">IFERROR(IF(COPIA!A32&lt;&gt;0,COPIA!A32,""),"")</f>
        <v>02.12</v>
      </c>
      <c r="E38" s="75" t="str">
        <f ca="1">IFERROR(IF(COPIA!B32&lt;&gt;0,COPIA!B32,""),"")</f>
        <v>FONDO AMMORTAMENTO IMPIANTI E MACCHINARI</v>
      </c>
      <c r="F38" s="73" t="str">
        <f ca="1">IFERROR(IF(COPIA!C32&lt;&gt;0,COPIA!C32,""),"")</f>
        <v>E</v>
      </c>
      <c r="G38" s="73" t="str">
        <f ca="1">IFERROR(IF(COPIA!D32&lt;&gt;0,COPIA!D32,""),"")</f>
        <v>A</v>
      </c>
      <c r="H38" s="73" t="str">
        <f ca="1">IF(E38="FONDO SVALUTAZIONE CREDITI","RETTIFICA CREDITI",IFERROR(IF(COPIA!E32&lt;&gt;0,COPIA!E32,""),""))</f>
        <v>RETTIFICHE COSTI PLURIENNALI</v>
      </c>
      <c r="I38" s="73" t="str">
        <f ca="1">IFERROR(IF(COPIA!F32&lt;&gt;0,COPIA!F32,""),"")</f>
        <v>SP AVERE</v>
      </c>
    </row>
    <row r="39" spans="2:9" ht="20.100000000000001" customHeight="1" x14ac:dyDescent="0.3">
      <c r="B39" s="52"/>
      <c r="D39" s="73" t="str">
        <f ca="1">IFERROR(IF(COPIA!A33&lt;&gt;0,COPIA!A33,""),"")</f>
        <v>02.13</v>
      </c>
      <c r="E39" s="75" t="str">
        <f ca="1">IFERROR(IF(COPIA!B33&lt;&gt;0,COPIA!B33,""),"")</f>
        <v>FONDO AMMORTAMENTO ATTREZZATURE INDUSTRIALI</v>
      </c>
      <c r="F39" s="73" t="str">
        <f ca="1">IFERROR(IF(COPIA!C33&lt;&gt;0,COPIA!C33,""),"")</f>
        <v>E</v>
      </c>
      <c r="G39" s="73" t="str">
        <f ca="1">IFERROR(IF(COPIA!D33&lt;&gt;0,COPIA!D33,""),"")</f>
        <v>A</v>
      </c>
      <c r="H39" s="73" t="str">
        <f ca="1">IF(E39="FONDO SVALUTAZIONE CREDITI","RETTIFICA CREDITI",IFERROR(IF(COPIA!E33&lt;&gt;0,COPIA!E33,""),""))</f>
        <v>RETTIFICHE COSTI PLURIENNALI</v>
      </c>
      <c r="I39" s="73" t="str">
        <f ca="1">IFERROR(IF(COPIA!F33&lt;&gt;0,COPIA!F33,""),"")</f>
        <v>SP AVERE</v>
      </c>
    </row>
    <row r="40" spans="2:9" ht="20.100000000000001" customHeight="1" x14ac:dyDescent="0.3">
      <c r="B40" s="52"/>
      <c r="D40" s="73" t="str">
        <f ca="1">IFERROR(IF(COPIA!A34&lt;&gt;0,COPIA!A34,""),"")</f>
        <v>02.14</v>
      </c>
      <c r="E40" s="75" t="str">
        <f ca="1">IFERROR(IF(COPIA!B34&lt;&gt;0,COPIA!B34,""),"")</f>
        <v>FONDO AMMORTAMENTO ATTREZZATURE COMMERCIALI</v>
      </c>
      <c r="F40" s="73" t="str">
        <f ca="1">IFERROR(IF(COPIA!C34&lt;&gt;0,COPIA!C34,""),"")</f>
        <v>E</v>
      </c>
      <c r="G40" s="73" t="str">
        <f ca="1">IFERROR(IF(COPIA!D34&lt;&gt;0,COPIA!D34,""),"")</f>
        <v>A</v>
      </c>
      <c r="H40" s="73" t="str">
        <f ca="1">IF(E40="FONDO SVALUTAZIONE CREDITI","RETTIFICA CREDITI",IFERROR(IF(COPIA!E34&lt;&gt;0,COPIA!E34,""),""))</f>
        <v>RETTIFICHE COSTI PLURIENNALI</v>
      </c>
      <c r="I40" s="73" t="str">
        <f ca="1">IFERROR(IF(COPIA!F34&lt;&gt;0,COPIA!F34,""),"")</f>
        <v>SP AVERE</v>
      </c>
    </row>
    <row r="41" spans="2:9" ht="20.100000000000001" customHeight="1" x14ac:dyDescent="0.3">
      <c r="B41" s="52"/>
      <c r="D41" s="73" t="str">
        <f ca="1">IFERROR(IF(COPIA!A35&lt;&gt;0,COPIA!A35,""),"")</f>
        <v>02.15</v>
      </c>
      <c r="E41" s="75" t="str">
        <f ca="1">IFERROR(IF(COPIA!B35&lt;&gt;0,COPIA!B35,""),"")</f>
        <v>FONDO AMMORTAMENTO MACCHINE D'UFFICIO</v>
      </c>
      <c r="F41" s="73" t="str">
        <f ca="1">IFERROR(IF(COPIA!C35&lt;&gt;0,COPIA!C35,""),"")</f>
        <v>E</v>
      </c>
      <c r="G41" s="73" t="str">
        <f ca="1">IFERROR(IF(COPIA!D35&lt;&gt;0,COPIA!D35,""),"")</f>
        <v>A</v>
      </c>
      <c r="H41" s="73" t="str">
        <f ca="1">IF(E41="FONDO SVALUTAZIONE CREDITI","RETTIFICA CREDITI",IFERROR(IF(COPIA!E35&lt;&gt;0,COPIA!E35,""),""))</f>
        <v>RETTIFICHE COSTI PLURIENNALI</v>
      </c>
      <c r="I41" s="73" t="str">
        <f ca="1">IFERROR(IF(COPIA!F35&lt;&gt;0,COPIA!F35,""),"")</f>
        <v>SP AVERE</v>
      </c>
    </row>
    <row r="42" spans="2:9" ht="20.100000000000001" customHeight="1" x14ac:dyDescent="0.3">
      <c r="B42" s="52"/>
      <c r="D42" s="73" t="str">
        <f ca="1">IFERROR(IF(COPIA!A36&lt;&gt;0,COPIA!A36,""),"")</f>
        <v>02.16</v>
      </c>
      <c r="E42" s="75" t="str">
        <f ca="1">IFERROR(IF(COPIA!B36&lt;&gt;0,COPIA!B36,""),"")</f>
        <v>FONDO AMMORTAMENTO ARREDAMENTO</v>
      </c>
      <c r="F42" s="73" t="str">
        <f ca="1">IFERROR(IF(COPIA!C36&lt;&gt;0,COPIA!C36,""),"")</f>
        <v>E</v>
      </c>
      <c r="G42" s="73" t="str">
        <f ca="1">IFERROR(IF(COPIA!D36&lt;&gt;0,COPIA!D36,""),"")</f>
        <v>A</v>
      </c>
      <c r="H42" s="73" t="str">
        <f ca="1">IF(E42="FONDO SVALUTAZIONE CREDITI","RETTIFICA CREDITI",IFERROR(IF(COPIA!E36&lt;&gt;0,COPIA!E36,""),""))</f>
        <v>RETTIFICHE COSTI PLURIENNALI</v>
      </c>
      <c r="I42" s="73" t="str">
        <f ca="1">IFERROR(IF(COPIA!F36&lt;&gt;0,COPIA!F36,""),"")</f>
        <v>SP AVERE</v>
      </c>
    </row>
    <row r="43" spans="2:9" ht="20.100000000000001" customHeight="1" x14ac:dyDescent="0.3">
      <c r="B43" s="52"/>
      <c r="D43" s="73" t="str">
        <f ca="1">IFERROR(IF(COPIA!A37&lt;&gt;0,COPIA!A37,""),"")</f>
        <v>02.17</v>
      </c>
      <c r="E43" s="75" t="str">
        <f ca="1">IFERROR(IF(COPIA!B37&lt;&gt;0,COPIA!B37,""),"")</f>
        <v>FONDO AMMORTAMENTO AUTOMEZZI</v>
      </c>
      <c r="F43" s="73" t="str">
        <f ca="1">IFERROR(IF(COPIA!C37&lt;&gt;0,COPIA!C37,""),"")</f>
        <v>E</v>
      </c>
      <c r="G43" s="73" t="str">
        <f ca="1">IFERROR(IF(COPIA!D37&lt;&gt;0,COPIA!D37,""),"")</f>
        <v>A</v>
      </c>
      <c r="H43" s="73" t="str">
        <f ca="1">IF(E43="FONDO SVALUTAZIONE CREDITI","RETTIFICA CREDITI",IFERROR(IF(COPIA!E37&lt;&gt;0,COPIA!E37,""),""))</f>
        <v>RETTIFICHE COSTI PLURIENNALI</v>
      </c>
      <c r="I43" s="73" t="str">
        <f ca="1">IFERROR(IF(COPIA!F37&lt;&gt;0,COPIA!F37,""),"")</f>
        <v>SP AVERE</v>
      </c>
    </row>
    <row r="44" spans="2:9" ht="20.100000000000001" customHeight="1" x14ac:dyDescent="0.3">
      <c r="B44" s="52"/>
      <c r="D44" s="73" t="str">
        <f ca="1">IFERROR(IF(COPIA!A38&lt;&gt;0,COPIA!A38,""),"")</f>
        <v>02.18</v>
      </c>
      <c r="E44" s="75" t="str">
        <f ca="1">IFERROR(IF(COPIA!B38&lt;&gt;0,COPIA!B38,""),"")</f>
        <v>FONDO AMMORTAMENTO IMBALLAGGI DUREVOLI</v>
      </c>
      <c r="F44" s="73" t="str">
        <f ca="1">IFERROR(IF(COPIA!C38&lt;&gt;0,COPIA!C38,""),"")</f>
        <v>E</v>
      </c>
      <c r="G44" s="73" t="str">
        <f ca="1">IFERROR(IF(COPIA!D38&lt;&gt;0,COPIA!D38,""),"")</f>
        <v>A</v>
      </c>
      <c r="H44" s="73" t="str">
        <f ca="1">IF(E44="FONDO SVALUTAZIONE CREDITI","RETTIFICA CREDITI",IFERROR(IF(COPIA!E38&lt;&gt;0,COPIA!E38,""),""))</f>
        <v>RETTIFICHE COSTI PLURIENNALI</v>
      </c>
      <c r="I44" s="73" t="str">
        <f ca="1">IFERROR(IF(COPIA!F38&lt;&gt;0,COPIA!F38,""),"")</f>
        <v>SP AVERE</v>
      </c>
    </row>
    <row r="45" spans="2:9" ht="20.100000000000001" customHeight="1" x14ac:dyDescent="0.3">
      <c r="B45" s="52"/>
      <c r="D45" s="73" t="str">
        <f ca="1">IFERROR(IF(COPIA!A39&lt;&gt;0,COPIA!A39,""),"")</f>
        <v>02.20</v>
      </c>
      <c r="E45" s="75" t="str">
        <f ca="1">IFERROR(IF(COPIA!B39&lt;&gt;0,COPIA!B39,""),"")</f>
        <v>FONDO SVALUTAZIONE TERRENI E FABBRICATI</v>
      </c>
      <c r="F45" s="73" t="str">
        <f ca="1">IFERROR(IF(COPIA!C39&lt;&gt;0,COPIA!C39,""),"")</f>
        <v>E</v>
      </c>
      <c r="G45" s="73" t="str">
        <f ca="1">IFERROR(IF(COPIA!D39&lt;&gt;0,COPIA!D39,""),"")</f>
        <v>A</v>
      </c>
      <c r="H45" s="73" t="str">
        <f ca="1">IF(E45="FONDO SVALUTAZIONE CREDITI","RETTIFICA CREDITI",IFERROR(IF(COPIA!E39&lt;&gt;0,COPIA!E39,""),""))</f>
        <v>RETTIFICHE COSTI PLURIENNALI</v>
      </c>
      <c r="I45" s="73" t="str">
        <f ca="1">IFERROR(IF(COPIA!F39&lt;&gt;0,COPIA!F39,""),"")</f>
        <v>SP AVERE</v>
      </c>
    </row>
    <row r="46" spans="2:9" ht="20.100000000000001" customHeight="1" x14ac:dyDescent="0.3">
      <c r="B46" s="52"/>
      <c r="D46" s="73" t="str">
        <f ca="1">IFERROR(IF(COPIA!A40&lt;&gt;0,COPIA!A40,""),"")</f>
        <v>02.21</v>
      </c>
      <c r="E46" s="75" t="str">
        <f ca="1">IFERROR(IF(COPIA!B40&lt;&gt;0,COPIA!B40,""),"")</f>
        <v>FONDO SVALUTAZIONE IMPIANTI E MACCHINARI</v>
      </c>
      <c r="F46" s="73" t="str">
        <f ca="1">IFERROR(IF(COPIA!C40&lt;&gt;0,COPIA!C40,""),"")</f>
        <v>E</v>
      </c>
      <c r="G46" s="73" t="str">
        <f ca="1">IFERROR(IF(COPIA!D40&lt;&gt;0,COPIA!D40,""),"")</f>
        <v>A</v>
      </c>
      <c r="H46" s="73" t="str">
        <f ca="1">IF(E46="FONDO SVALUTAZIONE CREDITI","RETTIFICA CREDITI",IFERROR(IF(COPIA!E40&lt;&gt;0,COPIA!E40,""),""))</f>
        <v>RETTIFICHE COSTI PLURIENNALI</v>
      </c>
      <c r="I46" s="73" t="str">
        <f ca="1">IFERROR(IF(COPIA!F40&lt;&gt;0,COPIA!F40,""),"")</f>
        <v>SP AVERE</v>
      </c>
    </row>
    <row r="47" spans="2:9" ht="20.100000000000001" customHeight="1" x14ac:dyDescent="0.3">
      <c r="B47" s="52"/>
      <c r="D47" s="73" t="str">
        <f ca="1">IFERROR(IF(COPIA!A41&lt;&gt;0,COPIA!A41,""),"")</f>
        <v>02.30</v>
      </c>
      <c r="E47" s="75" t="str">
        <f ca="1">IFERROR(IF(COPIA!B41&lt;&gt;0,COPIA!B41,""),"")</f>
        <v>IMMOBILIZZAZIONI MATERIALI IN CORSO</v>
      </c>
      <c r="F47" s="73" t="str">
        <f ca="1">IFERROR(IF(COPIA!C41&lt;&gt;0,COPIA!C41,""),"")</f>
        <v>E</v>
      </c>
      <c r="G47" s="73" t="str">
        <f ca="1">IFERROR(IF(COPIA!D41&lt;&gt;0,COPIA!D41,""),"")</f>
        <v>D</v>
      </c>
      <c r="H47" s="73" t="str">
        <f ca="1">IF(E47="FONDO SVALUTAZIONE CREDITI","RETTIFICA CREDITI",IFERROR(IF(COPIA!E41&lt;&gt;0,COPIA!E41,""),""))</f>
        <v>COSTI PLURIENNALI</v>
      </c>
      <c r="I47" s="73" t="str">
        <f ca="1">IFERROR(IF(COPIA!F41&lt;&gt;0,COPIA!F41,""),"")</f>
        <v>SP DARE</v>
      </c>
    </row>
    <row r="48" spans="2:9" ht="20.100000000000001" customHeight="1" x14ac:dyDescent="0.3">
      <c r="B48" s="54"/>
      <c r="D48" s="73" t="str">
        <f ca="1">IFERROR(IF(COPIA!A42&lt;&gt;0,COPIA!A42,""),"")</f>
        <v>02.31</v>
      </c>
      <c r="E48" s="75" t="str">
        <f ca="1">IFERROR(IF(COPIA!B42&lt;&gt;0,COPIA!B42,""),"")</f>
        <v>FORNITORI IMMOBILIZZAZIONI MATERIALI C/ACCONTI</v>
      </c>
      <c r="F48" s="73" t="str">
        <f ca="1">IFERROR(IF(COPIA!C42&lt;&gt;0,COPIA!C42,""),"")</f>
        <v>F</v>
      </c>
      <c r="G48" s="73" t="str">
        <f ca="1">IFERROR(IF(COPIA!D42&lt;&gt;0,COPIA!D42,""),"")</f>
        <v>D</v>
      </c>
      <c r="H48" s="73" t="str">
        <f ca="1">IF(E48="FONDO SVALUTAZIONE CREDITI","RETTIFICA CREDITI",IFERROR(IF(COPIA!E42&lt;&gt;0,COPIA!E42,""),""))</f>
        <v>CREDITI</v>
      </c>
      <c r="I48" s="73" t="str">
        <f ca="1">IFERROR(IF(COPIA!F42&lt;&gt;0,COPIA!F42,""),"")</f>
        <v>SP DARE</v>
      </c>
    </row>
    <row r="49" spans="2:9" ht="20.100000000000001" customHeight="1" x14ac:dyDescent="0.3">
      <c r="B49" s="54"/>
      <c r="D49" s="73" t="str">
        <f ca="1">IFERROR(IF(COPIA!A43&lt;&gt;0,COPIA!A43,""),"")</f>
        <v>03.00</v>
      </c>
      <c r="E49" s="75" t="str">
        <f ca="1">IFERROR(IF(COPIA!B43&lt;&gt;0,COPIA!B43,""),"")</f>
        <v>IMMOBILIZZAZIONI FINANZIARIE</v>
      </c>
      <c r="F49" s="73" t="str">
        <f ca="1">IFERROR(IF(COPIA!C43&lt;&gt;0,COPIA!C43,""),"")</f>
        <v/>
      </c>
      <c r="G49" s="73" t="str">
        <f ca="1">IFERROR(IF(COPIA!D43&lt;&gt;0,COPIA!D43,""),"")</f>
        <v/>
      </c>
      <c r="H49" s="73" t="str">
        <f ca="1">IF(E49="FONDO SVALUTAZIONE CREDITI","RETTIFICA CREDITI",IFERROR(IF(COPIA!E43&lt;&gt;0,COPIA!E43,""),""))</f>
        <v/>
      </c>
      <c r="I49" s="73" t="str">
        <f ca="1">IFERROR(IF(COPIA!F43&lt;&gt;0,COPIA!F43,""),"")</f>
        <v/>
      </c>
    </row>
    <row r="50" spans="2:9" ht="20.100000000000001" customHeight="1" x14ac:dyDescent="0.3">
      <c r="B50" s="54"/>
      <c r="D50" s="73" t="str">
        <f ca="1">IFERROR(IF(COPIA!A44&lt;&gt;0,COPIA!A44,""),"")</f>
        <v>03.01</v>
      </c>
      <c r="E50" s="75" t="str">
        <f ca="1">IFERROR(IF(COPIA!B44&lt;&gt;0,COPIA!B44,""),"")</f>
        <v>PARTECIPAZIONI IN CONTROLLATE</v>
      </c>
      <c r="F50" s="73" t="str">
        <f ca="1">IFERROR(IF(COPIA!C44&lt;&gt;0,COPIA!C44,""),"")</f>
        <v>E</v>
      </c>
      <c r="G50" s="73" t="str">
        <f ca="1">IFERROR(IF(COPIA!D44&lt;&gt;0,COPIA!D44,""),"")</f>
        <v>D</v>
      </c>
      <c r="H50" s="73" t="str">
        <f ca="1">IF(E50="FONDO SVALUTAZIONE CREDITI","RETTIFICA CREDITI",IFERROR(IF(COPIA!E44&lt;&gt;0,COPIA!E44,""),""))</f>
        <v>COSTI SOSPESI</v>
      </c>
      <c r="I50" s="73" t="str">
        <f ca="1">IFERROR(IF(COPIA!F44&lt;&gt;0,COPIA!F44,""),"")</f>
        <v>SP DARE</v>
      </c>
    </row>
    <row r="51" spans="2:9" ht="20.100000000000001" customHeight="1" x14ac:dyDescent="0.3">
      <c r="B51" s="54"/>
      <c r="D51" s="73" t="str">
        <f ca="1">IFERROR(IF(COPIA!A45&lt;&gt;0,COPIA!A45,""),"")</f>
        <v>03.02</v>
      </c>
      <c r="E51" s="75" t="str">
        <f ca="1">IFERROR(IF(COPIA!B45&lt;&gt;0,COPIA!B45,""),"")</f>
        <v>PARTECIPAZIONI IN COLLEGATE</v>
      </c>
      <c r="F51" s="73" t="str">
        <f ca="1">IFERROR(IF(COPIA!C45&lt;&gt;0,COPIA!C45,""),"")</f>
        <v>E</v>
      </c>
      <c r="G51" s="73" t="str">
        <f ca="1">IFERROR(IF(COPIA!D45&lt;&gt;0,COPIA!D45,""),"")</f>
        <v>D</v>
      </c>
      <c r="H51" s="73" t="str">
        <f ca="1">IF(E51="FONDO SVALUTAZIONE CREDITI","RETTIFICA CREDITI",IFERROR(IF(COPIA!E45&lt;&gt;0,COPIA!E45,""),""))</f>
        <v>COSTI SOSPESI</v>
      </c>
      <c r="I51" s="73" t="str">
        <f ca="1">IFERROR(IF(COPIA!F45&lt;&gt;0,COPIA!F45,""),"")</f>
        <v>SP DARE</v>
      </c>
    </row>
    <row r="52" spans="2:9" ht="20.100000000000001" customHeight="1" x14ac:dyDescent="0.3">
      <c r="B52" s="54"/>
      <c r="D52" s="73" t="str">
        <f ca="1">IFERROR(IF(COPIA!A46&lt;&gt;0,COPIA!A46,""),"")</f>
        <v>03.03</v>
      </c>
      <c r="E52" s="75" t="str">
        <f ca="1">IFERROR(IF(COPIA!B46&lt;&gt;0,COPIA!B46,""),"")</f>
        <v>PARTECIPAZIONI IN CONTROLLANTE</v>
      </c>
      <c r="F52" s="73" t="str">
        <f ca="1">IFERROR(IF(COPIA!C46&lt;&gt;0,COPIA!C46,""),"")</f>
        <v>E</v>
      </c>
      <c r="G52" s="73" t="str">
        <f ca="1">IFERROR(IF(COPIA!D46&lt;&gt;0,COPIA!D46,""),"")</f>
        <v>D</v>
      </c>
      <c r="H52" s="73" t="str">
        <f ca="1">IF(E52="FONDO SVALUTAZIONE CREDITI","RETTIFICA CREDITI",IFERROR(IF(COPIA!E46&lt;&gt;0,COPIA!E46,""),""))</f>
        <v>COSTI SOSPESI</v>
      </c>
      <c r="I52" s="73" t="str">
        <f ca="1">IFERROR(IF(COPIA!F46&lt;&gt;0,COPIA!F46,""),"")</f>
        <v>SP DARE</v>
      </c>
    </row>
    <row r="53" spans="2:9" ht="20.100000000000001" customHeight="1" x14ac:dyDescent="0.3">
      <c r="B53" s="54"/>
      <c r="D53" s="73" t="str">
        <f ca="1">IFERROR(IF(COPIA!A47&lt;&gt;0,COPIA!A47,""),"")</f>
        <v>03.04</v>
      </c>
      <c r="E53" s="75" t="str">
        <f ca="1">IFERROR(IF(COPIA!B47&lt;&gt;0,COPIA!B47,""),"")</f>
        <v>PARTECIPAZIONI DIVERSE</v>
      </c>
      <c r="F53" s="73" t="str">
        <f ca="1">IFERROR(IF(COPIA!C47&lt;&gt;0,COPIA!C47,""),"")</f>
        <v>E</v>
      </c>
      <c r="G53" s="73" t="str">
        <f ca="1">IFERROR(IF(COPIA!D47&lt;&gt;0,COPIA!D47,""),"")</f>
        <v>D</v>
      </c>
      <c r="H53" s="73" t="str">
        <f ca="1">IF(E53="FONDO SVALUTAZIONE CREDITI","RETTIFICA CREDITI",IFERROR(IF(COPIA!E47&lt;&gt;0,COPIA!E47,""),""))</f>
        <v>COSTI SOSPESI</v>
      </c>
      <c r="I53" s="73" t="str">
        <f ca="1">IFERROR(IF(COPIA!F47&lt;&gt;0,COPIA!F47,""),"")</f>
        <v>SP DARE</v>
      </c>
    </row>
    <row r="54" spans="2:9" ht="20.100000000000001" customHeight="1" x14ac:dyDescent="0.3">
      <c r="D54" s="73" t="str">
        <f ca="1">IFERROR(IF(COPIA!A48&lt;&gt;0,COPIA!A48,""),"")</f>
        <v>03.10</v>
      </c>
      <c r="E54" s="75" t="str">
        <f ca="1">IFERROR(IF(COPIA!B48&lt;&gt;0,COPIA!B48,""),"")</f>
        <v>PRESTITI A CONTROLLATE</v>
      </c>
      <c r="F54" s="73" t="str">
        <f ca="1">IFERROR(IF(COPIA!C48&lt;&gt;0,COPIA!C48,""),"")</f>
        <v>F</v>
      </c>
      <c r="G54" s="73" t="str">
        <f ca="1">IFERROR(IF(COPIA!D48&lt;&gt;0,COPIA!D48,""),"")</f>
        <v>D</v>
      </c>
      <c r="H54" s="73" t="str">
        <f ca="1">IF(E54="FONDO SVALUTAZIONE CREDITI","RETTIFICA CREDITI",IFERROR(IF(COPIA!E48&lt;&gt;0,COPIA!E48,""),""))</f>
        <v>CREDITI</v>
      </c>
      <c r="I54" s="73" t="str">
        <f ca="1">IFERROR(IF(COPIA!F48&lt;&gt;0,COPIA!F48,""),"")</f>
        <v>SP DARE</v>
      </c>
    </row>
    <row r="55" spans="2:9" ht="20.100000000000001" customHeight="1" x14ac:dyDescent="0.3">
      <c r="D55" s="73" t="str">
        <f ca="1">IFERROR(IF(COPIA!A49&lt;&gt;0,COPIA!A49,""),"")</f>
        <v>03.11</v>
      </c>
      <c r="E55" s="75" t="str">
        <f ca="1">IFERROR(IF(COPIA!B49&lt;&gt;0,COPIA!B49,""),"")</f>
        <v>PRESTITI A COLLEGATE</v>
      </c>
      <c r="F55" s="73" t="str">
        <f ca="1">IFERROR(IF(COPIA!C49&lt;&gt;0,COPIA!C49,""),"")</f>
        <v>F</v>
      </c>
      <c r="G55" s="73" t="str">
        <f ca="1">IFERROR(IF(COPIA!D49&lt;&gt;0,COPIA!D49,""),"")</f>
        <v>D</v>
      </c>
      <c r="H55" s="73" t="str">
        <f ca="1">IF(E55="FONDO SVALUTAZIONE CREDITI","RETTIFICA CREDITI",IFERROR(IF(COPIA!E49&lt;&gt;0,COPIA!E49,""),""))</f>
        <v>CREDITI</v>
      </c>
      <c r="I55" s="73" t="str">
        <f ca="1">IFERROR(IF(COPIA!F49&lt;&gt;0,COPIA!F49,""),"")</f>
        <v>SP DARE</v>
      </c>
    </row>
    <row r="56" spans="2:9" ht="20.100000000000001" customHeight="1" x14ac:dyDescent="0.3">
      <c r="D56" s="73" t="str">
        <f ca="1">IFERROR(IF(COPIA!A50&lt;&gt;0,COPIA!A50,""),"")</f>
        <v>03.12</v>
      </c>
      <c r="E56" s="75" t="str">
        <f ca="1">IFERROR(IF(COPIA!B50&lt;&gt;0,COPIA!B50,""),"")</f>
        <v>PRESTITI A CONTROLLANTE</v>
      </c>
      <c r="F56" s="73" t="str">
        <f ca="1">IFERROR(IF(COPIA!C50&lt;&gt;0,COPIA!C50,""),"")</f>
        <v>F</v>
      </c>
      <c r="G56" s="73" t="str">
        <f ca="1">IFERROR(IF(COPIA!D50&lt;&gt;0,COPIA!D50,""),"")</f>
        <v>D</v>
      </c>
      <c r="H56" s="73" t="str">
        <f ca="1">IF(E56="FONDO SVALUTAZIONE CREDITI","RETTIFICA CREDITI",IFERROR(IF(COPIA!E50&lt;&gt;0,COPIA!E50,""),""))</f>
        <v>CREDITI</v>
      </c>
      <c r="I56" s="73" t="str">
        <f ca="1">IFERROR(IF(COPIA!F50&lt;&gt;0,COPIA!F50,""),"")</f>
        <v>SP DARE</v>
      </c>
    </row>
    <row r="57" spans="2:9" ht="20.100000000000001" customHeight="1" x14ac:dyDescent="0.3">
      <c r="D57" s="73" t="str">
        <f ca="1">IFERROR(IF(COPIA!A51&lt;&gt;0,COPIA!A51,""),"")</f>
        <v>03.13</v>
      </c>
      <c r="E57" s="75" t="str">
        <f ca="1">IFERROR(IF(COPIA!B51&lt;&gt;0,COPIA!B51,""),"")</f>
        <v>MUTUI ATTIVI</v>
      </c>
      <c r="F57" s="73" t="str">
        <f ca="1">IFERROR(IF(COPIA!C51&lt;&gt;0,COPIA!C51,""),"")</f>
        <v>F</v>
      </c>
      <c r="G57" s="73" t="str">
        <f ca="1">IFERROR(IF(COPIA!D51&lt;&gt;0,COPIA!D51,""),"")</f>
        <v>D</v>
      </c>
      <c r="H57" s="73" t="str">
        <f ca="1">IF(E57="FONDO SVALUTAZIONE CREDITI","RETTIFICA CREDITI",IFERROR(IF(COPIA!E51&lt;&gt;0,COPIA!E51,""),""))</f>
        <v>CREDITI</v>
      </c>
      <c r="I57" s="73" t="str">
        <f ca="1">IFERROR(IF(COPIA!F51&lt;&gt;0,COPIA!F51,""),"")</f>
        <v>SP DARE</v>
      </c>
    </row>
    <row r="58" spans="2:9" ht="20.100000000000001" customHeight="1" x14ac:dyDescent="0.3">
      <c r="D58" s="73" t="str">
        <f ca="1">IFERROR(IF(COPIA!A52&lt;&gt;0,COPIA!A52,""),"")</f>
        <v>03.30</v>
      </c>
      <c r="E58" s="75" t="str">
        <f ca="1">IFERROR(IF(COPIA!B52&lt;&gt;0,COPIA!B52,""),"")</f>
        <v>TITOLI IMMOBILIZZATI</v>
      </c>
      <c r="F58" s="73" t="str">
        <f ca="1">IFERROR(IF(COPIA!C52&lt;&gt;0,COPIA!C52,""),"")</f>
        <v>E</v>
      </c>
      <c r="G58" s="73" t="str">
        <f ca="1">IFERROR(IF(COPIA!D52&lt;&gt;0,COPIA!D52,""),"")</f>
        <v>D</v>
      </c>
      <c r="H58" s="73" t="str">
        <f ca="1">IF(E58="FONDO SVALUTAZIONE CREDITI","RETTIFICA CREDITI",IFERROR(IF(COPIA!E52&lt;&gt;0,COPIA!E52,""),""))</f>
        <v>COSTI SOSPESI</v>
      </c>
      <c r="I58" s="73" t="str">
        <f ca="1">IFERROR(IF(COPIA!F52&lt;&gt;0,COPIA!F52,""),"")</f>
        <v>SP DARE</v>
      </c>
    </row>
    <row r="59" spans="2:9" ht="20.100000000000001" customHeight="1" x14ac:dyDescent="0.3">
      <c r="D59" s="73" t="str">
        <f ca="1">IFERROR(IF(COPIA!A53&lt;&gt;0,COPIA!A53,""),"")</f>
        <v>04.00</v>
      </c>
      <c r="E59" s="75" t="str">
        <f ca="1">IFERROR(IF(COPIA!B53&lt;&gt;0,COPIA!B53,""),"")</f>
        <v>RIMANENZE</v>
      </c>
      <c r="F59" s="73" t="str">
        <f ca="1">IFERROR(IF(COPIA!C53&lt;&gt;0,COPIA!C53,""),"")</f>
        <v/>
      </c>
      <c r="G59" s="73" t="str">
        <f ca="1">IFERROR(IF(COPIA!D53&lt;&gt;0,COPIA!D53,""),"")</f>
        <v/>
      </c>
      <c r="H59" s="73" t="str">
        <f ca="1">IF(E59="FONDO SVALUTAZIONE CREDITI","RETTIFICA CREDITI",IFERROR(IF(COPIA!E53&lt;&gt;0,COPIA!E53,""),""))</f>
        <v/>
      </c>
      <c r="I59" s="73" t="str">
        <f ca="1">IFERROR(IF(COPIA!F53&lt;&gt;0,COPIA!F53,""),"")</f>
        <v/>
      </c>
    </row>
    <row r="60" spans="2:9" ht="20.100000000000001" customHeight="1" x14ac:dyDescent="0.3">
      <c r="D60" s="73" t="str">
        <f ca="1">IFERROR(IF(COPIA!A54&lt;&gt;0,COPIA!A54,""),"")</f>
        <v>04.01</v>
      </c>
      <c r="E60" s="75" t="str">
        <f ca="1">IFERROR(IF(COPIA!B54&lt;&gt;0,COPIA!B54,""),"")</f>
        <v>MATERIE PRIME</v>
      </c>
      <c r="F60" s="73" t="str">
        <f ca="1">IFERROR(IF(COPIA!C54&lt;&gt;0,COPIA!C54,""),"")</f>
        <v>E</v>
      </c>
      <c r="G60" s="73" t="str">
        <f ca="1">IFERROR(IF(COPIA!D54&lt;&gt;0,COPIA!D54,""),"")</f>
        <v>D</v>
      </c>
      <c r="H60" s="73" t="str">
        <f ca="1">IF(E60="FONDO SVALUTAZIONE CREDITI","RETTIFICA CREDITI",IFERROR(IF(COPIA!E54&lt;&gt;0,COPIA!E54,""),""))</f>
        <v>COSTI SOSPESI</v>
      </c>
      <c r="I60" s="73" t="str">
        <f ca="1">IFERROR(IF(COPIA!F54&lt;&gt;0,COPIA!F54,""),"")</f>
        <v>SP DARE</v>
      </c>
    </row>
    <row r="61" spans="2:9" ht="20.100000000000001" customHeight="1" x14ac:dyDescent="0.3">
      <c r="D61" s="73" t="str">
        <f ca="1">IFERROR(IF(COPIA!A55&lt;&gt;0,COPIA!A55,""),"")</f>
        <v>04.02</v>
      </c>
      <c r="E61" s="75" t="str">
        <f ca="1">IFERROR(IF(COPIA!B55&lt;&gt;0,COPIA!B55,""),"")</f>
        <v>MATERIE SUSSIDIARIE</v>
      </c>
      <c r="F61" s="73" t="str">
        <f ca="1">IFERROR(IF(COPIA!C55&lt;&gt;0,COPIA!C55,""),"")</f>
        <v>E</v>
      </c>
      <c r="G61" s="73" t="str">
        <f ca="1">IFERROR(IF(COPIA!D55&lt;&gt;0,COPIA!D55,""),"")</f>
        <v>D</v>
      </c>
      <c r="H61" s="73" t="str">
        <f ca="1">IF(E61="FONDO SVALUTAZIONE CREDITI","RETTIFICA CREDITI",IFERROR(IF(COPIA!E55&lt;&gt;0,COPIA!E55,""),""))</f>
        <v>COSTI SOSPESI</v>
      </c>
      <c r="I61" s="73" t="str">
        <f ca="1">IFERROR(IF(COPIA!F55&lt;&gt;0,COPIA!F55,""),"")</f>
        <v>SP DARE</v>
      </c>
    </row>
    <row r="62" spans="2:9" ht="20.100000000000001" customHeight="1" x14ac:dyDescent="0.3">
      <c r="D62" s="73" t="str">
        <f ca="1">IFERROR(IF(COPIA!A56&lt;&gt;0,COPIA!A56,""),"")</f>
        <v>04.03</v>
      </c>
      <c r="E62" s="75" t="str">
        <f ca="1">IFERROR(IF(COPIA!B56&lt;&gt;0,COPIA!B56,""),"")</f>
        <v>MATERIE DI CONSUMO</v>
      </c>
      <c r="F62" s="73" t="str">
        <f ca="1">IFERROR(IF(COPIA!C56&lt;&gt;0,COPIA!C56,""),"")</f>
        <v>E</v>
      </c>
      <c r="G62" s="73" t="str">
        <f ca="1">IFERROR(IF(COPIA!D56&lt;&gt;0,COPIA!D56,""),"")</f>
        <v>D</v>
      </c>
      <c r="H62" s="73" t="str">
        <f ca="1">IF(E62="FONDO SVALUTAZIONE CREDITI","RETTIFICA CREDITI",IFERROR(IF(COPIA!E56&lt;&gt;0,COPIA!E56,""),""))</f>
        <v>COSTI SOSPESI</v>
      </c>
      <c r="I62" s="73" t="str">
        <f ca="1">IFERROR(IF(COPIA!F56&lt;&gt;0,COPIA!F56,""),"")</f>
        <v>SP DARE</v>
      </c>
    </row>
    <row r="63" spans="2:9" ht="20.100000000000001" customHeight="1" x14ac:dyDescent="0.3">
      <c r="D63" s="73" t="str">
        <f ca="1">IFERROR(IF(COPIA!A57&lt;&gt;0,COPIA!A57,""),"")</f>
        <v>04.04</v>
      </c>
      <c r="E63" s="75" t="str">
        <f ca="1">IFERROR(IF(COPIA!B57&lt;&gt;0,COPIA!B57,""),"")</f>
        <v>PRODOTTI IN LAVORAZIONE</v>
      </c>
      <c r="F63" s="73" t="str">
        <f ca="1">IFERROR(IF(COPIA!C57&lt;&gt;0,COPIA!C57,""),"")</f>
        <v>E</v>
      </c>
      <c r="G63" s="73" t="str">
        <f ca="1">IFERROR(IF(COPIA!D57&lt;&gt;0,COPIA!D57,""),"")</f>
        <v>D</v>
      </c>
      <c r="H63" s="73" t="str">
        <f ca="1">IF(E63="FONDO SVALUTAZIONE CREDITI","RETTIFICA CREDITI",IFERROR(IF(COPIA!E57&lt;&gt;0,COPIA!E57,""),""))</f>
        <v>COSTI SOSPESI</v>
      </c>
      <c r="I63" s="73" t="str">
        <f ca="1">IFERROR(IF(COPIA!F57&lt;&gt;0,COPIA!F57,""),"")</f>
        <v>SP DARE</v>
      </c>
    </row>
    <row r="64" spans="2:9" ht="20.100000000000001" customHeight="1" x14ac:dyDescent="0.3">
      <c r="D64" s="73" t="str">
        <f ca="1">IFERROR(IF(COPIA!A58&lt;&gt;0,COPIA!A58,""),"")</f>
        <v>04.05</v>
      </c>
      <c r="E64" s="75" t="str">
        <f ca="1">IFERROR(IF(COPIA!B58&lt;&gt;0,COPIA!B58,""),"")</f>
        <v>SEMILAVORATI</v>
      </c>
      <c r="F64" s="73" t="str">
        <f ca="1">IFERROR(IF(COPIA!C58&lt;&gt;0,COPIA!C58,""),"")</f>
        <v>E</v>
      </c>
      <c r="G64" s="73" t="str">
        <f ca="1">IFERROR(IF(COPIA!D58&lt;&gt;0,COPIA!D58,""),"")</f>
        <v>D</v>
      </c>
      <c r="H64" s="73" t="str">
        <f ca="1">IF(E64="FONDO SVALUTAZIONE CREDITI","RETTIFICA CREDITI",IFERROR(IF(COPIA!E58&lt;&gt;0,COPIA!E58,""),""))</f>
        <v>COSTI SOSPESI</v>
      </c>
      <c r="I64" s="73" t="str">
        <f ca="1">IFERROR(IF(COPIA!F58&lt;&gt;0,COPIA!F58,""),"")</f>
        <v>SP DARE</v>
      </c>
    </row>
    <row r="65" spans="4:9" ht="20.100000000000001" customHeight="1" x14ac:dyDescent="0.3">
      <c r="D65" s="73" t="str">
        <f ca="1">IFERROR(IF(COPIA!A59&lt;&gt;0,COPIA!A59,""),"")</f>
        <v>04.06</v>
      </c>
      <c r="E65" s="75" t="str">
        <f ca="1">IFERROR(IF(COPIA!B59&lt;&gt;0,COPIA!B59,""),"")</f>
        <v>PRODOTTI FINITI</v>
      </c>
      <c r="F65" s="73" t="str">
        <f ca="1">IFERROR(IF(COPIA!C59&lt;&gt;0,COPIA!C59,""),"")</f>
        <v>E</v>
      </c>
      <c r="G65" s="73" t="str">
        <f ca="1">IFERROR(IF(COPIA!D59&lt;&gt;0,COPIA!D59,""),"")</f>
        <v>D</v>
      </c>
      <c r="H65" s="73" t="str">
        <f ca="1">IF(E65="FONDO SVALUTAZIONE CREDITI","RETTIFICA CREDITI",IFERROR(IF(COPIA!E59&lt;&gt;0,COPIA!E59,""),""))</f>
        <v>COSTI SOSPESI</v>
      </c>
      <c r="I65" s="73" t="str">
        <f ca="1">IFERROR(IF(COPIA!F59&lt;&gt;0,COPIA!F59,""),"")</f>
        <v>SP DARE</v>
      </c>
    </row>
    <row r="66" spans="4:9" ht="20.100000000000001" customHeight="1" x14ac:dyDescent="0.3">
      <c r="D66" s="73" t="str">
        <f ca="1">IFERROR(IF(COPIA!A60&lt;&gt;0,COPIA!A60,""),"")</f>
        <v>04.30</v>
      </c>
      <c r="E66" s="75" t="str">
        <f ca="1">IFERROR(IF(COPIA!B60&lt;&gt;0,COPIA!B60,""),"")</f>
        <v>FORNITORI C/ACCONTI</v>
      </c>
      <c r="F66" s="73" t="str">
        <f ca="1">IFERROR(IF(COPIA!C60&lt;&gt;0,COPIA!C60,""),"")</f>
        <v>F</v>
      </c>
      <c r="G66" s="73" t="str">
        <f ca="1">IFERROR(IF(COPIA!D60&lt;&gt;0,COPIA!D60,""),"")</f>
        <v>D</v>
      </c>
      <c r="H66" s="73" t="str">
        <f ca="1">IF(E66="FONDO SVALUTAZIONE CREDITI","RETTIFICA CREDITI",IFERROR(IF(COPIA!E60&lt;&gt;0,COPIA!E60,""),""))</f>
        <v>CREDITI</v>
      </c>
      <c r="I66" s="73" t="str">
        <f ca="1">IFERROR(IF(COPIA!F60&lt;&gt;0,COPIA!F60,""),"")</f>
        <v>SP DARE</v>
      </c>
    </row>
    <row r="67" spans="4:9" ht="20.100000000000001" customHeight="1" x14ac:dyDescent="0.3">
      <c r="D67" s="73" t="str">
        <f ca="1">IFERROR(IF(COPIA!A61&lt;&gt;0,COPIA!A61,""),"")</f>
        <v>05.00</v>
      </c>
      <c r="E67" s="75" t="str">
        <f ca="1">IFERROR(IF(COPIA!B61&lt;&gt;0,COPIA!B61,""),"")</f>
        <v>CREDITI COMMERCIALI</v>
      </c>
      <c r="F67" s="73" t="str">
        <f ca="1">IFERROR(IF(COPIA!C61&lt;&gt;0,COPIA!C61,""),"")</f>
        <v/>
      </c>
      <c r="G67" s="73" t="str">
        <f ca="1">IFERROR(IF(COPIA!D61&lt;&gt;0,COPIA!D61,""),"")</f>
        <v/>
      </c>
      <c r="H67" s="73" t="str">
        <f ca="1">IF(E67="FONDO SVALUTAZIONE CREDITI","RETTIFICA CREDITI",IFERROR(IF(COPIA!E61&lt;&gt;0,COPIA!E61,""),""))</f>
        <v/>
      </c>
      <c r="I67" s="73" t="str">
        <f ca="1">IFERROR(IF(COPIA!F61&lt;&gt;0,COPIA!F61,""),"")</f>
        <v/>
      </c>
    </row>
    <row r="68" spans="4:9" ht="20.100000000000001" customHeight="1" x14ac:dyDescent="0.3">
      <c r="D68" s="73" t="str">
        <f ca="1">IFERROR(IF(COPIA!A62&lt;&gt;0,COPIA!A62,""),"")</f>
        <v>05.01</v>
      </c>
      <c r="E68" s="75" t="str">
        <f ca="1">IFERROR(IF(COPIA!B62&lt;&gt;0,COPIA!B62,""),"")</f>
        <v>CREDITI V/CLIENTI</v>
      </c>
      <c r="F68" s="73" t="str">
        <f ca="1">IFERROR(IF(COPIA!C62&lt;&gt;0,COPIA!C62,""),"")</f>
        <v>F</v>
      </c>
      <c r="G68" s="73" t="str">
        <f ca="1">IFERROR(IF(COPIA!D62&lt;&gt;0,COPIA!D62,""),"")</f>
        <v>D</v>
      </c>
      <c r="H68" s="73" t="str">
        <f ca="1">IF(E68="FONDO SVALUTAZIONE CREDITI","RETTIFICA CREDITI",IFERROR(IF(COPIA!E62&lt;&gt;0,COPIA!E62,""),""))</f>
        <v>CREDITI</v>
      </c>
      <c r="I68" s="73" t="str">
        <f ca="1">IFERROR(IF(COPIA!F62&lt;&gt;0,COPIA!F62,""),"")</f>
        <v>SP DARE</v>
      </c>
    </row>
    <row r="69" spans="4:9" ht="20.100000000000001" customHeight="1" x14ac:dyDescent="0.3">
      <c r="D69" s="73" t="str">
        <f ca="1">IFERROR(IF(COPIA!A63&lt;&gt;0,COPIA!A63,""),"")</f>
        <v>05.02</v>
      </c>
      <c r="E69" s="75" t="str">
        <f ca="1">IFERROR(IF(COPIA!B63&lt;&gt;0,COPIA!B63,""),"")</f>
        <v>FATTURE DA EMETTERE</v>
      </c>
      <c r="F69" s="73" t="str">
        <f ca="1">IFERROR(IF(COPIA!C63&lt;&gt;0,COPIA!C63,""),"")</f>
        <v>F</v>
      </c>
      <c r="G69" s="73" t="str">
        <f ca="1">IFERROR(IF(COPIA!D63&lt;&gt;0,COPIA!D63,""),"")</f>
        <v>D</v>
      </c>
      <c r="H69" s="73" t="str">
        <f ca="1">IF(E69="FONDO SVALUTAZIONE CREDITI","RETTIFICA CREDITI",IFERROR(IF(COPIA!E63&lt;&gt;0,COPIA!E63,""),""))</f>
        <v>CREDITI</v>
      </c>
      <c r="I69" s="73" t="str">
        <f ca="1">IFERROR(IF(COPIA!F63&lt;&gt;0,COPIA!F63,""),"")</f>
        <v>SP DARE</v>
      </c>
    </row>
    <row r="70" spans="4:9" ht="20.100000000000001" customHeight="1" x14ac:dyDescent="0.3">
      <c r="D70" s="73" t="str">
        <f ca="1">IFERROR(IF(COPIA!A64&lt;&gt;0,COPIA!A64,""),"")</f>
        <v>05.03</v>
      </c>
      <c r="E70" s="75" t="str">
        <f ca="1">IFERROR(IF(COPIA!B64&lt;&gt;0,COPIA!B64,""),"")</f>
        <v>CREDITI COMMERCIALI DIVERSI</v>
      </c>
      <c r="F70" s="73" t="str">
        <f ca="1">IFERROR(IF(COPIA!C64&lt;&gt;0,COPIA!C64,""),"")</f>
        <v>F</v>
      </c>
      <c r="G70" s="73" t="str">
        <f ca="1">IFERROR(IF(COPIA!D64&lt;&gt;0,COPIA!D64,""),"")</f>
        <v>D</v>
      </c>
      <c r="H70" s="73" t="str">
        <f ca="1">IF(E70="FONDO SVALUTAZIONE CREDITI","RETTIFICA CREDITI",IFERROR(IF(COPIA!E64&lt;&gt;0,COPIA!E64,""),""))</f>
        <v>CREDITI</v>
      </c>
      <c r="I70" s="73" t="str">
        <f ca="1">IFERROR(IF(COPIA!F64&lt;&gt;0,COPIA!F64,""),"")</f>
        <v>SP DARE</v>
      </c>
    </row>
    <row r="71" spans="4:9" ht="20.100000000000001" customHeight="1" x14ac:dyDescent="0.3">
      <c r="D71" s="73" t="str">
        <f ca="1">IFERROR(IF(COPIA!A65&lt;&gt;0,COPIA!A65,""),"")</f>
        <v>05.04</v>
      </c>
      <c r="E71" s="75" t="str">
        <f ca="1">IFERROR(IF(COPIA!B65&lt;&gt;0,COPIA!B65,""),"")</f>
        <v>CREDITI FATTORIZZATI</v>
      </c>
      <c r="F71" s="73" t="str">
        <f ca="1">IFERROR(IF(COPIA!C65&lt;&gt;0,COPIA!C65,""),"")</f>
        <v>F</v>
      </c>
      <c r="G71" s="73" t="str">
        <f ca="1">IFERROR(IF(COPIA!D65&lt;&gt;0,COPIA!D65,""),"")</f>
        <v>D</v>
      </c>
      <c r="H71" s="73" t="str">
        <f ca="1">IF(E71="FONDO SVALUTAZIONE CREDITI","RETTIFICA CREDITI",IFERROR(IF(COPIA!E65&lt;&gt;0,COPIA!E65,""),""))</f>
        <v>CREDITI</v>
      </c>
      <c r="I71" s="73" t="str">
        <f ca="1">IFERROR(IF(COPIA!F65&lt;&gt;0,COPIA!F65,""),"")</f>
        <v>SP DARE</v>
      </c>
    </row>
    <row r="72" spans="4:9" ht="20.100000000000001" customHeight="1" x14ac:dyDescent="0.3">
      <c r="D72" s="73" t="str">
        <f ca="1">IFERROR(IF(COPIA!A66&lt;&gt;0,COPIA!A66,""),"")</f>
        <v>05.05</v>
      </c>
      <c r="E72" s="75" t="str">
        <f ca="1">IFERROR(IF(COPIA!B66&lt;&gt;0,COPIA!B66,""),"")</f>
        <v>CLIENTI C/COSTI ANTICIPATI</v>
      </c>
      <c r="F72" s="73" t="str">
        <f ca="1">IFERROR(IF(COPIA!C66&lt;&gt;0,COPIA!C66,""),"")</f>
        <v>F</v>
      </c>
      <c r="G72" s="73" t="str">
        <f ca="1">IFERROR(IF(COPIA!D66&lt;&gt;0,COPIA!D66,""),"")</f>
        <v>D</v>
      </c>
      <c r="H72" s="73" t="str">
        <f ca="1">IF(E72="FONDO SVALUTAZIONE CREDITI","RETTIFICA CREDITI",IFERROR(IF(COPIA!E66&lt;&gt;0,COPIA!E66,""),""))</f>
        <v>CREDITI</v>
      </c>
      <c r="I72" s="73" t="str">
        <f ca="1">IFERROR(IF(COPIA!F66&lt;&gt;0,COPIA!F66,""),"")</f>
        <v>SP DARE</v>
      </c>
    </row>
    <row r="73" spans="4:9" ht="20.100000000000001" customHeight="1" x14ac:dyDescent="0.3">
      <c r="D73" s="73" t="str">
        <f ca="1">IFERROR(IF(COPIA!A67&lt;&gt;0,COPIA!A67,""),"")</f>
        <v>05.06</v>
      </c>
      <c r="E73" s="75" t="str">
        <f ca="1">IFERROR(IF(COPIA!B67&lt;&gt;0,COPIA!B67,""),"")</f>
        <v>CAMBIALI ATTIVE</v>
      </c>
      <c r="F73" s="73" t="str">
        <f ca="1">IFERROR(IF(COPIA!C67&lt;&gt;0,COPIA!C67,""),"")</f>
        <v>F</v>
      </c>
      <c r="G73" s="73" t="str">
        <f ca="1">IFERROR(IF(COPIA!D67&lt;&gt;0,COPIA!D67,""),"")</f>
        <v>D</v>
      </c>
      <c r="H73" s="73" t="str">
        <f ca="1">IF(E73="FONDO SVALUTAZIONE CREDITI","RETTIFICA CREDITI",IFERROR(IF(COPIA!E67&lt;&gt;0,COPIA!E67,""),""))</f>
        <v>CREDITI</v>
      </c>
      <c r="I73" s="73" t="str">
        <f ca="1">IFERROR(IF(COPIA!F67&lt;&gt;0,COPIA!F67,""),"")</f>
        <v>SP DARE</v>
      </c>
    </row>
    <row r="74" spans="4:9" ht="20.100000000000001" customHeight="1" x14ac:dyDescent="0.3">
      <c r="D74" s="73" t="str">
        <f ca="1">IFERROR(IF(COPIA!A68&lt;&gt;0,COPIA!A68,""),"")</f>
        <v>05.07</v>
      </c>
      <c r="E74" s="75" t="str">
        <f ca="1">IFERROR(IF(COPIA!B68&lt;&gt;0,COPIA!B68,""),"")</f>
        <v>CAMBIALI ALLO SCONTO</v>
      </c>
      <c r="F74" s="73" t="str">
        <f ca="1">IFERROR(IF(COPIA!C68&lt;&gt;0,COPIA!C68,""),"")</f>
        <v>F</v>
      </c>
      <c r="G74" s="73" t="str">
        <f ca="1">IFERROR(IF(COPIA!D68&lt;&gt;0,COPIA!D68,""),"")</f>
        <v>D</v>
      </c>
      <c r="H74" s="73" t="str">
        <f ca="1">IF(E74="FONDO SVALUTAZIONE CREDITI","RETTIFICA CREDITI",IFERROR(IF(COPIA!E68&lt;&gt;0,COPIA!E68,""),""))</f>
        <v>CREDITI</v>
      </c>
      <c r="I74" s="73" t="str">
        <f ca="1">IFERROR(IF(COPIA!F68&lt;&gt;0,COPIA!F68,""),"")</f>
        <v>SP DARE</v>
      </c>
    </row>
    <row r="75" spans="4:9" ht="20.100000000000001" customHeight="1" x14ac:dyDescent="0.3">
      <c r="D75" s="73" t="str">
        <f ca="1">IFERROR(IF(COPIA!A69&lt;&gt;0,COPIA!A69,""),"")</f>
        <v>05.08</v>
      </c>
      <c r="E75" s="75" t="str">
        <f ca="1">IFERROR(IF(COPIA!B69&lt;&gt;0,COPIA!B69,""),"")</f>
        <v>CAMBIALI ALL'INCASSO</v>
      </c>
      <c r="F75" s="73" t="str">
        <f ca="1">IFERROR(IF(COPIA!C69&lt;&gt;0,COPIA!C69,""),"")</f>
        <v>F</v>
      </c>
      <c r="G75" s="73" t="str">
        <f ca="1">IFERROR(IF(COPIA!D69&lt;&gt;0,COPIA!D69,""),"")</f>
        <v>D</v>
      </c>
      <c r="H75" s="73" t="str">
        <f ca="1">IF(E75="FONDO SVALUTAZIONE CREDITI","RETTIFICA CREDITI",IFERROR(IF(COPIA!E69&lt;&gt;0,COPIA!E69,""),""))</f>
        <v>CREDITI</v>
      </c>
      <c r="I75" s="73" t="str">
        <f ca="1">IFERROR(IF(COPIA!F69&lt;&gt;0,COPIA!F69,""),"")</f>
        <v>SP DARE</v>
      </c>
    </row>
    <row r="76" spans="4:9" ht="20.100000000000001" customHeight="1" x14ac:dyDescent="0.3">
      <c r="D76" s="73" t="str">
        <f ca="1">IFERROR(IF(COPIA!A70&lt;&gt;0,COPIA!A70,""),"")</f>
        <v>05.09</v>
      </c>
      <c r="E76" s="75" t="str">
        <f ca="1">IFERROR(IF(COPIA!B70&lt;&gt;0,COPIA!B70,""),"")</f>
        <v>CREDITI DA LIQUIDARE</v>
      </c>
      <c r="F76" s="73" t="str">
        <f ca="1">IFERROR(IF(COPIA!C70&lt;&gt;0,COPIA!C70,""),"")</f>
        <v>F</v>
      </c>
      <c r="G76" s="73" t="str">
        <f ca="1">IFERROR(IF(COPIA!D70&lt;&gt;0,COPIA!D70,""),"")</f>
        <v>D</v>
      </c>
      <c r="H76" s="73" t="str">
        <f ca="1">IF(E76="FONDO SVALUTAZIONE CREDITI","RETTIFICA CREDITI",IFERROR(IF(COPIA!E70&lt;&gt;0,COPIA!E70,""),""))</f>
        <v>CREDITI</v>
      </c>
      <c r="I76" s="73" t="str">
        <f ca="1">IFERROR(IF(COPIA!F70&lt;&gt;0,COPIA!F70,""),"")</f>
        <v>SP DARE</v>
      </c>
    </row>
    <row r="77" spans="4:9" ht="20.100000000000001" customHeight="1" x14ac:dyDescent="0.3">
      <c r="D77" s="73" t="str">
        <f ca="1">IFERROR(IF(COPIA!A71&lt;&gt;0,COPIA!A71,""),"")</f>
        <v>05.10</v>
      </c>
      <c r="E77" s="75" t="str">
        <f ca="1">IFERROR(IF(COPIA!B71&lt;&gt;0,COPIA!B71,""),"")</f>
        <v>CREDITI INSOLUTI</v>
      </c>
      <c r="F77" s="73" t="str">
        <f ca="1">IFERROR(IF(COPIA!C71&lt;&gt;0,COPIA!C71,""),"")</f>
        <v>F</v>
      </c>
      <c r="G77" s="73" t="str">
        <f ca="1">IFERROR(IF(COPIA!D71&lt;&gt;0,COPIA!D71,""),"")</f>
        <v>D</v>
      </c>
      <c r="H77" s="73" t="str">
        <f ca="1">IF(E77="FONDO SVALUTAZIONE CREDITI","RETTIFICA CREDITI",IFERROR(IF(COPIA!E71&lt;&gt;0,COPIA!E71,""),""))</f>
        <v>CREDITI</v>
      </c>
      <c r="I77" s="73" t="str">
        <f ca="1">IFERROR(IF(COPIA!F71&lt;&gt;0,COPIA!F71,""),"")</f>
        <v>SP DARE</v>
      </c>
    </row>
    <row r="78" spans="4:9" ht="20.100000000000001" customHeight="1" x14ac:dyDescent="0.3">
      <c r="D78" s="73" t="str">
        <f ca="1">IFERROR(IF(COPIA!A72&lt;&gt;0,COPIA!A72,""),"")</f>
        <v>05.11</v>
      </c>
      <c r="E78" s="75" t="str">
        <f ca="1">IFERROR(IF(COPIA!B72&lt;&gt;0,COPIA!B72,""),"")</f>
        <v>CAMBIALI INSOLUTE</v>
      </c>
      <c r="F78" s="73" t="str">
        <f ca="1">IFERROR(IF(COPIA!C72&lt;&gt;0,COPIA!C72,""),"")</f>
        <v>F</v>
      </c>
      <c r="G78" s="73" t="str">
        <f ca="1">IFERROR(IF(COPIA!D72&lt;&gt;0,COPIA!D72,""),"")</f>
        <v>D</v>
      </c>
      <c r="H78" s="73" t="str">
        <f ca="1">IF(E78="FONDO SVALUTAZIONE CREDITI","RETTIFICA CREDITI",IFERROR(IF(COPIA!E72&lt;&gt;0,COPIA!E72,""),""))</f>
        <v>CREDITI</v>
      </c>
      <c r="I78" s="73" t="str">
        <f ca="1">IFERROR(IF(COPIA!F72&lt;&gt;0,COPIA!F72,""),"")</f>
        <v>SP DARE</v>
      </c>
    </row>
    <row r="79" spans="4:9" ht="20.100000000000001" customHeight="1" x14ac:dyDescent="0.3">
      <c r="D79" s="73" t="str">
        <f ca="1">IFERROR(IF(COPIA!A73&lt;&gt;0,COPIA!A73,""),"")</f>
        <v>05.15</v>
      </c>
      <c r="E79" s="75" t="str">
        <f ca="1">IFERROR(IF(COPIA!B73&lt;&gt;0,COPIA!B73,""),"")</f>
        <v>CREDITI PER ACCONTI DA CLIENTI</v>
      </c>
      <c r="F79" s="73" t="str">
        <f ca="1">IFERROR(IF(COPIA!C73&lt;&gt;0,COPIA!C73,""),"")</f>
        <v>F</v>
      </c>
      <c r="G79" s="73" t="str">
        <f ca="1">IFERROR(IF(COPIA!D73&lt;&gt;0,COPIA!D73,""),"")</f>
        <v>D</v>
      </c>
      <c r="H79" s="73" t="str">
        <f ca="1">IF(E79="FONDO SVALUTAZIONE CREDITI","RETTIFICA CREDITI",IFERROR(IF(COPIA!E73&lt;&gt;0,COPIA!E73,""),""))</f>
        <v>CREDITI</v>
      </c>
      <c r="I79" s="73" t="str">
        <f ca="1">IFERROR(IF(COPIA!F73&lt;&gt;0,COPIA!F73,""),"")</f>
        <v>SP DARE</v>
      </c>
    </row>
    <row r="80" spans="4:9" ht="20.100000000000001" customHeight="1" x14ac:dyDescent="0.3">
      <c r="D80" s="73" t="str">
        <f ca="1">IFERROR(IF(COPIA!A74&lt;&gt;0,COPIA!A74,""),"")</f>
        <v>05.20</v>
      </c>
      <c r="E80" s="75" t="str">
        <f ca="1">IFERROR(IF(COPIA!B74&lt;&gt;0,COPIA!B74,""),"")</f>
        <v>FONDO SVALUTAZIONE CREDITI</v>
      </c>
      <c r="F80" s="73" t="str">
        <f ca="1">IFERROR(IF(COPIA!C74&lt;&gt;0,COPIA!C74,""),"")</f>
        <v>F</v>
      </c>
      <c r="G80" s="73" t="str">
        <f ca="1">IFERROR(IF(COPIA!D74&lt;&gt;0,COPIA!D74,""),"")</f>
        <v>A</v>
      </c>
      <c r="H80" s="73" t="str">
        <f ca="1">IF(E80="FONDO SVALUTAZIONE CREDITI","RETTIFICA CREDITI",IFERROR(IF(COPIA!E74&lt;&gt;0,COPIA!E74,""),""))</f>
        <v>RETTIFICA CREDITI</v>
      </c>
      <c r="I80" s="73" t="str">
        <f ca="1">IFERROR(IF(COPIA!F74&lt;&gt;0,COPIA!F74,""),"")</f>
        <v>SP AVERE</v>
      </c>
    </row>
    <row r="81" spans="4:9" ht="20.100000000000001" customHeight="1" x14ac:dyDescent="0.3">
      <c r="D81" s="73" t="str">
        <f ca="1">IFERROR(IF(COPIA!A75&lt;&gt;0,COPIA!A75,""),"")</f>
        <v>06.00</v>
      </c>
      <c r="E81" s="75" t="str">
        <f ca="1">IFERROR(IF(COPIA!B75&lt;&gt;0,COPIA!B75,""),"")</f>
        <v>CREDITI DIVERSI</v>
      </c>
      <c r="F81" s="73" t="str">
        <f ca="1">IFERROR(IF(COPIA!C75&lt;&gt;0,COPIA!C75,""),"")</f>
        <v/>
      </c>
      <c r="G81" s="73" t="str">
        <f ca="1">IFERROR(IF(COPIA!D75&lt;&gt;0,COPIA!D75,""),"")</f>
        <v/>
      </c>
      <c r="H81" s="73" t="str">
        <f ca="1">IF(E81="FONDO SVALUTAZIONE CREDITI","RETTIFICA CREDITI",IFERROR(IF(COPIA!E75&lt;&gt;0,COPIA!E75,""),""))</f>
        <v/>
      </c>
      <c r="I81" s="73" t="str">
        <f ca="1">IFERROR(IF(COPIA!F75&lt;&gt;0,COPIA!F75,""),"")</f>
        <v/>
      </c>
    </row>
    <row r="82" spans="4:9" ht="20.100000000000001" customHeight="1" x14ac:dyDescent="0.3">
      <c r="D82" s="73" t="str">
        <f ca="1">IFERROR(IF(COPIA!A76&lt;&gt;0,COPIA!A76,""),"")</f>
        <v>06.01</v>
      </c>
      <c r="E82" s="75" t="str">
        <f ca="1">IFERROR(IF(COPIA!B76&lt;&gt;0,COPIA!B76,""),"")</f>
        <v>IVA NS/CREDITO</v>
      </c>
      <c r="F82" s="73" t="str">
        <f ca="1">IFERROR(IF(COPIA!C76&lt;&gt;0,COPIA!C76,""),"")</f>
        <v>F</v>
      </c>
      <c r="G82" s="73" t="str">
        <f ca="1">IFERROR(IF(COPIA!D76&lt;&gt;0,COPIA!D76,""),"")</f>
        <v>D</v>
      </c>
      <c r="H82" s="73" t="str">
        <f ca="1">IF(E82="FONDO SVALUTAZIONE CREDITI","RETTIFICA CREDITI",IFERROR(IF(COPIA!E76&lt;&gt;0,COPIA!E76,""),""))</f>
        <v>CREDITI</v>
      </c>
      <c r="I82" s="73" t="str">
        <f ca="1">IFERROR(IF(COPIA!F76&lt;&gt;0,COPIA!F76,""),"")</f>
        <v>SP DARE</v>
      </c>
    </row>
    <row r="83" spans="4:9" ht="20.100000000000001" customHeight="1" x14ac:dyDescent="0.3">
      <c r="D83" s="73" t="str">
        <f ca="1">IFERROR(IF(COPIA!A77&lt;&gt;0,COPIA!A77,""),"")</f>
        <v>06.02</v>
      </c>
      <c r="E83" s="75" t="str">
        <f ca="1">IFERROR(IF(COPIA!B77&lt;&gt;0,COPIA!B77,""),"")</f>
        <v>IVA C/ACCONTO</v>
      </c>
      <c r="F83" s="73" t="str">
        <f ca="1">IFERROR(IF(COPIA!C77&lt;&gt;0,COPIA!C77,""),"")</f>
        <v>F</v>
      </c>
      <c r="G83" s="73" t="str">
        <f ca="1">IFERROR(IF(COPIA!D77&lt;&gt;0,COPIA!D77,""),"")</f>
        <v>D</v>
      </c>
      <c r="H83" s="73" t="str">
        <f ca="1">IF(E83="FONDO SVALUTAZIONE CREDITI","RETTIFICA CREDITI",IFERROR(IF(COPIA!E77&lt;&gt;0,COPIA!E77,""),""))</f>
        <v>CREDITI</v>
      </c>
      <c r="I83" s="73" t="str">
        <f ca="1">IFERROR(IF(COPIA!F77&lt;&gt;0,COPIA!F77,""),"")</f>
        <v>SP DARE</v>
      </c>
    </row>
    <row r="84" spans="4:9" ht="20.100000000000001" customHeight="1" x14ac:dyDescent="0.3">
      <c r="D84" s="73" t="str">
        <f ca="1">IFERROR(IF(COPIA!A78&lt;&gt;0,COPIA!A78,""),"")</f>
        <v>06.03</v>
      </c>
      <c r="E84" s="75" t="str">
        <f ca="1">IFERROR(IF(COPIA!B78&lt;&gt;0,COPIA!B78,""),"")</f>
        <v>CREDITI PER IVA</v>
      </c>
      <c r="F84" s="73" t="str">
        <f ca="1">IFERROR(IF(COPIA!C78&lt;&gt;0,COPIA!C78,""),"")</f>
        <v>F</v>
      </c>
      <c r="G84" s="73" t="str">
        <f ca="1">IFERROR(IF(COPIA!D78&lt;&gt;0,COPIA!D78,""),"")</f>
        <v>D</v>
      </c>
      <c r="H84" s="73" t="str">
        <f ca="1">IF(E84="FONDO SVALUTAZIONE CREDITI","RETTIFICA CREDITI",IFERROR(IF(COPIA!E78&lt;&gt;0,COPIA!E78,""),""))</f>
        <v>CREDITI</v>
      </c>
      <c r="I84" s="73" t="str">
        <f ca="1">IFERROR(IF(COPIA!F78&lt;&gt;0,COPIA!F78,""),"")</f>
        <v>SP DARE</v>
      </c>
    </row>
    <row r="85" spans="4:9" ht="20.100000000000001" customHeight="1" x14ac:dyDescent="0.3">
      <c r="D85" s="73" t="str">
        <f ca="1">IFERROR(IF(COPIA!A79&lt;&gt;0,COPIA!A79,""),"")</f>
        <v>06.04</v>
      </c>
      <c r="E85" s="75" t="str">
        <f ca="1">IFERROR(IF(COPIA!B79&lt;&gt;0,COPIA!B79,""),"")</f>
        <v>IMPOSTE C/ACCONTO</v>
      </c>
      <c r="F85" s="73" t="str">
        <f ca="1">IFERROR(IF(COPIA!C79&lt;&gt;0,COPIA!C79,""),"")</f>
        <v>F</v>
      </c>
      <c r="G85" s="73" t="str">
        <f ca="1">IFERROR(IF(COPIA!D79&lt;&gt;0,COPIA!D79,""),"")</f>
        <v>D</v>
      </c>
      <c r="H85" s="73" t="str">
        <f ca="1">IF(E85="FONDO SVALUTAZIONE CREDITI","RETTIFICA CREDITI",IFERROR(IF(COPIA!E79&lt;&gt;0,COPIA!E79,""),""))</f>
        <v>CREDITI</v>
      </c>
      <c r="I85" s="73" t="str">
        <f ca="1">IFERROR(IF(COPIA!F79&lt;&gt;0,COPIA!F79,""),"")</f>
        <v>SP DARE</v>
      </c>
    </row>
    <row r="86" spans="4:9" ht="20.100000000000001" customHeight="1" x14ac:dyDescent="0.3">
      <c r="D86" s="73" t="str">
        <f ca="1">IFERROR(IF(COPIA!A80&lt;&gt;0,COPIA!A80,""),"")</f>
        <v>06.05</v>
      </c>
      <c r="E86" s="75" t="str">
        <f ca="1">IFERROR(IF(COPIA!B80&lt;&gt;0,COPIA!B80,""),"")</f>
        <v>CREDITI PER RITENUTE SUBITE</v>
      </c>
      <c r="F86" s="73" t="str">
        <f ca="1">IFERROR(IF(COPIA!C80&lt;&gt;0,COPIA!C80,""),"")</f>
        <v>F</v>
      </c>
      <c r="G86" s="73" t="str">
        <f ca="1">IFERROR(IF(COPIA!D80&lt;&gt;0,COPIA!D80,""),"")</f>
        <v>D</v>
      </c>
      <c r="H86" s="73" t="str">
        <f ca="1">IF(E86="FONDO SVALUTAZIONE CREDITI","RETTIFICA CREDITI",IFERROR(IF(COPIA!E80&lt;&gt;0,COPIA!E80,""),""))</f>
        <v>CREDITI</v>
      </c>
      <c r="I86" s="73" t="str">
        <f ca="1">IFERROR(IF(COPIA!F80&lt;&gt;0,COPIA!F80,""),"")</f>
        <v>SP DARE</v>
      </c>
    </row>
    <row r="87" spans="4:9" ht="20.100000000000001" customHeight="1" x14ac:dyDescent="0.3">
      <c r="D87" s="73" t="str">
        <f ca="1">IFERROR(IF(COPIA!A81&lt;&gt;0,COPIA!A81,""),"")</f>
        <v>06.06</v>
      </c>
      <c r="E87" s="75" t="str">
        <f ca="1">IFERROR(IF(COPIA!B81&lt;&gt;0,COPIA!B81,""),"")</f>
        <v>CREDITI PER IMPOSTE</v>
      </c>
      <c r="F87" s="73" t="str">
        <f ca="1">IFERROR(IF(COPIA!C81&lt;&gt;0,COPIA!C81,""),"")</f>
        <v>F</v>
      </c>
      <c r="G87" s="73" t="str">
        <f ca="1">IFERROR(IF(COPIA!D81&lt;&gt;0,COPIA!D81,""),"")</f>
        <v>D</v>
      </c>
      <c r="H87" s="73" t="str">
        <f ca="1">IF(E87="FONDO SVALUTAZIONE CREDITI","RETTIFICA CREDITI",IFERROR(IF(COPIA!E81&lt;&gt;0,COPIA!E81,""),""))</f>
        <v>CREDITI</v>
      </c>
      <c r="I87" s="73" t="str">
        <f ca="1">IFERROR(IF(COPIA!F81&lt;&gt;0,COPIA!F81,""),"")</f>
        <v>SP DARE</v>
      </c>
    </row>
    <row r="88" spans="4:9" ht="20.100000000000001" customHeight="1" x14ac:dyDescent="0.3">
      <c r="D88" s="73" t="str">
        <f ca="1">IFERROR(IF(COPIA!A82&lt;&gt;0,COPIA!A82,""),"")</f>
        <v>06.07</v>
      </c>
      <c r="E88" s="75" t="str">
        <f ca="1">IFERROR(IF(COPIA!B82&lt;&gt;0,COPIA!B82,""),"")</f>
        <v>CREDITI D'IMPOSTA</v>
      </c>
      <c r="F88" s="73" t="str">
        <f ca="1">IFERROR(IF(COPIA!C82&lt;&gt;0,COPIA!C82,""),"")</f>
        <v>F</v>
      </c>
      <c r="G88" s="73" t="str">
        <f ca="1">IFERROR(IF(COPIA!D82&lt;&gt;0,COPIA!D82,""),"")</f>
        <v>D</v>
      </c>
      <c r="H88" s="73" t="str">
        <f ca="1">IF(E88="FONDO SVALUTAZIONE CREDITI","RETTIFICA CREDITI",IFERROR(IF(COPIA!E82&lt;&gt;0,COPIA!E82,""),""))</f>
        <v>CREDITI</v>
      </c>
      <c r="I88" s="73" t="str">
        <f ca="1">IFERROR(IF(COPIA!F82&lt;&gt;0,COPIA!F82,""),"")</f>
        <v>SP DARE</v>
      </c>
    </row>
    <row r="89" spans="4:9" ht="20.100000000000001" customHeight="1" x14ac:dyDescent="0.3">
      <c r="D89" s="73" t="str">
        <f ca="1">IFERROR(IF(COPIA!A83&lt;&gt;0,COPIA!A83,""),"")</f>
        <v>06.09</v>
      </c>
      <c r="E89" s="75" t="str">
        <f ca="1">IFERROR(IF(COPIA!B83&lt;&gt;0,COPIA!B83,""),"")</f>
        <v>CREDITI V/ISTITUTI PREVIDENZIALI</v>
      </c>
      <c r="F89" s="73" t="str">
        <f ca="1">IFERROR(IF(COPIA!C83&lt;&gt;0,COPIA!C83,""),"")</f>
        <v>F</v>
      </c>
      <c r="G89" s="73" t="str">
        <f ca="1">IFERROR(IF(COPIA!D83&lt;&gt;0,COPIA!D83,""),"")</f>
        <v>D</v>
      </c>
      <c r="H89" s="73" t="str">
        <f ca="1">IF(E89="FONDO SVALUTAZIONE CREDITI","RETTIFICA CREDITI",IFERROR(IF(COPIA!E83&lt;&gt;0,COPIA!E83,""),""))</f>
        <v>CREDITI</v>
      </c>
      <c r="I89" s="73" t="str">
        <f ca="1">IFERROR(IF(COPIA!F83&lt;&gt;0,COPIA!F83,""),"")</f>
        <v>SP DARE</v>
      </c>
    </row>
    <row r="90" spans="4:9" ht="20.100000000000001" customHeight="1" x14ac:dyDescent="0.3">
      <c r="D90" s="73" t="str">
        <f ca="1">IFERROR(IF(COPIA!A84&lt;&gt;0,COPIA!A84,""),"")</f>
        <v>06.10</v>
      </c>
      <c r="E90" s="75" t="str">
        <f ca="1">IFERROR(IF(COPIA!B84&lt;&gt;0,COPIA!B84,""),"")</f>
        <v>CREDITI PER CAUZIONI</v>
      </c>
      <c r="F90" s="73" t="str">
        <f ca="1">IFERROR(IF(COPIA!C84&lt;&gt;0,COPIA!C84,""),"")</f>
        <v>F</v>
      </c>
      <c r="G90" s="73" t="str">
        <f ca="1">IFERROR(IF(COPIA!D84&lt;&gt;0,COPIA!D84,""),"")</f>
        <v>D</v>
      </c>
      <c r="H90" s="73" t="str">
        <f ca="1">IF(E90="FONDO SVALUTAZIONE CREDITI","RETTIFICA CREDITI",IFERROR(IF(COPIA!E84&lt;&gt;0,COPIA!E84,""),""))</f>
        <v>CREDITI</v>
      </c>
      <c r="I90" s="73" t="str">
        <f ca="1">IFERROR(IF(COPIA!F84&lt;&gt;0,COPIA!F84,""),"")</f>
        <v>SP DARE</v>
      </c>
    </row>
    <row r="91" spans="4:9" ht="20.100000000000001" customHeight="1" x14ac:dyDescent="0.3">
      <c r="D91" s="73" t="str">
        <f ca="1">IFERROR(IF(COPIA!A85&lt;&gt;0,COPIA!A85,""),"")</f>
        <v>06.11</v>
      </c>
      <c r="E91" s="75" t="str">
        <f ca="1">IFERROR(IF(COPIA!B85&lt;&gt;0,COPIA!B85,""),"")</f>
        <v>CREDITI DIVERSI</v>
      </c>
      <c r="F91" s="73" t="str">
        <f ca="1">IFERROR(IF(COPIA!C85&lt;&gt;0,COPIA!C85,""),"")</f>
        <v>F</v>
      </c>
      <c r="G91" s="73" t="str">
        <f ca="1">IFERROR(IF(COPIA!D85&lt;&gt;0,COPIA!D85,""),"")</f>
        <v>D</v>
      </c>
      <c r="H91" s="73" t="str">
        <f ca="1">IF(E91="FONDO SVALUTAZIONE CREDITI","RETTIFICA CREDITI",IFERROR(IF(COPIA!E85&lt;&gt;0,COPIA!E85,""),""))</f>
        <v>CREDITI</v>
      </c>
      <c r="I91" s="73" t="str">
        <f ca="1">IFERROR(IF(COPIA!F85&lt;&gt;0,COPIA!F85,""),"")</f>
        <v>SP DARE</v>
      </c>
    </row>
    <row r="92" spans="4:9" ht="20.100000000000001" customHeight="1" x14ac:dyDescent="0.3">
      <c r="D92" s="73" t="str">
        <f ca="1">IFERROR(IF(COPIA!A86&lt;&gt;0,COPIA!A86,""),"")</f>
        <v>06.15</v>
      </c>
      <c r="E92" s="75" t="str">
        <f ca="1">IFERROR(IF(COPIA!B86&lt;&gt;0,COPIA!B86,""),"")</f>
        <v>CREDITI V/CONTROLLATE</v>
      </c>
      <c r="F92" s="73" t="str">
        <f ca="1">IFERROR(IF(COPIA!C86&lt;&gt;0,COPIA!C86,""),"")</f>
        <v>F</v>
      </c>
      <c r="G92" s="73" t="str">
        <f ca="1">IFERROR(IF(COPIA!D86&lt;&gt;0,COPIA!D86,""),"")</f>
        <v>D</v>
      </c>
      <c r="H92" s="73" t="str">
        <f ca="1">IF(E92="FONDO SVALUTAZIONE CREDITI","RETTIFICA CREDITI",IFERROR(IF(COPIA!E86&lt;&gt;0,COPIA!E86,""),""))</f>
        <v>CREDITI</v>
      </c>
      <c r="I92" s="73" t="str">
        <f ca="1">IFERROR(IF(COPIA!F86&lt;&gt;0,COPIA!F86,""),"")</f>
        <v>SP DARE</v>
      </c>
    </row>
    <row r="93" spans="4:9" ht="20.100000000000001" customHeight="1" x14ac:dyDescent="0.3">
      <c r="D93" s="73" t="str">
        <f ca="1">IFERROR(IF(COPIA!A87&lt;&gt;0,COPIA!A87,""),"")</f>
        <v>06.16</v>
      </c>
      <c r="E93" s="75" t="str">
        <f ca="1">IFERROR(IF(COPIA!B87&lt;&gt;0,COPIA!B87,""),"")</f>
        <v>CREDITI V/COLLEGATE</v>
      </c>
      <c r="F93" s="73" t="str">
        <f ca="1">IFERROR(IF(COPIA!C87&lt;&gt;0,COPIA!C87,""),"")</f>
        <v>F</v>
      </c>
      <c r="G93" s="73" t="str">
        <f ca="1">IFERROR(IF(COPIA!D87&lt;&gt;0,COPIA!D87,""),"")</f>
        <v>D</v>
      </c>
      <c r="H93" s="73" t="str">
        <f ca="1">IF(E93="FONDO SVALUTAZIONE CREDITI","RETTIFICA CREDITI",IFERROR(IF(COPIA!E87&lt;&gt;0,COPIA!E87,""),""))</f>
        <v>CREDITI</v>
      </c>
      <c r="I93" s="73" t="str">
        <f ca="1">IFERROR(IF(COPIA!F87&lt;&gt;0,COPIA!F87,""),"")</f>
        <v>SP DARE</v>
      </c>
    </row>
    <row r="94" spans="4:9" ht="20.100000000000001" customHeight="1" x14ac:dyDescent="0.3">
      <c r="D94" s="73" t="str">
        <f ca="1">IFERROR(IF(COPIA!A88&lt;&gt;0,COPIA!A88,""),"")</f>
        <v>06.17</v>
      </c>
      <c r="E94" s="75" t="str">
        <f ca="1">IFERROR(IF(COPIA!B88&lt;&gt;0,COPIA!B88,""),"")</f>
        <v>CREDITI V/CONTROLLANTE</v>
      </c>
      <c r="F94" s="73" t="str">
        <f ca="1">IFERROR(IF(COPIA!C88&lt;&gt;0,COPIA!C88,""),"")</f>
        <v>F</v>
      </c>
      <c r="G94" s="73" t="str">
        <f ca="1">IFERROR(IF(COPIA!D88&lt;&gt;0,COPIA!D88,""),"")</f>
        <v>D</v>
      </c>
      <c r="H94" s="73" t="str">
        <f ca="1">IF(E94="FONDO SVALUTAZIONE CREDITI","RETTIFICA CREDITI",IFERROR(IF(COPIA!E88&lt;&gt;0,COPIA!E88,""),""))</f>
        <v>CREDITI</v>
      </c>
      <c r="I94" s="73" t="str">
        <f ca="1">IFERROR(IF(COPIA!F88&lt;&gt;0,COPIA!F88,""),"")</f>
        <v>SP DARE</v>
      </c>
    </row>
    <row r="95" spans="4:9" ht="20.100000000000001" customHeight="1" x14ac:dyDescent="0.3">
      <c r="D95" s="73" t="str">
        <f ca="1">IFERROR(IF(COPIA!A89&lt;&gt;0,COPIA!A89,""),"")</f>
        <v>06.20</v>
      </c>
      <c r="E95" s="75" t="str">
        <f ca="1">IFERROR(IF(COPIA!B89&lt;&gt;0,COPIA!B89,""),"")</f>
        <v>PERSONALE C/ACCONTI</v>
      </c>
      <c r="F95" s="73" t="str">
        <f ca="1">IFERROR(IF(COPIA!C89&lt;&gt;0,COPIA!C89,""),"")</f>
        <v>F</v>
      </c>
      <c r="G95" s="73" t="str">
        <f ca="1">IFERROR(IF(COPIA!D89&lt;&gt;0,COPIA!D89,""),"")</f>
        <v>D</v>
      </c>
      <c r="H95" s="73" t="str">
        <f ca="1">IF(E95="FONDO SVALUTAZIONE CREDITI","RETTIFICA CREDITI",IFERROR(IF(COPIA!E89&lt;&gt;0,COPIA!E89,""),""))</f>
        <v>CREDITI</v>
      </c>
      <c r="I95" s="73" t="str">
        <f ca="1">IFERROR(IF(COPIA!F89&lt;&gt;0,COPIA!F89,""),"")</f>
        <v>SP DARE</v>
      </c>
    </row>
    <row r="96" spans="4:9" ht="20.100000000000001" customHeight="1" x14ac:dyDescent="0.3">
      <c r="D96" s="73" t="str">
        <f ca="1">IFERROR(IF(COPIA!A90&lt;&gt;0,COPIA!A90,""),"")</f>
        <v>06.30</v>
      </c>
      <c r="E96" s="75" t="str">
        <f ca="1">IFERROR(IF(COPIA!B90&lt;&gt;0,COPIA!B90,""),"")</f>
        <v>OBBLIGAZIONISTI C/SOTTOSCRIZIONE</v>
      </c>
      <c r="F96" s="73" t="str">
        <f ca="1">IFERROR(IF(COPIA!C90&lt;&gt;0,COPIA!C90,""),"")</f>
        <v>F</v>
      </c>
      <c r="G96" s="73" t="str">
        <f ca="1">IFERROR(IF(COPIA!D90&lt;&gt;0,COPIA!D90,""),"")</f>
        <v>D</v>
      </c>
      <c r="H96" s="73" t="str">
        <f ca="1">IF(E96="FONDO SVALUTAZIONE CREDITI","RETTIFICA CREDITI",IFERROR(IF(COPIA!E90&lt;&gt;0,COPIA!E90,""),""))</f>
        <v>CREDITI</v>
      </c>
      <c r="I96" s="73" t="str">
        <f ca="1">IFERROR(IF(COPIA!F90&lt;&gt;0,COPIA!F90,""),"")</f>
        <v>SP DARE</v>
      </c>
    </row>
    <row r="97" spans="3:9" ht="20.100000000000001" customHeight="1" x14ac:dyDescent="0.3">
      <c r="D97" s="73" t="str">
        <f ca="1">IFERROR(IF(COPIA!A91&lt;&gt;0,COPIA!A91,""),"")</f>
        <v>06.40</v>
      </c>
      <c r="E97" s="75" t="str">
        <f ca="1">IFERROR(IF(COPIA!B91&lt;&gt;0,COPIA!B91,""),"")</f>
        <v>ENTE CONCEDENTE C/CONTRIBUTI</v>
      </c>
      <c r="F97" s="73" t="str">
        <f ca="1">IFERROR(IF(COPIA!C91&lt;&gt;0,COPIA!C91,""),"")</f>
        <v>F</v>
      </c>
      <c r="G97" s="73" t="str">
        <f ca="1">IFERROR(IF(COPIA!D91&lt;&gt;0,COPIA!D91,""),"")</f>
        <v>D</v>
      </c>
      <c r="H97" s="73" t="str">
        <f ca="1">IF(E97="FONDO SVALUTAZIONE CREDITI","RETTIFICA CREDITI",IFERROR(IF(COPIA!E91&lt;&gt;0,COPIA!E91,""),""))</f>
        <v>CREDITI</v>
      </c>
      <c r="I97" s="73" t="str">
        <f ca="1">IFERROR(IF(COPIA!F91&lt;&gt;0,COPIA!F91,""),"")</f>
        <v>SP DARE</v>
      </c>
    </row>
    <row r="98" spans="3:9" ht="20.100000000000001" customHeight="1" x14ac:dyDescent="0.3">
      <c r="D98" s="73" t="str">
        <f ca="1">IFERROR(IF(COPIA!A92&lt;&gt;0,COPIA!A92,""),"")</f>
        <v>07.00</v>
      </c>
      <c r="E98" s="75" t="str">
        <f ca="1">IFERROR(IF(COPIA!B92&lt;&gt;0,COPIA!B92,""),"")</f>
        <v>ATTIVITÀ FINANZIARIE</v>
      </c>
      <c r="F98" s="73" t="str">
        <f ca="1">IFERROR(IF(COPIA!C92&lt;&gt;0,COPIA!C92,""),"")</f>
        <v/>
      </c>
      <c r="G98" s="73" t="str">
        <f ca="1">IFERROR(IF(COPIA!D92&lt;&gt;0,COPIA!D92,""),"")</f>
        <v/>
      </c>
      <c r="H98" s="73" t="str">
        <f ca="1">IF(E98="FONDO SVALUTAZIONE CREDITI","RETTIFICA CREDITI",IFERROR(IF(COPIA!E92&lt;&gt;0,COPIA!E92,""),""))</f>
        <v/>
      </c>
      <c r="I98" s="73" t="str">
        <f ca="1">IFERROR(IF(COPIA!F92&lt;&gt;0,COPIA!F92,""),"")</f>
        <v/>
      </c>
    </row>
    <row r="99" spans="3:9" ht="20.100000000000001" customHeight="1" x14ac:dyDescent="0.3">
      <c r="D99" s="73" t="str">
        <f ca="1">IFERROR(IF(COPIA!A93&lt;&gt;0,COPIA!A93,""),"")</f>
        <v>07.01</v>
      </c>
      <c r="E99" s="75" t="str">
        <f ca="1">IFERROR(IF(COPIA!B93&lt;&gt;0,COPIA!B93,""),"")</f>
        <v>PARTECIPAZIONI</v>
      </c>
      <c r="F99" s="73" t="str">
        <f ca="1">IFERROR(IF(COPIA!C93&lt;&gt;0,COPIA!C93,""),"")</f>
        <v>E</v>
      </c>
      <c r="G99" s="73" t="str">
        <f ca="1">IFERROR(IF(COPIA!D93&lt;&gt;0,COPIA!D93,""),"")</f>
        <v>D</v>
      </c>
      <c r="H99" s="73" t="str">
        <f ca="1">IF(E99="FONDO SVALUTAZIONE CREDITI","RETTIFICA CREDITI",IFERROR(IF(COPIA!E93&lt;&gt;0,COPIA!E93,""),""))</f>
        <v>COSTI SOSPESI</v>
      </c>
      <c r="I99" s="73" t="str">
        <f ca="1">IFERROR(IF(COPIA!F93&lt;&gt;0,COPIA!F93,""),"")</f>
        <v>SP DARE</v>
      </c>
    </row>
    <row r="100" spans="3:9" ht="20.100000000000001" customHeight="1" x14ac:dyDescent="0.3">
      <c r="D100" s="73" t="str">
        <f ca="1">IFERROR(IF(COPIA!A94&lt;&gt;0,COPIA!A94,""),"")</f>
        <v>07.02</v>
      </c>
      <c r="E100" s="75" t="str">
        <f ca="1">IFERROR(IF(COPIA!B94&lt;&gt;0,COPIA!B94,""),"")</f>
        <v>TITOLI</v>
      </c>
      <c r="F100" s="73" t="str">
        <f ca="1">IFERROR(IF(COPIA!C94&lt;&gt;0,COPIA!C94,""),"")</f>
        <v>E</v>
      </c>
      <c r="G100" s="73" t="str">
        <f ca="1">IFERROR(IF(COPIA!D94&lt;&gt;0,COPIA!D94,""),"")</f>
        <v>D</v>
      </c>
      <c r="H100" s="73" t="str">
        <f ca="1">IF(E100="FONDO SVALUTAZIONE CREDITI","RETTIFICA CREDITI",IFERROR(IF(COPIA!E94&lt;&gt;0,COPIA!E94,""),""))</f>
        <v>COSTI SOSPESI</v>
      </c>
      <c r="I100" s="73" t="str">
        <f ca="1">IFERROR(IF(COPIA!F94&lt;&gt;0,COPIA!F94,""),"")</f>
        <v>SP DARE</v>
      </c>
    </row>
    <row r="101" spans="3:9" ht="20.100000000000001" customHeight="1" x14ac:dyDescent="0.3">
      <c r="D101" s="73" t="str">
        <f ca="1">IFERROR(IF(COPIA!A95&lt;&gt;0,COPIA!A95,""),"")</f>
        <v>08.00</v>
      </c>
      <c r="E101" s="75" t="str">
        <f ca="1">IFERROR(IF(COPIA!B95&lt;&gt;0,COPIA!B95,""),"")</f>
        <v>DISPONIBILITÀ LIQUIDE</v>
      </c>
      <c r="F101" s="73" t="str">
        <f ca="1">IFERROR(IF(COPIA!C95&lt;&gt;0,COPIA!C95,""),"")</f>
        <v/>
      </c>
      <c r="G101" s="73" t="str">
        <f ca="1">IFERROR(IF(COPIA!D95&lt;&gt;0,COPIA!D95,""),"")</f>
        <v/>
      </c>
      <c r="H101" s="73" t="str">
        <f ca="1">IF(E101="FONDO SVALUTAZIONE CREDITI","RETTIFICA CREDITI",IFERROR(IF(COPIA!E95&lt;&gt;0,COPIA!E95,""),""))</f>
        <v/>
      </c>
      <c r="I101" s="73" t="str">
        <f ca="1">IFERROR(IF(COPIA!F95&lt;&gt;0,COPIA!F95,""),"")</f>
        <v/>
      </c>
    </row>
    <row r="102" spans="3:9" ht="20.100000000000001" customHeight="1" x14ac:dyDescent="0.3">
      <c r="D102" s="73" t="str">
        <f ca="1">IFERROR(IF(COPIA!A96&lt;&gt;0,COPIA!A96,""),"")</f>
        <v>08.01</v>
      </c>
      <c r="E102" s="75" t="str">
        <f ca="1">IFERROR(IF(COPIA!B96&lt;&gt;0,COPIA!B96,""),"")</f>
        <v>BANCHE C/C ATTIVI</v>
      </c>
      <c r="F102" s="73" t="str">
        <f ca="1">IFERROR(IF(COPIA!C96&lt;&gt;0,COPIA!C96,""),"")</f>
        <v>F</v>
      </c>
      <c r="G102" s="73" t="str">
        <f ca="1">IFERROR(IF(COPIA!D96&lt;&gt;0,COPIA!D96,""),"")</f>
        <v>D</v>
      </c>
      <c r="H102" s="73" t="str">
        <f ca="1">IF(E102="FONDO SVALUTAZIONE CREDITI","RETTIFICA CREDITI",IFERROR(IF(COPIA!E96&lt;&gt;0,COPIA!E96,""),""))</f>
        <v>DISPONIBILITÀ LIQUIDE</v>
      </c>
      <c r="I102" s="73" t="str">
        <f ca="1">IFERROR(IF(COPIA!F96&lt;&gt;0,COPIA!F96,""),"")</f>
        <v>SP DARE</v>
      </c>
    </row>
    <row r="103" spans="3:9" ht="20.100000000000001" customHeight="1" x14ac:dyDescent="0.3">
      <c r="D103" s="73" t="str">
        <f ca="1">IFERROR(IF(COPIA!A97&lt;&gt;0,COPIA!A97,""),"")</f>
        <v>08.02</v>
      </c>
      <c r="E103" s="75" t="str">
        <f ca="1">IFERROR(IF(COPIA!B97&lt;&gt;0,COPIA!B97,""),"")</f>
        <v>BANCA X C/VINCOLATO</v>
      </c>
      <c r="F103" s="73" t="str">
        <f ca="1">IFERROR(IF(COPIA!C97&lt;&gt;0,COPIA!C97,""),"")</f>
        <v>F</v>
      </c>
      <c r="G103" s="73" t="str">
        <f ca="1">IFERROR(IF(COPIA!D97&lt;&gt;0,COPIA!D97,""),"")</f>
        <v>D</v>
      </c>
      <c r="H103" s="73" t="str">
        <f ca="1">IF(E103="FONDO SVALUTAZIONE CREDITI","RETTIFICA CREDITI",IFERROR(IF(COPIA!E97&lt;&gt;0,COPIA!E97,""),""))</f>
        <v>DISPONIBILITÀ LIQUIDE</v>
      </c>
      <c r="I103" s="73" t="str">
        <f ca="1">IFERROR(IF(COPIA!F97&lt;&gt;0,COPIA!F97,""),"")</f>
        <v>SP DARE</v>
      </c>
    </row>
    <row r="104" spans="3:9" ht="20.100000000000001" customHeight="1" x14ac:dyDescent="0.3">
      <c r="D104" s="73" t="str">
        <f ca="1">IFERROR(IF(COPIA!A98&lt;&gt;0,COPIA!A98,""),"")</f>
        <v>08.03</v>
      </c>
      <c r="E104" s="75" t="str">
        <f ca="1">IFERROR(IF(COPIA!B98&lt;&gt;0,COPIA!B98,""),"")</f>
        <v>C/C POSTALI</v>
      </c>
      <c r="F104" s="73" t="str">
        <f ca="1">IFERROR(IF(COPIA!C98&lt;&gt;0,COPIA!C98,""),"")</f>
        <v>F</v>
      </c>
      <c r="G104" s="73" t="str">
        <f ca="1">IFERROR(IF(COPIA!D98&lt;&gt;0,COPIA!D98,""),"")</f>
        <v>D</v>
      </c>
      <c r="H104" s="73" t="str">
        <f ca="1">IF(E104="FONDO SVALUTAZIONE CREDITI","RETTIFICA CREDITI",IFERROR(IF(COPIA!E98&lt;&gt;0,COPIA!E98,""),""))</f>
        <v>DISPONIBILITÀ LIQUIDE</v>
      </c>
      <c r="I104" s="73" t="str">
        <f ca="1">IFERROR(IF(COPIA!F98&lt;&gt;0,COPIA!F98,""),"")</f>
        <v>SP DARE</v>
      </c>
    </row>
    <row r="105" spans="3:9" ht="20.100000000000001" customHeight="1" x14ac:dyDescent="0.3">
      <c r="D105" s="73" t="str">
        <f ca="1">IFERROR(IF(COPIA!A99&lt;&gt;0,COPIA!A99,""),"")</f>
        <v>08.10</v>
      </c>
      <c r="E105" s="75" t="str">
        <f ca="1">IFERROR(IF(COPIA!B99&lt;&gt;0,COPIA!B99,""),"")</f>
        <v>ASSEGNI</v>
      </c>
      <c r="F105" s="73" t="str">
        <f ca="1">IFERROR(IF(COPIA!C99&lt;&gt;0,COPIA!C99,""),"")</f>
        <v>F</v>
      </c>
      <c r="G105" s="73" t="str">
        <f ca="1">IFERROR(IF(COPIA!D99&lt;&gt;0,COPIA!D99,""),"")</f>
        <v>D</v>
      </c>
      <c r="H105" s="73" t="str">
        <f ca="1">IF(E105="FONDO SVALUTAZIONE CREDITI","RETTIFICA CREDITI",IFERROR(IF(COPIA!E99&lt;&gt;0,COPIA!E99,""),""))</f>
        <v>DISPONIBILITÀ LIQUIDE</v>
      </c>
      <c r="I105" s="73" t="str">
        <f ca="1">IFERROR(IF(COPIA!F99&lt;&gt;0,COPIA!F99,""),"")</f>
        <v>SP DARE</v>
      </c>
    </row>
    <row r="106" spans="3:9" ht="20.100000000000001" customHeight="1" x14ac:dyDescent="0.3">
      <c r="D106" s="73" t="str">
        <f ca="1">IFERROR(IF(COPIA!A100&lt;&gt;0,COPIA!A100,""),"")</f>
        <v>08.20</v>
      </c>
      <c r="E106" s="75" t="str">
        <f ca="1">IFERROR(IF(COPIA!B100&lt;&gt;0,COPIA!B100,""),"")</f>
        <v>DENARO IN CASSA</v>
      </c>
      <c r="F106" s="73" t="str">
        <f ca="1">IFERROR(IF(COPIA!C100&lt;&gt;0,COPIA!C100,""),"")</f>
        <v>F</v>
      </c>
      <c r="G106" s="73" t="str">
        <f ca="1">IFERROR(IF(COPIA!D100&lt;&gt;0,COPIA!D100,""),"")</f>
        <v>D</v>
      </c>
      <c r="H106" s="73" t="str">
        <f ca="1">IF(E106="FONDO SVALUTAZIONE CREDITI","RETTIFICA CREDITI",IFERROR(IF(COPIA!E100&lt;&gt;0,COPIA!E100,""),""))</f>
        <v>DISPONIBILITÀ LIQUIDE</v>
      </c>
      <c r="I106" s="73" t="str">
        <f ca="1">IFERROR(IF(COPIA!F100&lt;&gt;0,COPIA!F100,""),"")</f>
        <v>SP DARE</v>
      </c>
    </row>
    <row r="107" spans="3:9" ht="20.100000000000001" customHeight="1" x14ac:dyDescent="0.3">
      <c r="C107" s="55"/>
      <c r="D107" s="73" t="str">
        <f ca="1">IFERROR(IF(COPIA!A101&lt;&gt;0,COPIA!A101,""),"")</f>
        <v>08.21</v>
      </c>
      <c r="E107" s="75" t="str">
        <f ca="1">IFERROR(IF(COPIA!B101&lt;&gt;0,COPIA!B101,""),"")</f>
        <v>VALORI BOLLATI</v>
      </c>
      <c r="F107" s="73" t="str">
        <f ca="1">IFERROR(IF(COPIA!C101&lt;&gt;0,COPIA!C101,""),"")</f>
        <v>F</v>
      </c>
      <c r="G107" s="73" t="str">
        <f ca="1">IFERROR(IF(COPIA!D101&lt;&gt;0,COPIA!D101,""),"")</f>
        <v>D</v>
      </c>
      <c r="H107" s="73" t="str">
        <f ca="1">IF(E107="FONDO SVALUTAZIONE CREDITI","RETTIFICA CREDITI",IFERROR(IF(COPIA!E101&lt;&gt;0,COPIA!E101,""),""))</f>
        <v>DISPONIBILITÀ LIQUIDE</v>
      </c>
      <c r="I107" s="73" t="str">
        <f ca="1">IFERROR(IF(COPIA!F101&lt;&gt;0,COPIA!F101,""),"")</f>
        <v>SP DARE</v>
      </c>
    </row>
    <row r="108" spans="3:9" ht="20.100000000000001" customHeight="1" x14ac:dyDescent="0.3">
      <c r="D108" s="73" t="str">
        <f ca="1">IFERROR(IF(COPIA!A102&lt;&gt;0,COPIA!A102,""),"")</f>
        <v>09.00</v>
      </c>
      <c r="E108" s="75" t="str">
        <f ca="1">IFERROR(IF(COPIA!B102&lt;&gt;0,COPIA!B102,""),"")</f>
        <v>RATEI E RISCONTI ATTIVI</v>
      </c>
      <c r="F108" s="73" t="str">
        <f ca="1">IFERROR(IF(COPIA!C102&lt;&gt;0,COPIA!C102,""),"")</f>
        <v/>
      </c>
      <c r="G108" s="73" t="str">
        <f ca="1">IFERROR(IF(COPIA!D102&lt;&gt;0,COPIA!D102,""),"")</f>
        <v/>
      </c>
      <c r="H108" s="73" t="str">
        <f ca="1">IF(E108="FONDO SVALUTAZIONE CREDITI","RETTIFICA CREDITI",IFERROR(IF(COPIA!E102&lt;&gt;0,COPIA!E102,""),""))</f>
        <v/>
      </c>
      <c r="I108" s="73" t="str">
        <f ca="1">IFERROR(IF(COPIA!F102&lt;&gt;0,COPIA!F102,""),"")</f>
        <v/>
      </c>
    </row>
    <row r="109" spans="3:9" ht="20.100000000000001" customHeight="1" x14ac:dyDescent="0.3">
      <c r="D109" s="73" t="str">
        <f ca="1">IFERROR(IF(COPIA!A103&lt;&gt;0,COPIA!A103,""),"")</f>
        <v>09.01</v>
      </c>
      <c r="E109" s="75" t="str">
        <f ca="1">IFERROR(IF(COPIA!B103&lt;&gt;0,COPIA!B103,""),"")</f>
        <v>RATEI ATTIVI</v>
      </c>
      <c r="F109" s="73" t="str">
        <f ca="1">IFERROR(IF(COPIA!C103&lt;&gt;0,COPIA!C103,""),"")</f>
        <v>F</v>
      </c>
      <c r="G109" s="73" t="str">
        <f ca="1">IFERROR(IF(COPIA!D103&lt;&gt;0,COPIA!D103,""),"")</f>
        <v>D</v>
      </c>
      <c r="H109" s="73" t="str">
        <f ca="1">IF(E109="FONDO SVALUTAZIONE CREDITI","RETTIFICA CREDITI",IFERROR(IF(COPIA!E103&lt;&gt;0,COPIA!E103,""),""))</f>
        <v>RATEI, FONDI RISCHI E ONERI</v>
      </c>
      <c r="I109" s="73" t="str">
        <f ca="1">IFERROR(IF(COPIA!F103&lt;&gt;0,COPIA!F103,""),"")</f>
        <v>SP DARE</v>
      </c>
    </row>
    <row r="110" spans="3:9" ht="20.100000000000001" customHeight="1" x14ac:dyDescent="0.3">
      <c r="D110" s="73" t="str">
        <f ca="1">IFERROR(IF(COPIA!A104&lt;&gt;0,COPIA!A104,""),"")</f>
        <v>09.02</v>
      </c>
      <c r="E110" s="75" t="str">
        <f ca="1">IFERROR(IF(COPIA!B104&lt;&gt;0,COPIA!B104,""),"")</f>
        <v>RISCONTI ATTIVI</v>
      </c>
      <c r="F110" s="73" t="str">
        <f ca="1">IFERROR(IF(COPIA!C104&lt;&gt;0,COPIA!C104,""),"")</f>
        <v>E</v>
      </c>
      <c r="G110" s="73" t="str">
        <f ca="1">IFERROR(IF(COPIA!D104&lt;&gt;0,COPIA!D104,""),"")</f>
        <v>D</v>
      </c>
      <c r="H110" s="73" t="str">
        <f ca="1">IF(E110="FONDO SVALUTAZIONE CREDITI","RETTIFICA CREDITI",IFERROR(IF(COPIA!E104&lt;&gt;0,COPIA!E104,""),""))</f>
        <v>COSTI SOSPESI</v>
      </c>
      <c r="I110" s="73" t="str">
        <f ca="1">IFERROR(IF(COPIA!F104&lt;&gt;0,COPIA!F104,""),"")</f>
        <v>SP DARE</v>
      </c>
    </row>
    <row r="111" spans="3:9" ht="20.100000000000001" customHeight="1" x14ac:dyDescent="0.3">
      <c r="D111" s="73" t="str">
        <f ca="1">IFERROR(IF(COPIA!A105&lt;&gt;0,COPIA!A105,""),"")</f>
        <v>10.00</v>
      </c>
      <c r="E111" s="75" t="str">
        <f ca="1">IFERROR(IF(COPIA!B105&lt;&gt;0,COPIA!B105,""),"")</f>
        <v>PATRIMONIO NETTO</v>
      </c>
      <c r="F111" s="73" t="str">
        <f ca="1">IFERROR(IF(COPIA!C105&lt;&gt;0,COPIA!C105,""),"")</f>
        <v/>
      </c>
      <c r="G111" s="73" t="str">
        <f ca="1">IFERROR(IF(COPIA!D105&lt;&gt;0,COPIA!D105,""),"")</f>
        <v/>
      </c>
      <c r="H111" s="73" t="str">
        <f ca="1">IF(E111="FONDO SVALUTAZIONE CREDITI","RETTIFICA CREDITI",IFERROR(IF(COPIA!E105&lt;&gt;0,COPIA!E105,""),""))</f>
        <v/>
      </c>
      <c r="I111" s="73" t="str">
        <f ca="1">IFERROR(IF(COPIA!F105&lt;&gt;0,COPIA!F105,""),"")</f>
        <v/>
      </c>
    </row>
    <row r="112" spans="3:9" ht="20.100000000000001" customHeight="1" x14ac:dyDescent="0.3">
      <c r="D112" s="73" t="str">
        <f ca="1">IFERROR(IF(COPIA!A106&lt;&gt;0,COPIA!A106,""),"")</f>
        <v>10.01</v>
      </c>
      <c r="E112" s="75" t="str">
        <f ca="1">IFERROR(IF(COPIA!B106&lt;&gt;0,COPIA!B106,""),"")</f>
        <v>CAPITALE SOCIALE</v>
      </c>
      <c r="F112" s="73" t="str">
        <f ca="1">IFERROR(IF(COPIA!C106&lt;&gt;0,COPIA!C106,""),"")</f>
        <v>E</v>
      </c>
      <c r="G112" s="73" t="str">
        <f ca="1">IFERROR(IF(COPIA!D106&lt;&gt;0,COPIA!D106,""),"")</f>
        <v>A</v>
      </c>
      <c r="H112" s="73" t="str">
        <f ca="1">IF(E112="FONDO SVALUTAZIONE CREDITI","RETTIFICA CREDITI",IFERROR(IF(COPIA!E106&lt;&gt;0,COPIA!E106,""),""))</f>
        <v>PATRIMONIO NETTO</v>
      </c>
      <c r="I112" s="73" t="str">
        <f ca="1">IFERROR(IF(COPIA!F106&lt;&gt;0,COPIA!F106,""),"")</f>
        <v>SP AVERE</v>
      </c>
    </row>
    <row r="113" spans="4:9" ht="20.100000000000001" customHeight="1" x14ac:dyDescent="0.3">
      <c r="D113" s="73" t="str">
        <f ca="1">IFERROR(IF(COPIA!A107&lt;&gt;0,COPIA!A107,""),"")</f>
        <v>10.02</v>
      </c>
      <c r="E113" s="75" t="str">
        <f ca="1">IFERROR(IF(COPIA!B107&lt;&gt;0,COPIA!B107,""),"")</f>
        <v>RISERVA SOPRAPPREZZO AZIONI</v>
      </c>
      <c r="F113" s="73" t="str">
        <f ca="1">IFERROR(IF(COPIA!C107&lt;&gt;0,COPIA!C107,""),"")</f>
        <v>E</v>
      </c>
      <c r="G113" s="73" t="str">
        <f ca="1">IFERROR(IF(COPIA!D107&lt;&gt;0,COPIA!D107,""),"")</f>
        <v>A</v>
      </c>
      <c r="H113" s="73" t="str">
        <f ca="1">IF(E113="FONDO SVALUTAZIONE CREDITI","RETTIFICA CREDITI",IFERROR(IF(COPIA!E107&lt;&gt;0,COPIA!E107,""),""))</f>
        <v>PATRIMONIO NETTO</v>
      </c>
      <c r="I113" s="73" t="str">
        <f ca="1">IFERROR(IF(COPIA!F107&lt;&gt;0,COPIA!F107,""),"")</f>
        <v>SP AVERE</v>
      </c>
    </row>
    <row r="114" spans="4:9" ht="20.100000000000001" customHeight="1" x14ac:dyDescent="0.3">
      <c r="D114" s="73" t="str">
        <f ca="1">IFERROR(IF(COPIA!A108&lt;&gt;0,COPIA!A108,""),"")</f>
        <v>10.03</v>
      </c>
      <c r="E114" s="75" t="str">
        <f ca="1">IFERROR(IF(COPIA!B108&lt;&gt;0,COPIA!B108,""),"")</f>
        <v>RISERVA DI RIVALUTAZIONE</v>
      </c>
      <c r="F114" s="73" t="str">
        <f ca="1">IFERROR(IF(COPIA!C108&lt;&gt;0,COPIA!C108,""),"")</f>
        <v>E</v>
      </c>
      <c r="G114" s="73" t="str">
        <f ca="1">IFERROR(IF(COPIA!D108&lt;&gt;0,COPIA!D108,""),"")</f>
        <v>A</v>
      </c>
      <c r="H114" s="73" t="str">
        <f ca="1">IF(E114="FONDO SVALUTAZIONE CREDITI","RETTIFICA CREDITI",IFERROR(IF(COPIA!E108&lt;&gt;0,COPIA!E108,""),""))</f>
        <v>PATRIMONIO NETTO</v>
      </c>
      <c r="I114" s="73" t="str">
        <f ca="1">IFERROR(IF(COPIA!F108&lt;&gt;0,COPIA!F108,""),"")</f>
        <v>SP AVERE</v>
      </c>
    </row>
    <row r="115" spans="4:9" ht="20.100000000000001" customHeight="1" x14ac:dyDescent="0.3">
      <c r="D115" s="73" t="str">
        <f ca="1">IFERROR(IF(COPIA!A109&lt;&gt;0,COPIA!A109,""),"")</f>
        <v>10.04</v>
      </c>
      <c r="E115" s="75" t="str">
        <f ca="1">IFERROR(IF(COPIA!B109&lt;&gt;0,COPIA!B109,""),"")</f>
        <v>RISERVA LEGALE</v>
      </c>
      <c r="F115" s="73" t="str">
        <f ca="1">IFERROR(IF(COPIA!C109&lt;&gt;0,COPIA!C109,""),"")</f>
        <v>E</v>
      </c>
      <c r="G115" s="73" t="str">
        <f ca="1">IFERROR(IF(COPIA!D109&lt;&gt;0,COPIA!D109,""),"")</f>
        <v>A</v>
      </c>
      <c r="H115" s="73" t="str">
        <f ca="1">IF(E115="FONDO SVALUTAZIONE CREDITI","RETTIFICA CREDITI",IFERROR(IF(COPIA!E109&lt;&gt;0,COPIA!E109,""),""))</f>
        <v>PATRIMONIO NETTO</v>
      </c>
      <c r="I115" s="73" t="str">
        <f ca="1">IFERROR(IF(COPIA!F109&lt;&gt;0,COPIA!F109,""),"")</f>
        <v>SP AVERE</v>
      </c>
    </row>
    <row r="116" spans="4:9" ht="20.100000000000001" customHeight="1" x14ac:dyDescent="0.3">
      <c r="D116" s="73" t="str">
        <f ca="1">IFERROR(IF(COPIA!A110&lt;&gt;0,COPIA!A110,""),"")</f>
        <v>10.05</v>
      </c>
      <c r="E116" s="75" t="str">
        <f ca="1">IFERROR(IF(COPIA!B110&lt;&gt;0,COPIA!B110,""),"")</f>
        <v>RISERVA STATUTARIA</v>
      </c>
      <c r="F116" s="73" t="str">
        <f ca="1">IFERROR(IF(COPIA!C110&lt;&gt;0,COPIA!C110,""),"")</f>
        <v>E</v>
      </c>
      <c r="G116" s="73" t="str">
        <f ca="1">IFERROR(IF(COPIA!D110&lt;&gt;0,COPIA!D110,""),"")</f>
        <v>A</v>
      </c>
      <c r="H116" s="73" t="str">
        <f ca="1">IF(E116="FONDO SVALUTAZIONE CREDITI","RETTIFICA CREDITI",IFERROR(IF(COPIA!E110&lt;&gt;0,COPIA!E110,""),""))</f>
        <v>PATRIMONIO NETTO</v>
      </c>
      <c r="I116" s="73" t="str">
        <f ca="1">IFERROR(IF(COPIA!F110&lt;&gt;0,COPIA!F110,""),"")</f>
        <v>SP AVERE</v>
      </c>
    </row>
    <row r="117" spans="4:9" ht="20.100000000000001" customHeight="1" x14ac:dyDescent="0.3">
      <c r="D117" s="73" t="str">
        <f ca="1">IFERROR(IF(COPIA!A111&lt;&gt;0,COPIA!A111,""),"")</f>
        <v>10.06</v>
      </c>
      <c r="E117" s="75" t="str">
        <f ca="1">IFERROR(IF(COPIA!B111&lt;&gt;0,COPIA!B111,""),"")</f>
        <v>RISERVA STRAORDINARIA</v>
      </c>
      <c r="F117" s="73" t="str">
        <f ca="1">IFERROR(IF(COPIA!C111&lt;&gt;0,COPIA!C111,""),"")</f>
        <v>E</v>
      </c>
      <c r="G117" s="73" t="str">
        <f ca="1">IFERROR(IF(COPIA!D111&lt;&gt;0,COPIA!D111,""),"")</f>
        <v>A</v>
      </c>
      <c r="H117" s="73" t="str">
        <f ca="1">IF(E117="FONDO SVALUTAZIONE CREDITI","RETTIFICA CREDITI",IFERROR(IF(COPIA!E111&lt;&gt;0,COPIA!E111,""),""))</f>
        <v>PATRIMONIO NETTO</v>
      </c>
      <c r="I117" s="73" t="str">
        <f ca="1">IFERROR(IF(COPIA!F111&lt;&gt;0,COPIA!F111,""),"")</f>
        <v>SP AVERE</v>
      </c>
    </row>
    <row r="118" spans="4:9" ht="20.100000000000001" customHeight="1" x14ac:dyDescent="0.3">
      <c r="D118" s="73" t="str">
        <f ca="1">IFERROR(IF(COPIA!A112&lt;&gt;0,COPIA!A112,""),"")</f>
        <v>10.07</v>
      </c>
      <c r="E118" s="75" t="str">
        <f ca="1">IFERROR(IF(COPIA!B112&lt;&gt;0,COPIA!B112,""),"")</f>
        <v>RISERVA CONGUAGLIO UTILI</v>
      </c>
      <c r="F118" s="73" t="str">
        <f ca="1">IFERROR(IF(COPIA!C112&lt;&gt;0,COPIA!C112,""),"")</f>
        <v>E</v>
      </c>
      <c r="G118" s="73" t="str">
        <f ca="1">IFERROR(IF(COPIA!D112&lt;&gt;0,COPIA!D112,""),"")</f>
        <v>A</v>
      </c>
      <c r="H118" s="73" t="str">
        <f ca="1">IF(E118="FONDO SVALUTAZIONE CREDITI","RETTIFICA CREDITI",IFERROR(IF(COPIA!E112&lt;&gt;0,COPIA!E112,""),""))</f>
        <v>PATRIMONIO NETTO</v>
      </c>
      <c r="I118" s="73" t="str">
        <f ca="1">IFERROR(IF(COPIA!F112&lt;&gt;0,COPIA!F112,""),"")</f>
        <v>SP AVERE</v>
      </c>
    </row>
    <row r="119" spans="4:9" ht="20.100000000000001" customHeight="1" x14ac:dyDescent="0.3">
      <c r="D119" s="73" t="str">
        <f ca="1">IFERROR(IF(COPIA!A113&lt;&gt;0,COPIA!A113,""),"")</f>
        <v>10.09</v>
      </c>
      <c r="E119" s="75" t="str">
        <f ca="1">IFERROR(IF(COPIA!B113&lt;&gt;0,COPIA!B113,""),"")</f>
        <v>FONDO RIMBORSO SPESE</v>
      </c>
      <c r="F119" s="73" t="str">
        <f ca="1">IFERROR(IF(COPIA!C113&lt;&gt;0,COPIA!C113,""),"")</f>
        <v>E</v>
      </c>
      <c r="G119" s="73" t="str">
        <f ca="1">IFERROR(IF(COPIA!D113&lt;&gt;0,COPIA!D113,""),"")</f>
        <v>A</v>
      </c>
      <c r="H119" s="73" t="str">
        <f ca="1">IF(E119="FONDO SVALUTAZIONE CREDITI","RETTIFICA CREDITI",IFERROR(IF(COPIA!E113&lt;&gt;0,COPIA!E113,""),""))</f>
        <v>PATRIMONIO NETTO</v>
      </c>
      <c r="I119" s="73" t="str">
        <f ca="1">IFERROR(IF(COPIA!F113&lt;&gt;0,COPIA!F113,""),"")</f>
        <v>SP AVERE</v>
      </c>
    </row>
    <row r="120" spans="4:9" ht="20.100000000000001" customHeight="1" x14ac:dyDescent="0.3">
      <c r="D120" s="73" t="str">
        <f ca="1">IFERROR(IF(COPIA!A114&lt;&gt;0,COPIA!A114,""),"")</f>
        <v>10.20</v>
      </c>
      <c r="E120" s="75" t="str">
        <f ca="1">IFERROR(IF(COPIA!B114&lt;&gt;0,COPIA!B114,""),"")</f>
        <v>VERSAMENTI AZIONISTI C/CAPITALE</v>
      </c>
      <c r="F120" s="73" t="str">
        <f ca="1">IFERROR(IF(COPIA!C114&lt;&gt;0,COPIA!C114,""),"")</f>
        <v>E</v>
      </c>
      <c r="G120" s="73" t="str">
        <f ca="1">IFERROR(IF(COPIA!D114&lt;&gt;0,COPIA!D114,""),"")</f>
        <v>A</v>
      </c>
      <c r="H120" s="73" t="str">
        <f ca="1">IF(E120="FONDO SVALUTAZIONE CREDITI","RETTIFICA CREDITI",IFERROR(IF(COPIA!E114&lt;&gt;0,COPIA!E114,""),""))</f>
        <v>PATRIMONIO NETTO</v>
      </c>
      <c r="I120" s="73" t="str">
        <f ca="1">IFERROR(IF(COPIA!F114&lt;&gt;0,COPIA!F114,""),"")</f>
        <v>SP AVERE</v>
      </c>
    </row>
    <row r="121" spans="4:9" ht="20.100000000000001" customHeight="1" x14ac:dyDescent="0.3">
      <c r="D121" s="73" t="str">
        <f ca="1">IFERROR(IF(COPIA!A115&lt;&gt;0,COPIA!A115,""),"")</f>
        <v>10.21</v>
      </c>
      <c r="E121" s="75" t="str">
        <f ca="1">IFERROR(IF(COPIA!B115&lt;&gt;0,COPIA!B115,""),"")</f>
        <v>VERSAMENTI C/AUMENTO CAPITALE</v>
      </c>
      <c r="F121" s="73" t="str">
        <f ca="1">IFERROR(IF(COPIA!C115&lt;&gt;0,COPIA!C115,""),"")</f>
        <v>E</v>
      </c>
      <c r="G121" s="73" t="str">
        <f ca="1">IFERROR(IF(COPIA!D115&lt;&gt;0,COPIA!D115,""),"")</f>
        <v>A</v>
      </c>
      <c r="H121" s="73" t="str">
        <f ca="1">IF(E121="FONDO SVALUTAZIONE CREDITI","RETTIFICA CREDITI",IFERROR(IF(COPIA!E115&lt;&gt;0,COPIA!E115,""),""))</f>
        <v>PATRIMONIO NETTO</v>
      </c>
      <c r="I121" s="73" t="str">
        <f ca="1">IFERROR(IF(COPIA!F115&lt;&gt;0,COPIA!F115,""),"")</f>
        <v>SP AVERE</v>
      </c>
    </row>
    <row r="122" spans="4:9" ht="20.100000000000001" customHeight="1" x14ac:dyDescent="0.3">
      <c r="D122" s="73" t="str">
        <f ca="1">IFERROR(IF(COPIA!A116&lt;&gt;0,COPIA!A116,""),"")</f>
        <v>10.30</v>
      </c>
      <c r="E122" s="75" t="str">
        <f ca="1">IFERROR(IF(COPIA!B116&lt;&gt;0,COPIA!B116,""),"")</f>
        <v>UTILI A NUOVO</v>
      </c>
      <c r="F122" s="73" t="str">
        <f ca="1">IFERROR(IF(COPIA!C116&lt;&gt;0,COPIA!C116,""),"")</f>
        <v>E</v>
      </c>
      <c r="G122" s="73" t="str">
        <f ca="1">IFERROR(IF(COPIA!D116&lt;&gt;0,COPIA!D116,""),"")</f>
        <v>A</v>
      </c>
      <c r="H122" s="73" t="str">
        <f ca="1">IF(E122="FONDO SVALUTAZIONE CREDITI","RETTIFICA CREDITI",IFERROR(IF(COPIA!E116&lt;&gt;0,COPIA!E116,""),""))</f>
        <v>PATRIMONIO NETTO</v>
      </c>
      <c r="I122" s="73" t="str">
        <f ca="1">IFERROR(IF(COPIA!F116&lt;&gt;0,COPIA!F116,""),"")</f>
        <v>SP AVERE</v>
      </c>
    </row>
    <row r="123" spans="4:9" ht="20.100000000000001" customHeight="1" x14ac:dyDescent="0.3">
      <c r="D123" s="73" t="str">
        <f ca="1">IFERROR(IF(COPIA!A117&lt;&gt;0,COPIA!A117,""),"")</f>
        <v>10.31</v>
      </c>
      <c r="E123" s="75" t="str">
        <f ca="1">IFERROR(IF(COPIA!B117&lt;&gt;0,COPIA!B117,""),"")</f>
        <v>PERDITE A NUOVO</v>
      </c>
      <c r="F123" s="73" t="str">
        <f ca="1">IFERROR(IF(COPIA!C117&lt;&gt;0,COPIA!C117,""),"")</f>
        <v>E</v>
      </c>
      <c r="G123" s="73" t="str">
        <f ca="1">IFERROR(IF(COPIA!D117&lt;&gt;0,COPIA!D117,""),"")</f>
        <v>D</v>
      </c>
      <c r="H123" s="73" t="str">
        <f ca="1">IF(E123="FONDO SVALUTAZIONE CREDITI","RETTIFICA CREDITI",IFERROR(IF(COPIA!E117&lt;&gt;0,COPIA!E117,""),""))</f>
        <v>PATRIMONIO NETTO</v>
      </c>
      <c r="I123" s="73" t="str">
        <f ca="1">IFERROR(IF(COPIA!F117&lt;&gt;0,COPIA!F117,""),"")</f>
        <v>SP DARE</v>
      </c>
    </row>
    <row r="124" spans="4:9" ht="20.100000000000001" customHeight="1" x14ac:dyDescent="0.3">
      <c r="D124" s="73" t="str">
        <f ca="1">IFERROR(IF(COPIA!A118&lt;&gt;0,COPIA!A118,""),"")</f>
        <v>10.40</v>
      </c>
      <c r="E124" s="75" t="str">
        <f ca="1">IFERROR(IF(COPIA!B118&lt;&gt;0,COPIA!B118,""),"")</f>
        <v>UTILE D'ESERCIZIO</v>
      </c>
      <c r="F124" s="73" t="str">
        <f ca="1">IFERROR(IF(COPIA!C118&lt;&gt;0,COPIA!C118,""),"")</f>
        <v>E</v>
      </c>
      <c r="G124" s="73" t="str">
        <f ca="1">IFERROR(IF(COPIA!D118&lt;&gt;0,COPIA!D118,""),"")</f>
        <v>A</v>
      </c>
      <c r="H124" s="73" t="str">
        <f ca="1">IF(E124="FONDO SVALUTAZIONE CREDITI","RETTIFICA CREDITI",IFERROR(IF(COPIA!E118&lt;&gt;0,COPIA!E118,""),""))</f>
        <v>PATRIMONIO NETTO</v>
      </c>
      <c r="I124" s="73" t="str">
        <f ca="1">IFERROR(IF(COPIA!F118&lt;&gt;0,COPIA!F118,""),"")</f>
        <v>SP AVERE</v>
      </c>
    </row>
    <row r="125" spans="4:9" ht="20.100000000000001" customHeight="1" x14ac:dyDescent="0.3">
      <c r="D125" s="73" t="str">
        <f ca="1">IFERROR(IF(COPIA!A119&lt;&gt;0,COPIA!A119,""),"")</f>
        <v>10.41</v>
      </c>
      <c r="E125" s="75" t="str">
        <f ca="1">IFERROR(IF(COPIA!B119&lt;&gt;0,COPIA!B119,""),"")</f>
        <v>PERDITA D'ESERCIZIO</v>
      </c>
      <c r="F125" s="73" t="str">
        <f ca="1">IFERROR(IF(COPIA!C119&lt;&gt;0,COPIA!C119,""),"")</f>
        <v>E</v>
      </c>
      <c r="G125" s="73" t="str">
        <f ca="1">IFERROR(IF(COPIA!D119&lt;&gt;0,COPIA!D119,""),"")</f>
        <v>D</v>
      </c>
      <c r="H125" s="73" t="str">
        <f ca="1">IF(E125="FONDO SVALUTAZIONE CREDITI","RETTIFICA CREDITI",IFERROR(IF(COPIA!E119&lt;&gt;0,COPIA!E119,""),""))</f>
        <v>PATRIMONIO NETTO</v>
      </c>
      <c r="I125" s="73" t="str">
        <f ca="1">IFERROR(IF(COPIA!F119&lt;&gt;0,COPIA!F119,""),"")</f>
        <v>SP DARE</v>
      </c>
    </row>
    <row r="126" spans="4:9" ht="20.100000000000001" customHeight="1" x14ac:dyDescent="0.3">
      <c r="D126" s="73" t="str">
        <f ca="1">IFERROR(IF(COPIA!A120&lt;&gt;0,COPIA!A120,""),"")</f>
        <v>10.42</v>
      </c>
      <c r="E126" s="75" t="str">
        <f ca="1">IFERROR(IF(COPIA!B120&lt;&gt;0,COPIA!B120,""),"")</f>
        <v>RISERVA NEGATIVA PER AZIONI PROPRIE</v>
      </c>
      <c r="F126" s="73" t="str">
        <f ca="1">IFERROR(IF(COPIA!C120&lt;&gt;0,COPIA!C120,""),"")</f>
        <v>E</v>
      </c>
      <c r="G126" s="73" t="str">
        <f ca="1">IFERROR(IF(COPIA!D120&lt;&gt;0,COPIA!D120,""),"")</f>
        <v>D</v>
      </c>
      <c r="H126" s="73" t="str">
        <f ca="1">IF(E126="FONDO SVALUTAZIONE CREDITI","RETTIFICA CREDITI",IFERROR(IF(COPIA!E120&lt;&gt;0,COPIA!E120,""),""))</f>
        <v>PATRIMONIO NETTO</v>
      </c>
      <c r="I126" s="73" t="str">
        <f ca="1">IFERROR(IF(COPIA!F120&lt;&gt;0,COPIA!F120,""),"")</f>
        <v>SP DARE</v>
      </c>
    </row>
    <row r="127" spans="4:9" ht="20.100000000000001" customHeight="1" x14ac:dyDescent="0.3">
      <c r="D127" s="73" t="str">
        <f ca="1">IFERROR(IF(COPIA!A121&lt;&gt;0,COPIA!A121,""),"")</f>
        <v>11.00</v>
      </c>
      <c r="E127" s="75" t="str">
        <f ca="1">IFERROR(IF(COPIA!B121&lt;&gt;0,COPIA!B121,""),"")</f>
        <v>FONDI PER RISCHI E ONERI</v>
      </c>
      <c r="F127" s="73" t="str">
        <f ca="1">IFERROR(IF(COPIA!C121&lt;&gt;0,COPIA!C121,""),"")</f>
        <v/>
      </c>
      <c r="G127" s="73" t="str">
        <f ca="1">IFERROR(IF(COPIA!D121&lt;&gt;0,COPIA!D121,""),"")</f>
        <v/>
      </c>
      <c r="H127" s="73" t="str">
        <f ca="1">IF(E127="FONDO SVALUTAZIONE CREDITI","RETTIFICA CREDITI",IFERROR(IF(COPIA!E121&lt;&gt;0,COPIA!E121,""),""))</f>
        <v/>
      </c>
      <c r="I127" s="73" t="str">
        <f ca="1">IFERROR(IF(COPIA!F121&lt;&gt;0,COPIA!F121,""),"")</f>
        <v/>
      </c>
    </row>
    <row r="128" spans="4:9" ht="20.100000000000001" customHeight="1" x14ac:dyDescent="0.3">
      <c r="D128" s="73" t="str">
        <f ca="1">IFERROR(IF(COPIA!A122&lt;&gt;0,COPIA!A122,""),"")</f>
        <v>11.01</v>
      </c>
      <c r="E128" s="75" t="str">
        <f ca="1">IFERROR(IF(COPIA!B122&lt;&gt;0,COPIA!B122,""),"")</f>
        <v>FONDO PER IMPOSTE</v>
      </c>
      <c r="F128" s="73" t="str">
        <f ca="1">IFERROR(IF(COPIA!C122&lt;&gt;0,COPIA!C122,""),"")</f>
        <v>F</v>
      </c>
      <c r="G128" s="73" t="str">
        <f ca="1">IFERROR(IF(COPIA!D122&lt;&gt;0,COPIA!D122,""),"")</f>
        <v>A</v>
      </c>
      <c r="H128" s="73" t="str">
        <f ca="1">IF(E128="FONDO SVALUTAZIONE CREDITI","RETTIFICA CREDITI",IFERROR(IF(COPIA!E122&lt;&gt;0,COPIA!E122,""),""))</f>
        <v>RATEI, FONDI RISCHI E ONERI</v>
      </c>
      <c r="I128" s="73" t="str">
        <f ca="1">IFERROR(IF(COPIA!F122&lt;&gt;0,COPIA!F122,""),"")</f>
        <v>SP AVERE</v>
      </c>
    </row>
    <row r="129" spans="4:9" ht="20.100000000000001" customHeight="1" x14ac:dyDescent="0.3">
      <c r="D129" s="73" t="str">
        <f ca="1">IFERROR(IF(COPIA!A123&lt;&gt;0,COPIA!A123,""),"")</f>
        <v>11.03</v>
      </c>
      <c r="E129" s="75" t="str">
        <f ca="1">IFERROR(IF(COPIA!B123&lt;&gt;0,COPIA!B123,""),"")</f>
        <v>FONDO RESPONSABILITÀ CIVILE</v>
      </c>
      <c r="F129" s="73" t="str">
        <f ca="1">IFERROR(IF(COPIA!C123&lt;&gt;0,COPIA!C123,""),"")</f>
        <v>F</v>
      </c>
      <c r="G129" s="73" t="str">
        <f ca="1">IFERROR(IF(COPIA!D123&lt;&gt;0,COPIA!D123,""),"")</f>
        <v>A</v>
      </c>
      <c r="H129" s="73" t="str">
        <f ca="1">IF(E129="FONDO SVALUTAZIONE CREDITI","RETTIFICA CREDITI",IFERROR(IF(COPIA!E123&lt;&gt;0,COPIA!E123,""),""))</f>
        <v>RATEI, FONDI RISCHI E ONERI</v>
      </c>
      <c r="I129" s="73" t="str">
        <f ca="1">IFERROR(IF(COPIA!F123&lt;&gt;0,COPIA!F123,""),"")</f>
        <v>SP AVERE</v>
      </c>
    </row>
    <row r="130" spans="4:9" ht="20.100000000000001" customHeight="1" x14ac:dyDescent="0.3">
      <c r="D130" s="73" t="str">
        <f ca="1">IFERROR(IF(COPIA!A124&lt;&gt;0,COPIA!A124,""),"")</f>
        <v>11.10</v>
      </c>
      <c r="E130" s="75" t="str">
        <f ca="1">IFERROR(IF(COPIA!B124&lt;&gt;0,COPIA!B124,""),"")</f>
        <v>FONDO MANUTENZIONI PROGRAMMATE</v>
      </c>
      <c r="F130" s="73" t="str">
        <f ca="1">IFERROR(IF(COPIA!C124&lt;&gt;0,COPIA!C124,""),"")</f>
        <v>F</v>
      </c>
      <c r="G130" s="73" t="str">
        <f ca="1">IFERROR(IF(COPIA!D124&lt;&gt;0,COPIA!D124,""),"")</f>
        <v>A</v>
      </c>
      <c r="H130" s="73" t="str">
        <f ca="1">IF(E130="FONDO SVALUTAZIONE CREDITI","RETTIFICA CREDITI",IFERROR(IF(COPIA!E124&lt;&gt;0,COPIA!E124,""),""))</f>
        <v>RATEI, FONDI RISCHI E ONERI</v>
      </c>
      <c r="I130" s="73" t="str">
        <f ca="1">IFERROR(IF(COPIA!F124&lt;&gt;0,COPIA!F124,""),"")</f>
        <v>SP AVERE</v>
      </c>
    </row>
    <row r="131" spans="4:9" ht="20.100000000000001" customHeight="1" x14ac:dyDescent="0.3">
      <c r="D131" s="73" t="str">
        <f ca="1">IFERROR(IF(COPIA!A125&lt;&gt;0,COPIA!A125,""),"")</f>
        <v>11.11</v>
      </c>
      <c r="E131" s="75" t="str">
        <f ca="1">IFERROR(IF(COPIA!B125&lt;&gt;0,COPIA!B125,""),"")</f>
        <v>FONDO GARANZIA PRODOTTI</v>
      </c>
      <c r="F131" s="73" t="str">
        <f ca="1">IFERROR(IF(COPIA!C125&lt;&gt;0,COPIA!C125,""),"")</f>
        <v>F</v>
      </c>
      <c r="G131" s="73" t="str">
        <f ca="1">IFERROR(IF(COPIA!D125&lt;&gt;0,COPIA!D125,""),"")</f>
        <v>A</v>
      </c>
      <c r="H131" s="73" t="str">
        <f ca="1">IF(E131="FONDO SVALUTAZIONE CREDITI","RETTIFICA CREDITI",IFERROR(IF(COPIA!E125&lt;&gt;0,COPIA!E125,""),""))</f>
        <v>RATEI, FONDI RISCHI E ONERI</v>
      </c>
      <c r="I131" s="73" t="str">
        <f ca="1">IFERROR(IF(COPIA!F125&lt;&gt;0,COPIA!F125,""),"")</f>
        <v>SP AVERE</v>
      </c>
    </row>
    <row r="132" spans="4:9" ht="20.100000000000001" customHeight="1" x14ac:dyDescent="0.3">
      <c r="D132" s="73" t="str">
        <f ca="1">IFERROR(IF(COPIA!A126&lt;&gt;0,COPIA!A126,""),"")</f>
        <v>12.00</v>
      </c>
      <c r="E132" s="75" t="str">
        <f ca="1">IFERROR(IF(COPIA!B126&lt;&gt;0,COPIA!B126,""),"")</f>
        <v>TRATTAMENTO FINE RAPPORTO</v>
      </c>
      <c r="F132" s="73" t="str">
        <f ca="1">IFERROR(IF(COPIA!C126&lt;&gt;0,COPIA!C126,""),"")</f>
        <v/>
      </c>
      <c r="G132" s="73" t="str">
        <f ca="1">IFERROR(IF(COPIA!D126&lt;&gt;0,COPIA!D126,""),"")</f>
        <v/>
      </c>
      <c r="H132" s="73" t="str">
        <f ca="1">IF(E132="FONDO SVALUTAZIONE CREDITI","RETTIFICA CREDITI",IFERROR(IF(COPIA!E126&lt;&gt;0,COPIA!E126,""),""))</f>
        <v/>
      </c>
      <c r="I132" s="73" t="str">
        <f ca="1">IFERROR(IF(COPIA!F126&lt;&gt;0,COPIA!F126,""),"")</f>
        <v/>
      </c>
    </row>
    <row r="133" spans="4:9" ht="20.100000000000001" customHeight="1" x14ac:dyDescent="0.3">
      <c r="D133" s="73" t="str">
        <f ca="1">IFERROR(IF(COPIA!A127&lt;&gt;0,COPIA!A127,""),"")</f>
        <v>12.01</v>
      </c>
      <c r="E133" s="75" t="str">
        <f ca="1">IFERROR(IF(COPIA!B127&lt;&gt;0,COPIA!B127,""),"")</f>
        <v>DEBITI PER TFR</v>
      </c>
      <c r="F133" s="73" t="str">
        <f ca="1">IFERROR(IF(COPIA!C127&lt;&gt;0,COPIA!C127,""),"")</f>
        <v>F</v>
      </c>
      <c r="G133" s="73" t="str">
        <f ca="1">IFERROR(IF(COPIA!D127&lt;&gt;0,COPIA!D127,""),"")</f>
        <v>A</v>
      </c>
      <c r="H133" s="73" t="str">
        <f ca="1">IF(E133="FONDO SVALUTAZIONE CREDITI","RETTIFICA CREDITI",IFERROR(IF(COPIA!E127&lt;&gt;0,COPIA!E127,""),""))</f>
        <v>DEBITI</v>
      </c>
      <c r="I133" s="73" t="str">
        <f ca="1">IFERROR(IF(COPIA!F127&lt;&gt;0,COPIA!F127,""),"")</f>
        <v>SP AVERE</v>
      </c>
    </row>
    <row r="134" spans="4:9" ht="20.100000000000001" customHeight="1" x14ac:dyDescent="0.3">
      <c r="D134" s="73" t="str">
        <f ca="1">IFERROR(IF(COPIA!A128&lt;&gt;0,COPIA!A128,""),"")</f>
        <v>13.00</v>
      </c>
      <c r="E134" s="75" t="str">
        <f ca="1">IFERROR(IF(COPIA!B128&lt;&gt;0,COPIA!B128,""),"")</f>
        <v>DEBITI FINANZIARI</v>
      </c>
      <c r="F134" s="73" t="str">
        <f ca="1">IFERROR(IF(COPIA!C128&lt;&gt;0,COPIA!C128,""),"")</f>
        <v/>
      </c>
      <c r="G134" s="73" t="str">
        <f ca="1">IFERROR(IF(COPIA!D128&lt;&gt;0,COPIA!D128,""),"")</f>
        <v/>
      </c>
      <c r="H134" s="73" t="str">
        <f ca="1">IF(E134="FONDO SVALUTAZIONE CREDITI","RETTIFICA CREDITI",IFERROR(IF(COPIA!E128&lt;&gt;0,COPIA!E128,""),""))</f>
        <v/>
      </c>
      <c r="I134" s="73" t="str">
        <f ca="1">IFERROR(IF(COPIA!F128&lt;&gt;0,COPIA!F128,""),"")</f>
        <v/>
      </c>
    </row>
    <row r="135" spans="4:9" ht="20.100000000000001" customHeight="1" x14ac:dyDescent="0.3">
      <c r="D135" s="73" t="str">
        <f ca="1">IFERROR(IF(COPIA!A129&lt;&gt;0,COPIA!A129,""),"")</f>
        <v>13.01</v>
      </c>
      <c r="E135" s="75" t="str">
        <f ca="1">IFERROR(IF(COPIA!B129&lt;&gt;0,COPIA!B129,""),"")</f>
        <v>PRESTITI OBBLIGAZIONARI</v>
      </c>
      <c r="F135" s="73" t="str">
        <f ca="1">IFERROR(IF(COPIA!C129&lt;&gt;0,COPIA!C129,""),"")</f>
        <v>F</v>
      </c>
      <c r="G135" s="73" t="str">
        <f ca="1">IFERROR(IF(COPIA!D129&lt;&gt;0,COPIA!D129,""),"")</f>
        <v>A</v>
      </c>
      <c r="H135" s="73" t="str">
        <f ca="1">IF(E135="FONDO SVALUTAZIONE CREDITI","RETTIFICA CREDITI",IFERROR(IF(COPIA!E129&lt;&gt;0,COPIA!E129,""),""))</f>
        <v>DEBITI</v>
      </c>
      <c r="I135" s="73" t="str">
        <f ca="1">IFERROR(IF(COPIA!F129&lt;&gt;0,COPIA!F129,""),"")</f>
        <v>SP AVERE</v>
      </c>
    </row>
    <row r="136" spans="4:9" ht="20.100000000000001" customHeight="1" x14ac:dyDescent="0.3">
      <c r="D136" s="73" t="str">
        <f ca="1">IFERROR(IF(COPIA!A130&lt;&gt;0,COPIA!A130,""),"")</f>
        <v>13.02</v>
      </c>
      <c r="E136" s="75" t="str">
        <f ca="1">IFERROR(IF(COPIA!B130&lt;&gt;0,COPIA!B130,""),"")</f>
        <v>PRESTITI OBBLIGAZIONARI CONVERTIBILI</v>
      </c>
      <c r="F136" s="73" t="str">
        <f ca="1">IFERROR(IF(COPIA!C130&lt;&gt;0,COPIA!C130,""),"")</f>
        <v>F</v>
      </c>
      <c r="G136" s="73" t="str">
        <f ca="1">IFERROR(IF(COPIA!D130&lt;&gt;0,COPIA!D130,""),"")</f>
        <v>A</v>
      </c>
      <c r="H136" s="73" t="str">
        <f ca="1">IF(E136="FONDO SVALUTAZIONE CREDITI","RETTIFICA CREDITI",IFERROR(IF(COPIA!E130&lt;&gt;0,COPIA!E130,""),""))</f>
        <v>DEBITI</v>
      </c>
      <c r="I136" s="73" t="str">
        <f ca="1">IFERROR(IF(COPIA!F130&lt;&gt;0,COPIA!F130,""),"")</f>
        <v>SP AVERE</v>
      </c>
    </row>
    <row r="137" spans="4:9" ht="20.100000000000001" customHeight="1" x14ac:dyDescent="0.3">
      <c r="D137" s="73" t="str">
        <f ca="1">IFERROR(IF(COPIA!A131&lt;&gt;0,COPIA!A131,""),"")</f>
        <v>13.03</v>
      </c>
      <c r="E137" s="75" t="str">
        <f ca="1">IFERROR(IF(COPIA!B131&lt;&gt;0,COPIA!B131,""),"")</f>
        <v>MUTUI PASSIVI</v>
      </c>
      <c r="F137" s="73" t="str">
        <f ca="1">IFERROR(IF(COPIA!C131&lt;&gt;0,COPIA!C131,""),"")</f>
        <v>F</v>
      </c>
      <c r="G137" s="73" t="str">
        <f ca="1">IFERROR(IF(COPIA!D131&lt;&gt;0,COPIA!D131,""),"")</f>
        <v>A</v>
      </c>
      <c r="H137" s="73" t="str">
        <f ca="1">IF(E137="FONDO SVALUTAZIONE CREDITI","RETTIFICA CREDITI",IFERROR(IF(COPIA!E131&lt;&gt;0,COPIA!E131,""),""))</f>
        <v>DEBITI</v>
      </c>
      <c r="I137" s="73" t="str">
        <f ca="1">IFERROR(IF(COPIA!F131&lt;&gt;0,COPIA!F131,""),"")</f>
        <v>SP AVERE</v>
      </c>
    </row>
    <row r="138" spans="4:9" ht="20.100000000000001" customHeight="1" x14ac:dyDescent="0.3">
      <c r="D138" s="73" t="str">
        <f ca="1">IFERROR(IF(COPIA!A132&lt;&gt;0,COPIA!A132,""),"")</f>
        <v>13.10</v>
      </c>
      <c r="E138" s="75" t="str">
        <f ca="1">IFERROR(IF(COPIA!B132&lt;&gt;0,COPIA!B132,""),"")</f>
        <v>BANCHE C/RI.BA. SBF</v>
      </c>
      <c r="F138" s="73" t="str">
        <f ca="1">IFERROR(IF(COPIA!C132&lt;&gt;0,COPIA!C132,""),"")</f>
        <v>F</v>
      </c>
      <c r="G138" s="73" t="str">
        <f ca="1">IFERROR(IF(COPIA!D132&lt;&gt;0,COPIA!D132,""),"")</f>
        <v>A</v>
      </c>
      <c r="H138" s="73" t="str">
        <f ca="1">IF(E138="FONDO SVALUTAZIONE CREDITI","RETTIFICA CREDITI",IFERROR(IF(COPIA!E132&lt;&gt;0,COPIA!E132,""),""))</f>
        <v>DEBITI</v>
      </c>
      <c r="I138" s="73" t="str">
        <f ca="1">IFERROR(IF(COPIA!F132&lt;&gt;0,COPIA!F132,""),"")</f>
        <v>SP AVERE</v>
      </c>
    </row>
    <row r="139" spans="4:9" ht="20.100000000000001" customHeight="1" x14ac:dyDescent="0.3">
      <c r="D139" s="73" t="str">
        <f ca="1">IFERROR(IF(COPIA!A133&lt;&gt;0,COPIA!A133,""),"")</f>
        <v>13.11</v>
      </c>
      <c r="E139" s="75" t="str">
        <f ca="1">IFERROR(IF(COPIA!B133&lt;&gt;0,COPIA!B133,""),"")</f>
        <v>BANCHE C/ANTICIPI SU FATTURE</v>
      </c>
      <c r="F139" s="73" t="str">
        <f ca="1">IFERROR(IF(COPIA!C133&lt;&gt;0,COPIA!C133,""),"")</f>
        <v>F</v>
      </c>
      <c r="G139" s="73" t="str">
        <f ca="1">IFERROR(IF(COPIA!D133&lt;&gt;0,COPIA!D133,""),"")</f>
        <v>A</v>
      </c>
      <c r="H139" s="73" t="str">
        <f ca="1">IF(E139="FONDO SVALUTAZIONE CREDITI","RETTIFICA CREDITI",IFERROR(IF(COPIA!E133&lt;&gt;0,COPIA!E133,""),""))</f>
        <v>DEBITI</v>
      </c>
      <c r="I139" s="73" t="str">
        <f ca="1">IFERROR(IF(COPIA!F133&lt;&gt;0,COPIA!F133,""),"")</f>
        <v>SP AVERE</v>
      </c>
    </row>
    <row r="140" spans="4:9" ht="20.100000000000001" customHeight="1" x14ac:dyDescent="0.3">
      <c r="D140" s="73" t="str">
        <f ca="1">IFERROR(IF(COPIA!A134&lt;&gt;0,COPIA!A134,""),"")</f>
        <v>13.15</v>
      </c>
      <c r="E140" s="75" t="str">
        <f ca="1">IFERROR(IF(COPIA!B134&lt;&gt;0,COPIA!B134,""),"")</f>
        <v>SOVVENZIONI BANCARIE</v>
      </c>
      <c r="F140" s="73" t="str">
        <f ca="1">IFERROR(IF(COPIA!C134&lt;&gt;0,COPIA!C134,""),"")</f>
        <v>F</v>
      </c>
      <c r="G140" s="73" t="str">
        <f ca="1">IFERROR(IF(COPIA!D134&lt;&gt;0,COPIA!D134,""),"")</f>
        <v>A</v>
      </c>
      <c r="H140" s="73" t="str">
        <f ca="1">IF(E140="FONDO SVALUTAZIONE CREDITI","RETTIFICA CREDITI",IFERROR(IF(COPIA!E134&lt;&gt;0,COPIA!E134,""),""))</f>
        <v>DEBITI</v>
      </c>
      <c r="I140" s="73" t="str">
        <f ca="1">IFERROR(IF(COPIA!F134&lt;&gt;0,COPIA!F134,""),"")</f>
        <v>SP AVERE</v>
      </c>
    </row>
    <row r="141" spans="4:9" ht="20.100000000000001" customHeight="1" x14ac:dyDescent="0.3">
      <c r="D141" s="73" t="str">
        <f ca="1">IFERROR(IF(COPIA!A135&lt;&gt;0,COPIA!A135,""),"")</f>
        <v>13.20</v>
      </c>
      <c r="E141" s="75" t="str">
        <f ca="1">IFERROR(IF(COPIA!B135&lt;&gt;0,COPIA!B135,""),"")</f>
        <v>BANCHE C/C PASSIVI</v>
      </c>
      <c r="F141" s="73" t="str">
        <f ca="1">IFERROR(IF(COPIA!C135&lt;&gt;0,COPIA!C135,""),"")</f>
        <v>F</v>
      </c>
      <c r="G141" s="73" t="str">
        <f ca="1">IFERROR(IF(COPIA!D135&lt;&gt;0,COPIA!D135,""),"")</f>
        <v>A</v>
      </c>
      <c r="H141" s="73" t="str">
        <f ca="1">IF(E141="FONDO SVALUTAZIONE CREDITI","RETTIFICA CREDITI",IFERROR(IF(COPIA!E135&lt;&gt;0,COPIA!E135,""),""))</f>
        <v>DEBITI</v>
      </c>
      <c r="I141" s="73" t="str">
        <f ca="1">IFERROR(IF(COPIA!F135&lt;&gt;0,COPIA!F135,""),"")</f>
        <v>SP AVERE</v>
      </c>
    </row>
    <row r="142" spans="4:9" ht="20.100000000000001" customHeight="1" x14ac:dyDescent="0.3">
      <c r="D142" s="73" t="str">
        <f ca="1">IFERROR(IF(COPIA!A136&lt;&gt;0,COPIA!A136,""),"")</f>
        <v>13.21</v>
      </c>
      <c r="E142" s="75" t="str">
        <f ca="1">IFERROR(IF(COPIA!B136&lt;&gt;0,COPIA!B136,""),"")</f>
        <v>BANCHE C/INTERESSI MATURATI</v>
      </c>
      <c r="F142" s="73" t="str">
        <f ca="1">IFERROR(IF(COPIA!C136&lt;&gt;0,COPIA!C136,""),"")</f>
        <v>F</v>
      </c>
      <c r="G142" s="73" t="str">
        <f ca="1">IFERROR(IF(COPIA!D136&lt;&gt;0,COPIA!D136,""),"")</f>
        <v>A</v>
      </c>
      <c r="H142" s="73" t="str">
        <f ca="1">IF(E142="FONDO SVALUTAZIONE CREDITI","RETTIFICA CREDITI",IFERROR(IF(COPIA!E136&lt;&gt;0,COPIA!E136,""),""))</f>
        <v>DEBITI</v>
      </c>
      <c r="I142" s="73" t="str">
        <f ca="1">IFERROR(IF(COPIA!F136&lt;&gt;0,COPIA!F136,""),"")</f>
        <v>SP AVERE</v>
      </c>
    </row>
    <row r="143" spans="4:9" ht="20.100000000000001" customHeight="1" x14ac:dyDescent="0.3">
      <c r="D143" s="73" t="str">
        <f ca="1">IFERROR(IF(COPIA!A137&lt;&gt;0,COPIA!A137,""),"")</f>
        <v>13.30</v>
      </c>
      <c r="E143" s="75" t="str">
        <f ca="1">IFERROR(IF(COPIA!B137&lt;&gt;0,COPIA!B137,""),"")</f>
        <v>PRESTITI DA CONTROLLATE</v>
      </c>
      <c r="F143" s="73" t="str">
        <f ca="1">IFERROR(IF(COPIA!C137&lt;&gt;0,COPIA!C137,""),"")</f>
        <v>F</v>
      </c>
      <c r="G143" s="73" t="str">
        <f ca="1">IFERROR(IF(COPIA!D137&lt;&gt;0,COPIA!D137,""),"")</f>
        <v>A</v>
      </c>
      <c r="H143" s="73" t="str">
        <f ca="1">IF(E143="FONDO SVALUTAZIONE CREDITI","RETTIFICA CREDITI",IFERROR(IF(COPIA!E137&lt;&gt;0,COPIA!E137,""),""))</f>
        <v>DEBITI</v>
      </c>
      <c r="I143" s="73" t="str">
        <f ca="1">IFERROR(IF(COPIA!F137&lt;&gt;0,COPIA!F137,""),"")</f>
        <v>SP AVERE</v>
      </c>
    </row>
    <row r="144" spans="4:9" ht="20.100000000000001" customHeight="1" x14ac:dyDescent="0.3">
      <c r="D144" s="73" t="str">
        <f ca="1">IFERROR(IF(COPIA!A138&lt;&gt;0,COPIA!A138,""),"")</f>
        <v>13.31</v>
      </c>
      <c r="E144" s="75" t="str">
        <f ca="1">IFERROR(IF(COPIA!B138&lt;&gt;0,COPIA!B138,""),"")</f>
        <v>PRESTITI DA COLLEGATE</v>
      </c>
      <c r="F144" s="73" t="str">
        <f ca="1">IFERROR(IF(COPIA!C138&lt;&gt;0,COPIA!C138,""),"")</f>
        <v>F</v>
      </c>
      <c r="G144" s="73" t="str">
        <f ca="1">IFERROR(IF(COPIA!D138&lt;&gt;0,COPIA!D138,""),"")</f>
        <v>A</v>
      </c>
      <c r="H144" s="73" t="str">
        <f ca="1">IF(E144="FONDO SVALUTAZIONE CREDITI","RETTIFICA CREDITI",IFERROR(IF(COPIA!E138&lt;&gt;0,COPIA!E138,""),""))</f>
        <v>DEBITI</v>
      </c>
      <c r="I144" s="73" t="str">
        <f ca="1">IFERROR(IF(COPIA!F138&lt;&gt;0,COPIA!F138,""),"")</f>
        <v>SP AVERE</v>
      </c>
    </row>
    <row r="145" spans="4:9" ht="20.100000000000001" customHeight="1" x14ac:dyDescent="0.3">
      <c r="D145" s="73" t="str">
        <f ca="1">IFERROR(IF(COPIA!A139&lt;&gt;0,COPIA!A139,""),"")</f>
        <v>13.32</v>
      </c>
      <c r="E145" s="75" t="str">
        <f ca="1">IFERROR(IF(COPIA!B139&lt;&gt;0,COPIA!B139,""),"")</f>
        <v>PRESTITI DA CONTROLLANTE</v>
      </c>
      <c r="F145" s="73" t="str">
        <f ca="1">IFERROR(IF(COPIA!C139&lt;&gt;0,COPIA!C139,""),"")</f>
        <v>F</v>
      </c>
      <c r="G145" s="73" t="str">
        <f ca="1">IFERROR(IF(COPIA!D139&lt;&gt;0,COPIA!D139,""),"")</f>
        <v>A</v>
      </c>
      <c r="H145" s="73" t="str">
        <f ca="1">IF(E145="FONDO SVALUTAZIONE CREDITI","RETTIFICA CREDITI",IFERROR(IF(COPIA!E139&lt;&gt;0,COPIA!E139,""),""))</f>
        <v>DEBITI</v>
      </c>
      <c r="I145" s="73" t="str">
        <f ca="1">IFERROR(IF(COPIA!F139&lt;&gt;0,COPIA!F139,""),"")</f>
        <v>SP AVERE</v>
      </c>
    </row>
    <row r="146" spans="4:9" ht="20.100000000000001" customHeight="1" x14ac:dyDescent="0.3">
      <c r="D146" s="73" t="str">
        <f ca="1">IFERROR(IF(COPIA!A140&lt;&gt;0,COPIA!A140,""),"")</f>
        <v>13.40</v>
      </c>
      <c r="E146" s="75" t="str">
        <f ca="1">IFERROR(IF(COPIA!B140&lt;&gt;0,COPIA!B140,""),"")</f>
        <v>DEBITI V/ALTRI FINANZIATORI</v>
      </c>
      <c r="F146" s="73" t="str">
        <f ca="1">IFERROR(IF(COPIA!C140&lt;&gt;0,COPIA!C140,""),"")</f>
        <v>F</v>
      </c>
      <c r="G146" s="73" t="str">
        <f ca="1">IFERROR(IF(COPIA!D140&lt;&gt;0,COPIA!D140,""),"")</f>
        <v>A</v>
      </c>
      <c r="H146" s="73" t="str">
        <f ca="1">IF(E146="FONDO SVALUTAZIONE CREDITI","RETTIFICA CREDITI",IFERROR(IF(COPIA!E140&lt;&gt;0,COPIA!E140,""),""))</f>
        <v>DEBITI</v>
      </c>
      <c r="I146" s="73" t="str">
        <f ca="1">IFERROR(IF(COPIA!F140&lt;&gt;0,COPIA!F140,""),"")</f>
        <v>SP AVERE</v>
      </c>
    </row>
    <row r="147" spans="4:9" ht="20.100000000000001" customHeight="1" x14ac:dyDescent="0.3">
      <c r="D147" s="73" t="str">
        <f ca="1">IFERROR(IF(COPIA!A141&lt;&gt;0,COPIA!A141,""),"")</f>
        <v>14.00</v>
      </c>
      <c r="E147" s="75" t="str">
        <f ca="1">IFERROR(IF(COPIA!B141&lt;&gt;0,COPIA!B141,""),"")</f>
        <v>DEBITI COMMERCIALI</v>
      </c>
      <c r="F147" s="73" t="str">
        <f ca="1">IFERROR(IF(COPIA!C141&lt;&gt;0,COPIA!C141,""),"")</f>
        <v/>
      </c>
      <c r="G147" s="73" t="str">
        <f ca="1">IFERROR(IF(COPIA!D141&lt;&gt;0,COPIA!D141,""),"")</f>
        <v/>
      </c>
      <c r="H147" s="73" t="str">
        <f ca="1">IF(E147="FONDO SVALUTAZIONE CREDITI","RETTIFICA CREDITI",IFERROR(IF(COPIA!E141&lt;&gt;0,COPIA!E141,""),""))</f>
        <v/>
      </c>
      <c r="I147" s="73" t="str">
        <f ca="1">IFERROR(IF(COPIA!F141&lt;&gt;0,COPIA!F141,""),"")</f>
        <v/>
      </c>
    </row>
    <row r="148" spans="4:9" ht="20.100000000000001" customHeight="1" x14ac:dyDescent="0.3">
      <c r="D148" s="73" t="str">
        <f ca="1">IFERROR(IF(COPIA!A142&lt;&gt;0,COPIA!A142,""),"")</f>
        <v>14.01</v>
      </c>
      <c r="E148" s="75" t="str">
        <f ca="1">IFERROR(IF(COPIA!B142&lt;&gt;0,COPIA!B142,""),"")</f>
        <v>DEBITI V/FORNITORI</v>
      </c>
      <c r="F148" s="73" t="str">
        <f ca="1">IFERROR(IF(COPIA!C142&lt;&gt;0,COPIA!C142,""),"")</f>
        <v>F</v>
      </c>
      <c r="G148" s="73" t="str">
        <f ca="1">IFERROR(IF(COPIA!D142&lt;&gt;0,COPIA!D142,""),"")</f>
        <v>A</v>
      </c>
      <c r="H148" s="73" t="str">
        <f ca="1">IF(E148="FONDO SVALUTAZIONE CREDITI","RETTIFICA CREDITI",IFERROR(IF(COPIA!E142&lt;&gt;0,COPIA!E142,""),""))</f>
        <v>DEBITI</v>
      </c>
      <c r="I148" s="73" t="str">
        <f ca="1">IFERROR(IF(COPIA!F142&lt;&gt;0,COPIA!F142,""),"")</f>
        <v>SP AVERE</v>
      </c>
    </row>
    <row r="149" spans="4:9" ht="20.100000000000001" customHeight="1" x14ac:dyDescent="0.3">
      <c r="D149" s="73" t="str">
        <f ca="1">IFERROR(IF(COPIA!A143&lt;&gt;0,COPIA!A143,""),"")</f>
        <v>14.02</v>
      </c>
      <c r="E149" s="75" t="str">
        <f ca="1">IFERROR(IF(COPIA!B143&lt;&gt;0,COPIA!B143,""),"")</f>
        <v>FATTURE DA RICEVERE</v>
      </c>
      <c r="F149" s="73" t="str">
        <f ca="1">IFERROR(IF(COPIA!C143&lt;&gt;0,COPIA!C143,""),"")</f>
        <v>F</v>
      </c>
      <c r="G149" s="73" t="str">
        <f ca="1">IFERROR(IF(COPIA!D143&lt;&gt;0,COPIA!D143,""),"")</f>
        <v>A</v>
      </c>
      <c r="H149" s="73" t="str">
        <f ca="1">IF(E149="FONDO SVALUTAZIONE CREDITI","RETTIFICA CREDITI",IFERROR(IF(COPIA!E143&lt;&gt;0,COPIA!E143,""),""))</f>
        <v>DEBITI</v>
      </c>
      <c r="I149" s="73" t="str">
        <f ca="1">IFERROR(IF(COPIA!F143&lt;&gt;0,COPIA!F143,""),"")</f>
        <v>SP AVERE</v>
      </c>
    </row>
    <row r="150" spans="4:9" ht="20.100000000000001" customHeight="1" x14ac:dyDescent="0.3">
      <c r="D150" s="73" t="str">
        <f ca="1">IFERROR(IF(COPIA!A144&lt;&gt;0,COPIA!A144,""),"")</f>
        <v>14.03</v>
      </c>
      <c r="E150" s="75" t="str">
        <f ca="1">IFERROR(IF(COPIA!B144&lt;&gt;0,COPIA!B144,""),"")</f>
        <v>DEBITI COMMERCIALI DIVERSI</v>
      </c>
      <c r="F150" s="73" t="str">
        <f ca="1">IFERROR(IF(COPIA!C144&lt;&gt;0,COPIA!C144,""),"")</f>
        <v>F</v>
      </c>
      <c r="G150" s="73" t="str">
        <f ca="1">IFERROR(IF(COPIA!D144&lt;&gt;0,COPIA!D144,""),"")</f>
        <v>A</v>
      </c>
      <c r="H150" s="73" t="str">
        <f ca="1">IF(E150="FONDO SVALUTAZIONE CREDITI","RETTIFICA CREDITI",IFERROR(IF(COPIA!E144&lt;&gt;0,COPIA!E144,""),""))</f>
        <v>DEBITI</v>
      </c>
      <c r="I150" s="73" t="str">
        <f ca="1">IFERROR(IF(COPIA!F144&lt;&gt;0,COPIA!F144,""),"")</f>
        <v>SP AVERE</v>
      </c>
    </row>
    <row r="151" spans="4:9" ht="20.100000000000001" customHeight="1" x14ac:dyDescent="0.3">
      <c r="D151" s="73" t="str">
        <f ca="1">IFERROR(IF(COPIA!A145&lt;&gt;0,COPIA!A145,""),"")</f>
        <v>14.06</v>
      </c>
      <c r="E151" s="75" t="str">
        <f ca="1">IFERROR(IF(COPIA!B145&lt;&gt;0,COPIA!B145,""),"")</f>
        <v>CAMBIALI PASSIVE</v>
      </c>
      <c r="F151" s="73" t="str">
        <f ca="1">IFERROR(IF(COPIA!C145&lt;&gt;0,COPIA!C145,""),"")</f>
        <v>F</v>
      </c>
      <c r="G151" s="73" t="str">
        <f ca="1">IFERROR(IF(COPIA!D145&lt;&gt;0,COPIA!D145,""),"")</f>
        <v>A</v>
      </c>
      <c r="H151" s="73" t="str">
        <f ca="1">IF(E151="FONDO SVALUTAZIONE CREDITI","RETTIFICA CREDITI",IFERROR(IF(COPIA!E145&lt;&gt;0,COPIA!E145,""),""))</f>
        <v>DEBITI</v>
      </c>
      <c r="I151" s="73" t="str">
        <f ca="1">IFERROR(IF(COPIA!F145&lt;&gt;0,COPIA!F145,""),"")</f>
        <v>SP AVERE</v>
      </c>
    </row>
    <row r="152" spans="4:9" ht="20.100000000000001" customHeight="1" x14ac:dyDescent="0.3">
      <c r="D152" s="73" t="str">
        <f ca="1">IFERROR(IF(COPIA!A146&lt;&gt;0,COPIA!A146,""),"")</f>
        <v>14.09</v>
      </c>
      <c r="E152" s="75" t="str">
        <f ca="1">IFERROR(IF(COPIA!B146&lt;&gt;0,COPIA!B146,""),"")</f>
        <v>DEBITI DA LIQUIDARE</v>
      </c>
      <c r="F152" s="73" t="str">
        <f ca="1">IFERROR(IF(COPIA!C146&lt;&gt;0,COPIA!C146,""),"")</f>
        <v>F</v>
      </c>
      <c r="G152" s="73" t="str">
        <f ca="1">IFERROR(IF(COPIA!D146&lt;&gt;0,COPIA!D146,""),"")</f>
        <v>A</v>
      </c>
      <c r="H152" s="73" t="str">
        <f ca="1">IF(E152="FONDO SVALUTAZIONE CREDITI","RETTIFICA CREDITI",IFERROR(IF(COPIA!E146&lt;&gt;0,COPIA!E146,""),""))</f>
        <v>DEBITI</v>
      </c>
      <c r="I152" s="73" t="str">
        <f ca="1">IFERROR(IF(COPIA!F146&lt;&gt;0,COPIA!F146,""),"")</f>
        <v>SP AVERE</v>
      </c>
    </row>
    <row r="153" spans="4:9" ht="20.100000000000001" customHeight="1" x14ac:dyDescent="0.3">
      <c r="D153" s="73" t="str">
        <f ca="1">IFERROR(IF(COPIA!A147&lt;&gt;0,COPIA!A147,""),"")</f>
        <v>14.15</v>
      </c>
      <c r="E153" s="75" t="str">
        <f ca="1">IFERROR(IF(COPIA!B147&lt;&gt;0,COPIA!B147,""),"")</f>
        <v>DEBITI PER ACCONTI A FORNITORI</v>
      </c>
      <c r="F153" s="73" t="str">
        <f ca="1">IFERROR(IF(COPIA!C147&lt;&gt;0,COPIA!C147,""),"")</f>
        <v>F</v>
      </c>
      <c r="G153" s="73" t="str">
        <f ca="1">IFERROR(IF(COPIA!D147&lt;&gt;0,COPIA!D147,""),"")</f>
        <v>A</v>
      </c>
      <c r="H153" s="73" t="str">
        <f ca="1">IF(E153="FONDO SVALUTAZIONE CREDITI","RETTIFICA CREDITI",IFERROR(IF(COPIA!E147&lt;&gt;0,COPIA!E147,""),""))</f>
        <v>DEBITI</v>
      </c>
      <c r="I153" s="73" t="str">
        <f ca="1">IFERROR(IF(COPIA!F147&lt;&gt;0,COPIA!F147,""),"")</f>
        <v>SP AVERE</v>
      </c>
    </row>
    <row r="154" spans="4:9" ht="20.100000000000001" customHeight="1" x14ac:dyDescent="0.3">
      <c r="D154" s="73" t="str">
        <f ca="1">IFERROR(IF(COPIA!A148&lt;&gt;0,COPIA!A148,""),"")</f>
        <v>14.20</v>
      </c>
      <c r="E154" s="75" t="str">
        <f ca="1">IFERROR(IF(COPIA!B148&lt;&gt;0,COPIA!B148,""),"")</f>
        <v>CLIENTI C/ACCONTI</v>
      </c>
      <c r="F154" s="73" t="str">
        <f ca="1">IFERROR(IF(COPIA!C148&lt;&gt;0,COPIA!C148,""),"")</f>
        <v>F</v>
      </c>
      <c r="G154" s="73" t="str">
        <f ca="1">IFERROR(IF(COPIA!D148&lt;&gt;0,COPIA!D148,""),"")</f>
        <v>A</v>
      </c>
      <c r="H154" s="73" t="str">
        <f ca="1">IF(E154="FONDO SVALUTAZIONE CREDITI","RETTIFICA CREDITI",IFERROR(IF(COPIA!E148&lt;&gt;0,COPIA!E148,""),""))</f>
        <v>DEBITI</v>
      </c>
      <c r="I154" s="73" t="str">
        <f ca="1">IFERROR(IF(COPIA!F148&lt;&gt;0,COPIA!F148,""),"")</f>
        <v>SP AVERE</v>
      </c>
    </row>
    <row r="155" spans="4:9" ht="20.100000000000001" customHeight="1" x14ac:dyDescent="0.3">
      <c r="D155" s="73" t="str">
        <f ca="1">IFERROR(IF(COPIA!A149&lt;&gt;0,COPIA!A149,""),"")</f>
        <v>15.00</v>
      </c>
      <c r="E155" s="75" t="str">
        <f ca="1">IFERROR(IF(COPIA!B149&lt;&gt;0,COPIA!B149,""),"")</f>
        <v>DEBITI DIVERSI</v>
      </c>
      <c r="F155" s="73" t="str">
        <f ca="1">IFERROR(IF(COPIA!C149&lt;&gt;0,COPIA!C149,""),"")</f>
        <v/>
      </c>
      <c r="G155" s="73" t="str">
        <f ca="1">IFERROR(IF(COPIA!D149&lt;&gt;0,COPIA!D149,""),"")</f>
        <v/>
      </c>
      <c r="H155" s="73" t="str">
        <f ca="1">IF(E155="FONDO SVALUTAZIONE CREDITI","RETTIFICA CREDITI",IFERROR(IF(COPIA!E149&lt;&gt;0,COPIA!E149,""),""))</f>
        <v/>
      </c>
      <c r="I155" s="73" t="str">
        <f ca="1">IFERROR(IF(COPIA!F149&lt;&gt;0,COPIA!F149,""),"")</f>
        <v/>
      </c>
    </row>
    <row r="156" spans="4:9" ht="20.100000000000001" customHeight="1" x14ac:dyDescent="0.3">
      <c r="D156" s="73" t="str">
        <f ca="1">IFERROR(IF(COPIA!A150&lt;&gt;0,COPIA!A150,""),"")</f>
        <v>15.01</v>
      </c>
      <c r="E156" s="75" t="str">
        <f ca="1">IFERROR(IF(COPIA!B150&lt;&gt;0,COPIA!B150,""),"")</f>
        <v>IVA NS/DEBITO</v>
      </c>
      <c r="F156" s="73" t="str">
        <f ca="1">IFERROR(IF(COPIA!C150&lt;&gt;0,COPIA!C150,""),"")</f>
        <v>F</v>
      </c>
      <c r="G156" s="73" t="str">
        <f ca="1">IFERROR(IF(COPIA!D150&lt;&gt;0,COPIA!D150,""),"")</f>
        <v>A</v>
      </c>
      <c r="H156" s="73" t="str">
        <f ca="1">IF(E156="FONDO SVALUTAZIONE CREDITI","RETTIFICA CREDITI",IFERROR(IF(COPIA!E150&lt;&gt;0,COPIA!E150,""),""))</f>
        <v>DEBITI</v>
      </c>
      <c r="I156" s="73" t="str">
        <f ca="1">IFERROR(IF(COPIA!F150&lt;&gt;0,COPIA!F150,""),"")</f>
        <v>SP AVERE</v>
      </c>
    </row>
    <row r="157" spans="4:9" ht="20.100000000000001" customHeight="1" x14ac:dyDescent="0.3">
      <c r="D157" s="73" t="str">
        <f ca="1">IFERROR(IF(COPIA!A151&lt;&gt;0,COPIA!A151,""),"")</f>
        <v>15.02</v>
      </c>
      <c r="E157" s="75" t="str">
        <f ca="1">IFERROR(IF(COPIA!B151&lt;&gt;0,COPIA!B151,""),"")</f>
        <v>DEBITI PER RITENUTE DA VERSARE</v>
      </c>
      <c r="F157" s="73" t="str">
        <f ca="1">IFERROR(IF(COPIA!C151&lt;&gt;0,COPIA!C151,""),"")</f>
        <v>F</v>
      </c>
      <c r="G157" s="73" t="str">
        <f ca="1">IFERROR(IF(COPIA!D151&lt;&gt;0,COPIA!D151,""),"")</f>
        <v>A</v>
      </c>
      <c r="H157" s="73" t="str">
        <f ca="1">IF(E157="FONDO SVALUTAZIONE CREDITI","RETTIFICA CREDITI",IFERROR(IF(COPIA!E151&lt;&gt;0,COPIA!E151,""),""))</f>
        <v>DEBITI</v>
      </c>
      <c r="I157" s="73" t="str">
        <f ca="1">IFERROR(IF(COPIA!F151&lt;&gt;0,COPIA!F151,""),"")</f>
        <v>SP AVERE</v>
      </c>
    </row>
    <row r="158" spans="4:9" ht="20.100000000000001" customHeight="1" x14ac:dyDescent="0.3">
      <c r="D158" s="73" t="str">
        <f ca="1">IFERROR(IF(COPIA!A152&lt;&gt;0,COPIA!A152,""),"")</f>
        <v>15.03</v>
      </c>
      <c r="E158" s="75" t="str">
        <f ca="1">IFERROR(IF(COPIA!B152&lt;&gt;0,COPIA!B152,""),"")</f>
        <v>DEBITI PER IVA</v>
      </c>
      <c r="F158" s="73" t="str">
        <f ca="1">IFERROR(IF(COPIA!C152&lt;&gt;0,COPIA!C152,""),"")</f>
        <v>F</v>
      </c>
      <c r="G158" s="73" t="str">
        <f ca="1">IFERROR(IF(COPIA!D152&lt;&gt;0,COPIA!D152,""),"")</f>
        <v>A</v>
      </c>
      <c r="H158" s="73" t="str">
        <f ca="1">IF(E158="FONDO SVALUTAZIONE CREDITI","RETTIFICA CREDITI",IFERROR(IF(COPIA!E152&lt;&gt;0,COPIA!E152,""),""))</f>
        <v>DEBITI</v>
      </c>
      <c r="I158" s="73" t="str">
        <f ca="1">IFERROR(IF(COPIA!F152&lt;&gt;0,COPIA!F152,""),"")</f>
        <v>SP AVERE</v>
      </c>
    </row>
    <row r="159" spans="4:9" ht="20.100000000000001" customHeight="1" x14ac:dyDescent="0.3">
      <c r="D159" s="73" t="str">
        <f ca="1">IFERROR(IF(COPIA!A153&lt;&gt;0,COPIA!A153,""),"")</f>
        <v>15.04</v>
      </c>
      <c r="E159" s="75" t="str">
        <f ca="1">IFERROR(IF(COPIA!B153&lt;&gt;0,COPIA!B153,""),"")</f>
        <v>DEBITI PER IMPOSTE</v>
      </c>
      <c r="F159" s="73" t="str">
        <f ca="1">IFERROR(IF(COPIA!C153&lt;&gt;0,COPIA!C153,""),"")</f>
        <v>F</v>
      </c>
      <c r="G159" s="73" t="str">
        <f ca="1">IFERROR(IF(COPIA!D153&lt;&gt;0,COPIA!D153,""),"")</f>
        <v>A</v>
      </c>
      <c r="H159" s="73" t="str">
        <f ca="1">IF(E159="FONDO SVALUTAZIONE CREDITI","RETTIFICA CREDITI",IFERROR(IF(COPIA!E153&lt;&gt;0,COPIA!E153,""),""))</f>
        <v>DEBITI</v>
      </c>
      <c r="I159" s="73" t="str">
        <f ca="1">IFERROR(IF(COPIA!F153&lt;&gt;0,COPIA!F153,""),"")</f>
        <v>SP AVERE</v>
      </c>
    </row>
    <row r="160" spans="4:9" ht="20.100000000000001" customHeight="1" x14ac:dyDescent="0.3">
      <c r="D160" s="73" t="str">
        <f ca="1">IFERROR(IF(COPIA!A154&lt;&gt;0,COPIA!A154,""),"")</f>
        <v>15.05</v>
      </c>
      <c r="E160" s="75" t="str">
        <f ca="1">IFERROR(IF(COPIA!B154&lt;&gt;0,COPIA!B154,""),"")</f>
        <v>DEBITI FISCALI DIVERSI</v>
      </c>
      <c r="F160" s="73" t="str">
        <f ca="1">IFERROR(IF(COPIA!C154&lt;&gt;0,COPIA!C154,""),"")</f>
        <v>F</v>
      </c>
      <c r="G160" s="73" t="str">
        <f ca="1">IFERROR(IF(COPIA!D154&lt;&gt;0,COPIA!D154,""),"")</f>
        <v>A</v>
      </c>
      <c r="H160" s="73" t="str">
        <f ca="1">IF(E160="FONDO SVALUTAZIONE CREDITI","RETTIFICA CREDITI",IFERROR(IF(COPIA!E154&lt;&gt;0,COPIA!E154,""),""))</f>
        <v>DEBITI</v>
      </c>
      <c r="I160" s="73" t="str">
        <f ca="1">IFERROR(IF(COPIA!F154&lt;&gt;0,COPIA!F154,""),"")</f>
        <v>SP AVERE</v>
      </c>
    </row>
    <row r="161" spans="4:9" ht="20.100000000000001" customHeight="1" x14ac:dyDescent="0.3">
      <c r="D161" s="73" t="str">
        <f ca="1">IFERROR(IF(COPIA!A155&lt;&gt;0,COPIA!A155,""),"")</f>
        <v>15.06</v>
      </c>
      <c r="E161" s="75" t="str">
        <f ca="1">IFERROR(IF(COPIA!B155&lt;&gt;0,COPIA!B155,""),"")</f>
        <v>DEBITI V/ISTITUTI PREVIDENZIALI</v>
      </c>
      <c r="F161" s="73" t="str">
        <f ca="1">IFERROR(IF(COPIA!C155&lt;&gt;0,COPIA!C155,""),"")</f>
        <v>F</v>
      </c>
      <c r="G161" s="73" t="str">
        <f ca="1">IFERROR(IF(COPIA!D155&lt;&gt;0,COPIA!D155,""),"")</f>
        <v>A</v>
      </c>
      <c r="H161" s="73" t="str">
        <f ca="1">IF(E161="FONDO SVALUTAZIONE CREDITI","RETTIFICA CREDITI",IFERROR(IF(COPIA!E155&lt;&gt;0,COPIA!E155,""),""))</f>
        <v>DEBITI</v>
      </c>
      <c r="I161" s="73" t="str">
        <f ca="1">IFERROR(IF(COPIA!F155&lt;&gt;0,COPIA!F155,""),"")</f>
        <v>SP AVERE</v>
      </c>
    </row>
    <row r="162" spans="4:9" ht="20.100000000000001" customHeight="1" x14ac:dyDescent="0.3">
      <c r="D162" s="73" t="str">
        <f ca="1">IFERROR(IF(COPIA!A156&lt;&gt;0,COPIA!A156,""),"")</f>
        <v>15.07</v>
      </c>
      <c r="E162" s="75" t="str">
        <f ca="1">IFERROR(IF(COPIA!B156&lt;&gt;0,COPIA!B156,""),"")</f>
        <v>DEBITI PER CAUZIONI</v>
      </c>
      <c r="F162" s="73" t="str">
        <f ca="1">IFERROR(IF(COPIA!C156&lt;&gt;0,COPIA!C156,""),"")</f>
        <v>F</v>
      </c>
      <c r="G162" s="73" t="str">
        <f ca="1">IFERROR(IF(COPIA!D156&lt;&gt;0,COPIA!D156,""),"")</f>
        <v>A</v>
      </c>
      <c r="H162" s="73" t="str">
        <f ca="1">IF(E162="FONDO SVALUTAZIONE CREDITI","RETTIFICA CREDITI",IFERROR(IF(COPIA!E156&lt;&gt;0,COPIA!E156,""),""))</f>
        <v>DEBITI</v>
      </c>
      <c r="I162" s="73" t="str">
        <f ca="1">IFERROR(IF(COPIA!F156&lt;&gt;0,COPIA!F156,""),"")</f>
        <v>SP AVERE</v>
      </c>
    </row>
    <row r="163" spans="4:9" ht="20.100000000000001" customHeight="1" x14ac:dyDescent="0.3">
      <c r="D163" s="73" t="str">
        <f ca="1">IFERROR(IF(COPIA!A157&lt;&gt;0,COPIA!A157,""),"")</f>
        <v>15.20</v>
      </c>
      <c r="E163" s="75" t="str">
        <f ca="1">IFERROR(IF(COPIA!B157&lt;&gt;0,COPIA!B157,""),"")</f>
        <v>PERSONALE C/RETRIBUZIONI</v>
      </c>
      <c r="F163" s="73" t="str">
        <f ca="1">IFERROR(IF(COPIA!C157&lt;&gt;0,COPIA!C157,""),"")</f>
        <v>F</v>
      </c>
      <c r="G163" s="73" t="str">
        <f ca="1">IFERROR(IF(COPIA!D157&lt;&gt;0,COPIA!D157,""),"")</f>
        <v>A</v>
      </c>
      <c r="H163" s="73" t="str">
        <f ca="1">IF(E163="FONDO SVALUTAZIONE CREDITI","RETTIFICA CREDITI",IFERROR(IF(COPIA!E157&lt;&gt;0,COPIA!E157,""),""))</f>
        <v>DEBITI</v>
      </c>
      <c r="I163" s="73" t="str">
        <f ca="1">IFERROR(IF(COPIA!F157&lt;&gt;0,COPIA!F157,""),"")</f>
        <v>SP AVERE</v>
      </c>
    </row>
    <row r="164" spans="4:9" ht="20.100000000000001" customHeight="1" x14ac:dyDescent="0.3">
      <c r="D164" s="73" t="str">
        <f ca="1">IFERROR(IF(COPIA!A158&lt;&gt;0,COPIA!A158,""),"")</f>
        <v>15.21</v>
      </c>
      <c r="E164" s="75" t="str">
        <f ca="1">IFERROR(IF(COPIA!B158&lt;&gt;0,COPIA!B158,""),"")</f>
        <v>PERSONALE C/LIQUIDAZIONE</v>
      </c>
      <c r="F164" s="73" t="str">
        <f ca="1">IFERROR(IF(COPIA!C158&lt;&gt;0,COPIA!C158,""),"")</f>
        <v>F</v>
      </c>
      <c r="G164" s="73" t="str">
        <f ca="1">IFERROR(IF(COPIA!D158&lt;&gt;0,COPIA!D158,""),"")</f>
        <v>A</v>
      </c>
      <c r="H164" s="73" t="str">
        <f ca="1">IF(E164="FONDO SVALUTAZIONE CREDITI","RETTIFICA CREDITI",IFERROR(IF(COPIA!E158&lt;&gt;0,COPIA!E158,""),""))</f>
        <v>DEBITI</v>
      </c>
      <c r="I164" s="73" t="str">
        <f ca="1">IFERROR(IF(COPIA!F158&lt;&gt;0,COPIA!F158,""),"")</f>
        <v>SP AVERE</v>
      </c>
    </row>
    <row r="165" spans="4:9" ht="20.100000000000001" customHeight="1" x14ac:dyDescent="0.3">
      <c r="D165" s="73" t="str">
        <f ca="1">IFERROR(IF(COPIA!A159&lt;&gt;0,COPIA!A159,""),"")</f>
        <v>15.22</v>
      </c>
      <c r="E165" s="75" t="str">
        <f ca="1">IFERROR(IF(COPIA!B159&lt;&gt;0,COPIA!B159,""),"")</f>
        <v>DEBITI V/FONDI PENSIONE</v>
      </c>
      <c r="F165" s="73" t="str">
        <f ca="1">IFERROR(IF(COPIA!C159&lt;&gt;0,COPIA!C159,""),"")</f>
        <v>F</v>
      </c>
      <c r="G165" s="73" t="str">
        <f ca="1">IFERROR(IF(COPIA!D159&lt;&gt;0,COPIA!D159,""),"")</f>
        <v>A</v>
      </c>
      <c r="H165" s="73" t="str">
        <f ca="1">IF(E165="FONDO SVALUTAZIONE CREDITI","RETTIFICA CREDITI",IFERROR(IF(COPIA!E159&lt;&gt;0,COPIA!E159,""),""))</f>
        <v>DEBITI</v>
      </c>
      <c r="I165" s="73" t="str">
        <f ca="1">IFERROR(IF(COPIA!F159&lt;&gt;0,COPIA!F159,""),"")</f>
        <v>SP AVERE</v>
      </c>
    </row>
    <row r="166" spans="4:9" ht="20.100000000000001" customHeight="1" x14ac:dyDescent="0.3">
      <c r="D166" s="73" t="str">
        <f ca="1">IFERROR(IF(COPIA!A160&lt;&gt;0,COPIA!A160,""),"")</f>
        <v>15.30</v>
      </c>
      <c r="E166" s="75" t="str">
        <f ca="1">IFERROR(IF(COPIA!B160&lt;&gt;0,COPIA!B160,""),"")</f>
        <v>DEBITI DIVERSI</v>
      </c>
      <c r="F166" s="73" t="str">
        <f ca="1">IFERROR(IF(COPIA!C160&lt;&gt;0,COPIA!C160,""),"")</f>
        <v>F</v>
      </c>
      <c r="G166" s="73" t="str">
        <f ca="1">IFERROR(IF(COPIA!D160&lt;&gt;0,COPIA!D160,""),"")</f>
        <v>A</v>
      </c>
      <c r="H166" s="73" t="str">
        <f ca="1">IF(E166="FONDO SVALUTAZIONE CREDITI","RETTIFICA CREDITI",IFERROR(IF(COPIA!E160&lt;&gt;0,COPIA!E160,""),""))</f>
        <v>DEBITI</v>
      </c>
      <c r="I166" s="73" t="str">
        <f ca="1">IFERROR(IF(COPIA!F160&lt;&gt;0,COPIA!F160,""),"")</f>
        <v>SP AVERE</v>
      </c>
    </row>
    <row r="167" spans="4:9" ht="20.100000000000001" customHeight="1" x14ac:dyDescent="0.3">
      <c r="D167" s="73" t="str">
        <f ca="1">IFERROR(IF(COPIA!A161&lt;&gt;0,COPIA!A161,""),"")</f>
        <v>15.40</v>
      </c>
      <c r="E167" s="75" t="str">
        <f ca="1">IFERROR(IF(COPIA!B161&lt;&gt;0,COPIA!B161,""),"")</f>
        <v>AZIONISTI C/DIVIDENDI</v>
      </c>
      <c r="F167" s="73" t="str">
        <f ca="1">IFERROR(IF(COPIA!C161&lt;&gt;0,COPIA!C161,""),"")</f>
        <v>F</v>
      </c>
      <c r="G167" s="73" t="str">
        <f ca="1">IFERROR(IF(COPIA!D161&lt;&gt;0,COPIA!D161,""),"")</f>
        <v>A</v>
      </c>
      <c r="H167" s="73" t="str">
        <f ca="1">IF(E167="FONDO SVALUTAZIONE CREDITI","RETTIFICA CREDITI",IFERROR(IF(COPIA!E161&lt;&gt;0,COPIA!E161,""),""))</f>
        <v>DEBITI</v>
      </c>
      <c r="I167" s="73" t="str">
        <f ca="1">IFERROR(IF(COPIA!F161&lt;&gt;0,COPIA!F161,""),"")</f>
        <v>SP AVERE</v>
      </c>
    </row>
    <row r="168" spans="4:9" ht="20.100000000000001" customHeight="1" x14ac:dyDescent="0.3">
      <c r="D168" s="73" t="str">
        <f ca="1">IFERROR(IF(COPIA!A162&lt;&gt;0,COPIA!A162,""),"")</f>
        <v>15.50</v>
      </c>
      <c r="E168" s="75" t="str">
        <f ca="1">IFERROR(IF(COPIA!B162&lt;&gt;0,COPIA!B162,""),"")</f>
        <v>AZIONISTI C/RIMBORSO</v>
      </c>
      <c r="F168" s="73" t="str">
        <f ca="1">IFERROR(IF(COPIA!C162&lt;&gt;0,COPIA!C162,""),"")</f>
        <v>F</v>
      </c>
      <c r="G168" s="73" t="str">
        <f ca="1">IFERROR(IF(COPIA!D162&lt;&gt;0,COPIA!D162,""),"")</f>
        <v>A</v>
      </c>
      <c r="H168" s="73" t="str">
        <f ca="1">IF(E168="FONDO SVALUTAZIONE CREDITI","RETTIFICA CREDITI",IFERROR(IF(COPIA!E162&lt;&gt;0,COPIA!E162,""),""))</f>
        <v>DEBITI</v>
      </c>
      <c r="I168" s="73" t="str">
        <f ca="1">IFERROR(IF(COPIA!F162&lt;&gt;0,COPIA!F162,""),"")</f>
        <v>SP AVERE</v>
      </c>
    </row>
    <row r="169" spans="4:9" ht="20.100000000000001" customHeight="1" x14ac:dyDescent="0.3">
      <c r="D169" s="73" t="str">
        <f ca="1">IFERROR(IF(COPIA!A163&lt;&gt;0,COPIA!A163,""),"")</f>
        <v>15.51</v>
      </c>
      <c r="E169" s="75" t="str">
        <f ca="1">IFERROR(IF(COPIA!B163&lt;&gt;0,COPIA!B163,""),"")</f>
        <v>DEBITI PER AZIONI ESTRATTE</v>
      </c>
      <c r="F169" s="73" t="str">
        <f ca="1">IFERROR(IF(COPIA!C163&lt;&gt;0,COPIA!C163,""),"")</f>
        <v>F</v>
      </c>
      <c r="G169" s="73" t="str">
        <f ca="1">IFERROR(IF(COPIA!D163&lt;&gt;0,COPIA!D163,""),"")</f>
        <v>A</v>
      </c>
      <c r="H169" s="73" t="str">
        <f ca="1">IF(E169="FONDO SVALUTAZIONE CREDITI","RETTIFICA CREDITI",IFERROR(IF(COPIA!E163&lt;&gt;0,COPIA!E163,""),""))</f>
        <v>DEBITI</v>
      </c>
      <c r="I169" s="73" t="str">
        <f ca="1">IFERROR(IF(COPIA!F163&lt;&gt;0,COPIA!F163,""),"")</f>
        <v>SP AVERE</v>
      </c>
    </row>
    <row r="170" spans="4:9" ht="20.100000000000001" customHeight="1" x14ac:dyDescent="0.3">
      <c r="D170" s="73" t="str">
        <f ca="1">IFERROR(IF(COPIA!A164&lt;&gt;0,COPIA!A164,""),"")</f>
        <v>15.60</v>
      </c>
      <c r="E170" s="75" t="str">
        <f ca="1">IFERROR(IF(COPIA!B164&lt;&gt;0,COPIA!B164,""),"")</f>
        <v>OBBLIGAZIONISTI C/INTERESSI</v>
      </c>
      <c r="F170" s="73" t="str">
        <f ca="1">IFERROR(IF(COPIA!C164&lt;&gt;0,COPIA!C164,""),"")</f>
        <v>F</v>
      </c>
      <c r="G170" s="73" t="str">
        <f ca="1">IFERROR(IF(COPIA!D164&lt;&gt;0,COPIA!D164,""),"")</f>
        <v>A</v>
      </c>
      <c r="H170" s="73" t="str">
        <f ca="1">IF(E170="FONDO SVALUTAZIONE CREDITI","RETTIFICA CREDITI",IFERROR(IF(COPIA!E164&lt;&gt;0,COPIA!E164,""),""))</f>
        <v>DEBITI</v>
      </c>
      <c r="I170" s="73" t="str">
        <f ca="1">IFERROR(IF(COPIA!F164&lt;&gt;0,COPIA!F164,""),"")</f>
        <v>SP AVERE</v>
      </c>
    </row>
    <row r="171" spans="4:9" ht="20.100000000000001" customHeight="1" x14ac:dyDescent="0.3">
      <c r="D171" s="73" t="str">
        <f ca="1">IFERROR(IF(COPIA!A165&lt;&gt;0,COPIA!A165,""),"")</f>
        <v>15.61</v>
      </c>
      <c r="E171" s="75" t="str">
        <f ca="1">IFERROR(IF(COPIA!B165&lt;&gt;0,COPIA!B165,""),"")</f>
        <v>OBBLIGAZIONISTI C/RIMBORSI</v>
      </c>
      <c r="F171" s="73" t="str">
        <f ca="1">IFERROR(IF(COPIA!C165&lt;&gt;0,COPIA!C165,""),"")</f>
        <v>F</v>
      </c>
      <c r="G171" s="73" t="str">
        <f ca="1">IFERROR(IF(COPIA!D165&lt;&gt;0,COPIA!D165,""),"")</f>
        <v>A</v>
      </c>
      <c r="H171" s="73" t="str">
        <f ca="1">IF(E171="FONDO SVALUTAZIONE CREDITI","RETTIFICA CREDITI",IFERROR(IF(COPIA!E165&lt;&gt;0,COPIA!E165,""),""))</f>
        <v>DEBITI</v>
      </c>
      <c r="I171" s="73" t="str">
        <f ca="1">IFERROR(IF(COPIA!F165&lt;&gt;0,COPIA!F165,""),"")</f>
        <v>SP AVERE</v>
      </c>
    </row>
    <row r="172" spans="4:9" ht="20.100000000000001" customHeight="1" x14ac:dyDescent="0.3">
      <c r="D172" s="73" t="str">
        <f ca="1">IFERROR(IF(COPIA!A166&lt;&gt;0,COPIA!A166,""),"")</f>
        <v>15.70</v>
      </c>
      <c r="E172" s="75" t="str">
        <f ca="1">IFERROR(IF(COPIA!B166&lt;&gt;0,COPIA!B166,""),"")</f>
        <v>AMMINISTRATORI C/COMPETENZE</v>
      </c>
      <c r="F172" s="73" t="str">
        <f ca="1">IFERROR(IF(COPIA!C166&lt;&gt;0,COPIA!C166,""),"")</f>
        <v>F</v>
      </c>
      <c r="G172" s="73" t="str">
        <f ca="1">IFERROR(IF(COPIA!D166&lt;&gt;0,COPIA!D166,""),"")</f>
        <v>A</v>
      </c>
      <c r="H172" s="73" t="str">
        <f ca="1">IF(E172="FONDO SVALUTAZIONE CREDITI","RETTIFICA CREDITI",IFERROR(IF(COPIA!E166&lt;&gt;0,COPIA!E166,""),""))</f>
        <v>DEBITI</v>
      </c>
      <c r="I172" s="73" t="str">
        <f ca="1">IFERROR(IF(COPIA!F166&lt;&gt;0,COPIA!F166,""),"")</f>
        <v>SP AVERE</v>
      </c>
    </row>
    <row r="173" spans="4:9" ht="20.100000000000001" customHeight="1" x14ac:dyDescent="0.3">
      <c r="D173" s="73" t="str">
        <f ca="1">IFERROR(IF(COPIA!A167&lt;&gt;0,COPIA!A167,""),"")</f>
        <v>15.71</v>
      </c>
      <c r="E173" s="75" t="str">
        <f ca="1">IFERROR(IF(COPIA!B167&lt;&gt;0,COPIA!B167,""),"")</f>
        <v>SINDACI C/COMPETENZE</v>
      </c>
      <c r="F173" s="73" t="str">
        <f ca="1">IFERROR(IF(COPIA!C167&lt;&gt;0,COPIA!C167,""),"")</f>
        <v>F</v>
      </c>
      <c r="G173" s="73" t="str">
        <f ca="1">IFERROR(IF(COPIA!D167&lt;&gt;0,COPIA!D167,""),"")</f>
        <v>A</v>
      </c>
      <c r="H173" s="73" t="str">
        <f ca="1">IF(E173="FONDO SVALUTAZIONE CREDITI","RETTIFICA CREDITI",IFERROR(IF(COPIA!E167&lt;&gt;0,COPIA!E167,""),""))</f>
        <v>DEBITI</v>
      </c>
      <c r="I173" s="73" t="str">
        <f ca="1">IFERROR(IF(COPIA!F167&lt;&gt;0,COPIA!F167,""),"")</f>
        <v>SP AVERE</v>
      </c>
    </row>
    <row r="174" spans="4:9" ht="20.100000000000001" customHeight="1" x14ac:dyDescent="0.3">
      <c r="D174" s="73" t="str">
        <f ca="1">IFERROR(IF(COPIA!A168&lt;&gt;0,COPIA!A168,""),"")</f>
        <v>16.00</v>
      </c>
      <c r="E174" s="75" t="str">
        <f ca="1">IFERROR(IF(COPIA!B168&lt;&gt;0,COPIA!B168,""),"")</f>
        <v>RATEI E RISCONTI PASSIVI</v>
      </c>
      <c r="F174" s="73" t="str">
        <f ca="1">IFERROR(IF(COPIA!C168&lt;&gt;0,COPIA!C168,""),"")</f>
        <v/>
      </c>
      <c r="G174" s="73" t="str">
        <f ca="1">IFERROR(IF(COPIA!D168&lt;&gt;0,COPIA!D168,""),"")</f>
        <v/>
      </c>
      <c r="H174" s="73" t="str">
        <f ca="1">IF(E174="FONDO SVALUTAZIONE CREDITI","RETTIFICA CREDITI",IFERROR(IF(COPIA!E168&lt;&gt;0,COPIA!E168,""),""))</f>
        <v/>
      </c>
      <c r="I174" s="73" t="str">
        <f ca="1">IFERROR(IF(COPIA!F168&lt;&gt;0,COPIA!F168,""),"")</f>
        <v/>
      </c>
    </row>
    <row r="175" spans="4:9" ht="20.100000000000001" customHeight="1" x14ac:dyDescent="0.3">
      <c r="D175" s="73" t="str">
        <f ca="1">IFERROR(IF(COPIA!A169&lt;&gt;0,COPIA!A169,""),"")</f>
        <v>16.01</v>
      </c>
      <c r="E175" s="75" t="str">
        <f ca="1">IFERROR(IF(COPIA!B169&lt;&gt;0,COPIA!B169,""),"")</f>
        <v>RATEI PASSIVI</v>
      </c>
      <c r="F175" s="73" t="str">
        <f ca="1">IFERROR(IF(COPIA!C169&lt;&gt;0,COPIA!C169,""),"")</f>
        <v>F</v>
      </c>
      <c r="G175" s="73" t="str">
        <f ca="1">IFERROR(IF(COPIA!D169&lt;&gt;0,COPIA!D169,""),"")</f>
        <v>A</v>
      </c>
      <c r="H175" s="73" t="str">
        <f ca="1">IF(E175="FONDO SVALUTAZIONE CREDITI","RETTIFICA CREDITI",IFERROR(IF(COPIA!E169&lt;&gt;0,COPIA!E169,""),""))</f>
        <v>RATEI, FONDI RISCHI E ONERI</v>
      </c>
      <c r="I175" s="73" t="str">
        <f ca="1">IFERROR(IF(COPIA!F169&lt;&gt;0,COPIA!F169,""),"")</f>
        <v>SP AVERE</v>
      </c>
    </row>
    <row r="176" spans="4:9" ht="20.100000000000001" customHeight="1" x14ac:dyDescent="0.3">
      <c r="D176" s="73" t="str">
        <f ca="1">IFERROR(IF(COPIA!A170&lt;&gt;0,COPIA!A170,""),"")</f>
        <v>16.02</v>
      </c>
      <c r="E176" s="75" t="str">
        <f ca="1">IFERROR(IF(COPIA!B170&lt;&gt;0,COPIA!B170,""),"")</f>
        <v>RISCONTI PASSIVI</v>
      </c>
      <c r="F176" s="73" t="str">
        <f ca="1">IFERROR(IF(COPIA!C170&lt;&gt;0,COPIA!C170,""),"")</f>
        <v>E</v>
      </c>
      <c r="G176" s="73" t="str">
        <f ca="1">IFERROR(IF(COPIA!D170&lt;&gt;0,COPIA!D170,""),"")</f>
        <v>A</v>
      </c>
      <c r="H176" s="73" t="str">
        <f ca="1">IF(E176="FONDO SVALUTAZIONE CREDITI","RETTIFICA CREDITI",IFERROR(IF(COPIA!E170&lt;&gt;0,COPIA!E170,""),""))</f>
        <v>RICAVI SOSPESI</v>
      </c>
      <c r="I176" s="73" t="str">
        <f ca="1">IFERROR(IF(COPIA!F170&lt;&gt;0,COPIA!F170,""),"")</f>
        <v>SP AVERE</v>
      </c>
    </row>
    <row r="177" spans="4:9" ht="20.100000000000001" customHeight="1" x14ac:dyDescent="0.3">
      <c r="D177" s="73" t="str">
        <f ca="1">IFERROR(IF(COPIA!A171&lt;&gt;0,COPIA!A171,""),"")</f>
        <v>18.00</v>
      </c>
      <c r="E177" s="75" t="str">
        <f ca="1">IFERROR(IF(COPIA!B171&lt;&gt;0,COPIA!B171,""),"")</f>
        <v>CONTI TRANSITORI E DIVERSI</v>
      </c>
      <c r="F177" s="73" t="str">
        <f ca="1">IFERROR(IF(COPIA!C171&lt;&gt;0,COPIA!C171,""),"")</f>
        <v/>
      </c>
      <c r="G177" s="73" t="str">
        <f ca="1">IFERROR(IF(COPIA!D171&lt;&gt;0,COPIA!D171,""),"")</f>
        <v/>
      </c>
      <c r="H177" s="73" t="str">
        <f ca="1">IF(E177="FONDO SVALUTAZIONE CREDITI","RETTIFICA CREDITI",IFERROR(IF(COPIA!E171&lt;&gt;0,COPIA!E171,""),""))</f>
        <v/>
      </c>
      <c r="I177" s="73" t="str">
        <f ca="1">IFERROR(IF(COPIA!F171&lt;&gt;0,COPIA!F171,""),"")</f>
        <v/>
      </c>
    </row>
    <row r="178" spans="4:9" ht="20.100000000000001" customHeight="1" x14ac:dyDescent="0.3">
      <c r="D178" s="73" t="str">
        <f ca="1">IFERROR(IF(COPIA!A172&lt;&gt;0,COPIA!A172,""),"")</f>
        <v>18.01</v>
      </c>
      <c r="E178" s="75" t="str">
        <f ca="1">IFERROR(IF(COPIA!B172&lt;&gt;0,COPIA!B172,""),"")</f>
        <v>BILANCIO DI APERTURA</v>
      </c>
      <c r="F178" s="73" t="str">
        <f ca="1">IFERROR(IF(COPIA!C172&lt;&gt;0,COPIA!C172,""),"")</f>
        <v/>
      </c>
      <c r="G178" s="73" t="str">
        <f ca="1">IFERROR(IF(COPIA!D172&lt;&gt;0,COPIA!D172,""),"")</f>
        <v>D/A</v>
      </c>
      <c r="H178" s="73" t="str">
        <f ca="1">IF(E178="FONDO SVALUTAZIONE CREDITI","RETTIFICA CREDITI",IFERROR(IF(COPIA!E172&lt;&gt;0,COPIA!E172,""),""))</f>
        <v>TRANSITORIO DI CONTROPARTITA</v>
      </c>
      <c r="I178" s="73" t="str">
        <f ca="1">IFERROR(IF(COPIA!F172&lt;&gt;0,COPIA!F172,""),"")</f>
        <v/>
      </c>
    </row>
    <row r="179" spans="4:9" ht="20.100000000000001" customHeight="1" x14ac:dyDescent="0.3">
      <c r="D179" s="73" t="str">
        <f ca="1">IFERROR(IF(COPIA!A173&lt;&gt;0,COPIA!A173,""),"")</f>
        <v>18.02</v>
      </c>
      <c r="E179" s="75" t="str">
        <f ca="1">IFERROR(IF(COPIA!B173&lt;&gt;0,COPIA!B173,""),"")</f>
        <v>BILANCIO DI CHIUSURA</v>
      </c>
      <c r="F179" s="73" t="str">
        <f ca="1">IFERROR(IF(COPIA!C173&lt;&gt;0,COPIA!C173,""),"")</f>
        <v/>
      </c>
      <c r="G179" s="73" t="str">
        <f ca="1">IFERROR(IF(COPIA!D173&lt;&gt;0,COPIA!D173,""),"")</f>
        <v>D/A</v>
      </c>
      <c r="H179" s="73" t="str">
        <f ca="1">IF(E179="FONDO SVALUTAZIONE CREDITI","RETTIFICA CREDITI",IFERROR(IF(COPIA!E173&lt;&gt;0,COPIA!E173,""),""))</f>
        <v>TRANSITORIO DI CONTROPARTITA</v>
      </c>
      <c r="I179" s="73" t="str">
        <f ca="1">IFERROR(IF(COPIA!F173&lt;&gt;0,COPIA!F173,""),"")</f>
        <v/>
      </c>
    </row>
    <row r="180" spans="4:9" ht="20.100000000000001" customHeight="1" x14ac:dyDescent="0.3">
      <c r="D180" s="73" t="str">
        <f ca="1">IFERROR(IF(COPIA!A174&lt;&gt;0,COPIA!A174,""),"")</f>
        <v>18.10</v>
      </c>
      <c r="E180" s="75" t="str">
        <f ca="1">IFERROR(IF(COPIA!B174&lt;&gt;0,COPIA!B174,""),"")</f>
        <v>IVA C/LIQUIDAZIONE</v>
      </c>
      <c r="F180" s="73" t="str">
        <f ca="1">IFERROR(IF(COPIA!C174&lt;&gt;0,COPIA!C174,""),"")</f>
        <v>F</v>
      </c>
      <c r="G180" s="73" t="str">
        <f ca="1">IFERROR(IF(COPIA!D174&lt;&gt;0,COPIA!D174,""),"")</f>
        <v>D/A</v>
      </c>
      <c r="H180" s="73" t="str">
        <f ca="1">IF(E180="FONDO SVALUTAZIONE CREDITI","RETTIFICA CREDITI",IFERROR(IF(COPIA!E174&lt;&gt;0,COPIA!E174,""),""))</f>
        <v>CONTI CON ALTERNANZA DI SALDO</v>
      </c>
      <c r="I180" s="73" t="str">
        <f ca="1">IFERROR(IF(COPIA!F174&lt;&gt;0,COPIA!F174,""),"")</f>
        <v>SP DARE/AVERE</v>
      </c>
    </row>
    <row r="181" spans="4:9" ht="20.100000000000001" customHeight="1" x14ac:dyDescent="0.3">
      <c r="D181" s="73" t="str">
        <f ca="1">IFERROR(IF(COPIA!A175&lt;&gt;0,COPIA!A175,""),"")</f>
        <v>18.11</v>
      </c>
      <c r="E181" s="75" t="str">
        <f ca="1">IFERROR(IF(COPIA!B175&lt;&gt;0,COPIA!B175,""),"")</f>
        <v>ISTITUTI PREVIDENZIALI</v>
      </c>
      <c r="F181" s="73" t="str">
        <f ca="1">IFERROR(IF(COPIA!C175&lt;&gt;0,COPIA!C175,""),"")</f>
        <v>F</v>
      </c>
      <c r="G181" s="73" t="str">
        <f ca="1">IFERROR(IF(COPIA!D175&lt;&gt;0,COPIA!D175,""),"")</f>
        <v>D/A</v>
      </c>
      <c r="H181" s="73" t="str">
        <f ca="1">IF(E181="FONDO SVALUTAZIONE CREDITI","RETTIFICA CREDITI",IFERROR(IF(COPIA!E175&lt;&gt;0,COPIA!E175,""),""))</f>
        <v>CONTI CON ALTERNANZA DI SALDO</v>
      </c>
      <c r="I181" s="73" t="str">
        <f ca="1">IFERROR(IF(COPIA!F175&lt;&gt;0,COPIA!F175,""),"")</f>
        <v>SP DARE/AVERE</v>
      </c>
    </row>
    <row r="182" spans="4:9" ht="20.100000000000001" customHeight="1" x14ac:dyDescent="0.3">
      <c r="D182" s="73" t="str">
        <f ca="1">IFERROR(IF(COPIA!A176&lt;&gt;0,COPIA!A176,""),"")</f>
        <v>18.20</v>
      </c>
      <c r="E182" s="75" t="str">
        <f ca="1">IFERROR(IF(COPIA!B176&lt;&gt;0,COPIA!B176,""),"")</f>
        <v>BANCA X C/C</v>
      </c>
      <c r="F182" s="73" t="str">
        <f ca="1">IFERROR(IF(COPIA!C176&lt;&gt;0,COPIA!C176,""),"")</f>
        <v>F</v>
      </c>
      <c r="G182" s="73" t="str">
        <f ca="1">IFERROR(IF(COPIA!D176&lt;&gt;0,COPIA!D176,""),"")</f>
        <v>D/A</v>
      </c>
      <c r="H182" s="73" t="str">
        <f ca="1">IF(E182="FONDO SVALUTAZIONE CREDITI","RETTIFICA CREDITI",IFERROR(IF(COPIA!E176&lt;&gt;0,COPIA!E176,""),""))</f>
        <v>CONTI CON ALTERNANZA DI SALDO</v>
      </c>
      <c r="I182" s="73" t="str">
        <f ca="1">IFERROR(IF(COPIA!F176&lt;&gt;0,COPIA!F176,""),"")</f>
        <v>SP DARE/AVERE</v>
      </c>
    </row>
    <row r="183" spans="4:9" ht="20.100000000000001" customHeight="1" x14ac:dyDescent="0.3">
      <c r="D183" s="73" t="str">
        <f ca="1">IFERROR(IF(COPIA!A177&lt;&gt;0,COPIA!A177,""),"")</f>
        <v>18.21</v>
      </c>
      <c r="E183" s="75" t="str">
        <f ca="1">IFERROR(IF(COPIA!B177&lt;&gt;0,COPIA!B177,""),"")</f>
        <v>BANCA Y C/C</v>
      </c>
      <c r="F183" s="73" t="str">
        <f ca="1">IFERROR(IF(COPIA!C177&lt;&gt;0,COPIA!C177,""),"")</f>
        <v>F</v>
      </c>
      <c r="G183" s="73" t="str">
        <f ca="1">IFERROR(IF(COPIA!D177&lt;&gt;0,COPIA!D177,""),"")</f>
        <v>D/A</v>
      </c>
      <c r="H183" s="73" t="str">
        <f ca="1">IF(E183="FONDO SVALUTAZIONE CREDITI","RETTIFICA CREDITI",IFERROR(IF(COPIA!E177&lt;&gt;0,COPIA!E177,""),""))</f>
        <v>CONTI CON ALTERNANZA DI SALDO</v>
      </c>
      <c r="I183" s="73" t="str">
        <f ca="1">IFERROR(IF(COPIA!F177&lt;&gt;0,COPIA!F177,""),"")</f>
        <v>SP DARE/AVERE</v>
      </c>
    </row>
    <row r="184" spans="4:9" ht="20.100000000000001" customHeight="1" x14ac:dyDescent="0.3">
      <c r="D184" s="73" t="str">
        <f ca="1">IFERROR(IF(COPIA!A178&lt;&gt;0,COPIA!A178,""),"")</f>
        <v>18.22</v>
      </c>
      <c r="E184" s="75" t="str">
        <f ca="1">IFERROR(IF(COPIA!B178&lt;&gt;0,COPIA!B178,""),"")</f>
        <v>BANCA Z C/C</v>
      </c>
      <c r="F184" s="73" t="str">
        <f ca="1">IFERROR(IF(COPIA!C178&lt;&gt;0,COPIA!C178,""),"")</f>
        <v>F</v>
      </c>
      <c r="G184" s="73" t="str">
        <f ca="1">IFERROR(IF(COPIA!D178&lt;&gt;0,COPIA!D178,""),"")</f>
        <v>D/A</v>
      </c>
      <c r="H184" s="73" t="str">
        <f ca="1">IF(E184="FONDO SVALUTAZIONE CREDITI","RETTIFICA CREDITI",IFERROR(IF(COPIA!E178&lt;&gt;0,COPIA!E178,""),""))</f>
        <v>CONTI CON ALTERNANZA DI SALDO</v>
      </c>
      <c r="I184" s="73" t="str">
        <f ca="1">IFERROR(IF(COPIA!F178&lt;&gt;0,COPIA!F178,""),"")</f>
        <v>SP DARE/AVERE</v>
      </c>
    </row>
    <row r="185" spans="4:9" ht="20.100000000000001" customHeight="1" x14ac:dyDescent="0.3">
      <c r="D185" s="73" t="str">
        <f ca="1">IFERROR(IF(COPIA!A179&lt;&gt;0,COPIA!A179,""),"")</f>
        <v>18.30</v>
      </c>
      <c r="E185" s="75" t="str">
        <f ca="1">IFERROR(IF(COPIA!B179&lt;&gt;0,COPIA!B179,""),"")</f>
        <v>SOCIETÀ DI FACTORING C/C</v>
      </c>
      <c r="F185" s="73" t="str">
        <f ca="1">IFERROR(IF(COPIA!C179&lt;&gt;0,COPIA!C179,""),"")</f>
        <v>F</v>
      </c>
      <c r="G185" s="73" t="str">
        <f ca="1">IFERROR(IF(COPIA!D179&lt;&gt;0,COPIA!D179,""),"")</f>
        <v>D/A</v>
      </c>
      <c r="H185" s="73" t="str">
        <f ca="1">IF(E185="FONDO SVALUTAZIONE CREDITI","RETTIFICA CREDITI",IFERROR(IF(COPIA!E179&lt;&gt;0,COPIA!E179,""),""))</f>
        <v>CONTI CON ALTERNANZA DI SALDO</v>
      </c>
      <c r="I185" s="73" t="str">
        <f ca="1">IFERROR(IF(COPIA!F179&lt;&gt;0,COPIA!F179,""),"")</f>
        <v>SP DARE/AVERE</v>
      </c>
    </row>
    <row r="186" spans="4:9" ht="20.100000000000001" customHeight="1" x14ac:dyDescent="0.3">
      <c r="D186" s="73" t="str">
        <f ca="1">IFERROR(IF(COPIA!A180&lt;&gt;0,COPIA!A180,""),"")</f>
        <v>19.00</v>
      </c>
      <c r="E186" s="75" t="str">
        <f ca="1">IFERROR(IF(COPIA!B180&lt;&gt;0,COPIA!B180,""),"")</f>
        <v>CONTI DEI SISTEMI MINORI</v>
      </c>
      <c r="F186" s="73" t="str">
        <f ca="1">IFERROR(IF(COPIA!C180&lt;&gt;0,COPIA!C180,""),"")</f>
        <v/>
      </c>
      <c r="G186" s="73" t="str">
        <f ca="1">IFERROR(IF(COPIA!D180&lt;&gt;0,COPIA!D180,""),"")</f>
        <v/>
      </c>
      <c r="H186" s="73" t="str">
        <f ca="1">IF(E186="FONDO SVALUTAZIONE CREDITI","RETTIFICA CREDITI",IFERROR(IF(COPIA!E180&lt;&gt;0,COPIA!E180,""),""))</f>
        <v/>
      </c>
      <c r="I186" s="73" t="str">
        <f ca="1">IFERROR(IF(COPIA!F180&lt;&gt;0,COPIA!F180,""),"")</f>
        <v/>
      </c>
    </row>
    <row r="187" spans="4:9" ht="20.100000000000001" customHeight="1" x14ac:dyDescent="0.3">
      <c r="D187" s="73" t="str">
        <f ca="1">IFERROR(IF(COPIA!A181&lt;&gt;0,COPIA!A181,""),"")</f>
        <v>19.01</v>
      </c>
      <c r="E187" s="75" t="str">
        <f ca="1">IFERROR(IF(COPIA!B181&lt;&gt;0,COPIA!B181,""),"")</f>
        <v>BENI DI TERZI</v>
      </c>
      <c r="F187" s="73" t="str">
        <f ca="1">IFERROR(IF(COPIA!C181&lt;&gt;0,COPIA!C181,""),"")</f>
        <v/>
      </c>
      <c r="G187" s="73" t="str">
        <f ca="1">IFERROR(IF(COPIA!D181&lt;&gt;0,COPIA!D181,""),"")</f>
        <v>D</v>
      </c>
      <c r="H187" s="73" t="str">
        <f ca="1">IF(E187="FONDO SVALUTAZIONE CREDITI","RETTIFICA CREDITI",IFERROR(IF(COPIA!E181&lt;&gt;0,COPIA!E181,""),""))</f>
        <v>CONTI D'ORDINE</v>
      </c>
      <c r="I187" s="73" t="str">
        <f ca="1">IFERROR(IF(COPIA!F181&lt;&gt;0,COPIA!F181,""),"")</f>
        <v>SP</v>
      </c>
    </row>
    <row r="188" spans="4:9" ht="20.100000000000001" customHeight="1" x14ac:dyDescent="0.3">
      <c r="D188" s="73" t="str">
        <f ca="1">IFERROR(IF(COPIA!A182&lt;&gt;0,COPIA!A182,""),"")</f>
        <v>19.02</v>
      </c>
      <c r="E188" s="75" t="str">
        <f ca="1">IFERROR(IF(COPIA!B182&lt;&gt;0,COPIA!B182,""),"")</f>
        <v>DEPOSITANTI BENI</v>
      </c>
      <c r="F188" s="73" t="str">
        <f ca="1">IFERROR(IF(COPIA!C182&lt;&gt;0,COPIA!C182,""),"")</f>
        <v/>
      </c>
      <c r="G188" s="73" t="str">
        <f ca="1">IFERROR(IF(COPIA!D182&lt;&gt;0,COPIA!D182,""),"")</f>
        <v>A</v>
      </c>
      <c r="H188" s="73" t="str">
        <f ca="1">IF(E188="FONDO SVALUTAZIONE CREDITI","RETTIFICA CREDITI",IFERROR(IF(COPIA!E182&lt;&gt;0,COPIA!E182,""),""))</f>
        <v>CONTI D'ORDINE</v>
      </c>
      <c r="I188" s="73" t="str">
        <f ca="1">IFERROR(IF(COPIA!F182&lt;&gt;0,COPIA!F182,""),"")</f>
        <v>SP</v>
      </c>
    </row>
    <row r="189" spans="4:9" ht="20.100000000000001" customHeight="1" x14ac:dyDescent="0.3">
      <c r="D189" s="73" t="str">
        <f ca="1">IFERROR(IF(COPIA!A183&lt;&gt;0,COPIA!A183,""),"")</f>
        <v>19.11</v>
      </c>
      <c r="E189" s="75" t="str">
        <f ca="1">IFERROR(IF(COPIA!B183&lt;&gt;0,COPIA!B183,""),"")</f>
        <v>IMPEGNI PER BENI IN LEASING</v>
      </c>
      <c r="F189" s="73" t="str">
        <f ca="1">IFERROR(IF(COPIA!C183&lt;&gt;0,COPIA!C183,""),"")</f>
        <v/>
      </c>
      <c r="G189" s="73" t="str">
        <f ca="1">IFERROR(IF(COPIA!D183&lt;&gt;0,COPIA!D183,""),"")</f>
        <v>D</v>
      </c>
      <c r="H189" s="73" t="str">
        <f ca="1">IF(E189="FONDO SVALUTAZIONE CREDITI","RETTIFICA CREDITI",IFERROR(IF(COPIA!E183&lt;&gt;0,COPIA!E183,""),""))</f>
        <v>CONTI D'ORDINE</v>
      </c>
      <c r="I189" s="73" t="str">
        <f ca="1">IFERROR(IF(COPIA!F183&lt;&gt;0,COPIA!F183,""),"")</f>
        <v>SP</v>
      </c>
    </row>
    <row r="190" spans="4:9" ht="20.100000000000001" customHeight="1" x14ac:dyDescent="0.3">
      <c r="D190" s="73" t="str">
        <f ca="1">IFERROR(IF(COPIA!A184&lt;&gt;0,COPIA!A184,""),"")</f>
        <v>19.12</v>
      </c>
      <c r="E190" s="75" t="str">
        <f ca="1">IFERROR(IF(COPIA!B184&lt;&gt;0,COPIA!B184,""),"")</f>
        <v>CREDITORI C/LEASING</v>
      </c>
      <c r="F190" s="73" t="str">
        <f ca="1">IFERROR(IF(COPIA!C184&lt;&gt;0,COPIA!C184,""),"")</f>
        <v/>
      </c>
      <c r="G190" s="73" t="str">
        <f ca="1">IFERROR(IF(COPIA!D184&lt;&gt;0,COPIA!D184,""),"")</f>
        <v>A</v>
      </c>
      <c r="H190" s="73" t="str">
        <f ca="1">IF(E190="FONDO SVALUTAZIONE CREDITI","RETTIFICA CREDITI",IFERROR(IF(COPIA!E184&lt;&gt;0,COPIA!E184,""),""))</f>
        <v>CONTI D'ORDINE</v>
      </c>
      <c r="I190" s="73" t="str">
        <f ca="1">IFERROR(IF(COPIA!F184&lt;&gt;0,COPIA!F184,""),"")</f>
        <v>SP</v>
      </c>
    </row>
    <row r="191" spans="4:9" ht="20.100000000000001" customHeight="1" x14ac:dyDescent="0.3">
      <c r="D191" s="73" t="str">
        <f ca="1">IFERROR(IF(COPIA!A185&lt;&gt;0,COPIA!A185,""),"")</f>
        <v>19.21</v>
      </c>
      <c r="E191" s="75" t="str">
        <f ca="1">IFERROR(IF(COPIA!B185&lt;&gt;0,COPIA!B185,""),"")</f>
        <v>RISCHI PER FIDEIUSSIONI</v>
      </c>
      <c r="F191" s="73" t="str">
        <f ca="1">IFERROR(IF(COPIA!C185&lt;&gt;0,COPIA!C185,""),"")</f>
        <v/>
      </c>
      <c r="G191" s="73" t="str">
        <f ca="1">IFERROR(IF(COPIA!D185&lt;&gt;0,COPIA!D185,""),"")</f>
        <v>D</v>
      </c>
      <c r="H191" s="73" t="str">
        <f ca="1">IF(E191="FONDO SVALUTAZIONE CREDITI","RETTIFICA CREDITI",IFERROR(IF(COPIA!E185&lt;&gt;0,COPIA!E185,""),""))</f>
        <v>CONTI D'ORDINE</v>
      </c>
      <c r="I191" s="73" t="str">
        <f ca="1">IFERROR(IF(COPIA!F185&lt;&gt;0,COPIA!F185,""),"")</f>
        <v>SP</v>
      </c>
    </row>
    <row r="192" spans="4:9" ht="20.100000000000001" customHeight="1" x14ac:dyDescent="0.3">
      <c r="D192" s="73" t="str">
        <f ca="1">IFERROR(IF(COPIA!A186&lt;&gt;0,COPIA!A186,""),"")</f>
        <v>19.22</v>
      </c>
      <c r="E192" s="75" t="str">
        <f ca="1">IFERROR(IF(COPIA!B186&lt;&gt;0,COPIA!B186,""),"")</f>
        <v>CREDITORI PER FIDEIUSSIONI</v>
      </c>
      <c r="F192" s="73" t="str">
        <f ca="1">IFERROR(IF(COPIA!C186&lt;&gt;0,COPIA!C186,""),"")</f>
        <v/>
      </c>
      <c r="G192" s="73" t="str">
        <f ca="1">IFERROR(IF(COPIA!D186&lt;&gt;0,COPIA!D186,""),"")</f>
        <v>A</v>
      </c>
      <c r="H192" s="73" t="str">
        <f ca="1">IF(E192="FONDO SVALUTAZIONE CREDITI","RETTIFICA CREDITI",IFERROR(IF(COPIA!E186&lt;&gt;0,COPIA!E186,""),""))</f>
        <v>CONTI D'ORDINE</v>
      </c>
      <c r="I192" s="73" t="str">
        <f ca="1">IFERROR(IF(COPIA!F186&lt;&gt;0,COPIA!F186,""),"")</f>
        <v>SP</v>
      </c>
    </row>
    <row r="193" spans="4:9" ht="20.100000000000001" customHeight="1" x14ac:dyDescent="0.3">
      <c r="D193" s="73" t="str">
        <f ca="1">IFERROR(IF(COPIA!A187&lt;&gt;0,COPIA!A187,""),"")</f>
        <v>20.00</v>
      </c>
      <c r="E193" s="75" t="str">
        <f ca="1">IFERROR(IF(COPIA!B187&lt;&gt;0,COPIA!B187,""),"")</f>
        <v>VALORE DELLA PRODUZIONE</v>
      </c>
      <c r="F193" s="73" t="str">
        <f ca="1">IFERROR(IF(COPIA!C187&lt;&gt;0,COPIA!C187,""),"")</f>
        <v/>
      </c>
      <c r="G193" s="73" t="str">
        <f ca="1">IFERROR(IF(COPIA!D187&lt;&gt;0,COPIA!D187,""),"")</f>
        <v/>
      </c>
      <c r="H193" s="73" t="str">
        <f ca="1">IF(E193="FONDO SVALUTAZIONE CREDITI","RETTIFICA CREDITI",IFERROR(IF(COPIA!E187&lt;&gt;0,COPIA!E187,""),""))</f>
        <v/>
      </c>
      <c r="I193" s="73" t="str">
        <f ca="1">IFERROR(IF(COPIA!F187&lt;&gt;0,COPIA!F187,""),"")</f>
        <v/>
      </c>
    </row>
    <row r="194" spans="4:9" ht="20.100000000000001" customHeight="1" x14ac:dyDescent="0.3">
      <c r="D194" s="73" t="str">
        <f ca="1">IFERROR(IF(COPIA!A188&lt;&gt;0,COPIA!A188,""),"")</f>
        <v>20.01</v>
      </c>
      <c r="E194" s="75" t="str">
        <f ca="1">IFERROR(IF(COPIA!B188&lt;&gt;0,COPIA!B188,""),"")</f>
        <v>PRODOTTI C/VENDITE</v>
      </c>
      <c r="F194" s="73" t="str">
        <f ca="1">IFERROR(IF(COPIA!C188&lt;&gt;0,COPIA!C188,""),"")</f>
        <v>E</v>
      </c>
      <c r="G194" s="73" t="str">
        <f ca="1">IFERROR(IF(COPIA!D188&lt;&gt;0,COPIA!D188,""),"")</f>
        <v>A</v>
      </c>
      <c r="H194" s="73" t="str">
        <f ca="1">IF(E194="FONDO SVALUTAZIONE CREDITI","RETTIFICA CREDITI",IFERROR(IF(COPIA!E188&lt;&gt;0,COPIA!E188,""),""))</f>
        <v>RICAVI D'ESERCIZIO</v>
      </c>
      <c r="I194" s="73" t="str">
        <f ca="1">IFERROR(IF(COPIA!F188&lt;&gt;0,COPIA!F188,""),"")</f>
        <v>SE AVERE</v>
      </c>
    </row>
    <row r="195" spans="4:9" ht="20.100000000000001" customHeight="1" x14ac:dyDescent="0.3">
      <c r="D195" s="73" t="str">
        <f ca="1">IFERROR(IF(COPIA!A189&lt;&gt;0,COPIA!A189,""),"")</f>
        <v>20.02</v>
      </c>
      <c r="E195" s="75" t="str">
        <f ca="1">IFERROR(IF(COPIA!B189&lt;&gt;0,COPIA!B189,""),"")</f>
        <v>PRODOTTI C/VENDITE ON LINE</v>
      </c>
      <c r="F195" s="73" t="str">
        <f ca="1">IFERROR(IF(COPIA!C189&lt;&gt;0,COPIA!C189,""),"")</f>
        <v>E</v>
      </c>
      <c r="G195" s="73" t="str">
        <f ca="1">IFERROR(IF(COPIA!D189&lt;&gt;0,COPIA!D189,""),"")</f>
        <v>A</v>
      </c>
      <c r="H195" s="73" t="str">
        <f ca="1">IF(E195="FONDO SVALUTAZIONE CREDITI","RETTIFICA CREDITI",IFERROR(IF(COPIA!E189&lt;&gt;0,COPIA!E189,""),""))</f>
        <v>RICAVI D'ESERCIZIO</v>
      </c>
      <c r="I195" s="73" t="str">
        <f ca="1">IFERROR(IF(COPIA!F189&lt;&gt;0,COPIA!F189,""),"")</f>
        <v>SE AVERE</v>
      </c>
    </row>
    <row r="196" spans="4:9" ht="20.100000000000001" customHeight="1" x14ac:dyDescent="0.3">
      <c r="D196" s="73" t="str">
        <f ca="1">IFERROR(IF(COPIA!A190&lt;&gt;0,COPIA!A190,""),"")</f>
        <v>20.03</v>
      </c>
      <c r="E196" s="75" t="str">
        <f ca="1">IFERROR(IF(COPIA!B190&lt;&gt;0,COPIA!B190,""),"")</f>
        <v>SERVIZI ON LINE</v>
      </c>
      <c r="F196" s="73" t="str">
        <f ca="1">IFERROR(IF(COPIA!C190&lt;&gt;0,COPIA!C190,""),"")</f>
        <v>E</v>
      </c>
      <c r="G196" s="73" t="str">
        <f ca="1">IFERROR(IF(COPIA!D190&lt;&gt;0,COPIA!D190,""),"")</f>
        <v>A</v>
      </c>
      <c r="H196" s="73" t="str">
        <f ca="1">IF(E196="FONDO SVALUTAZIONE CREDITI","RETTIFICA CREDITI",IFERROR(IF(COPIA!E190&lt;&gt;0,COPIA!E190,""),""))</f>
        <v>RICAVI D'ESERCIZIO</v>
      </c>
      <c r="I196" s="73" t="str">
        <f ca="1">IFERROR(IF(COPIA!F190&lt;&gt;0,COPIA!F190,""),"")</f>
        <v>SE AVERE</v>
      </c>
    </row>
    <row r="197" spans="4:9" ht="20.100000000000001" customHeight="1" x14ac:dyDescent="0.3">
      <c r="D197" s="73" t="str">
        <f ca="1">IFERROR(IF(COPIA!A191&lt;&gt;0,COPIA!A191,""),"")</f>
        <v>20.05</v>
      </c>
      <c r="E197" s="75" t="str">
        <f ca="1">IFERROR(IF(COPIA!B191&lt;&gt;0,COPIA!B191,""),"")</f>
        <v>LAVORAZIONI C/TERZI</v>
      </c>
      <c r="F197" s="73" t="str">
        <f ca="1">IFERROR(IF(COPIA!C191&lt;&gt;0,COPIA!C191,""),"")</f>
        <v>E</v>
      </c>
      <c r="G197" s="73" t="str">
        <f ca="1">IFERROR(IF(COPIA!D191&lt;&gt;0,COPIA!D191,""),"")</f>
        <v>A</v>
      </c>
      <c r="H197" s="73" t="str">
        <f ca="1">IF(E197="FONDO SVALUTAZIONE CREDITI","RETTIFICA CREDITI",IFERROR(IF(COPIA!E191&lt;&gt;0,COPIA!E191,""),""))</f>
        <v>RICAVI D'ESERCIZIO</v>
      </c>
      <c r="I197" s="73" t="str">
        <f ca="1">IFERROR(IF(COPIA!F191&lt;&gt;0,COPIA!F191,""),"")</f>
        <v>SE AVERE</v>
      </c>
    </row>
    <row r="198" spans="4:9" ht="20.100000000000001" customHeight="1" x14ac:dyDescent="0.3">
      <c r="D198" s="73" t="str">
        <f ca="1">IFERROR(IF(COPIA!A192&lt;&gt;0,COPIA!A192,""),"")</f>
        <v>20.10</v>
      </c>
      <c r="E198" s="75" t="str">
        <f ca="1">IFERROR(IF(COPIA!B192&lt;&gt;0,COPIA!B192,""),"")</f>
        <v>RESI SU VENDITE</v>
      </c>
      <c r="F198" s="73" t="str">
        <f ca="1">IFERROR(IF(COPIA!C192&lt;&gt;0,COPIA!C192,""),"")</f>
        <v>E</v>
      </c>
      <c r="G198" s="73" t="str">
        <f ca="1">IFERROR(IF(COPIA!D192&lt;&gt;0,COPIA!D192,""),"")</f>
        <v>D</v>
      </c>
      <c r="H198" s="73" t="str">
        <f ca="1">IF(E198="FONDO SVALUTAZIONE CREDITI","RETTIFICA CREDITI",IFERROR(IF(COPIA!E192&lt;&gt;0,COPIA!E192,""),""))</f>
        <v>RETTIFICHE RICAVI D'ESERCIZIO</v>
      </c>
      <c r="I198" s="73" t="str">
        <f ca="1">IFERROR(IF(COPIA!F192&lt;&gt;0,COPIA!F192,""),"")</f>
        <v>SE DARE</v>
      </c>
    </row>
    <row r="199" spans="4:9" ht="20.100000000000001" customHeight="1" x14ac:dyDescent="0.3">
      <c r="D199" s="73" t="str">
        <f ca="1">IFERROR(IF(COPIA!A193&lt;&gt;0,COPIA!A193,""),"")</f>
        <v>20.11</v>
      </c>
      <c r="E199" s="75" t="str">
        <f ca="1">IFERROR(IF(COPIA!B193&lt;&gt;0,COPIA!B193,""),"")</f>
        <v>RIBASSI E ABBUONI PASSIVI</v>
      </c>
      <c r="F199" s="73" t="str">
        <f ca="1">IFERROR(IF(COPIA!C193&lt;&gt;0,COPIA!C193,""),"")</f>
        <v>E</v>
      </c>
      <c r="G199" s="73" t="str">
        <f ca="1">IFERROR(IF(COPIA!D193&lt;&gt;0,COPIA!D193,""),"")</f>
        <v>D</v>
      </c>
      <c r="H199" s="73" t="str">
        <f ca="1">IF(E199="FONDO SVALUTAZIONE CREDITI","RETTIFICA CREDITI",IFERROR(IF(COPIA!E193&lt;&gt;0,COPIA!E193,""),""))</f>
        <v>RETTIFICHE RICAVI D'ESERCIZIO</v>
      </c>
      <c r="I199" s="73" t="str">
        <f ca="1">IFERROR(IF(COPIA!F193&lt;&gt;0,COPIA!F193,""),"")</f>
        <v>SE DARE</v>
      </c>
    </row>
    <row r="200" spans="4:9" ht="20.100000000000001" customHeight="1" x14ac:dyDescent="0.3">
      <c r="D200" s="73" t="str">
        <f ca="1">IFERROR(IF(COPIA!A194&lt;&gt;0,COPIA!A194,""),"")</f>
        <v>20.12</v>
      </c>
      <c r="E200" s="75" t="str">
        <f ca="1">IFERROR(IF(COPIA!B194&lt;&gt;0,COPIA!B194,""),"")</f>
        <v>PREMI SU VENDITE</v>
      </c>
      <c r="F200" s="73" t="str">
        <f ca="1">IFERROR(IF(COPIA!C194&lt;&gt;0,COPIA!C194,""),"")</f>
        <v>E</v>
      </c>
      <c r="G200" s="73" t="str">
        <f ca="1">IFERROR(IF(COPIA!D194&lt;&gt;0,COPIA!D194,""),"")</f>
        <v>D</v>
      </c>
      <c r="H200" s="73" t="str">
        <f ca="1">IF(E200="FONDO SVALUTAZIONE CREDITI","RETTIFICA CREDITI",IFERROR(IF(COPIA!E194&lt;&gt;0,COPIA!E194,""),""))</f>
        <v>RETTIFICHE RICAVI D'ESERCIZIO</v>
      </c>
      <c r="I200" s="73" t="str">
        <f ca="1">IFERROR(IF(COPIA!F194&lt;&gt;0,COPIA!F194,""),"")</f>
        <v>SE DARE</v>
      </c>
    </row>
    <row r="201" spans="4:9" ht="20.100000000000001" customHeight="1" x14ac:dyDescent="0.3">
      <c r="D201" s="73" t="str">
        <f ca="1">IFERROR(IF(COPIA!A195&lt;&gt;0,COPIA!A195,""),"")</f>
        <v>20.20</v>
      </c>
      <c r="E201" s="75" t="str">
        <f ca="1">IFERROR(IF(COPIA!B195&lt;&gt;0,COPIA!B195,""),"")</f>
        <v>COSTRUZIONI INTERNE</v>
      </c>
      <c r="F201" s="73" t="str">
        <f ca="1">IFERROR(IF(COPIA!C195&lt;&gt;0,COPIA!C195,""),"")</f>
        <v>E</v>
      </c>
      <c r="G201" s="73" t="str">
        <f ca="1">IFERROR(IF(COPIA!D195&lt;&gt;0,COPIA!D195,""),"")</f>
        <v>A</v>
      </c>
      <c r="H201" s="73" t="str">
        <f ca="1">IF(E201="FONDO SVALUTAZIONE CREDITI","RETTIFICA CREDITI",IFERROR(IF(COPIA!E195&lt;&gt;0,COPIA!E195,""),""))</f>
        <v>RETTIFICHE COSTI D'ESERCIZIO</v>
      </c>
      <c r="I201" s="73" t="str">
        <f ca="1">IFERROR(IF(COPIA!F195&lt;&gt;0,COPIA!F195,""),"")</f>
        <v>SE AVERE</v>
      </c>
    </row>
    <row r="202" spans="4:9" ht="20.100000000000001" customHeight="1" x14ac:dyDescent="0.3">
      <c r="D202" s="73" t="str">
        <f ca="1">IFERROR(IF(COPIA!A196&lt;&gt;0,COPIA!A196,""),"")</f>
        <v>20.21</v>
      </c>
      <c r="E202" s="75" t="str">
        <f ca="1">IFERROR(IF(COPIA!B196&lt;&gt;0,COPIA!B196,""),"")</f>
        <v>COSTI DI SVILUPPO RINVIATI</v>
      </c>
      <c r="F202" s="73" t="str">
        <f ca="1">IFERROR(IF(COPIA!C196&lt;&gt;0,COPIA!C196,""),"")</f>
        <v>E</v>
      </c>
      <c r="G202" s="73" t="str">
        <f ca="1">IFERROR(IF(COPIA!D196&lt;&gt;0,COPIA!D196,""),"")</f>
        <v>A</v>
      </c>
      <c r="H202" s="73" t="str">
        <f ca="1">IF(E202="FONDO SVALUTAZIONE CREDITI","RETTIFICA CREDITI",IFERROR(IF(COPIA!E196&lt;&gt;0,COPIA!E196,""),""))</f>
        <v>RETTIFICHE COSTI D'ESERCIZIO</v>
      </c>
      <c r="I202" s="73" t="str">
        <f ca="1">IFERROR(IF(COPIA!F196&lt;&gt;0,COPIA!F196,""),"")</f>
        <v>SE AVERE</v>
      </c>
    </row>
    <row r="203" spans="4:9" ht="20.100000000000001" customHeight="1" x14ac:dyDescent="0.3">
      <c r="D203" s="73" t="str">
        <f ca="1">IFERROR(IF(COPIA!A197&lt;&gt;0,COPIA!A197,""),"")</f>
        <v>20.30</v>
      </c>
      <c r="E203" s="75" t="str">
        <f ca="1">IFERROR(IF(COPIA!B197&lt;&gt;0,COPIA!B197,""),"")</f>
        <v>RIMBORSI COSTI DI VENDITA</v>
      </c>
      <c r="F203" s="73" t="str">
        <f ca="1">IFERROR(IF(COPIA!C197&lt;&gt;0,COPIA!C197,""),"")</f>
        <v>E</v>
      </c>
      <c r="G203" s="73" t="str">
        <f ca="1">IFERROR(IF(COPIA!D197&lt;&gt;0,COPIA!D197,""),"")</f>
        <v>A</v>
      </c>
      <c r="H203" s="73" t="str">
        <f ca="1">IF(E203="FONDO SVALUTAZIONE CREDITI","RETTIFICA CREDITI",IFERROR(IF(COPIA!E197&lt;&gt;0,COPIA!E197,""),""))</f>
        <v>RICAVI D'ESERCIZIO</v>
      </c>
      <c r="I203" s="73" t="str">
        <f ca="1">IFERROR(IF(COPIA!F197&lt;&gt;0,COPIA!F197,""),"")</f>
        <v>SE AVERE</v>
      </c>
    </row>
    <row r="204" spans="4:9" ht="20.100000000000001" customHeight="1" x14ac:dyDescent="0.3">
      <c r="D204" s="73" t="str">
        <f ca="1">IFERROR(IF(COPIA!A198&lt;&gt;0,COPIA!A198,""),"")</f>
        <v>20.32</v>
      </c>
      <c r="E204" s="75" t="str">
        <f ca="1">IFERROR(IF(COPIA!B198&lt;&gt;0,COPIA!B198,""),"")</f>
        <v>FITTI ATTIVI</v>
      </c>
      <c r="F204" s="73" t="str">
        <f ca="1">IFERROR(IF(COPIA!C198&lt;&gt;0,COPIA!C198,""),"")</f>
        <v>E</v>
      </c>
      <c r="G204" s="73" t="str">
        <f ca="1">IFERROR(IF(COPIA!D198&lt;&gt;0,COPIA!D198,""),"")</f>
        <v>A</v>
      </c>
      <c r="H204" s="73" t="str">
        <f ca="1">IF(E204="FONDO SVALUTAZIONE CREDITI","RETTIFICA CREDITI",IFERROR(IF(COPIA!E198&lt;&gt;0,COPIA!E198,""),""))</f>
        <v>RICAVI D'ESERCIZIO</v>
      </c>
      <c r="I204" s="73" t="str">
        <f ca="1">IFERROR(IF(COPIA!F198&lt;&gt;0,COPIA!F198,""),"")</f>
        <v>SE AVERE</v>
      </c>
    </row>
    <row r="205" spans="4:9" ht="20.100000000000001" customHeight="1" x14ac:dyDescent="0.3">
      <c r="D205" s="73" t="str">
        <f ca="1">IFERROR(IF(COPIA!A199&lt;&gt;0,COPIA!A199,""),"")</f>
        <v>20.33</v>
      </c>
      <c r="E205" s="75" t="str">
        <f ca="1">IFERROR(IF(COPIA!B199&lt;&gt;0,COPIA!B199,""),"")</f>
        <v>CONTRIBUTI IN C/ESERCIZIO</v>
      </c>
      <c r="F205" s="73" t="str">
        <f ca="1">IFERROR(IF(COPIA!C199&lt;&gt;0,COPIA!C199,""),"")</f>
        <v>E</v>
      </c>
      <c r="G205" s="73" t="str">
        <f ca="1">IFERROR(IF(COPIA!D199&lt;&gt;0,COPIA!D199,""),"")</f>
        <v>A</v>
      </c>
      <c r="H205" s="73" t="str">
        <f ca="1">IF(E205="FONDO SVALUTAZIONE CREDITI","RETTIFICA CREDITI",IFERROR(IF(COPIA!E199&lt;&gt;0,COPIA!E199,""),""))</f>
        <v>RICAVI D'ESERCIZIO</v>
      </c>
      <c r="I205" s="73" t="str">
        <f ca="1">IFERROR(IF(COPIA!F199&lt;&gt;0,COPIA!F199,""),"")</f>
        <v>SE AVERE</v>
      </c>
    </row>
    <row r="206" spans="4:9" ht="20.100000000000001" customHeight="1" x14ac:dyDescent="0.3">
      <c r="D206" s="73" t="str">
        <f ca="1">IFERROR(IF(COPIA!A200&lt;&gt;0,COPIA!A200,""),"")</f>
        <v>20.34</v>
      </c>
      <c r="E206" s="75" t="str">
        <f ca="1">IFERROR(IF(COPIA!B200&lt;&gt;0,COPIA!B200,""),"")</f>
        <v>CONTRIBUTI IN C/IMPIANTI</v>
      </c>
      <c r="F206" s="73" t="str">
        <f ca="1">IFERROR(IF(COPIA!C200&lt;&gt;0,COPIA!C200,""),"")</f>
        <v>E</v>
      </c>
      <c r="G206" s="73" t="str">
        <f ca="1">IFERROR(IF(COPIA!D200&lt;&gt;0,COPIA!D200,""),"")</f>
        <v>A</v>
      </c>
      <c r="H206" s="73" t="str">
        <f ca="1">IF(E206="FONDO SVALUTAZIONE CREDITI","RETTIFICA CREDITI",IFERROR(IF(COPIA!E200&lt;&gt;0,COPIA!E200,""),""))</f>
        <v>RICAVI D'ESERCIZIO</v>
      </c>
      <c r="I206" s="73" t="str">
        <f ca="1">IFERROR(IF(COPIA!F200&lt;&gt;0,COPIA!F200,""),"")</f>
        <v>SE AVERE</v>
      </c>
    </row>
    <row r="207" spans="4:9" ht="20.100000000000001" customHeight="1" x14ac:dyDescent="0.3">
      <c r="D207" s="73" t="str">
        <f ca="1">IFERROR(IF(COPIA!A201&lt;&gt;0,COPIA!A201,""),"")</f>
        <v>20.38</v>
      </c>
      <c r="E207" s="75" t="str">
        <f ca="1">IFERROR(IF(COPIA!B201&lt;&gt;0,COPIA!B201,""),"")</f>
        <v>PROVENTI VARI</v>
      </c>
      <c r="F207" s="73" t="str">
        <f ca="1">IFERROR(IF(COPIA!C201&lt;&gt;0,COPIA!C201,""),"")</f>
        <v>E</v>
      </c>
      <c r="G207" s="73" t="str">
        <f ca="1">IFERROR(IF(COPIA!D201&lt;&gt;0,COPIA!D201,""),"")</f>
        <v>A</v>
      </c>
      <c r="H207" s="73" t="str">
        <f ca="1">IF(E207="FONDO SVALUTAZIONE CREDITI","RETTIFICA CREDITI",IFERROR(IF(COPIA!E201&lt;&gt;0,COPIA!E201,""),""))</f>
        <v>RICAVI D'ESERCIZIO</v>
      </c>
      <c r="I207" s="73" t="str">
        <f ca="1">IFERROR(IF(COPIA!F201&lt;&gt;0,COPIA!F201,""),"")</f>
        <v>SE AVERE</v>
      </c>
    </row>
    <row r="208" spans="4:9" ht="20.100000000000001" customHeight="1" x14ac:dyDescent="0.3">
      <c r="D208" s="73" t="str">
        <f ca="1">IFERROR(IF(COPIA!A202&lt;&gt;0,COPIA!A202,""),"")</f>
        <v>20.39</v>
      </c>
      <c r="E208" s="75" t="str">
        <f ca="1">IFERROR(IF(COPIA!B202&lt;&gt;0,COPIA!B202,""),"")</f>
        <v>ARROTONDAMENTI ATTIVI</v>
      </c>
      <c r="F208" s="73" t="str">
        <f ca="1">IFERROR(IF(COPIA!C202&lt;&gt;0,COPIA!C202,""),"")</f>
        <v>E</v>
      </c>
      <c r="G208" s="73" t="str">
        <f ca="1">IFERROR(IF(COPIA!D202&lt;&gt;0,COPIA!D202,""),"")</f>
        <v>A</v>
      </c>
      <c r="H208" s="73" t="str">
        <f ca="1">IF(E208="FONDO SVALUTAZIONE CREDITI","RETTIFICA CREDITI",IFERROR(IF(COPIA!E202&lt;&gt;0,COPIA!E202,""),""))</f>
        <v>RICAVI D'ESERCIZIO</v>
      </c>
      <c r="I208" s="73" t="str">
        <f ca="1">IFERROR(IF(COPIA!F202&lt;&gt;0,COPIA!F202,""),"")</f>
        <v>SE AVERE</v>
      </c>
    </row>
    <row r="209" spans="4:11" ht="20.100000000000001" customHeight="1" x14ac:dyDescent="0.3">
      <c r="D209" s="73" t="str">
        <f ca="1">IFERROR(IF(COPIA!A203&lt;&gt;0,COPIA!A203,""),"")</f>
        <v>20.40</v>
      </c>
      <c r="E209" s="75" t="str">
        <f ca="1">IFERROR(IF(COPIA!B203&lt;&gt;0,COPIA!B203,""),"")</f>
        <v>PLUSVALENZE</v>
      </c>
      <c r="F209" s="73" t="str">
        <f ca="1">IFERROR(IF(COPIA!C203&lt;&gt;0,COPIA!C203,""),"")</f>
        <v>E</v>
      </c>
      <c r="G209" s="73" t="str">
        <f ca="1">IFERROR(IF(COPIA!D203&lt;&gt;0,COPIA!D203,""),"")</f>
        <v>A</v>
      </c>
      <c r="H209" s="73" t="str">
        <f ca="1">IF(E209="FONDO SVALUTAZIONE CREDITI","RETTIFICA CREDITI",IFERROR(IF(COPIA!E203&lt;&gt;0,COPIA!E203,""),""))</f>
        <v>RICAVI D'ESERCIZIO</v>
      </c>
      <c r="I209" s="73" t="str">
        <f ca="1">IFERROR(IF(COPIA!F203&lt;&gt;0,COPIA!F203,""),"")</f>
        <v>SE AVERE</v>
      </c>
    </row>
    <row r="210" spans="4:11" ht="20.100000000000001" customHeight="1" x14ac:dyDescent="0.3">
      <c r="D210" s="73" t="str">
        <f ca="1">IFERROR(IF(COPIA!A204&lt;&gt;0,COPIA!A204,""),"")</f>
        <v>20.41</v>
      </c>
      <c r="E210" s="75" t="str">
        <f ca="1">IFERROR(IF(COPIA!B204&lt;&gt;0,COPIA!B204,""),"")</f>
        <v>SOPRAVVENIENZE ATTIVE</v>
      </c>
      <c r="F210" s="73" t="str">
        <f ca="1">IFERROR(IF(COPIA!C204&lt;&gt;0,COPIA!C204,""),"")</f>
        <v>E</v>
      </c>
      <c r="G210" s="73" t="str">
        <f ca="1">IFERROR(IF(COPIA!D204&lt;&gt;0,COPIA!D204,""),"")</f>
        <v>A</v>
      </c>
      <c r="H210" s="73" t="str">
        <f ca="1">IF(E210="FONDO SVALUTAZIONE CREDITI","RETTIFICA CREDITI",IFERROR(IF(COPIA!E204&lt;&gt;0,COPIA!E204,""),""))</f>
        <v>RICAVI D'ESERCIZIO</v>
      </c>
      <c r="I210" s="73" t="str">
        <f ca="1">IFERROR(IF(COPIA!F204&lt;&gt;0,COPIA!F204,""),"")</f>
        <v>SE AVERE</v>
      </c>
    </row>
    <row r="211" spans="4:11" ht="20.100000000000001" customHeight="1" x14ac:dyDescent="0.3">
      <c r="D211" s="73" t="str">
        <f ca="1">IFERROR(IF(COPIA!A205&lt;&gt;0,COPIA!A205,""),"")</f>
        <v>20.42</v>
      </c>
      <c r="E211" s="75" t="str">
        <f ca="1">IFERROR(IF(COPIA!B205&lt;&gt;0,COPIA!B205,""),"")</f>
        <v>INSUSSISTENZE ATTIVE</v>
      </c>
      <c r="F211" s="73" t="str">
        <f ca="1">IFERROR(IF(COPIA!C205&lt;&gt;0,COPIA!C205,""),"")</f>
        <v>E</v>
      </c>
      <c r="G211" s="73" t="str">
        <f ca="1">IFERROR(IF(COPIA!D205&lt;&gt;0,COPIA!D205,""),"")</f>
        <v>A</v>
      </c>
      <c r="H211" s="73" t="str">
        <f ca="1">IF(E211="FONDO SVALUTAZIONE CREDITI","RETTIFICA CREDITI",IFERROR(IF(COPIA!E205&lt;&gt;0,COPIA!E205,""),""))</f>
        <v>RICAVI D'ESERCIZIO</v>
      </c>
      <c r="I211" s="73" t="str">
        <f ca="1">IFERROR(IF(COPIA!F205&lt;&gt;0,COPIA!F205,""),"")</f>
        <v>SE AVERE</v>
      </c>
    </row>
    <row r="212" spans="4:11" ht="20.100000000000001" customHeight="1" x14ac:dyDescent="0.3">
      <c r="D212" s="73" t="str">
        <f ca="1">IFERROR(IF(COPIA!A206&lt;&gt;0,COPIA!A206,""),"")</f>
        <v>20.46</v>
      </c>
      <c r="E212" s="75" t="str">
        <f ca="1">IFERROR(IF(COPIA!B206&lt;&gt;0,COPIA!B206,""),"")</f>
        <v>RIVALUTAZIONE TERRENI E FABBRICATI</v>
      </c>
      <c r="F212" s="73" t="str">
        <f ca="1">IFERROR(IF(COPIA!C206&lt;&gt;0,COPIA!C206,""),"")</f>
        <v>E</v>
      </c>
      <c r="G212" s="73" t="str">
        <f ca="1">IFERROR(IF(COPIA!D206&lt;&gt;0,COPIA!D206,""),"")</f>
        <v>A</v>
      </c>
      <c r="H212" s="73" t="str">
        <f ca="1">IF(E212="FONDO SVALUTAZIONE CREDITI","RETTIFICA CREDITI",IFERROR(IF(COPIA!E206&lt;&gt;0,COPIA!E206,""),""))</f>
        <v>RICAVI D'ESERCIZIO</v>
      </c>
      <c r="I212" s="73" t="str">
        <f ca="1">IFERROR(IF(COPIA!F206&lt;&gt;0,COPIA!F206,""),"")</f>
        <v>SE AVERE</v>
      </c>
    </row>
    <row r="213" spans="4:11" ht="20.100000000000001" customHeight="1" x14ac:dyDescent="0.3">
      <c r="D213" s="73" t="str">
        <f ca="1">IFERROR(IF(COPIA!A207&lt;&gt;0,COPIA!A207,""),"")</f>
        <v>20.47</v>
      </c>
      <c r="E213" s="75" t="str">
        <f ca="1">IFERROR(IF(COPIA!B207&lt;&gt;0,COPIA!B207,""),"")</f>
        <v>RIVALUTAZIONE IMPIANTI E MACCHINARI</v>
      </c>
      <c r="F213" s="73" t="str">
        <f ca="1">IFERROR(IF(COPIA!C207&lt;&gt;0,COPIA!C207,""),"")</f>
        <v>E</v>
      </c>
      <c r="G213" s="73" t="str">
        <f ca="1">IFERROR(IF(COPIA!D207&lt;&gt;0,COPIA!D207,""),"")</f>
        <v>A</v>
      </c>
      <c r="H213" s="73" t="str">
        <f ca="1">IF(E213="FONDO SVALUTAZIONE CREDITI","RETTIFICA CREDITI",IFERROR(IF(COPIA!E207&lt;&gt;0,COPIA!E207,""),""))</f>
        <v>RICAVI D'ESERCIZIO</v>
      </c>
      <c r="I213" s="73" t="str">
        <f ca="1">IFERROR(IF(COPIA!F207&lt;&gt;0,COPIA!F207,""),"")</f>
        <v>SE AVERE</v>
      </c>
    </row>
    <row r="214" spans="4:11" ht="20.100000000000001" customHeight="1" x14ac:dyDescent="0.3">
      <c r="D214" s="73" t="str">
        <f ca="1">IFERROR(IF(COPIA!A208&lt;&gt;0,COPIA!A208,""),"")</f>
        <v>21.00</v>
      </c>
      <c r="E214" s="75" t="str">
        <f ca="1">IFERROR(IF(COPIA!B208&lt;&gt;0,COPIA!B208,""),"")</f>
        <v>VARIAZ. RIM. PROD. IN CORSO DI LAVORAZ., SEMIL. E FINITI</v>
      </c>
      <c r="F214" s="73" t="str">
        <f ca="1">IFERROR(IF(COPIA!C208&lt;&gt;0,COPIA!C208,""),"")</f>
        <v/>
      </c>
      <c r="G214" s="73" t="str">
        <f ca="1">IFERROR(IF(COPIA!D208&lt;&gt;0,COPIA!D208,""),"")</f>
        <v/>
      </c>
      <c r="H214" s="73" t="str">
        <f ca="1">IF(E214="FONDO SVALUTAZIONE CREDITI","RETTIFICA CREDITI",IFERROR(IF(COPIA!E208&lt;&gt;0,COPIA!E208,""),""))</f>
        <v/>
      </c>
      <c r="I214" s="73" t="str">
        <f ca="1">IFERROR(IF(COPIA!F208&lt;&gt;0,COPIA!F208,""),"")</f>
        <v/>
      </c>
    </row>
    <row r="215" spans="4:11" ht="20.100000000000001" customHeight="1" x14ac:dyDescent="0.3">
      <c r="D215" s="73" t="str">
        <f ca="1">IFERROR(IF(COPIA!A209&lt;&gt;0,COPIA!A209,""),"")</f>
        <v>21.04</v>
      </c>
      <c r="E215" s="75" t="str">
        <f ca="1">IFERROR(IF(COPIA!B209&lt;&gt;0,COPIA!B209,""),"")</f>
        <v>PRODOTTI IN LAVORAZIONE C/ESISTENZE INIZIALI</v>
      </c>
      <c r="F215" s="73" t="str">
        <f ca="1">IFERROR(IF(COPIA!C209&lt;&gt;0,COPIA!C209,""),"")</f>
        <v>E</v>
      </c>
      <c r="G215" s="73" t="str">
        <f ca="1">IFERROR(IF(COPIA!D209&lt;&gt;0,COPIA!D209,""),"")</f>
        <v>D</v>
      </c>
      <c r="H215" s="73" t="str">
        <f ca="1">IF(E215="FONDO SVALUTAZIONE CREDITI","RETTIFICA CREDITI",IFERROR(IF(COPIA!E209&lt;&gt;0,COPIA!E209,""),""))</f>
        <v>COSTI D'ESERCIZIO</v>
      </c>
      <c r="I215" s="73" t="str">
        <f ca="1">IFERROR(IF(COPIA!F209&lt;&gt;0,COPIA!F209,""),"")</f>
        <v>SE DARE</v>
      </c>
    </row>
    <row r="216" spans="4:11" ht="20.100000000000001" customHeight="1" x14ac:dyDescent="0.3">
      <c r="D216" s="73" t="str">
        <f ca="1">IFERROR(IF(COPIA!A210&lt;&gt;0,COPIA!A210,""),"")</f>
        <v>21.05</v>
      </c>
      <c r="E216" s="75" t="str">
        <f ca="1">IFERROR(IF(COPIA!B210&lt;&gt;0,COPIA!B210,""),"")</f>
        <v>SEMILAVORATI C/ESISTENZE INIZIALI</v>
      </c>
      <c r="F216" s="73" t="str">
        <f ca="1">IFERROR(IF(COPIA!C210&lt;&gt;0,COPIA!C210,""),"")</f>
        <v>E</v>
      </c>
      <c r="G216" s="73" t="str">
        <f ca="1">IFERROR(IF(COPIA!D210&lt;&gt;0,COPIA!D210,""),"")</f>
        <v>D</v>
      </c>
      <c r="H216" s="73" t="str">
        <f ca="1">IF(E216="FONDO SVALUTAZIONE CREDITI","RETTIFICA CREDITI",IFERROR(IF(COPIA!E210&lt;&gt;0,COPIA!E210,""),""))</f>
        <v>COSTI D'ESERCIZIO</v>
      </c>
      <c r="I216" s="73" t="str">
        <f ca="1">IFERROR(IF(COPIA!F210&lt;&gt;0,COPIA!F210,""),"")</f>
        <v>SE DARE</v>
      </c>
    </row>
    <row r="217" spans="4:11" ht="20.100000000000001" customHeight="1" x14ac:dyDescent="0.3">
      <c r="D217" s="73" t="str">
        <f ca="1">IFERROR(IF(COPIA!A211&lt;&gt;0,COPIA!A211,""),"")</f>
        <v>21.06</v>
      </c>
      <c r="E217" s="75" t="str">
        <f ca="1">IFERROR(IF(COPIA!B211&lt;&gt;0,COPIA!B211,""),"")</f>
        <v>PRODOTTI FINITI C/ESISTENZE INIZIALI</v>
      </c>
      <c r="F217" s="73" t="str">
        <f ca="1">IFERROR(IF(COPIA!C211&lt;&gt;0,COPIA!C211,""),"")</f>
        <v>E</v>
      </c>
      <c r="G217" s="73" t="str">
        <f ca="1">IFERROR(IF(COPIA!D211&lt;&gt;0,COPIA!D211,""),"")</f>
        <v>D</v>
      </c>
      <c r="H217" s="73" t="str">
        <f ca="1">IF(E217="FONDO SVALUTAZIONE CREDITI","RETTIFICA CREDITI",IFERROR(IF(COPIA!E211&lt;&gt;0,COPIA!E211,""),""))</f>
        <v>COSTI D'ESERCIZIO</v>
      </c>
      <c r="I217" s="73" t="str">
        <f ca="1">IFERROR(IF(COPIA!F211&lt;&gt;0,COPIA!F211,""),"")</f>
        <v>SE DARE</v>
      </c>
    </row>
    <row r="218" spans="4:11" ht="20.100000000000001" customHeight="1" x14ac:dyDescent="0.3">
      <c r="D218" s="73" t="str">
        <f ca="1">IFERROR(IF(COPIA!A212&lt;&gt;0,COPIA!A212,""),"")</f>
        <v>21.10</v>
      </c>
      <c r="E218" s="75" t="str">
        <f ca="1">IFERROR(IF(COPIA!B212&lt;&gt;0,COPIA!B212,""),"")</f>
        <v>PRODOTTI IN LAVORAZIONE C/RIMANENZE FINALI</v>
      </c>
      <c r="F218" s="73" t="str">
        <f ca="1">IFERROR(IF(COPIA!C212&lt;&gt;0,COPIA!C212,""),"")</f>
        <v>E</v>
      </c>
      <c r="G218" s="73" t="str">
        <f ca="1">IFERROR(IF(COPIA!D212&lt;&gt;0,COPIA!D212,""),"")</f>
        <v>A</v>
      </c>
      <c r="H218" s="73" t="str">
        <f ca="1">IF(E218="FONDO SVALUTAZIONE CREDITI","RETTIFICA CREDITI",IFERROR(IF(COPIA!E212&lt;&gt;0,COPIA!E212,""),""))</f>
        <v>RETTIFICHE COSTI D'ESERCIZIO</v>
      </c>
      <c r="I218" s="73" t="str">
        <f ca="1">IFERROR(IF(COPIA!F212&lt;&gt;0,COPIA!F212,""),"")</f>
        <v>SE AVERE</v>
      </c>
    </row>
    <row r="219" spans="4:11" ht="20.100000000000001" customHeight="1" x14ac:dyDescent="0.3">
      <c r="D219" s="73" t="str">
        <f ca="1">IFERROR(IF(COPIA!A213&lt;&gt;0,COPIA!A213,""),"")</f>
        <v>21.11</v>
      </c>
      <c r="E219" s="75" t="str">
        <f ca="1">IFERROR(IF(COPIA!B213&lt;&gt;0,COPIA!B213,""),"")</f>
        <v>SEMILAVORATI C/RIMANENZE FINALI</v>
      </c>
      <c r="F219" s="73" t="str">
        <f ca="1">IFERROR(IF(COPIA!C213&lt;&gt;0,COPIA!C213,""),"")</f>
        <v>E</v>
      </c>
      <c r="G219" s="73" t="str">
        <f ca="1">IFERROR(IF(COPIA!D213&lt;&gt;0,COPIA!D213,""),"")</f>
        <v>A</v>
      </c>
      <c r="H219" s="73" t="str">
        <f ca="1">IF(E219="FONDO SVALUTAZIONE CREDITI","RETTIFICA CREDITI",IFERROR(IF(COPIA!E213&lt;&gt;0,COPIA!E213,""),""))</f>
        <v>RETTIFICHE COSTI D'ESERCIZIO</v>
      </c>
      <c r="I219" s="73" t="str">
        <f ca="1">IFERROR(IF(COPIA!F213&lt;&gt;0,COPIA!F213,""),"")</f>
        <v>SE AVERE</v>
      </c>
    </row>
    <row r="220" spans="4:11" ht="20.100000000000001" customHeight="1" x14ac:dyDescent="0.3">
      <c r="D220" s="73" t="str">
        <f ca="1">IFERROR(IF(COPIA!A214&lt;&gt;0,COPIA!A214,""),"")</f>
        <v>21.12</v>
      </c>
      <c r="E220" s="75" t="str">
        <f ca="1">IFERROR(IF(COPIA!B214&lt;&gt;0,COPIA!B214,""),"")</f>
        <v>PRODOTTI FINITI C/RIMANENZE FINALI</v>
      </c>
      <c r="F220" s="73" t="str">
        <f ca="1">IFERROR(IF(COPIA!C214&lt;&gt;0,COPIA!C214,""),"")</f>
        <v>E</v>
      </c>
      <c r="G220" s="73" t="str">
        <f ca="1">IFERROR(IF(COPIA!D214&lt;&gt;0,COPIA!D214,""),"")</f>
        <v>A</v>
      </c>
      <c r="H220" s="73" t="str">
        <f ca="1">IF(E220="FONDO SVALUTAZIONE CREDITI","RETTIFICA CREDITI",IFERROR(IF(COPIA!E214&lt;&gt;0,COPIA!E214,""),""))</f>
        <v>RETTIFICHE COSTI D'ESERCIZIO</v>
      </c>
      <c r="I220" s="73" t="str">
        <f ca="1">IFERROR(IF(COPIA!F214&lt;&gt;0,COPIA!F214,""),"")</f>
        <v>SE AVERE</v>
      </c>
    </row>
    <row r="221" spans="4:11" ht="20.100000000000001" customHeight="1" x14ac:dyDescent="0.3">
      <c r="D221" s="73" t="str">
        <f ca="1">IFERROR(IF(COPIA!A215&lt;&gt;0,COPIA!A215,""),"")</f>
        <v>30.00</v>
      </c>
      <c r="E221" s="75" t="str">
        <f ca="1">IFERROR(IF(COPIA!B215&lt;&gt;0,COPIA!B215,""),"")</f>
        <v>COSTI DELLE MATERIE</v>
      </c>
      <c r="F221" s="73" t="str">
        <f ca="1">IFERROR(IF(COPIA!C215&lt;&gt;0,COPIA!C215,""),"")</f>
        <v/>
      </c>
      <c r="G221" s="73" t="str">
        <f ca="1">IFERROR(IF(COPIA!D215&lt;&gt;0,COPIA!D215,""),"")</f>
        <v/>
      </c>
      <c r="H221" s="73" t="str">
        <f ca="1">IF(E221="FONDO SVALUTAZIONE CREDITI","RETTIFICA CREDITI",IFERROR(IF(COPIA!E215&lt;&gt;0,COPIA!E215,""),""))</f>
        <v/>
      </c>
      <c r="I221" s="73" t="str">
        <f ca="1">IFERROR(IF(COPIA!F215&lt;&gt;0,COPIA!F215,""),"")</f>
        <v/>
      </c>
      <c r="K221" s="19">
        <v>3</v>
      </c>
    </row>
    <row r="222" spans="4:11" ht="20.100000000000001" customHeight="1" x14ac:dyDescent="0.3">
      <c r="D222" s="73" t="str">
        <f ca="1">IFERROR(IF(COPIA!A216&lt;&gt;0,COPIA!A216,""),"")</f>
        <v>30.01</v>
      </c>
      <c r="E222" s="75" t="str">
        <f ca="1">IFERROR(IF(COPIA!B216&lt;&gt;0,COPIA!B216,""),"")</f>
        <v>MATERIE PRIME C/ACQUISTI</v>
      </c>
      <c r="F222" s="73" t="str">
        <f ca="1">IFERROR(IF(COPIA!C216&lt;&gt;0,COPIA!C216,""),"")</f>
        <v>E</v>
      </c>
      <c r="G222" s="73" t="str">
        <f ca="1">IFERROR(IF(COPIA!D216&lt;&gt;0,COPIA!D216,""),"")</f>
        <v>D</v>
      </c>
      <c r="H222" s="73" t="str">
        <f ca="1">IF(E222="FONDO SVALUTAZIONE CREDITI","RETTIFICA CREDITI",IFERROR(IF(COPIA!E216&lt;&gt;0,COPIA!E216,""),""))</f>
        <v>COSTI D'ESERCIZIO</v>
      </c>
      <c r="I222" s="73" t="str">
        <f ca="1">IFERROR(IF(COPIA!F216&lt;&gt;0,COPIA!F216,""),"")</f>
        <v>SE DARE</v>
      </c>
    </row>
    <row r="223" spans="4:11" ht="20.100000000000001" customHeight="1" x14ac:dyDescent="0.3">
      <c r="D223" s="73" t="str">
        <f ca="1">IFERROR(IF(COPIA!A217&lt;&gt;0,COPIA!A217,""),"")</f>
        <v>30.02</v>
      </c>
      <c r="E223" s="75" t="str">
        <f ca="1">IFERROR(IF(COPIA!B217&lt;&gt;0,COPIA!B217,""),"")</f>
        <v>MATERIE SUSSIDIARIE C/ACQUISTI</v>
      </c>
      <c r="F223" s="73" t="str">
        <f ca="1">IFERROR(IF(COPIA!C217&lt;&gt;0,COPIA!C217,""),"")</f>
        <v>E</v>
      </c>
      <c r="G223" s="73" t="str">
        <f ca="1">IFERROR(IF(COPIA!D217&lt;&gt;0,COPIA!D217,""),"")</f>
        <v>D</v>
      </c>
      <c r="H223" s="73" t="str">
        <f ca="1">IF(E223="FONDO SVALUTAZIONE CREDITI","RETTIFICA CREDITI",IFERROR(IF(COPIA!E217&lt;&gt;0,COPIA!E217,""),""))</f>
        <v>COSTI D'ESERCIZIO</v>
      </c>
      <c r="I223" s="73" t="str">
        <f ca="1">IFERROR(IF(COPIA!F217&lt;&gt;0,COPIA!F217,""),"")</f>
        <v>SE DARE</v>
      </c>
    </row>
    <row r="224" spans="4:11" ht="20.100000000000001" customHeight="1" x14ac:dyDescent="0.3">
      <c r="D224" s="73" t="str">
        <f ca="1">IFERROR(IF(COPIA!A218&lt;&gt;0,COPIA!A218,""),"")</f>
        <v>30.03</v>
      </c>
      <c r="E224" s="75" t="str">
        <f ca="1">IFERROR(IF(COPIA!B218&lt;&gt;0,COPIA!B218,""),"")</f>
        <v>MATERIE DI CONSUMO C/ACQUISTI</v>
      </c>
      <c r="F224" s="73" t="str">
        <f ca="1">IFERROR(IF(COPIA!C218&lt;&gt;0,COPIA!C218,""),"")</f>
        <v>E</v>
      </c>
      <c r="G224" s="73" t="str">
        <f ca="1">IFERROR(IF(COPIA!D218&lt;&gt;0,COPIA!D218,""),"")</f>
        <v>D</v>
      </c>
      <c r="H224" s="73" t="str">
        <f ca="1">IF(E224="FONDO SVALUTAZIONE CREDITI","RETTIFICA CREDITI",IFERROR(IF(COPIA!E218&lt;&gt;0,COPIA!E218,""),""))</f>
        <v>COSTI D'ESERCIZIO</v>
      </c>
      <c r="I224" s="73" t="str">
        <f ca="1">IFERROR(IF(COPIA!F218&lt;&gt;0,COPIA!F218,""),"")</f>
        <v>SE DARE</v>
      </c>
    </row>
    <row r="225" spans="4:9" ht="20.100000000000001" customHeight="1" x14ac:dyDescent="0.3">
      <c r="D225" s="73" t="str">
        <f ca="1">IFERROR(IF(COPIA!A219&lt;&gt;0,COPIA!A219,""),"")</f>
        <v>30.04</v>
      </c>
      <c r="E225" s="75" t="str">
        <f ca="1">IFERROR(IF(COPIA!B219&lt;&gt;0,COPIA!B219,""),"")</f>
        <v>MATERIE C/APPORTI</v>
      </c>
      <c r="F225" s="73" t="str">
        <f ca="1">IFERROR(IF(COPIA!C219&lt;&gt;0,COPIA!C219,""),"")</f>
        <v>E</v>
      </c>
      <c r="G225" s="73" t="str">
        <f ca="1">IFERROR(IF(COPIA!D219&lt;&gt;0,COPIA!D219,""),"")</f>
        <v>D</v>
      </c>
      <c r="H225" s="73" t="str">
        <f ca="1">IF(E225="FONDO SVALUTAZIONE CREDITI","RETTIFICA CREDITI",IFERROR(IF(COPIA!E219&lt;&gt;0,COPIA!E219,""),""))</f>
        <v>COSTI D'ESERCIZIO</v>
      </c>
      <c r="I225" s="73" t="str">
        <f ca="1">IFERROR(IF(COPIA!F219&lt;&gt;0,COPIA!F219,""),"")</f>
        <v>SE DARE</v>
      </c>
    </row>
    <row r="226" spans="4:9" ht="20.100000000000001" customHeight="1" x14ac:dyDescent="0.3">
      <c r="D226" s="73" t="str">
        <f ca="1">IFERROR(IF(COPIA!A220&lt;&gt;0,COPIA!A220,""),"")</f>
        <v>30.10</v>
      </c>
      <c r="E226" s="75" t="str">
        <f ca="1">IFERROR(IF(COPIA!B220&lt;&gt;0,COPIA!B220,""),"")</f>
        <v>RESI SU ACQUISTI</v>
      </c>
      <c r="F226" s="73" t="str">
        <f ca="1">IFERROR(IF(COPIA!C220&lt;&gt;0,COPIA!C220,""),"")</f>
        <v>E</v>
      </c>
      <c r="G226" s="73" t="str">
        <f ca="1">IFERROR(IF(COPIA!D220&lt;&gt;0,COPIA!D220,""),"")</f>
        <v>A</v>
      </c>
      <c r="H226" s="73" t="str">
        <f ca="1">IF(E226="FONDO SVALUTAZIONE CREDITI","RETTIFICA CREDITI",IFERROR(IF(COPIA!E220&lt;&gt;0,COPIA!E220,""),""))</f>
        <v>RETTIFICHE COSTI D'ESERCIZIO</v>
      </c>
      <c r="I226" s="73" t="str">
        <f ca="1">IFERROR(IF(COPIA!F220&lt;&gt;0,COPIA!F220,""),"")</f>
        <v>SE AVERE</v>
      </c>
    </row>
    <row r="227" spans="4:9" ht="20.100000000000001" customHeight="1" x14ac:dyDescent="0.3">
      <c r="D227" s="73" t="str">
        <f ca="1">IFERROR(IF(COPIA!A221&lt;&gt;0,COPIA!A221,""),"")</f>
        <v>30.11</v>
      </c>
      <c r="E227" s="75" t="str">
        <f ca="1">IFERROR(IF(COPIA!B221&lt;&gt;0,COPIA!B221,""),"")</f>
        <v>RIBASSI E ABBUONI ATTIVI</v>
      </c>
      <c r="F227" s="73" t="str">
        <f ca="1">IFERROR(IF(COPIA!C221&lt;&gt;0,COPIA!C221,""),"")</f>
        <v>E</v>
      </c>
      <c r="G227" s="73" t="str">
        <f ca="1">IFERROR(IF(COPIA!D221&lt;&gt;0,COPIA!D221,""),"")</f>
        <v>A</v>
      </c>
      <c r="H227" s="73" t="str">
        <f ca="1">IF(E227="FONDO SVALUTAZIONE CREDITI","RETTIFICA CREDITI",IFERROR(IF(COPIA!E221&lt;&gt;0,COPIA!E221,""),""))</f>
        <v>RETTIFICHE COSTI D'ESERCIZIO</v>
      </c>
      <c r="I227" s="73" t="str">
        <f ca="1">IFERROR(IF(COPIA!F221&lt;&gt;0,COPIA!F221,""),"")</f>
        <v>SE AVERE</v>
      </c>
    </row>
    <row r="228" spans="4:9" ht="20.100000000000001" customHeight="1" x14ac:dyDescent="0.3">
      <c r="D228" s="73" t="str">
        <f ca="1">IFERROR(IF(COPIA!A222&lt;&gt;0,COPIA!A222,""),"")</f>
        <v>30.12</v>
      </c>
      <c r="E228" s="75" t="str">
        <f ca="1">IFERROR(IF(COPIA!B222&lt;&gt;0,COPIA!B222,""),"")</f>
        <v>PREMI SU ACQUISTI</v>
      </c>
      <c r="F228" s="73" t="str">
        <f ca="1">IFERROR(IF(COPIA!C222&lt;&gt;0,COPIA!C222,""),"")</f>
        <v>E</v>
      </c>
      <c r="G228" s="73" t="str">
        <f ca="1">IFERROR(IF(COPIA!D222&lt;&gt;0,COPIA!D222,""),"")</f>
        <v>A</v>
      </c>
      <c r="H228" s="73" t="str">
        <f ca="1">IF(E228="FONDO SVALUTAZIONE CREDITI","RETTIFICA CREDITI",IFERROR(IF(COPIA!E222&lt;&gt;0,COPIA!E222,""),""))</f>
        <v>RETTIFICHE COSTI D'ESERCIZIO</v>
      </c>
      <c r="I228" s="73" t="str">
        <f ca="1">IFERROR(IF(COPIA!F222&lt;&gt;0,COPIA!F222,""),"")</f>
        <v>SE AVERE</v>
      </c>
    </row>
    <row r="229" spans="4:9" ht="20.100000000000001" customHeight="1" x14ac:dyDescent="0.3">
      <c r="D229" s="73" t="str">
        <f ca="1">IFERROR(IF(COPIA!A223&lt;&gt;0,COPIA!A223,""),"")</f>
        <v>31.00</v>
      </c>
      <c r="E229" s="75" t="str">
        <f ca="1">IFERROR(IF(COPIA!B223&lt;&gt;0,COPIA!B223,""),"")</f>
        <v>COSTI PER SERVIZI</v>
      </c>
      <c r="F229" s="73" t="str">
        <f ca="1">IFERROR(IF(COPIA!C223&lt;&gt;0,COPIA!C223,""),"")</f>
        <v/>
      </c>
      <c r="G229" s="73" t="str">
        <f ca="1">IFERROR(IF(COPIA!D223&lt;&gt;0,COPIA!D223,""),"")</f>
        <v/>
      </c>
      <c r="H229" s="73" t="str">
        <f ca="1">IF(E229="FONDO SVALUTAZIONE CREDITI","RETTIFICA CREDITI",IFERROR(IF(COPIA!E223&lt;&gt;0,COPIA!E223,""),""))</f>
        <v/>
      </c>
      <c r="I229" s="73" t="str">
        <f ca="1">IFERROR(IF(COPIA!F223&lt;&gt;0,COPIA!F223,""),"")</f>
        <v/>
      </c>
    </row>
    <row r="230" spans="4:9" ht="20.100000000000001" customHeight="1" x14ac:dyDescent="0.3">
      <c r="D230" s="73" t="str">
        <f ca="1">IFERROR(IF(COPIA!A224&lt;&gt;0,COPIA!A224,""),"")</f>
        <v>31.01</v>
      </c>
      <c r="E230" s="75" t="str">
        <f ca="1">IFERROR(IF(COPIA!B224&lt;&gt;0,COPIA!B224,""),"")</f>
        <v>COSTI DI TRASPORTO</v>
      </c>
      <c r="F230" s="73" t="str">
        <f ca="1">IFERROR(IF(COPIA!C224&lt;&gt;0,COPIA!C224,""),"")</f>
        <v>E</v>
      </c>
      <c r="G230" s="73" t="str">
        <f ca="1">IFERROR(IF(COPIA!D224&lt;&gt;0,COPIA!D224,""),"")</f>
        <v>D</v>
      </c>
      <c r="H230" s="73" t="str">
        <f ca="1">IF(E230="FONDO SVALUTAZIONE CREDITI","RETTIFICA CREDITI",IFERROR(IF(COPIA!E224&lt;&gt;0,COPIA!E224,""),""))</f>
        <v>COSTI D'ESERCIZIO</v>
      </c>
      <c r="I230" s="73" t="str">
        <f ca="1">IFERROR(IF(COPIA!F224&lt;&gt;0,COPIA!F224,""),"")</f>
        <v>SE DARE</v>
      </c>
    </row>
    <row r="231" spans="4:9" ht="20.100000000000001" customHeight="1" x14ac:dyDescent="0.3">
      <c r="D231" s="73" t="str">
        <f ca="1">IFERROR(IF(COPIA!A225&lt;&gt;0,COPIA!A225,""),"")</f>
        <v>31.02</v>
      </c>
      <c r="E231" s="75" t="str">
        <f ca="1">IFERROR(IF(COPIA!B225&lt;&gt;0,COPIA!B225,""),"")</f>
        <v>COSTI PER ENERGIA</v>
      </c>
      <c r="F231" s="73" t="str">
        <f ca="1">IFERROR(IF(COPIA!C225&lt;&gt;0,COPIA!C225,""),"")</f>
        <v>E</v>
      </c>
      <c r="G231" s="73" t="str">
        <f ca="1">IFERROR(IF(COPIA!D225&lt;&gt;0,COPIA!D225,""),"")</f>
        <v>D</v>
      </c>
      <c r="H231" s="73" t="str">
        <f ca="1">IF(E231="FONDO SVALUTAZIONE CREDITI","RETTIFICA CREDITI",IFERROR(IF(COPIA!E225&lt;&gt;0,COPIA!E225,""),""))</f>
        <v>COSTI D'ESERCIZIO</v>
      </c>
      <c r="I231" s="73" t="str">
        <f ca="1">IFERROR(IF(COPIA!F225&lt;&gt;0,COPIA!F225,""),"")</f>
        <v>SE DARE</v>
      </c>
    </row>
    <row r="232" spans="4:9" ht="20.100000000000001" customHeight="1" x14ac:dyDescent="0.3">
      <c r="D232" s="73" t="str">
        <f ca="1">IFERROR(IF(COPIA!A226&lt;&gt;0,COPIA!A226,""),"")</f>
        <v>31.03</v>
      </c>
      <c r="E232" s="75" t="str">
        <f ca="1">IFERROR(IF(COPIA!B226&lt;&gt;0,COPIA!B226,""),"")</f>
        <v>PUBBLICITÀ</v>
      </c>
      <c r="F232" s="73" t="str">
        <f ca="1">IFERROR(IF(COPIA!C226&lt;&gt;0,COPIA!C226,""),"")</f>
        <v>E</v>
      </c>
      <c r="G232" s="73" t="str">
        <f ca="1">IFERROR(IF(COPIA!D226&lt;&gt;0,COPIA!D226,""),"")</f>
        <v>D</v>
      </c>
      <c r="H232" s="73" t="str">
        <f ca="1">IF(E232="FONDO SVALUTAZIONE CREDITI","RETTIFICA CREDITI",IFERROR(IF(COPIA!E226&lt;&gt;0,COPIA!E226,""),""))</f>
        <v>COSTI D'ESERCIZIO</v>
      </c>
      <c r="I232" s="73" t="str">
        <f ca="1">IFERROR(IF(COPIA!F226&lt;&gt;0,COPIA!F226,""),"")</f>
        <v>SE DARE</v>
      </c>
    </row>
    <row r="233" spans="4:9" ht="20.100000000000001" customHeight="1" x14ac:dyDescent="0.3">
      <c r="D233" s="73" t="str">
        <f ca="1">IFERROR(IF(COPIA!A227&lt;&gt;0,COPIA!A227,""),"")</f>
        <v>31.04</v>
      </c>
      <c r="E233" s="75" t="str">
        <f ca="1">IFERROR(IF(COPIA!B227&lt;&gt;0,COPIA!B227,""),"")</f>
        <v>CONSULENZE</v>
      </c>
      <c r="F233" s="73" t="str">
        <f ca="1">IFERROR(IF(COPIA!C227&lt;&gt;0,COPIA!C227,""),"")</f>
        <v>E</v>
      </c>
      <c r="G233" s="73" t="str">
        <f ca="1">IFERROR(IF(COPIA!D227&lt;&gt;0,COPIA!D227,""),"")</f>
        <v>D</v>
      </c>
      <c r="H233" s="73" t="str">
        <f ca="1">IF(E233="FONDO SVALUTAZIONE CREDITI","RETTIFICA CREDITI",IFERROR(IF(COPIA!E227&lt;&gt;0,COPIA!E227,""),""))</f>
        <v>COSTI D'ESERCIZIO</v>
      </c>
      <c r="I233" s="73" t="str">
        <f ca="1">IFERROR(IF(COPIA!F227&lt;&gt;0,COPIA!F227,""),"")</f>
        <v>SE DARE</v>
      </c>
    </row>
    <row r="234" spans="4:9" ht="20.100000000000001" customHeight="1" x14ac:dyDescent="0.3">
      <c r="D234" s="73" t="str">
        <f ca="1">IFERROR(IF(COPIA!A228&lt;&gt;0,COPIA!A228,""),"")</f>
        <v>31.05</v>
      </c>
      <c r="E234" s="75" t="str">
        <f ca="1">IFERROR(IF(COPIA!B228&lt;&gt;0,COPIA!B228,""),"")</f>
        <v>COSTI TELEFONICI</v>
      </c>
      <c r="F234" s="73" t="str">
        <f ca="1">IFERROR(IF(COPIA!C228&lt;&gt;0,COPIA!C228,""),"")</f>
        <v>E</v>
      </c>
      <c r="G234" s="73" t="str">
        <f ca="1">IFERROR(IF(COPIA!D228&lt;&gt;0,COPIA!D228,""),"")</f>
        <v>D</v>
      </c>
      <c r="H234" s="73" t="str">
        <f ca="1">IF(E234="FONDO SVALUTAZIONE CREDITI","RETTIFICA CREDITI",IFERROR(IF(COPIA!E228&lt;&gt;0,COPIA!E228,""),""))</f>
        <v>COSTI D'ESERCIZIO</v>
      </c>
      <c r="I234" s="73" t="str">
        <f ca="1">IFERROR(IF(COPIA!F228&lt;&gt;0,COPIA!F228,""),"")</f>
        <v>SE DARE</v>
      </c>
    </row>
    <row r="235" spans="4:9" ht="20.100000000000001" customHeight="1" x14ac:dyDescent="0.3">
      <c r="D235" s="73" t="str">
        <f ca="1">IFERROR(IF(COPIA!A229&lt;&gt;0,COPIA!A229,""),"")</f>
        <v>31.06</v>
      </c>
      <c r="E235" s="75" t="str">
        <f ca="1">IFERROR(IF(COPIA!B229&lt;&gt;0,COPIA!B229,""),"")</f>
        <v>COSTI DI VIGILANZA</v>
      </c>
      <c r="F235" s="73" t="str">
        <f ca="1">IFERROR(IF(COPIA!C229&lt;&gt;0,COPIA!C229,""),"")</f>
        <v>E</v>
      </c>
      <c r="G235" s="73" t="str">
        <f ca="1">IFERROR(IF(COPIA!D229&lt;&gt;0,COPIA!D229,""),"")</f>
        <v>D</v>
      </c>
      <c r="H235" s="73" t="str">
        <f ca="1">IF(E235="FONDO SVALUTAZIONE CREDITI","RETTIFICA CREDITI",IFERROR(IF(COPIA!E229&lt;&gt;0,COPIA!E229,""),""))</f>
        <v>COSTI D'ESERCIZIO</v>
      </c>
      <c r="I235" s="73" t="str">
        <f ca="1">IFERROR(IF(COPIA!F229&lt;&gt;0,COPIA!F229,""),"")</f>
        <v>SE DARE</v>
      </c>
    </row>
    <row r="236" spans="4:9" ht="20.100000000000001" customHeight="1" x14ac:dyDescent="0.3">
      <c r="D236" s="73" t="str">
        <f ca="1">IFERROR(IF(COPIA!A230&lt;&gt;0,COPIA!A230,""),"")</f>
        <v>31.07</v>
      </c>
      <c r="E236" s="75" t="str">
        <f ca="1">IFERROR(IF(COPIA!B230&lt;&gt;0,COPIA!B230,""),"")</f>
        <v>COSTI POSTALI</v>
      </c>
      <c r="F236" s="73" t="str">
        <f ca="1">IFERROR(IF(COPIA!C230&lt;&gt;0,COPIA!C230,""),"")</f>
        <v>E</v>
      </c>
      <c r="G236" s="73" t="str">
        <f ca="1">IFERROR(IF(COPIA!D230&lt;&gt;0,COPIA!D230,""),"")</f>
        <v>D</v>
      </c>
      <c r="H236" s="73" t="str">
        <f ca="1">IF(E236="FONDO SVALUTAZIONE CREDITI","RETTIFICA CREDITI",IFERROR(IF(COPIA!E230&lt;&gt;0,COPIA!E230,""),""))</f>
        <v>COSTI D'ESERCIZIO</v>
      </c>
      <c r="I236" s="73" t="str">
        <f ca="1">IFERROR(IF(COPIA!F230&lt;&gt;0,COPIA!F230,""),"")</f>
        <v>SE DARE</v>
      </c>
    </row>
    <row r="237" spans="4:9" ht="20.100000000000001" customHeight="1" x14ac:dyDescent="0.3">
      <c r="D237" s="73" t="str">
        <f ca="1">IFERROR(IF(COPIA!A231&lt;&gt;0,COPIA!A231,""),"")</f>
        <v>31.08</v>
      </c>
      <c r="E237" s="75" t="str">
        <f ca="1">IFERROR(IF(COPIA!B231&lt;&gt;0,COPIA!B231,""),"")</f>
        <v>ASSICURAZIONI</v>
      </c>
      <c r="F237" s="73" t="str">
        <f ca="1">IFERROR(IF(COPIA!C231&lt;&gt;0,COPIA!C231,""),"")</f>
        <v>E</v>
      </c>
      <c r="G237" s="73" t="str">
        <f ca="1">IFERROR(IF(COPIA!D231&lt;&gt;0,COPIA!D231,""),"")</f>
        <v>D</v>
      </c>
      <c r="H237" s="73" t="str">
        <f ca="1">IF(E237="FONDO SVALUTAZIONE CREDITI","RETTIFICA CREDITI",IFERROR(IF(COPIA!E231&lt;&gt;0,COPIA!E231,""),""))</f>
        <v>COSTI D'ESERCIZIO</v>
      </c>
      <c r="I237" s="73" t="str">
        <f ca="1">IFERROR(IF(COPIA!F231&lt;&gt;0,COPIA!F231,""),"")</f>
        <v>SE DARE</v>
      </c>
    </row>
    <row r="238" spans="4:9" ht="20.100000000000001" customHeight="1" x14ac:dyDescent="0.3">
      <c r="D238" s="73" t="str">
        <f ca="1">IFERROR(IF(COPIA!A232&lt;&gt;0,COPIA!A232,""),"")</f>
        <v>31.09</v>
      </c>
      <c r="E238" s="75" t="str">
        <f ca="1">IFERROR(IF(COPIA!B232&lt;&gt;0,COPIA!B232,""),"")</f>
        <v>COSTI PER I LOCALI</v>
      </c>
      <c r="F238" s="73" t="str">
        <f ca="1">IFERROR(IF(COPIA!C232&lt;&gt;0,COPIA!C232,""),"")</f>
        <v>E</v>
      </c>
      <c r="G238" s="73" t="str">
        <f ca="1">IFERROR(IF(COPIA!D232&lt;&gt;0,COPIA!D232,""),"")</f>
        <v>D</v>
      </c>
      <c r="H238" s="73" t="str">
        <f ca="1">IF(E238="FONDO SVALUTAZIONE CREDITI","RETTIFICA CREDITI",IFERROR(IF(COPIA!E232&lt;&gt;0,COPIA!E232,""),""))</f>
        <v>COSTI D'ESERCIZIO</v>
      </c>
      <c r="I238" s="73" t="str">
        <f ca="1">IFERROR(IF(COPIA!F232&lt;&gt;0,COPIA!F232,""),"")</f>
        <v>SE DARE</v>
      </c>
    </row>
    <row r="239" spans="4:9" ht="20.100000000000001" customHeight="1" x14ac:dyDescent="0.3">
      <c r="D239" s="73" t="str">
        <f ca="1">IFERROR(IF(COPIA!A233&lt;&gt;0,COPIA!A233,""),"")</f>
        <v>31.10</v>
      </c>
      <c r="E239" s="75" t="str">
        <f ca="1">IFERROR(IF(COPIA!B233&lt;&gt;0,COPIA!B233,""),"")</f>
        <v>MANUTENZIONI E RIPARAZIONI</v>
      </c>
      <c r="F239" s="73" t="str">
        <f ca="1">IFERROR(IF(COPIA!C233&lt;&gt;0,COPIA!C233,""),"")</f>
        <v>E</v>
      </c>
      <c r="G239" s="73" t="str">
        <f ca="1">IFERROR(IF(COPIA!D233&lt;&gt;0,COPIA!D233,""),"")</f>
        <v>D</v>
      </c>
      <c r="H239" s="73" t="str">
        <f ca="1">IF(E239="FONDO SVALUTAZIONE CREDITI","RETTIFICA CREDITI",IFERROR(IF(COPIA!E233&lt;&gt;0,COPIA!E233,""),""))</f>
        <v>COSTI D'ESERCIZIO</v>
      </c>
      <c r="I239" s="73" t="str">
        <f ca="1">IFERROR(IF(COPIA!F233&lt;&gt;0,COPIA!F233,""),"")</f>
        <v>SE DARE</v>
      </c>
    </row>
    <row r="240" spans="4:9" ht="20.100000000000001" customHeight="1" x14ac:dyDescent="0.3">
      <c r="D240" s="73" t="str">
        <f ca="1">IFERROR(IF(COPIA!A234&lt;&gt;0,COPIA!A234,""),"")</f>
        <v>31.11</v>
      </c>
      <c r="E240" s="75" t="str">
        <f ca="1">IFERROR(IF(COPIA!B234&lt;&gt;0,COPIA!B234,""),"")</f>
        <v>COSTI DI ETICHETTATURA</v>
      </c>
      <c r="F240" s="73" t="str">
        <f ca="1">IFERROR(IF(COPIA!C234&lt;&gt;0,COPIA!C234,""),"")</f>
        <v>E</v>
      </c>
      <c r="G240" s="73" t="str">
        <f ca="1">IFERROR(IF(COPIA!D234&lt;&gt;0,COPIA!D234,""),"")</f>
        <v>D</v>
      </c>
      <c r="H240" s="73" t="str">
        <f ca="1">IF(E240="FONDO SVALUTAZIONE CREDITI","RETTIFICA CREDITI",IFERROR(IF(COPIA!E234&lt;&gt;0,COPIA!E234,""),""))</f>
        <v>COSTI D'ESERCIZIO</v>
      </c>
      <c r="I240" s="73" t="str">
        <f ca="1">IFERROR(IF(COPIA!F234&lt;&gt;0,COPIA!F234,""),"")</f>
        <v>SE DARE</v>
      </c>
    </row>
    <row r="241" spans="4:9" ht="20.100000000000001" customHeight="1" x14ac:dyDescent="0.3">
      <c r="D241" s="73" t="str">
        <f ca="1">IFERROR(IF(COPIA!A235&lt;&gt;0,COPIA!A235,""),"")</f>
        <v>31.12</v>
      </c>
      <c r="E241" s="75" t="str">
        <f ca="1">IFERROR(IF(COPIA!B235&lt;&gt;0,COPIA!B235,""),"")</f>
        <v>LAVORAZIONI PRESSO TERZI</v>
      </c>
      <c r="F241" s="73" t="str">
        <f ca="1">IFERROR(IF(COPIA!C235&lt;&gt;0,COPIA!C235,""),"")</f>
        <v>E</v>
      </c>
      <c r="G241" s="73" t="str">
        <f ca="1">IFERROR(IF(COPIA!D235&lt;&gt;0,COPIA!D235,""),"")</f>
        <v>D</v>
      </c>
      <c r="H241" s="73" t="str">
        <f ca="1">IF(E241="FONDO SVALUTAZIONE CREDITI","RETTIFICA CREDITI",IFERROR(IF(COPIA!E235&lt;&gt;0,COPIA!E235,""),""))</f>
        <v>COSTI D'ESERCIZIO</v>
      </c>
      <c r="I241" s="73" t="str">
        <f ca="1">IFERROR(IF(COPIA!F235&lt;&gt;0,COPIA!F235,""),"")</f>
        <v>SE DARE</v>
      </c>
    </row>
    <row r="242" spans="4:9" ht="20.100000000000001" customHeight="1" x14ac:dyDescent="0.3">
      <c r="D242" s="73" t="str">
        <f ca="1">IFERROR(IF(COPIA!A236&lt;&gt;0,COPIA!A236,""),"")</f>
        <v>31.13</v>
      </c>
      <c r="E242" s="75" t="str">
        <f ca="1">IFERROR(IF(COPIA!B236&lt;&gt;0,COPIA!B236,""),"")</f>
        <v>PROVVIGIONI PASSIVE</v>
      </c>
      <c r="F242" s="73" t="str">
        <f ca="1">IFERROR(IF(COPIA!C236&lt;&gt;0,COPIA!C236,""),"")</f>
        <v>E</v>
      </c>
      <c r="G242" s="73" t="str">
        <f ca="1">IFERROR(IF(COPIA!D236&lt;&gt;0,COPIA!D236,""),"")</f>
        <v>D</v>
      </c>
      <c r="H242" s="73" t="str">
        <f ca="1">IF(E242="FONDO SVALUTAZIONE CREDITI","RETTIFICA CREDITI",IFERROR(IF(COPIA!E236&lt;&gt;0,COPIA!E236,""),""))</f>
        <v>COSTI D'ESERCIZIO</v>
      </c>
      <c r="I242" s="73" t="str">
        <f ca="1">IFERROR(IF(COPIA!F236&lt;&gt;0,COPIA!F236,""),"")</f>
        <v>SE DARE</v>
      </c>
    </row>
    <row r="243" spans="4:9" ht="20.100000000000001" customHeight="1" x14ac:dyDescent="0.3">
      <c r="D243" s="73" t="str">
        <f ca="1">IFERROR(IF(COPIA!A237&lt;&gt;0,COPIA!A237,""),"")</f>
        <v>31.14</v>
      </c>
      <c r="E243" s="75" t="str">
        <f ca="1">IFERROR(IF(COPIA!B237&lt;&gt;0,COPIA!B237,""),"")</f>
        <v>COSTI DI INCASSO</v>
      </c>
      <c r="F243" s="73" t="str">
        <f ca="1">IFERROR(IF(COPIA!C237&lt;&gt;0,COPIA!C237,""),"")</f>
        <v>E</v>
      </c>
      <c r="G243" s="73" t="str">
        <f ca="1">IFERROR(IF(COPIA!D237&lt;&gt;0,COPIA!D237,""),"")</f>
        <v>D</v>
      </c>
      <c r="H243" s="73" t="str">
        <f ca="1">IF(E243="FONDO SVALUTAZIONE CREDITI","RETTIFICA CREDITI",IFERROR(IF(COPIA!E237&lt;&gt;0,COPIA!E237,""),""))</f>
        <v>COSTI D'ESERCIZIO</v>
      </c>
      <c r="I243" s="73" t="str">
        <f ca="1">IFERROR(IF(COPIA!F237&lt;&gt;0,COPIA!F237,""),"")</f>
        <v>SE DARE</v>
      </c>
    </row>
    <row r="244" spans="4:9" ht="20.100000000000001" customHeight="1" x14ac:dyDescent="0.3">
      <c r="D244" s="73" t="str">
        <f ca="1">IFERROR(IF(COPIA!A238&lt;&gt;0,COPIA!A238,""),"")</f>
        <v>31.15</v>
      </c>
      <c r="E244" s="75" t="str">
        <f ca="1">IFERROR(IF(COPIA!B238&lt;&gt;0,COPIA!B238,""),"")</f>
        <v>COMMISSIONI BANCARIE</v>
      </c>
      <c r="F244" s="73" t="str">
        <f ca="1">IFERROR(IF(COPIA!C238&lt;&gt;0,COPIA!C238,""),"")</f>
        <v>E</v>
      </c>
      <c r="G244" s="73" t="str">
        <f ca="1">IFERROR(IF(COPIA!D238&lt;&gt;0,COPIA!D238,""),"")</f>
        <v>D</v>
      </c>
      <c r="H244" s="73" t="str">
        <f ca="1">IF(E244="FONDO SVALUTAZIONE CREDITI","RETTIFICA CREDITI",IFERROR(IF(COPIA!E238&lt;&gt;0,COPIA!E238,""),""))</f>
        <v>COSTI D'ESERCIZIO</v>
      </c>
      <c r="I244" s="73" t="str">
        <f ca="1">IFERROR(IF(COPIA!F238&lt;&gt;0,COPIA!F238,""),"")</f>
        <v>SE DARE</v>
      </c>
    </row>
    <row r="245" spans="4:9" ht="20.100000000000001" customHeight="1" x14ac:dyDescent="0.3">
      <c r="D245" s="73" t="str">
        <f ca="1">IFERROR(IF(COPIA!A239&lt;&gt;0,COPIA!A239,""),"")</f>
        <v>31.16</v>
      </c>
      <c r="E245" s="75" t="str">
        <f ca="1">IFERROR(IF(COPIA!B239&lt;&gt;0,COPIA!B239,""),"")</f>
        <v>COSTI DI TENUTA C/C</v>
      </c>
      <c r="F245" s="73" t="str">
        <f ca="1">IFERROR(IF(COPIA!C239&lt;&gt;0,COPIA!C239,""),"")</f>
        <v>E</v>
      </c>
      <c r="G245" s="73" t="str">
        <f ca="1">IFERROR(IF(COPIA!D239&lt;&gt;0,COPIA!D239,""),"")</f>
        <v>D</v>
      </c>
      <c r="H245" s="73" t="str">
        <f ca="1">IF(E245="FONDO SVALUTAZIONE CREDITI","RETTIFICA CREDITI",IFERROR(IF(COPIA!E239&lt;&gt;0,COPIA!E239,""),""))</f>
        <v>COSTI D'ESERCIZIO</v>
      </c>
      <c r="I245" s="73" t="str">
        <f ca="1">IFERROR(IF(COPIA!F239&lt;&gt;0,COPIA!F239,""),"")</f>
        <v>SE DARE</v>
      </c>
    </row>
    <row r="246" spans="4:9" ht="20.100000000000001" customHeight="1" x14ac:dyDescent="0.3">
      <c r="D246" s="73" t="str">
        <f ca="1">IFERROR(IF(COPIA!A240&lt;&gt;0,COPIA!A240,""),"")</f>
        <v>31.17</v>
      </c>
      <c r="E246" s="75" t="str">
        <f ca="1">IFERROR(IF(COPIA!B240&lt;&gt;0,COPIA!B240,""),"")</f>
        <v>ONERI DI FACTORING</v>
      </c>
      <c r="F246" s="73" t="str">
        <f ca="1">IFERROR(IF(COPIA!C240&lt;&gt;0,COPIA!C240,""),"")</f>
        <v>E</v>
      </c>
      <c r="G246" s="73" t="str">
        <f ca="1">IFERROR(IF(COPIA!D240&lt;&gt;0,COPIA!D240,""),"")</f>
        <v>D</v>
      </c>
      <c r="H246" s="73" t="str">
        <f ca="1">IF(E246="FONDO SVALUTAZIONE CREDITI","RETTIFICA CREDITI",IFERROR(IF(COPIA!E240&lt;&gt;0,COPIA!E240,""),""))</f>
        <v>COSTI D'ESERCIZIO</v>
      </c>
      <c r="I246" s="73" t="str">
        <f ca="1">IFERROR(IF(COPIA!F240&lt;&gt;0,COPIA!F240,""),"")</f>
        <v>SE DARE</v>
      </c>
    </row>
    <row r="247" spans="4:9" ht="20.100000000000001" customHeight="1" x14ac:dyDescent="0.3">
      <c r="D247" s="73" t="str">
        <f ca="1">IFERROR(IF(COPIA!A241&lt;&gt;0,COPIA!A241,""),"")</f>
        <v>31.70</v>
      </c>
      <c r="E247" s="75" t="str">
        <f ca="1">IFERROR(IF(COPIA!B241&lt;&gt;0,COPIA!B241,""),"")</f>
        <v>COMPETENZE AMMINISTRATORI</v>
      </c>
      <c r="F247" s="73" t="str">
        <f ca="1">IFERROR(IF(COPIA!C241&lt;&gt;0,COPIA!C241,""),"")</f>
        <v>E</v>
      </c>
      <c r="G247" s="73" t="str">
        <f ca="1">IFERROR(IF(COPIA!D241&lt;&gt;0,COPIA!D241,""),"")</f>
        <v>D</v>
      </c>
      <c r="H247" s="73" t="str">
        <f ca="1">IF(E247="FONDO SVALUTAZIONE CREDITI","RETTIFICA CREDITI",IFERROR(IF(COPIA!E241&lt;&gt;0,COPIA!E241,""),""))</f>
        <v>COSTI D'ESERCIZIO</v>
      </c>
      <c r="I247" s="73" t="str">
        <f ca="1">IFERROR(IF(COPIA!F241&lt;&gt;0,COPIA!F241,""),"")</f>
        <v>SE DARE</v>
      </c>
    </row>
    <row r="248" spans="4:9" ht="20.100000000000001" customHeight="1" x14ac:dyDescent="0.3">
      <c r="D248" s="73" t="str">
        <f ca="1">IFERROR(IF(COPIA!A242&lt;&gt;0,COPIA!A242,""),"")</f>
        <v>31.71</v>
      </c>
      <c r="E248" s="75" t="str">
        <f ca="1">IFERROR(IF(COPIA!B242&lt;&gt;0,COPIA!B242,""),"")</f>
        <v>COMPETENZE SINDACI</v>
      </c>
      <c r="F248" s="73" t="str">
        <f ca="1">IFERROR(IF(COPIA!C242&lt;&gt;0,COPIA!C242,""),"")</f>
        <v>E</v>
      </c>
      <c r="G248" s="73" t="str">
        <f ca="1">IFERROR(IF(COPIA!D242&lt;&gt;0,COPIA!D242,""),"")</f>
        <v>D</v>
      </c>
      <c r="H248" s="73" t="str">
        <f ca="1">IF(E248="FONDO SVALUTAZIONE CREDITI","RETTIFICA CREDITI",IFERROR(IF(COPIA!E242&lt;&gt;0,COPIA!E242,""),""))</f>
        <v>COSTI D'ESERCIZIO</v>
      </c>
      <c r="I248" s="73" t="str">
        <f ca="1">IFERROR(IF(COPIA!F242&lt;&gt;0,COPIA!F242,""),"")</f>
        <v>SE DARE</v>
      </c>
    </row>
    <row r="249" spans="4:9" ht="20.100000000000001" customHeight="1" x14ac:dyDescent="0.3">
      <c r="D249" s="73" t="str">
        <f ca="1">IFERROR(IF(COPIA!A243&lt;&gt;0,COPIA!A243,""),"")</f>
        <v>31.99</v>
      </c>
      <c r="E249" s="75" t="str">
        <f ca="1">IFERROR(IF(COPIA!B243&lt;&gt;0,COPIA!B243,""),"")</f>
        <v>COSTI PER SERVIZI</v>
      </c>
      <c r="F249" s="73" t="str">
        <f ca="1">IFERROR(IF(COPIA!C243&lt;&gt;0,COPIA!C243,""),"")</f>
        <v>E</v>
      </c>
      <c r="G249" s="73" t="str">
        <f ca="1">IFERROR(IF(COPIA!D243&lt;&gt;0,COPIA!D243,""),"")</f>
        <v>D</v>
      </c>
      <c r="H249" s="73" t="str">
        <f ca="1">IF(E249="FONDO SVALUTAZIONE CREDITI","RETTIFICA CREDITI",IFERROR(IF(COPIA!E243&lt;&gt;0,COPIA!E243,""),""))</f>
        <v>COSTI D'ESERCIZIO</v>
      </c>
      <c r="I249" s="73" t="str">
        <f ca="1">IFERROR(IF(COPIA!F243&lt;&gt;0,COPIA!F243,""),"")</f>
        <v>SE DARE</v>
      </c>
    </row>
    <row r="250" spans="4:9" ht="20.100000000000001" customHeight="1" x14ac:dyDescent="0.3">
      <c r="D250" s="73" t="str">
        <f ca="1">IFERROR(IF(COPIA!A244&lt;&gt;0,COPIA!A244,""),"")</f>
        <v>32.00</v>
      </c>
      <c r="E250" s="75" t="str">
        <f ca="1">IFERROR(IF(COPIA!B244&lt;&gt;0,COPIA!B244,""),"")</f>
        <v>COSTI PER GODIMENTO BENI DI TERZI</v>
      </c>
      <c r="F250" s="73" t="str">
        <f ca="1">IFERROR(IF(COPIA!C244&lt;&gt;0,COPIA!C244,""),"")</f>
        <v/>
      </c>
      <c r="G250" s="73" t="str">
        <f ca="1">IFERROR(IF(COPIA!D244&lt;&gt;0,COPIA!D244,""),"")</f>
        <v/>
      </c>
      <c r="H250" s="73" t="str">
        <f ca="1">IF(E250="FONDO SVALUTAZIONE CREDITI","RETTIFICA CREDITI",IFERROR(IF(COPIA!E244&lt;&gt;0,COPIA!E244,""),""))</f>
        <v/>
      </c>
      <c r="I250" s="73" t="str">
        <f ca="1">IFERROR(IF(COPIA!F244&lt;&gt;0,COPIA!F244,""),"")</f>
        <v/>
      </c>
    </row>
    <row r="251" spans="4:9" ht="20.100000000000001" customHeight="1" x14ac:dyDescent="0.3">
      <c r="D251" s="73" t="str">
        <f ca="1">IFERROR(IF(COPIA!A245&lt;&gt;0,COPIA!A245,""),"")</f>
        <v>32.01</v>
      </c>
      <c r="E251" s="75" t="str">
        <f ca="1">IFERROR(IF(COPIA!B245&lt;&gt;0,COPIA!B245,""),"")</f>
        <v>FITTI PASSIVI</v>
      </c>
      <c r="F251" s="73" t="str">
        <f ca="1">IFERROR(IF(COPIA!C245&lt;&gt;0,COPIA!C245,""),"")</f>
        <v>E</v>
      </c>
      <c r="G251" s="73" t="str">
        <f ca="1">IFERROR(IF(COPIA!D245&lt;&gt;0,COPIA!D245,""),"")</f>
        <v>D</v>
      </c>
      <c r="H251" s="73" t="str">
        <f ca="1">IF(E251="FONDO SVALUTAZIONE CREDITI","RETTIFICA CREDITI",IFERROR(IF(COPIA!E245&lt;&gt;0,COPIA!E245,""),""))</f>
        <v>COSTI D'ESERCIZIO</v>
      </c>
      <c r="I251" s="73" t="str">
        <f ca="1">IFERROR(IF(COPIA!F245&lt;&gt;0,COPIA!F245,""),"")</f>
        <v>SE DARE</v>
      </c>
    </row>
    <row r="252" spans="4:9" ht="20.100000000000001" customHeight="1" x14ac:dyDescent="0.3">
      <c r="D252" s="73" t="str">
        <f ca="1">IFERROR(IF(COPIA!A246&lt;&gt;0,COPIA!A246,""),"")</f>
        <v>32.02</v>
      </c>
      <c r="E252" s="75" t="str">
        <f ca="1">IFERROR(IF(COPIA!B246&lt;&gt;0,COPIA!B246,""),"")</f>
        <v>CANONI DI LEASING</v>
      </c>
      <c r="F252" s="73" t="str">
        <f ca="1">IFERROR(IF(COPIA!C246&lt;&gt;0,COPIA!C246,""),"")</f>
        <v>E</v>
      </c>
      <c r="G252" s="73" t="str">
        <f ca="1">IFERROR(IF(COPIA!D246&lt;&gt;0,COPIA!D246,""),"")</f>
        <v>D</v>
      </c>
      <c r="H252" s="73" t="str">
        <f ca="1">IF(E252="FONDO SVALUTAZIONE CREDITI","RETTIFICA CREDITI",IFERROR(IF(COPIA!E246&lt;&gt;0,COPIA!E246,""),""))</f>
        <v>COSTI D'ESERCIZIO</v>
      </c>
      <c r="I252" s="73" t="str">
        <f ca="1">IFERROR(IF(COPIA!F246&lt;&gt;0,COPIA!F246,""),"")</f>
        <v>SE DARE</v>
      </c>
    </row>
    <row r="253" spans="4:9" ht="20.100000000000001" customHeight="1" x14ac:dyDescent="0.3">
      <c r="D253" s="73" t="str">
        <f ca="1">IFERROR(IF(COPIA!A247&lt;&gt;0,COPIA!A247,""),"")</f>
        <v>33.00</v>
      </c>
      <c r="E253" s="75" t="str">
        <f ca="1">IFERROR(IF(COPIA!B247&lt;&gt;0,COPIA!B247,""),"")</f>
        <v>COSTI PER IL PERSONALE</v>
      </c>
      <c r="F253" s="73" t="str">
        <f ca="1">IFERROR(IF(COPIA!C247&lt;&gt;0,COPIA!C247,""),"")</f>
        <v/>
      </c>
      <c r="G253" s="73" t="str">
        <f ca="1">IFERROR(IF(COPIA!D247&lt;&gt;0,COPIA!D247,""),"")</f>
        <v/>
      </c>
      <c r="H253" s="73" t="str">
        <f ca="1">IF(E253="FONDO SVALUTAZIONE CREDITI","RETTIFICA CREDITI",IFERROR(IF(COPIA!E247&lt;&gt;0,COPIA!E247,""),""))</f>
        <v/>
      </c>
      <c r="I253" s="73" t="str">
        <f ca="1">IFERROR(IF(COPIA!F247&lt;&gt;0,COPIA!F247,""),"")</f>
        <v/>
      </c>
    </row>
    <row r="254" spans="4:9" ht="20.100000000000001" customHeight="1" x14ac:dyDescent="0.3">
      <c r="D254" s="73" t="str">
        <f ca="1">IFERROR(IF(COPIA!A248&lt;&gt;0,COPIA!A248,""),"")</f>
        <v>33.01</v>
      </c>
      <c r="E254" s="75" t="str">
        <f ca="1">IFERROR(IF(COPIA!B248&lt;&gt;0,COPIA!B248,""),"")</f>
        <v>SALARI E STIPENDI</v>
      </c>
      <c r="F254" s="73" t="str">
        <f ca="1">IFERROR(IF(COPIA!C248&lt;&gt;0,COPIA!C248,""),"")</f>
        <v>E</v>
      </c>
      <c r="G254" s="73" t="str">
        <f ca="1">IFERROR(IF(COPIA!D248&lt;&gt;0,COPIA!D248,""),"")</f>
        <v>D</v>
      </c>
      <c r="H254" s="73" t="str">
        <f ca="1">IF(E254="FONDO SVALUTAZIONE CREDITI","RETTIFICA CREDITI",IFERROR(IF(COPIA!E248&lt;&gt;0,COPIA!E248,""),""))</f>
        <v>COSTI D'ESERCIZIO</v>
      </c>
      <c r="I254" s="73" t="str">
        <f ca="1">IFERROR(IF(COPIA!F248&lt;&gt;0,COPIA!F248,""),"")</f>
        <v>SE DARE</v>
      </c>
    </row>
    <row r="255" spans="4:9" ht="20.100000000000001" customHeight="1" x14ac:dyDescent="0.3">
      <c r="D255" s="73" t="str">
        <f ca="1">IFERROR(IF(COPIA!A249&lt;&gt;0,COPIA!A249,""),"")</f>
        <v>33.02</v>
      </c>
      <c r="E255" s="75" t="str">
        <f ca="1">IFERROR(IF(COPIA!B249&lt;&gt;0,COPIA!B249,""),"")</f>
        <v>ONERI SOCIALI</v>
      </c>
      <c r="F255" s="73" t="str">
        <f ca="1">IFERROR(IF(COPIA!C249&lt;&gt;0,COPIA!C249,""),"")</f>
        <v>E</v>
      </c>
      <c r="G255" s="73" t="str">
        <f ca="1">IFERROR(IF(COPIA!D249&lt;&gt;0,COPIA!D249,""),"")</f>
        <v>D</v>
      </c>
      <c r="H255" s="73" t="str">
        <f ca="1">IF(E255="FONDO SVALUTAZIONE CREDITI","RETTIFICA CREDITI",IFERROR(IF(COPIA!E249&lt;&gt;0,COPIA!E249,""),""))</f>
        <v>COSTI D'ESERCIZIO</v>
      </c>
      <c r="I255" s="73" t="str">
        <f ca="1">IFERROR(IF(COPIA!F249&lt;&gt;0,COPIA!F249,""),"")</f>
        <v>SE DARE</v>
      </c>
    </row>
    <row r="256" spans="4:9" ht="20.100000000000001" customHeight="1" x14ac:dyDescent="0.3">
      <c r="D256" s="73" t="str">
        <f ca="1">IFERROR(IF(COPIA!A250&lt;&gt;0,COPIA!A250,""),"")</f>
        <v>33.03</v>
      </c>
      <c r="E256" s="75" t="str">
        <f ca="1">IFERROR(IF(COPIA!B250&lt;&gt;0,COPIA!B250,""),"")</f>
        <v>TFR</v>
      </c>
      <c r="F256" s="73" t="str">
        <f ca="1">IFERROR(IF(COPIA!C250&lt;&gt;0,COPIA!C250,""),"")</f>
        <v>E</v>
      </c>
      <c r="G256" s="73" t="str">
        <f ca="1">IFERROR(IF(COPIA!D250&lt;&gt;0,COPIA!D250,""),"")</f>
        <v>D</v>
      </c>
      <c r="H256" s="73" t="str">
        <f ca="1">IF(E256="FONDO SVALUTAZIONE CREDITI","RETTIFICA CREDITI",IFERROR(IF(COPIA!E250&lt;&gt;0,COPIA!E250,""),""))</f>
        <v>COSTI D'ESERCIZIO</v>
      </c>
      <c r="I256" s="73" t="str">
        <f ca="1">IFERROR(IF(COPIA!F250&lt;&gt;0,COPIA!F250,""),"")</f>
        <v>SE DARE</v>
      </c>
    </row>
    <row r="257" spans="4:9" ht="20.100000000000001" customHeight="1" x14ac:dyDescent="0.3">
      <c r="D257" s="73" t="str">
        <f ca="1">IFERROR(IF(COPIA!A251&lt;&gt;0,COPIA!A251,""),"")</f>
        <v>33.04</v>
      </c>
      <c r="E257" s="75" t="str">
        <f ca="1">IFERROR(IF(COPIA!B251&lt;&gt;0,COPIA!B251,""),"")</f>
        <v>ALTRI COSTI PER IL PERSONALE</v>
      </c>
      <c r="F257" s="73" t="str">
        <f ca="1">IFERROR(IF(COPIA!C251&lt;&gt;0,COPIA!C251,""),"")</f>
        <v>E</v>
      </c>
      <c r="G257" s="73" t="str">
        <f ca="1">IFERROR(IF(COPIA!D251&lt;&gt;0,COPIA!D251,""),"")</f>
        <v>D</v>
      </c>
      <c r="H257" s="73" t="str">
        <f ca="1">IF(E257="FONDO SVALUTAZIONE CREDITI","RETTIFICA CREDITI",IFERROR(IF(COPIA!E251&lt;&gt;0,COPIA!E251,""),""))</f>
        <v>COSTI D'ESERCIZIO</v>
      </c>
      <c r="I257" s="73" t="str">
        <f ca="1">IFERROR(IF(COPIA!F251&lt;&gt;0,COPIA!F251,""),"")</f>
        <v>SE DARE</v>
      </c>
    </row>
    <row r="258" spans="4:9" ht="20.100000000000001" customHeight="1" x14ac:dyDescent="0.3">
      <c r="D258" s="73" t="str">
        <f ca="1">IFERROR(IF(COPIA!A252&lt;&gt;0,COPIA!A252,""),"")</f>
        <v>34.00</v>
      </c>
      <c r="E258" s="75" t="str">
        <f ca="1">IFERROR(IF(COPIA!B252&lt;&gt;0,COPIA!B252,""),"")</f>
        <v>AMMORTAMENTI IMMOBILIZZAZIONI IMMATERIALI</v>
      </c>
      <c r="F258" s="73" t="str">
        <f ca="1">IFERROR(IF(COPIA!C252&lt;&gt;0,COPIA!C252,""),"")</f>
        <v/>
      </c>
      <c r="G258" s="73" t="str">
        <f ca="1">IFERROR(IF(COPIA!D252&lt;&gt;0,COPIA!D252,""),"")</f>
        <v/>
      </c>
      <c r="H258" s="73" t="str">
        <f ca="1">IF(E258="FONDO SVALUTAZIONE CREDITI","RETTIFICA CREDITI",IFERROR(IF(COPIA!E252&lt;&gt;0,COPIA!E252,""),""))</f>
        <v/>
      </c>
      <c r="I258" s="73" t="str">
        <f ca="1">IFERROR(IF(COPIA!F252&lt;&gt;0,COPIA!F252,""),"")</f>
        <v/>
      </c>
    </row>
    <row r="259" spans="4:9" ht="20.100000000000001" customHeight="1" x14ac:dyDescent="0.3">
      <c r="D259" s="73" t="str">
        <f ca="1">IFERROR(IF(COPIA!A253&lt;&gt;0,COPIA!A253,""),"")</f>
        <v>34.01</v>
      </c>
      <c r="E259" s="75" t="str">
        <f ca="1">IFERROR(IF(COPIA!B253&lt;&gt;0,COPIA!B253,""),"")</f>
        <v>AMMORTAMENTO COSTI DI IMPIANTO</v>
      </c>
      <c r="F259" s="73" t="str">
        <f ca="1">IFERROR(IF(COPIA!C253&lt;&gt;0,COPIA!C253,""),"")</f>
        <v>E</v>
      </c>
      <c r="G259" s="73" t="str">
        <f ca="1">IFERROR(IF(COPIA!D253&lt;&gt;0,COPIA!D253,""),"")</f>
        <v>D</v>
      </c>
      <c r="H259" s="73" t="str">
        <f ca="1">IF(E259="FONDO SVALUTAZIONE CREDITI","RETTIFICA CREDITI",IFERROR(IF(COPIA!E253&lt;&gt;0,COPIA!E253,""),""))</f>
        <v>COSTI D'ESERCIZIO</v>
      </c>
      <c r="I259" s="73" t="str">
        <f ca="1">IFERROR(IF(COPIA!F253&lt;&gt;0,COPIA!F253,""),"")</f>
        <v>SE DARE</v>
      </c>
    </row>
    <row r="260" spans="4:9" ht="20.100000000000001" customHeight="1" x14ac:dyDescent="0.3">
      <c r="D260" s="73" t="str">
        <f ca="1">IFERROR(IF(COPIA!A254&lt;&gt;0,COPIA!A254,""),"")</f>
        <v>34.02</v>
      </c>
      <c r="E260" s="75" t="str">
        <f ca="1">IFERROR(IF(COPIA!B254&lt;&gt;0,COPIA!B254,""),"")</f>
        <v>AMMORTAMENTO COSTI DI AMPLIAMENTO</v>
      </c>
      <c r="F260" s="73" t="str">
        <f ca="1">IFERROR(IF(COPIA!C254&lt;&gt;0,COPIA!C254,""),"")</f>
        <v>E</v>
      </c>
      <c r="G260" s="73" t="str">
        <f ca="1">IFERROR(IF(COPIA!D254&lt;&gt;0,COPIA!D254,""),"")</f>
        <v>D</v>
      </c>
      <c r="H260" s="73" t="str">
        <f ca="1">IF(E260="FONDO SVALUTAZIONE CREDITI","RETTIFICA CREDITI",IFERROR(IF(COPIA!E254&lt;&gt;0,COPIA!E254,""),""))</f>
        <v>COSTI D'ESERCIZIO</v>
      </c>
      <c r="I260" s="73" t="str">
        <f ca="1">IFERROR(IF(COPIA!F254&lt;&gt;0,COPIA!F254,""),"")</f>
        <v>SE DARE</v>
      </c>
    </row>
    <row r="261" spans="4:9" ht="20.100000000000001" customHeight="1" x14ac:dyDescent="0.3">
      <c r="D261" s="73" t="str">
        <f ca="1">IFERROR(IF(COPIA!A255&lt;&gt;0,COPIA!A255,""),"")</f>
        <v>34.03</v>
      </c>
      <c r="E261" s="75" t="str">
        <f ca="1">IFERROR(IF(COPIA!B255&lt;&gt;0,COPIA!B255,""),"")</f>
        <v>AMMORTAMENTO COSTI DI SVILUPPO</v>
      </c>
      <c r="F261" s="73" t="str">
        <f ca="1">IFERROR(IF(COPIA!C255&lt;&gt;0,COPIA!C255,""),"")</f>
        <v>E</v>
      </c>
      <c r="G261" s="73" t="str">
        <f ca="1">IFERROR(IF(COPIA!D255&lt;&gt;0,COPIA!D255,""),"")</f>
        <v>D</v>
      </c>
      <c r="H261" s="73" t="str">
        <f ca="1">IF(E261="FONDO SVALUTAZIONE CREDITI","RETTIFICA CREDITI",IFERROR(IF(COPIA!E255&lt;&gt;0,COPIA!E255,""),""))</f>
        <v>COSTI D'ESERCIZIO</v>
      </c>
      <c r="I261" s="73" t="str">
        <f ca="1">IFERROR(IF(COPIA!F255&lt;&gt;0,COPIA!F255,""),"")</f>
        <v>SE DARE</v>
      </c>
    </row>
    <row r="262" spans="4:9" ht="20.100000000000001" customHeight="1" x14ac:dyDescent="0.3">
      <c r="D262" s="73" t="str">
        <f ca="1">IFERROR(IF(COPIA!A256&lt;&gt;0,COPIA!A256,""),"")</f>
        <v>34.04</v>
      </c>
      <c r="E262" s="75" t="str">
        <f ca="1">IFERROR(IF(COPIA!B256&lt;&gt;0,COPIA!B256,""),"")</f>
        <v>AMMORTAMENTO BREVETTI</v>
      </c>
      <c r="F262" s="73" t="str">
        <f ca="1">IFERROR(IF(COPIA!C256&lt;&gt;0,COPIA!C256,""),"")</f>
        <v>E</v>
      </c>
      <c r="G262" s="73" t="str">
        <f ca="1">IFERROR(IF(COPIA!D256&lt;&gt;0,COPIA!D256,""),"")</f>
        <v>D</v>
      </c>
      <c r="H262" s="73" t="str">
        <f ca="1">IF(E262="FONDO SVALUTAZIONE CREDITI","RETTIFICA CREDITI",IFERROR(IF(COPIA!E256&lt;&gt;0,COPIA!E256,""),""))</f>
        <v>COSTI D'ESERCIZIO</v>
      </c>
      <c r="I262" s="73" t="str">
        <f ca="1">IFERROR(IF(COPIA!F256&lt;&gt;0,COPIA!F256,""),"")</f>
        <v>SE DARE</v>
      </c>
    </row>
    <row r="263" spans="4:9" ht="20.100000000000001" customHeight="1" x14ac:dyDescent="0.3">
      <c r="D263" s="73" t="str">
        <f ca="1">IFERROR(IF(COPIA!A257&lt;&gt;0,COPIA!A257,""),"")</f>
        <v>34.05</v>
      </c>
      <c r="E263" s="75" t="str">
        <f ca="1">IFERROR(IF(COPIA!B257&lt;&gt;0,COPIA!B257,""),"")</f>
        <v>AMMORTAMENTO SOFTWARE</v>
      </c>
      <c r="F263" s="73" t="str">
        <f ca="1">IFERROR(IF(COPIA!C257&lt;&gt;0,COPIA!C257,""),"")</f>
        <v>E</v>
      </c>
      <c r="G263" s="73" t="str">
        <f ca="1">IFERROR(IF(COPIA!D257&lt;&gt;0,COPIA!D257,""),"")</f>
        <v>D</v>
      </c>
      <c r="H263" s="73" t="str">
        <f ca="1">IF(E263="FONDO SVALUTAZIONE CREDITI","RETTIFICA CREDITI",IFERROR(IF(COPIA!E257&lt;&gt;0,COPIA!E257,""),""))</f>
        <v>COSTI D'ESERCIZIO</v>
      </c>
      <c r="I263" s="73" t="str">
        <f ca="1">IFERROR(IF(COPIA!F257&lt;&gt;0,COPIA!F257,""),"")</f>
        <v>SE DARE</v>
      </c>
    </row>
    <row r="264" spans="4:9" ht="20.100000000000001" customHeight="1" x14ac:dyDescent="0.3">
      <c r="D264" s="73" t="str">
        <f ca="1">IFERROR(IF(COPIA!A258&lt;&gt;0,COPIA!A258,""),"")</f>
        <v>34.06</v>
      </c>
      <c r="E264" s="75" t="str">
        <f ca="1">IFERROR(IF(COPIA!B258&lt;&gt;0,COPIA!B258,""),"")</f>
        <v>AMMORTAMENTO AVVIAMENTO</v>
      </c>
      <c r="F264" s="73" t="str">
        <f ca="1">IFERROR(IF(COPIA!C258&lt;&gt;0,COPIA!C258,""),"")</f>
        <v>E</v>
      </c>
      <c r="G264" s="73" t="str">
        <f ca="1">IFERROR(IF(COPIA!D258&lt;&gt;0,COPIA!D258,""),"")</f>
        <v>D</v>
      </c>
      <c r="H264" s="73" t="str">
        <f ca="1">IF(E264="FONDO SVALUTAZIONE CREDITI","RETTIFICA CREDITI",IFERROR(IF(COPIA!E258&lt;&gt;0,COPIA!E258,""),""))</f>
        <v>COSTI D'ESERCIZIO</v>
      </c>
      <c r="I264" s="73" t="str">
        <f ca="1">IFERROR(IF(COPIA!F258&lt;&gt;0,COPIA!F258,""),"")</f>
        <v>SE DARE</v>
      </c>
    </row>
    <row r="265" spans="4:9" ht="20.100000000000001" customHeight="1" x14ac:dyDescent="0.3">
      <c r="D265" s="73" t="str">
        <f ca="1">IFERROR(IF(COPIA!A259&lt;&gt;0,COPIA!A259,""),"")</f>
        <v>35.00</v>
      </c>
      <c r="E265" s="75" t="str">
        <f ca="1">IFERROR(IF(COPIA!B259&lt;&gt;0,COPIA!B259,""),"")</f>
        <v>AMMORTAMENTI IMMOBILIZZAZIONI MATERIALI</v>
      </c>
      <c r="F265" s="73" t="str">
        <f ca="1">IFERROR(IF(COPIA!C259&lt;&gt;0,COPIA!C259,""),"")</f>
        <v/>
      </c>
      <c r="G265" s="73" t="str">
        <f ca="1">IFERROR(IF(COPIA!D259&lt;&gt;0,COPIA!D259,""),"")</f>
        <v/>
      </c>
      <c r="H265" s="73" t="str">
        <f ca="1">IF(E265="FONDO SVALUTAZIONE CREDITI","RETTIFICA CREDITI",IFERROR(IF(COPIA!E259&lt;&gt;0,COPIA!E259,""),""))</f>
        <v/>
      </c>
      <c r="I265" s="73" t="str">
        <f ca="1">IFERROR(IF(COPIA!F259&lt;&gt;0,COPIA!F259,""),"")</f>
        <v/>
      </c>
    </row>
    <row r="266" spans="4:9" ht="20.100000000000001" customHeight="1" x14ac:dyDescent="0.3">
      <c r="D266" s="73" t="str">
        <f ca="1">IFERROR(IF(COPIA!A260&lt;&gt;0,COPIA!A260,""),"")</f>
        <v>35.01</v>
      </c>
      <c r="E266" s="75" t="str">
        <f ca="1">IFERROR(IF(COPIA!B260&lt;&gt;0,COPIA!B260,""),"")</f>
        <v>AMMORTAMENTO FABBRICATI</v>
      </c>
      <c r="F266" s="73" t="str">
        <f ca="1">IFERROR(IF(COPIA!C260&lt;&gt;0,COPIA!C260,""),"")</f>
        <v>E</v>
      </c>
      <c r="G266" s="73" t="str">
        <f ca="1">IFERROR(IF(COPIA!D260&lt;&gt;0,COPIA!D260,""),"")</f>
        <v>D</v>
      </c>
      <c r="H266" s="73" t="str">
        <f ca="1">IF(E266="FONDO SVALUTAZIONE CREDITI","RETTIFICA CREDITI",IFERROR(IF(COPIA!E260&lt;&gt;0,COPIA!E260,""),""))</f>
        <v>COSTI D'ESERCIZIO</v>
      </c>
      <c r="I266" s="73" t="str">
        <f ca="1">IFERROR(IF(COPIA!F260&lt;&gt;0,COPIA!F260,""),"")</f>
        <v>SE DARE</v>
      </c>
    </row>
    <row r="267" spans="4:9" ht="20.100000000000001" customHeight="1" x14ac:dyDescent="0.3">
      <c r="D267" s="73" t="str">
        <f ca="1">IFERROR(IF(COPIA!A261&lt;&gt;0,COPIA!A261,""),"")</f>
        <v>35.02</v>
      </c>
      <c r="E267" s="75" t="str">
        <f ca="1">IFERROR(IF(COPIA!B261&lt;&gt;0,COPIA!B261,""),"")</f>
        <v>AMMORTAMENTO IMPIANTI E MACCHINARI</v>
      </c>
      <c r="F267" s="73" t="str">
        <f ca="1">IFERROR(IF(COPIA!C261&lt;&gt;0,COPIA!C261,""),"")</f>
        <v>E</v>
      </c>
      <c r="G267" s="73" t="str">
        <f ca="1">IFERROR(IF(COPIA!D261&lt;&gt;0,COPIA!D261,""),"")</f>
        <v>D</v>
      </c>
      <c r="H267" s="73" t="str">
        <f ca="1">IF(E267="FONDO SVALUTAZIONE CREDITI","RETTIFICA CREDITI",IFERROR(IF(COPIA!E261&lt;&gt;0,COPIA!E261,""),""))</f>
        <v>COSTI D'ESERCIZIO</v>
      </c>
      <c r="I267" s="73" t="str">
        <f ca="1">IFERROR(IF(COPIA!F261&lt;&gt;0,COPIA!F261,""),"")</f>
        <v>SE DARE</v>
      </c>
    </row>
    <row r="268" spans="4:9" ht="20.100000000000001" customHeight="1" x14ac:dyDescent="0.3">
      <c r="D268" s="73" t="str">
        <f ca="1">IFERROR(IF(COPIA!A262&lt;&gt;0,COPIA!A262,""),"")</f>
        <v>35.03</v>
      </c>
      <c r="E268" s="75" t="str">
        <f ca="1">IFERROR(IF(COPIA!B262&lt;&gt;0,COPIA!B262,""),"")</f>
        <v>AMMORTAMENTO ATTREZZATURE INDUSTRIALI</v>
      </c>
      <c r="F268" s="73" t="str">
        <f ca="1">IFERROR(IF(COPIA!C262&lt;&gt;0,COPIA!C262,""),"")</f>
        <v>E</v>
      </c>
      <c r="G268" s="73" t="str">
        <f ca="1">IFERROR(IF(COPIA!D262&lt;&gt;0,COPIA!D262,""),"")</f>
        <v>D</v>
      </c>
      <c r="H268" s="73" t="str">
        <f ca="1">IF(E268="FONDO SVALUTAZIONE CREDITI","RETTIFICA CREDITI",IFERROR(IF(COPIA!E262&lt;&gt;0,COPIA!E262,""),""))</f>
        <v>COSTI D'ESERCIZIO</v>
      </c>
      <c r="I268" s="73" t="str">
        <f ca="1">IFERROR(IF(COPIA!F262&lt;&gt;0,COPIA!F262,""),"")</f>
        <v>SE DARE</v>
      </c>
    </row>
    <row r="269" spans="4:9" ht="20.100000000000001" customHeight="1" x14ac:dyDescent="0.3">
      <c r="D269" s="73" t="str">
        <f ca="1">IFERROR(IF(COPIA!A263&lt;&gt;0,COPIA!A263,""),"")</f>
        <v>35.04</v>
      </c>
      <c r="E269" s="75" t="str">
        <f ca="1">IFERROR(IF(COPIA!B263&lt;&gt;0,COPIA!B263,""),"")</f>
        <v>AMMORTAMENTO ATTREZZATURE COMMERCIALI</v>
      </c>
      <c r="F269" s="73" t="str">
        <f ca="1">IFERROR(IF(COPIA!C263&lt;&gt;0,COPIA!C263,""),"")</f>
        <v>E</v>
      </c>
      <c r="G269" s="73" t="str">
        <f ca="1">IFERROR(IF(COPIA!D263&lt;&gt;0,COPIA!D263,""),"")</f>
        <v>D</v>
      </c>
      <c r="H269" s="73" t="str">
        <f ca="1">IF(E269="FONDO SVALUTAZIONE CREDITI","RETTIFICA CREDITI",IFERROR(IF(COPIA!E263&lt;&gt;0,COPIA!E263,""),""))</f>
        <v>COSTI D'ESERCIZIO</v>
      </c>
      <c r="I269" s="73" t="str">
        <f ca="1">IFERROR(IF(COPIA!F263&lt;&gt;0,COPIA!F263,""),"")</f>
        <v>SE DARE</v>
      </c>
    </row>
    <row r="270" spans="4:9" ht="20.100000000000001" customHeight="1" x14ac:dyDescent="0.3">
      <c r="D270" s="73" t="str">
        <f ca="1">IFERROR(IF(COPIA!A264&lt;&gt;0,COPIA!A264,""),"")</f>
        <v>35.05</v>
      </c>
      <c r="E270" s="75" t="str">
        <f ca="1">IFERROR(IF(COPIA!B264&lt;&gt;0,COPIA!B264,""),"")</f>
        <v>AMMORTAMENTO MACCHINE D'UFFICIO</v>
      </c>
      <c r="F270" s="73" t="str">
        <f ca="1">IFERROR(IF(COPIA!C264&lt;&gt;0,COPIA!C264,""),"")</f>
        <v>E</v>
      </c>
      <c r="G270" s="73" t="str">
        <f ca="1">IFERROR(IF(COPIA!D264&lt;&gt;0,COPIA!D264,""),"")</f>
        <v>D</v>
      </c>
      <c r="H270" s="73" t="str">
        <f ca="1">IF(E270="FONDO SVALUTAZIONE CREDITI","RETTIFICA CREDITI",IFERROR(IF(COPIA!E264&lt;&gt;0,COPIA!E264,""),""))</f>
        <v>COSTI D'ESERCIZIO</v>
      </c>
      <c r="I270" s="73" t="str">
        <f ca="1">IFERROR(IF(COPIA!F264&lt;&gt;0,COPIA!F264,""),"")</f>
        <v>SE DARE</v>
      </c>
    </row>
    <row r="271" spans="4:9" ht="20.100000000000001" customHeight="1" x14ac:dyDescent="0.3">
      <c r="D271" s="73" t="str">
        <f ca="1">IFERROR(IF(COPIA!A265&lt;&gt;0,COPIA!A265,""),"")</f>
        <v>35.06</v>
      </c>
      <c r="E271" s="75" t="str">
        <f ca="1">IFERROR(IF(COPIA!B265&lt;&gt;0,COPIA!B265,""),"")</f>
        <v>AMMORTAMENTO ARREDAMENTO</v>
      </c>
      <c r="F271" s="73" t="str">
        <f ca="1">IFERROR(IF(COPIA!C265&lt;&gt;0,COPIA!C265,""),"")</f>
        <v>E</v>
      </c>
      <c r="G271" s="73" t="str">
        <f ca="1">IFERROR(IF(COPIA!D265&lt;&gt;0,COPIA!D265,""),"")</f>
        <v>D</v>
      </c>
      <c r="H271" s="73" t="str">
        <f ca="1">IF(E271="FONDO SVALUTAZIONE CREDITI","RETTIFICA CREDITI",IFERROR(IF(COPIA!E265&lt;&gt;0,COPIA!E265,""),""))</f>
        <v>COSTI D'ESERCIZIO</v>
      </c>
      <c r="I271" s="73" t="str">
        <f ca="1">IFERROR(IF(COPIA!F265&lt;&gt;0,COPIA!F265,""),"")</f>
        <v>SE DARE</v>
      </c>
    </row>
    <row r="272" spans="4:9" ht="20.100000000000001" customHeight="1" x14ac:dyDescent="0.3">
      <c r="D272" s="73" t="str">
        <f ca="1">IFERROR(IF(COPIA!A266&lt;&gt;0,COPIA!A266,""),"")</f>
        <v>35.07</v>
      </c>
      <c r="E272" s="75" t="str">
        <f ca="1">IFERROR(IF(COPIA!B266&lt;&gt;0,COPIA!B266,""),"")</f>
        <v>AMMORTAMENTO AUTOMEZZI</v>
      </c>
      <c r="F272" s="73" t="str">
        <f ca="1">IFERROR(IF(COPIA!C266&lt;&gt;0,COPIA!C266,""),"")</f>
        <v>E</v>
      </c>
      <c r="G272" s="73" t="str">
        <f ca="1">IFERROR(IF(COPIA!D266&lt;&gt;0,COPIA!D266,""),"")</f>
        <v>D</v>
      </c>
      <c r="H272" s="73" t="str">
        <f ca="1">IF(E272="FONDO SVALUTAZIONE CREDITI","RETTIFICA CREDITI",IFERROR(IF(COPIA!E266&lt;&gt;0,COPIA!E266,""),""))</f>
        <v>COSTI D'ESERCIZIO</v>
      </c>
      <c r="I272" s="73" t="str">
        <f ca="1">IFERROR(IF(COPIA!F266&lt;&gt;0,COPIA!F266,""),"")</f>
        <v>SE DARE</v>
      </c>
    </row>
    <row r="273" spans="4:9" ht="20.100000000000001" customHeight="1" x14ac:dyDescent="0.3">
      <c r="D273" s="73" t="str">
        <f ca="1">IFERROR(IF(COPIA!A267&lt;&gt;0,COPIA!A267,""),"")</f>
        <v>35.08</v>
      </c>
      <c r="E273" s="75" t="str">
        <f ca="1">IFERROR(IF(COPIA!B267&lt;&gt;0,COPIA!B267,""),"")</f>
        <v>AMMORTAMENTO IMBALLAGGI DUREVOLI</v>
      </c>
      <c r="F273" s="73" t="str">
        <f ca="1">IFERROR(IF(COPIA!C267&lt;&gt;0,COPIA!C267,""),"")</f>
        <v>E</v>
      </c>
      <c r="G273" s="73" t="str">
        <f ca="1">IFERROR(IF(COPIA!D267&lt;&gt;0,COPIA!D267,""),"")</f>
        <v>D</v>
      </c>
      <c r="H273" s="73" t="str">
        <f ca="1">IF(E273="FONDO SVALUTAZIONE CREDITI","RETTIFICA CREDITI",IFERROR(IF(COPIA!E267&lt;&gt;0,COPIA!E267,""),""))</f>
        <v>COSTI D'ESERCIZIO</v>
      </c>
      <c r="I273" s="73" t="str">
        <f ca="1">IFERROR(IF(COPIA!F267&lt;&gt;0,COPIA!F267,""),"")</f>
        <v>SE DARE</v>
      </c>
    </row>
    <row r="274" spans="4:9" ht="20.100000000000001" customHeight="1" x14ac:dyDescent="0.3">
      <c r="D274" s="73" t="str">
        <f ca="1">IFERROR(IF(COPIA!A268&lt;&gt;0,COPIA!A268,""),"")</f>
        <v>36.00</v>
      </c>
      <c r="E274" s="75" t="str">
        <f ca="1">IFERROR(IF(COPIA!B268&lt;&gt;0,COPIA!B268,""),"")</f>
        <v>SVALUTAZIONI</v>
      </c>
      <c r="F274" s="73" t="str">
        <f ca="1">IFERROR(IF(COPIA!C268&lt;&gt;0,COPIA!C268,""),"")</f>
        <v/>
      </c>
      <c r="G274" s="73" t="str">
        <f ca="1">IFERROR(IF(COPIA!D268&lt;&gt;0,COPIA!D268,""),"")</f>
        <v/>
      </c>
      <c r="H274" s="73" t="str">
        <f ca="1">IF(E274="FONDO SVALUTAZIONE CREDITI","RETTIFICA CREDITI",IFERROR(IF(COPIA!E268&lt;&gt;0,COPIA!E268,""),""))</f>
        <v/>
      </c>
      <c r="I274" s="73" t="str">
        <f ca="1">IFERROR(IF(COPIA!F268&lt;&gt;0,COPIA!F268,""),"")</f>
        <v/>
      </c>
    </row>
    <row r="275" spans="4:9" ht="20.100000000000001" customHeight="1" x14ac:dyDescent="0.3">
      <c r="D275" s="73" t="str">
        <f ca="1">IFERROR(IF(COPIA!A269&lt;&gt;0,COPIA!A269,""),"")</f>
        <v>36.01</v>
      </c>
      <c r="E275" s="75" t="str">
        <f ca="1">IFERROR(IF(COPIA!B269&lt;&gt;0,COPIA!B269,""),"")</f>
        <v>SVALUTAZIONE TERRENI E FABBRICATI</v>
      </c>
      <c r="F275" s="73" t="str">
        <f ca="1">IFERROR(IF(COPIA!C269&lt;&gt;0,COPIA!C269,""),"")</f>
        <v>E</v>
      </c>
      <c r="G275" s="73" t="str">
        <f ca="1">IFERROR(IF(COPIA!D269&lt;&gt;0,COPIA!D269,""),"")</f>
        <v>D</v>
      </c>
      <c r="H275" s="73" t="str">
        <f ca="1">IF(E275="FONDO SVALUTAZIONE CREDITI","RETTIFICA CREDITI",IFERROR(IF(COPIA!E269&lt;&gt;0,COPIA!E269,""),""))</f>
        <v>COSTI D'ESERCIZIO</v>
      </c>
      <c r="I275" s="73" t="str">
        <f ca="1">IFERROR(IF(COPIA!F269&lt;&gt;0,COPIA!F269,""),"")</f>
        <v>SE DARE</v>
      </c>
    </row>
    <row r="276" spans="4:9" ht="20.100000000000001" customHeight="1" x14ac:dyDescent="0.3">
      <c r="D276" s="73" t="str">
        <f ca="1">IFERROR(IF(COPIA!A270&lt;&gt;0,COPIA!A270,""),"")</f>
        <v>36.02</v>
      </c>
      <c r="E276" s="75" t="str">
        <f ca="1">IFERROR(IF(COPIA!B270&lt;&gt;0,COPIA!B270,""),"")</f>
        <v>SVALUTAZIONE IMPIANTI E MACCHINARI</v>
      </c>
      <c r="F276" s="73" t="str">
        <f ca="1">IFERROR(IF(COPIA!C270&lt;&gt;0,COPIA!C270,""),"")</f>
        <v>E</v>
      </c>
      <c r="G276" s="73" t="str">
        <f ca="1">IFERROR(IF(COPIA!D270&lt;&gt;0,COPIA!D270,""),"")</f>
        <v>D</v>
      </c>
      <c r="H276" s="73" t="str">
        <f ca="1">IF(E276="FONDO SVALUTAZIONE CREDITI","RETTIFICA CREDITI",IFERROR(IF(COPIA!E270&lt;&gt;0,COPIA!E270,""),""))</f>
        <v>COSTI D'ESERCIZIO</v>
      </c>
      <c r="I276" s="73" t="str">
        <f ca="1">IFERROR(IF(COPIA!F270&lt;&gt;0,COPIA!F270,""),"")</f>
        <v>SE DARE</v>
      </c>
    </row>
    <row r="277" spans="4:9" ht="20.100000000000001" customHeight="1" x14ac:dyDescent="0.3">
      <c r="D277" s="73" t="str">
        <f ca="1">IFERROR(IF(COPIA!A271&lt;&gt;0,COPIA!A271,""),"")</f>
        <v>36.20</v>
      </c>
      <c r="E277" s="75" t="str">
        <f ca="1">IFERROR(IF(COPIA!B271&lt;&gt;0,COPIA!B271,""),"")</f>
        <v>SVALUTAZIONE CREDITI</v>
      </c>
      <c r="F277" s="73" t="str">
        <f ca="1">IFERROR(IF(COPIA!C271&lt;&gt;0,COPIA!C271,""),"")</f>
        <v>E</v>
      </c>
      <c r="G277" s="73" t="str">
        <f ca="1">IFERROR(IF(COPIA!D271&lt;&gt;0,COPIA!D271,""),"")</f>
        <v>D</v>
      </c>
      <c r="H277" s="73" t="str">
        <f ca="1">IF(E277="FONDO SVALUTAZIONE CREDITI","RETTIFICA CREDITI",IFERROR(IF(COPIA!E271&lt;&gt;0,COPIA!E271,""),""))</f>
        <v>COSTI D'ESERCIZIO</v>
      </c>
      <c r="I277" s="73" t="str">
        <f ca="1">IFERROR(IF(COPIA!F271&lt;&gt;0,COPIA!F271,""),"")</f>
        <v>SE DARE</v>
      </c>
    </row>
    <row r="278" spans="4:9" ht="20.100000000000001" customHeight="1" x14ac:dyDescent="0.3">
      <c r="D278" s="73" t="str">
        <f ca="1">IFERROR(IF(COPIA!A272&lt;&gt;0,COPIA!A272,""),"")</f>
        <v>37.00</v>
      </c>
      <c r="E278" s="75" t="str">
        <f ca="1">IFERROR(IF(COPIA!B272&lt;&gt;0,COPIA!B272,""),"")</f>
        <v>VARIAZIONI DELLE RIMANZENZE DI MATERIE</v>
      </c>
      <c r="F278" s="73" t="str">
        <f ca="1">IFERROR(IF(COPIA!C272&lt;&gt;0,COPIA!C272,""),"")</f>
        <v/>
      </c>
      <c r="G278" s="73" t="str">
        <f ca="1">IFERROR(IF(COPIA!D272&lt;&gt;0,COPIA!D272,""),"")</f>
        <v/>
      </c>
      <c r="H278" s="73" t="str">
        <f ca="1">IF(E278="FONDO SVALUTAZIONE CREDITI","RETTIFICA CREDITI",IFERROR(IF(COPIA!E272&lt;&gt;0,COPIA!E272,""),""))</f>
        <v/>
      </c>
      <c r="I278" s="73" t="str">
        <f ca="1">IFERROR(IF(COPIA!F272&lt;&gt;0,COPIA!F272,""),"")</f>
        <v/>
      </c>
    </row>
    <row r="279" spans="4:9" ht="20.100000000000001" customHeight="1" x14ac:dyDescent="0.3">
      <c r="D279" s="73" t="str">
        <f ca="1">IFERROR(IF(COPIA!A273&lt;&gt;0,COPIA!A273,""),"")</f>
        <v>37.01</v>
      </c>
      <c r="E279" s="75" t="str">
        <f ca="1">IFERROR(IF(COPIA!B273&lt;&gt;0,COPIA!B273,""),"")</f>
        <v>MATERIE PRIME C/ESISTENZE INIZIALI</v>
      </c>
      <c r="F279" s="73" t="str">
        <f ca="1">IFERROR(IF(COPIA!C273&lt;&gt;0,COPIA!C273,""),"")</f>
        <v>E</v>
      </c>
      <c r="G279" s="73" t="str">
        <f ca="1">IFERROR(IF(COPIA!D273&lt;&gt;0,COPIA!D273,""),"")</f>
        <v>D</v>
      </c>
      <c r="H279" s="73" t="str">
        <f ca="1">IF(E279="FONDO SVALUTAZIONE CREDITI","RETTIFICA CREDITI",IFERROR(IF(COPIA!E273&lt;&gt;0,COPIA!E273,""),""))</f>
        <v>COSTI D'ESERCIZIO</v>
      </c>
      <c r="I279" s="73" t="str">
        <f ca="1">IFERROR(IF(COPIA!F273&lt;&gt;0,COPIA!F273,""),"")</f>
        <v>SE DARE</v>
      </c>
    </row>
    <row r="280" spans="4:9" ht="20.100000000000001" customHeight="1" x14ac:dyDescent="0.3">
      <c r="D280" s="73" t="str">
        <f ca="1">IFERROR(IF(COPIA!A274&lt;&gt;0,COPIA!A274,""),"")</f>
        <v>37.02</v>
      </c>
      <c r="E280" s="75" t="str">
        <f ca="1">IFERROR(IF(COPIA!B274&lt;&gt;0,COPIA!B274,""),"")</f>
        <v>MATERIE SUSSIDIARIE C/ESISTENZE INIZIALI</v>
      </c>
      <c r="F280" s="73" t="str">
        <f ca="1">IFERROR(IF(COPIA!C274&lt;&gt;0,COPIA!C274,""),"")</f>
        <v>E</v>
      </c>
      <c r="G280" s="73" t="str">
        <f ca="1">IFERROR(IF(COPIA!D274&lt;&gt;0,COPIA!D274,""),"")</f>
        <v>D</v>
      </c>
      <c r="H280" s="73" t="str">
        <f ca="1">IF(E280="FONDO SVALUTAZIONE CREDITI","RETTIFICA CREDITI",IFERROR(IF(COPIA!E274&lt;&gt;0,COPIA!E274,""),""))</f>
        <v>COSTI D'ESERCIZIO</v>
      </c>
      <c r="I280" s="73" t="str">
        <f ca="1">IFERROR(IF(COPIA!F274&lt;&gt;0,COPIA!F274,""),"")</f>
        <v>SE DARE</v>
      </c>
    </row>
    <row r="281" spans="4:9" ht="20.100000000000001" customHeight="1" x14ac:dyDescent="0.3">
      <c r="D281" s="73" t="str">
        <f ca="1">IFERROR(IF(COPIA!A275&lt;&gt;0,COPIA!A275,""),"")</f>
        <v>37.03</v>
      </c>
      <c r="E281" s="75" t="str">
        <f ca="1">IFERROR(IF(COPIA!B275&lt;&gt;0,COPIA!B275,""),"")</f>
        <v>MATERIE DI CONSUMO C/ESISTENZE INIZIALI</v>
      </c>
      <c r="F281" s="73" t="str">
        <f ca="1">IFERROR(IF(COPIA!C275&lt;&gt;0,COPIA!C275,""),"")</f>
        <v>E</v>
      </c>
      <c r="G281" s="73" t="str">
        <f ca="1">IFERROR(IF(COPIA!D275&lt;&gt;0,COPIA!D275,""),"")</f>
        <v>D</v>
      </c>
      <c r="H281" s="73" t="str">
        <f ca="1">IF(E281="FONDO SVALUTAZIONE CREDITI","RETTIFICA CREDITI",IFERROR(IF(COPIA!E275&lt;&gt;0,COPIA!E275,""),""))</f>
        <v>COSTI D'ESERCIZIO</v>
      </c>
      <c r="I281" s="73" t="str">
        <f ca="1">IFERROR(IF(COPIA!F275&lt;&gt;0,COPIA!F275,""),"")</f>
        <v>SE DARE</v>
      </c>
    </row>
    <row r="282" spans="4:9" ht="20.100000000000001" customHeight="1" x14ac:dyDescent="0.3">
      <c r="D282" s="73" t="str">
        <f ca="1">IFERROR(IF(COPIA!A276&lt;&gt;0,COPIA!A276,""),"")</f>
        <v>37.10</v>
      </c>
      <c r="E282" s="75" t="str">
        <f ca="1">IFERROR(IF(COPIA!B276&lt;&gt;0,COPIA!B276,""),"")</f>
        <v>MATERIE PRIME C/RIMANENZE FINALI</v>
      </c>
      <c r="F282" s="73" t="str">
        <f ca="1">IFERROR(IF(COPIA!C276&lt;&gt;0,COPIA!C276,""),"")</f>
        <v>E</v>
      </c>
      <c r="G282" s="73" t="str">
        <f ca="1">IFERROR(IF(COPIA!D276&lt;&gt;0,COPIA!D276,""),"")</f>
        <v>A</v>
      </c>
      <c r="H282" s="73" t="str">
        <f ca="1">IF(E282="FONDO SVALUTAZIONE CREDITI","RETTIFICA CREDITI",IFERROR(IF(COPIA!E276&lt;&gt;0,COPIA!E276,""),""))</f>
        <v>RETTIFICHE COSTI D'ESERCIZIO</v>
      </c>
      <c r="I282" s="73" t="str">
        <f ca="1">IFERROR(IF(COPIA!F276&lt;&gt;0,COPIA!F276,""),"")</f>
        <v>SE AVERE</v>
      </c>
    </row>
    <row r="283" spans="4:9" ht="20.100000000000001" customHeight="1" x14ac:dyDescent="0.3">
      <c r="D283" s="73" t="str">
        <f ca="1">IFERROR(IF(COPIA!A277&lt;&gt;0,COPIA!A277,""),"")</f>
        <v>37.11</v>
      </c>
      <c r="E283" s="75" t="str">
        <f ca="1">IFERROR(IF(COPIA!B277&lt;&gt;0,COPIA!B277,""),"")</f>
        <v>MATERIE SUSSIDIARIE C/RIMANENZE FINALI</v>
      </c>
      <c r="F283" s="73" t="str">
        <f ca="1">IFERROR(IF(COPIA!C277&lt;&gt;0,COPIA!C277,""),"")</f>
        <v>E</v>
      </c>
      <c r="G283" s="73" t="str">
        <f ca="1">IFERROR(IF(COPIA!D277&lt;&gt;0,COPIA!D277,""),"")</f>
        <v>A</v>
      </c>
      <c r="H283" s="73" t="str">
        <f ca="1">IF(E283="FONDO SVALUTAZIONE CREDITI","RETTIFICA CREDITI",IFERROR(IF(COPIA!E277&lt;&gt;0,COPIA!E277,""),""))</f>
        <v>RETTIFICHE COSTI D'ESERCIZIO</v>
      </c>
      <c r="I283" s="73" t="str">
        <f ca="1">IFERROR(IF(COPIA!F277&lt;&gt;0,COPIA!F277,""),"")</f>
        <v>SE AVERE</v>
      </c>
    </row>
    <row r="284" spans="4:9" ht="20.100000000000001" customHeight="1" x14ac:dyDescent="0.3">
      <c r="D284" s="73" t="str">
        <f ca="1">IFERROR(IF(COPIA!A278&lt;&gt;0,COPIA!A278,""),"")</f>
        <v>37.12</v>
      </c>
      <c r="E284" s="75" t="str">
        <f ca="1">IFERROR(IF(COPIA!B278&lt;&gt;0,COPIA!B278,""),"")</f>
        <v>MATERIE DI CONSUMO C/RIMANENZE FINALI</v>
      </c>
      <c r="F284" s="73" t="str">
        <f ca="1">IFERROR(IF(COPIA!C278&lt;&gt;0,COPIA!C278,""),"")</f>
        <v>E</v>
      </c>
      <c r="G284" s="73" t="str">
        <f ca="1">IFERROR(IF(COPIA!D278&lt;&gt;0,COPIA!D278,""),"")</f>
        <v>A</v>
      </c>
      <c r="H284" s="73" t="str">
        <f ca="1">IF(E284="FONDO SVALUTAZIONE CREDITI","RETTIFICA CREDITI",IFERROR(IF(COPIA!E278&lt;&gt;0,COPIA!E278,""),""))</f>
        <v>RETTIFICHE COSTI D'ESERCIZIO</v>
      </c>
      <c r="I284" s="73" t="str">
        <f ca="1">IFERROR(IF(COPIA!F278&lt;&gt;0,COPIA!F278,""),"")</f>
        <v>SE AVERE</v>
      </c>
    </row>
    <row r="285" spans="4:9" ht="20.100000000000001" customHeight="1" x14ac:dyDescent="0.3">
      <c r="D285" s="73" t="str">
        <f ca="1">IFERROR(IF(COPIA!A279&lt;&gt;0,COPIA!A279,""),"")</f>
        <v>38.00</v>
      </c>
      <c r="E285" s="75" t="str">
        <f ca="1">IFERROR(IF(COPIA!B279&lt;&gt;0,COPIA!B279,""),"")</f>
        <v>ACCANTONAMENTI</v>
      </c>
      <c r="F285" s="73" t="str">
        <f ca="1">IFERROR(IF(COPIA!C279&lt;&gt;0,COPIA!C279,""),"")</f>
        <v/>
      </c>
      <c r="G285" s="73" t="str">
        <f ca="1">IFERROR(IF(COPIA!D279&lt;&gt;0,COPIA!D279,""),"")</f>
        <v/>
      </c>
      <c r="H285" s="73" t="str">
        <f ca="1">IF(E285="FONDO SVALUTAZIONE CREDITI","RETTIFICA CREDITI",IFERROR(IF(COPIA!E279&lt;&gt;0,COPIA!E279,""),""))</f>
        <v/>
      </c>
      <c r="I285" s="73" t="str">
        <f ca="1">IFERROR(IF(COPIA!F279&lt;&gt;0,COPIA!F279,""),"")</f>
        <v/>
      </c>
    </row>
    <row r="286" spans="4:9" ht="20.100000000000001" customHeight="1" x14ac:dyDescent="0.3">
      <c r="D286" s="73" t="str">
        <f ca="1">IFERROR(IF(COPIA!A280&lt;&gt;0,COPIA!A280,""),"")</f>
        <v>38.01</v>
      </c>
      <c r="E286" s="75" t="str">
        <f ca="1">IFERROR(IF(COPIA!B280&lt;&gt;0,COPIA!B280,""),"")</f>
        <v>ACCANTONAMENTO PER RESPONSABILITÀ CIVILE</v>
      </c>
      <c r="F286" s="73" t="str">
        <f ca="1">IFERROR(IF(COPIA!C280&lt;&gt;0,COPIA!C280,""),"")</f>
        <v>E</v>
      </c>
      <c r="G286" s="73" t="str">
        <f ca="1">IFERROR(IF(COPIA!D280&lt;&gt;0,COPIA!D280,""),"")</f>
        <v>D</v>
      </c>
      <c r="H286" s="73" t="str">
        <f ca="1">IF(E286="FONDO SVALUTAZIONE CREDITI","RETTIFICA CREDITI",IFERROR(IF(COPIA!E280&lt;&gt;0,COPIA!E280,""),""))</f>
        <v>COSTI D'ESERCIZIO</v>
      </c>
      <c r="I286" s="73" t="str">
        <f ca="1">IFERROR(IF(COPIA!F280&lt;&gt;0,COPIA!F280,""),"")</f>
        <v>SE DARE</v>
      </c>
    </row>
    <row r="287" spans="4:9" ht="20.100000000000001" customHeight="1" x14ac:dyDescent="0.3">
      <c r="D287" s="73" t="str">
        <f ca="1">IFERROR(IF(COPIA!A281&lt;&gt;0,COPIA!A281,""),"")</f>
        <v>38.10</v>
      </c>
      <c r="E287" s="75" t="str">
        <f ca="1">IFERROR(IF(COPIA!B281&lt;&gt;0,COPIA!B281,""),"")</f>
        <v>ACCANTONAMENTO PER MANUTENZIONI PROGRAMMATE</v>
      </c>
      <c r="F287" s="73" t="str">
        <f ca="1">IFERROR(IF(COPIA!C281&lt;&gt;0,COPIA!C281,""),"")</f>
        <v>E</v>
      </c>
      <c r="G287" s="73" t="str">
        <f ca="1">IFERROR(IF(COPIA!D281&lt;&gt;0,COPIA!D281,""),"")</f>
        <v>D</v>
      </c>
      <c r="H287" s="73" t="str">
        <f ca="1">IF(E287="FONDO SVALUTAZIONE CREDITI","RETTIFICA CREDITI",IFERROR(IF(COPIA!E281&lt;&gt;0,COPIA!E281,""),""))</f>
        <v>COSTI D'ESERCIZIO</v>
      </c>
      <c r="I287" s="73" t="str">
        <f ca="1">IFERROR(IF(COPIA!F281&lt;&gt;0,COPIA!F281,""),"")</f>
        <v>SE DARE</v>
      </c>
    </row>
    <row r="288" spans="4:9" ht="20.100000000000001" customHeight="1" x14ac:dyDescent="0.3">
      <c r="D288" s="73" t="str">
        <f ca="1">IFERROR(IF(COPIA!A282&lt;&gt;0,COPIA!A282,""),"")</f>
        <v>38.11</v>
      </c>
      <c r="E288" s="75" t="str">
        <f ca="1">IFERROR(IF(COPIA!B282&lt;&gt;0,COPIA!B282,""),"")</f>
        <v>ACCANTONAMENTO PER GARANZIA PRODOTTI</v>
      </c>
      <c r="F288" s="73" t="str">
        <f ca="1">IFERROR(IF(COPIA!C282&lt;&gt;0,COPIA!C282,""),"")</f>
        <v>E</v>
      </c>
      <c r="G288" s="73" t="str">
        <f ca="1">IFERROR(IF(COPIA!D282&lt;&gt;0,COPIA!D282,""),"")</f>
        <v>D</v>
      </c>
      <c r="H288" s="73" t="str">
        <f ca="1">IF(E288="FONDO SVALUTAZIONE CREDITI","RETTIFICA CREDITI",IFERROR(IF(COPIA!E282&lt;&gt;0,COPIA!E282,""),""))</f>
        <v>COSTI D'ESERCIZIO</v>
      </c>
      <c r="I288" s="73" t="str">
        <f ca="1">IFERROR(IF(COPIA!F282&lt;&gt;0,COPIA!F282,""),"")</f>
        <v>SE DARE</v>
      </c>
    </row>
    <row r="289" spans="4:9" ht="20.100000000000001" customHeight="1" x14ac:dyDescent="0.3">
      <c r="D289" s="73" t="str">
        <f ca="1">IFERROR(IF(COPIA!A283&lt;&gt;0,COPIA!A283,""),"")</f>
        <v>39.00</v>
      </c>
      <c r="E289" s="75" t="str">
        <f ca="1">IFERROR(IF(COPIA!B283&lt;&gt;0,COPIA!B283,""),"")</f>
        <v>ONERI DIVERSI</v>
      </c>
      <c r="F289" s="73" t="str">
        <f ca="1">IFERROR(IF(COPIA!C283&lt;&gt;0,COPIA!C283,""),"")</f>
        <v/>
      </c>
      <c r="G289" s="73" t="str">
        <f ca="1">IFERROR(IF(COPIA!D283&lt;&gt;0,COPIA!D283,""),"")</f>
        <v/>
      </c>
      <c r="H289" s="73" t="str">
        <f ca="1">IF(E289="FONDO SVALUTAZIONE CREDITI","RETTIFICA CREDITI",IFERROR(IF(COPIA!E283&lt;&gt;0,COPIA!E283,""),""))</f>
        <v/>
      </c>
      <c r="I289" s="73" t="str">
        <f ca="1">IFERROR(IF(COPIA!F283&lt;&gt;0,COPIA!F283,""),"")</f>
        <v/>
      </c>
    </row>
    <row r="290" spans="4:9" ht="20.100000000000001" customHeight="1" x14ac:dyDescent="0.3">
      <c r="D290" s="73" t="str">
        <f ca="1">IFERROR(IF(COPIA!A284&lt;&gt;0,COPIA!A284,""),"")</f>
        <v>39.01</v>
      </c>
      <c r="E290" s="75" t="str">
        <f ca="1">IFERROR(IF(COPIA!B284&lt;&gt;0,COPIA!B284,""),"")</f>
        <v>ARROTONDAMENTI PASSIVI</v>
      </c>
      <c r="F290" s="73" t="str">
        <f ca="1">IFERROR(IF(COPIA!C284&lt;&gt;0,COPIA!C284,""),"")</f>
        <v>E</v>
      </c>
      <c r="G290" s="73" t="str">
        <f ca="1">IFERROR(IF(COPIA!D284&lt;&gt;0,COPIA!D284,""),"")</f>
        <v>D</v>
      </c>
      <c r="H290" s="73" t="str">
        <f ca="1">IF(E290="FONDO SVALUTAZIONE CREDITI","RETTIFICA CREDITI",IFERROR(IF(COPIA!E284&lt;&gt;0,COPIA!E284,""),""))</f>
        <v>COSTI D'ESERCIZIO</v>
      </c>
      <c r="I290" s="73" t="str">
        <f ca="1">IFERROR(IF(COPIA!F284&lt;&gt;0,COPIA!F284,""),"")</f>
        <v>SE DARE</v>
      </c>
    </row>
    <row r="291" spans="4:9" ht="20.100000000000001" customHeight="1" x14ac:dyDescent="0.3">
      <c r="D291" s="73" t="str">
        <f ca="1">IFERROR(IF(COPIA!A285&lt;&gt;0,COPIA!A285,""),"")</f>
        <v>39.02</v>
      </c>
      <c r="E291" s="75" t="str">
        <f ca="1">IFERROR(IF(COPIA!B285&lt;&gt;0,COPIA!B285,""),"")</f>
        <v>ONERI FISCALI DIVERSI</v>
      </c>
      <c r="F291" s="73" t="str">
        <f ca="1">IFERROR(IF(COPIA!C285&lt;&gt;0,COPIA!C285,""),"")</f>
        <v>E</v>
      </c>
      <c r="G291" s="73" t="str">
        <f ca="1">IFERROR(IF(COPIA!D285&lt;&gt;0,COPIA!D285,""),"")</f>
        <v>D</v>
      </c>
      <c r="H291" s="73" t="str">
        <f ca="1">IF(E291="FONDO SVALUTAZIONE CREDITI","RETTIFICA CREDITI",IFERROR(IF(COPIA!E285&lt;&gt;0,COPIA!E285,""),""))</f>
        <v>COSTI D'ESERCIZIO</v>
      </c>
      <c r="I291" s="73" t="str">
        <f ca="1">IFERROR(IF(COPIA!F285&lt;&gt;0,COPIA!F285,""),"")</f>
        <v>SE DARE</v>
      </c>
    </row>
    <row r="292" spans="4:9" ht="20.100000000000001" customHeight="1" x14ac:dyDescent="0.3">
      <c r="D292" s="73" t="str">
        <f ca="1">IFERROR(IF(COPIA!A286&lt;&gt;0,COPIA!A286,""),"")</f>
        <v>39.03</v>
      </c>
      <c r="E292" s="75" t="str">
        <f ca="1">IFERROR(IF(COPIA!B286&lt;&gt;0,COPIA!B286,""),"")</f>
        <v>ACCANTONAMENTO PER IMPOSTE INDIRETTE</v>
      </c>
      <c r="F292" s="73" t="str">
        <f ca="1">IFERROR(IF(COPIA!C286&lt;&gt;0,COPIA!C286,""),"")</f>
        <v>E</v>
      </c>
      <c r="G292" s="73" t="str">
        <f ca="1">IFERROR(IF(COPIA!D286&lt;&gt;0,COPIA!D286,""),"")</f>
        <v>D</v>
      </c>
      <c r="H292" s="73" t="str">
        <f ca="1">IF(E292="FONDO SVALUTAZIONE CREDITI","RETTIFICA CREDITI",IFERROR(IF(COPIA!E286&lt;&gt;0,COPIA!E286,""),""))</f>
        <v>COSTI D'ESERCIZIO</v>
      </c>
      <c r="I292" s="73" t="str">
        <f ca="1">IFERROR(IF(COPIA!F286&lt;&gt;0,COPIA!F286,""),"")</f>
        <v>SE DARE</v>
      </c>
    </row>
    <row r="293" spans="4:9" ht="20.100000000000001" customHeight="1" x14ac:dyDescent="0.3">
      <c r="D293" s="73" t="str">
        <f ca="1">IFERROR(IF(COPIA!A287&lt;&gt;0,COPIA!A287,""),"")</f>
        <v>39.05</v>
      </c>
      <c r="E293" s="75" t="str">
        <f ca="1">IFERROR(IF(COPIA!B287&lt;&gt;0,COPIA!B287,""),"")</f>
        <v>PERDITE SU CREDITI</v>
      </c>
      <c r="F293" s="73" t="str">
        <f ca="1">IFERROR(IF(COPIA!C287&lt;&gt;0,COPIA!C287,""),"")</f>
        <v>E</v>
      </c>
      <c r="G293" s="73" t="str">
        <f ca="1">IFERROR(IF(COPIA!D287&lt;&gt;0,COPIA!D287,""),"")</f>
        <v>D</v>
      </c>
      <c r="H293" s="73" t="str">
        <f ca="1">IF(E293="FONDO SVALUTAZIONE CREDITI","RETTIFICA CREDITI",IFERROR(IF(COPIA!E287&lt;&gt;0,COPIA!E287,""),""))</f>
        <v>COSTI D'ESERCIZIO</v>
      </c>
      <c r="I293" s="73" t="str">
        <f ca="1">IFERROR(IF(COPIA!F287&lt;&gt;0,COPIA!F287,""),"")</f>
        <v>SE DARE</v>
      </c>
    </row>
    <row r="294" spans="4:9" ht="20.100000000000001" customHeight="1" x14ac:dyDescent="0.3">
      <c r="D294" s="73" t="str">
        <f ca="1">IFERROR(IF(COPIA!A288&lt;&gt;0,COPIA!A288,""),"")</f>
        <v>39.10</v>
      </c>
      <c r="E294" s="75" t="str">
        <f ca="1">IFERROR(IF(COPIA!B288&lt;&gt;0,COPIA!B288,""),"")</f>
        <v>MINUSVALENZE</v>
      </c>
      <c r="F294" s="73" t="str">
        <f ca="1">IFERROR(IF(COPIA!C288&lt;&gt;0,COPIA!C288,""),"")</f>
        <v>E</v>
      </c>
      <c r="G294" s="73" t="str">
        <f ca="1">IFERROR(IF(COPIA!D288&lt;&gt;0,COPIA!D288,""),"")</f>
        <v>D</v>
      </c>
      <c r="H294" s="73" t="str">
        <f ca="1">IF(E294="FONDO SVALUTAZIONE CREDITI","RETTIFICA CREDITI",IFERROR(IF(COPIA!E288&lt;&gt;0,COPIA!E288,""),""))</f>
        <v>COSTI D'ESERCIZIO</v>
      </c>
      <c r="I294" s="73" t="str">
        <f ca="1">IFERROR(IF(COPIA!F288&lt;&gt;0,COPIA!F288,""),"")</f>
        <v>SE DARE</v>
      </c>
    </row>
    <row r="295" spans="4:9" ht="20.100000000000001" customHeight="1" x14ac:dyDescent="0.3">
      <c r="D295" s="73" t="str">
        <f ca="1">IFERROR(IF(COPIA!A289&lt;&gt;0,COPIA!A289,""),"")</f>
        <v>39.11</v>
      </c>
      <c r="E295" s="75" t="str">
        <f ca="1">IFERROR(IF(COPIA!B289&lt;&gt;0,COPIA!B289,""),"")</f>
        <v>SOPRAVVENIENZE PASSIVE</v>
      </c>
      <c r="F295" s="73" t="str">
        <f ca="1">IFERROR(IF(COPIA!C289&lt;&gt;0,COPIA!C289,""),"")</f>
        <v>E</v>
      </c>
      <c r="G295" s="73" t="str">
        <f ca="1">IFERROR(IF(COPIA!D289&lt;&gt;0,COPIA!D289,""),"")</f>
        <v>D</v>
      </c>
      <c r="H295" s="73" t="str">
        <f ca="1">IF(E295="FONDO SVALUTAZIONE CREDITI","RETTIFICA CREDITI",IFERROR(IF(COPIA!E289&lt;&gt;0,COPIA!E289,""),""))</f>
        <v>COSTI D'ESERCIZIO</v>
      </c>
      <c r="I295" s="73" t="str">
        <f ca="1">IFERROR(IF(COPIA!F289&lt;&gt;0,COPIA!F289,""),"")</f>
        <v>SE DARE</v>
      </c>
    </row>
    <row r="296" spans="4:9" ht="20.100000000000001" customHeight="1" x14ac:dyDescent="0.3">
      <c r="D296" s="73" t="str">
        <f ca="1">IFERROR(IF(COPIA!A290&lt;&gt;0,COPIA!A290,""),"")</f>
        <v>39.12</v>
      </c>
      <c r="E296" s="75" t="str">
        <f ca="1">IFERROR(IF(COPIA!B290&lt;&gt;0,COPIA!B290,""),"")</f>
        <v>INSUSSISTENZE PASSIVE</v>
      </c>
      <c r="F296" s="73" t="str">
        <f ca="1">IFERROR(IF(COPIA!C290&lt;&gt;0,COPIA!C290,""),"")</f>
        <v>E</v>
      </c>
      <c r="G296" s="73" t="str">
        <f ca="1">IFERROR(IF(COPIA!D290&lt;&gt;0,COPIA!D290,""),"")</f>
        <v>D</v>
      </c>
      <c r="H296" s="73" t="str">
        <f ca="1">IF(E296="FONDO SVALUTAZIONE CREDITI","RETTIFICA CREDITI",IFERROR(IF(COPIA!E290&lt;&gt;0,COPIA!E290,""),""))</f>
        <v>COSTI D'ESERCIZIO</v>
      </c>
      <c r="I296" s="73" t="str">
        <f ca="1">IFERROR(IF(COPIA!F290&lt;&gt;0,COPIA!F290,""),"")</f>
        <v>SE DARE</v>
      </c>
    </row>
    <row r="297" spans="4:9" ht="20.100000000000001" customHeight="1" x14ac:dyDescent="0.3">
      <c r="D297" s="73" t="str">
        <f ca="1">IFERROR(IF(COPIA!A291&lt;&gt;0,COPIA!A291,""),"")</f>
        <v>40.00</v>
      </c>
      <c r="E297" s="75" t="str">
        <f ca="1">IFERROR(IF(COPIA!B291&lt;&gt;0,COPIA!B291,""),"")</f>
        <v>PROVENTI FINANZIARI</v>
      </c>
      <c r="F297" s="73" t="str">
        <f ca="1">IFERROR(IF(COPIA!C291&lt;&gt;0,COPIA!C291,""),"")</f>
        <v/>
      </c>
      <c r="G297" s="73" t="str">
        <f ca="1">IFERROR(IF(COPIA!D291&lt;&gt;0,COPIA!D291,""),"")</f>
        <v/>
      </c>
      <c r="H297" s="73" t="str">
        <f ca="1">IF(E297="FONDO SVALUTAZIONE CREDITI","RETTIFICA CREDITI",IFERROR(IF(COPIA!E291&lt;&gt;0,COPIA!E291,""),""))</f>
        <v/>
      </c>
      <c r="I297" s="73" t="str">
        <f ca="1">IFERROR(IF(COPIA!F291&lt;&gt;0,COPIA!F291,""),"")</f>
        <v/>
      </c>
    </row>
    <row r="298" spans="4:9" ht="20.100000000000001" customHeight="1" x14ac:dyDescent="0.3">
      <c r="D298" s="73" t="str">
        <f ca="1">IFERROR(IF(COPIA!A292&lt;&gt;0,COPIA!A292,""),"")</f>
        <v>40.01</v>
      </c>
      <c r="E298" s="75" t="str">
        <f ca="1">IFERROR(IF(COPIA!B292&lt;&gt;0,COPIA!B292,""),"")</f>
        <v>PROVENTI DA PARTECIPAZIONI</v>
      </c>
      <c r="F298" s="73" t="str">
        <f ca="1">IFERROR(IF(COPIA!C292&lt;&gt;0,COPIA!C292,""),"")</f>
        <v>E</v>
      </c>
      <c r="G298" s="73" t="str">
        <f ca="1">IFERROR(IF(COPIA!D292&lt;&gt;0,COPIA!D292,""),"")</f>
        <v>A</v>
      </c>
      <c r="H298" s="73" t="str">
        <f ca="1">IF(E298="FONDO SVALUTAZIONE CREDITI","RETTIFICA CREDITI",IFERROR(IF(COPIA!E292&lt;&gt;0,COPIA!E292,""),""))</f>
        <v>RICAVI D'ESERCIZIO</v>
      </c>
      <c r="I298" s="73" t="str">
        <f ca="1">IFERROR(IF(COPIA!F292&lt;&gt;0,COPIA!F292,""),"")</f>
        <v>SE AVERE</v>
      </c>
    </row>
    <row r="299" spans="4:9" ht="20.100000000000001" customHeight="1" x14ac:dyDescent="0.3">
      <c r="D299" s="73" t="str">
        <f ca="1">IFERROR(IF(COPIA!A293&lt;&gt;0,COPIA!A293,""),"")</f>
        <v>40.02</v>
      </c>
      <c r="E299" s="75" t="str">
        <f ca="1">IFERROR(IF(COPIA!B293&lt;&gt;0,COPIA!B293,""),"")</f>
        <v>PLUSVALENZE DA PARTECIPAZIONI</v>
      </c>
      <c r="F299" s="73" t="str">
        <f ca="1">IFERROR(IF(COPIA!C293&lt;&gt;0,COPIA!C293,""),"")</f>
        <v>E</v>
      </c>
      <c r="G299" s="73" t="str">
        <f ca="1">IFERROR(IF(COPIA!D293&lt;&gt;0,COPIA!D293,""),"")</f>
        <v>A</v>
      </c>
      <c r="H299" s="73" t="str">
        <f ca="1">IF(E299="FONDO SVALUTAZIONE CREDITI","RETTIFICA CREDITI",IFERROR(IF(COPIA!E293&lt;&gt;0,COPIA!E293,""),""))</f>
        <v>RICAVI D'ESERCIZIO</v>
      </c>
      <c r="I299" s="73" t="str">
        <f ca="1">IFERROR(IF(COPIA!F293&lt;&gt;0,COPIA!F293,""),"")</f>
        <v>SE AVERE</v>
      </c>
    </row>
    <row r="300" spans="4:9" ht="20.100000000000001" customHeight="1" x14ac:dyDescent="0.3">
      <c r="D300" s="73" t="str">
        <f ca="1">IFERROR(IF(COPIA!A294&lt;&gt;0,COPIA!A294,""),"")</f>
        <v>40.03</v>
      </c>
      <c r="E300" s="75" t="str">
        <f ca="1">IFERROR(IF(COPIA!B294&lt;&gt;0,COPIA!B294,""),"")</f>
        <v>INTERESSI ATTIVI DA CONTROLLATE</v>
      </c>
      <c r="F300" s="73" t="str">
        <f ca="1">IFERROR(IF(COPIA!C294&lt;&gt;0,COPIA!C294,""),"")</f>
        <v>E</v>
      </c>
      <c r="G300" s="73" t="str">
        <f ca="1">IFERROR(IF(COPIA!D294&lt;&gt;0,COPIA!D294,""),"")</f>
        <v>A</v>
      </c>
      <c r="H300" s="73" t="str">
        <f ca="1">IF(E300="FONDO SVALUTAZIONE CREDITI","RETTIFICA CREDITI",IFERROR(IF(COPIA!E294&lt;&gt;0,COPIA!E294,""),""))</f>
        <v>RICAVI D'ESERCIZIO</v>
      </c>
      <c r="I300" s="73" t="str">
        <f ca="1">IFERROR(IF(COPIA!F294&lt;&gt;0,COPIA!F294,""),"")</f>
        <v>SE AVERE</v>
      </c>
    </row>
    <row r="301" spans="4:9" ht="20.100000000000001" customHeight="1" x14ac:dyDescent="0.3">
      <c r="D301" s="73" t="str">
        <f ca="1">IFERROR(IF(COPIA!A295&lt;&gt;0,COPIA!A295,""),"")</f>
        <v>40.04</v>
      </c>
      <c r="E301" s="75" t="str">
        <f ca="1">IFERROR(IF(COPIA!B295&lt;&gt;0,COPIA!B295,""),"")</f>
        <v>INTERESSI ATTIVI DA COLLEGATE</v>
      </c>
      <c r="F301" s="73" t="str">
        <f ca="1">IFERROR(IF(COPIA!C295&lt;&gt;0,COPIA!C295,""),"")</f>
        <v>E</v>
      </c>
      <c r="G301" s="73" t="str">
        <f ca="1">IFERROR(IF(COPIA!D295&lt;&gt;0,COPIA!D295,""),"")</f>
        <v>A</v>
      </c>
      <c r="H301" s="73" t="str">
        <f ca="1">IF(E301="FONDO SVALUTAZIONE CREDITI","RETTIFICA CREDITI",IFERROR(IF(COPIA!E295&lt;&gt;0,COPIA!E295,""),""))</f>
        <v>RICAVI D'ESERCIZIO</v>
      </c>
      <c r="I301" s="73" t="str">
        <f ca="1">IFERROR(IF(COPIA!F295&lt;&gt;0,COPIA!F295,""),"")</f>
        <v>SE AVERE</v>
      </c>
    </row>
    <row r="302" spans="4:9" ht="20.100000000000001" customHeight="1" x14ac:dyDescent="0.3">
      <c r="D302" s="73" t="str">
        <f ca="1">IFERROR(IF(COPIA!A296&lt;&gt;0,COPIA!A296,""),"")</f>
        <v>40.05</v>
      </c>
      <c r="E302" s="75" t="str">
        <f ca="1">IFERROR(IF(COPIA!B296&lt;&gt;0,COPIA!B296,""),"")</f>
        <v>INTERESSI ATTIVI DA CONTROLLANTE</v>
      </c>
      <c r="F302" s="73" t="str">
        <f ca="1">IFERROR(IF(COPIA!C296&lt;&gt;0,COPIA!C296,""),"")</f>
        <v>E</v>
      </c>
      <c r="G302" s="73" t="str">
        <f ca="1">IFERROR(IF(COPIA!D296&lt;&gt;0,COPIA!D296,""),"")</f>
        <v>A</v>
      </c>
      <c r="H302" s="73" t="str">
        <f ca="1">IF(E302="FONDO SVALUTAZIONE CREDITI","RETTIFICA CREDITI",IFERROR(IF(COPIA!E296&lt;&gt;0,COPIA!E296,""),""))</f>
        <v>RICAVI D'ESERCIZIO</v>
      </c>
      <c r="I302" s="73" t="str">
        <f ca="1">IFERROR(IF(COPIA!F296&lt;&gt;0,COPIA!F296,""),"")</f>
        <v>SE AVERE</v>
      </c>
    </row>
    <row r="303" spans="4:9" ht="20.100000000000001" customHeight="1" x14ac:dyDescent="0.3">
      <c r="D303" s="73" t="str">
        <f ca="1">IFERROR(IF(COPIA!A297&lt;&gt;0,COPIA!A297,""),"")</f>
        <v>40.20</v>
      </c>
      <c r="E303" s="75" t="str">
        <f ca="1">IFERROR(IF(COPIA!B297&lt;&gt;0,COPIA!B297,""),"")</f>
        <v>INTERESSI SU TITOLI</v>
      </c>
      <c r="F303" s="73" t="str">
        <f ca="1">IFERROR(IF(COPIA!C297&lt;&gt;0,COPIA!C297,""),"")</f>
        <v>E</v>
      </c>
      <c r="G303" s="73" t="str">
        <f ca="1">IFERROR(IF(COPIA!D297&lt;&gt;0,COPIA!D297,""),"")</f>
        <v>A</v>
      </c>
      <c r="H303" s="73" t="str">
        <f ca="1">IF(E303="FONDO SVALUTAZIONE CREDITI","RETTIFICA CREDITI",IFERROR(IF(COPIA!E297&lt;&gt;0,COPIA!E297,""),""))</f>
        <v>RICAVI D'ESERCIZIO</v>
      </c>
      <c r="I303" s="73" t="str">
        <f ca="1">IFERROR(IF(COPIA!F297&lt;&gt;0,COPIA!F297,""),"")</f>
        <v>SE AVERE</v>
      </c>
    </row>
    <row r="304" spans="4:9" ht="20.100000000000001" customHeight="1" x14ac:dyDescent="0.3">
      <c r="D304" s="73" t="str">
        <f ca="1">IFERROR(IF(COPIA!A298&lt;&gt;0,COPIA!A298,""),"")</f>
        <v>40.21</v>
      </c>
      <c r="E304" s="75" t="str">
        <f ca="1">IFERROR(IF(COPIA!B298&lt;&gt;0,COPIA!B298,""),"")</f>
        <v>UTILE SU TITOLI</v>
      </c>
      <c r="F304" s="73" t="str">
        <f ca="1">IFERROR(IF(COPIA!C298&lt;&gt;0,COPIA!C298,""),"")</f>
        <v>E</v>
      </c>
      <c r="G304" s="73" t="str">
        <f ca="1">IFERROR(IF(COPIA!D298&lt;&gt;0,COPIA!D298,""),"")</f>
        <v>A</v>
      </c>
      <c r="H304" s="73" t="str">
        <f ca="1">IF(E304="FONDO SVALUTAZIONE CREDITI","RETTIFICA CREDITI",IFERROR(IF(COPIA!E298&lt;&gt;0,COPIA!E298,""),""))</f>
        <v>RICAVI D'ESERCIZIO</v>
      </c>
      <c r="I304" s="73" t="str">
        <f ca="1">IFERROR(IF(COPIA!F298&lt;&gt;0,COPIA!F298,""),"")</f>
        <v>SE AVERE</v>
      </c>
    </row>
    <row r="305" spans="4:9" ht="20.100000000000001" customHeight="1" x14ac:dyDescent="0.3">
      <c r="D305" s="73" t="str">
        <f ca="1">IFERROR(IF(COPIA!A299&lt;&gt;0,COPIA!A299,""),"")</f>
        <v>40.31</v>
      </c>
      <c r="E305" s="75" t="str">
        <f ca="1">IFERROR(IF(COPIA!B299&lt;&gt;0,COPIA!B299,""),"")</f>
        <v>INTERESSI ATTIVI DA CLIENTI</v>
      </c>
      <c r="F305" s="73" t="str">
        <f ca="1">IFERROR(IF(COPIA!C299&lt;&gt;0,COPIA!C299,""),"")</f>
        <v>E</v>
      </c>
      <c r="G305" s="73" t="str">
        <f ca="1">IFERROR(IF(COPIA!D299&lt;&gt;0,COPIA!D299,""),"")</f>
        <v>A</v>
      </c>
      <c r="H305" s="73" t="str">
        <f ca="1">IF(E305="FONDO SVALUTAZIONE CREDITI","RETTIFICA CREDITI",IFERROR(IF(COPIA!E299&lt;&gt;0,COPIA!E299,""),""))</f>
        <v>RICAVI D'ESERCIZIO</v>
      </c>
      <c r="I305" s="73" t="str">
        <f ca="1">IFERROR(IF(COPIA!F299&lt;&gt;0,COPIA!F299,""),"")</f>
        <v>SE AVERE</v>
      </c>
    </row>
    <row r="306" spans="4:9" ht="20.100000000000001" customHeight="1" x14ac:dyDescent="0.3">
      <c r="D306" s="73" t="str">
        <f ca="1">IFERROR(IF(COPIA!A300&lt;&gt;0,COPIA!A300,""),"")</f>
        <v>40.32</v>
      </c>
      <c r="E306" s="75" t="str">
        <f ca="1">IFERROR(IF(COPIA!B300&lt;&gt;0,COPIA!B300,""),"")</f>
        <v>INTERESSI ATTIVI BANCARI</v>
      </c>
      <c r="F306" s="73" t="str">
        <f ca="1">IFERROR(IF(COPIA!C300&lt;&gt;0,COPIA!C300,""),"")</f>
        <v>E</v>
      </c>
      <c r="G306" s="73" t="str">
        <f ca="1">IFERROR(IF(COPIA!D300&lt;&gt;0,COPIA!D300,""),"")</f>
        <v>A</v>
      </c>
      <c r="H306" s="73" t="str">
        <f ca="1">IF(E306="FONDO SVALUTAZIONE CREDITI","RETTIFICA CREDITI",IFERROR(IF(COPIA!E300&lt;&gt;0,COPIA!E300,""),""))</f>
        <v>RICAVI D'ESERCIZIO</v>
      </c>
      <c r="I306" s="73" t="str">
        <f ca="1">IFERROR(IF(COPIA!F300&lt;&gt;0,COPIA!F300,""),"")</f>
        <v>SE AVERE</v>
      </c>
    </row>
    <row r="307" spans="4:9" ht="20.100000000000001" customHeight="1" x14ac:dyDescent="0.3">
      <c r="D307" s="73" t="str">
        <f ca="1">IFERROR(IF(COPIA!A301&lt;&gt;0,COPIA!A301,""),"")</f>
        <v>40.33</v>
      </c>
      <c r="E307" s="75" t="str">
        <f ca="1">IFERROR(IF(COPIA!B301&lt;&gt;0,COPIA!B301,""),"")</f>
        <v>INTERESSI ATTIVI POSTALI</v>
      </c>
      <c r="F307" s="73" t="str">
        <f ca="1">IFERROR(IF(COPIA!C301&lt;&gt;0,COPIA!C301,""),"")</f>
        <v>E</v>
      </c>
      <c r="G307" s="73" t="str">
        <f ca="1">IFERROR(IF(COPIA!D301&lt;&gt;0,COPIA!D301,""),"")</f>
        <v>A</v>
      </c>
      <c r="H307" s="73" t="str">
        <f ca="1">IF(E307="FONDO SVALUTAZIONE CREDITI","RETTIFICA CREDITI",IFERROR(IF(COPIA!E301&lt;&gt;0,COPIA!E301,""),""))</f>
        <v>RICAVI D'ESERCIZIO</v>
      </c>
      <c r="I307" s="73" t="str">
        <f ca="1">IFERROR(IF(COPIA!F301&lt;&gt;0,COPIA!F301,""),"")</f>
        <v>SE AVERE</v>
      </c>
    </row>
    <row r="308" spans="4:9" ht="20.100000000000001" customHeight="1" x14ac:dyDescent="0.3">
      <c r="D308" s="73" t="str">
        <f ca="1">IFERROR(IF(COPIA!A302&lt;&gt;0,COPIA!A302,""),"")</f>
        <v>40.34</v>
      </c>
      <c r="E308" s="75" t="str">
        <f ca="1">IFERROR(IF(COPIA!B302&lt;&gt;0,COPIA!B302,""),"")</f>
        <v>INTERESSI ATTIVI DA SOCI</v>
      </c>
      <c r="F308" s="73" t="str">
        <f ca="1">IFERROR(IF(COPIA!C302&lt;&gt;0,COPIA!C302,""),"")</f>
        <v>E</v>
      </c>
      <c r="G308" s="73" t="str">
        <f ca="1">IFERROR(IF(COPIA!D302&lt;&gt;0,COPIA!D302,""),"")</f>
        <v>A</v>
      </c>
      <c r="H308" s="73" t="str">
        <f ca="1">IF(E308="FONDO SVALUTAZIONE CREDITI","RETTIFICA CREDITI",IFERROR(IF(COPIA!E302&lt;&gt;0,COPIA!E302,""),""))</f>
        <v>RICAVI D'ESERCIZIO</v>
      </c>
      <c r="I308" s="73" t="str">
        <f ca="1">IFERROR(IF(COPIA!F302&lt;&gt;0,COPIA!F302,""),"")</f>
        <v>SE AVERE</v>
      </c>
    </row>
    <row r="309" spans="4:9" ht="20.100000000000001" customHeight="1" x14ac:dyDescent="0.3">
      <c r="D309" s="73" t="str">
        <f ca="1">IFERROR(IF(COPIA!A303&lt;&gt;0,COPIA!A303,""),"")</f>
        <v>40.40</v>
      </c>
      <c r="E309" s="75" t="str">
        <f ca="1">IFERROR(IF(COPIA!B303&lt;&gt;0,COPIA!B303,""),"")</f>
        <v>PROVENTI FINANZIARI DIVERSI</v>
      </c>
      <c r="F309" s="73" t="str">
        <f ca="1">IFERROR(IF(COPIA!C303&lt;&gt;0,COPIA!C303,""),"")</f>
        <v>E</v>
      </c>
      <c r="G309" s="73" t="str">
        <f ca="1">IFERROR(IF(COPIA!D303&lt;&gt;0,COPIA!D303,""),"")</f>
        <v>A</v>
      </c>
      <c r="H309" s="73" t="str">
        <f ca="1">IF(E309="FONDO SVALUTAZIONE CREDITI","RETTIFICA CREDITI",IFERROR(IF(COPIA!E303&lt;&gt;0,COPIA!E303,""),""))</f>
        <v>RICAVI D'ESERCIZIO</v>
      </c>
      <c r="I309" s="73" t="str">
        <f ca="1">IFERROR(IF(COPIA!F303&lt;&gt;0,COPIA!F303,""),"")</f>
        <v>SE AVERE</v>
      </c>
    </row>
    <row r="310" spans="4:9" ht="20.100000000000001" customHeight="1" x14ac:dyDescent="0.3">
      <c r="D310" s="73" t="str">
        <f ca="1">IFERROR(IF(COPIA!A304&lt;&gt;0,COPIA!A304,""),"")</f>
        <v>40.61</v>
      </c>
      <c r="E310" s="75" t="str">
        <f ca="1">IFERROR(IF(COPIA!B304&lt;&gt;0,COPIA!B304,""),"")</f>
        <v>AGGIO SU PRESTITI</v>
      </c>
      <c r="F310" s="73" t="str">
        <f ca="1">IFERROR(IF(COPIA!C304&lt;&gt;0,COPIA!C304,""),"")</f>
        <v>E</v>
      </c>
      <c r="G310" s="73" t="str">
        <f ca="1">IFERROR(IF(COPIA!D304&lt;&gt;0,COPIA!D304,""),"")</f>
        <v>A</v>
      </c>
      <c r="H310" s="73" t="str">
        <f ca="1">IF(E310="FONDO SVALUTAZIONE CREDITI","RETTIFICA CREDITI",IFERROR(IF(COPIA!E304&lt;&gt;0,COPIA!E304,""),""))</f>
        <v>RICAVI D'ESERCIZIO</v>
      </c>
      <c r="I310" s="73" t="str">
        <f ca="1">IFERROR(IF(COPIA!F304&lt;&gt;0,COPIA!F304,""),"")</f>
        <v>SE AVERE</v>
      </c>
    </row>
    <row r="311" spans="4:9" ht="20.100000000000001" customHeight="1" x14ac:dyDescent="0.3">
      <c r="D311" s="73" t="str">
        <f ca="1">IFERROR(IF(COPIA!A305&lt;&gt;0,COPIA!A305,""),"")</f>
        <v>41.00</v>
      </c>
      <c r="E311" s="75" t="str">
        <f ca="1">IFERROR(IF(COPIA!B305&lt;&gt;0,COPIA!B305,""),"")</f>
        <v>ONERI FINANZIARI</v>
      </c>
      <c r="F311" s="73" t="str">
        <f ca="1">IFERROR(IF(COPIA!C305&lt;&gt;0,COPIA!C305,""),"")</f>
        <v/>
      </c>
      <c r="G311" s="73" t="str">
        <f ca="1">IFERROR(IF(COPIA!D305&lt;&gt;0,COPIA!D305,""),"")</f>
        <v/>
      </c>
      <c r="H311" s="73" t="str">
        <f ca="1">IF(E311="FONDO SVALUTAZIONE CREDITI","RETTIFICA CREDITI",IFERROR(IF(COPIA!E305&lt;&gt;0,COPIA!E305,""),""))</f>
        <v/>
      </c>
      <c r="I311" s="73" t="str">
        <f ca="1">IFERROR(IF(COPIA!F305&lt;&gt;0,COPIA!F305,""),"")</f>
        <v/>
      </c>
    </row>
    <row r="312" spans="4:9" ht="20.100000000000001" customHeight="1" x14ac:dyDescent="0.3">
      <c r="D312" s="73" t="str">
        <f ca="1">IFERROR(IF(COPIA!A306&lt;&gt;0,COPIA!A306,""),"")</f>
        <v>41.01</v>
      </c>
      <c r="E312" s="75" t="str">
        <f ca="1">IFERROR(IF(COPIA!B306&lt;&gt;0,COPIA!B306,""),"")</f>
        <v>INTERESSI PASSIVI A FORNITORI</v>
      </c>
      <c r="F312" s="73" t="str">
        <f ca="1">IFERROR(IF(COPIA!C306&lt;&gt;0,COPIA!C306,""),"")</f>
        <v>E</v>
      </c>
      <c r="G312" s="73" t="str">
        <f ca="1">IFERROR(IF(COPIA!D306&lt;&gt;0,COPIA!D306,""),"")</f>
        <v>D</v>
      </c>
      <c r="H312" s="73" t="str">
        <f ca="1">IF(E312="FONDO SVALUTAZIONE CREDITI","RETTIFICA CREDITI",IFERROR(IF(COPIA!E306&lt;&gt;0,COPIA!E306,""),""))</f>
        <v>COSTI D'ESERCIZIO</v>
      </c>
      <c r="I312" s="73" t="str">
        <f ca="1">IFERROR(IF(COPIA!F306&lt;&gt;0,COPIA!F306,""),"")</f>
        <v>SE DARE</v>
      </c>
    </row>
    <row r="313" spans="4:9" ht="20.100000000000001" customHeight="1" x14ac:dyDescent="0.3">
      <c r="D313" s="73" t="str">
        <f ca="1">IFERROR(IF(COPIA!A307&lt;&gt;0,COPIA!A307,""),"")</f>
        <v>41.02</v>
      </c>
      <c r="E313" s="75" t="str">
        <f ca="1">IFERROR(IF(COPIA!B307&lt;&gt;0,COPIA!B307,""),"")</f>
        <v>INTERESSI PASSIVI BANCARI</v>
      </c>
      <c r="F313" s="73" t="str">
        <f ca="1">IFERROR(IF(COPIA!C307&lt;&gt;0,COPIA!C307,""),"")</f>
        <v>E</v>
      </c>
      <c r="G313" s="73" t="str">
        <f ca="1">IFERROR(IF(COPIA!D307&lt;&gt;0,COPIA!D307,""),"")</f>
        <v>D</v>
      </c>
      <c r="H313" s="73" t="str">
        <f ca="1">IF(E313="FONDO SVALUTAZIONE CREDITI","RETTIFICA CREDITI",IFERROR(IF(COPIA!E307&lt;&gt;0,COPIA!E307,""),""))</f>
        <v>COSTI D'ESERCIZIO</v>
      </c>
      <c r="I313" s="73" t="str">
        <f ca="1">IFERROR(IF(COPIA!F307&lt;&gt;0,COPIA!F307,""),"")</f>
        <v>SE DARE</v>
      </c>
    </row>
    <row r="314" spans="4:9" ht="20.100000000000001" customHeight="1" x14ac:dyDescent="0.3">
      <c r="D314" s="73" t="str">
        <f ca="1">IFERROR(IF(COPIA!A308&lt;&gt;0,COPIA!A308,""),"")</f>
        <v>41.03</v>
      </c>
      <c r="E314" s="75" t="str">
        <f ca="1">IFERROR(IF(COPIA!B308&lt;&gt;0,COPIA!B308,""),"")</f>
        <v>SCONTI PASSIVI BANCARI</v>
      </c>
      <c r="F314" s="73" t="str">
        <f ca="1">IFERROR(IF(COPIA!C308&lt;&gt;0,COPIA!C308,""),"")</f>
        <v>E</v>
      </c>
      <c r="G314" s="73" t="str">
        <f ca="1">IFERROR(IF(COPIA!D308&lt;&gt;0,COPIA!D308,""),"")</f>
        <v>D</v>
      </c>
      <c r="H314" s="73" t="str">
        <f ca="1">IF(E314="FONDO SVALUTAZIONE CREDITI","RETTIFICA CREDITI",IFERROR(IF(COPIA!E308&lt;&gt;0,COPIA!E308,""),""))</f>
        <v>COSTI D'ESERCIZIO</v>
      </c>
      <c r="I314" s="73" t="str">
        <f ca="1">IFERROR(IF(COPIA!F308&lt;&gt;0,COPIA!F308,""),"")</f>
        <v>SE DARE</v>
      </c>
    </row>
    <row r="315" spans="4:9" ht="20.100000000000001" customHeight="1" x14ac:dyDescent="0.3">
      <c r="D315" s="73" t="str">
        <f ca="1">IFERROR(IF(COPIA!A309&lt;&gt;0,COPIA!A309,""),"")</f>
        <v>41.04</v>
      </c>
      <c r="E315" s="75" t="str">
        <f ca="1">IFERROR(IF(COPIA!B309&lt;&gt;0,COPIA!B309,""),"")</f>
        <v>INTERESSI PASSIVI SU MUTUI</v>
      </c>
      <c r="F315" s="73" t="str">
        <f ca="1">IFERROR(IF(COPIA!C309&lt;&gt;0,COPIA!C309,""),"")</f>
        <v>E</v>
      </c>
      <c r="G315" s="73" t="str">
        <f ca="1">IFERROR(IF(COPIA!D309&lt;&gt;0,COPIA!D309,""),"")</f>
        <v>D</v>
      </c>
      <c r="H315" s="73" t="str">
        <f ca="1">IF(E315="FONDO SVALUTAZIONE CREDITI","RETTIFICA CREDITI",IFERROR(IF(COPIA!E309&lt;&gt;0,COPIA!E309,""),""))</f>
        <v>COSTI D'ESERCIZIO</v>
      </c>
      <c r="I315" s="73" t="str">
        <f ca="1">IFERROR(IF(COPIA!F309&lt;&gt;0,COPIA!F309,""),"")</f>
        <v>SE DARE</v>
      </c>
    </row>
    <row r="316" spans="4:9" ht="20.100000000000001" customHeight="1" x14ac:dyDescent="0.3">
      <c r="D316" s="73" t="str">
        <f ca="1">IFERROR(IF(COPIA!A310&lt;&gt;0,COPIA!A310,""),"")</f>
        <v>41.09</v>
      </c>
      <c r="E316" s="75" t="str">
        <f ca="1">IFERROR(IF(COPIA!B310&lt;&gt;0,COPIA!B310,""),"")</f>
        <v>DISAGGIO SU PRESTITI</v>
      </c>
      <c r="F316" s="73" t="str">
        <f ca="1">IFERROR(IF(COPIA!C310&lt;&gt;0,COPIA!C310,""),"")</f>
        <v>E</v>
      </c>
      <c r="G316" s="73" t="str">
        <f ca="1">IFERROR(IF(COPIA!D310&lt;&gt;0,COPIA!D310,""),"")</f>
        <v>D</v>
      </c>
      <c r="H316" s="73" t="str">
        <f ca="1">IF(E316="FONDO SVALUTAZIONE CREDITI","RETTIFICA CREDITI",IFERROR(IF(COPIA!E310&lt;&gt;0,COPIA!E310,""),""))</f>
        <v>COSTI D'ESERCIZIO</v>
      </c>
      <c r="I316" s="73" t="str">
        <f ca="1">IFERROR(IF(COPIA!F310&lt;&gt;0,COPIA!F310,""),"")</f>
        <v>SE DARE</v>
      </c>
    </row>
    <row r="317" spans="4:9" ht="20.100000000000001" customHeight="1" x14ac:dyDescent="0.3">
      <c r="D317" s="73" t="str">
        <f ca="1">IFERROR(IF(COPIA!A311&lt;&gt;0,COPIA!A311,""),"")</f>
        <v>41.10</v>
      </c>
      <c r="E317" s="75" t="str">
        <f ca="1">IFERROR(IF(COPIA!B311&lt;&gt;0,COPIA!B311,""),"")</f>
        <v>INTERESSI SU OBBLIGAZIONI</v>
      </c>
      <c r="F317" s="73" t="str">
        <f ca="1">IFERROR(IF(COPIA!C311&lt;&gt;0,COPIA!C311,""),"")</f>
        <v>E</v>
      </c>
      <c r="G317" s="73" t="str">
        <f ca="1">IFERROR(IF(COPIA!D311&lt;&gt;0,COPIA!D311,""),"")</f>
        <v>D</v>
      </c>
      <c r="H317" s="73" t="str">
        <f ca="1">IF(E317="FONDO SVALUTAZIONE CREDITI","RETTIFICA CREDITI",IFERROR(IF(COPIA!E311&lt;&gt;0,COPIA!E311,""),""))</f>
        <v>COSTI D'ESERCIZIO</v>
      </c>
      <c r="I317" s="73" t="str">
        <f ca="1">IFERROR(IF(COPIA!F311&lt;&gt;0,COPIA!F311,""),"")</f>
        <v>SE DARE</v>
      </c>
    </row>
    <row r="318" spans="4:9" ht="20.100000000000001" customHeight="1" x14ac:dyDescent="0.3">
      <c r="D318" s="73" t="str">
        <f ca="1">IFERROR(IF(COPIA!A312&lt;&gt;0,COPIA!A312,""),"")</f>
        <v>41.11</v>
      </c>
      <c r="E318" s="75" t="str">
        <f ca="1">IFERROR(IF(COPIA!B312&lt;&gt;0,COPIA!B312,""),"")</f>
        <v>MINUSVALENZE DA PARTECIPAZIONI</v>
      </c>
      <c r="F318" s="73" t="str">
        <f ca="1">IFERROR(IF(COPIA!C312&lt;&gt;0,COPIA!C312,""),"")</f>
        <v>E</v>
      </c>
      <c r="G318" s="73" t="str">
        <f ca="1">IFERROR(IF(COPIA!D312&lt;&gt;0,COPIA!D312,""),"")</f>
        <v>D</v>
      </c>
      <c r="H318" s="73" t="str">
        <f ca="1">IF(E318="FONDO SVALUTAZIONE CREDITI","RETTIFICA CREDITI",IFERROR(IF(COPIA!E312&lt;&gt;0,COPIA!E312,""),""))</f>
        <v>COSTI D'ESERCIZIO</v>
      </c>
      <c r="I318" s="73" t="str">
        <f ca="1">IFERROR(IF(COPIA!F312&lt;&gt;0,COPIA!F312,""),"")</f>
        <v>SE DARE</v>
      </c>
    </row>
    <row r="319" spans="4:9" ht="20.100000000000001" customHeight="1" x14ac:dyDescent="0.3">
      <c r="D319" s="73" t="str">
        <f ca="1">IFERROR(IF(COPIA!A313&lt;&gt;0,COPIA!A313,""),"")</f>
        <v>41.30</v>
      </c>
      <c r="E319" s="75" t="str">
        <f ca="1">IFERROR(IF(COPIA!B313&lt;&gt;0,COPIA!B313,""),"")</f>
        <v>INTERESSI PASSIVI A CONTROLLATE</v>
      </c>
      <c r="F319" s="73" t="str">
        <f ca="1">IFERROR(IF(COPIA!C313&lt;&gt;0,COPIA!C313,""),"")</f>
        <v>E</v>
      </c>
      <c r="G319" s="73" t="str">
        <f ca="1">IFERROR(IF(COPIA!D313&lt;&gt;0,COPIA!D313,""),"")</f>
        <v>D</v>
      </c>
      <c r="H319" s="73" t="str">
        <f ca="1">IF(E319="FONDO SVALUTAZIONE CREDITI","RETTIFICA CREDITI",IFERROR(IF(COPIA!E313&lt;&gt;0,COPIA!E313,""),""))</f>
        <v>COSTI D'ESERCIZIO</v>
      </c>
      <c r="I319" s="73" t="str">
        <f ca="1">IFERROR(IF(COPIA!F313&lt;&gt;0,COPIA!F313,""),"")</f>
        <v>SE DARE</v>
      </c>
    </row>
    <row r="320" spans="4:9" ht="20.100000000000001" customHeight="1" x14ac:dyDescent="0.3">
      <c r="D320" s="73" t="str">
        <f ca="1">IFERROR(IF(COPIA!A314&lt;&gt;0,COPIA!A314,""),"")</f>
        <v>41.31</v>
      </c>
      <c r="E320" s="75" t="str">
        <f ca="1">IFERROR(IF(COPIA!B314&lt;&gt;0,COPIA!B314,""),"")</f>
        <v>INTERESSI PASSIVI A COLLEGATE</v>
      </c>
      <c r="F320" s="73" t="str">
        <f ca="1">IFERROR(IF(COPIA!C314&lt;&gt;0,COPIA!C314,""),"")</f>
        <v>E</v>
      </c>
      <c r="G320" s="73" t="str">
        <f ca="1">IFERROR(IF(COPIA!D314&lt;&gt;0,COPIA!D314,""),"")</f>
        <v>D</v>
      </c>
      <c r="H320" s="73" t="str">
        <f ca="1">IF(E320="FONDO SVALUTAZIONE CREDITI","RETTIFICA CREDITI",IFERROR(IF(COPIA!E314&lt;&gt;0,COPIA!E314,""),""))</f>
        <v>COSTI D'ESERCIZIO</v>
      </c>
      <c r="I320" s="73" t="str">
        <f ca="1">IFERROR(IF(COPIA!F314&lt;&gt;0,COPIA!F314,""),"")</f>
        <v>SE DARE</v>
      </c>
    </row>
    <row r="321" spans="4:9" ht="20.100000000000001" customHeight="1" x14ac:dyDescent="0.3">
      <c r="D321" s="73" t="str">
        <f ca="1">IFERROR(IF(COPIA!A315&lt;&gt;0,COPIA!A315,""),"")</f>
        <v>41.32</v>
      </c>
      <c r="E321" s="75" t="str">
        <f ca="1">IFERROR(IF(COPIA!B315&lt;&gt;0,COPIA!B315,""),"")</f>
        <v>INTERESSI PASSIVI A CONTROLLANTE</v>
      </c>
      <c r="F321" s="73" t="str">
        <f ca="1">IFERROR(IF(COPIA!C315&lt;&gt;0,COPIA!C315,""),"")</f>
        <v>E</v>
      </c>
      <c r="G321" s="73" t="str">
        <f ca="1">IFERROR(IF(COPIA!D315&lt;&gt;0,COPIA!D315,""),"")</f>
        <v>D</v>
      </c>
      <c r="H321" s="73" t="str">
        <f ca="1">IF(E321="FONDO SVALUTAZIONE CREDITI","RETTIFICA CREDITI",IFERROR(IF(COPIA!E315&lt;&gt;0,COPIA!E315,""),""))</f>
        <v>COSTI D'ESERCIZIO</v>
      </c>
      <c r="I321" s="73" t="str">
        <f ca="1">IFERROR(IF(COPIA!F315&lt;&gt;0,COPIA!F315,""),"")</f>
        <v>SE DARE</v>
      </c>
    </row>
    <row r="322" spans="4:9" ht="20.100000000000001" customHeight="1" x14ac:dyDescent="0.3">
      <c r="D322" s="73" t="str">
        <f ca="1">IFERROR(IF(COPIA!A316&lt;&gt;0,COPIA!A316,""),"")</f>
        <v>41.40</v>
      </c>
      <c r="E322" s="75" t="str">
        <f ca="1">IFERROR(IF(COPIA!B316&lt;&gt;0,COPIA!B316,""),"")</f>
        <v>PERDITA SU TITOLI</v>
      </c>
      <c r="F322" s="73" t="str">
        <f ca="1">IFERROR(IF(COPIA!C316&lt;&gt;0,COPIA!C316,""),"")</f>
        <v>E</v>
      </c>
      <c r="G322" s="73" t="str">
        <f ca="1">IFERROR(IF(COPIA!D316&lt;&gt;0,COPIA!D316,""),"")</f>
        <v>D</v>
      </c>
      <c r="H322" s="73" t="str">
        <f ca="1">IF(E322="FONDO SVALUTAZIONE CREDITI","RETTIFICA CREDITI",IFERROR(IF(COPIA!E316&lt;&gt;0,COPIA!E316,""),""))</f>
        <v>COSTI D'ESERCIZIO</v>
      </c>
      <c r="I322" s="73" t="str">
        <f ca="1">IFERROR(IF(COPIA!F316&lt;&gt;0,COPIA!F316,""),"")</f>
        <v>SE DARE</v>
      </c>
    </row>
    <row r="323" spans="4:9" ht="20.100000000000001" customHeight="1" x14ac:dyDescent="0.3">
      <c r="D323" s="73" t="str">
        <f ca="1">IFERROR(IF(COPIA!A317&lt;&gt;0,COPIA!A317,""),"")</f>
        <v>41.50</v>
      </c>
      <c r="E323" s="75" t="str">
        <f ca="1">IFERROR(IF(COPIA!B317&lt;&gt;0,COPIA!B317,""),"")</f>
        <v>ONERI FINANZIARI DIVERSI</v>
      </c>
      <c r="F323" s="73" t="str">
        <f ca="1">IFERROR(IF(COPIA!C317&lt;&gt;0,COPIA!C317,""),"")</f>
        <v>E</v>
      </c>
      <c r="G323" s="73" t="str">
        <f ca="1">IFERROR(IF(COPIA!D317&lt;&gt;0,COPIA!D317,""),"")</f>
        <v>D</v>
      </c>
      <c r="H323" s="73" t="str">
        <f ca="1">IF(E323="FONDO SVALUTAZIONE CREDITI","RETTIFICA CREDITI",IFERROR(IF(COPIA!E317&lt;&gt;0,COPIA!E317,""),""))</f>
        <v>COSTI D'ESERCIZIO</v>
      </c>
      <c r="I323" s="73" t="str">
        <f ca="1">IFERROR(IF(COPIA!F317&lt;&gt;0,COPIA!F317,""),"")</f>
        <v>SE DARE</v>
      </c>
    </row>
    <row r="324" spans="4:9" ht="20.100000000000001" customHeight="1" x14ac:dyDescent="0.3">
      <c r="D324" s="73" t="str">
        <f ca="1">IFERROR(IF(COPIA!A318&lt;&gt;0,COPIA!A318,""),"")</f>
        <v>41.60</v>
      </c>
      <c r="E324" s="75" t="str">
        <f ca="1">IFERROR(IF(COPIA!B318&lt;&gt;0,COPIA!B318,""),"")</f>
        <v>CONTRIBUTI IN C/INTERESSI</v>
      </c>
      <c r="F324" s="73" t="str">
        <f ca="1">IFERROR(IF(COPIA!C318&lt;&gt;0,COPIA!C318,""),"")</f>
        <v>E</v>
      </c>
      <c r="G324" s="73" t="str">
        <f ca="1">IFERROR(IF(COPIA!D318&lt;&gt;0,COPIA!D318,""),"")</f>
        <v>A</v>
      </c>
      <c r="H324" s="73" t="str">
        <f ca="1">IF(E324="FONDO SVALUTAZIONE CREDITI","RETTIFICA CREDITI",IFERROR(IF(COPIA!E318&lt;&gt;0,COPIA!E318,""),""))</f>
        <v>RETTIFICHE COSTI D'ESERCIZIO</v>
      </c>
      <c r="I324" s="73" t="str">
        <f ca="1">IFERROR(IF(COPIA!F318&lt;&gt;0,COPIA!F318,""),"")</f>
        <v>SE AVERE</v>
      </c>
    </row>
    <row r="325" spans="4:9" ht="20.100000000000001" customHeight="1" x14ac:dyDescent="0.3">
      <c r="D325" s="73" t="str">
        <f ca="1">IFERROR(IF(COPIA!A319&lt;&gt;0,COPIA!A319,""),"")</f>
        <v>50.00</v>
      </c>
      <c r="E325" s="75" t="str">
        <f ca="1">IFERROR(IF(COPIA!B319&lt;&gt;0,COPIA!B319,""),"")</f>
        <v>RIVALUTAZIONI DI ATTIVITÀ FINANZIARIE</v>
      </c>
      <c r="F325" s="73" t="str">
        <f ca="1">IFERROR(IF(COPIA!C319&lt;&gt;0,COPIA!C319,""),"")</f>
        <v/>
      </c>
      <c r="G325" s="73" t="str">
        <f ca="1">IFERROR(IF(COPIA!D319&lt;&gt;0,COPIA!D319,""),"")</f>
        <v/>
      </c>
      <c r="H325" s="73" t="str">
        <f ca="1">IF(E325="FONDO SVALUTAZIONE CREDITI","RETTIFICA CREDITI",IFERROR(IF(COPIA!E319&lt;&gt;0,COPIA!E319,""),""))</f>
        <v/>
      </c>
      <c r="I325" s="73" t="str">
        <f ca="1">IFERROR(IF(COPIA!F319&lt;&gt;0,COPIA!F319,""),"")</f>
        <v/>
      </c>
    </row>
    <row r="326" spans="4:9" ht="20.100000000000001" customHeight="1" x14ac:dyDescent="0.3">
      <c r="D326" s="73" t="str">
        <f ca="1">IFERROR(IF(COPIA!A320&lt;&gt;0,COPIA!A320,""),"")</f>
        <v>50.01</v>
      </c>
      <c r="E326" s="75" t="str">
        <f ca="1">IFERROR(IF(COPIA!B320&lt;&gt;0,COPIA!B320,""),"")</f>
        <v>RIVALUTAZIONE PARTECIPAZIONI</v>
      </c>
      <c r="F326" s="73" t="str">
        <f ca="1">IFERROR(IF(COPIA!C320&lt;&gt;0,COPIA!C320,""),"")</f>
        <v>E</v>
      </c>
      <c r="G326" s="73" t="str">
        <f ca="1">IFERROR(IF(COPIA!D320&lt;&gt;0,COPIA!D320,""),"")</f>
        <v>A</v>
      </c>
      <c r="H326" s="73" t="str">
        <f ca="1">IF(E326="FONDO SVALUTAZIONE CREDITI","RETTIFICA CREDITI",IFERROR(IF(COPIA!E320&lt;&gt;0,COPIA!E320,""),""))</f>
        <v>RICAVI D'ESERCIZIO</v>
      </c>
      <c r="I326" s="73" t="str">
        <f ca="1">IFERROR(IF(COPIA!F320&lt;&gt;0,COPIA!F320,""),"")</f>
        <v>SE AVERE</v>
      </c>
    </row>
    <row r="327" spans="4:9" ht="20.100000000000001" customHeight="1" x14ac:dyDescent="0.3">
      <c r="D327" s="73" t="str">
        <f ca="1">IFERROR(IF(COPIA!A321&lt;&gt;0,COPIA!A321,""),"")</f>
        <v>50.02</v>
      </c>
      <c r="E327" s="75" t="str">
        <f ca="1">IFERROR(IF(COPIA!B321&lt;&gt;0,COPIA!B321,""),"")</f>
        <v>RIVALUTAZIONE TITOLI</v>
      </c>
      <c r="F327" s="73" t="str">
        <f ca="1">IFERROR(IF(COPIA!C321&lt;&gt;0,COPIA!C321,""),"")</f>
        <v>E</v>
      </c>
      <c r="G327" s="73" t="str">
        <f ca="1">IFERROR(IF(COPIA!D321&lt;&gt;0,COPIA!D321,""),"")</f>
        <v>A</v>
      </c>
      <c r="H327" s="73" t="str">
        <f ca="1">IF(E327="FONDO SVALUTAZIONE CREDITI","RETTIFICA CREDITI",IFERROR(IF(COPIA!E321&lt;&gt;0,COPIA!E321,""),""))</f>
        <v>RICAVI D'ESERCIZIO</v>
      </c>
      <c r="I327" s="73" t="str">
        <f ca="1">IFERROR(IF(COPIA!F321&lt;&gt;0,COPIA!F321,""),"")</f>
        <v>SE AVERE</v>
      </c>
    </row>
    <row r="328" spans="4:9" ht="20.100000000000001" customHeight="1" x14ac:dyDescent="0.3">
      <c r="D328" s="73" t="str">
        <f ca="1">IFERROR(IF(COPIA!A322&lt;&gt;0,COPIA!A322,""),"")</f>
        <v>51.00</v>
      </c>
      <c r="E328" s="75" t="str">
        <f ca="1">IFERROR(IF(COPIA!B322&lt;&gt;0,COPIA!B322,""),"")</f>
        <v>SVALUTAZIONI DI ATTIVITÀ FINANZIARIE</v>
      </c>
      <c r="F328" s="73" t="str">
        <f ca="1">IFERROR(IF(COPIA!C322&lt;&gt;0,COPIA!C322,""),"")</f>
        <v/>
      </c>
      <c r="G328" s="73" t="str">
        <f ca="1">IFERROR(IF(COPIA!D322&lt;&gt;0,COPIA!D322,""),"")</f>
        <v/>
      </c>
      <c r="H328" s="73" t="str">
        <f ca="1">IF(E328="FONDO SVALUTAZIONE CREDITI","RETTIFICA CREDITI",IFERROR(IF(COPIA!E322&lt;&gt;0,COPIA!E322,""),""))</f>
        <v/>
      </c>
      <c r="I328" s="73" t="str">
        <f ca="1">IFERROR(IF(COPIA!F322&lt;&gt;0,COPIA!F322,""),"")</f>
        <v/>
      </c>
    </row>
    <row r="329" spans="4:9" ht="20.100000000000001" customHeight="1" x14ac:dyDescent="0.3">
      <c r="D329" s="73" t="str">
        <f ca="1">IFERROR(IF(COPIA!A323&lt;&gt;0,COPIA!A323,""),"")</f>
        <v>51.10</v>
      </c>
      <c r="E329" s="75" t="str">
        <f ca="1">IFERROR(IF(COPIA!B323&lt;&gt;0,COPIA!B323,""),"")</f>
        <v>SVALUTAZIONE PARTECIPAZIONI</v>
      </c>
      <c r="F329" s="73" t="str">
        <f ca="1">IFERROR(IF(COPIA!C323&lt;&gt;0,COPIA!C323,""),"")</f>
        <v>E</v>
      </c>
      <c r="G329" s="73" t="str">
        <f ca="1">IFERROR(IF(COPIA!D323&lt;&gt;0,COPIA!D323,""),"")</f>
        <v>D</v>
      </c>
      <c r="H329" s="73" t="str">
        <f ca="1">IF(E329="FONDO SVALUTAZIONE CREDITI","RETTIFICA CREDITI",IFERROR(IF(COPIA!E323&lt;&gt;0,COPIA!E323,""),""))</f>
        <v>COSTI D'ESERCIZIO</v>
      </c>
      <c r="I329" s="73" t="str">
        <f ca="1">IFERROR(IF(COPIA!F323&lt;&gt;0,COPIA!F323,""),"")</f>
        <v>SE DARE</v>
      </c>
    </row>
    <row r="330" spans="4:9" ht="20.100000000000001" customHeight="1" x14ac:dyDescent="0.3">
      <c r="D330" s="73" t="str">
        <f ca="1">IFERROR(IF(COPIA!A324&lt;&gt;0,COPIA!A324,""),"")</f>
        <v>51.11</v>
      </c>
      <c r="E330" s="75" t="str">
        <f ca="1">IFERROR(IF(COPIA!B324&lt;&gt;0,COPIA!B324,""),"")</f>
        <v>SVALUTAZIONE TITOLI</v>
      </c>
      <c r="F330" s="73" t="str">
        <f ca="1">IFERROR(IF(COPIA!C324&lt;&gt;0,COPIA!C324,""),"")</f>
        <v>E</v>
      </c>
      <c r="G330" s="73" t="str">
        <f ca="1">IFERROR(IF(COPIA!D324&lt;&gt;0,COPIA!D324,""),"")</f>
        <v>D</v>
      </c>
      <c r="H330" s="73" t="str">
        <f ca="1">IF(E330="FONDO SVALUTAZIONE CREDITI","RETTIFICA CREDITI",IFERROR(IF(COPIA!E324&lt;&gt;0,COPIA!E324,""),""))</f>
        <v>COSTI D'ESERCIZIO</v>
      </c>
      <c r="I330" s="73" t="str">
        <f ca="1">IFERROR(IF(COPIA!F324&lt;&gt;0,COPIA!F324,""),"")</f>
        <v>SE DARE</v>
      </c>
    </row>
    <row r="331" spans="4:9" ht="20.100000000000001" customHeight="1" x14ac:dyDescent="0.3">
      <c r="D331" s="73" t="str">
        <f ca="1">IFERROR(IF(COPIA!A325&lt;&gt;0,COPIA!A325,""),"")</f>
        <v>60.00</v>
      </c>
      <c r="E331" s="75" t="str">
        <f ca="1">IFERROR(IF(COPIA!B325&lt;&gt;0,COPIA!B325,""),"")</f>
        <v>IMPOSTE DELL'ESERCIZIO</v>
      </c>
      <c r="F331" s="73" t="str">
        <f ca="1">IFERROR(IF(COPIA!C325&lt;&gt;0,COPIA!C325,""),"")</f>
        <v/>
      </c>
      <c r="G331" s="73" t="str">
        <f ca="1">IFERROR(IF(COPIA!D325&lt;&gt;0,COPIA!D325,""),"")</f>
        <v/>
      </c>
      <c r="H331" s="73" t="str">
        <f ca="1">IF(E331="FONDO SVALUTAZIONE CREDITI","RETTIFICA CREDITI",IFERROR(IF(COPIA!E325&lt;&gt;0,COPIA!E325,""),""))</f>
        <v/>
      </c>
      <c r="I331" s="73" t="str">
        <f ca="1">IFERROR(IF(COPIA!F325&lt;&gt;0,COPIA!F325,""),"")</f>
        <v/>
      </c>
    </row>
    <row r="332" spans="4:9" ht="20.100000000000001" customHeight="1" x14ac:dyDescent="0.3">
      <c r="D332" s="73" t="str">
        <f ca="1">IFERROR(IF(COPIA!A326&lt;&gt;0,COPIA!A326,""),"")</f>
        <v>60.01</v>
      </c>
      <c r="E332" s="75" t="str">
        <f ca="1">IFERROR(IF(COPIA!B326&lt;&gt;0,COPIA!B326,""),"")</f>
        <v>IMPOSTE DELL'ESERCIZIO</v>
      </c>
      <c r="F332" s="73" t="str">
        <f ca="1">IFERROR(IF(COPIA!C326&lt;&gt;0,COPIA!C326,""),"")</f>
        <v>E</v>
      </c>
      <c r="G332" s="73" t="str">
        <f ca="1">IFERROR(IF(COPIA!D326&lt;&gt;0,COPIA!D326,""),"")</f>
        <v>D</v>
      </c>
      <c r="H332" s="73" t="str">
        <f ca="1">IF(E332="FONDO SVALUTAZIONE CREDITI","RETTIFICA CREDITI",IFERROR(IF(COPIA!E326&lt;&gt;0,COPIA!E326,""),""))</f>
        <v>COSTI D'ESERCIZIO</v>
      </c>
      <c r="I332" s="73" t="str">
        <f ca="1">IFERROR(IF(COPIA!F326&lt;&gt;0,COPIA!F326,""),"")</f>
        <v>SE DARE</v>
      </c>
    </row>
    <row r="333" spans="4:9" ht="20.100000000000001" customHeight="1" x14ac:dyDescent="0.3">
      <c r="D333" s="73" t="str">
        <f ca="1">IFERROR(IF(COPIA!A327&lt;&gt;0,COPIA!A327,""),"")</f>
        <v>60.02</v>
      </c>
      <c r="E333" s="75" t="str">
        <f ca="1">IFERROR(IF(COPIA!B327&lt;&gt;0,COPIA!B327,""),"")</f>
        <v>ACCANTONAMENTO PER IMPOSTE DIRETTE</v>
      </c>
      <c r="F333" s="73" t="str">
        <f ca="1">IFERROR(IF(COPIA!C327&lt;&gt;0,COPIA!C327,""),"")</f>
        <v>E</v>
      </c>
      <c r="G333" s="73" t="str">
        <f ca="1">IFERROR(IF(COPIA!D327&lt;&gt;0,COPIA!D327,""),"")</f>
        <v>D</v>
      </c>
      <c r="H333" s="73" t="str">
        <f ca="1">IF(E333="FONDO SVALUTAZIONE CREDITI","RETTIFICA CREDITI",IFERROR(IF(COPIA!E327&lt;&gt;0,COPIA!E327,""),""))</f>
        <v>COSTI D'ESERCIZIO</v>
      </c>
      <c r="I333" s="73" t="str">
        <f ca="1">IFERROR(IF(COPIA!F327&lt;&gt;0,COPIA!F327,""),"")</f>
        <v>SE DARE</v>
      </c>
    </row>
    <row r="334" spans="4:9" ht="20.100000000000001" customHeight="1" x14ac:dyDescent="0.3">
      <c r="D334" s="73" t="str">
        <f ca="1">IFERROR(IF(COPIA!A328&lt;&gt;0,COPIA!A328,""),"")</f>
        <v>90.00</v>
      </c>
      <c r="E334" s="75" t="str">
        <f ca="1">IFERROR(IF(COPIA!B328&lt;&gt;0,COPIA!B328,""),"")</f>
        <v>CONTI DI RISULTATO</v>
      </c>
      <c r="F334" s="73" t="str">
        <f ca="1">IFERROR(IF(COPIA!C328&lt;&gt;0,COPIA!C328,""),"")</f>
        <v/>
      </c>
      <c r="G334" s="73" t="str">
        <f ca="1">IFERROR(IF(COPIA!D328&lt;&gt;0,COPIA!D328,""),"")</f>
        <v/>
      </c>
      <c r="H334" s="73" t="str">
        <f ca="1">IF(E334="FONDO SVALUTAZIONE CREDITI","RETTIFICA CREDITI",IFERROR(IF(COPIA!E328&lt;&gt;0,COPIA!E328,""),""))</f>
        <v/>
      </c>
      <c r="I334" s="73" t="str">
        <f ca="1">IFERROR(IF(COPIA!F328&lt;&gt;0,COPIA!F328,""),"")</f>
        <v/>
      </c>
    </row>
    <row r="335" spans="4:9" ht="20.100000000000001" customHeight="1" x14ac:dyDescent="0.3">
      <c r="D335" s="73" t="str">
        <f ca="1">IFERROR(IF(COPIA!A329&lt;&gt;0,COPIA!A329,""),"")</f>
        <v>90.01</v>
      </c>
      <c r="E335" s="75" t="str">
        <f ca="1">IFERROR(IF(COPIA!B329&lt;&gt;0,COPIA!B329,""),"")</f>
        <v>CONTO DI RISULTATO ECONOMICO</v>
      </c>
      <c r="F335" s="73" t="str">
        <f ca="1">IFERROR(IF(COPIA!C329&lt;&gt;0,COPIA!C329,""),"")</f>
        <v>E</v>
      </c>
      <c r="G335" s="73" t="str">
        <f ca="1">IFERROR(IF(COPIA!D329&lt;&gt;0,COPIA!D329,""),"")</f>
        <v>D/A</v>
      </c>
      <c r="H335" s="73" t="str">
        <f ca="1">IF(E335="FONDO SVALUTAZIONE CREDITI","RETTIFICA CREDITI",IFERROR(IF(COPIA!E329&lt;&gt;0,COPIA!E329,""),""))</f>
        <v>CONTI DI RISULTATO</v>
      </c>
      <c r="I335" s="73" t="str">
        <f ca="1">IFERROR(IF(COPIA!F329&lt;&gt;0,COPIA!F329,""),"")</f>
        <v/>
      </c>
    </row>
    <row r="336" spans="4:9" ht="20.100000000000001" customHeight="1" x14ac:dyDescent="0.3">
      <c r="D336" s="73" t="str">
        <f ca="1">IFERROR(IF(COPIA!A330&lt;&gt;0,COPIA!A330,""),"")</f>
        <v>90.02</v>
      </c>
      <c r="E336" s="75" t="str">
        <f ca="1">IFERROR(IF(COPIA!B330&lt;&gt;0,COPIA!B330,""),"")</f>
        <v>GESTIONE TITOLI</v>
      </c>
      <c r="F336" s="73" t="str">
        <f ca="1">IFERROR(IF(COPIA!C330&lt;&gt;0,COPIA!C330,""),"")</f>
        <v>E</v>
      </c>
      <c r="G336" s="73" t="str">
        <f ca="1">IFERROR(IF(COPIA!D330&lt;&gt;0,COPIA!D330,""),"")</f>
        <v>D/A</v>
      </c>
      <c r="H336" s="73" t="str">
        <f ca="1">IF(E336="FONDO SVALUTAZIONE CREDITI","RETTIFICA CREDITI",IFERROR(IF(COPIA!E330&lt;&gt;0,COPIA!E330,""),""))</f>
        <v>CONTI DI RISULTATO</v>
      </c>
      <c r="I336" s="73" t="str">
        <f ca="1">IFERROR(IF(COPIA!F330&lt;&gt;0,COPIA!F330,""),"")</f>
        <v/>
      </c>
    </row>
    <row r="337" spans="4:9" ht="20.100000000000001" customHeight="1" x14ac:dyDescent="0.3">
      <c r="D337" s="73" t="str">
        <f ca="1">IFERROR(IF(COPIA!A331&lt;&gt;0,COPIA!A331,""),"")</f>
        <v/>
      </c>
      <c r="E337" s="75" t="str">
        <f ca="1">IFERROR(IF(COPIA!B331&lt;&gt;0,COPIA!B331,""),"")</f>
        <v/>
      </c>
      <c r="F337" s="73" t="str">
        <f ca="1">IFERROR(IF(COPIA!C331&lt;&gt;0,COPIA!C331,""),"")</f>
        <v/>
      </c>
      <c r="G337" s="73" t="str">
        <f ca="1">IFERROR(IF(COPIA!D331&lt;&gt;0,COPIA!D331,""),"")</f>
        <v/>
      </c>
      <c r="H337" s="73" t="str">
        <f ca="1">IF(E337="FONDO SVALUTAZIONE CREDITI","RETTIFICA CREDITI",IFERROR(IF(COPIA!E331&lt;&gt;0,COPIA!E331,""),""))</f>
        <v/>
      </c>
      <c r="I337" s="73" t="str">
        <f ca="1">IFERROR(IF(COPIA!F331&lt;&gt;0,COPIA!F331,""),"")</f>
        <v/>
      </c>
    </row>
    <row r="338" spans="4:9" ht="20.100000000000001" customHeight="1" x14ac:dyDescent="0.3">
      <c r="D338" s="73" t="str">
        <f ca="1">IFERROR(IF(COPIA!A332&lt;&gt;0,COPIA!A332,""),"")</f>
        <v/>
      </c>
      <c r="E338" s="75" t="str">
        <f ca="1">IFERROR(IF(COPIA!B332&lt;&gt;0,COPIA!B332,""),"")</f>
        <v/>
      </c>
      <c r="F338" s="73" t="str">
        <f ca="1">IFERROR(IF(COPIA!C332&lt;&gt;0,COPIA!C332,""),"")</f>
        <v/>
      </c>
      <c r="G338" s="73" t="str">
        <f ca="1">IFERROR(IF(COPIA!D332&lt;&gt;0,COPIA!D332,""),"")</f>
        <v/>
      </c>
      <c r="H338" s="73" t="str">
        <f ca="1">IF(E338="FONDO SVALUTAZIONE CREDITI","RETTIFICA CREDITI",IFERROR(IF(COPIA!E332&lt;&gt;0,COPIA!E332,""),""))</f>
        <v/>
      </c>
      <c r="I338" s="73" t="str">
        <f ca="1">IFERROR(IF(COPIA!F332&lt;&gt;0,COPIA!F332,""),"")</f>
        <v/>
      </c>
    </row>
    <row r="339" spans="4:9" ht="20.100000000000001" customHeight="1" x14ac:dyDescent="0.3">
      <c r="D339" s="73" t="str">
        <f ca="1">IFERROR(IF(COPIA!A333&lt;&gt;0,COPIA!A333,""),"")</f>
        <v/>
      </c>
      <c r="E339" s="75" t="str">
        <f ca="1">IFERROR(IF(COPIA!B333&lt;&gt;0,COPIA!B333,""),"")</f>
        <v/>
      </c>
      <c r="F339" s="73" t="str">
        <f ca="1">IFERROR(IF(COPIA!C333&lt;&gt;0,COPIA!C333,""),"")</f>
        <v/>
      </c>
      <c r="G339" s="73" t="str">
        <f ca="1">IFERROR(IF(COPIA!D333&lt;&gt;0,COPIA!D333,""),"")</f>
        <v/>
      </c>
      <c r="H339" s="73" t="str">
        <f ca="1">IF(E339="FONDO SVALUTAZIONE CREDITI","RETTIFICA CREDITI",IFERROR(IF(COPIA!E333&lt;&gt;0,COPIA!E333,""),""))</f>
        <v/>
      </c>
      <c r="I339" s="73" t="str">
        <f ca="1">IFERROR(IF(COPIA!F333&lt;&gt;0,COPIA!F333,""),"")</f>
        <v/>
      </c>
    </row>
    <row r="340" spans="4:9" ht="20.100000000000001" customHeight="1" x14ac:dyDescent="0.3">
      <c r="D340" s="73" t="str">
        <f ca="1">IFERROR(IF(COPIA!A334&lt;&gt;0,COPIA!A334,""),"")</f>
        <v/>
      </c>
      <c r="E340" s="75" t="str">
        <f ca="1">IFERROR(IF(COPIA!B334&lt;&gt;0,COPIA!B334,""),"")</f>
        <v/>
      </c>
      <c r="F340" s="73" t="str">
        <f ca="1">IFERROR(IF(COPIA!C334&lt;&gt;0,COPIA!C334,""),"")</f>
        <v/>
      </c>
      <c r="G340" s="73" t="str">
        <f ca="1">IFERROR(IF(COPIA!D334&lt;&gt;0,COPIA!D334,""),"")</f>
        <v/>
      </c>
      <c r="H340" s="73" t="str">
        <f ca="1">IF(E340="FONDO SVALUTAZIONE CREDITI","RETTIFICA CREDITI",IFERROR(IF(COPIA!E334&lt;&gt;0,COPIA!E334,""),""))</f>
        <v/>
      </c>
      <c r="I340" s="73" t="str">
        <f ca="1">IFERROR(IF(COPIA!F334&lt;&gt;0,COPIA!F334,""),"")</f>
        <v/>
      </c>
    </row>
    <row r="341" spans="4:9" ht="20.100000000000001" customHeight="1" x14ac:dyDescent="0.3">
      <c r="D341" s="73" t="str">
        <f ca="1">IFERROR(IF(COPIA!A335&lt;&gt;0,COPIA!A335,""),"")</f>
        <v/>
      </c>
      <c r="E341" s="75" t="str">
        <f ca="1">IFERROR(IF(COPIA!B335&lt;&gt;0,COPIA!B335,""),"")</f>
        <v/>
      </c>
      <c r="F341" s="73" t="str">
        <f ca="1">IFERROR(IF(COPIA!C335&lt;&gt;0,COPIA!C335,""),"")</f>
        <v/>
      </c>
      <c r="G341" s="73" t="str">
        <f ca="1">IFERROR(IF(COPIA!D335&lt;&gt;0,COPIA!D335,""),"")</f>
        <v/>
      </c>
      <c r="H341" s="73" t="str">
        <f ca="1">IF(E341="FONDO SVALUTAZIONE CREDITI","RETTIFICA CREDITI",IFERROR(IF(COPIA!E335&lt;&gt;0,COPIA!E335,""),""))</f>
        <v/>
      </c>
      <c r="I341" s="73" t="str">
        <f ca="1">IFERROR(IF(COPIA!F335&lt;&gt;0,COPIA!F335,""),"")</f>
        <v/>
      </c>
    </row>
    <row r="342" spans="4:9" ht="20.100000000000001" customHeight="1" x14ac:dyDescent="0.3">
      <c r="D342" s="73" t="str">
        <f ca="1">IFERROR(IF(COPIA!A336&lt;&gt;0,COPIA!A336,""),"")</f>
        <v/>
      </c>
      <c r="E342" s="75" t="str">
        <f ca="1">IFERROR(IF(COPIA!B336&lt;&gt;0,COPIA!B336,""),"")</f>
        <v/>
      </c>
      <c r="F342" s="73" t="str">
        <f ca="1">IFERROR(IF(COPIA!C336&lt;&gt;0,COPIA!C336,""),"")</f>
        <v/>
      </c>
      <c r="G342" s="73" t="str">
        <f ca="1">IFERROR(IF(COPIA!D336&lt;&gt;0,COPIA!D336,""),"")</f>
        <v/>
      </c>
      <c r="H342" s="73" t="str">
        <f ca="1">IF(E342="FONDO SVALUTAZIONE CREDITI","RETTIFICA CREDITI",IFERROR(IF(COPIA!E336&lt;&gt;0,COPIA!E336,""),""))</f>
        <v/>
      </c>
      <c r="I342" s="73" t="str">
        <f ca="1">IFERROR(IF(COPIA!F336&lt;&gt;0,COPIA!F336,""),"")</f>
        <v/>
      </c>
    </row>
    <row r="343" spans="4:9" ht="20.100000000000001" customHeight="1" x14ac:dyDescent="0.3">
      <c r="D343" s="73" t="str">
        <f ca="1">IFERROR(IF(COPIA!A337&lt;&gt;0,COPIA!A337,""),"")</f>
        <v/>
      </c>
      <c r="E343" s="75" t="str">
        <f ca="1">IFERROR(IF(COPIA!B337&lt;&gt;0,COPIA!B337,""),"")</f>
        <v/>
      </c>
      <c r="F343" s="73" t="str">
        <f ca="1">IFERROR(IF(COPIA!C337&lt;&gt;0,COPIA!C337,""),"")</f>
        <v/>
      </c>
      <c r="G343" s="73" t="str">
        <f ca="1">IFERROR(IF(COPIA!D337&lt;&gt;0,COPIA!D337,""),"")</f>
        <v/>
      </c>
      <c r="H343" s="73" t="str">
        <f ca="1">IF(E343="FONDO SVALUTAZIONE CREDITI","RETTIFICA CREDITI",IFERROR(IF(COPIA!E337&lt;&gt;0,COPIA!E337,""),""))</f>
        <v/>
      </c>
      <c r="I343" s="73" t="str">
        <f ca="1">IFERROR(IF(COPIA!F337&lt;&gt;0,COPIA!F337,""),"")</f>
        <v/>
      </c>
    </row>
    <row r="344" spans="4:9" ht="20.100000000000001" customHeight="1" x14ac:dyDescent="0.3">
      <c r="D344" s="73" t="str">
        <f ca="1">IFERROR(IF(COPIA!A338&lt;&gt;0,COPIA!A338,""),"")</f>
        <v/>
      </c>
      <c r="E344" s="75" t="str">
        <f ca="1">IFERROR(IF(COPIA!B338&lt;&gt;0,COPIA!B338,""),"")</f>
        <v/>
      </c>
      <c r="F344" s="73" t="str">
        <f ca="1">IFERROR(IF(COPIA!C338&lt;&gt;0,COPIA!C338,""),"")</f>
        <v/>
      </c>
      <c r="G344" s="73" t="str">
        <f ca="1">IFERROR(IF(COPIA!D338&lt;&gt;0,COPIA!D338,""),"")</f>
        <v/>
      </c>
      <c r="H344" s="73" t="str">
        <f ca="1">IF(E344="FONDO SVALUTAZIONE CREDITI","RETTIFICA CREDITI",IFERROR(IF(COPIA!E338&lt;&gt;0,COPIA!E338,""),""))</f>
        <v/>
      </c>
      <c r="I344" s="73" t="str">
        <f ca="1">IFERROR(IF(COPIA!F338&lt;&gt;0,COPIA!F338,""),"")</f>
        <v/>
      </c>
    </row>
    <row r="345" spans="4:9" ht="20.100000000000001" customHeight="1" x14ac:dyDescent="0.3">
      <c r="D345" s="73" t="str">
        <f ca="1">IFERROR(IF(COPIA!A339&lt;&gt;0,COPIA!A339,""),"")</f>
        <v/>
      </c>
      <c r="E345" s="75" t="str">
        <f ca="1">IFERROR(IF(COPIA!B339&lt;&gt;0,COPIA!B339,""),"")</f>
        <v/>
      </c>
      <c r="F345" s="73" t="str">
        <f ca="1">IFERROR(IF(COPIA!C339&lt;&gt;0,COPIA!C339,""),"")</f>
        <v/>
      </c>
      <c r="G345" s="73" t="str">
        <f ca="1">IFERROR(IF(COPIA!D339&lt;&gt;0,COPIA!D339,""),"")</f>
        <v/>
      </c>
      <c r="H345" s="73" t="str">
        <f ca="1">IF(E345="FONDO SVALUTAZIONE CREDITI","RETTIFICA CREDITI",IFERROR(IF(COPIA!E339&lt;&gt;0,COPIA!E339,""),""))</f>
        <v/>
      </c>
      <c r="I345" s="73" t="str">
        <f ca="1">IFERROR(IF(COPIA!F339&lt;&gt;0,COPIA!F339,""),"")</f>
        <v/>
      </c>
    </row>
    <row r="346" spans="4:9" ht="20.100000000000001" customHeight="1" x14ac:dyDescent="0.3">
      <c r="D346" s="73" t="str">
        <f ca="1">IFERROR(IF(COPIA!A340&lt;&gt;0,COPIA!A340,""),"")</f>
        <v/>
      </c>
      <c r="E346" s="75" t="str">
        <f ca="1">IFERROR(IF(COPIA!B340&lt;&gt;0,COPIA!B340,""),"")</f>
        <v/>
      </c>
      <c r="F346" s="73" t="str">
        <f ca="1">IFERROR(IF(COPIA!C340&lt;&gt;0,COPIA!C340,""),"")</f>
        <v/>
      </c>
      <c r="G346" s="73" t="str">
        <f ca="1">IFERROR(IF(COPIA!D340&lt;&gt;0,COPIA!D340,""),"")</f>
        <v/>
      </c>
      <c r="H346" s="73" t="str">
        <f ca="1">IF(E346="FONDO SVALUTAZIONE CREDITI","RETTIFICA CREDITI",IFERROR(IF(COPIA!E340&lt;&gt;0,COPIA!E340,""),""))</f>
        <v/>
      </c>
      <c r="I346" s="73" t="str">
        <f ca="1">IFERROR(IF(COPIA!F340&lt;&gt;0,COPIA!F340,""),"")</f>
        <v/>
      </c>
    </row>
    <row r="347" spans="4:9" ht="20.100000000000001" customHeight="1" x14ac:dyDescent="0.3">
      <c r="D347" s="73" t="str">
        <f ca="1">IFERROR(IF(COPIA!A341&lt;&gt;0,COPIA!A341,""),"")</f>
        <v/>
      </c>
      <c r="E347" s="75" t="str">
        <f ca="1">IFERROR(IF(COPIA!B341&lt;&gt;0,COPIA!B341,""),"")</f>
        <v/>
      </c>
      <c r="F347" s="73" t="str">
        <f ca="1">IFERROR(IF(COPIA!C341&lt;&gt;0,COPIA!C341,""),"")</f>
        <v/>
      </c>
      <c r="G347" s="73" t="str">
        <f ca="1">IFERROR(IF(COPIA!D341&lt;&gt;0,COPIA!D341,""),"")</f>
        <v/>
      </c>
      <c r="H347" s="73" t="str">
        <f ca="1">IF(E347="FONDO SVALUTAZIONE CREDITI","RETTIFICA CREDITI",IFERROR(IF(COPIA!E341&lt;&gt;0,COPIA!E341,""),""))</f>
        <v/>
      </c>
      <c r="I347" s="73" t="str">
        <f ca="1">IFERROR(IF(COPIA!F341&lt;&gt;0,COPIA!F341,""),"")</f>
        <v/>
      </c>
    </row>
    <row r="348" spans="4:9" ht="20.100000000000001" customHeight="1" x14ac:dyDescent="0.3">
      <c r="D348" s="73" t="str">
        <f ca="1">IFERROR(IF(COPIA!A342&lt;&gt;0,COPIA!A342,""),"")</f>
        <v/>
      </c>
      <c r="E348" s="75" t="str">
        <f ca="1">IFERROR(IF(COPIA!B342&lt;&gt;0,COPIA!B342,""),"")</f>
        <v/>
      </c>
      <c r="F348" s="73" t="str">
        <f ca="1">IFERROR(IF(COPIA!C342&lt;&gt;0,COPIA!C342,""),"")</f>
        <v/>
      </c>
      <c r="G348" s="73" t="str">
        <f ca="1">IFERROR(IF(COPIA!D342&lt;&gt;0,COPIA!D342,""),"")</f>
        <v/>
      </c>
      <c r="H348" s="73" t="str">
        <f ca="1">IF(E348="FONDO SVALUTAZIONE CREDITI","RETTIFICA CREDITI",IFERROR(IF(COPIA!E342&lt;&gt;0,COPIA!E342,""),""))</f>
        <v/>
      </c>
      <c r="I348" s="73" t="str">
        <f ca="1">IFERROR(IF(COPIA!F342&lt;&gt;0,COPIA!F342,""),"")</f>
        <v/>
      </c>
    </row>
    <row r="349" spans="4:9" ht="20.100000000000001" customHeight="1" x14ac:dyDescent="0.3">
      <c r="D349" s="73" t="str">
        <f ca="1">IFERROR(IF(COPIA!A343&lt;&gt;0,COPIA!A343,""),"")</f>
        <v/>
      </c>
      <c r="E349" s="75" t="str">
        <f ca="1">IFERROR(IF(COPIA!B343&lt;&gt;0,COPIA!B343,""),"")</f>
        <v/>
      </c>
      <c r="F349" s="73" t="str">
        <f>IFERROR(IF(COPIA!C343&lt;&gt;0,COPIA!C343,""),"")</f>
        <v/>
      </c>
      <c r="G349" s="73" t="str">
        <f ca="1">IFERROR(IF(COPIA!D343&lt;&gt;0,COPIA!D343,""),"")</f>
        <v/>
      </c>
      <c r="H349" s="73" t="str">
        <f ca="1">IF(E349="FONDO SVALUTAZIONE CREDITI","RETTIFICA CREDITI",IFERROR(IF(COPIA!E343&lt;&gt;0,COPIA!E343,""),""))</f>
        <v/>
      </c>
      <c r="I349" s="73" t="str">
        <f ca="1">IFERROR(IF(COPIA!F343&lt;&gt;0,COPIA!F343,""),"")</f>
        <v/>
      </c>
    </row>
    <row r="350" spans="4:9" ht="20.100000000000001" customHeight="1" x14ac:dyDescent="0.3">
      <c r="D350" s="73" t="str">
        <f ca="1">IFERROR(IF(COPIA!A344&lt;&gt;0,COPIA!A344,""),"")</f>
        <v/>
      </c>
      <c r="E350" s="75" t="str">
        <f ca="1">IFERROR(IF(COPIA!B344&lt;&gt;0,COPIA!B344,""),"")</f>
        <v/>
      </c>
      <c r="F350" s="73" t="str">
        <f>IFERROR(IF(COPIA!C344&lt;&gt;0,COPIA!C344,""),"")</f>
        <v/>
      </c>
      <c r="G350" s="73" t="str">
        <f ca="1">IFERROR(IF(COPIA!D344&lt;&gt;0,COPIA!D344,""),"")</f>
        <v/>
      </c>
      <c r="H350" s="73" t="str">
        <f ca="1">IF(E350="FONDO SVALUTAZIONE CREDITI","RETTIFICA CREDITI",IFERROR(IF(COPIA!E344&lt;&gt;0,COPIA!E344,""),""))</f>
        <v/>
      </c>
      <c r="I350" s="73" t="str">
        <f ca="1">IFERROR(IF(COPIA!F344&lt;&gt;0,COPIA!F344,""),"")</f>
        <v/>
      </c>
    </row>
    <row r="351" spans="4:9" ht="20.100000000000001" customHeight="1" x14ac:dyDescent="0.3">
      <c r="D351" s="73" t="str">
        <f ca="1">IFERROR(IF(COPIA!A345&lt;&gt;0,COPIA!A345,""),"")</f>
        <v/>
      </c>
      <c r="E351" s="75" t="str">
        <f ca="1">IFERROR(IF(COPIA!B345&lt;&gt;0,COPIA!B345,""),"")</f>
        <v/>
      </c>
      <c r="F351" s="73" t="str">
        <f>IFERROR(IF(COPIA!C345&lt;&gt;0,COPIA!C345,""),"")</f>
        <v/>
      </c>
      <c r="G351" s="73" t="str">
        <f ca="1">IFERROR(IF(COPIA!D345&lt;&gt;0,COPIA!D345,""),"")</f>
        <v/>
      </c>
      <c r="H351" s="73" t="str">
        <f ca="1">IF(E351="FONDO SVALUTAZIONE CREDITI","RETTIFICA CREDITI",IFERROR(IF(COPIA!E345&lt;&gt;0,COPIA!E345,""),""))</f>
        <v/>
      </c>
      <c r="I351" s="73" t="str">
        <f ca="1">IFERROR(IF(COPIA!F345&lt;&gt;0,COPIA!F345,""),"")</f>
        <v/>
      </c>
    </row>
    <row r="352" spans="4:9" ht="20.100000000000001" customHeight="1" x14ac:dyDescent="0.3">
      <c r="D352" s="73" t="str">
        <f ca="1">IFERROR(IF(COPIA!A346&lt;&gt;0,COPIA!A346,""),"")</f>
        <v/>
      </c>
      <c r="E352" s="75" t="str">
        <f ca="1">IFERROR(IF(COPIA!B346&lt;&gt;0,COPIA!B346,""),"")</f>
        <v/>
      </c>
      <c r="F352" s="73" t="str">
        <f>IFERROR(IF(COPIA!C346&lt;&gt;0,COPIA!C346,""),"")</f>
        <v/>
      </c>
      <c r="G352" s="73" t="str">
        <f ca="1">IFERROR(IF(COPIA!D346&lt;&gt;0,COPIA!D346,""),"")</f>
        <v/>
      </c>
      <c r="H352" s="73" t="str">
        <f ca="1">IF(E352="FONDO SVALUTAZIONE CREDITI","RETTIFICA CREDITI",IFERROR(IF(COPIA!E346&lt;&gt;0,COPIA!E346,""),""))</f>
        <v/>
      </c>
      <c r="I352" s="73" t="str">
        <f ca="1">IFERROR(IF(COPIA!F346&lt;&gt;0,COPIA!F346,""),"")</f>
        <v/>
      </c>
    </row>
    <row r="353" spans="4:9" ht="20.100000000000001" customHeight="1" x14ac:dyDescent="0.3">
      <c r="D353" s="73" t="str">
        <f ca="1">IFERROR(IF(COPIA!A347&lt;&gt;0,COPIA!A347,""),"")</f>
        <v/>
      </c>
      <c r="E353" s="75" t="str">
        <f ca="1">IFERROR(IF(COPIA!B347&lt;&gt;0,COPIA!B347,""),"")</f>
        <v/>
      </c>
      <c r="F353" s="73" t="str">
        <f>IFERROR(IF(COPIA!C347&lt;&gt;0,COPIA!C347,""),"")</f>
        <v/>
      </c>
      <c r="G353" s="73" t="str">
        <f ca="1">IFERROR(IF(COPIA!D347&lt;&gt;0,COPIA!D347,""),"")</f>
        <v/>
      </c>
      <c r="H353" s="73" t="str">
        <f ca="1">IF(E353="FONDO SVALUTAZIONE CREDITI","RETTIFICA CREDITI",IFERROR(IF(COPIA!E347&lt;&gt;0,COPIA!E347,""),""))</f>
        <v/>
      </c>
      <c r="I353" s="73" t="str">
        <f ca="1">IFERROR(IF(COPIA!F347&lt;&gt;0,COPIA!F347,""),"")</f>
        <v/>
      </c>
    </row>
    <row r="354" spans="4:9" ht="20.100000000000001" customHeight="1" x14ac:dyDescent="0.3">
      <c r="D354" s="73" t="str">
        <f ca="1">IFERROR(IF(COPIA!A348&lt;&gt;0,COPIA!A348,""),"")</f>
        <v/>
      </c>
      <c r="E354" s="75" t="str">
        <f ca="1">IFERROR(IF(COPIA!B348&lt;&gt;0,COPIA!B348,""),"")</f>
        <v/>
      </c>
      <c r="F354" s="73" t="str">
        <f>IFERROR(IF(COPIA!C348&lt;&gt;0,COPIA!C348,""),"")</f>
        <v/>
      </c>
      <c r="G354" s="73" t="str">
        <f ca="1">IFERROR(IF(COPIA!D348&lt;&gt;0,COPIA!D348,""),"")</f>
        <v/>
      </c>
      <c r="H354" s="73" t="str">
        <f ca="1">IF(E354="FONDO SVALUTAZIONE CREDITI","RETTIFICA CREDITI",IFERROR(IF(COPIA!E348&lt;&gt;0,COPIA!E348,""),""))</f>
        <v/>
      </c>
      <c r="I354" s="73" t="str">
        <f ca="1">IFERROR(IF(COPIA!F348&lt;&gt;0,COPIA!F348,""),"")</f>
        <v/>
      </c>
    </row>
    <row r="355" spans="4:9" ht="20.100000000000001" customHeight="1" x14ac:dyDescent="0.3">
      <c r="D355" s="73" t="str">
        <f ca="1">IFERROR(IF(COPIA!A349&lt;&gt;0,COPIA!A349,""),"")</f>
        <v/>
      </c>
      <c r="E355" s="75" t="str">
        <f ca="1">IFERROR(IF(COPIA!B349&lt;&gt;0,COPIA!B349,""),"")</f>
        <v/>
      </c>
      <c r="F355" s="73" t="str">
        <f>IFERROR(IF(COPIA!C349&lt;&gt;0,COPIA!C349,""),"")</f>
        <v/>
      </c>
      <c r="G355" s="73" t="str">
        <f ca="1">IFERROR(IF(COPIA!D349&lt;&gt;0,COPIA!D349,""),"")</f>
        <v/>
      </c>
      <c r="H355" s="73" t="str">
        <f ca="1">IF(E355="FONDO SVALUTAZIONE CREDITI","RETTIFICA CREDITI",IFERROR(IF(COPIA!E349&lt;&gt;0,COPIA!E349,""),""))</f>
        <v/>
      </c>
      <c r="I355" s="73" t="str">
        <f ca="1">IFERROR(IF(COPIA!F349&lt;&gt;0,COPIA!F349,""),"")</f>
        <v/>
      </c>
    </row>
    <row r="356" spans="4:9" ht="20.100000000000001" customHeight="1" x14ac:dyDescent="0.3">
      <c r="D356" s="73" t="str">
        <f ca="1">IFERROR(IF(COPIA!A350&lt;&gt;0,COPIA!A350,""),"")</f>
        <v/>
      </c>
      <c r="E356" s="75" t="str">
        <f ca="1">IFERROR(IF(COPIA!B350&lt;&gt;0,COPIA!B350,""),"")</f>
        <v/>
      </c>
      <c r="F356" s="73" t="str">
        <f>IFERROR(IF(COPIA!C350&lt;&gt;0,COPIA!C350,""),"")</f>
        <v/>
      </c>
      <c r="G356" s="73" t="str">
        <f ca="1">IFERROR(IF(COPIA!D350&lt;&gt;0,COPIA!D350,""),"")</f>
        <v/>
      </c>
      <c r="H356" s="73" t="str">
        <f ca="1">IF(E356="FONDO SVALUTAZIONE CREDITI","RETTIFICA CREDITI",IFERROR(IF(COPIA!E350&lt;&gt;0,COPIA!E350,""),""))</f>
        <v/>
      </c>
      <c r="I356" s="73" t="str">
        <f ca="1">IFERROR(IF(COPIA!F350&lt;&gt;0,COPIA!F350,""),"")</f>
        <v/>
      </c>
    </row>
    <row r="357" spans="4:9" ht="20.100000000000001" customHeight="1" x14ac:dyDescent="0.3">
      <c r="D357" s="73" t="str">
        <f ca="1">IFERROR(IF(COPIA!A351&lt;&gt;0,COPIA!A351,""),"")</f>
        <v/>
      </c>
      <c r="E357" s="75" t="str">
        <f ca="1">IFERROR(IF(COPIA!B351&lt;&gt;0,COPIA!B351,""),"")</f>
        <v/>
      </c>
      <c r="F357" s="73" t="str">
        <f>IFERROR(IF(COPIA!C351&lt;&gt;0,COPIA!C351,""),"")</f>
        <v/>
      </c>
      <c r="G357" s="73" t="str">
        <f ca="1">IFERROR(IF(COPIA!D351&lt;&gt;0,COPIA!D351,""),"")</f>
        <v/>
      </c>
      <c r="H357" s="73" t="str">
        <f ca="1">IF(E357="FONDO SVALUTAZIONE CREDITI","RETTIFICA CREDITI",IFERROR(IF(COPIA!E351&lt;&gt;0,COPIA!E351,""),""))</f>
        <v/>
      </c>
      <c r="I357" s="73" t="str">
        <f ca="1">IFERROR(IF(COPIA!F351&lt;&gt;0,COPIA!F351,""),"")</f>
        <v/>
      </c>
    </row>
    <row r="358" spans="4:9" ht="20.100000000000001" customHeight="1" x14ac:dyDescent="0.3">
      <c r="D358" s="73" t="str">
        <f ca="1">IFERROR(IF(COPIA!A352&lt;&gt;0,COPIA!A352,""),"")</f>
        <v/>
      </c>
      <c r="E358" s="75" t="str">
        <f ca="1">IFERROR(IF(COPIA!B352&lt;&gt;0,COPIA!B352,""),"")</f>
        <v/>
      </c>
      <c r="F358" s="73" t="str">
        <f>IFERROR(IF(COPIA!C352&lt;&gt;0,COPIA!C352,""),"")</f>
        <v/>
      </c>
      <c r="G358" s="73" t="str">
        <f ca="1">IFERROR(IF(COPIA!D352&lt;&gt;0,COPIA!D352,""),"")</f>
        <v/>
      </c>
      <c r="H358" s="73" t="str">
        <f ca="1">IF(E358="FONDO SVALUTAZIONE CREDITI","RETTIFICA CREDITI",IFERROR(IF(COPIA!E352&lt;&gt;0,COPIA!E352,""),""))</f>
        <v/>
      </c>
      <c r="I358" s="73" t="str">
        <f ca="1">IFERROR(IF(COPIA!F352&lt;&gt;0,COPIA!F352,""),"")</f>
        <v/>
      </c>
    </row>
    <row r="359" spans="4:9" ht="20.100000000000001" customHeight="1" x14ac:dyDescent="0.3">
      <c r="D359" s="73" t="str">
        <f ca="1">IFERROR(IF(COPIA!A353&lt;&gt;0,COPIA!A353,""),"")</f>
        <v/>
      </c>
      <c r="E359" s="75" t="str">
        <f ca="1">IFERROR(IF(COPIA!B353&lt;&gt;0,COPIA!B353,""),"")</f>
        <v/>
      </c>
      <c r="F359" s="73" t="str">
        <f>IFERROR(IF(COPIA!C353&lt;&gt;0,COPIA!C353,""),"")</f>
        <v/>
      </c>
      <c r="G359" s="73" t="str">
        <f ca="1">IFERROR(IF(COPIA!D353&lt;&gt;0,COPIA!D353,""),"")</f>
        <v/>
      </c>
      <c r="H359" s="73" t="str">
        <f ca="1">IF(E359="FONDO SVALUTAZIONE CREDITI","RETTIFICA CREDITI",IFERROR(IF(COPIA!E353&lt;&gt;0,COPIA!E353,""),""))</f>
        <v/>
      </c>
      <c r="I359" s="73" t="str">
        <f ca="1">IFERROR(IF(COPIA!F353&lt;&gt;0,COPIA!F353,""),"")</f>
        <v/>
      </c>
    </row>
    <row r="360" spans="4:9" ht="20.100000000000001" customHeight="1" x14ac:dyDescent="0.3">
      <c r="D360" s="73" t="str">
        <f ca="1">IFERROR(IF(COPIA!A354&lt;&gt;0,COPIA!A354,""),"")</f>
        <v/>
      </c>
      <c r="E360" s="75" t="str">
        <f ca="1">IFERROR(IF(COPIA!B354&lt;&gt;0,COPIA!B354,""),"")</f>
        <v/>
      </c>
      <c r="F360" s="73" t="str">
        <f>IFERROR(IF(COPIA!C354&lt;&gt;0,COPIA!C354,""),"")</f>
        <v/>
      </c>
      <c r="G360" s="73" t="str">
        <f ca="1">IFERROR(IF(COPIA!D354&lt;&gt;0,COPIA!D354,""),"")</f>
        <v/>
      </c>
      <c r="H360" s="73" t="str">
        <f ca="1">IF(E360="FONDO SVALUTAZIONE CREDITI","RETTIFICA CREDITI",IFERROR(IF(COPIA!E354&lt;&gt;0,COPIA!E354,""),""))</f>
        <v/>
      </c>
      <c r="I360" s="73" t="str">
        <f ca="1">IFERROR(IF(COPIA!F354&lt;&gt;0,COPIA!F354,""),"")</f>
        <v/>
      </c>
    </row>
    <row r="361" spans="4:9" ht="20.100000000000001" customHeight="1" x14ac:dyDescent="0.3">
      <c r="D361" s="73" t="str">
        <f ca="1">IFERROR(IF(COPIA!A355&lt;&gt;0,COPIA!A355,""),"")</f>
        <v/>
      </c>
      <c r="E361" s="75" t="str">
        <f ca="1">IFERROR(IF(COPIA!B355&lt;&gt;0,COPIA!B355,""),"")</f>
        <v/>
      </c>
      <c r="F361" s="73" t="str">
        <f>IFERROR(IF(COPIA!C355&lt;&gt;0,COPIA!C355,""),"")</f>
        <v/>
      </c>
      <c r="G361" s="73" t="str">
        <f ca="1">IFERROR(IF(COPIA!D355&lt;&gt;0,COPIA!D355,""),"")</f>
        <v/>
      </c>
      <c r="H361" s="73" t="str">
        <f ca="1">IF(E361="FONDO SVALUTAZIONE CREDITI","RETTIFICA CREDITI",IFERROR(IF(COPIA!E355&lt;&gt;0,COPIA!E355,""),""))</f>
        <v/>
      </c>
      <c r="I361" s="73" t="str">
        <f ca="1">IFERROR(IF(COPIA!F355&lt;&gt;0,COPIA!F355,""),"")</f>
        <v/>
      </c>
    </row>
    <row r="362" spans="4:9" ht="20.100000000000001" customHeight="1" x14ac:dyDescent="0.3">
      <c r="D362" s="73" t="str">
        <f ca="1">IFERROR(IF(COPIA!A356&lt;&gt;0,COPIA!A356,""),"")</f>
        <v/>
      </c>
      <c r="E362" s="75" t="str">
        <f ca="1">IFERROR(IF(COPIA!B356&lt;&gt;0,COPIA!B356,""),"")</f>
        <v/>
      </c>
      <c r="F362" s="73" t="str">
        <f>IFERROR(IF(COPIA!C356&lt;&gt;0,COPIA!C356,""),"")</f>
        <v/>
      </c>
      <c r="G362" s="73" t="str">
        <f ca="1">IFERROR(IF(COPIA!D356&lt;&gt;0,COPIA!D356,""),"")</f>
        <v/>
      </c>
      <c r="H362" s="73" t="str">
        <f ca="1">IF(E362="FONDO SVALUTAZIONE CREDITI","RETTIFICA CREDITI",IFERROR(IF(COPIA!E356&lt;&gt;0,COPIA!E356,""),""))</f>
        <v/>
      </c>
      <c r="I362" s="73" t="str">
        <f ca="1">IFERROR(IF(COPIA!F356&lt;&gt;0,COPIA!F356,""),"")</f>
        <v/>
      </c>
    </row>
    <row r="363" spans="4:9" ht="20.100000000000001" customHeight="1" x14ac:dyDescent="0.3">
      <c r="D363" s="73" t="str">
        <f ca="1">IFERROR(IF(COPIA!A357&lt;&gt;0,COPIA!A357,""),"")</f>
        <v/>
      </c>
      <c r="E363" s="75" t="str">
        <f ca="1">IFERROR(IF(COPIA!B357&lt;&gt;0,COPIA!B357,""),"")</f>
        <v/>
      </c>
      <c r="F363" s="73" t="str">
        <f>IFERROR(IF(COPIA!C357&lt;&gt;0,COPIA!C357,""),"")</f>
        <v/>
      </c>
      <c r="G363" s="73" t="str">
        <f ca="1">IFERROR(IF(COPIA!D357&lt;&gt;0,COPIA!D357,""),"")</f>
        <v/>
      </c>
      <c r="H363" s="73" t="str">
        <f ca="1">IF(E363="FONDO SVALUTAZIONE CREDITI","RETTIFICA CREDITI",IFERROR(IF(COPIA!E357&lt;&gt;0,COPIA!E357,""),""))</f>
        <v/>
      </c>
      <c r="I363" s="73" t="str">
        <f ca="1">IFERROR(IF(COPIA!F357&lt;&gt;0,COPIA!F357,""),"")</f>
        <v/>
      </c>
    </row>
    <row r="364" spans="4:9" ht="20.100000000000001" customHeight="1" x14ac:dyDescent="0.3">
      <c r="D364" s="73" t="str">
        <f ca="1">IFERROR(IF(COPIA!A358&lt;&gt;0,COPIA!A358,""),"")</f>
        <v/>
      </c>
      <c r="E364" s="75" t="str">
        <f ca="1">IFERROR(IF(COPIA!B358&lt;&gt;0,COPIA!B358,""),"")</f>
        <v/>
      </c>
      <c r="F364" s="73" t="str">
        <f>IFERROR(IF(COPIA!C358&lt;&gt;0,COPIA!C358,""),"")</f>
        <v/>
      </c>
      <c r="G364" s="73" t="str">
        <f ca="1">IFERROR(IF(COPIA!D358&lt;&gt;0,COPIA!D358,""),"")</f>
        <v/>
      </c>
      <c r="H364" s="73" t="str">
        <f ca="1">IF(E364="FONDO SVALUTAZIONE CREDITI","RETTIFICA CREDITI",IFERROR(IF(COPIA!E358&lt;&gt;0,COPIA!E358,""),""))</f>
        <v/>
      </c>
      <c r="I364" s="73" t="str">
        <f ca="1">IFERROR(IF(COPIA!F358&lt;&gt;0,COPIA!F358,""),"")</f>
        <v/>
      </c>
    </row>
    <row r="365" spans="4:9" ht="20.100000000000001" customHeight="1" x14ac:dyDescent="0.3">
      <c r="D365" s="73" t="str">
        <f ca="1">IFERROR(IF(COPIA!A359&lt;&gt;0,COPIA!A359,""),"")</f>
        <v/>
      </c>
      <c r="E365" s="75" t="str">
        <f ca="1">IFERROR(IF(COPIA!B359&lt;&gt;0,COPIA!B359,""),"")</f>
        <v/>
      </c>
      <c r="F365" s="73" t="str">
        <f>IFERROR(IF(COPIA!C359&lt;&gt;0,COPIA!C359,""),"")</f>
        <v/>
      </c>
      <c r="G365" s="73" t="str">
        <f ca="1">IFERROR(IF(COPIA!D359&lt;&gt;0,COPIA!D359,""),"")</f>
        <v/>
      </c>
      <c r="H365" s="73" t="str">
        <f ca="1">IF(E365="FONDO SVALUTAZIONE CREDITI","RETTIFICA CREDITI",IFERROR(IF(COPIA!E359&lt;&gt;0,COPIA!E359,""),""))</f>
        <v/>
      </c>
      <c r="I365" s="73" t="str">
        <f ca="1">IFERROR(IF(COPIA!F359&lt;&gt;0,COPIA!F359,""),"")</f>
        <v/>
      </c>
    </row>
    <row r="366" spans="4:9" ht="20.100000000000001" customHeight="1" x14ac:dyDescent="0.3">
      <c r="D366" s="73" t="str">
        <f ca="1">IFERROR(IF(COPIA!A360&lt;&gt;0,COPIA!A360,""),"")</f>
        <v/>
      </c>
      <c r="E366" s="75" t="str">
        <f ca="1">IFERROR(IF(COPIA!B360&lt;&gt;0,COPIA!B360,""),"")</f>
        <v/>
      </c>
      <c r="F366" s="73" t="str">
        <f>IFERROR(IF(COPIA!C360&lt;&gt;0,COPIA!C360,""),"")</f>
        <v/>
      </c>
      <c r="G366" s="73" t="str">
        <f ca="1">IFERROR(IF(COPIA!D360&lt;&gt;0,COPIA!D360,""),"")</f>
        <v/>
      </c>
      <c r="H366" s="73" t="str">
        <f ca="1">IF(E366="FONDO SVALUTAZIONE CREDITI","RETTIFICA CREDITI",IFERROR(IF(COPIA!E360&lt;&gt;0,COPIA!E360,""),""))</f>
        <v/>
      </c>
      <c r="I366" s="73" t="str">
        <f ca="1">IFERROR(IF(COPIA!F360&lt;&gt;0,COPIA!F360,""),"")</f>
        <v/>
      </c>
    </row>
    <row r="367" spans="4:9" ht="20.100000000000001" customHeight="1" x14ac:dyDescent="0.3">
      <c r="D367" s="73" t="str">
        <f ca="1">IFERROR(IF(COPIA!A361&lt;&gt;0,COPIA!A361,""),"")</f>
        <v/>
      </c>
      <c r="E367" s="75" t="str">
        <f ca="1">IFERROR(IF(COPIA!B361&lt;&gt;0,COPIA!B361,""),"")</f>
        <v/>
      </c>
      <c r="F367" s="73" t="str">
        <f>IFERROR(IF(COPIA!C361&lt;&gt;0,COPIA!C361,""),"")</f>
        <v/>
      </c>
      <c r="G367" s="73" t="str">
        <f ca="1">IFERROR(IF(COPIA!D361&lt;&gt;0,COPIA!D361,""),"")</f>
        <v/>
      </c>
      <c r="H367" s="73" t="str">
        <f ca="1">IF(E367="FONDO SVALUTAZIONE CREDITI","RETTIFICA CREDITI",IFERROR(IF(COPIA!E361&lt;&gt;0,COPIA!E361,""),""))</f>
        <v/>
      </c>
      <c r="I367" s="73" t="str">
        <f ca="1">IFERROR(IF(COPIA!F361&lt;&gt;0,COPIA!F361,""),"")</f>
        <v/>
      </c>
    </row>
    <row r="368" spans="4:9" ht="20.100000000000001" customHeight="1" x14ac:dyDescent="0.3">
      <c r="D368" s="73" t="str">
        <f ca="1">IFERROR(IF(COPIA!A362&lt;&gt;0,COPIA!A362,""),"")</f>
        <v/>
      </c>
      <c r="E368" s="75" t="str">
        <f ca="1">IFERROR(IF(COPIA!B362&lt;&gt;0,COPIA!B362,""),"")</f>
        <v/>
      </c>
      <c r="F368" s="73" t="str">
        <f>IFERROR(IF(COPIA!C362&lt;&gt;0,COPIA!C362,""),"")</f>
        <v/>
      </c>
      <c r="G368" s="73" t="str">
        <f ca="1">IFERROR(IF(COPIA!D362&lt;&gt;0,COPIA!D362,""),"")</f>
        <v/>
      </c>
      <c r="H368" s="73" t="str">
        <f ca="1">IF(E368="FONDO SVALUTAZIONE CREDITI","RETTIFICA CREDITI",IFERROR(IF(COPIA!E362&lt;&gt;0,COPIA!E362,""),""))</f>
        <v/>
      </c>
      <c r="I368" s="73" t="str">
        <f ca="1">IFERROR(IF(COPIA!F362&lt;&gt;0,COPIA!F362,""),"")</f>
        <v/>
      </c>
    </row>
    <row r="369" spans="4:9" ht="20.100000000000001" customHeight="1" x14ac:dyDescent="0.3">
      <c r="D369" s="73" t="str">
        <f ca="1">IFERROR(IF(COPIA!A363&lt;&gt;0,COPIA!A363,""),"")</f>
        <v/>
      </c>
      <c r="E369" s="75" t="str">
        <f ca="1">IFERROR(IF(COPIA!B363&lt;&gt;0,COPIA!B363,""),"")</f>
        <v/>
      </c>
      <c r="F369" s="73" t="str">
        <f>IFERROR(IF(COPIA!C363&lt;&gt;0,COPIA!C363,""),"")</f>
        <v/>
      </c>
      <c r="G369" s="73" t="str">
        <f ca="1">IFERROR(IF(COPIA!D363&lt;&gt;0,COPIA!D363,""),"")</f>
        <v/>
      </c>
      <c r="H369" s="73" t="str">
        <f ca="1">IF(E369="FONDO SVALUTAZIONE CREDITI","RETTIFICA CREDITI",IFERROR(IF(COPIA!E363&lt;&gt;0,COPIA!E363,""),""))</f>
        <v/>
      </c>
      <c r="I369" s="73" t="str">
        <f ca="1">IFERROR(IF(COPIA!F363&lt;&gt;0,COPIA!F363,""),"")</f>
        <v/>
      </c>
    </row>
    <row r="370" spans="4:9" ht="20.100000000000001" customHeight="1" x14ac:dyDescent="0.3">
      <c r="D370" s="73" t="str">
        <f ca="1">IFERROR(IF(COPIA!A364&lt;&gt;0,COPIA!A364,""),"")</f>
        <v/>
      </c>
      <c r="E370" s="75" t="str">
        <f ca="1">IFERROR(IF(COPIA!B364&lt;&gt;0,COPIA!B364,""),"")</f>
        <v/>
      </c>
      <c r="F370" s="73" t="str">
        <f>IFERROR(IF(COPIA!C364&lt;&gt;0,COPIA!C364,""),"")</f>
        <v/>
      </c>
      <c r="G370" s="73" t="str">
        <f ca="1">IFERROR(IF(COPIA!D364&lt;&gt;0,COPIA!D364,""),"")</f>
        <v/>
      </c>
      <c r="H370" s="73" t="str">
        <f ca="1">IF(E370="FONDO SVALUTAZIONE CREDITI","RETTIFICA CREDITI",IFERROR(IF(COPIA!E364&lt;&gt;0,COPIA!E364,""),""))</f>
        <v/>
      </c>
      <c r="I370" s="73" t="str">
        <f ca="1">IFERROR(IF(COPIA!F364&lt;&gt;0,COPIA!F364,""),"")</f>
        <v/>
      </c>
    </row>
    <row r="371" spans="4:9" ht="20.100000000000001" customHeight="1" x14ac:dyDescent="0.3">
      <c r="D371" s="73" t="str">
        <f ca="1">IFERROR(IF(COPIA!A365&lt;&gt;0,COPIA!A365,""),"")</f>
        <v/>
      </c>
      <c r="E371" s="75" t="str">
        <f ca="1">IFERROR(IF(COPIA!B365&lt;&gt;0,COPIA!B365,""),"")</f>
        <v/>
      </c>
      <c r="F371" s="73" t="str">
        <f>IFERROR(IF(COPIA!C365&lt;&gt;0,COPIA!C365,""),"")</f>
        <v/>
      </c>
      <c r="G371" s="73" t="str">
        <f ca="1">IFERROR(IF(COPIA!D365&lt;&gt;0,COPIA!D365,""),"")</f>
        <v/>
      </c>
      <c r="H371" s="73" t="str">
        <f ca="1">IF(E371="FONDO SVALUTAZIONE CREDITI","RETTIFICA CREDITI",IFERROR(IF(COPIA!E365&lt;&gt;0,COPIA!E365,""),""))</f>
        <v/>
      </c>
      <c r="I371" s="73" t="str">
        <f ca="1">IFERROR(IF(COPIA!F365&lt;&gt;0,COPIA!F365,""),"")</f>
        <v/>
      </c>
    </row>
    <row r="372" spans="4:9" ht="20.100000000000001" customHeight="1" x14ac:dyDescent="0.3">
      <c r="D372" s="73" t="str">
        <f ca="1">IFERROR(IF(COPIA!A366&lt;&gt;0,COPIA!A366,""),"")</f>
        <v/>
      </c>
      <c r="E372" s="75" t="str">
        <f ca="1">IFERROR(IF(COPIA!B366&lt;&gt;0,COPIA!B366,""),"")</f>
        <v/>
      </c>
      <c r="F372" s="73" t="str">
        <f>IFERROR(IF(COPIA!C366&lt;&gt;0,COPIA!C366,""),"")</f>
        <v/>
      </c>
      <c r="G372" s="73" t="str">
        <f ca="1">IFERROR(IF(COPIA!D366&lt;&gt;0,COPIA!D366,""),"")</f>
        <v/>
      </c>
      <c r="H372" s="73" t="str">
        <f ca="1">IF(E372="FONDO SVALUTAZIONE CREDITI","RETTIFICA CREDITI",IFERROR(IF(COPIA!E366&lt;&gt;0,COPIA!E366,""),""))</f>
        <v/>
      </c>
      <c r="I372" s="73" t="str">
        <f ca="1">IFERROR(IF(COPIA!F366&lt;&gt;0,COPIA!F366,""),"")</f>
        <v/>
      </c>
    </row>
    <row r="373" spans="4:9" ht="20.100000000000001" customHeight="1" x14ac:dyDescent="0.3">
      <c r="D373" s="73" t="str">
        <f ca="1">IFERROR(IF(COPIA!A367&lt;&gt;0,COPIA!A367,""),"")</f>
        <v/>
      </c>
      <c r="E373" s="75" t="str">
        <f ca="1">IFERROR(IF(COPIA!B367&lt;&gt;0,COPIA!B367,""),"")</f>
        <v/>
      </c>
      <c r="F373" s="73" t="str">
        <f>IFERROR(IF(COPIA!C367&lt;&gt;0,COPIA!C367,""),"")</f>
        <v/>
      </c>
      <c r="G373" s="73" t="str">
        <f ca="1">IFERROR(IF(COPIA!D367&lt;&gt;0,COPIA!D367,""),"")</f>
        <v/>
      </c>
      <c r="H373" s="73" t="str">
        <f ca="1">IF(E373="FONDO SVALUTAZIONE CREDITI","RETTIFICA CREDITI",IFERROR(IF(COPIA!E367&lt;&gt;0,COPIA!E367,""),""))</f>
        <v/>
      </c>
      <c r="I373" s="73" t="str">
        <f ca="1">IFERROR(IF(COPIA!F367&lt;&gt;0,COPIA!F367,""),"")</f>
        <v/>
      </c>
    </row>
    <row r="374" spans="4:9" ht="20.100000000000001" customHeight="1" x14ac:dyDescent="0.3">
      <c r="D374" s="73" t="str">
        <f ca="1">IFERROR(IF(COPIA!A368&lt;&gt;0,COPIA!A368,""),"")</f>
        <v/>
      </c>
      <c r="E374" s="75" t="str">
        <f ca="1">IFERROR(IF(COPIA!B368&lt;&gt;0,COPIA!B368,""),"")</f>
        <v/>
      </c>
      <c r="F374" s="73" t="str">
        <f>IFERROR(IF(COPIA!C368&lt;&gt;0,COPIA!C368,""),"")</f>
        <v/>
      </c>
      <c r="G374" s="73" t="str">
        <f ca="1">IFERROR(IF(COPIA!D368&lt;&gt;0,COPIA!D368,""),"")</f>
        <v/>
      </c>
      <c r="H374" s="73" t="str">
        <f ca="1">IF(E374="FONDO SVALUTAZIONE CREDITI","RETTIFICA CREDITI",IFERROR(IF(COPIA!E368&lt;&gt;0,COPIA!E368,""),""))</f>
        <v/>
      </c>
      <c r="I374" s="73" t="str">
        <f ca="1">IFERROR(IF(COPIA!F368&lt;&gt;0,COPIA!F368,""),"")</f>
        <v/>
      </c>
    </row>
    <row r="375" spans="4:9" ht="20.100000000000001" customHeight="1" x14ac:dyDescent="0.3">
      <c r="D375" s="73" t="str">
        <f ca="1">IFERROR(IF(COPIA!A369&lt;&gt;0,COPIA!A369,""),"")</f>
        <v/>
      </c>
      <c r="E375" s="75" t="str">
        <f ca="1">IFERROR(IF(COPIA!B369&lt;&gt;0,COPIA!B369,""),"")</f>
        <v/>
      </c>
      <c r="F375" s="73" t="str">
        <f>IFERROR(IF(COPIA!C369&lt;&gt;0,COPIA!C369,""),"")</f>
        <v/>
      </c>
      <c r="G375" s="73" t="str">
        <f ca="1">IFERROR(IF(COPIA!D369&lt;&gt;0,COPIA!D369,""),"")</f>
        <v/>
      </c>
      <c r="H375" s="73" t="str">
        <f ca="1">IF(E375="FONDO SVALUTAZIONE CREDITI","RETTIFICA CREDITI",IFERROR(IF(COPIA!E369&lt;&gt;0,COPIA!E369,""),""))</f>
        <v/>
      </c>
      <c r="I375" s="73" t="str">
        <f ca="1">IFERROR(IF(COPIA!F369&lt;&gt;0,COPIA!F369,""),"")</f>
        <v/>
      </c>
    </row>
    <row r="376" spans="4:9" ht="20.100000000000001" customHeight="1" x14ac:dyDescent="0.3">
      <c r="D376" s="73" t="str">
        <f ca="1">IFERROR(IF(COPIA!A370&lt;&gt;0,COPIA!A370,""),"")</f>
        <v/>
      </c>
      <c r="E376" s="75" t="str">
        <f ca="1">IFERROR(IF(COPIA!B370&lt;&gt;0,COPIA!B370,""),"")</f>
        <v/>
      </c>
      <c r="F376" s="73" t="str">
        <f>IFERROR(IF(COPIA!C370&lt;&gt;0,COPIA!C370,""),"")</f>
        <v/>
      </c>
      <c r="G376" s="73" t="str">
        <f ca="1">IFERROR(IF(COPIA!D370&lt;&gt;0,COPIA!D370,""),"")</f>
        <v/>
      </c>
      <c r="H376" s="73" t="str">
        <f ca="1">IF(E376="FONDO SVALUTAZIONE CREDITI","RETTIFICA CREDITI",IFERROR(IF(COPIA!E370&lt;&gt;0,COPIA!E370,""),""))</f>
        <v/>
      </c>
      <c r="I376" s="73" t="str">
        <f ca="1">IFERROR(IF(COPIA!F370&lt;&gt;0,COPIA!F370,""),"")</f>
        <v/>
      </c>
    </row>
    <row r="377" spans="4:9" ht="20.100000000000001" customHeight="1" x14ac:dyDescent="0.3">
      <c r="D377" s="73" t="str">
        <f ca="1">IFERROR(IF(COPIA!A371&lt;&gt;0,COPIA!A371,""),"")</f>
        <v/>
      </c>
      <c r="E377" s="75" t="str">
        <f ca="1">IFERROR(IF(COPIA!B371&lt;&gt;0,COPIA!B371,""),"")</f>
        <v/>
      </c>
      <c r="F377" s="73" t="str">
        <f>IFERROR(IF(COPIA!C371&lt;&gt;0,COPIA!C371,""),"")</f>
        <v/>
      </c>
      <c r="G377" s="73" t="str">
        <f ca="1">IFERROR(IF(COPIA!D371&lt;&gt;0,COPIA!D371,""),"")</f>
        <v/>
      </c>
      <c r="H377" s="73" t="str">
        <f ca="1">IF(E377="FONDO SVALUTAZIONE CREDITI","RETTIFICA CREDITI",IFERROR(IF(COPIA!E371&lt;&gt;0,COPIA!E371,""),""))</f>
        <v/>
      </c>
      <c r="I377" s="73" t="str">
        <f ca="1">IFERROR(IF(COPIA!F371&lt;&gt;0,COPIA!F371,""),"")</f>
        <v/>
      </c>
    </row>
    <row r="378" spans="4:9" ht="20.100000000000001" customHeight="1" x14ac:dyDescent="0.3">
      <c r="D378" s="73" t="str">
        <f ca="1">IFERROR(IF(COPIA!A372&lt;&gt;0,COPIA!A372,""),"")</f>
        <v/>
      </c>
      <c r="E378" s="75" t="str">
        <f ca="1">IFERROR(IF(COPIA!B372&lt;&gt;0,COPIA!B372,""),"")</f>
        <v/>
      </c>
      <c r="F378" s="73" t="str">
        <f>IFERROR(IF(COPIA!C372&lt;&gt;0,COPIA!C372,""),"")</f>
        <v/>
      </c>
      <c r="G378" s="73" t="str">
        <f ca="1">IFERROR(IF(COPIA!D372&lt;&gt;0,COPIA!D372,""),"")</f>
        <v/>
      </c>
      <c r="H378" s="73" t="str">
        <f ca="1">IF(E378="FONDO SVALUTAZIONE CREDITI","RETTIFICA CREDITI",IFERROR(IF(COPIA!E372&lt;&gt;0,COPIA!E372,""),""))</f>
        <v/>
      </c>
      <c r="I378" s="73" t="str">
        <f ca="1">IFERROR(IF(COPIA!F372&lt;&gt;0,COPIA!F372,""),"")</f>
        <v/>
      </c>
    </row>
    <row r="379" spans="4:9" ht="20.100000000000001" customHeight="1" x14ac:dyDescent="0.3">
      <c r="D379" s="73" t="str">
        <f ca="1">IFERROR(IF(COPIA!A373&lt;&gt;0,COPIA!A373,""),"")</f>
        <v/>
      </c>
      <c r="E379" s="75" t="str">
        <f ca="1">IFERROR(IF(COPIA!B373&lt;&gt;0,COPIA!B373,""),"")</f>
        <v/>
      </c>
      <c r="F379" s="73" t="str">
        <f>IFERROR(IF(COPIA!C373&lt;&gt;0,COPIA!C373,""),"")</f>
        <v/>
      </c>
      <c r="G379" s="73" t="str">
        <f ca="1">IFERROR(IF(COPIA!D373&lt;&gt;0,COPIA!D373,""),"")</f>
        <v/>
      </c>
      <c r="H379" s="73" t="str">
        <f ca="1">IF(E379="FONDO SVALUTAZIONE CREDITI","RETTIFICA CREDITI",IFERROR(IF(COPIA!E373&lt;&gt;0,COPIA!E373,""),""))</f>
        <v/>
      </c>
      <c r="I379" s="73" t="str">
        <f ca="1">IFERROR(IF(COPIA!F373&lt;&gt;0,COPIA!F373,""),"")</f>
        <v/>
      </c>
    </row>
    <row r="380" spans="4:9" ht="20.100000000000001" customHeight="1" x14ac:dyDescent="0.3">
      <c r="D380" s="73" t="str">
        <f ca="1">IFERROR(IF(COPIA!A374&lt;&gt;0,COPIA!A374,""),"")</f>
        <v/>
      </c>
      <c r="E380" s="75" t="str">
        <f ca="1">IFERROR(IF(COPIA!B374&lt;&gt;0,COPIA!B374,""),"")</f>
        <v/>
      </c>
      <c r="F380" s="73" t="str">
        <f>IFERROR(IF(COPIA!C374&lt;&gt;0,COPIA!C374,""),"")</f>
        <v/>
      </c>
      <c r="G380" s="73" t="str">
        <f ca="1">IFERROR(IF(COPIA!D374&lt;&gt;0,COPIA!D374,""),"")</f>
        <v/>
      </c>
      <c r="H380" s="73" t="str">
        <f ca="1">IF(E380="FONDO SVALUTAZIONE CREDITI","RETTIFICA CREDITI",IFERROR(IF(COPIA!E374&lt;&gt;0,COPIA!E374,""),""))</f>
        <v/>
      </c>
      <c r="I380" s="73" t="str">
        <f ca="1">IFERROR(IF(COPIA!F374&lt;&gt;0,COPIA!F374,""),"")</f>
        <v/>
      </c>
    </row>
    <row r="381" spans="4:9" ht="20.100000000000001" customHeight="1" x14ac:dyDescent="0.3">
      <c r="D381" s="73" t="str">
        <f ca="1">IFERROR(IF(COPIA!A375&lt;&gt;0,COPIA!A375,""),"")</f>
        <v/>
      </c>
      <c r="E381" s="75" t="str">
        <f ca="1">IFERROR(IF(COPIA!B375&lt;&gt;0,COPIA!B375,""),"")</f>
        <v/>
      </c>
      <c r="F381" s="73" t="str">
        <f>IFERROR(IF(COPIA!C375&lt;&gt;0,COPIA!C375,""),"")</f>
        <v/>
      </c>
      <c r="G381" s="73" t="str">
        <f ca="1">IFERROR(IF(COPIA!D375&lt;&gt;0,COPIA!D375,""),"")</f>
        <v/>
      </c>
      <c r="H381" s="73" t="str">
        <f ca="1">IF(E381="FONDO SVALUTAZIONE CREDITI","RETTIFICA CREDITI",IFERROR(IF(COPIA!E375&lt;&gt;0,COPIA!E375,""),""))</f>
        <v/>
      </c>
      <c r="I381" s="73" t="str">
        <f ca="1">IFERROR(IF(COPIA!F375&lt;&gt;0,COPIA!F375,""),"")</f>
        <v/>
      </c>
    </row>
    <row r="382" spans="4:9" ht="20.100000000000001" customHeight="1" x14ac:dyDescent="0.3">
      <c r="D382" s="73" t="str">
        <f ca="1">IFERROR(IF(COPIA!A376&lt;&gt;0,COPIA!A376,""),"")</f>
        <v/>
      </c>
      <c r="E382" s="75" t="str">
        <f ca="1">IFERROR(IF(COPIA!B376&lt;&gt;0,COPIA!B376,""),"")</f>
        <v/>
      </c>
      <c r="F382" s="73" t="str">
        <f>IFERROR(IF(COPIA!C376&lt;&gt;0,COPIA!C376,""),"")</f>
        <v/>
      </c>
      <c r="G382" s="73" t="str">
        <f ca="1">IFERROR(IF(COPIA!D376&lt;&gt;0,COPIA!D376,""),"")</f>
        <v/>
      </c>
      <c r="H382" s="73" t="str">
        <f ca="1">IF(E382="FONDO SVALUTAZIONE CREDITI","RETTIFICA CREDITI",IFERROR(IF(COPIA!E376&lt;&gt;0,COPIA!E376,""),""))</f>
        <v/>
      </c>
      <c r="I382" s="73" t="str">
        <f ca="1">IFERROR(IF(COPIA!F376&lt;&gt;0,COPIA!F376,""),"")</f>
        <v/>
      </c>
    </row>
    <row r="383" spans="4:9" ht="20.100000000000001" customHeight="1" x14ac:dyDescent="0.3">
      <c r="D383" s="73" t="str">
        <f ca="1">IFERROR(IF(COPIA!A377&lt;&gt;0,COPIA!A377,""),"")</f>
        <v/>
      </c>
      <c r="E383" s="75" t="str">
        <f ca="1">IFERROR(IF(COPIA!B377&lt;&gt;0,COPIA!B377,""),"")</f>
        <v/>
      </c>
      <c r="F383" s="73" t="str">
        <f>IFERROR(IF(COPIA!C377&lt;&gt;0,COPIA!C377,""),"")</f>
        <v/>
      </c>
      <c r="G383" s="73" t="str">
        <f ca="1">IFERROR(IF(COPIA!D377&lt;&gt;0,COPIA!D377,""),"")</f>
        <v/>
      </c>
      <c r="H383" s="73" t="str">
        <f ca="1">IF(E383="FONDO SVALUTAZIONE CREDITI","RETTIFICA CREDITI",IFERROR(IF(COPIA!E377&lt;&gt;0,COPIA!E377,""),""))</f>
        <v/>
      </c>
      <c r="I383" s="73" t="str">
        <f ca="1">IFERROR(IF(COPIA!F377&lt;&gt;0,COPIA!F377,""),"")</f>
        <v/>
      </c>
    </row>
    <row r="384" spans="4:9" ht="20.100000000000001" customHeight="1" x14ac:dyDescent="0.3">
      <c r="D384" s="73" t="str">
        <f ca="1">IFERROR(IF(COPIA!A378&lt;&gt;0,COPIA!A378,""),"")</f>
        <v/>
      </c>
      <c r="E384" s="75" t="str">
        <f ca="1">IFERROR(IF(COPIA!B378&lt;&gt;0,COPIA!B378,""),"")</f>
        <v/>
      </c>
      <c r="F384" s="73" t="str">
        <f>IFERROR(IF(COPIA!C378&lt;&gt;0,COPIA!C378,""),"")</f>
        <v/>
      </c>
      <c r="G384" s="73" t="str">
        <f ca="1">IFERROR(IF(COPIA!D378&lt;&gt;0,COPIA!D378,""),"")</f>
        <v/>
      </c>
      <c r="H384" s="73" t="str">
        <f ca="1">IF(E384="FONDO SVALUTAZIONE CREDITI","RETTIFICA CREDITI",IFERROR(IF(COPIA!E378&lt;&gt;0,COPIA!E378,""),""))</f>
        <v/>
      </c>
      <c r="I384" s="73" t="str">
        <f ca="1">IFERROR(IF(COPIA!F378&lt;&gt;0,COPIA!F378,""),"")</f>
        <v/>
      </c>
    </row>
    <row r="385" spans="4:9" ht="20.100000000000001" customHeight="1" x14ac:dyDescent="0.3">
      <c r="D385" s="73" t="str">
        <f ca="1">IFERROR(IF(COPIA!A379&lt;&gt;0,COPIA!A379,""),"")</f>
        <v/>
      </c>
      <c r="E385" s="75" t="str">
        <f ca="1">IFERROR(IF(COPIA!B379&lt;&gt;0,COPIA!B379,""),"")</f>
        <v/>
      </c>
      <c r="F385" s="73" t="str">
        <f>IFERROR(IF(COPIA!C379&lt;&gt;0,COPIA!C379,""),"")</f>
        <v/>
      </c>
      <c r="G385" s="73" t="str">
        <f ca="1">IFERROR(IF(COPIA!D379&lt;&gt;0,COPIA!D379,""),"")</f>
        <v/>
      </c>
      <c r="H385" s="73" t="str">
        <f ca="1">IF(E385="FONDO SVALUTAZIONE CREDITI","RETTIFICA CREDITI",IFERROR(IF(COPIA!E379&lt;&gt;0,COPIA!E379,""),""))</f>
        <v/>
      </c>
      <c r="I385" s="73" t="str">
        <f ca="1">IFERROR(IF(COPIA!F379&lt;&gt;0,COPIA!F379,""),"")</f>
        <v/>
      </c>
    </row>
    <row r="386" spans="4:9" ht="20.100000000000001" customHeight="1" x14ac:dyDescent="0.3">
      <c r="D386" s="73" t="str">
        <f ca="1">IFERROR(IF(COPIA!A380&lt;&gt;0,COPIA!A380,""),"")</f>
        <v/>
      </c>
      <c r="E386" s="75" t="str">
        <f ca="1">IFERROR(IF(COPIA!B380&lt;&gt;0,COPIA!B380,""),"")</f>
        <v/>
      </c>
      <c r="F386" s="73" t="str">
        <f>IFERROR(IF(COPIA!C380&lt;&gt;0,COPIA!C380,""),"")</f>
        <v/>
      </c>
      <c r="G386" s="73" t="str">
        <f ca="1">IFERROR(IF(COPIA!D380&lt;&gt;0,COPIA!D380,""),"")</f>
        <v/>
      </c>
      <c r="H386" s="73" t="str">
        <f ca="1">IF(E386="FONDO SVALUTAZIONE CREDITI","RETTIFICA CREDITI",IFERROR(IF(COPIA!E380&lt;&gt;0,COPIA!E380,""),""))</f>
        <v/>
      </c>
      <c r="I386" s="73" t="str">
        <f ca="1">IFERROR(IF(COPIA!F380&lt;&gt;0,COPIA!F380,""),"")</f>
        <v/>
      </c>
    </row>
    <row r="387" spans="4:9" ht="20.100000000000001" customHeight="1" x14ac:dyDescent="0.3">
      <c r="D387" s="73" t="str">
        <f ca="1">IFERROR(IF(COPIA!A381&lt;&gt;0,COPIA!A381,""),"")</f>
        <v/>
      </c>
      <c r="E387" s="75" t="str">
        <f ca="1">IFERROR(IF(COPIA!B381&lt;&gt;0,COPIA!B381,""),"")</f>
        <v/>
      </c>
      <c r="F387" s="73" t="str">
        <f>IFERROR(IF(COPIA!C381&lt;&gt;0,COPIA!C381,""),"")</f>
        <v/>
      </c>
      <c r="G387" s="73" t="str">
        <f ca="1">IFERROR(IF(COPIA!D381&lt;&gt;0,COPIA!D381,""),"")</f>
        <v/>
      </c>
      <c r="H387" s="73" t="str">
        <f ca="1">IF(E387="FONDO SVALUTAZIONE CREDITI","RETTIFICA CREDITI",IFERROR(IF(COPIA!E381&lt;&gt;0,COPIA!E381,""),""))</f>
        <v/>
      </c>
      <c r="I387" s="73" t="str">
        <f ca="1">IFERROR(IF(COPIA!F381&lt;&gt;0,COPIA!F381,""),"")</f>
        <v/>
      </c>
    </row>
    <row r="388" spans="4:9" ht="20.100000000000001" customHeight="1" x14ac:dyDescent="0.3">
      <c r="D388" s="73" t="str">
        <f ca="1">IFERROR(IF(COPIA!A382&lt;&gt;0,COPIA!A382,""),"")</f>
        <v/>
      </c>
      <c r="E388" s="75" t="str">
        <f ca="1">IFERROR(IF(COPIA!B382&lt;&gt;0,COPIA!B382,""),"")</f>
        <v/>
      </c>
      <c r="F388" s="73" t="str">
        <f>IFERROR(IF(COPIA!C382&lt;&gt;0,COPIA!C382,""),"")</f>
        <v/>
      </c>
      <c r="G388" s="73" t="str">
        <f ca="1">IFERROR(IF(COPIA!D382&lt;&gt;0,COPIA!D382,""),"")</f>
        <v/>
      </c>
      <c r="H388" s="73" t="str">
        <f ca="1">IF(E388="FONDO SVALUTAZIONE CREDITI","RETTIFICA CREDITI",IFERROR(IF(COPIA!E382&lt;&gt;0,COPIA!E382,""),""))</f>
        <v/>
      </c>
      <c r="I388" s="73" t="str">
        <f ca="1">IFERROR(IF(COPIA!F382&lt;&gt;0,COPIA!F382,""),"")</f>
        <v/>
      </c>
    </row>
    <row r="389" spans="4:9" ht="20.100000000000001" customHeight="1" x14ac:dyDescent="0.3">
      <c r="D389" s="73" t="str">
        <f ca="1">IFERROR(IF(COPIA!A383&lt;&gt;0,COPIA!A383,""),"")</f>
        <v/>
      </c>
      <c r="E389" s="75" t="str">
        <f ca="1">IFERROR(IF(COPIA!B383&lt;&gt;0,COPIA!B383,""),"")</f>
        <v/>
      </c>
      <c r="F389" s="73" t="str">
        <f>IFERROR(IF(COPIA!C383&lt;&gt;0,COPIA!C383,""),"")</f>
        <v/>
      </c>
      <c r="G389" s="73" t="str">
        <f ca="1">IFERROR(IF(COPIA!D383&lt;&gt;0,COPIA!D383,""),"")</f>
        <v/>
      </c>
      <c r="H389" s="73" t="str">
        <f ca="1">IF(E389="FONDO SVALUTAZIONE CREDITI","RETTIFICA CREDITI",IFERROR(IF(COPIA!E383&lt;&gt;0,COPIA!E383,""),""))</f>
        <v/>
      </c>
      <c r="I389" s="73" t="str">
        <f ca="1">IFERROR(IF(COPIA!F383&lt;&gt;0,COPIA!F383,""),"")</f>
        <v/>
      </c>
    </row>
    <row r="390" spans="4:9" ht="20.100000000000001" customHeight="1" x14ac:dyDescent="0.3">
      <c r="D390" s="73" t="str">
        <f ca="1">IFERROR(IF(COPIA!A384&lt;&gt;0,COPIA!A384,""),"")</f>
        <v/>
      </c>
      <c r="E390" s="75" t="str">
        <f ca="1">IFERROR(IF(COPIA!B384&lt;&gt;0,COPIA!B384,""),"")</f>
        <v/>
      </c>
      <c r="F390" s="73" t="str">
        <f>IFERROR(IF(COPIA!C384&lt;&gt;0,COPIA!C384,""),"")</f>
        <v/>
      </c>
      <c r="G390" s="73" t="str">
        <f ca="1">IFERROR(IF(COPIA!D384&lt;&gt;0,COPIA!D384,""),"")</f>
        <v/>
      </c>
      <c r="H390" s="73" t="str">
        <f ca="1">IF(E390="FONDO SVALUTAZIONE CREDITI","RETTIFICA CREDITI",IFERROR(IF(COPIA!E384&lt;&gt;0,COPIA!E384,""),""))</f>
        <v/>
      </c>
      <c r="I390" s="73" t="str">
        <f ca="1">IFERROR(IF(COPIA!F384&lt;&gt;0,COPIA!F384,""),"")</f>
        <v/>
      </c>
    </row>
    <row r="391" spans="4:9" ht="20.100000000000001" customHeight="1" x14ac:dyDescent="0.3">
      <c r="D391" s="73" t="str">
        <f ca="1">IFERROR(IF(COPIA!A385&lt;&gt;0,COPIA!A385,""),"")</f>
        <v/>
      </c>
      <c r="E391" s="75" t="str">
        <f ca="1">IFERROR(IF(COPIA!B385&lt;&gt;0,COPIA!B385,""),"")</f>
        <v/>
      </c>
      <c r="F391" s="73" t="str">
        <f>IFERROR(IF(COPIA!C385&lt;&gt;0,COPIA!C385,""),"")</f>
        <v/>
      </c>
      <c r="G391" s="73" t="str">
        <f ca="1">IFERROR(IF(COPIA!D385&lt;&gt;0,COPIA!D385,""),"")</f>
        <v/>
      </c>
      <c r="H391" s="73" t="str">
        <f ca="1">IF(E391="FONDO SVALUTAZIONE CREDITI","RETTIFICA CREDITI",IFERROR(IF(COPIA!E385&lt;&gt;0,COPIA!E385,""),""))</f>
        <v/>
      </c>
      <c r="I391" s="73" t="str">
        <f ca="1">IFERROR(IF(COPIA!F385&lt;&gt;0,COPIA!F385,""),"")</f>
        <v/>
      </c>
    </row>
    <row r="392" spans="4:9" ht="20.100000000000001" customHeight="1" x14ac:dyDescent="0.3">
      <c r="D392" s="73" t="str">
        <f ca="1">IFERROR(IF(COPIA!A386&lt;&gt;0,COPIA!A386,""),"")</f>
        <v/>
      </c>
      <c r="E392" s="75" t="str">
        <f ca="1">IFERROR(IF(COPIA!B386&lt;&gt;0,COPIA!B386,""),"")</f>
        <v/>
      </c>
      <c r="F392" s="73" t="str">
        <f>IFERROR(IF(COPIA!C386&lt;&gt;0,COPIA!C386,""),"")</f>
        <v/>
      </c>
      <c r="G392" s="73" t="str">
        <f ca="1">IFERROR(IF(COPIA!D386&lt;&gt;0,COPIA!D386,""),"")</f>
        <v/>
      </c>
      <c r="H392" s="73" t="str">
        <f ca="1">IF(E392="FONDO SVALUTAZIONE CREDITI","RETTIFICA CREDITI",IFERROR(IF(COPIA!E386&lt;&gt;0,COPIA!E386,""),""))</f>
        <v/>
      </c>
      <c r="I392" s="73" t="str">
        <f ca="1">IFERROR(IF(COPIA!F386&lt;&gt;0,COPIA!F386,""),"")</f>
        <v/>
      </c>
    </row>
    <row r="393" spans="4:9" ht="20.100000000000001" customHeight="1" x14ac:dyDescent="0.3">
      <c r="D393" s="73" t="str">
        <f ca="1">IFERROR(IF(COPIA!A387&lt;&gt;0,COPIA!A387,""),"")</f>
        <v/>
      </c>
      <c r="E393" s="75" t="str">
        <f ca="1">IFERROR(IF(COPIA!B387&lt;&gt;0,COPIA!B387,""),"")</f>
        <v/>
      </c>
      <c r="F393" s="73" t="str">
        <f>IFERROR(IF(COPIA!C387&lt;&gt;0,COPIA!C387,""),"")</f>
        <v/>
      </c>
      <c r="G393" s="73" t="str">
        <f ca="1">IFERROR(IF(COPIA!D387&lt;&gt;0,COPIA!D387,""),"")</f>
        <v/>
      </c>
      <c r="H393" s="73" t="str">
        <f ca="1">IF(E393="FONDO SVALUTAZIONE CREDITI","RETTIFICA CREDITI",IFERROR(IF(COPIA!E387&lt;&gt;0,COPIA!E387,""),""))</f>
        <v/>
      </c>
      <c r="I393" s="73" t="str">
        <f ca="1">IFERROR(IF(COPIA!F387&lt;&gt;0,COPIA!F387,""),"")</f>
        <v/>
      </c>
    </row>
    <row r="394" spans="4:9" ht="20.100000000000001" customHeight="1" x14ac:dyDescent="0.3">
      <c r="D394" s="73" t="str">
        <f ca="1">IFERROR(IF(COPIA!A388&lt;&gt;0,COPIA!A388,""),"")</f>
        <v/>
      </c>
      <c r="E394" s="75" t="str">
        <f ca="1">IFERROR(IF(COPIA!B388&lt;&gt;0,COPIA!B388,""),"")</f>
        <v/>
      </c>
      <c r="F394" s="73" t="str">
        <f>IFERROR(IF(COPIA!C388&lt;&gt;0,COPIA!C388,""),"")</f>
        <v/>
      </c>
      <c r="G394" s="73" t="str">
        <f ca="1">IFERROR(IF(COPIA!D388&lt;&gt;0,COPIA!D388,""),"")</f>
        <v/>
      </c>
      <c r="H394" s="73" t="str">
        <f ca="1">IF(E394="FONDO SVALUTAZIONE CREDITI","RETTIFICA CREDITI",IFERROR(IF(COPIA!E388&lt;&gt;0,COPIA!E388,""),""))</f>
        <v/>
      </c>
      <c r="I394" s="73" t="str">
        <f ca="1">IFERROR(IF(COPIA!F388&lt;&gt;0,COPIA!F388,""),"")</f>
        <v/>
      </c>
    </row>
    <row r="395" spans="4:9" ht="20.100000000000001" customHeight="1" x14ac:dyDescent="0.3">
      <c r="D395" s="73" t="str">
        <f ca="1">IFERROR(IF(COPIA!A389&lt;&gt;0,COPIA!A389,""),"")</f>
        <v/>
      </c>
      <c r="E395" s="75" t="str">
        <f ca="1">IFERROR(IF(COPIA!B389&lt;&gt;0,COPIA!B389,""),"")</f>
        <v/>
      </c>
      <c r="F395" s="73" t="str">
        <f>IFERROR(IF(COPIA!C389&lt;&gt;0,COPIA!C389,""),"")</f>
        <v/>
      </c>
      <c r="G395" s="73" t="str">
        <f ca="1">IFERROR(IF(COPIA!D389&lt;&gt;0,COPIA!D389,""),"")</f>
        <v/>
      </c>
      <c r="H395" s="73" t="str">
        <f ca="1">IF(E395="FONDO SVALUTAZIONE CREDITI","RETTIFICA CREDITI",IFERROR(IF(COPIA!E389&lt;&gt;0,COPIA!E389,""),""))</f>
        <v/>
      </c>
      <c r="I395" s="73" t="str">
        <f ca="1">IFERROR(IF(COPIA!F389&lt;&gt;0,COPIA!F389,""),"")</f>
        <v/>
      </c>
    </row>
    <row r="396" spans="4:9" ht="20.100000000000001" customHeight="1" x14ac:dyDescent="0.3">
      <c r="D396" s="73" t="str">
        <f ca="1">IFERROR(IF(COPIA!A390&lt;&gt;0,COPIA!A390,""),"")</f>
        <v/>
      </c>
      <c r="E396" s="75" t="str">
        <f ca="1">IFERROR(IF(COPIA!B390&lt;&gt;0,COPIA!B390,""),"")</f>
        <v/>
      </c>
      <c r="F396" s="73" t="str">
        <f>IFERROR(IF(COPIA!C390&lt;&gt;0,COPIA!C390,""),"")</f>
        <v/>
      </c>
      <c r="G396" s="73" t="str">
        <f ca="1">IFERROR(IF(COPIA!D390&lt;&gt;0,COPIA!D390,""),"")</f>
        <v/>
      </c>
      <c r="H396" s="73" t="str">
        <f ca="1">IF(E396="FONDO SVALUTAZIONE CREDITI","RETTIFICA CREDITI",IFERROR(IF(COPIA!E390&lt;&gt;0,COPIA!E390,""),""))</f>
        <v/>
      </c>
      <c r="I396" s="73" t="str">
        <f ca="1">IFERROR(IF(COPIA!F390&lt;&gt;0,COPIA!F390,""),"")</f>
        <v/>
      </c>
    </row>
    <row r="397" spans="4:9" x14ac:dyDescent="0.3">
      <c r="D397" s="73" t="str">
        <f ca="1">IFERROR(IF(COPIA!A391&lt;&gt;0,COPIA!A391,""),"")</f>
        <v/>
      </c>
      <c r="E397" s="75" t="str">
        <f ca="1">IFERROR(IF(COPIA!B391&lt;&gt;0,COPIA!B391,""),"")</f>
        <v/>
      </c>
      <c r="F397" s="73" t="str">
        <f>IFERROR(IF(COPIA!C391&lt;&gt;0,COPIA!C391,""),"")</f>
        <v/>
      </c>
      <c r="G397" s="73" t="str">
        <f ca="1">IFERROR(IF(COPIA!D391&lt;&gt;0,COPIA!D391,""),"")</f>
        <v/>
      </c>
      <c r="H397" s="73" t="str">
        <f ca="1">IF(E397="FONDO SVALUTAZIONE CREDITI","RETTIFICA CREDITI",IFERROR(IF(COPIA!E391&lt;&gt;0,COPIA!E391,""),""))</f>
        <v/>
      </c>
      <c r="I397" s="73" t="str">
        <f ca="1">IFERROR(IF(COPIA!F391&lt;&gt;0,COPIA!F391,""),"")</f>
        <v/>
      </c>
    </row>
    <row r="398" spans="4:9" x14ac:dyDescent="0.3">
      <c r="D398" s="73" t="str">
        <f ca="1">IFERROR(IF(COPIA!A392&lt;&gt;0,COPIA!A392,""),"")</f>
        <v/>
      </c>
      <c r="E398" s="75" t="str">
        <f ca="1">IFERROR(IF(COPIA!B392&lt;&gt;0,COPIA!B392,""),"")</f>
        <v/>
      </c>
      <c r="F398" s="73" t="str">
        <f>IFERROR(IF(COPIA!C392&lt;&gt;0,COPIA!C392,""),"")</f>
        <v/>
      </c>
      <c r="G398" s="73" t="str">
        <f ca="1">IFERROR(IF(COPIA!D392&lt;&gt;0,COPIA!D392,""),"")</f>
        <v/>
      </c>
      <c r="H398" s="73" t="str">
        <f ca="1">IF(E398="FONDO SVALUTAZIONE CREDITI","RETTIFICA CREDITI",IFERROR(IF(COPIA!E392&lt;&gt;0,COPIA!E392,""),""))</f>
        <v/>
      </c>
      <c r="I398" s="73" t="str">
        <f ca="1">IFERROR(IF(COPIA!F392&lt;&gt;0,COPIA!F392,""),"")</f>
        <v/>
      </c>
    </row>
    <row r="399" spans="4:9" x14ac:dyDescent="0.3">
      <c r="D399" s="73" t="str">
        <f ca="1">IFERROR(IF(COPIA!A393&lt;&gt;0,COPIA!A393,""),"")</f>
        <v/>
      </c>
      <c r="E399" s="75" t="str">
        <f ca="1">IFERROR(IF(COPIA!B393&lt;&gt;0,COPIA!B393,""),"")</f>
        <v/>
      </c>
      <c r="F399" s="73" t="str">
        <f>IFERROR(IF(COPIA!C393&lt;&gt;0,COPIA!C393,""),"")</f>
        <v/>
      </c>
      <c r="G399" s="73" t="str">
        <f ca="1">IFERROR(IF(COPIA!D393&lt;&gt;0,COPIA!D393,""),"")</f>
        <v/>
      </c>
      <c r="H399" s="73" t="str">
        <f ca="1">IF(E399="FONDO SVALUTAZIONE CREDITI","RETTIFICA CREDITI",IFERROR(IF(COPIA!E393&lt;&gt;0,COPIA!E393,""),""))</f>
        <v/>
      </c>
      <c r="I399" s="73" t="str">
        <f ca="1">IFERROR(IF(COPIA!F393&lt;&gt;0,COPIA!F393,""),"")</f>
        <v/>
      </c>
    </row>
  </sheetData>
  <sheetProtection algorithmName="SHA-512" hashValue="4Kf1RXJFjVoN/hQ/nUH3kssw+snYWhPevfTw7GKM6svT2hISk3HF18NpKJvUI7p13oxAkQl3dBLRplZLhz8BtQ==" saltValue="mRhiOwuGAbzndXDr/nvJpg==" spinCount="100000" sheet="1" objects="1" scenarios="1"/>
  <sortState xmlns:xlrd2="http://schemas.microsoft.com/office/spreadsheetml/2017/richdata2" ref="E2:I52">
    <sortCondition ref="E2"/>
  </sortState>
  <mergeCells count="20">
    <mergeCell ref="D6:E6"/>
    <mergeCell ref="F6:H6"/>
    <mergeCell ref="K13:M13"/>
    <mergeCell ref="K12:M12"/>
    <mergeCell ref="K17:M17"/>
    <mergeCell ref="K16:M16"/>
    <mergeCell ref="D7:L7"/>
    <mergeCell ref="K14:M14"/>
    <mergeCell ref="K15:M15"/>
    <mergeCell ref="K8:M8"/>
    <mergeCell ref="K9:M9"/>
    <mergeCell ref="K10:M10"/>
    <mergeCell ref="K11:M11"/>
    <mergeCell ref="D1:G1"/>
    <mergeCell ref="F3:H3"/>
    <mergeCell ref="F4:H4"/>
    <mergeCell ref="I3:N3"/>
    <mergeCell ref="I4:N4"/>
    <mergeCell ref="D3:E3"/>
    <mergeCell ref="D4:E4"/>
  </mergeCells>
  <conditionalFormatting sqref="D9:D399">
    <cfRule type="expression" dxfId="94" priority="2">
      <formula>MID($D9,4,2)="00"</formula>
    </cfRule>
    <cfRule type="expression" dxfId="93" priority="4">
      <formula>MID($D9,4,2)="00"</formula>
    </cfRule>
  </conditionalFormatting>
  <conditionalFormatting sqref="D8:I8">
    <cfRule type="expression" dxfId="92" priority="6">
      <formula>ROW()=2</formula>
    </cfRule>
  </conditionalFormatting>
  <conditionalFormatting sqref="D9:I399">
    <cfRule type="expression" dxfId="91" priority="10">
      <formula>AND(MID($D9,4,2)&lt;&gt;"00",MID($D9,4,2)&lt;&gt;"")</formula>
    </cfRule>
  </conditionalFormatting>
  <conditionalFormatting sqref="E9:H399">
    <cfRule type="expression" dxfId="90" priority="11">
      <formula>MID($D9,4,2)="00"</formula>
    </cfRule>
  </conditionalFormatting>
  <conditionalFormatting sqref="F10:I399">
    <cfRule type="expression" dxfId="89" priority="5">
      <formula>$M$7="TE214FA"</formula>
    </cfRule>
  </conditionalFormatting>
  <conditionalFormatting sqref="I9:I399">
    <cfRule type="expression" dxfId="88" priority="1">
      <formula>MID($D9,4,2)="00"</formula>
    </cfRule>
    <cfRule type="expression" dxfId="87" priority="3">
      <formula>MID($D9,4,2)="00"</formula>
    </cfRule>
    <cfRule type="expression" dxfId="86" priority="7">
      <formula>$I9="SP"</formula>
    </cfRule>
  </conditionalFormatting>
  <dataValidations count="2">
    <dataValidation type="list" allowBlank="1" showInputMessage="1" showErrorMessage="1" sqref="D4" xr:uid="{00000000-0002-0000-0000-000000000000}">
      <formula1>"SOCIETÀ IN NOME COLLETTIVO,SOCIETÀ PER AZIONI,Adatta ad una S.r.l. solo alcuni dei conti della S.p.A."</formula1>
    </dataValidation>
    <dataValidation type="list" allowBlank="1" showInputMessage="1" showErrorMessage="1" sqref="F4:H4" xr:uid="{00000000-0002-0000-0000-000001000000}">
      <formula1>"CALCOLO AUTOMATICO,INSERIMENTO MANUALE"</formula1>
    </dataValidation>
  </dataValidations>
  <printOptions horizontalCentered="1"/>
  <pageMargins left="0.19685039370078741" right="0.19685039370078741" top="0.98425196850393704" bottom="0.55118110236220474" header="0.39370078740157483" footer="0.31496062992125984"/>
  <pageSetup paperSize="9" orientation="landscape" r:id="rId1"/>
  <headerFooter>
    <oddHeader>&amp;L&amp;"Arial Narrow,Grassetto"&amp;10&amp;K08-044&amp;A&amp;R&amp;G</oddHeader>
    <oddFooter>&amp;L&amp;"Arial Narrow,Grassetto"&amp;8&amp;K08-042TRAMONTANA - FUTURO IMPRESA SMART 4 - T-SMART -  Autore: Biagio PALACINO&amp;C&amp;"Arial Narrow,Grassetto"&amp;10&amp;K08-046&amp;D&amp;R&amp;"Arial Narrow,Grassetto"&amp;10&amp;K08-043pag. &amp;P di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tabColor rgb="FFFF0000"/>
  </sheetPr>
  <dimension ref="A1:P212"/>
  <sheetViews>
    <sheetView showGridLines="0" showRowColHeaders="0" tabSelected="1" zoomScale="120" zoomScaleNormal="120" workbookViewId="0">
      <pane ySplit="10" topLeftCell="A11" activePane="bottomLeft" state="frozen"/>
      <selection pane="bottomLeft" activeCell="E11" sqref="E11"/>
    </sheetView>
  </sheetViews>
  <sheetFormatPr defaultRowHeight="15.6" x14ac:dyDescent="0.3"/>
  <cols>
    <col min="1" max="1" width="2.5" customWidth="1"/>
    <col min="2" max="2" width="6.3984375" style="1" customWidth="1"/>
    <col min="3" max="3" width="6.69921875" style="1" customWidth="1"/>
    <col min="4" max="4" width="9.3984375" style="1" customWidth="1"/>
    <col min="5" max="5" width="47.3984375" style="2" customWidth="1"/>
    <col min="6" max="6" width="37.3984375" customWidth="1"/>
    <col min="7" max="7" width="13.69921875" style="3" customWidth="1"/>
    <col min="8" max="8" width="13.09765625" style="3" customWidth="1"/>
    <col min="9" max="10" width="9" style="149" customWidth="1"/>
    <col min="11" max="12" width="9" style="7" customWidth="1"/>
    <col min="13" max="16" width="9" style="7"/>
  </cols>
  <sheetData>
    <row r="1" spans="1:16" ht="26.25" customHeight="1" x14ac:dyDescent="0.3">
      <c r="A1" s="4"/>
      <c r="B1" s="388" t="s">
        <v>1148</v>
      </c>
      <c r="C1" s="259"/>
      <c r="D1" s="259"/>
      <c r="E1" s="259"/>
      <c r="F1" s="269"/>
      <c r="G1" s="269"/>
      <c r="H1" s="269"/>
      <c r="K1" s="7" t="str">
        <f ca="1">IF(COPIA!AL1=1,"esercizio n",IF(COPIA!AL1=2,"esercizio n+1",IF(COPIA!AL1=3,"esercizio n+2",IF(COPIA!AL1=4,"esercizio n+3",IF(COPIA!AL1=5,"esercizio n+4",IF(COPIA!AL1=6,"esercizio n+5",""))))))</f>
        <v>esercizio n</v>
      </c>
      <c r="O1" s="7">
        <f ca="1">INDEX($M$11:$N$210,MATCH(MAX($M$11:$M$308),$M$11:$M$210,0),2)</f>
        <v>0</v>
      </c>
    </row>
    <row r="2" spans="1:16" x14ac:dyDescent="0.3">
      <c r="B2" s="262" t="s">
        <v>976</v>
      </c>
      <c r="C2" s="263"/>
      <c r="D2" s="264"/>
      <c r="E2" s="197" t="s">
        <v>1039</v>
      </c>
      <c r="F2" s="172" t="str">
        <f ca="1">IF(COPIA!CO1=0,"",CONCATENATE("Articoli registrati: ",COUNTIFS(K11:K308,"="&amp;0)))</f>
        <v/>
      </c>
      <c r="G2" s="202" t="s">
        <v>974</v>
      </c>
      <c r="H2" s="203" t="s">
        <v>975</v>
      </c>
      <c r="K2" s="7" t="str">
        <f ca="1">IF(COPIA!CO1=0,"",IF(AND(COPIA!$I$1=1,VALORI_INIZIALI!H4&lt;&gt;VALORI_INIZIALI!I4),"I valori inziali non bilanciano.",IF(AND(COPIA!$I$1=1,VALORI_INIZIALI!H4=VALORI_INIZIALI!I4,VALORI_INIZIALI!$H$4&gt;0,VALORI_INIZIALI!$I$4&gt;0),"Sono presenti valori iniziali.",IF(AND(COPIA!$I$1=2,OR(VALORI_INIZIALI!$H$4&gt;0,VALORI_INIZIALI!$I$4&gt;0)),"Sono presenti valori iniziali.","Non sono presenti valori iniziali."))))</f>
        <v/>
      </c>
      <c r="O2" s="7">
        <f ca="1">IFERROR(INDEX($M$11:$N$210,MATCH(MAX($M$11:$M$308)-1,$M$11:$M$210,0),2),0)</f>
        <v>0</v>
      </c>
    </row>
    <row r="3" spans="1:16" ht="17.25" customHeight="1" x14ac:dyDescent="0.3">
      <c r="B3" s="266" t="s">
        <v>1045</v>
      </c>
      <c r="C3" s="267"/>
      <c r="D3" s="268"/>
      <c r="E3" s="270" t="str">
        <f ca="1">IF(INDIRECT(ADDRESS(3,2,,,))="Cloud: Office 365","VERSIONE OFFICE 365","")</f>
        <v/>
      </c>
      <c r="F3" s="173" t="str">
        <f ca="1">COPIA!FG1</f>
        <v/>
      </c>
      <c r="G3" s="260" t="str">
        <f ca="1">K1</f>
        <v>esercizio n</v>
      </c>
      <c r="H3" s="261"/>
    </row>
    <row r="4" spans="1:16" x14ac:dyDescent="0.3">
      <c r="B4" s="265" t="s">
        <v>980</v>
      </c>
      <c r="C4" s="265"/>
      <c r="D4" s="265"/>
      <c r="E4" s="270"/>
      <c r="F4" s="174" t="str">
        <f ca="1">K2</f>
        <v/>
      </c>
      <c r="G4" s="171">
        <f ca="1">ROUND(SUMIFS(INDIRECT(CONCATENATE(ADDRESS(11,7,,,),":",ADDRESS(210,7,,,))),INDIRECT(CONCATENATE(ADDRESS(11,4,,,),":",ADDRESS(210,4,,,))),"&lt;="&amp;FINE_AC,INDIRECT(CONCATENATE(ADDRESS(11,4,,,),":",ADDRESS(210,4,,,))),"&gt;="&amp;INIZIO_AC),2)</f>
        <v>0</v>
      </c>
      <c r="H4" s="175">
        <f ca="1">ROUND(SUMIFS(INDIRECT(CONCATENATE(ADDRESS(11,8,,,),":",ADDRESS(210,8,,,))),INDIRECT(CONCATENATE(ADDRESS(11,4,,,),":",ADDRESS(210,4,,,))),"&lt;="&amp;FINE_AC,INDIRECT(CONCATENATE(ADDRESS(11,4,,,),":",ADDRESS(210,4,,,))),"&gt;="&amp;INIZIO_AC),2)</f>
        <v>0</v>
      </c>
    </row>
    <row r="5" spans="1:16" x14ac:dyDescent="0.3">
      <c r="B5" s="170">
        <v>31</v>
      </c>
      <c r="C5" s="170">
        <v>12</v>
      </c>
      <c r="D5" s="170" t="s">
        <v>1005</v>
      </c>
      <c r="E5" s="271" t="str">
        <f ca="1">IF(INDIRECT(ADDRESS(3,2,,,))&lt;&gt;"Cloud: Office 365","ATTIVA LA VERSIONE  ONLINE","")</f>
        <v>ATTIVA LA VERSIONE  ONLINE</v>
      </c>
    </row>
    <row r="6" spans="1:16" x14ac:dyDescent="0.3">
      <c r="B6" s="145" t="s">
        <v>977</v>
      </c>
      <c r="C6" s="145" t="s">
        <v>978</v>
      </c>
      <c r="D6" s="145" t="s">
        <v>979</v>
      </c>
      <c r="E6" s="271"/>
      <c r="F6" s="168" t="s">
        <v>985</v>
      </c>
      <c r="G6" s="139" t="s">
        <v>981</v>
      </c>
      <c r="H6" s="201" t="s">
        <v>761</v>
      </c>
    </row>
    <row r="7" spans="1:16" x14ac:dyDescent="0.3">
      <c r="B7" s="258" t="s">
        <v>989</v>
      </c>
      <c r="C7" s="258"/>
      <c r="D7" s="258"/>
      <c r="F7" s="144" t="s">
        <v>988</v>
      </c>
      <c r="G7" s="254" t="s">
        <v>991</v>
      </c>
      <c r="H7" s="254"/>
    </row>
    <row r="8" spans="1:16" x14ac:dyDescent="0.3">
      <c r="B8" s="255" t="str">
        <f ca="1">IF(INDIRECT(ADDRESS(4,4,,,"PIANO_DEI_CONTI"))="Adatta ad una S.r.l. solo alcuni dei conti della S.p.A.","Società a responsabilità limitata",INDIRECT(ADDRESS(4,4,,,"PIANO_DEI_CONTI")))</f>
        <v>SOCIETÀ PER AZIONI</v>
      </c>
      <c r="C8" s="256"/>
      <c r="D8" s="257"/>
      <c r="F8" s="169"/>
      <c r="G8" s="252"/>
      <c r="H8" s="253"/>
    </row>
    <row r="9" spans="1:16" ht="6" customHeight="1" x14ac:dyDescent="0.3">
      <c r="A9" s="11"/>
      <c r="B9" s="97"/>
      <c r="C9" s="14"/>
      <c r="D9" s="98"/>
      <c r="E9" s="161" t="s">
        <v>1006</v>
      </c>
      <c r="F9" s="61"/>
      <c r="G9" s="62"/>
      <c r="H9" s="62"/>
      <c r="I9" s="150"/>
      <c r="J9" s="148"/>
      <c r="L9" s="60">
        <f ca="1">L10+5</f>
        <v>2031</v>
      </c>
    </row>
    <row r="10" spans="1:16" ht="17.25" customHeight="1" x14ac:dyDescent="0.3">
      <c r="A10" s="48"/>
      <c r="B10" s="121" t="s">
        <v>10</v>
      </c>
      <c r="C10" s="121" t="s">
        <v>315</v>
      </c>
      <c r="D10" s="122" t="s">
        <v>0</v>
      </c>
      <c r="E10" s="122" t="s">
        <v>314</v>
      </c>
      <c r="F10" s="122" t="s">
        <v>1</v>
      </c>
      <c r="G10" s="123" t="s">
        <v>2</v>
      </c>
      <c r="H10" s="123" t="s">
        <v>3</v>
      </c>
      <c r="I10" s="147"/>
      <c r="L10" s="7">
        <f ca="1">COPIA!$AP$1</f>
        <v>2026</v>
      </c>
    </row>
    <row r="11" spans="1:16" ht="24" customHeight="1" x14ac:dyDescent="0.3">
      <c r="B11" s="22" t="str">
        <f t="shared" ref="B11:B42" ca="1" si="0">IF(INDIRECT(ADDRESS(ROW(),4,,,))="","",IFERROR(INDEX(PDC,MATCH(INDIRECT(ADDRESS(ROW(),5,,,)),DEN_PDC,0),1),0))</f>
        <v/>
      </c>
      <c r="C11" s="16" t="str">
        <f ca="1">IF(INDIRECT(ADDRESS(ROW(),5,,,))&lt;&gt;"",ROW()-10,"")</f>
        <v/>
      </c>
      <c r="D11" s="23"/>
      <c r="E11" s="24"/>
      <c r="F11" s="24"/>
      <c r="G11" s="25"/>
      <c r="H11" s="26"/>
      <c r="I11" s="176"/>
      <c r="J11" s="151"/>
      <c r="K11" s="167" t="str">
        <f ca="1">IF(IF(COPIA!$R$1=TRUE,IF(OR(G11&lt;&gt;0,H11&lt;&gt;0),ROUND(SUM(G$11:G11),2)-ROUND(SUM(H$11:H11),2),""),"")&lt;&gt;0,"",0)</f>
        <v/>
      </c>
      <c r="L11" s="7">
        <f ca="1">IF(INDIRECT(ADDRESS(ROW(),4,4,,))&lt;&gt;"",YEAR(INDIRECT(ADDRESS(ROW(),4,4,,))),0)</f>
        <v>0</v>
      </c>
      <c r="M11" s="7">
        <f ca="1">IFERROR(IF(AND(INDIRECT(ADDRESS(ROW(),4,,,))&lt;=COPIA!$DA$1,K11=0,COPIA!$BF$1&gt;1,ROW()-10&lt;COPIA!$BF$1-1),MAX($M$10:M10)+1,IF(AND(INDIRECT(ADDRESS(ROW(),4,,,))&lt;=COPIA!$DA$1,K11=0,COPIA!$BF$1=1),MAX($M$10:M10)+1,0)),0)</f>
        <v>0</v>
      </c>
      <c r="N11" s="7">
        <f ca="1">IF(AND(COPIA!$BF$1=1,M11&lt;&gt;0),ROW()-10,IF(AND(COPIA!$BF$1&gt;1,ROW()-10&gt;COPIA!$BF$1,M11&lt;&gt;0),0,IF(AND(COPIA!$BF$1&gt;1,ROW()-10&lt;=COPIA!$BF$1,M11&lt;&gt;0),ROW()-10,0)))</f>
        <v>0</v>
      </c>
      <c r="O11" s="7">
        <f ca="1">IF(AND($O$1=0,ROW()-10&lt;=$O$2),MAX($O$10:O10)+1,IF(AND(ROW()-10&gt;$O$2,ROW()-10&lt;=$O$1),ROW()-10,0))</f>
        <v>0</v>
      </c>
      <c r="P11" s="7">
        <f ca="1">IF(O11&gt;0,MAX($P$10:P10)+1,0)</f>
        <v>0</v>
      </c>
    </row>
    <row r="12" spans="1:16" ht="24" customHeight="1" x14ac:dyDescent="0.3">
      <c r="B12" s="22" t="str">
        <f t="shared" ca="1" si="0"/>
        <v/>
      </c>
      <c r="C12" s="16" t="str">
        <f t="shared" ref="C12:C75" ca="1" si="1">IF(INDIRECT(ADDRESS(ROW(),5,,,))&lt;&gt;"",ROW()-10,"")</f>
        <v/>
      </c>
      <c r="D12" s="23"/>
      <c r="E12" s="24"/>
      <c r="F12" s="24"/>
      <c r="G12" s="25"/>
      <c r="H12" s="26"/>
      <c r="I12" s="176"/>
      <c r="J12" s="151"/>
      <c r="K12" s="167" t="str">
        <f ca="1">IF(IF(COPIA!$R$1=TRUE,IF(OR(G12&lt;&gt;0,H12&lt;&gt;0),ROUND(SUM(G$11:G12),2)-ROUND(SUM(H$11:H12),2),""),"")&lt;&gt;0,"",0)</f>
        <v/>
      </c>
      <c r="L12" s="7">
        <f t="shared" ref="L12:L75" ca="1" si="2">IF(INDIRECT(ADDRESS(ROW(),4,4,,))&lt;&gt;"",YEAR(INDIRECT(ADDRESS(ROW(),4,4,,))),0)</f>
        <v>0</v>
      </c>
      <c r="M12" s="7">
        <f ca="1">IFERROR(IF(AND(INDIRECT(ADDRESS(ROW(),4,,,))&lt;=COPIA!$DA$1,K12=0,COPIA!$BF$1&gt;1,ROW()-10&lt;COPIA!$BF$1-1),MAX($M$10:M11)+1,IF(AND(INDIRECT(ADDRESS(ROW(),4,,,))&lt;=COPIA!$DA$1,K12=0,COPIA!$BF$1=1),MAX($M$10:M11)+1,0)),0)</f>
        <v>0</v>
      </c>
      <c r="N12" s="7">
        <f ca="1">IF(AND(COPIA!$BF$1=1,M12&lt;&gt;0),ROW()-10,IF(AND(COPIA!$BF$1&gt;1,ROW()-10&gt;COPIA!$BF$1,M12&lt;&gt;0),0,IF(AND(COPIA!$BF$1&gt;1,ROW()-10&lt;=COPIA!$BF$1,M12&lt;&gt;0),ROW()-10,0)))</f>
        <v>0</v>
      </c>
      <c r="O12" s="7">
        <f ca="1">IF(AND($O$1=0,ROW()-10&lt;=$O$2),MAX($O$10:O11)+1,IF(AND(ROW()-10&gt;$O$2,ROW()-10&lt;=$O$1),ROW()-10,0))</f>
        <v>0</v>
      </c>
      <c r="P12" s="7">
        <f ca="1">IF(O12&gt;0,MAX($P$10:P11)+1,0)</f>
        <v>0</v>
      </c>
    </row>
    <row r="13" spans="1:16" ht="24" customHeight="1" x14ac:dyDescent="0.3">
      <c r="B13" s="22" t="str">
        <f t="shared" ca="1" si="0"/>
        <v/>
      </c>
      <c r="C13" s="16" t="str">
        <f t="shared" ca="1" si="1"/>
        <v/>
      </c>
      <c r="D13" s="23"/>
      <c r="E13" s="24"/>
      <c r="F13" s="24"/>
      <c r="G13" s="25"/>
      <c r="H13" s="26"/>
      <c r="I13" s="176"/>
      <c r="J13" s="151"/>
      <c r="K13" s="167" t="str">
        <f ca="1">IF(IF(COPIA!$R$1=TRUE,IF(OR(G13&lt;&gt;0,H13&lt;&gt;0),ROUND(SUM(G$11:G13),2)-ROUND(SUM(H$11:H13),2),""),"")&lt;&gt;0,"",0)</f>
        <v/>
      </c>
      <c r="L13" s="7">
        <f t="shared" ca="1" si="2"/>
        <v>0</v>
      </c>
      <c r="M13" s="7">
        <f ca="1">IFERROR(IF(AND(INDIRECT(ADDRESS(ROW(),4,,,))&lt;=COPIA!$DA$1,K13=0,COPIA!$BF$1&gt;1,ROW()-10&lt;COPIA!$BF$1-1),MAX($M$10:M12)+1,IF(AND(INDIRECT(ADDRESS(ROW(),4,,,))&lt;=COPIA!$DA$1,K13=0,COPIA!$BF$1=1),MAX($M$10:M12)+1,0)),0)</f>
        <v>0</v>
      </c>
      <c r="N13" s="7">
        <f ca="1">IF(AND(COPIA!$BF$1=1,M13&lt;&gt;0),ROW()-10,IF(AND(COPIA!$BF$1&gt;1,ROW()-10&gt;COPIA!$BF$1,M13&lt;&gt;0),0,IF(AND(COPIA!$BF$1&gt;1,ROW()-10&lt;=COPIA!$BF$1,M13&lt;&gt;0),ROW()-10,0)))</f>
        <v>0</v>
      </c>
      <c r="O13" s="7">
        <f ca="1">IF(AND($O$1=0,ROW()-10&lt;=$O$2),MAX($O$10:O12)+1,IF(AND(ROW()-10&gt;$O$2,ROW()-10&lt;=$O$1),ROW()-10,0))</f>
        <v>0</v>
      </c>
      <c r="P13" s="7">
        <f ca="1">IF(O13&gt;0,MAX($P$10:P12)+1,0)</f>
        <v>0</v>
      </c>
    </row>
    <row r="14" spans="1:16" ht="24" customHeight="1" x14ac:dyDescent="0.3">
      <c r="B14" s="22" t="str">
        <f t="shared" ca="1" si="0"/>
        <v/>
      </c>
      <c r="C14" s="16" t="str">
        <f t="shared" ca="1" si="1"/>
        <v/>
      </c>
      <c r="D14" s="23"/>
      <c r="E14" s="24"/>
      <c r="F14" s="24"/>
      <c r="G14" s="25"/>
      <c r="H14" s="26"/>
      <c r="I14" s="176"/>
      <c r="J14" s="151"/>
      <c r="K14" s="167" t="str">
        <f ca="1">IF(IF(COPIA!$R$1=TRUE,IF(OR(G14&lt;&gt;0,H14&lt;&gt;0),ROUND(SUM(G$11:G14),2)-ROUND(SUM(H$11:H14),2),""),"")&lt;&gt;0,"",0)</f>
        <v/>
      </c>
      <c r="L14" s="7">
        <f t="shared" ca="1" si="2"/>
        <v>0</v>
      </c>
      <c r="M14" s="7">
        <f ca="1">IFERROR(IF(AND(INDIRECT(ADDRESS(ROW(),4,,,))&lt;=COPIA!$DA$1,K14=0,COPIA!$BF$1&gt;1,ROW()-10&lt;COPIA!$BF$1-1),MAX($M$10:M13)+1,IF(AND(INDIRECT(ADDRESS(ROW(),4,,,))&lt;=COPIA!$DA$1,K14=0,COPIA!$BF$1=1),MAX($M$10:M13)+1,0)),0)</f>
        <v>0</v>
      </c>
      <c r="N14" s="7">
        <f ca="1">IF(AND(COPIA!$BF$1=1,M14&lt;&gt;0),ROW()-10,IF(AND(COPIA!$BF$1&gt;1,ROW()-10&gt;COPIA!$BF$1,M14&lt;&gt;0),0,IF(AND(COPIA!$BF$1&gt;1,ROW()-10&lt;=COPIA!$BF$1,M14&lt;&gt;0),ROW()-10,0)))</f>
        <v>0</v>
      </c>
      <c r="O14" s="7">
        <f ca="1">IF(AND($O$1=0,ROW()-10&lt;=$O$2),MAX($O$10:O13)+1,IF(AND(ROW()-10&gt;$O$2,ROW()-10&lt;=$O$1),ROW()-10,0))</f>
        <v>0</v>
      </c>
      <c r="P14" s="7">
        <f ca="1">IF(O14&gt;0,MAX($P$10:P13)+1,0)</f>
        <v>0</v>
      </c>
    </row>
    <row r="15" spans="1:16" ht="24" customHeight="1" x14ac:dyDescent="0.3">
      <c r="B15" s="22" t="str">
        <f t="shared" ca="1" si="0"/>
        <v/>
      </c>
      <c r="C15" s="16" t="str">
        <f t="shared" ca="1" si="1"/>
        <v/>
      </c>
      <c r="D15" s="23"/>
      <c r="E15" s="24"/>
      <c r="F15" s="24"/>
      <c r="G15" s="25"/>
      <c r="H15" s="26"/>
      <c r="I15" s="176"/>
      <c r="J15" s="151"/>
      <c r="K15" s="167" t="str">
        <f ca="1">IF(IF(COPIA!$R$1=TRUE,IF(OR(G15&lt;&gt;0,H15&lt;&gt;0),ROUND(SUM(G$11:G15),2)-ROUND(SUM(H$11:H15),2),""),"")&lt;&gt;0,"",0)</f>
        <v/>
      </c>
      <c r="L15" s="7">
        <f t="shared" ca="1" si="2"/>
        <v>0</v>
      </c>
      <c r="M15" s="7">
        <f ca="1">IFERROR(IF(AND(INDIRECT(ADDRESS(ROW(),4,,,))&lt;=COPIA!$DA$1,K15=0,COPIA!$BF$1&gt;1,ROW()-10&lt;COPIA!$BF$1-1),MAX($M$10:M14)+1,IF(AND(INDIRECT(ADDRESS(ROW(),4,,,))&lt;=COPIA!$DA$1,K15=0,COPIA!$BF$1=1),MAX($M$10:M14)+1,0)),0)</f>
        <v>0</v>
      </c>
      <c r="N15" s="7">
        <f ca="1">IF(AND(COPIA!$BF$1=1,M15&lt;&gt;0),ROW()-10,IF(AND(COPIA!$BF$1&gt;1,ROW()-10&gt;COPIA!$BF$1,M15&lt;&gt;0),0,IF(AND(COPIA!$BF$1&gt;1,ROW()-10&lt;=COPIA!$BF$1,M15&lt;&gt;0),ROW()-10,0)))</f>
        <v>0</v>
      </c>
      <c r="O15" s="7">
        <f ca="1">IF(AND($O$1=0,ROW()-10&lt;=$O$2),MAX($O$10:O14)+1,IF(AND(ROW()-10&gt;$O$2,ROW()-10&lt;=$O$1),ROW()-10,0))</f>
        <v>0</v>
      </c>
      <c r="P15" s="7">
        <f ca="1">IF(O15&gt;0,MAX($P$10:P14)+1,0)</f>
        <v>0</v>
      </c>
    </row>
    <row r="16" spans="1:16" ht="24" customHeight="1" x14ac:dyDescent="0.3">
      <c r="B16" s="22" t="str">
        <f t="shared" ca="1" si="0"/>
        <v/>
      </c>
      <c r="C16" s="16" t="str">
        <f t="shared" ca="1" si="1"/>
        <v/>
      </c>
      <c r="D16" s="23"/>
      <c r="E16" s="24"/>
      <c r="F16" s="24"/>
      <c r="G16" s="25"/>
      <c r="H16" s="26"/>
      <c r="I16" s="177"/>
      <c r="J16" s="151"/>
      <c r="K16" s="167" t="str">
        <f ca="1">IF(IF(COPIA!$R$1=TRUE,IF(OR(G16&lt;&gt;0,H16&lt;&gt;0),ROUND(SUM(G$11:G16),2)-ROUND(SUM(H$11:H16),2),""),"")&lt;&gt;0,"",0)</f>
        <v/>
      </c>
      <c r="L16" s="7">
        <f t="shared" ca="1" si="2"/>
        <v>0</v>
      </c>
      <c r="M16" s="7">
        <f ca="1">IFERROR(IF(AND(INDIRECT(ADDRESS(ROW(),4,,,))&lt;=COPIA!$DA$1,K16=0,COPIA!$BF$1&gt;1,ROW()-10&lt;COPIA!$BF$1-1),MAX($M$10:M15)+1,IF(AND(INDIRECT(ADDRESS(ROW(),4,,,))&lt;=COPIA!$DA$1,K16=0,COPIA!$BF$1=1),MAX($M$10:M15)+1,0)),0)</f>
        <v>0</v>
      </c>
      <c r="N16" s="7">
        <f ca="1">IF(AND(COPIA!$BF$1=1,M16&lt;&gt;0),ROW()-10,IF(AND(COPIA!$BF$1&gt;1,ROW()-10&gt;COPIA!$BF$1,M16&lt;&gt;0),0,IF(AND(COPIA!$BF$1&gt;1,ROW()-10&lt;=COPIA!$BF$1,M16&lt;&gt;0),ROW()-10,0)))</f>
        <v>0</v>
      </c>
      <c r="O16" s="7">
        <f ca="1">IF(AND($O$1=0,ROW()-10&lt;=$O$2),MAX($O$10:O15)+1,IF(AND(ROW()-10&gt;$O$2,ROW()-10&lt;=$O$1),ROW()-10,0))</f>
        <v>0</v>
      </c>
      <c r="P16" s="7">
        <f ca="1">IF(O16&gt;0,MAX($P$10:P15)+1,0)</f>
        <v>0</v>
      </c>
    </row>
    <row r="17" spans="2:16" ht="24" customHeight="1" x14ac:dyDescent="0.3">
      <c r="B17" s="22" t="str">
        <f t="shared" ca="1" si="0"/>
        <v/>
      </c>
      <c r="C17" s="16" t="str">
        <f t="shared" ca="1" si="1"/>
        <v/>
      </c>
      <c r="D17" s="23"/>
      <c r="E17" s="24"/>
      <c r="F17" s="24"/>
      <c r="G17" s="25"/>
      <c r="H17" s="26"/>
      <c r="I17" s="177"/>
      <c r="J17" s="151"/>
      <c r="K17" s="167" t="str">
        <f ca="1">IF(IF(COPIA!$R$1=TRUE,IF(OR(G17&lt;&gt;0,H17&lt;&gt;0),ROUND(SUM(G$11:G17),2)-ROUND(SUM(H$11:H17),2),""),"")&lt;&gt;0,"",0)</f>
        <v/>
      </c>
      <c r="L17" s="7">
        <f t="shared" ca="1" si="2"/>
        <v>0</v>
      </c>
      <c r="M17" s="7">
        <f ca="1">IFERROR(IF(AND(INDIRECT(ADDRESS(ROW(),4,,,))&lt;=COPIA!$DA$1,K17=0,COPIA!$BF$1&gt;1,ROW()-10&lt;COPIA!$BF$1-1),MAX($M$10:M16)+1,IF(AND(INDIRECT(ADDRESS(ROW(),4,,,))&lt;=COPIA!$DA$1,K17=0,COPIA!$BF$1=1),MAX($M$10:M16)+1,0)),0)</f>
        <v>0</v>
      </c>
      <c r="N17" s="7">
        <f ca="1">IF(AND(COPIA!$BF$1=1,M17&lt;&gt;0),ROW()-10,IF(AND(COPIA!$BF$1&gt;1,ROW()-10&gt;COPIA!$BF$1,M17&lt;&gt;0),0,IF(AND(COPIA!$BF$1&gt;1,ROW()-10&lt;=COPIA!$BF$1,M17&lt;&gt;0),ROW()-10,0)))</f>
        <v>0</v>
      </c>
      <c r="O17" s="7">
        <f ca="1">IF(AND($O$1=0,ROW()-10&lt;=$O$2),MAX($O$10:O16)+1,IF(AND(ROW()-10&gt;$O$2,ROW()-10&lt;=$O$1),ROW()-10,0))</f>
        <v>0</v>
      </c>
      <c r="P17" s="7">
        <f ca="1">IF(O17&gt;0,MAX($P$10:P16)+1,0)</f>
        <v>0</v>
      </c>
    </row>
    <row r="18" spans="2:16" ht="24" customHeight="1" x14ac:dyDescent="0.3">
      <c r="B18" s="22" t="str">
        <f t="shared" ca="1" si="0"/>
        <v/>
      </c>
      <c r="C18" s="16" t="str">
        <f t="shared" ca="1" si="1"/>
        <v/>
      </c>
      <c r="D18" s="23"/>
      <c r="E18" s="24"/>
      <c r="F18" s="24"/>
      <c r="G18" s="25"/>
      <c r="H18" s="26"/>
      <c r="I18" s="177"/>
      <c r="J18" s="151"/>
      <c r="K18" s="167" t="str">
        <f ca="1">IF(IF(COPIA!$R$1=TRUE,IF(OR(G18&lt;&gt;0,H18&lt;&gt;0),ROUND(SUM(G$11:G18),2)-ROUND(SUM(H$11:H18),2),""),"")&lt;&gt;0,"",0)</f>
        <v/>
      </c>
      <c r="L18" s="7">
        <f t="shared" ca="1" si="2"/>
        <v>0</v>
      </c>
      <c r="M18" s="7">
        <f ca="1">IFERROR(IF(AND(INDIRECT(ADDRESS(ROW(),4,,,))&lt;=COPIA!$DA$1,K18=0,COPIA!$BF$1&gt;1,ROW()-10&lt;COPIA!$BF$1-1),MAX($M$10:M17)+1,IF(AND(INDIRECT(ADDRESS(ROW(),4,,,))&lt;=COPIA!$DA$1,K18=0,COPIA!$BF$1=1),MAX($M$10:M17)+1,0)),0)</f>
        <v>0</v>
      </c>
      <c r="N18" s="7">
        <f ca="1">IF(AND(COPIA!$BF$1=1,M18&lt;&gt;0),ROW()-10,IF(AND(COPIA!$BF$1&gt;1,ROW()-10&gt;COPIA!$BF$1,M18&lt;&gt;0),0,IF(AND(COPIA!$BF$1&gt;1,ROW()-10&lt;=COPIA!$BF$1,M18&lt;&gt;0),ROW()-10,0)))</f>
        <v>0</v>
      </c>
      <c r="O18" s="7">
        <f ca="1">IF(AND($O$1=0,ROW()-10&lt;=$O$2),MAX($O$10:O17)+1,IF(AND(ROW()-10&gt;$O$2,ROW()-10&lt;=$O$1),ROW()-10,0))</f>
        <v>0</v>
      </c>
      <c r="P18" s="7">
        <f ca="1">IF(O18&gt;0,MAX($P$10:P17)+1,0)</f>
        <v>0</v>
      </c>
    </row>
    <row r="19" spans="2:16" ht="24" customHeight="1" x14ac:dyDescent="0.3">
      <c r="B19" s="22" t="str">
        <f t="shared" ca="1" si="0"/>
        <v/>
      </c>
      <c r="C19" s="16" t="str">
        <f t="shared" ca="1" si="1"/>
        <v/>
      </c>
      <c r="D19" s="23"/>
      <c r="E19" s="24"/>
      <c r="F19" s="24"/>
      <c r="G19" s="25"/>
      <c r="H19" s="26"/>
      <c r="I19" s="177"/>
      <c r="J19" s="151"/>
      <c r="K19" s="167" t="str">
        <f ca="1">IF(IF(COPIA!$R$1=TRUE,IF(OR(G19&lt;&gt;0,H19&lt;&gt;0),ROUND(SUM(G$11:G19),2)-ROUND(SUM(H$11:H19),2),""),"")&lt;&gt;0,"",0)</f>
        <v/>
      </c>
      <c r="L19" s="7">
        <f t="shared" ca="1" si="2"/>
        <v>0</v>
      </c>
      <c r="M19" s="7">
        <f ca="1">IFERROR(IF(AND(INDIRECT(ADDRESS(ROW(),4,,,))&lt;=COPIA!$DA$1,K19=0,COPIA!$BF$1&gt;1,ROW()-10&lt;COPIA!$BF$1-1),MAX($M$10:M18)+1,IF(AND(INDIRECT(ADDRESS(ROW(),4,,,))&lt;=COPIA!$DA$1,K19=0,COPIA!$BF$1=1),MAX($M$10:M18)+1,0)),0)</f>
        <v>0</v>
      </c>
      <c r="N19" s="7">
        <f ca="1">IF(AND(COPIA!$BF$1=1,M19&lt;&gt;0),ROW()-10,IF(AND(COPIA!$BF$1&gt;1,ROW()-10&gt;COPIA!$BF$1,M19&lt;&gt;0),0,IF(AND(COPIA!$BF$1&gt;1,ROW()-10&lt;=COPIA!$BF$1,M19&lt;&gt;0),ROW()-10,0)))</f>
        <v>0</v>
      </c>
      <c r="O19" s="7">
        <f ca="1">IF(AND($O$1=0,ROW()-10&lt;=$O$2),MAX($O$10:O18)+1,IF(AND(ROW()-10&gt;$O$2,ROW()-10&lt;=$O$1),ROW()-10,0))</f>
        <v>0</v>
      </c>
      <c r="P19" s="7">
        <f ca="1">IF(O19&gt;0,MAX($P$10:P18)+1,0)</f>
        <v>0</v>
      </c>
    </row>
    <row r="20" spans="2:16" ht="24" customHeight="1" x14ac:dyDescent="0.3">
      <c r="B20" s="22" t="str">
        <f t="shared" ca="1" si="0"/>
        <v/>
      </c>
      <c r="C20" s="16" t="str">
        <f t="shared" ca="1" si="1"/>
        <v/>
      </c>
      <c r="D20" s="23"/>
      <c r="E20" s="24"/>
      <c r="F20" s="24"/>
      <c r="G20" s="25"/>
      <c r="H20" s="26"/>
      <c r="I20" s="177"/>
      <c r="J20" s="151"/>
      <c r="K20" s="167" t="str">
        <f ca="1">IF(IF(COPIA!$R$1=TRUE,IF(OR(G20&lt;&gt;0,H20&lt;&gt;0),ROUND(SUM(G$11:G20),2)-ROUND(SUM(H$11:H20),2),""),"")&lt;&gt;0,"",0)</f>
        <v/>
      </c>
      <c r="L20" s="7">
        <f t="shared" ca="1" si="2"/>
        <v>0</v>
      </c>
      <c r="M20" s="7">
        <f ca="1">IFERROR(IF(AND(INDIRECT(ADDRESS(ROW(),4,,,))&lt;=COPIA!$DA$1,K20=0,COPIA!$BF$1&gt;1,ROW()-10&lt;COPIA!$BF$1-1),MAX($M$10:M19)+1,IF(AND(INDIRECT(ADDRESS(ROW(),4,,,))&lt;=COPIA!$DA$1,K20=0,COPIA!$BF$1=1),MAX($M$10:M19)+1,0)),0)</f>
        <v>0</v>
      </c>
      <c r="N20" s="7">
        <f ca="1">IF(AND(COPIA!$BF$1=1,M20&lt;&gt;0),ROW()-10,IF(AND(COPIA!$BF$1&gt;1,ROW()-10&gt;COPIA!$BF$1,M20&lt;&gt;0),0,IF(AND(COPIA!$BF$1&gt;1,ROW()-10&lt;=COPIA!$BF$1,M20&lt;&gt;0),ROW()-10,0)))</f>
        <v>0</v>
      </c>
      <c r="O20" s="7">
        <f ca="1">IF(AND($O$1=0,ROW()-10&lt;=$O$2),MAX($O$10:O19)+1,IF(AND(ROW()-10&gt;$O$2,ROW()-10&lt;=$O$1),ROW()-10,0))</f>
        <v>0</v>
      </c>
      <c r="P20" s="7">
        <f ca="1">IF(O20&gt;0,MAX($P$10:P19)+1,0)</f>
        <v>0</v>
      </c>
    </row>
    <row r="21" spans="2:16" ht="24" customHeight="1" x14ac:dyDescent="0.3">
      <c r="B21" s="22" t="str">
        <f t="shared" ca="1" si="0"/>
        <v/>
      </c>
      <c r="C21" s="16" t="str">
        <f t="shared" ca="1" si="1"/>
        <v/>
      </c>
      <c r="D21" s="23"/>
      <c r="E21" s="24"/>
      <c r="F21" s="24"/>
      <c r="G21" s="25"/>
      <c r="H21" s="26"/>
      <c r="I21" s="177"/>
      <c r="J21" s="151"/>
      <c r="K21" s="167" t="str">
        <f ca="1">IF(IF(COPIA!$R$1=TRUE,IF(OR(G21&lt;&gt;0,H21&lt;&gt;0),ROUND(SUM(G$11:G21),2)-ROUND(SUM(H$11:H21),2),""),"")&lt;&gt;0,"",0)</f>
        <v/>
      </c>
      <c r="L21" s="7">
        <f t="shared" ca="1" si="2"/>
        <v>0</v>
      </c>
      <c r="M21" s="7">
        <f ca="1">IFERROR(IF(AND(INDIRECT(ADDRESS(ROW(),4,,,))&lt;=COPIA!$DA$1,K21=0,COPIA!$BF$1&gt;1,ROW()-10&lt;COPIA!$BF$1-1),MAX($M$10:M20)+1,IF(AND(INDIRECT(ADDRESS(ROW(),4,,,))&lt;=COPIA!$DA$1,K21=0,COPIA!$BF$1=1),MAX($M$10:M20)+1,0)),0)</f>
        <v>0</v>
      </c>
      <c r="N21" s="7">
        <f ca="1">IF(AND(COPIA!$BF$1=1,M21&lt;&gt;0),ROW()-10,IF(AND(COPIA!$BF$1&gt;1,ROW()-10&gt;COPIA!$BF$1,M21&lt;&gt;0),0,IF(AND(COPIA!$BF$1&gt;1,ROW()-10&lt;=COPIA!$BF$1,M21&lt;&gt;0),ROW()-10,0)))</f>
        <v>0</v>
      </c>
      <c r="O21" s="7">
        <f ca="1">IF(AND($O$1=0,ROW()-10&lt;=$O$2),MAX($O$10:O20)+1,IF(AND(ROW()-10&gt;$O$2,ROW()-10&lt;=$O$1),ROW()-10,0))</f>
        <v>0</v>
      </c>
      <c r="P21" s="7">
        <f ca="1">IF(O21&gt;0,MAX($P$10:P20)+1,0)</f>
        <v>0</v>
      </c>
    </row>
    <row r="22" spans="2:16" ht="24" customHeight="1" x14ac:dyDescent="0.3">
      <c r="B22" s="22" t="str">
        <f t="shared" ca="1" si="0"/>
        <v/>
      </c>
      <c r="C22" s="16" t="str">
        <f t="shared" ca="1" si="1"/>
        <v/>
      </c>
      <c r="D22" s="23"/>
      <c r="E22" s="24"/>
      <c r="F22" s="24"/>
      <c r="G22" s="25"/>
      <c r="H22" s="26"/>
      <c r="I22" s="177"/>
      <c r="J22" s="151"/>
      <c r="K22" s="167" t="str">
        <f ca="1">IF(IF(COPIA!$R$1=TRUE,IF(OR(G22&lt;&gt;0,H22&lt;&gt;0),ROUND(SUM(G$11:G22),2)-ROUND(SUM(H$11:H22),2),""),"")&lt;&gt;0,"",0)</f>
        <v/>
      </c>
      <c r="L22" s="7">
        <f t="shared" ca="1" si="2"/>
        <v>0</v>
      </c>
      <c r="M22" s="7">
        <f ca="1">IFERROR(IF(AND(INDIRECT(ADDRESS(ROW(),4,,,))&lt;=COPIA!$DA$1,K22=0,COPIA!$BF$1&gt;1,ROW()-10&lt;COPIA!$BF$1-1),MAX($M$10:M21)+1,IF(AND(INDIRECT(ADDRESS(ROW(),4,,,))&lt;=COPIA!$DA$1,K22=0,COPIA!$BF$1=1),MAX($M$10:M21)+1,0)),0)</f>
        <v>0</v>
      </c>
      <c r="N22" s="7">
        <f ca="1">IF(AND(COPIA!$BF$1=1,M22&lt;&gt;0),ROW()-10,IF(AND(COPIA!$BF$1&gt;1,ROW()-10&gt;COPIA!$BF$1,M22&lt;&gt;0),0,IF(AND(COPIA!$BF$1&gt;1,ROW()-10&lt;=COPIA!$BF$1,M22&lt;&gt;0),ROW()-10,0)))</f>
        <v>0</v>
      </c>
      <c r="O22" s="7">
        <f ca="1">IF(AND($O$1=0,ROW()-10&lt;=$O$2),MAX($O$10:O21)+1,IF(AND(ROW()-10&gt;$O$2,ROW()-10&lt;=$O$1),ROW()-10,0))</f>
        <v>0</v>
      </c>
      <c r="P22" s="7">
        <f ca="1">IF(O22&gt;0,MAX($P$10:P21)+1,0)</f>
        <v>0</v>
      </c>
    </row>
    <row r="23" spans="2:16" ht="24" customHeight="1" x14ac:dyDescent="0.3">
      <c r="B23" s="22" t="str">
        <f t="shared" ca="1" si="0"/>
        <v/>
      </c>
      <c r="C23" s="16" t="str">
        <f t="shared" ca="1" si="1"/>
        <v/>
      </c>
      <c r="D23" s="23"/>
      <c r="E23" s="24"/>
      <c r="F23" s="24"/>
      <c r="G23" s="25"/>
      <c r="H23" s="26"/>
      <c r="I23" s="177"/>
      <c r="J23" s="151"/>
      <c r="K23" s="167" t="str">
        <f ca="1">IF(IF(COPIA!$R$1=TRUE,IF(OR(G23&lt;&gt;0,H23&lt;&gt;0),ROUND(SUM(G$11:G23),2)-ROUND(SUM(H$11:H23),2),""),"")&lt;&gt;0,"",0)</f>
        <v/>
      </c>
      <c r="L23" s="7">
        <f t="shared" ca="1" si="2"/>
        <v>0</v>
      </c>
      <c r="M23" s="7">
        <f ca="1">IFERROR(IF(AND(INDIRECT(ADDRESS(ROW(),4,,,))&lt;=COPIA!$DA$1,K23=0,COPIA!$BF$1&gt;1,ROW()-10&lt;COPIA!$BF$1-1),MAX($M$10:M22)+1,IF(AND(INDIRECT(ADDRESS(ROW(),4,,,))&lt;=COPIA!$DA$1,K23=0,COPIA!$BF$1=1),MAX($M$10:M22)+1,0)),0)</f>
        <v>0</v>
      </c>
      <c r="N23" s="7">
        <f ca="1">IF(AND(COPIA!$BF$1=1,M23&lt;&gt;0),ROW()-10,IF(AND(COPIA!$BF$1&gt;1,ROW()-10&gt;COPIA!$BF$1,M23&lt;&gt;0),0,IF(AND(COPIA!$BF$1&gt;1,ROW()-10&lt;=COPIA!$BF$1,M23&lt;&gt;0),ROW()-10,0)))</f>
        <v>0</v>
      </c>
      <c r="O23" s="7">
        <f ca="1">IF(AND($O$1=0,ROW()-10&lt;=$O$2),MAX($O$10:O22)+1,IF(AND(ROW()-10&gt;$O$2,ROW()-10&lt;=$O$1),ROW()-10,0))</f>
        <v>0</v>
      </c>
      <c r="P23" s="7">
        <f ca="1">IF(O23&gt;0,MAX($P$10:P22)+1,0)</f>
        <v>0</v>
      </c>
    </row>
    <row r="24" spans="2:16" ht="24" customHeight="1" x14ac:dyDescent="0.3">
      <c r="B24" s="22" t="str">
        <f t="shared" ca="1" si="0"/>
        <v/>
      </c>
      <c r="C24" s="16" t="str">
        <f t="shared" ca="1" si="1"/>
        <v/>
      </c>
      <c r="D24" s="23"/>
      <c r="E24" s="24"/>
      <c r="F24" s="24"/>
      <c r="G24" s="25"/>
      <c r="H24" s="26"/>
      <c r="I24" s="177"/>
      <c r="J24" s="151"/>
      <c r="K24" s="167" t="str">
        <f ca="1">IF(IF(COPIA!$R$1=TRUE,IF(OR(G24&lt;&gt;0,H24&lt;&gt;0),ROUND(SUM(G$11:G24),2)-ROUND(SUM(H$11:H24),2),""),"")&lt;&gt;0,"",0)</f>
        <v/>
      </c>
      <c r="L24" s="7">
        <f t="shared" ca="1" si="2"/>
        <v>0</v>
      </c>
      <c r="M24" s="7">
        <f ca="1">IFERROR(IF(AND(INDIRECT(ADDRESS(ROW(),4,,,))&lt;=COPIA!$DA$1,K24=0,COPIA!$BF$1&gt;1,ROW()-10&lt;COPIA!$BF$1-1),MAX($M$10:M23)+1,IF(AND(INDIRECT(ADDRESS(ROW(),4,,,))&lt;=COPIA!$DA$1,K24=0,COPIA!$BF$1=1),MAX($M$10:M23)+1,0)),0)</f>
        <v>0</v>
      </c>
      <c r="N24" s="7">
        <f ca="1">IF(AND(COPIA!$BF$1=1,M24&lt;&gt;0),ROW()-10,IF(AND(COPIA!$BF$1&gt;1,ROW()-10&gt;COPIA!$BF$1,M24&lt;&gt;0),0,IF(AND(COPIA!$BF$1&gt;1,ROW()-10&lt;=COPIA!$BF$1,M24&lt;&gt;0),ROW()-10,0)))</f>
        <v>0</v>
      </c>
      <c r="O24" s="7">
        <f ca="1">IF(AND($O$1=0,ROW()-10&lt;=$O$2),MAX($O$10:O23)+1,IF(AND(ROW()-10&gt;$O$2,ROW()-10&lt;=$O$1),ROW()-10,0))</f>
        <v>0</v>
      </c>
      <c r="P24" s="7">
        <f ca="1">IF(O24&gt;0,MAX($P$10:P23)+1,0)</f>
        <v>0</v>
      </c>
    </row>
    <row r="25" spans="2:16" ht="24" customHeight="1" x14ac:dyDescent="0.3">
      <c r="B25" s="22" t="str">
        <f t="shared" ca="1" si="0"/>
        <v/>
      </c>
      <c r="C25" s="16" t="str">
        <f t="shared" ca="1" si="1"/>
        <v/>
      </c>
      <c r="D25" s="23"/>
      <c r="E25" s="24"/>
      <c r="F25" s="24"/>
      <c r="G25" s="25"/>
      <c r="H25" s="26"/>
      <c r="I25" s="177"/>
      <c r="J25" s="151"/>
      <c r="K25" s="167" t="str">
        <f ca="1">IF(IF(COPIA!$R$1=TRUE,IF(OR(G25&lt;&gt;0,H25&lt;&gt;0),ROUND(SUM(G$11:G25),2)-ROUND(SUM(H$11:H25),2),""),"")&lt;&gt;0,"",0)</f>
        <v/>
      </c>
      <c r="L25" s="7">
        <f t="shared" ca="1" si="2"/>
        <v>0</v>
      </c>
      <c r="M25" s="7">
        <f ca="1">IFERROR(IF(AND(INDIRECT(ADDRESS(ROW(),4,,,))&lt;=COPIA!$DA$1,K25=0,COPIA!$BF$1&gt;1,ROW()-10&lt;COPIA!$BF$1-1),MAX($M$10:M24)+1,IF(AND(INDIRECT(ADDRESS(ROW(),4,,,))&lt;=COPIA!$DA$1,K25=0,COPIA!$BF$1=1),MAX($M$10:M24)+1,0)),0)</f>
        <v>0</v>
      </c>
      <c r="N25" s="7">
        <f ca="1">IF(AND(COPIA!$BF$1=1,M25&lt;&gt;0),ROW()-10,IF(AND(COPIA!$BF$1&gt;1,ROW()-10&gt;COPIA!$BF$1,M25&lt;&gt;0),0,IF(AND(COPIA!$BF$1&gt;1,ROW()-10&lt;=COPIA!$BF$1,M25&lt;&gt;0),ROW()-10,0)))</f>
        <v>0</v>
      </c>
      <c r="O25" s="7">
        <f ca="1">IF(AND($O$1=0,ROW()-10&lt;=$O$2),MAX($O$10:O24)+1,IF(AND(ROW()-10&gt;$O$2,ROW()-10&lt;=$O$1),ROW()-10,0))</f>
        <v>0</v>
      </c>
      <c r="P25" s="7">
        <f ca="1">IF(O25&gt;0,MAX($P$10:P24)+1,0)</f>
        <v>0</v>
      </c>
    </row>
    <row r="26" spans="2:16" ht="24" customHeight="1" x14ac:dyDescent="0.3">
      <c r="B26" s="22" t="str">
        <f t="shared" ca="1" si="0"/>
        <v/>
      </c>
      <c r="C26" s="16" t="str">
        <f t="shared" ca="1" si="1"/>
        <v/>
      </c>
      <c r="D26" s="23"/>
      <c r="E26" s="24"/>
      <c r="F26" s="24"/>
      <c r="G26" s="25"/>
      <c r="H26" s="26"/>
      <c r="I26" s="177"/>
      <c r="J26" s="151"/>
      <c r="K26" s="167" t="str">
        <f ca="1">IF(IF(COPIA!$R$1=TRUE,IF(OR(G26&lt;&gt;0,H26&lt;&gt;0),ROUND(SUM(G$11:G26),2)-ROUND(SUM(H$11:H26),2),""),"")&lt;&gt;0,"",0)</f>
        <v/>
      </c>
      <c r="L26" s="7">
        <f t="shared" ca="1" si="2"/>
        <v>0</v>
      </c>
      <c r="M26" s="7">
        <f ca="1">IFERROR(IF(AND(INDIRECT(ADDRESS(ROW(),4,,,))&lt;=COPIA!$DA$1,K26=0,COPIA!$BF$1&gt;1,ROW()-10&lt;COPIA!$BF$1-1),MAX($M$10:M25)+1,IF(AND(INDIRECT(ADDRESS(ROW(),4,,,))&lt;=COPIA!$DA$1,K26=0,COPIA!$BF$1=1),MAX($M$10:M25)+1,0)),0)</f>
        <v>0</v>
      </c>
      <c r="N26" s="7">
        <f ca="1">IF(AND(COPIA!$BF$1=1,M26&lt;&gt;0),ROW()-10,IF(AND(COPIA!$BF$1&gt;1,ROW()-10&gt;COPIA!$BF$1,M26&lt;&gt;0),0,IF(AND(COPIA!$BF$1&gt;1,ROW()-10&lt;=COPIA!$BF$1,M26&lt;&gt;0),ROW()-10,0)))</f>
        <v>0</v>
      </c>
      <c r="O26" s="7">
        <f ca="1">IF(AND($O$1=0,ROW()-10&lt;=$O$2),MAX($O$10:O25)+1,IF(AND(ROW()-10&gt;$O$2,ROW()-10&lt;=$O$1),ROW()-10,0))</f>
        <v>0</v>
      </c>
      <c r="P26" s="7">
        <f ca="1">IF(O26&gt;0,MAX($P$10:P25)+1,0)</f>
        <v>0</v>
      </c>
    </row>
    <row r="27" spans="2:16" ht="24" customHeight="1" x14ac:dyDescent="0.3">
      <c r="B27" s="22" t="str">
        <f t="shared" ca="1" si="0"/>
        <v/>
      </c>
      <c r="C27" s="16" t="str">
        <f t="shared" ca="1" si="1"/>
        <v/>
      </c>
      <c r="D27" s="23"/>
      <c r="E27" s="24"/>
      <c r="F27" s="24"/>
      <c r="G27" s="25"/>
      <c r="H27" s="26"/>
      <c r="I27" s="177"/>
      <c r="J27" s="151"/>
      <c r="K27" s="167" t="str">
        <f ca="1">IF(IF(COPIA!$R$1=TRUE,IF(OR(G27&lt;&gt;0,H27&lt;&gt;0),ROUND(SUM(G$11:G27),2)-ROUND(SUM(H$11:H27),2),""),"")&lt;&gt;0,"",0)</f>
        <v/>
      </c>
      <c r="L27" s="7">
        <f t="shared" ca="1" si="2"/>
        <v>0</v>
      </c>
      <c r="M27" s="7">
        <f ca="1">IFERROR(IF(AND(INDIRECT(ADDRESS(ROW(),4,,,))&lt;=COPIA!$DA$1,K27=0,COPIA!$BF$1&gt;1,ROW()-10&lt;COPIA!$BF$1-1),MAX($M$10:M26)+1,IF(AND(INDIRECT(ADDRESS(ROW(),4,,,))&lt;=COPIA!$DA$1,K27=0,COPIA!$BF$1=1),MAX($M$10:M26)+1,0)),0)</f>
        <v>0</v>
      </c>
      <c r="N27" s="7">
        <f ca="1">IF(AND(COPIA!$BF$1=1,M27&lt;&gt;0),ROW()-10,IF(AND(COPIA!$BF$1&gt;1,ROW()-10&gt;COPIA!$BF$1,M27&lt;&gt;0),0,IF(AND(COPIA!$BF$1&gt;1,ROW()-10&lt;=COPIA!$BF$1,M27&lt;&gt;0),ROW()-10,0)))</f>
        <v>0</v>
      </c>
      <c r="O27" s="7">
        <f ca="1">IF(AND($O$1=0,ROW()-10&lt;=$O$2),MAX($O$10:O26)+1,IF(AND(ROW()-10&gt;$O$2,ROW()-10&lt;=$O$1),ROW()-10,0))</f>
        <v>0</v>
      </c>
      <c r="P27" s="7">
        <f ca="1">IF(O27&gt;0,MAX($P$10:P26)+1,0)</f>
        <v>0</v>
      </c>
    </row>
    <row r="28" spans="2:16" ht="24" customHeight="1" x14ac:dyDescent="0.3">
      <c r="B28" s="22" t="str">
        <f t="shared" ca="1" si="0"/>
        <v/>
      </c>
      <c r="C28" s="16" t="str">
        <f t="shared" ca="1" si="1"/>
        <v/>
      </c>
      <c r="D28" s="23"/>
      <c r="E28" s="24"/>
      <c r="F28" s="24"/>
      <c r="G28" s="25"/>
      <c r="H28" s="26"/>
      <c r="I28" s="177"/>
      <c r="J28" s="151"/>
      <c r="K28" s="167" t="str">
        <f ca="1">IF(IF(COPIA!$R$1=TRUE,IF(OR(G28&lt;&gt;0,H28&lt;&gt;0),ROUND(SUM(G$11:G28),2)-ROUND(SUM(H$11:H28),2),""),"")&lt;&gt;0,"",0)</f>
        <v/>
      </c>
      <c r="L28" s="7">
        <f t="shared" ca="1" si="2"/>
        <v>0</v>
      </c>
      <c r="M28" s="7">
        <f ca="1">IFERROR(IF(AND(INDIRECT(ADDRESS(ROW(),4,,,))&lt;=COPIA!$DA$1,K28=0,COPIA!$BF$1&gt;1,ROW()-10&lt;COPIA!$BF$1-1),MAX($M$10:M27)+1,IF(AND(INDIRECT(ADDRESS(ROW(),4,,,))&lt;=COPIA!$DA$1,K28=0,COPIA!$BF$1=1),MAX($M$10:M27)+1,0)),0)</f>
        <v>0</v>
      </c>
      <c r="N28" s="7">
        <f ca="1">IF(AND(COPIA!$BF$1=1,M28&lt;&gt;0),ROW()-10,IF(AND(COPIA!$BF$1&gt;1,ROW()-10&gt;COPIA!$BF$1,M28&lt;&gt;0),0,IF(AND(COPIA!$BF$1&gt;1,ROW()-10&lt;=COPIA!$BF$1,M28&lt;&gt;0),ROW()-10,0)))</f>
        <v>0</v>
      </c>
      <c r="O28" s="7">
        <f ca="1">IF(AND($O$1=0,ROW()-10&lt;=$O$2),MAX($O$10:O27)+1,IF(AND(ROW()-10&gt;$O$2,ROW()-10&lt;=$O$1),ROW()-10,0))</f>
        <v>0</v>
      </c>
      <c r="P28" s="7">
        <f ca="1">IF(O28&gt;0,MAX($P$10:P27)+1,0)</f>
        <v>0</v>
      </c>
    </row>
    <row r="29" spans="2:16" ht="24" customHeight="1" x14ac:dyDescent="0.3">
      <c r="B29" s="22" t="str">
        <f t="shared" ca="1" si="0"/>
        <v/>
      </c>
      <c r="C29" s="16" t="str">
        <f t="shared" ca="1" si="1"/>
        <v/>
      </c>
      <c r="D29" s="23"/>
      <c r="E29" s="24"/>
      <c r="F29" s="24"/>
      <c r="G29" s="25"/>
      <c r="H29" s="26"/>
      <c r="I29" s="177"/>
      <c r="J29" s="151"/>
      <c r="K29" s="167" t="str">
        <f ca="1">IF(IF(COPIA!$R$1=TRUE,IF(OR(G29&lt;&gt;0,H29&lt;&gt;0),ROUND(SUM(G$11:G29),2)-ROUND(SUM(H$11:H29),2),""),"")&lt;&gt;0,"",0)</f>
        <v/>
      </c>
      <c r="L29" s="7">
        <f t="shared" ca="1" si="2"/>
        <v>0</v>
      </c>
      <c r="M29" s="7">
        <f ca="1">IFERROR(IF(AND(INDIRECT(ADDRESS(ROW(),4,,,))&lt;=COPIA!$DA$1,K29=0,COPIA!$BF$1&gt;1,ROW()-10&lt;COPIA!$BF$1-1),MAX($M$10:M28)+1,IF(AND(INDIRECT(ADDRESS(ROW(),4,,,))&lt;=COPIA!$DA$1,K29=0,COPIA!$BF$1=1),MAX($M$10:M28)+1,0)),0)</f>
        <v>0</v>
      </c>
      <c r="N29" s="7">
        <f ca="1">IF(AND(COPIA!$BF$1=1,M29&lt;&gt;0),ROW()-10,IF(AND(COPIA!$BF$1&gt;1,ROW()-10&gt;COPIA!$BF$1,M29&lt;&gt;0),0,IF(AND(COPIA!$BF$1&gt;1,ROW()-10&lt;=COPIA!$BF$1,M29&lt;&gt;0),ROW()-10,0)))</f>
        <v>0</v>
      </c>
      <c r="O29" s="7">
        <f ca="1">IF(AND($O$1=0,ROW()-10&lt;=$O$2),MAX($O$10:O28)+1,IF(AND(ROW()-10&gt;$O$2,ROW()-10&lt;=$O$1),ROW()-10,0))</f>
        <v>0</v>
      </c>
      <c r="P29" s="7">
        <f ca="1">IF(O29&gt;0,MAX($P$10:P28)+1,0)</f>
        <v>0</v>
      </c>
    </row>
    <row r="30" spans="2:16" ht="24" customHeight="1" x14ac:dyDescent="0.3">
      <c r="B30" s="22" t="str">
        <f t="shared" ca="1" si="0"/>
        <v/>
      </c>
      <c r="C30" s="16" t="str">
        <f t="shared" ca="1" si="1"/>
        <v/>
      </c>
      <c r="D30" s="23"/>
      <c r="E30" s="24"/>
      <c r="F30" s="24"/>
      <c r="G30" s="25"/>
      <c r="H30" s="26"/>
      <c r="I30" s="177"/>
      <c r="J30" s="151"/>
      <c r="K30" s="167" t="str">
        <f ca="1">IF(IF(COPIA!$R$1=TRUE,IF(OR(G30&lt;&gt;0,H30&lt;&gt;0),ROUND(SUM(G$11:G30),2)-ROUND(SUM(H$11:H30),2),""),"")&lt;&gt;0,"",0)</f>
        <v/>
      </c>
      <c r="L30" s="7">
        <f t="shared" ca="1" si="2"/>
        <v>0</v>
      </c>
      <c r="M30" s="7">
        <f ca="1">IFERROR(IF(AND(INDIRECT(ADDRESS(ROW(),4,,,))&lt;=COPIA!$DA$1,K30=0,COPIA!$BF$1&gt;1,ROW()-10&lt;COPIA!$BF$1-1),MAX($M$10:M29)+1,IF(AND(INDIRECT(ADDRESS(ROW(),4,,,))&lt;=COPIA!$DA$1,K30=0,COPIA!$BF$1=1),MAX($M$10:M29)+1,0)),0)</f>
        <v>0</v>
      </c>
      <c r="N30" s="7">
        <f ca="1">IF(AND(COPIA!$BF$1=1,M30&lt;&gt;0),ROW()-10,IF(AND(COPIA!$BF$1&gt;1,ROW()-10&gt;COPIA!$BF$1,M30&lt;&gt;0),0,IF(AND(COPIA!$BF$1&gt;1,ROW()-10&lt;=COPIA!$BF$1,M30&lt;&gt;0),ROW()-10,0)))</f>
        <v>0</v>
      </c>
      <c r="O30" s="7">
        <f ca="1">IF(AND($O$1=0,ROW()-10&lt;=$O$2),MAX($O$10:O29)+1,IF(AND(ROW()-10&gt;$O$2,ROW()-10&lt;=$O$1),ROW()-10,0))</f>
        <v>0</v>
      </c>
      <c r="P30" s="7">
        <f ca="1">IF(O30&gt;0,MAX($P$10:P29)+1,0)</f>
        <v>0</v>
      </c>
    </row>
    <row r="31" spans="2:16" ht="24" customHeight="1" x14ac:dyDescent="0.3">
      <c r="B31" s="22" t="str">
        <f t="shared" ca="1" si="0"/>
        <v/>
      </c>
      <c r="C31" s="16" t="str">
        <f t="shared" ca="1" si="1"/>
        <v/>
      </c>
      <c r="D31" s="23"/>
      <c r="E31" s="24"/>
      <c r="F31" s="24"/>
      <c r="G31" s="25"/>
      <c r="H31" s="26"/>
      <c r="I31" s="177"/>
      <c r="J31" s="151"/>
      <c r="K31" s="167" t="str">
        <f ca="1">IF(IF(COPIA!$R$1=TRUE,IF(OR(G31&lt;&gt;0,H31&lt;&gt;0),ROUND(SUM(G$11:G31),2)-ROUND(SUM(H$11:H31),2),""),"")&lt;&gt;0,"",0)</f>
        <v/>
      </c>
      <c r="L31" s="7">
        <f t="shared" ca="1" si="2"/>
        <v>0</v>
      </c>
      <c r="M31" s="7">
        <f ca="1">IFERROR(IF(AND(INDIRECT(ADDRESS(ROW(),4,,,))&lt;=COPIA!$DA$1,K31=0,COPIA!$BF$1&gt;1,ROW()-10&lt;COPIA!$BF$1-1),MAX($M$10:M30)+1,IF(AND(INDIRECT(ADDRESS(ROW(),4,,,))&lt;=COPIA!$DA$1,K31=0,COPIA!$BF$1=1),MAX($M$10:M30)+1,0)),0)</f>
        <v>0</v>
      </c>
      <c r="N31" s="7">
        <f ca="1">IF(AND(COPIA!$BF$1=1,M31&lt;&gt;0),ROW()-10,IF(AND(COPIA!$BF$1&gt;1,ROW()-10&gt;COPIA!$BF$1,M31&lt;&gt;0),0,IF(AND(COPIA!$BF$1&gt;1,ROW()-10&lt;=COPIA!$BF$1,M31&lt;&gt;0),ROW()-10,0)))</f>
        <v>0</v>
      </c>
      <c r="O31" s="7">
        <f ca="1">IF(AND($O$1=0,ROW()-10&lt;=$O$2),MAX($O$10:O30)+1,IF(AND(ROW()-10&gt;$O$2,ROW()-10&lt;=$O$1),ROW()-10,0))</f>
        <v>0</v>
      </c>
      <c r="P31" s="7">
        <f ca="1">IF(O31&gt;0,MAX($P$10:P30)+1,0)</f>
        <v>0</v>
      </c>
    </row>
    <row r="32" spans="2:16" ht="24" customHeight="1" x14ac:dyDescent="0.3">
      <c r="B32" s="22" t="str">
        <f t="shared" ca="1" si="0"/>
        <v/>
      </c>
      <c r="C32" s="16" t="str">
        <f t="shared" ca="1" si="1"/>
        <v/>
      </c>
      <c r="D32" s="23"/>
      <c r="E32" s="24"/>
      <c r="F32" s="24"/>
      <c r="G32" s="25"/>
      <c r="H32" s="26"/>
      <c r="I32" s="177"/>
      <c r="J32" s="151"/>
      <c r="K32" s="167" t="str">
        <f ca="1">IF(IF(COPIA!$R$1=TRUE,IF(OR(G32&lt;&gt;0,H32&lt;&gt;0),ROUND(SUM(G$11:G32),2)-ROUND(SUM(H$11:H32),2),""),"")&lt;&gt;0,"",0)</f>
        <v/>
      </c>
      <c r="L32" s="7">
        <f t="shared" ca="1" si="2"/>
        <v>0</v>
      </c>
      <c r="M32" s="7">
        <f ca="1">IFERROR(IF(AND(INDIRECT(ADDRESS(ROW(),4,,,))&lt;=COPIA!$DA$1,K32=0,COPIA!$BF$1&gt;1,ROW()-10&lt;COPIA!$BF$1-1),MAX($M$10:M31)+1,IF(AND(INDIRECT(ADDRESS(ROW(),4,,,))&lt;=COPIA!$DA$1,K32=0,COPIA!$BF$1=1),MAX($M$10:M31)+1,0)),0)</f>
        <v>0</v>
      </c>
      <c r="N32" s="7">
        <f ca="1">IF(AND(COPIA!$BF$1=1,M32&lt;&gt;0),ROW()-10,IF(AND(COPIA!$BF$1&gt;1,ROW()-10&gt;COPIA!$BF$1,M32&lt;&gt;0),0,IF(AND(COPIA!$BF$1&gt;1,ROW()-10&lt;=COPIA!$BF$1,M32&lt;&gt;0),ROW()-10,0)))</f>
        <v>0</v>
      </c>
      <c r="O32" s="7">
        <f ca="1">IF(AND($O$1=0,ROW()-10&lt;=$O$2),MAX($O$10:O31)+1,IF(AND(ROW()-10&gt;$O$2,ROW()-10&lt;=$O$1),ROW()-10,0))</f>
        <v>0</v>
      </c>
      <c r="P32" s="7">
        <f ca="1">IF(O32&gt;0,MAX($P$10:P31)+1,0)</f>
        <v>0</v>
      </c>
    </row>
    <row r="33" spans="2:16" ht="24" customHeight="1" x14ac:dyDescent="0.3">
      <c r="B33" s="22" t="str">
        <f t="shared" ca="1" si="0"/>
        <v/>
      </c>
      <c r="C33" s="16" t="str">
        <f t="shared" ca="1" si="1"/>
        <v/>
      </c>
      <c r="D33" s="23"/>
      <c r="E33" s="24"/>
      <c r="F33" s="24"/>
      <c r="G33" s="25"/>
      <c r="H33" s="26"/>
      <c r="I33" s="177"/>
      <c r="J33" s="151"/>
      <c r="K33" s="167" t="str">
        <f ca="1">IF(IF(COPIA!$R$1=TRUE,IF(OR(G33&lt;&gt;0,H33&lt;&gt;0),ROUND(SUM(G$11:G33),2)-ROUND(SUM(H$11:H33),2),""),"")&lt;&gt;0,"",0)</f>
        <v/>
      </c>
      <c r="L33" s="7">
        <f t="shared" ca="1" si="2"/>
        <v>0</v>
      </c>
      <c r="M33" s="7">
        <f ca="1">IFERROR(IF(AND(INDIRECT(ADDRESS(ROW(),4,,,))&lt;=COPIA!$DA$1,K33=0,COPIA!$BF$1&gt;1,ROW()-10&lt;COPIA!$BF$1-1),MAX($M$10:M32)+1,IF(AND(INDIRECT(ADDRESS(ROW(),4,,,))&lt;=COPIA!$DA$1,K33=0,COPIA!$BF$1=1),MAX($M$10:M32)+1,0)),0)</f>
        <v>0</v>
      </c>
      <c r="N33" s="7">
        <f ca="1">IF(AND(COPIA!$BF$1=1,M33&lt;&gt;0),ROW()-10,IF(AND(COPIA!$BF$1&gt;1,ROW()-10&gt;COPIA!$BF$1,M33&lt;&gt;0),0,IF(AND(COPIA!$BF$1&gt;1,ROW()-10&lt;=COPIA!$BF$1,M33&lt;&gt;0),ROW()-10,0)))</f>
        <v>0</v>
      </c>
      <c r="O33" s="7">
        <f ca="1">IF(AND($O$1=0,ROW()-10&lt;=$O$2),MAX($O$10:O32)+1,IF(AND(ROW()-10&gt;$O$2,ROW()-10&lt;=$O$1),ROW()-10,0))</f>
        <v>0</v>
      </c>
      <c r="P33" s="7">
        <f ca="1">IF(O33&gt;0,MAX($P$10:P32)+1,0)</f>
        <v>0</v>
      </c>
    </row>
    <row r="34" spans="2:16" ht="24" customHeight="1" x14ac:dyDescent="0.3">
      <c r="B34" s="22" t="str">
        <f t="shared" ca="1" si="0"/>
        <v/>
      </c>
      <c r="C34" s="16" t="str">
        <f t="shared" ca="1" si="1"/>
        <v/>
      </c>
      <c r="D34" s="23"/>
      <c r="E34" s="24"/>
      <c r="F34" s="24"/>
      <c r="G34" s="25"/>
      <c r="H34" s="26"/>
      <c r="I34" s="177"/>
      <c r="J34" s="151"/>
      <c r="K34" s="167" t="str">
        <f ca="1">IF(IF(COPIA!$R$1=TRUE,IF(OR(G34&lt;&gt;0,H34&lt;&gt;0),ROUND(SUM(G$11:G34),2)-ROUND(SUM(H$11:H34),2),""),"")&lt;&gt;0,"",0)</f>
        <v/>
      </c>
      <c r="L34" s="7">
        <f t="shared" ca="1" si="2"/>
        <v>0</v>
      </c>
      <c r="M34" s="7">
        <f ca="1">IFERROR(IF(AND(INDIRECT(ADDRESS(ROW(),4,,,))&lt;=COPIA!$DA$1,K34=0,COPIA!$BF$1&gt;1,ROW()-10&lt;COPIA!$BF$1-1),MAX($M$10:M33)+1,IF(AND(INDIRECT(ADDRESS(ROW(),4,,,))&lt;=COPIA!$DA$1,K34=0,COPIA!$BF$1=1),MAX($M$10:M33)+1,0)),0)</f>
        <v>0</v>
      </c>
      <c r="N34" s="7">
        <f ca="1">IF(AND(COPIA!$BF$1=1,M34&lt;&gt;0),ROW()-10,IF(AND(COPIA!$BF$1&gt;1,ROW()-10&gt;COPIA!$BF$1,M34&lt;&gt;0),0,IF(AND(COPIA!$BF$1&gt;1,ROW()-10&lt;=COPIA!$BF$1,M34&lt;&gt;0),ROW()-10,0)))</f>
        <v>0</v>
      </c>
      <c r="O34" s="7">
        <f ca="1">IF(AND($O$1=0,ROW()-10&lt;=$O$2),MAX($O$10:O33)+1,IF(AND(ROW()-10&gt;$O$2,ROW()-10&lt;=$O$1),ROW()-10,0))</f>
        <v>0</v>
      </c>
      <c r="P34" s="7">
        <f ca="1">IF(O34&gt;0,MAX($P$10:P33)+1,0)</f>
        <v>0</v>
      </c>
    </row>
    <row r="35" spans="2:16" ht="24" customHeight="1" x14ac:dyDescent="0.3">
      <c r="B35" s="22" t="str">
        <f t="shared" ca="1" si="0"/>
        <v/>
      </c>
      <c r="C35" s="16" t="str">
        <f t="shared" ca="1" si="1"/>
        <v/>
      </c>
      <c r="D35" s="23"/>
      <c r="E35" s="24"/>
      <c r="F35" s="24"/>
      <c r="G35" s="25"/>
      <c r="H35" s="26"/>
      <c r="I35" s="177"/>
      <c r="J35" s="151"/>
      <c r="K35" s="167" t="str">
        <f ca="1">IF(IF(COPIA!$R$1=TRUE,IF(OR(G35&lt;&gt;0,H35&lt;&gt;0),ROUND(SUM(G$11:G35),2)-ROUND(SUM(H$11:H35),2),""),"")&lt;&gt;0,"",0)</f>
        <v/>
      </c>
      <c r="L35" s="7">
        <f t="shared" ca="1" si="2"/>
        <v>0</v>
      </c>
      <c r="M35" s="7">
        <f ca="1">IFERROR(IF(AND(INDIRECT(ADDRESS(ROW(),4,,,))&lt;=COPIA!$DA$1,K35=0,COPIA!$BF$1&gt;1,ROW()-10&lt;COPIA!$BF$1-1),MAX($M$10:M34)+1,IF(AND(INDIRECT(ADDRESS(ROW(),4,,,))&lt;=COPIA!$DA$1,K35=0,COPIA!$BF$1=1),MAX($M$10:M34)+1,0)),0)</f>
        <v>0</v>
      </c>
      <c r="N35" s="7">
        <f ca="1">IF(AND(COPIA!$BF$1=1,M35&lt;&gt;0),ROW()-10,IF(AND(COPIA!$BF$1&gt;1,ROW()-10&gt;COPIA!$BF$1,M35&lt;&gt;0),0,IF(AND(COPIA!$BF$1&gt;1,ROW()-10&lt;=COPIA!$BF$1,M35&lt;&gt;0),ROW()-10,0)))</f>
        <v>0</v>
      </c>
      <c r="O35" s="7">
        <f ca="1">IF(AND($O$1=0,ROW()-10&lt;=$O$2),MAX($O$10:O34)+1,IF(AND(ROW()-10&gt;$O$2,ROW()-10&lt;=$O$1),ROW()-10,0))</f>
        <v>0</v>
      </c>
      <c r="P35" s="7">
        <f ca="1">IF(O35&gt;0,MAX($P$10:P34)+1,0)</f>
        <v>0</v>
      </c>
    </row>
    <row r="36" spans="2:16" ht="24" customHeight="1" x14ac:dyDescent="0.3">
      <c r="B36" s="22" t="str">
        <f t="shared" ca="1" si="0"/>
        <v/>
      </c>
      <c r="C36" s="16" t="str">
        <f t="shared" ca="1" si="1"/>
        <v/>
      </c>
      <c r="D36" s="23"/>
      <c r="E36" s="24"/>
      <c r="F36" s="24"/>
      <c r="G36" s="25"/>
      <c r="H36" s="26"/>
      <c r="I36" s="177"/>
      <c r="J36" s="151"/>
      <c r="K36" s="167" t="str">
        <f ca="1">IF(IF(COPIA!$R$1=TRUE,IF(OR(G36&lt;&gt;0,H36&lt;&gt;0),ROUND(SUM(G$11:G36),2)-ROUND(SUM(H$11:H36),2),""),"")&lt;&gt;0,"",0)</f>
        <v/>
      </c>
      <c r="L36" s="7">
        <f t="shared" ca="1" si="2"/>
        <v>0</v>
      </c>
      <c r="M36" s="7">
        <f ca="1">IFERROR(IF(AND(INDIRECT(ADDRESS(ROW(),4,,,))&lt;=COPIA!$DA$1,K36=0,COPIA!$BF$1&gt;1,ROW()-10&lt;COPIA!$BF$1-1),MAX($M$10:M35)+1,IF(AND(INDIRECT(ADDRESS(ROW(),4,,,))&lt;=COPIA!$DA$1,K36=0,COPIA!$BF$1=1),MAX($M$10:M35)+1,0)),0)</f>
        <v>0</v>
      </c>
      <c r="N36" s="7">
        <f ca="1">IF(AND(COPIA!$BF$1=1,M36&lt;&gt;0),ROW()-10,IF(AND(COPIA!$BF$1&gt;1,ROW()-10&gt;COPIA!$BF$1,M36&lt;&gt;0),0,IF(AND(COPIA!$BF$1&gt;1,ROW()-10&lt;=COPIA!$BF$1,M36&lt;&gt;0),ROW()-10,0)))</f>
        <v>0</v>
      </c>
      <c r="O36" s="7">
        <f ca="1">IF(AND($O$1=0,ROW()-10&lt;=$O$2),MAX($O$10:O35)+1,IF(AND(ROW()-10&gt;$O$2,ROW()-10&lt;=$O$1),ROW()-10,0))</f>
        <v>0</v>
      </c>
      <c r="P36" s="7">
        <f ca="1">IF(O36&gt;0,MAX($P$10:P35)+1,0)</f>
        <v>0</v>
      </c>
    </row>
    <row r="37" spans="2:16" ht="24" customHeight="1" x14ac:dyDescent="0.3">
      <c r="B37" s="22" t="str">
        <f t="shared" ca="1" si="0"/>
        <v/>
      </c>
      <c r="C37" s="16" t="str">
        <f t="shared" ca="1" si="1"/>
        <v/>
      </c>
      <c r="D37" s="23"/>
      <c r="E37" s="24"/>
      <c r="F37" s="24"/>
      <c r="G37" s="25"/>
      <c r="H37" s="26"/>
      <c r="I37" s="177"/>
      <c r="J37" s="151"/>
      <c r="K37" s="167" t="str">
        <f ca="1">IF(IF(COPIA!$R$1=TRUE,IF(OR(G37&lt;&gt;0,H37&lt;&gt;0),ROUND(SUM(G$11:G37),2)-ROUND(SUM(H$11:H37),2),""),"")&lt;&gt;0,"",0)</f>
        <v/>
      </c>
      <c r="L37" s="7">
        <f t="shared" ca="1" si="2"/>
        <v>0</v>
      </c>
      <c r="M37" s="7">
        <f ca="1">IFERROR(IF(AND(INDIRECT(ADDRESS(ROW(),4,,,))&lt;=COPIA!$DA$1,K37=0,COPIA!$BF$1&gt;1,ROW()-10&lt;COPIA!$BF$1-1),MAX($M$10:M36)+1,IF(AND(INDIRECT(ADDRESS(ROW(),4,,,))&lt;=COPIA!$DA$1,K37=0,COPIA!$BF$1=1),MAX($M$10:M36)+1,0)),0)</f>
        <v>0</v>
      </c>
      <c r="N37" s="7">
        <f ca="1">IF(AND(COPIA!$BF$1=1,M37&lt;&gt;0),ROW()-10,IF(AND(COPIA!$BF$1&gt;1,ROW()-10&gt;COPIA!$BF$1,M37&lt;&gt;0),0,IF(AND(COPIA!$BF$1&gt;1,ROW()-10&lt;=COPIA!$BF$1,M37&lt;&gt;0),ROW()-10,0)))</f>
        <v>0</v>
      </c>
      <c r="O37" s="7">
        <f ca="1">IF(AND($O$1=0,ROW()-10&lt;=$O$2),MAX($O$10:O36)+1,IF(AND(ROW()-10&gt;$O$2,ROW()-10&lt;=$O$1),ROW()-10,0))</f>
        <v>0</v>
      </c>
      <c r="P37" s="7">
        <f ca="1">IF(O37&gt;0,MAX($P$10:P36)+1,0)</f>
        <v>0</v>
      </c>
    </row>
    <row r="38" spans="2:16" ht="24" customHeight="1" x14ac:dyDescent="0.3">
      <c r="B38" s="22" t="str">
        <f t="shared" ca="1" si="0"/>
        <v/>
      </c>
      <c r="C38" s="16" t="str">
        <f t="shared" ca="1" si="1"/>
        <v/>
      </c>
      <c r="D38" s="23"/>
      <c r="E38" s="24"/>
      <c r="F38" s="24"/>
      <c r="G38" s="25"/>
      <c r="H38" s="26"/>
      <c r="I38" s="177"/>
      <c r="J38" s="151"/>
      <c r="K38" s="167" t="str">
        <f ca="1">IF(IF(COPIA!$R$1=TRUE,IF(OR(G38&lt;&gt;0,H38&lt;&gt;0),ROUND(SUM(G$11:G38),2)-ROUND(SUM(H$11:H38),2),""),"")&lt;&gt;0,"",0)</f>
        <v/>
      </c>
      <c r="L38" s="7">
        <f t="shared" ca="1" si="2"/>
        <v>0</v>
      </c>
      <c r="M38" s="7">
        <f ca="1">IFERROR(IF(AND(INDIRECT(ADDRESS(ROW(),4,,,))&lt;=COPIA!$DA$1,K38=0,COPIA!$BF$1&gt;1,ROW()-10&lt;COPIA!$BF$1-1),MAX($M$10:M37)+1,IF(AND(INDIRECT(ADDRESS(ROW(),4,,,))&lt;=COPIA!$DA$1,K38=0,COPIA!$BF$1=1),MAX($M$10:M37)+1,0)),0)</f>
        <v>0</v>
      </c>
      <c r="N38" s="7">
        <f ca="1">IF(AND(COPIA!$BF$1=1,M38&lt;&gt;0),ROW()-10,IF(AND(COPIA!$BF$1&gt;1,ROW()-10&gt;COPIA!$BF$1,M38&lt;&gt;0),0,IF(AND(COPIA!$BF$1&gt;1,ROW()-10&lt;=COPIA!$BF$1,M38&lt;&gt;0),ROW()-10,0)))</f>
        <v>0</v>
      </c>
      <c r="O38" s="7">
        <f ca="1">IF(AND($O$1=0,ROW()-10&lt;=$O$2),MAX($O$10:O37)+1,IF(AND(ROW()-10&gt;$O$2,ROW()-10&lt;=$O$1),ROW()-10,0))</f>
        <v>0</v>
      </c>
      <c r="P38" s="7">
        <f ca="1">IF(O38&gt;0,MAX($P$10:P37)+1,0)</f>
        <v>0</v>
      </c>
    </row>
    <row r="39" spans="2:16" ht="24" customHeight="1" x14ac:dyDescent="0.3">
      <c r="B39" s="22" t="str">
        <f t="shared" ca="1" si="0"/>
        <v/>
      </c>
      <c r="C39" s="16" t="str">
        <f t="shared" ca="1" si="1"/>
        <v/>
      </c>
      <c r="D39" s="23"/>
      <c r="E39" s="24"/>
      <c r="F39" s="24"/>
      <c r="G39" s="25"/>
      <c r="H39" s="26"/>
      <c r="I39" s="177"/>
      <c r="J39" s="151"/>
      <c r="K39" s="167" t="str">
        <f ca="1">IF(IF(COPIA!$R$1=TRUE,IF(OR(G39&lt;&gt;0,H39&lt;&gt;0),ROUND(SUM(G$11:G39),2)-ROUND(SUM(H$11:H39),2),""),"")&lt;&gt;0,"",0)</f>
        <v/>
      </c>
      <c r="L39" s="7">
        <f t="shared" ca="1" si="2"/>
        <v>0</v>
      </c>
      <c r="M39" s="7">
        <f ca="1">IFERROR(IF(AND(INDIRECT(ADDRESS(ROW(),4,,,))&lt;=COPIA!$DA$1,K39=0,COPIA!$BF$1&gt;1,ROW()-10&lt;COPIA!$BF$1-1),MAX($M$10:M38)+1,IF(AND(INDIRECT(ADDRESS(ROW(),4,,,))&lt;=COPIA!$DA$1,K39=0,COPIA!$BF$1=1),MAX($M$10:M38)+1,0)),0)</f>
        <v>0</v>
      </c>
      <c r="N39" s="7">
        <f ca="1">IF(AND(COPIA!$BF$1=1,M39&lt;&gt;0),ROW()-10,IF(AND(COPIA!$BF$1&gt;1,ROW()-10&gt;COPIA!$BF$1,M39&lt;&gt;0),0,IF(AND(COPIA!$BF$1&gt;1,ROW()-10&lt;=COPIA!$BF$1,M39&lt;&gt;0),ROW()-10,0)))</f>
        <v>0</v>
      </c>
      <c r="O39" s="7">
        <f ca="1">IF(AND($O$1=0,ROW()-10&lt;=$O$2),MAX($O$10:O38)+1,IF(AND(ROW()-10&gt;$O$2,ROW()-10&lt;=$O$1),ROW()-10,0))</f>
        <v>0</v>
      </c>
      <c r="P39" s="7">
        <f ca="1">IF(O39&gt;0,MAX($P$10:P38)+1,0)</f>
        <v>0</v>
      </c>
    </row>
    <row r="40" spans="2:16" ht="24" customHeight="1" x14ac:dyDescent="0.3">
      <c r="B40" s="22" t="str">
        <f t="shared" ca="1" si="0"/>
        <v/>
      </c>
      <c r="C40" s="16" t="str">
        <f t="shared" ca="1" si="1"/>
        <v/>
      </c>
      <c r="D40" s="23"/>
      <c r="E40" s="24"/>
      <c r="F40" s="24"/>
      <c r="G40" s="25"/>
      <c r="H40" s="26"/>
      <c r="I40" s="177"/>
      <c r="J40" s="151"/>
      <c r="K40" s="167" t="str">
        <f ca="1">IF(IF(COPIA!$R$1=TRUE,IF(OR(G40&lt;&gt;0,H40&lt;&gt;0),ROUND(SUM(G$11:G40),2)-ROUND(SUM(H$11:H40),2),""),"")&lt;&gt;0,"",0)</f>
        <v/>
      </c>
      <c r="L40" s="7">
        <f t="shared" ca="1" si="2"/>
        <v>0</v>
      </c>
      <c r="M40" s="7">
        <f ca="1">IFERROR(IF(AND(INDIRECT(ADDRESS(ROW(),4,,,))&lt;=COPIA!$DA$1,K40=0,COPIA!$BF$1&gt;1,ROW()-10&lt;COPIA!$BF$1-1),MAX($M$10:M39)+1,IF(AND(INDIRECT(ADDRESS(ROW(),4,,,))&lt;=COPIA!$DA$1,K40=0,COPIA!$BF$1=1),MAX($M$10:M39)+1,0)),0)</f>
        <v>0</v>
      </c>
      <c r="N40" s="7">
        <f ca="1">IF(AND(COPIA!$BF$1=1,M40&lt;&gt;0),ROW()-10,IF(AND(COPIA!$BF$1&gt;1,ROW()-10&gt;COPIA!$BF$1,M40&lt;&gt;0),0,IF(AND(COPIA!$BF$1&gt;1,ROW()-10&lt;=COPIA!$BF$1,M40&lt;&gt;0),ROW()-10,0)))</f>
        <v>0</v>
      </c>
      <c r="O40" s="7">
        <f ca="1">IF(AND($O$1=0,ROW()-10&lt;=$O$2),MAX($O$10:O39)+1,IF(AND(ROW()-10&gt;$O$2,ROW()-10&lt;=$O$1),ROW()-10,0))</f>
        <v>0</v>
      </c>
      <c r="P40" s="7">
        <f ca="1">IF(O40&gt;0,MAX($P$10:P39)+1,0)</f>
        <v>0</v>
      </c>
    </row>
    <row r="41" spans="2:16" ht="24" customHeight="1" x14ac:dyDescent="0.3">
      <c r="B41" s="22" t="str">
        <f t="shared" ca="1" si="0"/>
        <v/>
      </c>
      <c r="C41" s="16" t="str">
        <f t="shared" ca="1" si="1"/>
        <v/>
      </c>
      <c r="D41" s="23"/>
      <c r="E41" s="24"/>
      <c r="F41" s="24"/>
      <c r="G41" s="25"/>
      <c r="H41" s="26"/>
      <c r="I41" s="177"/>
      <c r="J41" s="151"/>
      <c r="K41" s="167" t="str">
        <f ca="1">IF(IF(COPIA!$R$1=TRUE,IF(OR(G41&lt;&gt;0,H41&lt;&gt;0),ROUND(SUM(G$11:G41),2)-ROUND(SUM(H$11:H41),2),""),"")&lt;&gt;0,"",0)</f>
        <v/>
      </c>
      <c r="L41" s="7">
        <f t="shared" ca="1" si="2"/>
        <v>0</v>
      </c>
      <c r="M41" s="7">
        <f ca="1">IFERROR(IF(AND(INDIRECT(ADDRESS(ROW(),4,,,))&lt;=COPIA!$DA$1,K41=0,COPIA!$BF$1&gt;1,ROW()-10&lt;COPIA!$BF$1-1),MAX($M$10:M40)+1,IF(AND(INDIRECT(ADDRESS(ROW(),4,,,))&lt;=COPIA!$DA$1,K41=0,COPIA!$BF$1=1),MAX($M$10:M40)+1,0)),0)</f>
        <v>0</v>
      </c>
      <c r="N41" s="7">
        <f ca="1">IF(AND(COPIA!$BF$1=1,M41&lt;&gt;0),ROW()-10,IF(AND(COPIA!$BF$1&gt;1,ROW()-10&gt;COPIA!$BF$1,M41&lt;&gt;0),0,IF(AND(COPIA!$BF$1&gt;1,ROW()-10&lt;=COPIA!$BF$1,M41&lt;&gt;0),ROW()-10,0)))</f>
        <v>0</v>
      </c>
      <c r="O41" s="7">
        <f ca="1">IF(AND($O$1=0,ROW()-10&lt;=$O$2),MAX($O$10:O40)+1,IF(AND(ROW()-10&gt;$O$2,ROW()-10&lt;=$O$1),ROW()-10,0))</f>
        <v>0</v>
      </c>
      <c r="P41" s="7">
        <f ca="1">IF(O41&gt;0,MAX($P$10:P40)+1,0)</f>
        <v>0</v>
      </c>
    </row>
    <row r="42" spans="2:16" ht="24" customHeight="1" x14ac:dyDescent="0.3">
      <c r="B42" s="22" t="str">
        <f t="shared" ca="1" si="0"/>
        <v/>
      </c>
      <c r="C42" s="16" t="str">
        <f t="shared" ca="1" si="1"/>
        <v/>
      </c>
      <c r="D42" s="23"/>
      <c r="E42" s="24"/>
      <c r="F42" s="24"/>
      <c r="G42" s="25"/>
      <c r="H42" s="26"/>
      <c r="I42" s="177"/>
      <c r="J42" s="151"/>
      <c r="K42" s="167" t="str">
        <f ca="1">IF(IF(COPIA!$R$1=TRUE,IF(OR(G42&lt;&gt;0,H42&lt;&gt;0),ROUND(SUM(G$11:G42),2)-ROUND(SUM(H$11:H42),2),""),"")&lt;&gt;0,"",0)</f>
        <v/>
      </c>
      <c r="L42" s="7">
        <f t="shared" ca="1" si="2"/>
        <v>0</v>
      </c>
      <c r="M42" s="7">
        <f ca="1">IFERROR(IF(AND(INDIRECT(ADDRESS(ROW(),4,,,))&lt;=COPIA!$DA$1,K42=0,COPIA!$BF$1&gt;1,ROW()-10&lt;COPIA!$BF$1-1),MAX($M$10:M41)+1,IF(AND(INDIRECT(ADDRESS(ROW(),4,,,))&lt;=COPIA!$DA$1,K42=0,COPIA!$BF$1=1),MAX($M$10:M41)+1,0)),0)</f>
        <v>0</v>
      </c>
      <c r="N42" s="7">
        <f ca="1">IF(AND(COPIA!$BF$1=1,M42&lt;&gt;0),ROW()-10,IF(AND(COPIA!$BF$1&gt;1,ROW()-10&gt;COPIA!$BF$1,M42&lt;&gt;0),0,IF(AND(COPIA!$BF$1&gt;1,ROW()-10&lt;=COPIA!$BF$1,M42&lt;&gt;0),ROW()-10,0)))</f>
        <v>0</v>
      </c>
      <c r="O42" s="7">
        <f ca="1">IF(AND($O$1=0,ROW()-10&lt;=$O$2),MAX($O$10:O41)+1,IF(AND(ROW()-10&gt;$O$2,ROW()-10&lt;=$O$1),ROW()-10,0))</f>
        <v>0</v>
      </c>
      <c r="P42" s="7">
        <f ca="1">IF(O42&gt;0,MAX($P$10:P41)+1,0)</f>
        <v>0</v>
      </c>
    </row>
    <row r="43" spans="2:16" ht="24" customHeight="1" x14ac:dyDescent="0.3">
      <c r="B43" s="22" t="str">
        <f t="shared" ref="B43:B74" ca="1" si="3">IF(INDIRECT(ADDRESS(ROW(),4,,,))="","",IFERROR(INDEX(PDC,MATCH(INDIRECT(ADDRESS(ROW(),5,,,)),DEN_PDC,0),1),0))</f>
        <v/>
      </c>
      <c r="C43" s="16" t="str">
        <f t="shared" ca="1" si="1"/>
        <v/>
      </c>
      <c r="D43" s="23"/>
      <c r="E43" s="24"/>
      <c r="F43" s="24"/>
      <c r="G43" s="25"/>
      <c r="H43" s="26"/>
      <c r="I43" s="177"/>
      <c r="J43" s="151"/>
      <c r="K43" s="167" t="str">
        <f ca="1">IF(IF(COPIA!$R$1=TRUE,IF(OR(G43&lt;&gt;0,H43&lt;&gt;0),ROUND(SUM(G$11:G43),2)-ROUND(SUM(H$11:H43),2),""),"")&lt;&gt;0,"",0)</f>
        <v/>
      </c>
      <c r="L43" s="7">
        <f t="shared" ca="1" si="2"/>
        <v>0</v>
      </c>
      <c r="M43" s="7">
        <f ca="1">IFERROR(IF(AND(INDIRECT(ADDRESS(ROW(),4,,,))&lt;=COPIA!$DA$1,K43=0,COPIA!$BF$1&gt;1,ROW()-10&lt;COPIA!$BF$1-1),MAX($M$10:M42)+1,IF(AND(INDIRECT(ADDRESS(ROW(),4,,,))&lt;=COPIA!$DA$1,K43=0,COPIA!$BF$1=1),MAX($M$10:M42)+1,0)),0)</f>
        <v>0</v>
      </c>
      <c r="N43" s="7">
        <f ca="1">IF(AND(COPIA!$BF$1=1,M43&lt;&gt;0),ROW()-10,IF(AND(COPIA!$BF$1&gt;1,ROW()-10&gt;COPIA!$BF$1,M43&lt;&gt;0),0,IF(AND(COPIA!$BF$1&gt;1,ROW()-10&lt;=COPIA!$BF$1,M43&lt;&gt;0),ROW()-10,0)))</f>
        <v>0</v>
      </c>
      <c r="O43" s="7">
        <f ca="1">IF(AND($O$1=0,ROW()-10&lt;=$O$2),MAX($O$10:O42)+1,IF(AND(ROW()-10&gt;$O$2,ROW()-10&lt;=$O$1),ROW()-10,0))</f>
        <v>0</v>
      </c>
      <c r="P43" s="7">
        <f ca="1">IF(O43&gt;0,MAX($P$10:P42)+1,0)</f>
        <v>0</v>
      </c>
    </row>
    <row r="44" spans="2:16" ht="24" customHeight="1" x14ac:dyDescent="0.3">
      <c r="B44" s="22" t="str">
        <f t="shared" ca="1" si="3"/>
        <v/>
      </c>
      <c r="C44" s="16" t="str">
        <f t="shared" ca="1" si="1"/>
        <v/>
      </c>
      <c r="D44" s="23"/>
      <c r="E44" s="24"/>
      <c r="F44" s="24"/>
      <c r="G44" s="25"/>
      <c r="H44" s="26"/>
      <c r="I44" s="177"/>
      <c r="J44" s="151"/>
      <c r="K44" s="167" t="str">
        <f ca="1">IF(IF(COPIA!$R$1=TRUE,IF(OR(G44&lt;&gt;0,H44&lt;&gt;0),ROUND(SUM(G$11:G44),2)-ROUND(SUM(H$11:H44),2),""),"")&lt;&gt;0,"",0)</f>
        <v/>
      </c>
      <c r="L44" s="7">
        <f t="shared" ca="1" si="2"/>
        <v>0</v>
      </c>
      <c r="M44" s="7">
        <f ca="1">IFERROR(IF(AND(INDIRECT(ADDRESS(ROW(),4,,,))&lt;=COPIA!$DA$1,K44=0,COPIA!$BF$1&gt;1,ROW()-10&lt;COPIA!$BF$1-1),MAX($M$10:M43)+1,IF(AND(INDIRECT(ADDRESS(ROW(),4,,,))&lt;=COPIA!$DA$1,K44=0,COPIA!$BF$1=1),MAX($M$10:M43)+1,0)),0)</f>
        <v>0</v>
      </c>
      <c r="N44" s="7">
        <f ca="1">IF(AND(COPIA!$BF$1=1,M44&lt;&gt;0),ROW()-10,IF(AND(COPIA!$BF$1&gt;1,ROW()-10&gt;COPIA!$BF$1,M44&lt;&gt;0),0,IF(AND(COPIA!$BF$1&gt;1,ROW()-10&lt;=COPIA!$BF$1,M44&lt;&gt;0),ROW()-10,0)))</f>
        <v>0</v>
      </c>
      <c r="O44" s="7">
        <f ca="1">IF(AND($O$1=0,ROW()-10&lt;=$O$2),MAX($O$10:O43)+1,IF(AND(ROW()-10&gt;$O$2,ROW()-10&lt;=$O$1),ROW()-10,0))</f>
        <v>0</v>
      </c>
      <c r="P44" s="7">
        <f ca="1">IF(O44&gt;0,MAX($P$10:P43)+1,0)</f>
        <v>0</v>
      </c>
    </row>
    <row r="45" spans="2:16" ht="24" customHeight="1" x14ac:dyDescent="0.3">
      <c r="B45" s="22" t="str">
        <f t="shared" ca="1" si="3"/>
        <v/>
      </c>
      <c r="C45" s="16" t="str">
        <f t="shared" ca="1" si="1"/>
        <v/>
      </c>
      <c r="D45" s="23"/>
      <c r="E45" s="24"/>
      <c r="F45" s="24"/>
      <c r="G45" s="25"/>
      <c r="H45" s="26"/>
      <c r="I45" s="177"/>
      <c r="J45" s="151"/>
      <c r="K45" s="167" t="str">
        <f ca="1">IF(IF(COPIA!$R$1=TRUE,IF(OR(G45&lt;&gt;0,H45&lt;&gt;0),ROUND(SUM(G$11:G45),2)-ROUND(SUM(H$11:H45),2),""),"")&lt;&gt;0,"",0)</f>
        <v/>
      </c>
      <c r="L45" s="7">
        <f t="shared" ca="1" si="2"/>
        <v>0</v>
      </c>
      <c r="M45" s="7">
        <f ca="1">IFERROR(IF(AND(INDIRECT(ADDRESS(ROW(),4,,,))&lt;=COPIA!$DA$1,K45=0,COPIA!$BF$1&gt;1,ROW()-10&lt;COPIA!$BF$1-1),MAX($M$10:M44)+1,IF(AND(INDIRECT(ADDRESS(ROW(),4,,,))&lt;=COPIA!$DA$1,K45=0,COPIA!$BF$1=1),MAX($M$10:M44)+1,0)),0)</f>
        <v>0</v>
      </c>
      <c r="N45" s="7">
        <f ca="1">IF(AND(COPIA!$BF$1=1,M45&lt;&gt;0),ROW()-10,IF(AND(COPIA!$BF$1&gt;1,ROW()-10&gt;COPIA!$BF$1,M45&lt;&gt;0),0,IF(AND(COPIA!$BF$1&gt;1,ROW()-10&lt;=COPIA!$BF$1,M45&lt;&gt;0),ROW()-10,0)))</f>
        <v>0</v>
      </c>
      <c r="O45" s="7">
        <f ca="1">IF(AND($O$1=0,ROW()-10&lt;=$O$2),MAX($O$10:O44)+1,IF(AND(ROW()-10&gt;$O$2,ROW()-10&lt;=$O$1),ROW()-10,0))</f>
        <v>0</v>
      </c>
      <c r="P45" s="7">
        <f ca="1">IF(O45&gt;0,MAX($P$10:P44)+1,0)</f>
        <v>0</v>
      </c>
    </row>
    <row r="46" spans="2:16" ht="24" customHeight="1" x14ac:dyDescent="0.3">
      <c r="B46" s="22" t="str">
        <f t="shared" ca="1" si="3"/>
        <v/>
      </c>
      <c r="C46" s="16" t="str">
        <f t="shared" ca="1" si="1"/>
        <v/>
      </c>
      <c r="D46" s="23"/>
      <c r="E46" s="24"/>
      <c r="F46" s="24"/>
      <c r="G46" s="25"/>
      <c r="H46" s="26"/>
      <c r="I46" s="177"/>
      <c r="J46" s="151"/>
      <c r="K46" s="167" t="str">
        <f ca="1">IF(IF(COPIA!$R$1=TRUE,IF(OR(G46&lt;&gt;0,H46&lt;&gt;0),ROUND(SUM(G$11:G46),2)-ROUND(SUM(H$11:H46),2),""),"")&lt;&gt;0,"",0)</f>
        <v/>
      </c>
      <c r="L46" s="7">
        <f t="shared" ca="1" si="2"/>
        <v>0</v>
      </c>
      <c r="M46" s="7">
        <f ca="1">IFERROR(IF(AND(INDIRECT(ADDRESS(ROW(),4,,,))&lt;=COPIA!$DA$1,K46=0,COPIA!$BF$1&gt;1,ROW()-10&lt;COPIA!$BF$1-1),MAX($M$10:M45)+1,IF(AND(INDIRECT(ADDRESS(ROW(),4,,,))&lt;=COPIA!$DA$1,K46=0,COPIA!$BF$1=1),MAX($M$10:M45)+1,0)),0)</f>
        <v>0</v>
      </c>
      <c r="N46" s="7">
        <f ca="1">IF(AND(COPIA!$BF$1=1,M46&lt;&gt;0),ROW()-10,IF(AND(COPIA!$BF$1&gt;1,ROW()-10&gt;COPIA!$BF$1,M46&lt;&gt;0),0,IF(AND(COPIA!$BF$1&gt;1,ROW()-10&lt;=COPIA!$BF$1,M46&lt;&gt;0),ROW()-10,0)))</f>
        <v>0</v>
      </c>
      <c r="O46" s="7">
        <f ca="1">IF(AND($O$1=0,ROW()-10&lt;=$O$2),MAX($O$10:O45)+1,IF(AND(ROW()-10&gt;$O$2,ROW()-10&lt;=$O$1),ROW()-10,0))</f>
        <v>0</v>
      </c>
      <c r="P46" s="7">
        <f ca="1">IF(O46&gt;0,MAX($P$10:P45)+1,0)</f>
        <v>0</v>
      </c>
    </row>
    <row r="47" spans="2:16" ht="24" customHeight="1" x14ac:dyDescent="0.3">
      <c r="B47" s="22" t="str">
        <f t="shared" ca="1" si="3"/>
        <v/>
      </c>
      <c r="C47" s="16" t="str">
        <f t="shared" ca="1" si="1"/>
        <v/>
      </c>
      <c r="D47" s="23"/>
      <c r="E47" s="24"/>
      <c r="F47" s="24"/>
      <c r="G47" s="25"/>
      <c r="H47" s="26"/>
      <c r="I47" s="177"/>
      <c r="J47" s="151"/>
      <c r="K47" s="167" t="str">
        <f ca="1">IF(IF(COPIA!$R$1=TRUE,IF(OR(G47&lt;&gt;0,H47&lt;&gt;0),ROUND(SUM(G$11:G47),2)-ROUND(SUM(H$11:H47),2),""),"")&lt;&gt;0,"",0)</f>
        <v/>
      </c>
      <c r="L47" s="7">
        <f t="shared" ca="1" si="2"/>
        <v>0</v>
      </c>
      <c r="M47" s="7">
        <f ca="1">IFERROR(IF(AND(INDIRECT(ADDRESS(ROW(),4,,,))&lt;=COPIA!$DA$1,K47=0,COPIA!$BF$1&gt;1,ROW()-10&lt;COPIA!$BF$1-1),MAX($M$10:M46)+1,IF(AND(INDIRECT(ADDRESS(ROW(),4,,,))&lt;=COPIA!$DA$1,K47=0,COPIA!$BF$1=1),MAX($M$10:M46)+1,0)),0)</f>
        <v>0</v>
      </c>
      <c r="N47" s="7">
        <f ca="1">IF(AND(COPIA!$BF$1=1,M47&lt;&gt;0),ROW()-10,IF(AND(COPIA!$BF$1&gt;1,ROW()-10&gt;COPIA!$BF$1,M47&lt;&gt;0),0,IF(AND(COPIA!$BF$1&gt;1,ROW()-10&lt;=COPIA!$BF$1,M47&lt;&gt;0),ROW()-10,0)))</f>
        <v>0</v>
      </c>
      <c r="O47" s="7">
        <f ca="1">IF(AND($O$1=0,ROW()-10&lt;=$O$2),MAX($O$10:O46)+1,IF(AND(ROW()-10&gt;$O$2,ROW()-10&lt;=$O$1),ROW()-10,0))</f>
        <v>0</v>
      </c>
      <c r="P47" s="7">
        <f ca="1">IF(O47&gt;0,MAX($P$10:P46)+1,0)</f>
        <v>0</v>
      </c>
    </row>
    <row r="48" spans="2:16" ht="24" customHeight="1" x14ac:dyDescent="0.3">
      <c r="B48" s="22" t="str">
        <f t="shared" ca="1" si="3"/>
        <v/>
      </c>
      <c r="C48" s="16" t="str">
        <f t="shared" ca="1" si="1"/>
        <v/>
      </c>
      <c r="D48" s="23"/>
      <c r="E48" s="24"/>
      <c r="F48" s="24"/>
      <c r="G48" s="25"/>
      <c r="H48" s="26"/>
      <c r="I48" s="177"/>
      <c r="J48" s="151"/>
      <c r="K48" s="167" t="str">
        <f ca="1">IF(IF(COPIA!$R$1=TRUE,IF(OR(G48&lt;&gt;0,H48&lt;&gt;0),ROUND(SUM(G$11:G48),2)-ROUND(SUM(H$11:H48),2),""),"")&lt;&gt;0,"",0)</f>
        <v/>
      </c>
      <c r="L48" s="7">
        <f t="shared" ca="1" si="2"/>
        <v>0</v>
      </c>
      <c r="M48" s="7">
        <f ca="1">IFERROR(IF(AND(INDIRECT(ADDRESS(ROW(),4,,,))&lt;=COPIA!$DA$1,K48=0,COPIA!$BF$1&gt;1,ROW()-10&lt;COPIA!$BF$1-1),MAX($M$10:M47)+1,IF(AND(INDIRECT(ADDRESS(ROW(),4,,,))&lt;=COPIA!$DA$1,K48=0,COPIA!$BF$1=1),MAX($M$10:M47)+1,0)),0)</f>
        <v>0</v>
      </c>
      <c r="N48" s="7">
        <f ca="1">IF(AND(COPIA!$BF$1=1,M48&lt;&gt;0),ROW()-10,IF(AND(COPIA!$BF$1&gt;1,ROW()-10&gt;COPIA!$BF$1,M48&lt;&gt;0),0,IF(AND(COPIA!$BF$1&gt;1,ROW()-10&lt;=COPIA!$BF$1,M48&lt;&gt;0),ROW()-10,0)))</f>
        <v>0</v>
      </c>
      <c r="O48" s="7">
        <f ca="1">IF(AND($O$1=0,ROW()-10&lt;=$O$2),MAX($O$10:O47)+1,IF(AND(ROW()-10&gt;$O$2,ROW()-10&lt;=$O$1),ROW()-10,0))</f>
        <v>0</v>
      </c>
      <c r="P48" s="7">
        <f ca="1">IF(O48&gt;0,MAX($P$10:P47)+1,0)</f>
        <v>0</v>
      </c>
    </row>
    <row r="49" spans="2:16" ht="24" customHeight="1" x14ac:dyDescent="0.3">
      <c r="B49" s="22" t="str">
        <f t="shared" ca="1" si="3"/>
        <v/>
      </c>
      <c r="C49" s="16" t="str">
        <f t="shared" ca="1" si="1"/>
        <v/>
      </c>
      <c r="D49" s="23"/>
      <c r="E49" s="24"/>
      <c r="F49" s="24"/>
      <c r="G49" s="25"/>
      <c r="H49" s="26"/>
      <c r="I49" s="177"/>
      <c r="J49" s="151"/>
      <c r="K49" s="167" t="str">
        <f ca="1">IF(IF(COPIA!$R$1=TRUE,IF(OR(G49&lt;&gt;0,H49&lt;&gt;0),ROUND(SUM(G$11:G49),2)-ROUND(SUM(H$11:H49),2),""),"")&lt;&gt;0,"",0)</f>
        <v/>
      </c>
      <c r="L49" s="7">
        <f t="shared" ca="1" si="2"/>
        <v>0</v>
      </c>
      <c r="M49" s="7">
        <f ca="1">IFERROR(IF(AND(INDIRECT(ADDRESS(ROW(),4,,,))&lt;=COPIA!$DA$1,K49=0,COPIA!$BF$1&gt;1,ROW()-10&lt;COPIA!$BF$1-1),MAX($M$10:M48)+1,IF(AND(INDIRECT(ADDRESS(ROW(),4,,,))&lt;=COPIA!$DA$1,K49=0,COPIA!$BF$1=1),MAX($M$10:M48)+1,0)),0)</f>
        <v>0</v>
      </c>
      <c r="N49" s="7">
        <f ca="1">IF(AND(COPIA!$BF$1=1,M49&lt;&gt;0),ROW()-10,IF(AND(COPIA!$BF$1&gt;1,ROW()-10&gt;COPIA!$BF$1,M49&lt;&gt;0),0,IF(AND(COPIA!$BF$1&gt;1,ROW()-10&lt;=COPIA!$BF$1,M49&lt;&gt;0),ROW()-10,0)))</f>
        <v>0</v>
      </c>
      <c r="O49" s="7">
        <f ca="1">IF(AND($O$1=0,ROW()-10&lt;=$O$2),MAX($O$10:O48)+1,IF(AND(ROW()-10&gt;$O$2,ROW()-10&lt;=$O$1),ROW()-10,0))</f>
        <v>0</v>
      </c>
      <c r="P49" s="7">
        <f ca="1">IF(O49&gt;0,MAX($P$10:P48)+1,0)</f>
        <v>0</v>
      </c>
    </row>
    <row r="50" spans="2:16" ht="24" customHeight="1" x14ac:dyDescent="0.3">
      <c r="B50" s="22" t="str">
        <f t="shared" ca="1" si="3"/>
        <v/>
      </c>
      <c r="C50" s="16" t="str">
        <f t="shared" ca="1" si="1"/>
        <v/>
      </c>
      <c r="D50" s="23"/>
      <c r="E50" s="24"/>
      <c r="F50" s="24"/>
      <c r="G50" s="25"/>
      <c r="H50" s="26"/>
      <c r="I50" s="177"/>
      <c r="J50" s="151"/>
      <c r="K50" s="167" t="str">
        <f ca="1">IF(IF(COPIA!$R$1=TRUE,IF(OR(G50&lt;&gt;0,H50&lt;&gt;0),ROUND(SUM(G$11:G50),2)-ROUND(SUM(H$11:H50),2),""),"")&lt;&gt;0,"",0)</f>
        <v/>
      </c>
      <c r="L50" s="7">
        <f t="shared" ca="1" si="2"/>
        <v>0</v>
      </c>
      <c r="M50" s="7">
        <f ca="1">IFERROR(IF(AND(INDIRECT(ADDRESS(ROW(),4,,,))&lt;=COPIA!$DA$1,K50=0,COPIA!$BF$1&gt;1,ROW()-10&lt;COPIA!$BF$1-1),MAX($M$10:M49)+1,IF(AND(INDIRECT(ADDRESS(ROW(),4,,,))&lt;=COPIA!$DA$1,K50=0,COPIA!$BF$1=1),MAX($M$10:M49)+1,0)),0)</f>
        <v>0</v>
      </c>
      <c r="N50" s="7">
        <f ca="1">IF(AND(COPIA!$BF$1=1,M50&lt;&gt;0),ROW()-10,IF(AND(COPIA!$BF$1&gt;1,ROW()-10&gt;COPIA!$BF$1,M50&lt;&gt;0),0,IF(AND(COPIA!$BF$1&gt;1,ROW()-10&lt;=COPIA!$BF$1,M50&lt;&gt;0),ROW()-10,0)))</f>
        <v>0</v>
      </c>
      <c r="O50" s="7">
        <f ca="1">IF(AND($O$1=0,ROW()-10&lt;=$O$2),MAX($O$10:O49)+1,IF(AND(ROW()-10&gt;$O$2,ROW()-10&lt;=$O$1),ROW()-10,0))</f>
        <v>0</v>
      </c>
      <c r="P50" s="7">
        <f ca="1">IF(O50&gt;0,MAX($P$10:P49)+1,0)</f>
        <v>0</v>
      </c>
    </row>
    <row r="51" spans="2:16" ht="24" customHeight="1" x14ac:dyDescent="0.3">
      <c r="B51" s="22" t="str">
        <f t="shared" ca="1" si="3"/>
        <v/>
      </c>
      <c r="C51" s="16" t="str">
        <f t="shared" ca="1" si="1"/>
        <v/>
      </c>
      <c r="D51" s="23"/>
      <c r="E51" s="24"/>
      <c r="F51" s="24"/>
      <c r="G51" s="25"/>
      <c r="H51" s="26"/>
      <c r="I51" s="177"/>
      <c r="J51" s="151"/>
      <c r="K51" s="167" t="str">
        <f ca="1">IF(IF(COPIA!$R$1=TRUE,IF(OR(G51&lt;&gt;0,H51&lt;&gt;0),ROUND(SUM(G$11:G51),2)-ROUND(SUM(H$11:H51),2),""),"")&lt;&gt;0,"",0)</f>
        <v/>
      </c>
      <c r="L51" s="7">
        <f t="shared" ca="1" si="2"/>
        <v>0</v>
      </c>
      <c r="M51" s="7">
        <f ca="1">IFERROR(IF(AND(INDIRECT(ADDRESS(ROW(),4,,,))&lt;=COPIA!$DA$1,K51=0,COPIA!$BF$1&gt;1,ROW()-10&lt;COPIA!$BF$1-1),MAX($M$10:M50)+1,IF(AND(INDIRECT(ADDRESS(ROW(),4,,,))&lt;=COPIA!$DA$1,K51=0,COPIA!$BF$1=1),MAX($M$10:M50)+1,0)),0)</f>
        <v>0</v>
      </c>
      <c r="N51" s="7">
        <f ca="1">IF(AND(COPIA!$BF$1=1,M51&lt;&gt;0),ROW()-10,IF(AND(COPIA!$BF$1&gt;1,ROW()-10&gt;COPIA!$BF$1,M51&lt;&gt;0),0,IF(AND(COPIA!$BF$1&gt;1,ROW()-10&lt;=COPIA!$BF$1,M51&lt;&gt;0),ROW()-10,0)))</f>
        <v>0</v>
      </c>
      <c r="O51" s="7">
        <f ca="1">IF(AND($O$1=0,ROW()-10&lt;=$O$2),MAX($O$10:O50)+1,IF(AND(ROW()-10&gt;$O$2,ROW()-10&lt;=$O$1),ROW()-10,0))</f>
        <v>0</v>
      </c>
      <c r="P51" s="7">
        <f ca="1">IF(O51&gt;0,MAX($P$10:P50)+1,0)</f>
        <v>0</v>
      </c>
    </row>
    <row r="52" spans="2:16" ht="24" customHeight="1" x14ac:dyDescent="0.3">
      <c r="B52" s="22" t="str">
        <f t="shared" ca="1" si="3"/>
        <v/>
      </c>
      <c r="C52" s="16" t="str">
        <f t="shared" ca="1" si="1"/>
        <v/>
      </c>
      <c r="D52" s="23"/>
      <c r="E52" s="24"/>
      <c r="F52" s="24"/>
      <c r="G52" s="25"/>
      <c r="H52" s="26"/>
      <c r="I52" s="177"/>
      <c r="J52" s="151"/>
      <c r="K52" s="167" t="str">
        <f ca="1">IF(IF(COPIA!$R$1=TRUE,IF(OR(G52&lt;&gt;0,H52&lt;&gt;0),ROUND(SUM(G$11:G52),2)-ROUND(SUM(H$11:H52),2),""),"")&lt;&gt;0,"",0)</f>
        <v/>
      </c>
      <c r="L52" s="7">
        <f t="shared" ca="1" si="2"/>
        <v>0</v>
      </c>
      <c r="M52" s="7">
        <f ca="1">IFERROR(IF(AND(INDIRECT(ADDRESS(ROW(),4,,,))&lt;=COPIA!$DA$1,K52=0,COPIA!$BF$1&gt;1,ROW()-10&lt;COPIA!$BF$1-1),MAX($M$10:M51)+1,IF(AND(INDIRECT(ADDRESS(ROW(),4,,,))&lt;=COPIA!$DA$1,K52=0,COPIA!$BF$1=1),MAX($M$10:M51)+1,0)),0)</f>
        <v>0</v>
      </c>
      <c r="N52" s="7">
        <f ca="1">IF(AND(COPIA!$BF$1=1,M52&lt;&gt;0),ROW()-10,IF(AND(COPIA!$BF$1&gt;1,ROW()-10&gt;COPIA!$BF$1,M52&lt;&gt;0),0,IF(AND(COPIA!$BF$1&gt;1,ROW()-10&lt;=COPIA!$BF$1,M52&lt;&gt;0),ROW()-10,0)))</f>
        <v>0</v>
      </c>
      <c r="O52" s="7">
        <f ca="1">IF(AND($O$1=0,ROW()-10&lt;=$O$2),MAX($O$10:O51)+1,IF(AND(ROW()-10&gt;$O$2,ROW()-10&lt;=$O$1),ROW()-10,0))</f>
        <v>0</v>
      </c>
      <c r="P52" s="7">
        <f ca="1">IF(O52&gt;0,MAX($P$10:P51)+1,0)</f>
        <v>0</v>
      </c>
    </row>
    <row r="53" spans="2:16" ht="24" customHeight="1" x14ac:dyDescent="0.3">
      <c r="B53" s="22" t="str">
        <f t="shared" ca="1" si="3"/>
        <v/>
      </c>
      <c r="C53" s="16" t="str">
        <f t="shared" ca="1" si="1"/>
        <v/>
      </c>
      <c r="D53" s="23"/>
      <c r="E53" s="24"/>
      <c r="F53" s="24"/>
      <c r="G53" s="25"/>
      <c r="H53" s="26"/>
      <c r="I53" s="177"/>
      <c r="J53" s="151"/>
      <c r="K53" s="167" t="str">
        <f ca="1">IF(IF(COPIA!$R$1=TRUE,IF(OR(G53&lt;&gt;0,H53&lt;&gt;0),ROUND(SUM(G$11:G53),2)-ROUND(SUM(H$11:H53),2),""),"")&lt;&gt;0,"",0)</f>
        <v/>
      </c>
      <c r="L53" s="7">
        <f t="shared" ca="1" si="2"/>
        <v>0</v>
      </c>
      <c r="M53" s="7">
        <f ca="1">IFERROR(IF(AND(INDIRECT(ADDRESS(ROW(),4,,,))&lt;=COPIA!$DA$1,K53=0,COPIA!$BF$1&gt;1,ROW()-10&lt;COPIA!$BF$1-1),MAX($M$10:M52)+1,IF(AND(INDIRECT(ADDRESS(ROW(),4,,,))&lt;=COPIA!$DA$1,K53=0,COPIA!$BF$1=1),MAX($M$10:M52)+1,0)),0)</f>
        <v>0</v>
      </c>
      <c r="N53" s="7">
        <f ca="1">IF(AND(COPIA!$BF$1=1,M53&lt;&gt;0),ROW()-10,IF(AND(COPIA!$BF$1&gt;1,ROW()-10&gt;COPIA!$BF$1,M53&lt;&gt;0),0,IF(AND(COPIA!$BF$1&gt;1,ROW()-10&lt;=COPIA!$BF$1,M53&lt;&gt;0),ROW()-10,0)))</f>
        <v>0</v>
      </c>
      <c r="O53" s="7">
        <f ca="1">IF(AND($O$1=0,ROW()-10&lt;=$O$2),MAX($O$10:O52)+1,IF(AND(ROW()-10&gt;$O$2,ROW()-10&lt;=$O$1),ROW()-10,0))</f>
        <v>0</v>
      </c>
      <c r="P53" s="7">
        <f ca="1">IF(O53&gt;0,MAX($P$10:P52)+1,0)</f>
        <v>0</v>
      </c>
    </row>
    <row r="54" spans="2:16" ht="24" customHeight="1" x14ac:dyDescent="0.3">
      <c r="B54" s="22" t="str">
        <f t="shared" ca="1" si="3"/>
        <v/>
      </c>
      <c r="C54" s="16" t="str">
        <f t="shared" ca="1" si="1"/>
        <v/>
      </c>
      <c r="D54" s="23"/>
      <c r="E54" s="24"/>
      <c r="F54" s="24"/>
      <c r="G54" s="25"/>
      <c r="H54" s="26"/>
      <c r="I54" s="177"/>
      <c r="J54" s="151"/>
      <c r="K54" s="167" t="str">
        <f ca="1">IF(IF(COPIA!$R$1=TRUE,IF(OR(G54&lt;&gt;0,H54&lt;&gt;0),ROUND(SUM(G$11:G54),2)-ROUND(SUM(H$11:H54),2),""),"")&lt;&gt;0,"",0)</f>
        <v/>
      </c>
      <c r="L54" s="7">
        <f t="shared" ca="1" si="2"/>
        <v>0</v>
      </c>
      <c r="M54" s="7">
        <f ca="1">IFERROR(IF(AND(INDIRECT(ADDRESS(ROW(),4,,,))&lt;=COPIA!$DA$1,K54=0,COPIA!$BF$1&gt;1,ROW()-10&lt;COPIA!$BF$1-1),MAX($M$10:M53)+1,IF(AND(INDIRECT(ADDRESS(ROW(),4,,,))&lt;=COPIA!$DA$1,K54=0,COPIA!$BF$1=1),MAX($M$10:M53)+1,0)),0)</f>
        <v>0</v>
      </c>
      <c r="N54" s="7">
        <f ca="1">IF(AND(COPIA!$BF$1=1,M54&lt;&gt;0),ROW()-10,IF(AND(COPIA!$BF$1&gt;1,ROW()-10&gt;COPIA!$BF$1,M54&lt;&gt;0),0,IF(AND(COPIA!$BF$1&gt;1,ROW()-10&lt;=COPIA!$BF$1,M54&lt;&gt;0),ROW()-10,0)))</f>
        <v>0</v>
      </c>
      <c r="O54" s="7">
        <f ca="1">IF(AND($O$1=0,ROW()-10&lt;=$O$2),MAX($O$10:O53)+1,IF(AND(ROW()-10&gt;$O$2,ROW()-10&lt;=$O$1),ROW()-10,0))</f>
        <v>0</v>
      </c>
      <c r="P54" s="7">
        <f ca="1">IF(O54&gt;0,MAX($P$10:P53)+1,0)</f>
        <v>0</v>
      </c>
    </row>
    <row r="55" spans="2:16" ht="24" customHeight="1" x14ac:dyDescent="0.3">
      <c r="B55" s="22" t="str">
        <f t="shared" ca="1" si="3"/>
        <v/>
      </c>
      <c r="C55" s="16" t="str">
        <f t="shared" ca="1" si="1"/>
        <v/>
      </c>
      <c r="D55" s="23"/>
      <c r="E55" s="24"/>
      <c r="F55" s="24"/>
      <c r="G55" s="25"/>
      <c r="H55" s="26"/>
      <c r="I55" s="177"/>
      <c r="J55" s="151"/>
      <c r="K55" s="167" t="str">
        <f ca="1">IF(IF(COPIA!$R$1=TRUE,IF(OR(G55&lt;&gt;0,H55&lt;&gt;0),ROUND(SUM(G$11:G55),2)-ROUND(SUM(H$11:H55),2),""),"")&lt;&gt;0,"",0)</f>
        <v/>
      </c>
      <c r="L55" s="7">
        <f t="shared" ca="1" si="2"/>
        <v>0</v>
      </c>
      <c r="M55" s="7">
        <f ca="1">IFERROR(IF(AND(INDIRECT(ADDRESS(ROW(),4,,,))&lt;=COPIA!$DA$1,K55=0,COPIA!$BF$1&gt;1,ROW()-10&lt;COPIA!$BF$1-1),MAX($M$10:M54)+1,IF(AND(INDIRECT(ADDRESS(ROW(),4,,,))&lt;=COPIA!$DA$1,K55=0,COPIA!$BF$1=1),MAX($M$10:M54)+1,0)),0)</f>
        <v>0</v>
      </c>
      <c r="N55" s="7">
        <f ca="1">IF(AND(COPIA!$BF$1=1,M55&lt;&gt;0),ROW()-10,IF(AND(COPIA!$BF$1&gt;1,ROW()-10&gt;COPIA!$BF$1,M55&lt;&gt;0),0,IF(AND(COPIA!$BF$1&gt;1,ROW()-10&lt;=COPIA!$BF$1,M55&lt;&gt;0),ROW()-10,0)))</f>
        <v>0</v>
      </c>
      <c r="O55" s="7">
        <f ca="1">IF(AND($O$1=0,ROW()-10&lt;=$O$2),MAX($O$10:O54)+1,IF(AND(ROW()-10&gt;$O$2,ROW()-10&lt;=$O$1),ROW()-10,0))</f>
        <v>0</v>
      </c>
      <c r="P55" s="7">
        <f ca="1">IF(O55&gt;0,MAX($P$10:P54)+1,0)</f>
        <v>0</v>
      </c>
    </row>
    <row r="56" spans="2:16" ht="24" customHeight="1" x14ac:dyDescent="0.3">
      <c r="B56" s="22" t="str">
        <f t="shared" ca="1" si="3"/>
        <v/>
      </c>
      <c r="C56" s="16" t="str">
        <f t="shared" ca="1" si="1"/>
        <v/>
      </c>
      <c r="D56" s="23"/>
      <c r="E56" s="24"/>
      <c r="F56" s="24"/>
      <c r="G56" s="25"/>
      <c r="H56" s="26"/>
      <c r="I56" s="177"/>
      <c r="J56" s="151"/>
      <c r="K56" s="167" t="str">
        <f ca="1">IF(IF(COPIA!$R$1=TRUE,IF(OR(G56&lt;&gt;0,H56&lt;&gt;0),ROUND(SUM(G$11:G56),2)-ROUND(SUM(H$11:H56),2),""),"")&lt;&gt;0,"",0)</f>
        <v/>
      </c>
      <c r="L56" s="7">
        <f t="shared" ca="1" si="2"/>
        <v>0</v>
      </c>
      <c r="M56" s="7">
        <f ca="1">IFERROR(IF(AND(INDIRECT(ADDRESS(ROW(),4,,,))&lt;=COPIA!$DA$1,K56=0,COPIA!$BF$1&gt;1,ROW()-10&lt;COPIA!$BF$1-1),MAX($M$10:M55)+1,IF(AND(INDIRECT(ADDRESS(ROW(),4,,,))&lt;=COPIA!$DA$1,K56=0,COPIA!$BF$1=1),MAX($M$10:M55)+1,0)),0)</f>
        <v>0</v>
      </c>
      <c r="N56" s="7">
        <f ca="1">IF(AND(COPIA!$BF$1=1,M56&lt;&gt;0),ROW()-10,IF(AND(COPIA!$BF$1&gt;1,ROW()-10&gt;COPIA!$BF$1,M56&lt;&gt;0),0,IF(AND(COPIA!$BF$1&gt;1,ROW()-10&lt;=COPIA!$BF$1,M56&lt;&gt;0),ROW()-10,0)))</f>
        <v>0</v>
      </c>
      <c r="O56" s="7">
        <f ca="1">IF(AND($O$1=0,ROW()-10&lt;=$O$2),MAX($O$10:O55)+1,IF(AND(ROW()-10&gt;$O$2,ROW()-10&lt;=$O$1),ROW()-10,0))</f>
        <v>0</v>
      </c>
      <c r="P56" s="7">
        <f ca="1">IF(O56&gt;0,MAX($P$10:P55)+1,0)</f>
        <v>0</v>
      </c>
    </row>
    <row r="57" spans="2:16" ht="24" customHeight="1" x14ac:dyDescent="0.3">
      <c r="B57" s="22" t="str">
        <f t="shared" ca="1" si="3"/>
        <v/>
      </c>
      <c r="C57" s="16" t="str">
        <f t="shared" ca="1" si="1"/>
        <v/>
      </c>
      <c r="D57" s="23"/>
      <c r="E57" s="24"/>
      <c r="F57" s="24"/>
      <c r="G57" s="25"/>
      <c r="H57" s="26"/>
      <c r="I57" s="177"/>
      <c r="J57" s="151"/>
      <c r="K57" s="167" t="str">
        <f ca="1">IF(IF(COPIA!$R$1=TRUE,IF(OR(G57&lt;&gt;0,H57&lt;&gt;0),ROUND(SUM(G$11:G57),2)-ROUND(SUM(H$11:H57),2),""),"")&lt;&gt;0,"",0)</f>
        <v/>
      </c>
      <c r="L57" s="7">
        <f t="shared" ca="1" si="2"/>
        <v>0</v>
      </c>
      <c r="M57" s="7">
        <f ca="1">IFERROR(IF(AND(INDIRECT(ADDRESS(ROW(),4,,,))&lt;=COPIA!$DA$1,K57=0,COPIA!$BF$1&gt;1,ROW()-10&lt;COPIA!$BF$1-1),MAX($M$10:M56)+1,IF(AND(INDIRECT(ADDRESS(ROW(),4,,,))&lt;=COPIA!$DA$1,K57=0,COPIA!$BF$1=1),MAX($M$10:M56)+1,0)),0)</f>
        <v>0</v>
      </c>
      <c r="N57" s="7">
        <f ca="1">IF(AND(COPIA!$BF$1=1,M57&lt;&gt;0),ROW()-10,IF(AND(COPIA!$BF$1&gt;1,ROW()-10&gt;COPIA!$BF$1,M57&lt;&gt;0),0,IF(AND(COPIA!$BF$1&gt;1,ROW()-10&lt;=COPIA!$BF$1,M57&lt;&gt;0),ROW()-10,0)))</f>
        <v>0</v>
      </c>
      <c r="O57" s="7">
        <f ca="1">IF(AND($O$1=0,ROW()-10&lt;=$O$2),MAX($O$10:O56)+1,IF(AND(ROW()-10&gt;$O$2,ROW()-10&lt;=$O$1),ROW()-10,0))</f>
        <v>0</v>
      </c>
      <c r="P57" s="7">
        <f ca="1">IF(O57&gt;0,MAX($P$10:P56)+1,0)</f>
        <v>0</v>
      </c>
    </row>
    <row r="58" spans="2:16" ht="24" customHeight="1" x14ac:dyDescent="0.3">
      <c r="B58" s="22" t="str">
        <f t="shared" ca="1" si="3"/>
        <v/>
      </c>
      <c r="C58" s="16" t="str">
        <f t="shared" ca="1" si="1"/>
        <v/>
      </c>
      <c r="D58" s="23"/>
      <c r="E58" s="24"/>
      <c r="F58" s="24"/>
      <c r="G58" s="25"/>
      <c r="H58" s="26"/>
      <c r="I58" s="177"/>
      <c r="J58" s="151"/>
      <c r="K58" s="167" t="str">
        <f ca="1">IF(IF(COPIA!$R$1=TRUE,IF(OR(G58&lt;&gt;0,H58&lt;&gt;0),ROUND(SUM(G$11:G58),2)-ROUND(SUM(H$11:H58),2),""),"")&lt;&gt;0,"",0)</f>
        <v/>
      </c>
      <c r="L58" s="7">
        <f t="shared" ca="1" si="2"/>
        <v>0</v>
      </c>
      <c r="M58" s="7">
        <f ca="1">IFERROR(IF(AND(INDIRECT(ADDRESS(ROW(),4,,,))&lt;=COPIA!$DA$1,K58=0,COPIA!$BF$1&gt;1,ROW()-10&lt;COPIA!$BF$1-1),MAX($M$10:M57)+1,IF(AND(INDIRECT(ADDRESS(ROW(),4,,,))&lt;=COPIA!$DA$1,K58=0,COPIA!$BF$1=1),MAX($M$10:M57)+1,0)),0)</f>
        <v>0</v>
      </c>
      <c r="N58" s="7">
        <f ca="1">IF(AND(COPIA!$BF$1=1,M58&lt;&gt;0),ROW()-10,IF(AND(COPIA!$BF$1&gt;1,ROW()-10&gt;COPIA!$BF$1,M58&lt;&gt;0),0,IF(AND(COPIA!$BF$1&gt;1,ROW()-10&lt;=COPIA!$BF$1,M58&lt;&gt;0),ROW()-10,0)))</f>
        <v>0</v>
      </c>
      <c r="O58" s="7">
        <f ca="1">IF(AND($O$1=0,ROW()-10&lt;=$O$2),MAX($O$10:O57)+1,IF(AND(ROW()-10&gt;$O$2,ROW()-10&lt;=$O$1),ROW()-10,0))</f>
        <v>0</v>
      </c>
      <c r="P58" s="7">
        <f ca="1">IF(O58&gt;0,MAX($P$10:P57)+1,0)</f>
        <v>0</v>
      </c>
    </row>
    <row r="59" spans="2:16" ht="24" customHeight="1" x14ac:dyDescent="0.3">
      <c r="B59" s="22" t="str">
        <f t="shared" ca="1" si="3"/>
        <v/>
      </c>
      <c r="C59" s="16" t="str">
        <f t="shared" ca="1" si="1"/>
        <v/>
      </c>
      <c r="D59" s="23"/>
      <c r="E59" s="24"/>
      <c r="F59" s="24"/>
      <c r="G59" s="25"/>
      <c r="H59" s="26"/>
      <c r="I59" s="177"/>
      <c r="J59" s="151"/>
      <c r="K59" s="167" t="str">
        <f ca="1">IF(IF(COPIA!$R$1=TRUE,IF(OR(G59&lt;&gt;0,H59&lt;&gt;0),ROUND(SUM(G$11:G59),2)-ROUND(SUM(H$11:H59),2),""),"")&lt;&gt;0,"",0)</f>
        <v/>
      </c>
      <c r="L59" s="7">
        <f t="shared" ca="1" si="2"/>
        <v>0</v>
      </c>
      <c r="M59" s="7">
        <f ca="1">IFERROR(IF(AND(INDIRECT(ADDRESS(ROW(),4,,,))&lt;=COPIA!$DA$1,K59=0,COPIA!$BF$1&gt;1,ROW()-10&lt;COPIA!$BF$1-1),MAX($M$10:M58)+1,IF(AND(INDIRECT(ADDRESS(ROW(),4,,,))&lt;=COPIA!$DA$1,K59=0,COPIA!$BF$1=1),MAX($M$10:M58)+1,0)),0)</f>
        <v>0</v>
      </c>
      <c r="N59" s="7">
        <f ca="1">IF(AND(COPIA!$BF$1=1,M59&lt;&gt;0),ROW()-10,IF(AND(COPIA!$BF$1&gt;1,ROW()-10&gt;COPIA!$BF$1,M59&lt;&gt;0),0,IF(AND(COPIA!$BF$1&gt;1,ROW()-10&lt;=COPIA!$BF$1,M59&lt;&gt;0),ROW()-10,0)))</f>
        <v>0</v>
      </c>
      <c r="O59" s="7">
        <f ca="1">IF(AND($O$1=0,ROW()-10&lt;=$O$2),MAX($O$10:O58)+1,IF(AND(ROW()-10&gt;$O$2,ROW()-10&lt;=$O$1),ROW()-10,0))</f>
        <v>0</v>
      </c>
      <c r="P59" s="7">
        <f ca="1">IF(O59&gt;0,MAX($P$10:P58)+1,0)</f>
        <v>0</v>
      </c>
    </row>
    <row r="60" spans="2:16" ht="24" customHeight="1" x14ac:dyDescent="0.3">
      <c r="B60" s="22" t="str">
        <f t="shared" ca="1" si="3"/>
        <v/>
      </c>
      <c r="C60" s="16" t="str">
        <f t="shared" ca="1" si="1"/>
        <v/>
      </c>
      <c r="D60" s="23"/>
      <c r="E60" s="24"/>
      <c r="F60" s="24"/>
      <c r="G60" s="25"/>
      <c r="H60" s="26"/>
      <c r="I60" s="177"/>
      <c r="J60" s="151"/>
      <c r="K60" s="167" t="str">
        <f ca="1">IF(IF(COPIA!$R$1=TRUE,IF(OR(G60&lt;&gt;0,H60&lt;&gt;0),ROUND(SUM(G$11:G60),2)-ROUND(SUM(H$11:H60),2),""),"")&lt;&gt;0,"",0)</f>
        <v/>
      </c>
      <c r="L60" s="7">
        <f t="shared" ca="1" si="2"/>
        <v>0</v>
      </c>
      <c r="M60" s="7">
        <f ca="1">IFERROR(IF(AND(INDIRECT(ADDRESS(ROW(),4,,,))&lt;=COPIA!$DA$1,K60=0,COPIA!$BF$1&gt;1,ROW()-10&lt;COPIA!$BF$1-1),MAX($M$10:M59)+1,IF(AND(INDIRECT(ADDRESS(ROW(),4,,,))&lt;=COPIA!$DA$1,K60=0,COPIA!$BF$1=1),MAX($M$10:M59)+1,0)),0)</f>
        <v>0</v>
      </c>
      <c r="N60" s="7">
        <f ca="1">IF(AND(COPIA!$BF$1=1,M60&lt;&gt;0),ROW()-10,IF(AND(COPIA!$BF$1&gt;1,ROW()-10&gt;COPIA!$BF$1,M60&lt;&gt;0),0,IF(AND(COPIA!$BF$1&gt;1,ROW()-10&lt;=COPIA!$BF$1,M60&lt;&gt;0),ROW()-10,0)))</f>
        <v>0</v>
      </c>
      <c r="O60" s="7">
        <f ca="1">IF(AND($O$1=0,ROW()-10&lt;=$O$2),MAX($O$10:O59)+1,IF(AND(ROW()-10&gt;$O$2,ROW()-10&lt;=$O$1),ROW()-10,0))</f>
        <v>0</v>
      </c>
      <c r="P60" s="7">
        <f ca="1">IF(O60&gt;0,MAX($P$10:P59)+1,0)</f>
        <v>0</v>
      </c>
    </row>
    <row r="61" spans="2:16" ht="24" customHeight="1" x14ac:dyDescent="0.3">
      <c r="B61" s="22" t="str">
        <f t="shared" ca="1" si="3"/>
        <v/>
      </c>
      <c r="C61" s="16" t="str">
        <f t="shared" ca="1" si="1"/>
        <v/>
      </c>
      <c r="D61" s="23"/>
      <c r="E61" s="24"/>
      <c r="F61" s="24"/>
      <c r="G61" s="25"/>
      <c r="H61" s="26"/>
      <c r="I61" s="177"/>
      <c r="J61" s="151"/>
      <c r="K61" s="167" t="str">
        <f ca="1">IF(IF(COPIA!$R$1=TRUE,IF(OR(G61&lt;&gt;0,H61&lt;&gt;0),ROUND(SUM(G$11:G61),2)-ROUND(SUM(H$11:H61),2),""),"")&lt;&gt;0,"",0)</f>
        <v/>
      </c>
      <c r="L61" s="7">
        <f t="shared" ca="1" si="2"/>
        <v>0</v>
      </c>
      <c r="M61" s="7">
        <f ca="1">IFERROR(IF(AND(INDIRECT(ADDRESS(ROW(),4,,,))&lt;=COPIA!$DA$1,K61=0,COPIA!$BF$1&gt;1,ROW()-10&lt;COPIA!$BF$1-1),MAX($M$10:M60)+1,IF(AND(INDIRECT(ADDRESS(ROW(),4,,,))&lt;=COPIA!$DA$1,K61=0,COPIA!$BF$1=1),MAX($M$10:M60)+1,0)),0)</f>
        <v>0</v>
      </c>
      <c r="N61" s="7">
        <f ca="1">IF(AND(COPIA!$BF$1=1,M61&lt;&gt;0),ROW()-10,IF(AND(COPIA!$BF$1&gt;1,ROW()-10&gt;COPIA!$BF$1,M61&lt;&gt;0),0,IF(AND(COPIA!$BF$1&gt;1,ROW()-10&lt;=COPIA!$BF$1,M61&lt;&gt;0),ROW()-10,0)))</f>
        <v>0</v>
      </c>
      <c r="O61" s="7">
        <f ca="1">IF(AND($O$1=0,ROW()-10&lt;=$O$2),MAX($O$10:O60)+1,IF(AND(ROW()-10&gt;$O$2,ROW()-10&lt;=$O$1),ROW()-10,0))</f>
        <v>0</v>
      </c>
      <c r="P61" s="7">
        <f ca="1">IF(O61&gt;0,MAX($P$10:P60)+1,0)</f>
        <v>0</v>
      </c>
    </row>
    <row r="62" spans="2:16" ht="24" customHeight="1" x14ac:dyDescent="0.3">
      <c r="B62" s="22" t="str">
        <f t="shared" ca="1" si="3"/>
        <v/>
      </c>
      <c r="C62" s="16" t="str">
        <f t="shared" ca="1" si="1"/>
        <v/>
      </c>
      <c r="D62" s="23"/>
      <c r="E62" s="24"/>
      <c r="F62" s="24"/>
      <c r="G62" s="25"/>
      <c r="H62" s="26"/>
      <c r="I62" s="177"/>
      <c r="J62" s="151"/>
      <c r="K62" s="167" t="str">
        <f ca="1">IF(IF(COPIA!$R$1=TRUE,IF(OR(G62&lt;&gt;0,H62&lt;&gt;0),ROUND(SUM(G$11:G62),2)-ROUND(SUM(H$11:H62),2),""),"")&lt;&gt;0,"",0)</f>
        <v/>
      </c>
      <c r="L62" s="7">
        <f t="shared" ca="1" si="2"/>
        <v>0</v>
      </c>
      <c r="M62" s="7">
        <f ca="1">IFERROR(IF(AND(INDIRECT(ADDRESS(ROW(),4,,,))&lt;=COPIA!$DA$1,K62=0,COPIA!$BF$1&gt;1,ROW()-10&lt;COPIA!$BF$1-1),MAX($M$10:M61)+1,IF(AND(INDIRECT(ADDRESS(ROW(),4,,,))&lt;=COPIA!$DA$1,K62=0,COPIA!$BF$1=1),MAX($M$10:M61)+1,0)),0)</f>
        <v>0</v>
      </c>
      <c r="N62" s="7">
        <f ca="1">IF(AND(COPIA!$BF$1=1,M62&lt;&gt;0),ROW()-10,IF(AND(COPIA!$BF$1&gt;1,ROW()-10&gt;COPIA!$BF$1,M62&lt;&gt;0),0,IF(AND(COPIA!$BF$1&gt;1,ROW()-10&lt;=COPIA!$BF$1,M62&lt;&gt;0),ROW()-10,0)))</f>
        <v>0</v>
      </c>
      <c r="O62" s="7">
        <f ca="1">IF(AND($O$1=0,ROW()-10&lt;=$O$2),MAX($O$10:O61)+1,IF(AND(ROW()-10&gt;$O$2,ROW()-10&lt;=$O$1),ROW()-10,0))</f>
        <v>0</v>
      </c>
      <c r="P62" s="7">
        <f ca="1">IF(O62&gt;0,MAX($P$10:P61)+1,0)</f>
        <v>0</v>
      </c>
    </row>
    <row r="63" spans="2:16" ht="24" customHeight="1" x14ac:dyDescent="0.3">
      <c r="B63" s="22" t="str">
        <f t="shared" ca="1" si="3"/>
        <v/>
      </c>
      <c r="C63" s="16" t="str">
        <f t="shared" ca="1" si="1"/>
        <v/>
      </c>
      <c r="D63" s="23"/>
      <c r="E63" s="24"/>
      <c r="F63" s="24"/>
      <c r="G63" s="25"/>
      <c r="H63" s="26"/>
      <c r="I63" s="177"/>
      <c r="J63" s="151"/>
      <c r="K63" s="167" t="str">
        <f ca="1">IF(IF(COPIA!$R$1=TRUE,IF(OR(G63&lt;&gt;0,H63&lt;&gt;0),ROUND(SUM(G$11:G63),2)-ROUND(SUM(H$11:H63),2),""),"")&lt;&gt;0,"",0)</f>
        <v/>
      </c>
      <c r="L63" s="7">
        <f t="shared" ca="1" si="2"/>
        <v>0</v>
      </c>
      <c r="M63" s="7">
        <f ca="1">IFERROR(IF(AND(INDIRECT(ADDRESS(ROW(),4,,,))&lt;=COPIA!$DA$1,K63=0,COPIA!$BF$1&gt;1,ROW()-10&lt;COPIA!$BF$1-1),MAX($M$10:M62)+1,IF(AND(INDIRECT(ADDRESS(ROW(),4,,,))&lt;=COPIA!$DA$1,K63=0,COPIA!$BF$1=1),MAX($M$10:M62)+1,0)),0)</f>
        <v>0</v>
      </c>
      <c r="N63" s="7">
        <f ca="1">IF(AND(COPIA!$BF$1=1,M63&lt;&gt;0),ROW()-10,IF(AND(COPIA!$BF$1&gt;1,ROW()-10&gt;COPIA!$BF$1,M63&lt;&gt;0),0,IF(AND(COPIA!$BF$1&gt;1,ROW()-10&lt;=COPIA!$BF$1,M63&lt;&gt;0),ROW()-10,0)))</f>
        <v>0</v>
      </c>
      <c r="O63" s="7">
        <f ca="1">IF(AND($O$1=0,ROW()-10&lt;=$O$2),MAX($O$10:O62)+1,IF(AND(ROW()-10&gt;$O$2,ROW()-10&lt;=$O$1),ROW()-10,0))</f>
        <v>0</v>
      </c>
      <c r="P63" s="7">
        <f ca="1">IF(O63&gt;0,MAX($P$10:P62)+1,0)</f>
        <v>0</v>
      </c>
    </row>
    <row r="64" spans="2:16" ht="24" customHeight="1" x14ac:dyDescent="0.3">
      <c r="B64" s="22" t="str">
        <f t="shared" ca="1" si="3"/>
        <v/>
      </c>
      <c r="C64" s="16" t="str">
        <f t="shared" ca="1" si="1"/>
        <v/>
      </c>
      <c r="D64" s="23"/>
      <c r="E64" s="24"/>
      <c r="F64" s="24"/>
      <c r="G64" s="25"/>
      <c r="H64" s="26"/>
      <c r="I64" s="177"/>
      <c r="J64" s="151"/>
      <c r="K64" s="167" t="str">
        <f ca="1">IF(IF(COPIA!$R$1=TRUE,IF(OR(G64&lt;&gt;0,H64&lt;&gt;0),ROUND(SUM(G$11:G64),2)-ROUND(SUM(H$11:H64),2),""),"")&lt;&gt;0,"",0)</f>
        <v/>
      </c>
      <c r="L64" s="7">
        <f t="shared" ca="1" si="2"/>
        <v>0</v>
      </c>
      <c r="M64" s="7">
        <f ca="1">IFERROR(IF(AND(INDIRECT(ADDRESS(ROW(),4,,,))&lt;=COPIA!$DA$1,K64=0,COPIA!$BF$1&gt;1,ROW()-10&lt;COPIA!$BF$1-1),MAX($M$10:M63)+1,IF(AND(INDIRECT(ADDRESS(ROW(),4,,,))&lt;=COPIA!$DA$1,K64=0,COPIA!$BF$1=1),MAX($M$10:M63)+1,0)),0)</f>
        <v>0</v>
      </c>
      <c r="N64" s="7">
        <f ca="1">IF(AND(COPIA!$BF$1=1,M64&lt;&gt;0),ROW()-10,IF(AND(COPIA!$BF$1&gt;1,ROW()-10&gt;COPIA!$BF$1,M64&lt;&gt;0),0,IF(AND(COPIA!$BF$1&gt;1,ROW()-10&lt;=COPIA!$BF$1,M64&lt;&gt;0),ROW()-10,0)))</f>
        <v>0</v>
      </c>
      <c r="O64" s="7">
        <f ca="1">IF(AND($O$1=0,ROW()-10&lt;=$O$2),MAX($O$10:O63)+1,IF(AND(ROW()-10&gt;$O$2,ROW()-10&lt;=$O$1),ROW()-10,0))</f>
        <v>0</v>
      </c>
      <c r="P64" s="7">
        <f ca="1">IF(O64&gt;0,MAX($P$10:P63)+1,0)</f>
        <v>0</v>
      </c>
    </row>
    <row r="65" spans="2:16" ht="24" customHeight="1" x14ac:dyDescent="0.3">
      <c r="B65" s="22" t="str">
        <f t="shared" ca="1" si="3"/>
        <v/>
      </c>
      <c r="C65" s="16" t="str">
        <f t="shared" ca="1" si="1"/>
        <v/>
      </c>
      <c r="D65" s="23"/>
      <c r="E65" s="24"/>
      <c r="F65" s="24"/>
      <c r="G65" s="25"/>
      <c r="H65" s="26"/>
      <c r="I65" s="177"/>
      <c r="J65" s="151"/>
      <c r="K65" s="167" t="str">
        <f ca="1">IF(IF(COPIA!$R$1=TRUE,IF(OR(G65&lt;&gt;0,H65&lt;&gt;0),ROUND(SUM(G$11:G65),2)-ROUND(SUM(H$11:H65),2),""),"")&lt;&gt;0,"",0)</f>
        <v/>
      </c>
      <c r="L65" s="7">
        <f t="shared" ca="1" si="2"/>
        <v>0</v>
      </c>
      <c r="M65" s="7">
        <f ca="1">IFERROR(IF(AND(INDIRECT(ADDRESS(ROW(),4,,,))&lt;=COPIA!$DA$1,K65=0,COPIA!$BF$1&gt;1,ROW()-10&lt;COPIA!$BF$1-1),MAX($M$10:M64)+1,IF(AND(INDIRECT(ADDRESS(ROW(),4,,,))&lt;=COPIA!$DA$1,K65=0,COPIA!$BF$1=1),MAX($M$10:M64)+1,0)),0)</f>
        <v>0</v>
      </c>
      <c r="N65" s="7">
        <f ca="1">IF(AND(COPIA!$BF$1=1,M65&lt;&gt;0),ROW()-10,IF(AND(COPIA!$BF$1&gt;1,ROW()-10&gt;COPIA!$BF$1,M65&lt;&gt;0),0,IF(AND(COPIA!$BF$1&gt;1,ROW()-10&lt;=COPIA!$BF$1,M65&lt;&gt;0),ROW()-10,0)))</f>
        <v>0</v>
      </c>
      <c r="O65" s="7">
        <f ca="1">IF(AND($O$1=0,ROW()-10&lt;=$O$2),MAX($O$10:O64)+1,IF(AND(ROW()-10&gt;$O$2,ROW()-10&lt;=$O$1),ROW()-10,0))</f>
        <v>0</v>
      </c>
      <c r="P65" s="7">
        <f ca="1">IF(O65&gt;0,MAX($P$10:P64)+1,0)</f>
        <v>0</v>
      </c>
    </row>
    <row r="66" spans="2:16" ht="24" customHeight="1" x14ac:dyDescent="0.3">
      <c r="B66" s="22" t="str">
        <f t="shared" ca="1" si="3"/>
        <v/>
      </c>
      <c r="C66" s="16" t="str">
        <f t="shared" ca="1" si="1"/>
        <v/>
      </c>
      <c r="D66" s="23"/>
      <c r="E66" s="24"/>
      <c r="F66" s="24"/>
      <c r="G66" s="25"/>
      <c r="H66" s="26"/>
      <c r="I66" s="177"/>
      <c r="J66" s="151"/>
      <c r="K66" s="167" t="str">
        <f ca="1">IF(IF(COPIA!$R$1=TRUE,IF(OR(G66&lt;&gt;0,H66&lt;&gt;0),ROUND(SUM(G$11:G66),2)-ROUND(SUM(H$11:H66),2),""),"")&lt;&gt;0,"",0)</f>
        <v/>
      </c>
      <c r="L66" s="7">
        <f t="shared" ca="1" si="2"/>
        <v>0</v>
      </c>
      <c r="M66" s="7">
        <f ca="1">IFERROR(IF(AND(INDIRECT(ADDRESS(ROW(),4,,,))&lt;=COPIA!$DA$1,K66=0,COPIA!$BF$1&gt;1,ROW()-10&lt;COPIA!$BF$1-1),MAX($M$10:M65)+1,IF(AND(INDIRECT(ADDRESS(ROW(),4,,,))&lt;=COPIA!$DA$1,K66=0,COPIA!$BF$1=1),MAX($M$10:M65)+1,0)),0)</f>
        <v>0</v>
      </c>
      <c r="N66" s="7">
        <f ca="1">IF(AND(COPIA!$BF$1=1,M66&lt;&gt;0),ROW()-10,IF(AND(COPIA!$BF$1&gt;1,ROW()-10&gt;COPIA!$BF$1,M66&lt;&gt;0),0,IF(AND(COPIA!$BF$1&gt;1,ROW()-10&lt;=COPIA!$BF$1,M66&lt;&gt;0),ROW()-10,0)))</f>
        <v>0</v>
      </c>
      <c r="O66" s="7">
        <f ca="1">IF(AND($O$1=0,ROW()-10&lt;=$O$2),MAX($O$10:O65)+1,IF(AND(ROW()-10&gt;$O$2,ROW()-10&lt;=$O$1),ROW()-10,0))</f>
        <v>0</v>
      </c>
      <c r="P66" s="7">
        <f ca="1">IF(O66&gt;0,MAX($P$10:P65)+1,0)</f>
        <v>0</v>
      </c>
    </row>
    <row r="67" spans="2:16" ht="24" customHeight="1" x14ac:dyDescent="0.3">
      <c r="B67" s="22" t="str">
        <f t="shared" ca="1" si="3"/>
        <v/>
      </c>
      <c r="C67" s="16" t="str">
        <f t="shared" ca="1" si="1"/>
        <v/>
      </c>
      <c r="D67" s="23"/>
      <c r="E67" s="24"/>
      <c r="F67" s="24"/>
      <c r="G67" s="25"/>
      <c r="H67" s="26"/>
      <c r="I67" s="177"/>
      <c r="J67" s="151"/>
      <c r="K67" s="167" t="str">
        <f ca="1">IF(IF(COPIA!$R$1=TRUE,IF(OR(G67&lt;&gt;0,H67&lt;&gt;0),ROUND(SUM(G$11:G67),2)-ROUND(SUM(H$11:H67),2),""),"")&lt;&gt;0,"",0)</f>
        <v/>
      </c>
      <c r="L67" s="7">
        <f t="shared" ca="1" si="2"/>
        <v>0</v>
      </c>
      <c r="M67" s="7">
        <f ca="1">IFERROR(IF(AND(INDIRECT(ADDRESS(ROW(),4,,,))&lt;=COPIA!$DA$1,K67=0,COPIA!$BF$1&gt;1,ROW()-10&lt;COPIA!$BF$1-1),MAX($M$10:M66)+1,IF(AND(INDIRECT(ADDRESS(ROW(),4,,,))&lt;=COPIA!$DA$1,K67=0,COPIA!$BF$1=1),MAX($M$10:M66)+1,0)),0)</f>
        <v>0</v>
      </c>
      <c r="N67" s="7">
        <f ca="1">IF(AND(COPIA!$BF$1=1,M67&lt;&gt;0),ROW()-10,IF(AND(COPIA!$BF$1&gt;1,ROW()-10&gt;COPIA!$BF$1,M67&lt;&gt;0),0,IF(AND(COPIA!$BF$1&gt;1,ROW()-10&lt;=COPIA!$BF$1,M67&lt;&gt;0),ROW()-10,0)))</f>
        <v>0</v>
      </c>
      <c r="O67" s="7">
        <f ca="1">IF(AND($O$1=0,ROW()-10&lt;=$O$2),MAX($O$10:O66)+1,IF(AND(ROW()-10&gt;$O$2,ROW()-10&lt;=$O$1),ROW()-10,0))</f>
        <v>0</v>
      </c>
      <c r="P67" s="7">
        <f ca="1">IF(O67&gt;0,MAX($P$10:P66)+1,0)</f>
        <v>0</v>
      </c>
    </row>
    <row r="68" spans="2:16" ht="24" customHeight="1" x14ac:dyDescent="0.3">
      <c r="B68" s="22" t="str">
        <f t="shared" ca="1" si="3"/>
        <v/>
      </c>
      <c r="C68" s="16" t="str">
        <f t="shared" ca="1" si="1"/>
        <v/>
      </c>
      <c r="D68" s="23"/>
      <c r="E68" s="24"/>
      <c r="F68" s="24"/>
      <c r="G68" s="25"/>
      <c r="H68" s="26"/>
      <c r="I68" s="177"/>
      <c r="J68" s="151"/>
      <c r="K68" s="167" t="str">
        <f ca="1">IF(IF(COPIA!$R$1=TRUE,IF(OR(G68&lt;&gt;0,H68&lt;&gt;0),ROUND(SUM(G$11:G68),2)-ROUND(SUM(H$11:H68),2),""),"")&lt;&gt;0,"",0)</f>
        <v/>
      </c>
      <c r="L68" s="7">
        <f t="shared" ca="1" si="2"/>
        <v>0</v>
      </c>
      <c r="M68" s="7">
        <f ca="1">IFERROR(IF(AND(INDIRECT(ADDRESS(ROW(),4,,,))&lt;=COPIA!$DA$1,K68=0,COPIA!$BF$1&gt;1,ROW()-10&lt;COPIA!$BF$1-1),MAX($M$10:M67)+1,IF(AND(INDIRECT(ADDRESS(ROW(),4,,,))&lt;=COPIA!$DA$1,K68=0,COPIA!$BF$1=1),MAX($M$10:M67)+1,0)),0)</f>
        <v>0</v>
      </c>
      <c r="N68" s="7">
        <f ca="1">IF(AND(COPIA!$BF$1=1,M68&lt;&gt;0),ROW()-10,IF(AND(COPIA!$BF$1&gt;1,ROW()-10&gt;COPIA!$BF$1,M68&lt;&gt;0),0,IF(AND(COPIA!$BF$1&gt;1,ROW()-10&lt;=COPIA!$BF$1,M68&lt;&gt;0),ROW()-10,0)))</f>
        <v>0</v>
      </c>
      <c r="O68" s="7">
        <f ca="1">IF(AND($O$1=0,ROW()-10&lt;=$O$2),MAX($O$10:O67)+1,IF(AND(ROW()-10&gt;$O$2,ROW()-10&lt;=$O$1),ROW()-10,0))</f>
        <v>0</v>
      </c>
      <c r="P68" s="7">
        <f ca="1">IF(O68&gt;0,MAX($P$10:P67)+1,0)</f>
        <v>0</v>
      </c>
    </row>
    <row r="69" spans="2:16" ht="24" customHeight="1" x14ac:dyDescent="0.3">
      <c r="B69" s="22" t="str">
        <f t="shared" ca="1" si="3"/>
        <v/>
      </c>
      <c r="C69" s="16" t="str">
        <f t="shared" ca="1" si="1"/>
        <v/>
      </c>
      <c r="D69" s="23"/>
      <c r="E69" s="24"/>
      <c r="F69" s="24"/>
      <c r="G69" s="25"/>
      <c r="H69" s="26"/>
      <c r="I69" s="177"/>
      <c r="J69" s="151"/>
      <c r="K69" s="167" t="str">
        <f ca="1">IF(IF(COPIA!$R$1=TRUE,IF(OR(G69&lt;&gt;0,H69&lt;&gt;0),ROUND(SUM(G$11:G69),2)-ROUND(SUM(H$11:H69),2),""),"")&lt;&gt;0,"",0)</f>
        <v/>
      </c>
      <c r="L69" s="7">
        <f t="shared" ca="1" si="2"/>
        <v>0</v>
      </c>
      <c r="M69" s="7">
        <f ca="1">IFERROR(IF(AND(INDIRECT(ADDRESS(ROW(),4,,,))&lt;=COPIA!$DA$1,K69=0,COPIA!$BF$1&gt;1,ROW()-10&lt;COPIA!$BF$1-1),MAX($M$10:M68)+1,IF(AND(INDIRECT(ADDRESS(ROW(),4,,,))&lt;=COPIA!$DA$1,K69=0,COPIA!$BF$1=1),MAX($M$10:M68)+1,0)),0)</f>
        <v>0</v>
      </c>
      <c r="N69" s="7">
        <f ca="1">IF(AND(COPIA!$BF$1=1,M69&lt;&gt;0),ROW()-10,IF(AND(COPIA!$BF$1&gt;1,ROW()-10&gt;COPIA!$BF$1,M69&lt;&gt;0),0,IF(AND(COPIA!$BF$1&gt;1,ROW()-10&lt;=COPIA!$BF$1,M69&lt;&gt;0),ROW()-10,0)))</f>
        <v>0</v>
      </c>
      <c r="O69" s="7">
        <f ca="1">IF(AND($O$1=0,ROW()-10&lt;=$O$2),MAX($O$10:O68)+1,IF(AND(ROW()-10&gt;$O$2,ROW()-10&lt;=$O$1),ROW()-10,0))</f>
        <v>0</v>
      </c>
      <c r="P69" s="7">
        <f ca="1">IF(O69&gt;0,MAX($P$10:P68)+1,0)</f>
        <v>0</v>
      </c>
    </row>
    <row r="70" spans="2:16" ht="24" customHeight="1" x14ac:dyDescent="0.3">
      <c r="B70" s="22" t="str">
        <f t="shared" ca="1" si="3"/>
        <v/>
      </c>
      <c r="C70" s="16" t="str">
        <f t="shared" ca="1" si="1"/>
        <v/>
      </c>
      <c r="D70" s="23"/>
      <c r="E70" s="24"/>
      <c r="F70" s="24"/>
      <c r="G70" s="25"/>
      <c r="H70" s="26"/>
      <c r="I70" s="177"/>
      <c r="J70" s="151"/>
      <c r="K70" s="167" t="str">
        <f ca="1">IF(IF(COPIA!$R$1=TRUE,IF(OR(G70&lt;&gt;0,H70&lt;&gt;0),ROUND(SUM(G$11:G70),2)-ROUND(SUM(H$11:H70),2),""),"")&lt;&gt;0,"",0)</f>
        <v/>
      </c>
      <c r="L70" s="7">
        <f t="shared" ca="1" si="2"/>
        <v>0</v>
      </c>
      <c r="M70" s="7">
        <f ca="1">IFERROR(IF(AND(INDIRECT(ADDRESS(ROW(),4,,,))&lt;=COPIA!$DA$1,K70=0,COPIA!$BF$1&gt;1,ROW()-10&lt;COPIA!$BF$1-1),MAX($M$10:M69)+1,IF(AND(INDIRECT(ADDRESS(ROW(),4,,,))&lt;=COPIA!$DA$1,K70=0,COPIA!$BF$1=1),MAX($M$10:M69)+1,0)),0)</f>
        <v>0</v>
      </c>
      <c r="N70" s="7">
        <f ca="1">IF(AND(COPIA!$BF$1=1,M70&lt;&gt;0),ROW()-10,IF(AND(COPIA!$BF$1&gt;1,ROW()-10&gt;COPIA!$BF$1,M70&lt;&gt;0),0,IF(AND(COPIA!$BF$1&gt;1,ROW()-10&lt;=COPIA!$BF$1,M70&lt;&gt;0),ROW()-10,0)))</f>
        <v>0</v>
      </c>
      <c r="O70" s="7">
        <f ca="1">IF(AND($O$1=0,ROW()-10&lt;=$O$2),MAX($O$10:O69)+1,IF(AND(ROW()-10&gt;$O$2,ROW()-10&lt;=$O$1),ROW()-10,0))</f>
        <v>0</v>
      </c>
      <c r="P70" s="7">
        <f ca="1">IF(O70&gt;0,MAX($P$10:P69)+1,0)</f>
        <v>0</v>
      </c>
    </row>
    <row r="71" spans="2:16" ht="24" customHeight="1" x14ac:dyDescent="0.3">
      <c r="B71" s="22" t="str">
        <f t="shared" ca="1" si="3"/>
        <v/>
      </c>
      <c r="C71" s="16" t="str">
        <f t="shared" ca="1" si="1"/>
        <v/>
      </c>
      <c r="D71" s="23"/>
      <c r="E71" s="24"/>
      <c r="F71" s="24"/>
      <c r="G71" s="25"/>
      <c r="H71" s="26"/>
      <c r="I71" s="177"/>
      <c r="J71" s="151"/>
      <c r="K71" s="167" t="str">
        <f ca="1">IF(IF(COPIA!$R$1=TRUE,IF(OR(G71&lt;&gt;0,H71&lt;&gt;0),ROUND(SUM(G$11:G71),2)-ROUND(SUM(H$11:H71),2),""),"")&lt;&gt;0,"",0)</f>
        <v/>
      </c>
      <c r="L71" s="7">
        <f t="shared" ca="1" si="2"/>
        <v>0</v>
      </c>
      <c r="M71" s="7">
        <f ca="1">IFERROR(IF(AND(INDIRECT(ADDRESS(ROW(),4,,,))&lt;=COPIA!$DA$1,K71=0,COPIA!$BF$1&gt;1,ROW()-10&lt;COPIA!$BF$1-1),MAX($M$10:M70)+1,IF(AND(INDIRECT(ADDRESS(ROW(),4,,,))&lt;=COPIA!$DA$1,K71=0,COPIA!$BF$1=1),MAX($M$10:M70)+1,0)),0)</f>
        <v>0</v>
      </c>
      <c r="N71" s="7">
        <f ca="1">IF(AND(COPIA!$BF$1=1,M71&lt;&gt;0),ROW()-10,IF(AND(COPIA!$BF$1&gt;1,ROW()-10&gt;COPIA!$BF$1,M71&lt;&gt;0),0,IF(AND(COPIA!$BF$1&gt;1,ROW()-10&lt;=COPIA!$BF$1,M71&lt;&gt;0),ROW()-10,0)))</f>
        <v>0</v>
      </c>
      <c r="O71" s="7">
        <f ca="1">IF(AND($O$1=0,ROW()-10&lt;=$O$2),MAX($O$10:O70)+1,IF(AND(ROW()-10&gt;$O$2,ROW()-10&lt;=$O$1),ROW()-10,0))</f>
        <v>0</v>
      </c>
      <c r="P71" s="7">
        <f ca="1">IF(O71&gt;0,MAX($P$10:P70)+1,0)</f>
        <v>0</v>
      </c>
    </row>
    <row r="72" spans="2:16" ht="24" customHeight="1" x14ac:dyDescent="0.3">
      <c r="B72" s="22" t="str">
        <f t="shared" ca="1" si="3"/>
        <v/>
      </c>
      <c r="C72" s="16" t="str">
        <f t="shared" ca="1" si="1"/>
        <v/>
      </c>
      <c r="D72" s="23"/>
      <c r="E72" s="24"/>
      <c r="F72" s="24"/>
      <c r="G72" s="25"/>
      <c r="H72" s="26"/>
      <c r="I72" s="177"/>
      <c r="J72" s="151"/>
      <c r="K72" s="167" t="str">
        <f ca="1">IF(IF(COPIA!$R$1=TRUE,IF(OR(G72&lt;&gt;0,H72&lt;&gt;0),ROUND(SUM(G$11:G72),2)-ROUND(SUM(H$11:H72),2),""),"")&lt;&gt;0,"",0)</f>
        <v/>
      </c>
      <c r="L72" s="7">
        <f t="shared" ca="1" si="2"/>
        <v>0</v>
      </c>
      <c r="M72" s="7">
        <f ca="1">IFERROR(IF(AND(INDIRECT(ADDRESS(ROW(),4,,,))&lt;=COPIA!$DA$1,K72=0,COPIA!$BF$1&gt;1,ROW()-10&lt;COPIA!$BF$1-1),MAX($M$10:M71)+1,IF(AND(INDIRECT(ADDRESS(ROW(),4,,,))&lt;=COPIA!$DA$1,K72=0,COPIA!$BF$1=1),MAX($M$10:M71)+1,0)),0)</f>
        <v>0</v>
      </c>
      <c r="N72" s="7">
        <f ca="1">IF(AND(COPIA!$BF$1=1,M72&lt;&gt;0),ROW()-10,IF(AND(COPIA!$BF$1&gt;1,ROW()-10&gt;COPIA!$BF$1,M72&lt;&gt;0),0,IF(AND(COPIA!$BF$1&gt;1,ROW()-10&lt;=COPIA!$BF$1,M72&lt;&gt;0),ROW()-10,0)))</f>
        <v>0</v>
      </c>
      <c r="O72" s="7">
        <f ca="1">IF(AND($O$1=0,ROW()-10&lt;=$O$2),MAX($O$10:O71)+1,IF(AND(ROW()-10&gt;$O$2,ROW()-10&lt;=$O$1),ROW()-10,0))</f>
        <v>0</v>
      </c>
      <c r="P72" s="7">
        <f ca="1">IF(O72&gt;0,MAX($P$10:P71)+1,0)</f>
        <v>0</v>
      </c>
    </row>
    <row r="73" spans="2:16" ht="24" customHeight="1" x14ac:dyDescent="0.3">
      <c r="B73" s="22" t="str">
        <f t="shared" ca="1" si="3"/>
        <v/>
      </c>
      <c r="C73" s="16" t="str">
        <f t="shared" ca="1" si="1"/>
        <v/>
      </c>
      <c r="D73" s="23"/>
      <c r="E73" s="24"/>
      <c r="F73" s="24"/>
      <c r="G73" s="25"/>
      <c r="H73" s="26"/>
      <c r="I73" s="177"/>
      <c r="J73" s="151"/>
      <c r="K73" s="167" t="str">
        <f ca="1">IF(IF(COPIA!$R$1=TRUE,IF(OR(G73&lt;&gt;0,H73&lt;&gt;0),ROUND(SUM(G$11:G73),2)-ROUND(SUM(H$11:H73),2),""),"")&lt;&gt;0,"",0)</f>
        <v/>
      </c>
      <c r="L73" s="7">
        <f t="shared" ca="1" si="2"/>
        <v>0</v>
      </c>
      <c r="M73" s="7">
        <f ca="1">IFERROR(IF(AND(INDIRECT(ADDRESS(ROW(),4,,,))&lt;=COPIA!$DA$1,K73=0,COPIA!$BF$1&gt;1,ROW()-10&lt;COPIA!$BF$1-1),MAX($M$10:M72)+1,IF(AND(INDIRECT(ADDRESS(ROW(),4,,,))&lt;=COPIA!$DA$1,K73=0,COPIA!$BF$1=1),MAX($M$10:M72)+1,0)),0)</f>
        <v>0</v>
      </c>
      <c r="N73" s="7">
        <f ca="1">IF(AND(COPIA!$BF$1=1,M73&lt;&gt;0),ROW()-10,IF(AND(COPIA!$BF$1&gt;1,ROW()-10&gt;COPIA!$BF$1,M73&lt;&gt;0),0,IF(AND(COPIA!$BF$1&gt;1,ROW()-10&lt;=COPIA!$BF$1,M73&lt;&gt;0),ROW()-10,0)))</f>
        <v>0</v>
      </c>
      <c r="O73" s="7">
        <f ca="1">IF(AND($O$1=0,ROW()-10&lt;=$O$2),MAX($O$10:O72)+1,IF(AND(ROW()-10&gt;$O$2,ROW()-10&lt;=$O$1),ROW()-10,0))</f>
        <v>0</v>
      </c>
      <c r="P73" s="7">
        <f ca="1">IF(O73&gt;0,MAX($P$10:P72)+1,0)</f>
        <v>0</v>
      </c>
    </row>
    <row r="74" spans="2:16" ht="24" customHeight="1" x14ac:dyDescent="0.3">
      <c r="B74" s="22" t="str">
        <f t="shared" ca="1" si="3"/>
        <v/>
      </c>
      <c r="C74" s="16" t="str">
        <f t="shared" ca="1" si="1"/>
        <v/>
      </c>
      <c r="D74" s="23"/>
      <c r="E74" s="24"/>
      <c r="F74" s="24"/>
      <c r="G74" s="25"/>
      <c r="H74" s="26"/>
      <c r="I74" s="177"/>
      <c r="J74" s="151"/>
      <c r="K74" s="167" t="str">
        <f ca="1">IF(IF(COPIA!$R$1=TRUE,IF(OR(G74&lt;&gt;0,H74&lt;&gt;0),ROUND(SUM(G$11:G74),2)-ROUND(SUM(H$11:H74),2),""),"")&lt;&gt;0,"",0)</f>
        <v/>
      </c>
      <c r="L74" s="7">
        <f t="shared" ca="1" si="2"/>
        <v>0</v>
      </c>
      <c r="M74" s="7">
        <f ca="1">IFERROR(IF(AND(INDIRECT(ADDRESS(ROW(),4,,,))&lt;=COPIA!$DA$1,K74=0,COPIA!$BF$1&gt;1,ROW()-10&lt;COPIA!$BF$1-1),MAX($M$10:M73)+1,IF(AND(INDIRECT(ADDRESS(ROW(),4,,,))&lt;=COPIA!$DA$1,K74=0,COPIA!$BF$1=1),MAX($M$10:M73)+1,0)),0)</f>
        <v>0</v>
      </c>
      <c r="N74" s="7">
        <f ca="1">IF(AND(COPIA!$BF$1=1,M74&lt;&gt;0),ROW()-10,IF(AND(COPIA!$BF$1&gt;1,ROW()-10&gt;COPIA!$BF$1,M74&lt;&gt;0),0,IF(AND(COPIA!$BF$1&gt;1,ROW()-10&lt;=COPIA!$BF$1,M74&lt;&gt;0),ROW()-10,0)))</f>
        <v>0</v>
      </c>
      <c r="O74" s="7">
        <f ca="1">IF(AND($O$1=0,ROW()-10&lt;=$O$2),MAX($O$10:O73)+1,IF(AND(ROW()-10&gt;$O$2,ROW()-10&lt;=$O$1),ROW()-10,0))</f>
        <v>0</v>
      </c>
      <c r="P74" s="7">
        <f ca="1">IF(O74&gt;0,MAX($P$10:P73)+1,0)</f>
        <v>0</v>
      </c>
    </row>
    <row r="75" spans="2:16" ht="24" customHeight="1" x14ac:dyDescent="0.3">
      <c r="B75" s="22" t="str">
        <f t="shared" ref="B75:B106" ca="1" si="4">IF(INDIRECT(ADDRESS(ROW(),4,,,))="","",IFERROR(INDEX(PDC,MATCH(INDIRECT(ADDRESS(ROW(),5,,,)),DEN_PDC,0),1),0))</f>
        <v/>
      </c>
      <c r="C75" s="16" t="str">
        <f t="shared" ca="1" si="1"/>
        <v/>
      </c>
      <c r="D75" s="23"/>
      <c r="E75" s="24"/>
      <c r="F75" s="24"/>
      <c r="G75" s="25"/>
      <c r="H75" s="26"/>
      <c r="I75" s="177"/>
      <c r="J75" s="151"/>
      <c r="K75" s="167" t="str">
        <f ca="1">IF(IF(COPIA!$R$1=TRUE,IF(OR(G75&lt;&gt;0,H75&lt;&gt;0),ROUND(SUM(G$11:G75),2)-ROUND(SUM(H$11:H75),2),""),"")&lt;&gt;0,"",0)</f>
        <v/>
      </c>
      <c r="L75" s="7">
        <f t="shared" ca="1" si="2"/>
        <v>0</v>
      </c>
      <c r="M75" s="7">
        <f ca="1">IFERROR(IF(AND(INDIRECT(ADDRESS(ROW(),4,,,))&lt;=COPIA!$DA$1,K75=0,COPIA!$BF$1&gt;1,ROW()-10&lt;COPIA!$BF$1-1),MAX($M$10:M74)+1,IF(AND(INDIRECT(ADDRESS(ROW(),4,,,))&lt;=COPIA!$DA$1,K75=0,COPIA!$BF$1=1),MAX($M$10:M74)+1,0)),0)</f>
        <v>0</v>
      </c>
      <c r="N75" s="7">
        <f ca="1">IF(AND(COPIA!$BF$1=1,M75&lt;&gt;0),ROW()-10,IF(AND(COPIA!$BF$1&gt;1,ROW()-10&gt;COPIA!$BF$1,M75&lt;&gt;0),0,IF(AND(COPIA!$BF$1&gt;1,ROW()-10&lt;=COPIA!$BF$1,M75&lt;&gt;0),ROW()-10,0)))</f>
        <v>0</v>
      </c>
      <c r="O75" s="7">
        <f ca="1">IF(AND($O$1=0,ROW()-10&lt;=$O$2),MAX($O$10:O74)+1,IF(AND(ROW()-10&gt;$O$2,ROW()-10&lt;=$O$1),ROW()-10,0))</f>
        <v>0</v>
      </c>
      <c r="P75" s="7">
        <f ca="1">IF(O75&gt;0,MAX($P$10:P74)+1,0)</f>
        <v>0</v>
      </c>
    </row>
    <row r="76" spans="2:16" ht="24" customHeight="1" x14ac:dyDescent="0.3">
      <c r="B76" s="22" t="str">
        <f t="shared" ca="1" si="4"/>
        <v/>
      </c>
      <c r="C76" s="16" t="str">
        <f t="shared" ref="C76:C139" ca="1" si="5">IF(INDIRECT(ADDRESS(ROW(),5,,,))&lt;&gt;"",ROW()-10,"")</f>
        <v/>
      </c>
      <c r="D76" s="23"/>
      <c r="E76" s="24"/>
      <c r="F76" s="24"/>
      <c r="G76" s="25"/>
      <c r="H76" s="26"/>
      <c r="I76" s="177"/>
      <c r="J76" s="151"/>
      <c r="K76" s="167" t="str">
        <f ca="1">IF(IF(COPIA!$R$1=TRUE,IF(OR(G76&lt;&gt;0,H76&lt;&gt;0),ROUND(SUM(G$11:G76),2)-ROUND(SUM(H$11:H76),2),""),"")&lt;&gt;0,"",0)</f>
        <v/>
      </c>
      <c r="L76" s="7">
        <f t="shared" ref="L76:L139" ca="1" si="6">IF(INDIRECT(ADDRESS(ROW(),4,4,,))&lt;&gt;"",YEAR(INDIRECT(ADDRESS(ROW(),4,4,,))),0)</f>
        <v>0</v>
      </c>
      <c r="M76" s="7">
        <f ca="1">IFERROR(IF(AND(INDIRECT(ADDRESS(ROW(),4,,,))&lt;=COPIA!$DA$1,K76=0,COPIA!$BF$1&gt;1,ROW()-10&lt;COPIA!$BF$1-1),MAX($M$10:M75)+1,IF(AND(INDIRECT(ADDRESS(ROW(),4,,,))&lt;=COPIA!$DA$1,K76=0,COPIA!$BF$1=1),MAX($M$10:M75)+1,0)),0)</f>
        <v>0</v>
      </c>
      <c r="N76" s="7">
        <f ca="1">IF(AND(COPIA!$BF$1=1,M76&lt;&gt;0),ROW()-10,IF(AND(COPIA!$BF$1&gt;1,ROW()-10&gt;COPIA!$BF$1,M76&lt;&gt;0),0,IF(AND(COPIA!$BF$1&gt;1,ROW()-10&lt;=COPIA!$BF$1,M76&lt;&gt;0),ROW()-10,0)))</f>
        <v>0</v>
      </c>
      <c r="O76" s="7">
        <f ca="1">IF(AND($O$1=0,ROW()-10&lt;=$O$2),MAX($O$10:O75)+1,IF(AND(ROW()-10&gt;$O$2,ROW()-10&lt;=$O$1),ROW()-10,0))</f>
        <v>0</v>
      </c>
      <c r="P76" s="7">
        <f ca="1">IF(O76&gt;0,MAX($P$10:P75)+1,0)</f>
        <v>0</v>
      </c>
    </row>
    <row r="77" spans="2:16" ht="24" customHeight="1" x14ac:dyDescent="0.3">
      <c r="B77" s="22" t="str">
        <f t="shared" ca="1" si="4"/>
        <v/>
      </c>
      <c r="C77" s="16" t="str">
        <f t="shared" ca="1" si="5"/>
        <v/>
      </c>
      <c r="D77" s="23"/>
      <c r="E77" s="24"/>
      <c r="F77" s="24"/>
      <c r="G77" s="25"/>
      <c r="H77" s="26"/>
      <c r="I77" s="177"/>
      <c r="J77" s="151"/>
      <c r="K77" s="167" t="str">
        <f ca="1">IF(IF(COPIA!$R$1=TRUE,IF(OR(G77&lt;&gt;0,H77&lt;&gt;0),ROUND(SUM(G$11:G77),2)-ROUND(SUM(H$11:H77),2),""),"")&lt;&gt;0,"",0)</f>
        <v/>
      </c>
      <c r="L77" s="7">
        <f t="shared" ca="1" si="6"/>
        <v>0</v>
      </c>
      <c r="M77" s="7">
        <f ca="1">IFERROR(IF(AND(INDIRECT(ADDRESS(ROW(),4,,,))&lt;=COPIA!$DA$1,K77=0,COPIA!$BF$1&gt;1,ROW()-10&lt;COPIA!$BF$1-1),MAX($M$10:M76)+1,IF(AND(INDIRECT(ADDRESS(ROW(),4,,,))&lt;=COPIA!$DA$1,K77=0,COPIA!$BF$1=1),MAX($M$10:M76)+1,0)),0)</f>
        <v>0</v>
      </c>
      <c r="N77" s="7">
        <f ca="1">IF(AND(COPIA!$BF$1=1,M77&lt;&gt;0),ROW()-10,IF(AND(COPIA!$BF$1&gt;1,ROW()-10&gt;COPIA!$BF$1,M77&lt;&gt;0),0,IF(AND(COPIA!$BF$1&gt;1,ROW()-10&lt;=COPIA!$BF$1,M77&lt;&gt;0),ROW()-10,0)))</f>
        <v>0</v>
      </c>
      <c r="O77" s="7">
        <f ca="1">IF(AND($O$1=0,ROW()-10&lt;=$O$2),MAX($O$10:O76)+1,IF(AND(ROW()-10&gt;$O$2,ROW()-10&lt;=$O$1),ROW()-10,0))</f>
        <v>0</v>
      </c>
      <c r="P77" s="7">
        <f ca="1">IF(O77&gt;0,MAX($P$10:P76)+1,0)</f>
        <v>0</v>
      </c>
    </row>
    <row r="78" spans="2:16" ht="24" customHeight="1" x14ac:dyDescent="0.3">
      <c r="B78" s="22" t="str">
        <f t="shared" ca="1" si="4"/>
        <v/>
      </c>
      <c r="C78" s="16" t="str">
        <f t="shared" ca="1" si="5"/>
        <v/>
      </c>
      <c r="D78" s="23"/>
      <c r="E78" s="24"/>
      <c r="F78" s="24"/>
      <c r="G78" s="25"/>
      <c r="H78" s="26"/>
      <c r="I78" s="177"/>
      <c r="J78" s="151"/>
      <c r="K78" s="167" t="str">
        <f ca="1">IF(IF(COPIA!$R$1=TRUE,IF(OR(G78&lt;&gt;0,H78&lt;&gt;0),ROUND(SUM(G$11:G78),2)-ROUND(SUM(H$11:H78),2),""),"")&lt;&gt;0,"",0)</f>
        <v/>
      </c>
      <c r="L78" s="7">
        <f t="shared" ca="1" si="6"/>
        <v>0</v>
      </c>
      <c r="M78" s="7">
        <f ca="1">IFERROR(IF(AND(INDIRECT(ADDRESS(ROW(),4,,,))&lt;=COPIA!$DA$1,K78=0,COPIA!$BF$1&gt;1,ROW()-10&lt;COPIA!$BF$1-1),MAX($M$10:M77)+1,IF(AND(INDIRECT(ADDRESS(ROW(),4,,,))&lt;=COPIA!$DA$1,K78=0,COPIA!$BF$1=1),MAX($M$10:M77)+1,0)),0)</f>
        <v>0</v>
      </c>
      <c r="N78" s="7">
        <f ca="1">IF(AND(COPIA!$BF$1=1,M78&lt;&gt;0),ROW()-10,IF(AND(COPIA!$BF$1&gt;1,ROW()-10&gt;COPIA!$BF$1,M78&lt;&gt;0),0,IF(AND(COPIA!$BF$1&gt;1,ROW()-10&lt;=COPIA!$BF$1,M78&lt;&gt;0),ROW()-10,0)))</f>
        <v>0</v>
      </c>
      <c r="O78" s="7">
        <f ca="1">IF(AND($O$1=0,ROW()-10&lt;=$O$2),MAX($O$10:O77)+1,IF(AND(ROW()-10&gt;$O$2,ROW()-10&lt;=$O$1),ROW()-10,0))</f>
        <v>0</v>
      </c>
      <c r="P78" s="7">
        <f ca="1">IF(O78&gt;0,MAX($P$10:P77)+1,0)</f>
        <v>0</v>
      </c>
    </row>
    <row r="79" spans="2:16" ht="24" customHeight="1" x14ac:dyDescent="0.3">
      <c r="B79" s="22" t="str">
        <f t="shared" ca="1" si="4"/>
        <v/>
      </c>
      <c r="C79" s="16" t="str">
        <f t="shared" ca="1" si="5"/>
        <v/>
      </c>
      <c r="D79" s="23"/>
      <c r="E79" s="24"/>
      <c r="F79" s="24"/>
      <c r="G79" s="25"/>
      <c r="H79" s="26"/>
      <c r="I79" s="177"/>
      <c r="J79" s="151"/>
      <c r="K79" s="167" t="str">
        <f ca="1">IF(IF(COPIA!$R$1=TRUE,IF(OR(G79&lt;&gt;0,H79&lt;&gt;0),ROUND(SUM(G$11:G79),2)-ROUND(SUM(H$11:H79),2),""),"")&lt;&gt;0,"",0)</f>
        <v/>
      </c>
      <c r="L79" s="7">
        <f t="shared" ca="1" si="6"/>
        <v>0</v>
      </c>
      <c r="M79" s="7">
        <f ca="1">IFERROR(IF(AND(INDIRECT(ADDRESS(ROW(),4,,,))&lt;=COPIA!$DA$1,K79=0,COPIA!$BF$1&gt;1,ROW()-10&lt;COPIA!$BF$1-1),MAX($M$10:M78)+1,IF(AND(INDIRECT(ADDRESS(ROW(),4,,,))&lt;=COPIA!$DA$1,K79=0,COPIA!$BF$1=1),MAX($M$10:M78)+1,0)),0)</f>
        <v>0</v>
      </c>
      <c r="N79" s="7">
        <f ca="1">IF(AND(COPIA!$BF$1=1,M79&lt;&gt;0),ROW()-10,IF(AND(COPIA!$BF$1&gt;1,ROW()-10&gt;COPIA!$BF$1,M79&lt;&gt;0),0,IF(AND(COPIA!$BF$1&gt;1,ROW()-10&lt;=COPIA!$BF$1,M79&lt;&gt;0),ROW()-10,0)))</f>
        <v>0</v>
      </c>
      <c r="O79" s="7">
        <f ca="1">IF(AND($O$1=0,ROW()-10&lt;=$O$2),MAX($O$10:O78)+1,IF(AND(ROW()-10&gt;$O$2,ROW()-10&lt;=$O$1),ROW()-10,0))</f>
        <v>0</v>
      </c>
      <c r="P79" s="7">
        <f ca="1">IF(O79&gt;0,MAX($P$10:P78)+1,0)</f>
        <v>0</v>
      </c>
    </row>
    <row r="80" spans="2:16" ht="24" customHeight="1" x14ac:dyDescent="0.3">
      <c r="B80" s="22" t="str">
        <f t="shared" ca="1" si="4"/>
        <v/>
      </c>
      <c r="C80" s="16" t="str">
        <f t="shared" ca="1" si="5"/>
        <v/>
      </c>
      <c r="D80" s="23"/>
      <c r="E80" s="24"/>
      <c r="F80" s="24"/>
      <c r="G80" s="25"/>
      <c r="H80" s="26"/>
      <c r="I80" s="177"/>
      <c r="J80" s="151"/>
      <c r="K80" s="167" t="str">
        <f ca="1">IF(IF(COPIA!$R$1=TRUE,IF(OR(G80&lt;&gt;0,H80&lt;&gt;0),ROUND(SUM(G$11:G80),2)-ROUND(SUM(H$11:H80),2),""),"")&lt;&gt;0,"",0)</f>
        <v/>
      </c>
      <c r="L80" s="7">
        <f t="shared" ca="1" si="6"/>
        <v>0</v>
      </c>
      <c r="M80" s="7">
        <f ca="1">IFERROR(IF(AND(INDIRECT(ADDRESS(ROW(),4,,,))&lt;=COPIA!$DA$1,K80=0,COPIA!$BF$1&gt;1,ROW()-10&lt;COPIA!$BF$1-1),MAX($M$10:M79)+1,IF(AND(INDIRECT(ADDRESS(ROW(),4,,,))&lt;=COPIA!$DA$1,K80=0,COPIA!$BF$1=1),MAX($M$10:M79)+1,0)),0)</f>
        <v>0</v>
      </c>
      <c r="N80" s="7">
        <f ca="1">IF(AND(COPIA!$BF$1=1,M80&lt;&gt;0),ROW()-10,IF(AND(COPIA!$BF$1&gt;1,ROW()-10&gt;COPIA!$BF$1,M80&lt;&gt;0),0,IF(AND(COPIA!$BF$1&gt;1,ROW()-10&lt;=COPIA!$BF$1,M80&lt;&gt;0),ROW()-10,0)))</f>
        <v>0</v>
      </c>
      <c r="O80" s="7">
        <f ca="1">IF(AND($O$1=0,ROW()-10&lt;=$O$2),MAX($O$10:O79)+1,IF(AND(ROW()-10&gt;$O$2,ROW()-10&lt;=$O$1),ROW()-10,0))</f>
        <v>0</v>
      </c>
      <c r="P80" s="7">
        <f ca="1">IF(O80&gt;0,MAX($P$10:P79)+1,0)</f>
        <v>0</v>
      </c>
    </row>
    <row r="81" spans="2:16" ht="24" customHeight="1" x14ac:dyDescent="0.3">
      <c r="B81" s="22" t="str">
        <f t="shared" ca="1" si="4"/>
        <v/>
      </c>
      <c r="C81" s="16" t="str">
        <f t="shared" ca="1" si="5"/>
        <v/>
      </c>
      <c r="D81" s="23"/>
      <c r="E81" s="24"/>
      <c r="F81" s="24"/>
      <c r="G81" s="25"/>
      <c r="H81" s="26"/>
      <c r="I81" s="177"/>
      <c r="J81" s="151"/>
      <c r="K81" s="167" t="str">
        <f ca="1">IF(IF(COPIA!$R$1=TRUE,IF(OR(G81&lt;&gt;0,H81&lt;&gt;0),ROUND(SUM(G$11:G81),2)-ROUND(SUM(H$11:H81),2),""),"")&lt;&gt;0,"",0)</f>
        <v/>
      </c>
      <c r="L81" s="7">
        <f t="shared" ca="1" si="6"/>
        <v>0</v>
      </c>
      <c r="M81" s="7">
        <f ca="1">IFERROR(IF(AND(INDIRECT(ADDRESS(ROW(),4,,,))&lt;=COPIA!$DA$1,K81=0,COPIA!$BF$1&gt;1,ROW()-10&lt;COPIA!$BF$1-1),MAX($M$10:M80)+1,IF(AND(INDIRECT(ADDRESS(ROW(),4,,,))&lt;=COPIA!$DA$1,K81=0,COPIA!$BF$1=1),MAX($M$10:M80)+1,0)),0)</f>
        <v>0</v>
      </c>
      <c r="N81" s="7">
        <f ca="1">IF(AND(COPIA!$BF$1=1,M81&lt;&gt;0),ROW()-10,IF(AND(COPIA!$BF$1&gt;1,ROW()-10&gt;COPIA!$BF$1,M81&lt;&gt;0),0,IF(AND(COPIA!$BF$1&gt;1,ROW()-10&lt;=COPIA!$BF$1,M81&lt;&gt;0),ROW()-10,0)))</f>
        <v>0</v>
      </c>
      <c r="O81" s="7">
        <f ca="1">IF(AND($O$1=0,ROW()-10&lt;=$O$2),MAX($O$10:O80)+1,IF(AND(ROW()-10&gt;$O$2,ROW()-10&lt;=$O$1),ROW()-10,0))</f>
        <v>0</v>
      </c>
      <c r="P81" s="7">
        <f ca="1">IF(O81&gt;0,MAX($P$10:P80)+1,0)</f>
        <v>0</v>
      </c>
    </row>
    <row r="82" spans="2:16" ht="24" customHeight="1" x14ac:dyDescent="0.3">
      <c r="B82" s="22" t="str">
        <f t="shared" ca="1" si="4"/>
        <v/>
      </c>
      <c r="C82" s="16" t="str">
        <f t="shared" ca="1" si="5"/>
        <v/>
      </c>
      <c r="D82" s="23"/>
      <c r="E82" s="24"/>
      <c r="F82" s="24"/>
      <c r="G82" s="25"/>
      <c r="H82" s="26"/>
      <c r="I82" s="177"/>
      <c r="J82" s="151"/>
      <c r="K82" s="167" t="str">
        <f ca="1">IF(IF(COPIA!$R$1=TRUE,IF(OR(G82&lt;&gt;0,H82&lt;&gt;0),ROUND(SUM(G$11:G82),2)-ROUND(SUM(H$11:H82),2),""),"")&lt;&gt;0,"",0)</f>
        <v/>
      </c>
      <c r="L82" s="7">
        <f t="shared" ca="1" si="6"/>
        <v>0</v>
      </c>
      <c r="M82" s="7">
        <f ca="1">IFERROR(IF(AND(INDIRECT(ADDRESS(ROW(),4,,,))&lt;=COPIA!$DA$1,K82=0,COPIA!$BF$1&gt;1,ROW()-10&lt;COPIA!$BF$1-1),MAX($M$10:M81)+1,IF(AND(INDIRECT(ADDRESS(ROW(),4,,,))&lt;=COPIA!$DA$1,K82=0,COPIA!$BF$1=1),MAX($M$10:M81)+1,0)),0)</f>
        <v>0</v>
      </c>
      <c r="N82" s="7">
        <f ca="1">IF(AND(COPIA!$BF$1=1,M82&lt;&gt;0),ROW()-10,IF(AND(COPIA!$BF$1&gt;1,ROW()-10&gt;COPIA!$BF$1,M82&lt;&gt;0),0,IF(AND(COPIA!$BF$1&gt;1,ROW()-10&lt;=COPIA!$BF$1,M82&lt;&gt;0),ROW()-10,0)))</f>
        <v>0</v>
      </c>
      <c r="O82" s="7">
        <f ca="1">IF(AND($O$1=0,ROW()-10&lt;=$O$2),MAX($O$10:O81)+1,IF(AND(ROW()-10&gt;$O$2,ROW()-10&lt;=$O$1),ROW()-10,0))</f>
        <v>0</v>
      </c>
      <c r="P82" s="7">
        <f ca="1">IF(O82&gt;0,MAX($P$10:P81)+1,0)</f>
        <v>0</v>
      </c>
    </row>
    <row r="83" spans="2:16" ht="24" customHeight="1" x14ac:dyDescent="0.3">
      <c r="B83" s="22" t="str">
        <f t="shared" ca="1" si="4"/>
        <v/>
      </c>
      <c r="C83" s="16" t="str">
        <f t="shared" ca="1" si="5"/>
        <v/>
      </c>
      <c r="D83" s="23"/>
      <c r="E83" s="24"/>
      <c r="F83" s="24"/>
      <c r="G83" s="25"/>
      <c r="H83" s="26"/>
      <c r="I83" s="177"/>
      <c r="J83" s="151"/>
      <c r="K83" s="167" t="str">
        <f ca="1">IF(IF(COPIA!$R$1=TRUE,IF(OR(G83&lt;&gt;0,H83&lt;&gt;0),ROUND(SUM(G$11:G83),2)-ROUND(SUM(H$11:H83),2),""),"")&lt;&gt;0,"",0)</f>
        <v/>
      </c>
      <c r="L83" s="7">
        <f t="shared" ca="1" si="6"/>
        <v>0</v>
      </c>
      <c r="M83" s="7">
        <f ca="1">IFERROR(IF(AND(INDIRECT(ADDRESS(ROW(),4,,,))&lt;=COPIA!$DA$1,K83=0,COPIA!$BF$1&gt;1,ROW()-10&lt;COPIA!$BF$1-1),MAX($M$10:M82)+1,IF(AND(INDIRECT(ADDRESS(ROW(),4,,,))&lt;=COPIA!$DA$1,K83=0,COPIA!$BF$1=1),MAX($M$10:M82)+1,0)),0)</f>
        <v>0</v>
      </c>
      <c r="N83" s="7">
        <f ca="1">IF(AND(COPIA!$BF$1=1,M83&lt;&gt;0),ROW()-10,IF(AND(COPIA!$BF$1&gt;1,ROW()-10&gt;COPIA!$BF$1,M83&lt;&gt;0),0,IF(AND(COPIA!$BF$1&gt;1,ROW()-10&lt;=COPIA!$BF$1,M83&lt;&gt;0),ROW()-10,0)))</f>
        <v>0</v>
      </c>
      <c r="O83" s="7">
        <f ca="1">IF(AND($O$1=0,ROW()-10&lt;=$O$2),MAX($O$10:O82)+1,IF(AND(ROW()-10&gt;$O$2,ROW()-10&lt;=$O$1),ROW()-10,0))</f>
        <v>0</v>
      </c>
      <c r="P83" s="7">
        <f ca="1">IF(O83&gt;0,MAX($P$10:P82)+1,0)</f>
        <v>0</v>
      </c>
    </row>
    <row r="84" spans="2:16" ht="24" customHeight="1" x14ac:dyDescent="0.3">
      <c r="B84" s="22" t="str">
        <f t="shared" ca="1" si="4"/>
        <v/>
      </c>
      <c r="C84" s="16" t="str">
        <f t="shared" ca="1" si="5"/>
        <v/>
      </c>
      <c r="D84" s="23"/>
      <c r="E84" s="24"/>
      <c r="F84" s="24"/>
      <c r="G84" s="25"/>
      <c r="H84" s="26"/>
      <c r="I84" s="177"/>
      <c r="J84" s="151"/>
      <c r="K84" s="167" t="str">
        <f ca="1">IF(IF(COPIA!$R$1=TRUE,IF(OR(G84&lt;&gt;0,H84&lt;&gt;0),ROUND(SUM(G$11:G84),2)-ROUND(SUM(H$11:H84),2),""),"")&lt;&gt;0,"",0)</f>
        <v/>
      </c>
      <c r="L84" s="7">
        <f t="shared" ca="1" si="6"/>
        <v>0</v>
      </c>
      <c r="M84" s="7">
        <f ca="1">IFERROR(IF(AND(INDIRECT(ADDRESS(ROW(),4,,,))&lt;=COPIA!$DA$1,K84=0,COPIA!$BF$1&gt;1,ROW()-10&lt;COPIA!$BF$1-1),MAX($M$10:M83)+1,IF(AND(INDIRECT(ADDRESS(ROW(),4,,,))&lt;=COPIA!$DA$1,K84=0,COPIA!$BF$1=1),MAX($M$10:M83)+1,0)),0)</f>
        <v>0</v>
      </c>
      <c r="N84" s="7">
        <f ca="1">IF(AND(COPIA!$BF$1=1,M84&lt;&gt;0),ROW()-10,IF(AND(COPIA!$BF$1&gt;1,ROW()-10&gt;COPIA!$BF$1,M84&lt;&gt;0),0,IF(AND(COPIA!$BF$1&gt;1,ROW()-10&lt;=COPIA!$BF$1,M84&lt;&gt;0),ROW()-10,0)))</f>
        <v>0</v>
      </c>
      <c r="O84" s="7">
        <f ca="1">IF(AND($O$1=0,ROW()-10&lt;=$O$2),MAX($O$10:O83)+1,IF(AND(ROW()-10&gt;$O$2,ROW()-10&lt;=$O$1),ROW()-10,0))</f>
        <v>0</v>
      </c>
      <c r="P84" s="7">
        <f ca="1">IF(O84&gt;0,MAX($P$10:P83)+1,0)</f>
        <v>0</v>
      </c>
    </row>
    <row r="85" spans="2:16" ht="24" customHeight="1" x14ac:dyDescent="0.3">
      <c r="B85" s="22" t="str">
        <f t="shared" ca="1" si="4"/>
        <v/>
      </c>
      <c r="C85" s="16" t="str">
        <f t="shared" ca="1" si="5"/>
        <v/>
      </c>
      <c r="D85" s="23"/>
      <c r="E85" s="24"/>
      <c r="F85" s="24"/>
      <c r="G85" s="25"/>
      <c r="H85" s="26"/>
      <c r="I85" s="177"/>
      <c r="J85" s="151"/>
      <c r="K85" s="167" t="str">
        <f ca="1">IF(IF(COPIA!$R$1=TRUE,IF(OR(G85&lt;&gt;0,H85&lt;&gt;0),ROUND(SUM(G$11:G85),2)-ROUND(SUM(H$11:H85),2),""),"")&lt;&gt;0,"",0)</f>
        <v/>
      </c>
      <c r="L85" s="7">
        <f t="shared" ca="1" si="6"/>
        <v>0</v>
      </c>
      <c r="M85" s="7">
        <f ca="1">IFERROR(IF(AND(INDIRECT(ADDRESS(ROW(),4,,,))&lt;=COPIA!$DA$1,K85=0,COPIA!$BF$1&gt;1,ROW()-10&lt;COPIA!$BF$1-1),MAX($M$10:M84)+1,IF(AND(INDIRECT(ADDRESS(ROW(),4,,,))&lt;=COPIA!$DA$1,K85=0,COPIA!$BF$1=1),MAX($M$10:M84)+1,0)),0)</f>
        <v>0</v>
      </c>
      <c r="N85" s="7">
        <f ca="1">IF(AND(COPIA!$BF$1=1,M85&lt;&gt;0),ROW()-10,IF(AND(COPIA!$BF$1&gt;1,ROW()-10&gt;COPIA!$BF$1,M85&lt;&gt;0),0,IF(AND(COPIA!$BF$1&gt;1,ROW()-10&lt;=COPIA!$BF$1,M85&lt;&gt;0),ROW()-10,0)))</f>
        <v>0</v>
      </c>
      <c r="O85" s="7">
        <f ca="1">IF(AND($O$1=0,ROW()-10&lt;=$O$2),MAX($O$10:O84)+1,IF(AND(ROW()-10&gt;$O$2,ROW()-10&lt;=$O$1),ROW()-10,0))</f>
        <v>0</v>
      </c>
      <c r="P85" s="7">
        <f ca="1">IF(O85&gt;0,MAX($P$10:P84)+1,0)</f>
        <v>0</v>
      </c>
    </row>
    <row r="86" spans="2:16" ht="24" customHeight="1" x14ac:dyDescent="0.3">
      <c r="B86" s="22" t="str">
        <f t="shared" ca="1" si="4"/>
        <v/>
      </c>
      <c r="C86" s="16" t="str">
        <f t="shared" ca="1" si="5"/>
        <v/>
      </c>
      <c r="D86" s="23"/>
      <c r="E86" s="24"/>
      <c r="F86" s="24"/>
      <c r="G86" s="25"/>
      <c r="H86" s="26"/>
      <c r="I86" s="177"/>
      <c r="J86" s="151"/>
      <c r="K86" s="167" t="str">
        <f ca="1">IF(IF(COPIA!$R$1=TRUE,IF(OR(G86&lt;&gt;0,H86&lt;&gt;0),ROUND(SUM(G$11:G86),2)-ROUND(SUM(H$11:H86),2),""),"")&lt;&gt;0,"",0)</f>
        <v/>
      </c>
      <c r="L86" s="7">
        <f t="shared" ca="1" si="6"/>
        <v>0</v>
      </c>
      <c r="M86" s="7">
        <f ca="1">IFERROR(IF(AND(INDIRECT(ADDRESS(ROW(),4,,,))&lt;=COPIA!$DA$1,K86=0,COPIA!$BF$1&gt;1,ROW()-10&lt;COPIA!$BF$1-1),MAX($M$10:M85)+1,IF(AND(INDIRECT(ADDRESS(ROW(),4,,,))&lt;=COPIA!$DA$1,K86=0,COPIA!$BF$1=1),MAX($M$10:M85)+1,0)),0)</f>
        <v>0</v>
      </c>
      <c r="N86" s="7">
        <f ca="1">IF(AND(COPIA!$BF$1=1,M86&lt;&gt;0),ROW()-10,IF(AND(COPIA!$BF$1&gt;1,ROW()-10&gt;COPIA!$BF$1,M86&lt;&gt;0),0,IF(AND(COPIA!$BF$1&gt;1,ROW()-10&lt;=COPIA!$BF$1,M86&lt;&gt;0),ROW()-10,0)))</f>
        <v>0</v>
      </c>
      <c r="O86" s="7">
        <f ca="1">IF(AND($O$1=0,ROW()-10&lt;=$O$2),MAX($O$10:O85)+1,IF(AND(ROW()-10&gt;$O$2,ROW()-10&lt;=$O$1),ROW()-10,0))</f>
        <v>0</v>
      </c>
      <c r="P86" s="7">
        <f ca="1">IF(O86&gt;0,MAX($P$10:P85)+1,0)</f>
        <v>0</v>
      </c>
    </row>
    <row r="87" spans="2:16" ht="24" customHeight="1" x14ac:dyDescent="0.3">
      <c r="B87" s="22" t="str">
        <f t="shared" ca="1" si="4"/>
        <v/>
      </c>
      <c r="C87" s="16" t="str">
        <f t="shared" ca="1" si="5"/>
        <v/>
      </c>
      <c r="D87" s="23"/>
      <c r="E87" s="24"/>
      <c r="F87" s="24"/>
      <c r="G87" s="25"/>
      <c r="H87" s="26"/>
      <c r="I87" s="177"/>
      <c r="J87" s="151"/>
      <c r="K87" s="167" t="str">
        <f ca="1">IF(IF(COPIA!$R$1=TRUE,IF(OR(G87&lt;&gt;0,H87&lt;&gt;0),ROUND(SUM(G$11:G87),2)-ROUND(SUM(H$11:H87),2),""),"")&lt;&gt;0,"",0)</f>
        <v/>
      </c>
      <c r="L87" s="7">
        <f t="shared" ca="1" si="6"/>
        <v>0</v>
      </c>
      <c r="M87" s="7">
        <f ca="1">IFERROR(IF(AND(INDIRECT(ADDRESS(ROW(),4,,,))&lt;=COPIA!$DA$1,K87=0,COPIA!$BF$1&gt;1,ROW()-10&lt;COPIA!$BF$1-1),MAX($M$10:M86)+1,IF(AND(INDIRECT(ADDRESS(ROW(),4,,,))&lt;=COPIA!$DA$1,K87=0,COPIA!$BF$1=1),MAX($M$10:M86)+1,0)),0)</f>
        <v>0</v>
      </c>
      <c r="N87" s="7">
        <f ca="1">IF(AND(COPIA!$BF$1=1,M87&lt;&gt;0),ROW()-10,IF(AND(COPIA!$BF$1&gt;1,ROW()-10&gt;COPIA!$BF$1,M87&lt;&gt;0),0,IF(AND(COPIA!$BF$1&gt;1,ROW()-10&lt;=COPIA!$BF$1,M87&lt;&gt;0),ROW()-10,0)))</f>
        <v>0</v>
      </c>
      <c r="O87" s="7">
        <f ca="1">IF(AND($O$1=0,ROW()-10&lt;=$O$2),MAX($O$10:O86)+1,IF(AND(ROW()-10&gt;$O$2,ROW()-10&lt;=$O$1),ROW()-10,0))</f>
        <v>0</v>
      </c>
      <c r="P87" s="7">
        <f ca="1">IF(O87&gt;0,MAX($P$10:P86)+1,0)</f>
        <v>0</v>
      </c>
    </row>
    <row r="88" spans="2:16" ht="24" customHeight="1" x14ac:dyDescent="0.3">
      <c r="B88" s="22" t="str">
        <f t="shared" ca="1" si="4"/>
        <v/>
      </c>
      <c r="C88" s="16" t="str">
        <f t="shared" ca="1" si="5"/>
        <v/>
      </c>
      <c r="D88" s="23"/>
      <c r="E88" s="24"/>
      <c r="F88" s="24"/>
      <c r="G88" s="25"/>
      <c r="H88" s="26"/>
      <c r="I88" s="177"/>
      <c r="J88" s="151"/>
      <c r="K88" s="167" t="str">
        <f ca="1">IF(IF(COPIA!$R$1=TRUE,IF(OR(G88&lt;&gt;0,H88&lt;&gt;0),ROUND(SUM(G$11:G88),2)-ROUND(SUM(H$11:H88),2),""),"")&lt;&gt;0,"",0)</f>
        <v/>
      </c>
      <c r="L88" s="7">
        <f t="shared" ca="1" si="6"/>
        <v>0</v>
      </c>
      <c r="M88" s="7">
        <f ca="1">IFERROR(IF(AND(INDIRECT(ADDRESS(ROW(),4,,,))&lt;=COPIA!$DA$1,K88=0,COPIA!$BF$1&gt;1,ROW()-10&lt;COPIA!$BF$1-1),MAX($M$10:M87)+1,IF(AND(INDIRECT(ADDRESS(ROW(),4,,,))&lt;=COPIA!$DA$1,K88=0,COPIA!$BF$1=1),MAX($M$10:M87)+1,0)),0)</f>
        <v>0</v>
      </c>
      <c r="N88" s="7">
        <f ca="1">IF(AND(COPIA!$BF$1=1,M88&lt;&gt;0),ROW()-10,IF(AND(COPIA!$BF$1&gt;1,ROW()-10&gt;COPIA!$BF$1,M88&lt;&gt;0),0,IF(AND(COPIA!$BF$1&gt;1,ROW()-10&lt;=COPIA!$BF$1,M88&lt;&gt;0),ROW()-10,0)))</f>
        <v>0</v>
      </c>
      <c r="O88" s="7">
        <f ca="1">IF(AND($O$1=0,ROW()-10&lt;=$O$2),MAX($O$10:O87)+1,IF(AND(ROW()-10&gt;$O$2,ROW()-10&lt;=$O$1),ROW()-10,0))</f>
        <v>0</v>
      </c>
      <c r="P88" s="7">
        <f ca="1">IF(O88&gt;0,MAX($P$10:P87)+1,0)</f>
        <v>0</v>
      </c>
    </row>
    <row r="89" spans="2:16" ht="24" customHeight="1" x14ac:dyDescent="0.3">
      <c r="B89" s="22" t="str">
        <f t="shared" ca="1" si="4"/>
        <v/>
      </c>
      <c r="C89" s="16" t="str">
        <f t="shared" ca="1" si="5"/>
        <v/>
      </c>
      <c r="D89" s="23"/>
      <c r="E89" s="24"/>
      <c r="F89" s="24"/>
      <c r="G89" s="25"/>
      <c r="H89" s="26"/>
      <c r="I89" s="177"/>
      <c r="J89" s="151"/>
      <c r="K89" s="167" t="str">
        <f ca="1">IF(IF(COPIA!$R$1=TRUE,IF(OR(G89&lt;&gt;0,H89&lt;&gt;0),ROUND(SUM(G$11:G89),2)-ROUND(SUM(H$11:H89),2),""),"")&lt;&gt;0,"",0)</f>
        <v/>
      </c>
      <c r="L89" s="7">
        <f t="shared" ca="1" si="6"/>
        <v>0</v>
      </c>
      <c r="M89" s="7">
        <f ca="1">IFERROR(IF(AND(INDIRECT(ADDRESS(ROW(),4,,,))&lt;=COPIA!$DA$1,K89=0,COPIA!$BF$1&gt;1,ROW()-10&lt;COPIA!$BF$1-1),MAX($M$10:M88)+1,IF(AND(INDIRECT(ADDRESS(ROW(),4,,,))&lt;=COPIA!$DA$1,K89=0,COPIA!$BF$1=1),MAX($M$10:M88)+1,0)),0)</f>
        <v>0</v>
      </c>
      <c r="N89" s="7">
        <f ca="1">IF(AND(COPIA!$BF$1=1,M89&lt;&gt;0),ROW()-10,IF(AND(COPIA!$BF$1&gt;1,ROW()-10&gt;COPIA!$BF$1,M89&lt;&gt;0),0,IF(AND(COPIA!$BF$1&gt;1,ROW()-10&lt;=COPIA!$BF$1,M89&lt;&gt;0),ROW()-10,0)))</f>
        <v>0</v>
      </c>
      <c r="O89" s="7">
        <f ca="1">IF(AND($O$1=0,ROW()-10&lt;=$O$2),MAX($O$10:O88)+1,IF(AND(ROW()-10&gt;$O$2,ROW()-10&lt;=$O$1),ROW()-10,0))</f>
        <v>0</v>
      </c>
      <c r="P89" s="7">
        <f ca="1">IF(O89&gt;0,MAX($P$10:P88)+1,0)</f>
        <v>0</v>
      </c>
    </row>
    <row r="90" spans="2:16" ht="24" customHeight="1" x14ac:dyDescent="0.3">
      <c r="B90" s="22" t="str">
        <f t="shared" ca="1" si="4"/>
        <v/>
      </c>
      <c r="C90" s="16" t="str">
        <f t="shared" ca="1" si="5"/>
        <v/>
      </c>
      <c r="D90" s="23"/>
      <c r="E90" s="24"/>
      <c r="F90" s="24"/>
      <c r="G90" s="25"/>
      <c r="H90" s="26"/>
      <c r="I90" s="177"/>
      <c r="J90" s="151"/>
      <c r="K90" s="167" t="str">
        <f ca="1">IF(IF(COPIA!$R$1=TRUE,IF(OR(G90&lt;&gt;0,H90&lt;&gt;0),ROUND(SUM(G$11:G90),2)-ROUND(SUM(H$11:H90),2),""),"")&lt;&gt;0,"",0)</f>
        <v/>
      </c>
      <c r="L90" s="7">
        <f t="shared" ca="1" si="6"/>
        <v>0</v>
      </c>
      <c r="M90" s="7">
        <f ca="1">IFERROR(IF(AND(INDIRECT(ADDRESS(ROW(),4,,,))&lt;=COPIA!$DA$1,K90=0,COPIA!$BF$1&gt;1,ROW()-10&lt;COPIA!$BF$1-1),MAX($M$10:M89)+1,IF(AND(INDIRECT(ADDRESS(ROW(),4,,,))&lt;=COPIA!$DA$1,K90=0,COPIA!$BF$1=1),MAX($M$10:M89)+1,0)),0)</f>
        <v>0</v>
      </c>
      <c r="N90" s="7">
        <f ca="1">IF(AND(COPIA!$BF$1=1,M90&lt;&gt;0),ROW()-10,IF(AND(COPIA!$BF$1&gt;1,ROW()-10&gt;COPIA!$BF$1,M90&lt;&gt;0),0,IF(AND(COPIA!$BF$1&gt;1,ROW()-10&lt;=COPIA!$BF$1,M90&lt;&gt;0),ROW()-10,0)))</f>
        <v>0</v>
      </c>
      <c r="O90" s="7">
        <f ca="1">IF(AND($O$1=0,ROW()-10&lt;=$O$2),MAX($O$10:O89)+1,IF(AND(ROW()-10&gt;$O$2,ROW()-10&lt;=$O$1),ROW()-10,0))</f>
        <v>0</v>
      </c>
      <c r="P90" s="7">
        <f ca="1">IF(O90&gt;0,MAX($P$10:P89)+1,0)</f>
        <v>0</v>
      </c>
    </row>
    <row r="91" spans="2:16" ht="24" customHeight="1" x14ac:dyDescent="0.3">
      <c r="B91" s="22" t="str">
        <f t="shared" ca="1" si="4"/>
        <v/>
      </c>
      <c r="C91" s="16" t="str">
        <f t="shared" ca="1" si="5"/>
        <v/>
      </c>
      <c r="D91" s="23"/>
      <c r="E91" s="24"/>
      <c r="F91" s="24"/>
      <c r="G91" s="25"/>
      <c r="H91" s="26"/>
      <c r="I91" s="177"/>
      <c r="J91" s="151"/>
      <c r="K91" s="167" t="str">
        <f ca="1">IF(IF(COPIA!$R$1=TRUE,IF(OR(G91&lt;&gt;0,H91&lt;&gt;0),ROUND(SUM(G$11:G91),2)-ROUND(SUM(H$11:H91),2),""),"")&lt;&gt;0,"",0)</f>
        <v/>
      </c>
      <c r="L91" s="7">
        <f t="shared" ca="1" si="6"/>
        <v>0</v>
      </c>
      <c r="M91" s="7">
        <f ca="1">IFERROR(IF(AND(INDIRECT(ADDRESS(ROW(),4,,,))&lt;=COPIA!$DA$1,K91=0,COPIA!$BF$1&gt;1,ROW()-10&lt;COPIA!$BF$1-1),MAX($M$10:M90)+1,IF(AND(INDIRECT(ADDRESS(ROW(),4,,,))&lt;=COPIA!$DA$1,K91=0,COPIA!$BF$1=1),MAX($M$10:M90)+1,0)),0)</f>
        <v>0</v>
      </c>
      <c r="N91" s="7">
        <f ca="1">IF(AND(COPIA!$BF$1=1,M91&lt;&gt;0),ROW()-10,IF(AND(COPIA!$BF$1&gt;1,ROW()-10&gt;COPIA!$BF$1,M91&lt;&gt;0),0,IF(AND(COPIA!$BF$1&gt;1,ROW()-10&lt;=COPIA!$BF$1,M91&lt;&gt;0),ROW()-10,0)))</f>
        <v>0</v>
      </c>
      <c r="O91" s="7">
        <f ca="1">IF(AND($O$1=0,ROW()-10&lt;=$O$2),MAX($O$10:O90)+1,IF(AND(ROW()-10&gt;$O$2,ROW()-10&lt;=$O$1),ROW()-10,0))</f>
        <v>0</v>
      </c>
      <c r="P91" s="7">
        <f ca="1">IF(O91&gt;0,MAX($P$10:P90)+1,0)</f>
        <v>0</v>
      </c>
    </row>
    <row r="92" spans="2:16" ht="24" customHeight="1" x14ac:dyDescent="0.3">
      <c r="B92" s="22" t="str">
        <f t="shared" ca="1" si="4"/>
        <v/>
      </c>
      <c r="C92" s="16" t="str">
        <f t="shared" ca="1" si="5"/>
        <v/>
      </c>
      <c r="D92" s="23"/>
      <c r="E92" s="24"/>
      <c r="F92" s="24"/>
      <c r="G92" s="25"/>
      <c r="H92" s="26"/>
      <c r="I92" s="177"/>
      <c r="J92" s="151"/>
      <c r="K92" s="167" t="str">
        <f ca="1">IF(IF(COPIA!$R$1=TRUE,IF(OR(G92&lt;&gt;0,H92&lt;&gt;0),ROUND(SUM(G$11:G92),2)-ROUND(SUM(H$11:H92),2),""),"")&lt;&gt;0,"",0)</f>
        <v/>
      </c>
      <c r="L92" s="7">
        <f t="shared" ca="1" si="6"/>
        <v>0</v>
      </c>
      <c r="M92" s="7">
        <f ca="1">IFERROR(IF(AND(INDIRECT(ADDRESS(ROW(),4,,,))&lt;=COPIA!$DA$1,K92=0,COPIA!$BF$1&gt;1,ROW()-10&lt;COPIA!$BF$1-1),MAX($M$10:M91)+1,IF(AND(INDIRECT(ADDRESS(ROW(),4,,,))&lt;=COPIA!$DA$1,K92=0,COPIA!$BF$1=1),MAX($M$10:M91)+1,0)),0)</f>
        <v>0</v>
      </c>
      <c r="N92" s="7">
        <f ca="1">IF(AND(COPIA!$BF$1=1,M92&lt;&gt;0),ROW()-10,IF(AND(COPIA!$BF$1&gt;1,ROW()-10&gt;COPIA!$BF$1,M92&lt;&gt;0),0,IF(AND(COPIA!$BF$1&gt;1,ROW()-10&lt;=COPIA!$BF$1,M92&lt;&gt;0),ROW()-10,0)))</f>
        <v>0</v>
      </c>
      <c r="O92" s="7">
        <f ca="1">IF(AND($O$1=0,ROW()-10&lt;=$O$2),MAX($O$10:O91)+1,IF(AND(ROW()-10&gt;$O$2,ROW()-10&lt;=$O$1),ROW()-10,0))</f>
        <v>0</v>
      </c>
      <c r="P92" s="7">
        <f ca="1">IF(O92&gt;0,MAX($P$10:P91)+1,0)</f>
        <v>0</v>
      </c>
    </row>
    <row r="93" spans="2:16" ht="24" customHeight="1" x14ac:dyDescent="0.3">
      <c r="B93" s="22" t="str">
        <f t="shared" ca="1" si="4"/>
        <v/>
      </c>
      <c r="C93" s="16" t="str">
        <f t="shared" ca="1" si="5"/>
        <v/>
      </c>
      <c r="D93" s="23"/>
      <c r="E93" s="24"/>
      <c r="F93" s="24"/>
      <c r="G93" s="25"/>
      <c r="H93" s="26"/>
      <c r="I93" s="177"/>
      <c r="J93" s="151"/>
      <c r="K93" s="167" t="str">
        <f ca="1">IF(IF(COPIA!$R$1=TRUE,IF(OR(G93&lt;&gt;0,H93&lt;&gt;0),ROUND(SUM(G$11:G93),2)-ROUND(SUM(H$11:H93),2),""),"")&lt;&gt;0,"",0)</f>
        <v/>
      </c>
      <c r="L93" s="7">
        <f t="shared" ca="1" si="6"/>
        <v>0</v>
      </c>
      <c r="M93" s="7">
        <f ca="1">IFERROR(IF(AND(INDIRECT(ADDRESS(ROW(),4,,,))&lt;=COPIA!$DA$1,K93=0,COPIA!$BF$1&gt;1,ROW()-10&lt;COPIA!$BF$1-1),MAX($M$10:M92)+1,IF(AND(INDIRECT(ADDRESS(ROW(),4,,,))&lt;=COPIA!$DA$1,K93=0,COPIA!$BF$1=1),MAX($M$10:M92)+1,0)),0)</f>
        <v>0</v>
      </c>
      <c r="N93" s="7">
        <f ca="1">IF(AND(COPIA!$BF$1=1,M93&lt;&gt;0),ROW()-10,IF(AND(COPIA!$BF$1&gt;1,ROW()-10&gt;COPIA!$BF$1,M93&lt;&gt;0),0,IF(AND(COPIA!$BF$1&gt;1,ROW()-10&lt;=COPIA!$BF$1,M93&lt;&gt;0),ROW()-10,0)))</f>
        <v>0</v>
      </c>
      <c r="O93" s="7">
        <f ca="1">IF(AND($O$1=0,ROW()-10&lt;=$O$2),MAX($O$10:O92)+1,IF(AND(ROW()-10&gt;$O$2,ROW()-10&lt;=$O$1),ROW()-10,0))</f>
        <v>0</v>
      </c>
      <c r="P93" s="7">
        <f ca="1">IF(O93&gt;0,MAX($P$10:P92)+1,0)</f>
        <v>0</v>
      </c>
    </row>
    <row r="94" spans="2:16" ht="24" customHeight="1" x14ac:dyDescent="0.3">
      <c r="B94" s="22" t="str">
        <f t="shared" ca="1" si="4"/>
        <v/>
      </c>
      <c r="C94" s="16" t="str">
        <f t="shared" ca="1" si="5"/>
        <v/>
      </c>
      <c r="D94" s="23"/>
      <c r="E94" s="24"/>
      <c r="F94" s="24"/>
      <c r="G94" s="25"/>
      <c r="H94" s="26"/>
      <c r="I94" s="177"/>
      <c r="J94" s="151"/>
      <c r="K94" s="167" t="str">
        <f ca="1">IF(IF(COPIA!$R$1=TRUE,IF(OR(G94&lt;&gt;0,H94&lt;&gt;0),ROUND(SUM(G$11:G94),2)-ROUND(SUM(H$11:H94),2),""),"")&lt;&gt;0,"",0)</f>
        <v/>
      </c>
      <c r="L94" s="7">
        <f t="shared" ca="1" si="6"/>
        <v>0</v>
      </c>
      <c r="M94" s="7">
        <f ca="1">IFERROR(IF(AND(INDIRECT(ADDRESS(ROW(),4,,,))&lt;=COPIA!$DA$1,K94=0,COPIA!$BF$1&gt;1,ROW()-10&lt;COPIA!$BF$1-1),MAX($M$10:M93)+1,IF(AND(INDIRECT(ADDRESS(ROW(),4,,,))&lt;=COPIA!$DA$1,K94=0,COPIA!$BF$1=1),MAX($M$10:M93)+1,0)),0)</f>
        <v>0</v>
      </c>
      <c r="N94" s="7">
        <f ca="1">IF(AND(COPIA!$BF$1=1,M94&lt;&gt;0),ROW()-10,IF(AND(COPIA!$BF$1&gt;1,ROW()-10&gt;COPIA!$BF$1,M94&lt;&gt;0),0,IF(AND(COPIA!$BF$1&gt;1,ROW()-10&lt;=COPIA!$BF$1,M94&lt;&gt;0),ROW()-10,0)))</f>
        <v>0</v>
      </c>
      <c r="O94" s="7">
        <f ca="1">IF(AND($O$1=0,ROW()-10&lt;=$O$2),MAX($O$10:O93)+1,IF(AND(ROW()-10&gt;$O$2,ROW()-10&lt;=$O$1),ROW()-10,0))</f>
        <v>0</v>
      </c>
      <c r="P94" s="7">
        <f ca="1">IF(O94&gt;0,MAX($P$10:P93)+1,0)</f>
        <v>0</v>
      </c>
    </row>
    <row r="95" spans="2:16" ht="24" customHeight="1" x14ac:dyDescent="0.3">
      <c r="B95" s="22" t="str">
        <f t="shared" ca="1" si="4"/>
        <v/>
      </c>
      <c r="C95" s="16" t="str">
        <f t="shared" ca="1" si="5"/>
        <v/>
      </c>
      <c r="D95" s="23"/>
      <c r="E95" s="24"/>
      <c r="F95" s="24"/>
      <c r="G95" s="25"/>
      <c r="H95" s="26"/>
      <c r="I95" s="177"/>
      <c r="J95" s="151"/>
      <c r="K95" s="167" t="str">
        <f ca="1">IF(IF(COPIA!$R$1=TRUE,IF(OR(G95&lt;&gt;0,H95&lt;&gt;0),ROUND(SUM(G$11:G95),2)-ROUND(SUM(H$11:H95),2),""),"")&lt;&gt;0,"",0)</f>
        <v/>
      </c>
      <c r="L95" s="7">
        <f t="shared" ca="1" si="6"/>
        <v>0</v>
      </c>
      <c r="M95" s="7">
        <f ca="1">IFERROR(IF(AND(INDIRECT(ADDRESS(ROW(),4,,,))&lt;=COPIA!$DA$1,K95=0,COPIA!$BF$1&gt;1,ROW()-10&lt;COPIA!$BF$1-1),MAX($M$10:M94)+1,IF(AND(INDIRECT(ADDRESS(ROW(),4,,,))&lt;=COPIA!$DA$1,K95=0,COPIA!$BF$1=1),MAX($M$10:M94)+1,0)),0)</f>
        <v>0</v>
      </c>
      <c r="N95" s="7">
        <f ca="1">IF(AND(COPIA!$BF$1=1,M95&lt;&gt;0),ROW()-10,IF(AND(COPIA!$BF$1&gt;1,ROW()-10&gt;COPIA!$BF$1,M95&lt;&gt;0),0,IF(AND(COPIA!$BF$1&gt;1,ROW()-10&lt;=COPIA!$BF$1,M95&lt;&gt;0),ROW()-10,0)))</f>
        <v>0</v>
      </c>
      <c r="O95" s="7">
        <f ca="1">IF(AND($O$1=0,ROW()-10&lt;=$O$2),MAX($O$10:O94)+1,IF(AND(ROW()-10&gt;$O$2,ROW()-10&lt;=$O$1),ROW()-10,0))</f>
        <v>0</v>
      </c>
      <c r="P95" s="7">
        <f ca="1">IF(O95&gt;0,MAX($P$10:P94)+1,0)</f>
        <v>0</v>
      </c>
    </row>
    <row r="96" spans="2:16" ht="24" customHeight="1" x14ac:dyDescent="0.3">
      <c r="B96" s="22" t="str">
        <f t="shared" ca="1" si="4"/>
        <v/>
      </c>
      <c r="C96" s="16" t="str">
        <f t="shared" ca="1" si="5"/>
        <v/>
      </c>
      <c r="D96" s="23"/>
      <c r="E96" s="24"/>
      <c r="F96" s="24"/>
      <c r="G96" s="25"/>
      <c r="H96" s="26"/>
      <c r="I96" s="177"/>
      <c r="J96" s="151"/>
      <c r="K96" s="167" t="str">
        <f ca="1">IF(IF(COPIA!$R$1=TRUE,IF(OR(G96&lt;&gt;0,H96&lt;&gt;0),ROUND(SUM(G$11:G96),2)-ROUND(SUM(H$11:H96),2),""),"")&lt;&gt;0,"",0)</f>
        <v/>
      </c>
      <c r="L96" s="7">
        <f t="shared" ca="1" si="6"/>
        <v>0</v>
      </c>
      <c r="M96" s="7">
        <f ca="1">IFERROR(IF(AND(INDIRECT(ADDRESS(ROW(),4,,,))&lt;=COPIA!$DA$1,K96=0,COPIA!$BF$1&gt;1,ROW()-10&lt;COPIA!$BF$1-1),MAX($M$10:M95)+1,IF(AND(INDIRECT(ADDRESS(ROW(),4,,,))&lt;=COPIA!$DA$1,K96=0,COPIA!$BF$1=1),MAX($M$10:M95)+1,0)),0)</f>
        <v>0</v>
      </c>
      <c r="N96" s="7">
        <f ca="1">IF(AND(COPIA!$BF$1=1,M96&lt;&gt;0),ROW()-10,IF(AND(COPIA!$BF$1&gt;1,ROW()-10&gt;COPIA!$BF$1,M96&lt;&gt;0),0,IF(AND(COPIA!$BF$1&gt;1,ROW()-10&lt;=COPIA!$BF$1,M96&lt;&gt;0),ROW()-10,0)))</f>
        <v>0</v>
      </c>
      <c r="O96" s="7">
        <f ca="1">IF(AND($O$1=0,ROW()-10&lt;=$O$2),MAX($O$10:O95)+1,IF(AND(ROW()-10&gt;$O$2,ROW()-10&lt;=$O$1),ROW()-10,0))</f>
        <v>0</v>
      </c>
      <c r="P96" s="7">
        <f ca="1">IF(O96&gt;0,MAX($P$10:P95)+1,0)</f>
        <v>0</v>
      </c>
    </row>
    <row r="97" spans="2:16" ht="24" customHeight="1" x14ac:dyDescent="0.3">
      <c r="B97" s="22" t="str">
        <f t="shared" ca="1" si="4"/>
        <v/>
      </c>
      <c r="C97" s="16" t="str">
        <f t="shared" ca="1" si="5"/>
        <v/>
      </c>
      <c r="D97" s="23"/>
      <c r="E97" s="24"/>
      <c r="F97" s="24"/>
      <c r="G97" s="25"/>
      <c r="H97" s="26"/>
      <c r="I97" s="177"/>
      <c r="J97" s="151"/>
      <c r="K97" s="167" t="str">
        <f ca="1">IF(IF(COPIA!$R$1=TRUE,IF(OR(G97&lt;&gt;0,H97&lt;&gt;0),ROUND(SUM(G$11:G97),2)-ROUND(SUM(H$11:H97),2),""),"")&lt;&gt;0,"",0)</f>
        <v/>
      </c>
      <c r="L97" s="7">
        <f t="shared" ca="1" si="6"/>
        <v>0</v>
      </c>
      <c r="M97" s="7">
        <f ca="1">IFERROR(IF(AND(INDIRECT(ADDRESS(ROW(),4,,,))&lt;=COPIA!$DA$1,K97=0,COPIA!$BF$1&gt;1,ROW()-10&lt;COPIA!$BF$1-1),MAX($M$10:M96)+1,IF(AND(INDIRECT(ADDRESS(ROW(),4,,,))&lt;=COPIA!$DA$1,K97=0,COPIA!$BF$1=1),MAX($M$10:M96)+1,0)),0)</f>
        <v>0</v>
      </c>
      <c r="N97" s="7">
        <f ca="1">IF(AND(COPIA!$BF$1=1,M97&lt;&gt;0),ROW()-10,IF(AND(COPIA!$BF$1&gt;1,ROW()-10&gt;COPIA!$BF$1,M97&lt;&gt;0),0,IF(AND(COPIA!$BF$1&gt;1,ROW()-10&lt;=COPIA!$BF$1,M97&lt;&gt;0),ROW()-10,0)))</f>
        <v>0</v>
      </c>
      <c r="O97" s="7">
        <f ca="1">IF(AND($O$1=0,ROW()-10&lt;=$O$2),MAX($O$10:O96)+1,IF(AND(ROW()-10&gt;$O$2,ROW()-10&lt;=$O$1),ROW()-10,0))</f>
        <v>0</v>
      </c>
      <c r="P97" s="7">
        <f ca="1">IF(O97&gt;0,MAX($P$10:P96)+1,0)</f>
        <v>0</v>
      </c>
    </row>
    <row r="98" spans="2:16" ht="24" customHeight="1" x14ac:dyDescent="0.3">
      <c r="B98" s="22" t="str">
        <f t="shared" ca="1" si="4"/>
        <v/>
      </c>
      <c r="C98" s="16" t="str">
        <f t="shared" ca="1" si="5"/>
        <v/>
      </c>
      <c r="D98" s="23"/>
      <c r="E98" s="24"/>
      <c r="F98" s="24"/>
      <c r="G98" s="25"/>
      <c r="H98" s="26"/>
      <c r="I98" s="177"/>
      <c r="J98" s="151"/>
      <c r="K98" s="167" t="str">
        <f ca="1">IF(IF(COPIA!$R$1=TRUE,IF(OR(G98&lt;&gt;0,H98&lt;&gt;0),ROUND(SUM(G$11:G98),2)-ROUND(SUM(H$11:H98),2),""),"")&lt;&gt;0,"",0)</f>
        <v/>
      </c>
      <c r="L98" s="7">
        <f t="shared" ca="1" si="6"/>
        <v>0</v>
      </c>
      <c r="M98" s="7">
        <f ca="1">IFERROR(IF(AND(INDIRECT(ADDRESS(ROW(),4,,,))&lt;=COPIA!$DA$1,K98=0,COPIA!$BF$1&gt;1,ROW()-10&lt;COPIA!$BF$1-1),MAX($M$10:M97)+1,IF(AND(INDIRECT(ADDRESS(ROW(),4,,,))&lt;=COPIA!$DA$1,K98=0,COPIA!$BF$1=1),MAX($M$10:M97)+1,0)),0)</f>
        <v>0</v>
      </c>
      <c r="N98" s="7">
        <f ca="1">IF(AND(COPIA!$BF$1=1,M98&lt;&gt;0),ROW()-10,IF(AND(COPIA!$BF$1&gt;1,ROW()-10&gt;COPIA!$BF$1,M98&lt;&gt;0),0,IF(AND(COPIA!$BF$1&gt;1,ROW()-10&lt;=COPIA!$BF$1,M98&lt;&gt;0),ROW()-10,0)))</f>
        <v>0</v>
      </c>
      <c r="O98" s="7">
        <f ca="1">IF(AND($O$1=0,ROW()-10&lt;=$O$2),MAX($O$10:O97)+1,IF(AND(ROW()-10&gt;$O$2,ROW()-10&lt;=$O$1),ROW()-10,0))</f>
        <v>0</v>
      </c>
      <c r="P98" s="7">
        <f ca="1">IF(O98&gt;0,MAX($P$10:P97)+1,0)</f>
        <v>0</v>
      </c>
    </row>
    <row r="99" spans="2:16" ht="24" customHeight="1" x14ac:dyDescent="0.3">
      <c r="B99" s="22" t="str">
        <f t="shared" ca="1" si="4"/>
        <v/>
      </c>
      <c r="C99" s="16" t="str">
        <f t="shared" ca="1" si="5"/>
        <v/>
      </c>
      <c r="D99" s="23"/>
      <c r="E99" s="24"/>
      <c r="F99" s="24"/>
      <c r="G99" s="25"/>
      <c r="H99" s="26"/>
      <c r="I99" s="177"/>
      <c r="J99" s="151"/>
      <c r="K99" s="167" t="str">
        <f ca="1">IF(IF(COPIA!$R$1=TRUE,IF(OR(G99&lt;&gt;0,H99&lt;&gt;0),ROUND(SUM(G$11:G99),2)-ROUND(SUM(H$11:H99),2),""),"")&lt;&gt;0,"",0)</f>
        <v/>
      </c>
      <c r="L99" s="7">
        <f t="shared" ca="1" si="6"/>
        <v>0</v>
      </c>
      <c r="M99" s="7">
        <f ca="1">IFERROR(IF(AND(INDIRECT(ADDRESS(ROW(),4,,,))&lt;=COPIA!$DA$1,K99=0,COPIA!$BF$1&gt;1,ROW()-10&lt;COPIA!$BF$1-1),MAX($M$10:M98)+1,IF(AND(INDIRECT(ADDRESS(ROW(),4,,,))&lt;=COPIA!$DA$1,K99=0,COPIA!$BF$1=1),MAX($M$10:M98)+1,0)),0)</f>
        <v>0</v>
      </c>
      <c r="N99" s="7">
        <f ca="1">IF(AND(COPIA!$BF$1=1,M99&lt;&gt;0),ROW()-10,IF(AND(COPIA!$BF$1&gt;1,ROW()-10&gt;COPIA!$BF$1,M99&lt;&gt;0),0,IF(AND(COPIA!$BF$1&gt;1,ROW()-10&lt;=COPIA!$BF$1,M99&lt;&gt;0),ROW()-10,0)))</f>
        <v>0</v>
      </c>
      <c r="O99" s="7">
        <f ca="1">IF(AND($O$1=0,ROW()-10&lt;=$O$2),MAX($O$10:O98)+1,IF(AND(ROW()-10&gt;$O$2,ROW()-10&lt;=$O$1),ROW()-10,0))</f>
        <v>0</v>
      </c>
      <c r="P99" s="7">
        <f ca="1">IF(O99&gt;0,MAX($P$10:P98)+1,0)</f>
        <v>0</v>
      </c>
    </row>
    <row r="100" spans="2:16" ht="24" customHeight="1" x14ac:dyDescent="0.3">
      <c r="B100" s="22" t="str">
        <f t="shared" ca="1" si="4"/>
        <v/>
      </c>
      <c r="C100" s="16" t="str">
        <f t="shared" ca="1" si="5"/>
        <v/>
      </c>
      <c r="D100" s="23"/>
      <c r="E100" s="24"/>
      <c r="F100" s="24"/>
      <c r="G100" s="25"/>
      <c r="H100" s="26"/>
      <c r="I100" s="177"/>
      <c r="J100" s="151"/>
      <c r="K100" s="167" t="str">
        <f ca="1">IF(IF(COPIA!$R$1=TRUE,IF(OR(G100&lt;&gt;0,H100&lt;&gt;0),ROUND(SUM(G$11:G100),2)-ROUND(SUM(H$11:H100),2),""),"")&lt;&gt;0,"",0)</f>
        <v/>
      </c>
      <c r="L100" s="7">
        <f t="shared" ca="1" si="6"/>
        <v>0</v>
      </c>
      <c r="M100" s="7">
        <f ca="1">IFERROR(IF(AND(INDIRECT(ADDRESS(ROW(),4,,,))&lt;=COPIA!$DA$1,K100=0,COPIA!$BF$1&gt;1,ROW()-10&lt;COPIA!$BF$1-1),MAX($M$10:M99)+1,IF(AND(INDIRECT(ADDRESS(ROW(),4,,,))&lt;=COPIA!$DA$1,K100=0,COPIA!$BF$1=1),MAX($M$10:M99)+1,0)),0)</f>
        <v>0</v>
      </c>
      <c r="N100" s="7">
        <f ca="1">IF(AND(COPIA!$BF$1=1,M100&lt;&gt;0),ROW()-10,IF(AND(COPIA!$BF$1&gt;1,ROW()-10&gt;COPIA!$BF$1,M100&lt;&gt;0),0,IF(AND(COPIA!$BF$1&gt;1,ROW()-10&lt;=COPIA!$BF$1,M100&lt;&gt;0),ROW()-10,0)))</f>
        <v>0</v>
      </c>
      <c r="O100" s="7">
        <f ca="1">IF(AND($O$1=0,ROW()-10&lt;=$O$2),MAX($O$10:O99)+1,IF(AND(ROW()-10&gt;$O$2,ROW()-10&lt;=$O$1),ROW()-10,0))</f>
        <v>0</v>
      </c>
      <c r="P100" s="7">
        <f ca="1">IF(O100&gt;0,MAX($P$10:P99)+1,0)</f>
        <v>0</v>
      </c>
    </row>
    <row r="101" spans="2:16" ht="24" customHeight="1" x14ac:dyDescent="0.3">
      <c r="B101" s="22" t="str">
        <f t="shared" ca="1" si="4"/>
        <v/>
      </c>
      <c r="C101" s="16" t="str">
        <f t="shared" ca="1" si="5"/>
        <v/>
      </c>
      <c r="D101" s="23"/>
      <c r="E101" s="24"/>
      <c r="F101" s="24"/>
      <c r="G101" s="25"/>
      <c r="H101" s="26"/>
      <c r="I101" s="177"/>
      <c r="J101" s="151"/>
      <c r="K101" s="167" t="str">
        <f ca="1">IF(IF(COPIA!$R$1=TRUE,IF(OR(G101&lt;&gt;0,H101&lt;&gt;0),ROUND(SUM(G$11:G101),2)-ROUND(SUM(H$11:H101),2),""),"")&lt;&gt;0,"",0)</f>
        <v/>
      </c>
      <c r="L101" s="7">
        <f t="shared" ca="1" si="6"/>
        <v>0</v>
      </c>
      <c r="M101" s="7">
        <f ca="1">IFERROR(IF(AND(INDIRECT(ADDRESS(ROW(),4,,,))&lt;=COPIA!$DA$1,K101=0,COPIA!$BF$1&gt;1,ROW()-10&lt;COPIA!$BF$1-1),MAX($M$10:M100)+1,IF(AND(INDIRECT(ADDRESS(ROW(),4,,,))&lt;=COPIA!$DA$1,K101=0,COPIA!$BF$1=1),MAX($M$10:M100)+1,0)),0)</f>
        <v>0</v>
      </c>
      <c r="N101" s="7">
        <f ca="1">IF(AND(COPIA!$BF$1=1,M101&lt;&gt;0),ROW()-10,IF(AND(COPIA!$BF$1&gt;1,ROW()-10&gt;COPIA!$BF$1,M101&lt;&gt;0),0,IF(AND(COPIA!$BF$1&gt;1,ROW()-10&lt;=COPIA!$BF$1,M101&lt;&gt;0),ROW()-10,0)))</f>
        <v>0</v>
      </c>
      <c r="O101" s="7">
        <f ca="1">IF(AND($O$1=0,ROW()-10&lt;=$O$2),MAX($O$10:O100)+1,IF(AND(ROW()-10&gt;$O$2,ROW()-10&lt;=$O$1),ROW()-10,0))</f>
        <v>0</v>
      </c>
      <c r="P101" s="7">
        <f ca="1">IF(O101&gt;0,MAX($P$10:P100)+1,0)</f>
        <v>0</v>
      </c>
    </row>
    <row r="102" spans="2:16" ht="24" customHeight="1" x14ac:dyDescent="0.3">
      <c r="B102" s="22" t="str">
        <f t="shared" ca="1" si="4"/>
        <v/>
      </c>
      <c r="C102" s="16" t="str">
        <f t="shared" ca="1" si="5"/>
        <v/>
      </c>
      <c r="D102" s="23"/>
      <c r="E102" s="24"/>
      <c r="F102" s="24"/>
      <c r="G102" s="25"/>
      <c r="H102" s="26"/>
      <c r="I102" s="177"/>
      <c r="J102" s="151"/>
      <c r="K102" s="167" t="str">
        <f ca="1">IF(IF(COPIA!$R$1=TRUE,IF(OR(G102&lt;&gt;0,H102&lt;&gt;0),ROUND(SUM(G$11:G102),2)-ROUND(SUM(H$11:H102),2),""),"")&lt;&gt;0,"",0)</f>
        <v/>
      </c>
      <c r="L102" s="7">
        <f t="shared" ca="1" si="6"/>
        <v>0</v>
      </c>
      <c r="M102" s="7">
        <f ca="1">IFERROR(IF(AND(INDIRECT(ADDRESS(ROW(),4,,,))&lt;=COPIA!$DA$1,K102=0,COPIA!$BF$1&gt;1,ROW()-10&lt;COPIA!$BF$1-1),MAX($M$10:M101)+1,IF(AND(INDIRECT(ADDRESS(ROW(),4,,,))&lt;=COPIA!$DA$1,K102=0,COPIA!$BF$1=1),MAX($M$10:M101)+1,0)),0)</f>
        <v>0</v>
      </c>
      <c r="N102" s="7">
        <f ca="1">IF(AND(COPIA!$BF$1=1,M102&lt;&gt;0),ROW()-10,IF(AND(COPIA!$BF$1&gt;1,ROW()-10&gt;COPIA!$BF$1,M102&lt;&gt;0),0,IF(AND(COPIA!$BF$1&gt;1,ROW()-10&lt;=COPIA!$BF$1,M102&lt;&gt;0),ROW()-10,0)))</f>
        <v>0</v>
      </c>
      <c r="O102" s="7">
        <f ca="1">IF(AND($O$1=0,ROW()-10&lt;=$O$2),MAX($O$10:O101)+1,IF(AND(ROW()-10&gt;$O$2,ROW()-10&lt;=$O$1),ROW()-10,0))</f>
        <v>0</v>
      </c>
      <c r="P102" s="7">
        <f ca="1">IF(O102&gt;0,MAX($P$10:P101)+1,0)</f>
        <v>0</v>
      </c>
    </row>
    <row r="103" spans="2:16" ht="24" customHeight="1" x14ac:dyDescent="0.3">
      <c r="B103" s="22" t="str">
        <f t="shared" ca="1" si="4"/>
        <v/>
      </c>
      <c r="C103" s="16" t="str">
        <f t="shared" ca="1" si="5"/>
        <v/>
      </c>
      <c r="D103" s="23"/>
      <c r="E103" s="24"/>
      <c r="F103" s="24"/>
      <c r="G103" s="25"/>
      <c r="H103" s="26"/>
      <c r="I103" s="177"/>
      <c r="J103" s="151"/>
      <c r="K103" s="167" t="str">
        <f ca="1">IF(IF(COPIA!$R$1=TRUE,IF(OR(G103&lt;&gt;0,H103&lt;&gt;0),ROUND(SUM(G$11:G103),2)-ROUND(SUM(H$11:H103),2),""),"")&lt;&gt;0,"",0)</f>
        <v/>
      </c>
      <c r="L103" s="7">
        <f t="shared" ca="1" si="6"/>
        <v>0</v>
      </c>
      <c r="M103" s="7">
        <f ca="1">IFERROR(IF(AND(INDIRECT(ADDRESS(ROW(),4,,,))&lt;=COPIA!$DA$1,K103=0,COPIA!$BF$1&gt;1,ROW()-10&lt;COPIA!$BF$1-1),MAX($M$10:M102)+1,IF(AND(INDIRECT(ADDRESS(ROW(),4,,,))&lt;=COPIA!$DA$1,K103=0,COPIA!$BF$1=1),MAX($M$10:M102)+1,0)),0)</f>
        <v>0</v>
      </c>
      <c r="N103" s="7">
        <f ca="1">IF(AND(COPIA!$BF$1=1,M103&lt;&gt;0),ROW()-10,IF(AND(COPIA!$BF$1&gt;1,ROW()-10&gt;COPIA!$BF$1,M103&lt;&gt;0),0,IF(AND(COPIA!$BF$1&gt;1,ROW()-10&lt;=COPIA!$BF$1,M103&lt;&gt;0),ROW()-10,0)))</f>
        <v>0</v>
      </c>
      <c r="O103" s="7">
        <f ca="1">IF(AND($O$1=0,ROW()-10&lt;=$O$2),MAX($O$10:O102)+1,IF(AND(ROW()-10&gt;$O$2,ROW()-10&lt;=$O$1),ROW()-10,0))</f>
        <v>0</v>
      </c>
      <c r="P103" s="7">
        <f ca="1">IF(O103&gt;0,MAX($P$10:P102)+1,0)</f>
        <v>0</v>
      </c>
    </row>
    <row r="104" spans="2:16" ht="24" customHeight="1" x14ac:dyDescent="0.3">
      <c r="B104" s="22" t="str">
        <f t="shared" ca="1" si="4"/>
        <v/>
      </c>
      <c r="C104" s="16" t="str">
        <f t="shared" ca="1" si="5"/>
        <v/>
      </c>
      <c r="D104" s="23"/>
      <c r="E104" s="24"/>
      <c r="F104" s="24"/>
      <c r="G104" s="25"/>
      <c r="H104" s="26"/>
      <c r="I104" s="177"/>
      <c r="J104" s="151"/>
      <c r="K104" s="167" t="str">
        <f ca="1">IF(IF(COPIA!$R$1=TRUE,IF(OR(G104&lt;&gt;0,H104&lt;&gt;0),ROUND(SUM(G$11:G104),2)-ROUND(SUM(H$11:H104),2),""),"")&lt;&gt;0,"",0)</f>
        <v/>
      </c>
      <c r="L104" s="7">
        <f t="shared" ca="1" si="6"/>
        <v>0</v>
      </c>
      <c r="M104" s="7">
        <f ca="1">IFERROR(IF(AND(INDIRECT(ADDRESS(ROW(),4,,,))&lt;=COPIA!$DA$1,K104=0,COPIA!$BF$1&gt;1,ROW()-10&lt;COPIA!$BF$1-1),MAX($M$10:M103)+1,IF(AND(INDIRECT(ADDRESS(ROW(),4,,,))&lt;=COPIA!$DA$1,K104=0,COPIA!$BF$1=1),MAX($M$10:M103)+1,0)),0)</f>
        <v>0</v>
      </c>
      <c r="N104" s="7">
        <f ca="1">IF(AND(COPIA!$BF$1=1,M104&lt;&gt;0),ROW()-10,IF(AND(COPIA!$BF$1&gt;1,ROW()-10&gt;COPIA!$BF$1,M104&lt;&gt;0),0,IF(AND(COPIA!$BF$1&gt;1,ROW()-10&lt;=COPIA!$BF$1,M104&lt;&gt;0),ROW()-10,0)))</f>
        <v>0</v>
      </c>
      <c r="O104" s="7">
        <f ca="1">IF(AND($O$1=0,ROW()-10&lt;=$O$2),MAX($O$10:O103)+1,IF(AND(ROW()-10&gt;$O$2,ROW()-10&lt;=$O$1),ROW()-10,0))</f>
        <v>0</v>
      </c>
      <c r="P104" s="7">
        <f ca="1">IF(O104&gt;0,MAX($P$10:P103)+1,0)</f>
        <v>0</v>
      </c>
    </row>
    <row r="105" spans="2:16" ht="24" customHeight="1" x14ac:dyDescent="0.3">
      <c r="B105" s="22" t="str">
        <f t="shared" ca="1" si="4"/>
        <v/>
      </c>
      <c r="C105" s="16" t="str">
        <f t="shared" ca="1" si="5"/>
        <v/>
      </c>
      <c r="D105" s="23"/>
      <c r="E105" s="24"/>
      <c r="F105" s="24"/>
      <c r="G105" s="25"/>
      <c r="H105" s="26"/>
      <c r="I105" s="177"/>
      <c r="J105" s="151"/>
      <c r="K105" s="167" t="str">
        <f ca="1">IF(IF(COPIA!$R$1=TRUE,IF(OR(G105&lt;&gt;0,H105&lt;&gt;0),ROUND(SUM(G$11:G105),2)-ROUND(SUM(H$11:H105),2),""),"")&lt;&gt;0,"",0)</f>
        <v/>
      </c>
      <c r="L105" s="7">
        <f t="shared" ca="1" si="6"/>
        <v>0</v>
      </c>
      <c r="M105" s="7">
        <f ca="1">IFERROR(IF(AND(INDIRECT(ADDRESS(ROW(),4,,,))&lt;=COPIA!$DA$1,K105=0,COPIA!$BF$1&gt;1,ROW()-10&lt;COPIA!$BF$1-1),MAX($M$10:M104)+1,IF(AND(INDIRECT(ADDRESS(ROW(),4,,,))&lt;=COPIA!$DA$1,K105=0,COPIA!$BF$1=1),MAX($M$10:M104)+1,0)),0)</f>
        <v>0</v>
      </c>
      <c r="N105" s="7">
        <f ca="1">IF(AND(COPIA!$BF$1=1,M105&lt;&gt;0),ROW()-10,IF(AND(COPIA!$BF$1&gt;1,ROW()-10&gt;COPIA!$BF$1,M105&lt;&gt;0),0,IF(AND(COPIA!$BF$1&gt;1,ROW()-10&lt;=COPIA!$BF$1,M105&lt;&gt;0),ROW()-10,0)))</f>
        <v>0</v>
      </c>
      <c r="O105" s="7">
        <f ca="1">IF(AND($O$1=0,ROW()-10&lt;=$O$2),MAX($O$10:O104)+1,IF(AND(ROW()-10&gt;$O$2,ROW()-10&lt;=$O$1),ROW()-10,0))</f>
        <v>0</v>
      </c>
      <c r="P105" s="7">
        <f ca="1">IF(O105&gt;0,MAX($P$10:P104)+1,0)</f>
        <v>0</v>
      </c>
    </row>
    <row r="106" spans="2:16" ht="24" customHeight="1" x14ac:dyDescent="0.3">
      <c r="B106" s="22" t="str">
        <f t="shared" ca="1" si="4"/>
        <v/>
      </c>
      <c r="C106" s="16" t="str">
        <f t="shared" ca="1" si="5"/>
        <v/>
      </c>
      <c r="D106" s="23"/>
      <c r="E106" s="24"/>
      <c r="F106" s="24"/>
      <c r="G106" s="25"/>
      <c r="H106" s="26"/>
      <c r="I106" s="177"/>
      <c r="J106" s="151"/>
      <c r="K106" s="167" t="str">
        <f ca="1">IF(IF(COPIA!$R$1=TRUE,IF(OR(G106&lt;&gt;0,H106&lt;&gt;0),ROUND(SUM(G$11:G106),2)-ROUND(SUM(H$11:H106),2),""),"")&lt;&gt;0,"",0)</f>
        <v/>
      </c>
      <c r="L106" s="7">
        <f t="shared" ca="1" si="6"/>
        <v>0</v>
      </c>
      <c r="M106" s="7">
        <f ca="1">IFERROR(IF(AND(INDIRECT(ADDRESS(ROW(),4,,,))&lt;=COPIA!$DA$1,K106=0,COPIA!$BF$1&gt;1,ROW()-10&lt;COPIA!$BF$1-1),MAX($M$10:M105)+1,IF(AND(INDIRECT(ADDRESS(ROW(),4,,,))&lt;=COPIA!$DA$1,K106=0,COPIA!$BF$1=1),MAX($M$10:M105)+1,0)),0)</f>
        <v>0</v>
      </c>
      <c r="N106" s="7">
        <f ca="1">IF(AND(COPIA!$BF$1=1,M106&lt;&gt;0),ROW()-10,IF(AND(COPIA!$BF$1&gt;1,ROW()-10&gt;COPIA!$BF$1,M106&lt;&gt;0),0,IF(AND(COPIA!$BF$1&gt;1,ROW()-10&lt;=COPIA!$BF$1,M106&lt;&gt;0),ROW()-10,0)))</f>
        <v>0</v>
      </c>
      <c r="O106" s="7">
        <f ca="1">IF(AND($O$1=0,ROW()-10&lt;=$O$2),MAX($O$10:O105)+1,IF(AND(ROW()-10&gt;$O$2,ROW()-10&lt;=$O$1),ROW()-10,0))</f>
        <v>0</v>
      </c>
      <c r="P106" s="7">
        <f ca="1">IF(O106&gt;0,MAX($P$10:P105)+1,0)</f>
        <v>0</v>
      </c>
    </row>
    <row r="107" spans="2:16" ht="24" customHeight="1" x14ac:dyDescent="0.3">
      <c r="B107" s="22" t="str">
        <f t="shared" ref="B107:B138" ca="1" si="7">IF(INDIRECT(ADDRESS(ROW(),4,,,))="","",IFERROR(INDEX(PDC,MATCH(INDIRECT(ADDRESS(ROW(),5,,,)),DEN_PDC,0),1),0))</f>
        <v/>
      </c>
      <c r="C107" s="16" t="str">
        <f t="shared" ca="1" si="5"/>
        <v/>
      </c>
      <c r="D107" s="23"/>
      <c r="E107" s="24"/>
      <c r="F107" s="24"/>
      <c r="G107" s="25"/>
      <c r="H107" s="26"/>
      <c r="I107" s="177"/>
      <c r="J107" s="151"/>
      <c r="K107" s="167" t="str">
        <f ca="1">IF(IF(COPIA!$R$1=TRUE,IF(OR(G107&lt;&gt;0,H107&lt;&gt;0),ROUND(SUM(G$11:G107),2)-ROUND(SUM(H$11:H107),2),""),"")&lt;&gt;0,"",0)</f>
        <v/>
      </c>
      <c r="L107" s="7">
        <f t="shared" ca="1" si="6"/>
        <v>0</v>
      </c>
      <c r="M107" s="7">
        <f ca="1">IFERROR(IF(AND(INDIRECT(ADDRESS(ROW(),4,,,))&lt;=COPIA!$DA$1,K107=0,COPIA!$BF$1&gt;1,ROW()-10&lt;COPIA!$BF$1-1),MAX($M$10:M106)+1,IF(AND(INDIRECT(ADDRESS(ROW(),4,,,))&lt;=COPIA!$DA$1,K107=0,COPIA!$BF$1=1),MAX($M$10:M106)+1,0)),0)</f>
        <v>0</v>
      </c>
      <c r="N107" s="7">
        <f ca="1">IF(AND(COPIA!$BF$1=1,M107&lt;&gt;0),ROW()-10,IF(AND(COPIA!$BF$1&gt;1,ROW()-10&gt;COPIA!$BF$1,M107&lt;&gt;0),0,IF(AND(COPIA!$BF$1&gt;1,ROW()-10&lt;=COPIA!$BF$1,M107&lt;&gt;0),ROW()-10,0)))</f>
        <v>0</v>
      </c>
      <c r="O107" s="7">
        <f ca="1">IF(AND($O$1=0,ROW()-10&lt;=$O$2),MAX($O$10:O106)+1,IF(AND(ROW()-10&gt;$O$2,ROW()-10&lt;=$O$1),ROW()-10,0))</f>
        <v>0</v>
      </c>
      <c r="P107" s="7">
        <f ca="1">IF(O107&gt;0,MAX($P$10:P106)+1,0)</f>
        <v>0</v>
      </c>
    </row>
    <row r="108" spans="2:16" ht="24" customHeight="1" x14ac:dyDescent="0.3">
      <c r="B108" s="22" t="str">
        <f t="shared" ca="1" si="7"/>
        <v/>
      </c>
      <c r="C108" s="16" t="str">
        <f t="shared" ca="1" si="5"/>
        <v/>
      </c>
      <c r="D108" s="23"/>
      <c r="E108" s="24"/>
      <c r="F108" s="24"/>
      <c r="G108" s="25"/>
      <c r="H108" s="26"/>
      <c r="I108" s="177"/>
      <c r="J108" s="151"/>
      <c r="K108" s="167" t="str">
        <f ca="1">IF(IF(COPIA!$R$1=TRUE,IF(OR(G108&lt;&gt;0,H108&lt;&gt;0),ROUND(SUM(G$11:G108),2)-ROUND(SUM(H$11:H108),2),""),"")&lt;&gt;0,"",0)</f>
        <v/>
      </c>
      <c r="L108" s="7">
        <f t="shared" ca="1" si="6"/>
        <v>0</v>
      </c>
      <c r="M108" s="7">
        <f ca="1">IFERROR(IF(AND(INDIRECT(ADDRESS(ROW(),4,,,))&lt;=COPIA!$DA$1,K108=0,COPIA!$BF$1&gt;1,ROW()-10&lt;COPIA!$BF$1-1),MAX($M$10:M107)+1,IF(AND(INDIRECT(ADDRESS(ROW(),4,,,))&lt;=COPIA!$DA$1,K108=0,COPIA!$BF$1=1),MAX($M$10:M107)+1,0)),0)</f>
        <v>0</v>
      </c>
      <c r="N108" s="7">
        <f ca="1">IF(AND(COPIA!$BF$1=1,M108&lt;&gt;0),ROW()-10,IF(AND(COPIA!$BF$1&gt;1,ROW()-10&gt;COPIA!$BF$1,M108&lt;&gt;0),0,IF(AND(COPIA!$BF$1&gt;1,ROW()-10&lt;=COPIA!$BF$1,M108&lt;&gt;0),ROW()-10,0)))</f>
        <v>0</v>
      </c>
      <c r="O108" s="7">
        <f ca="1">IF(AND($O$1=0,ROW()-10&lt;=$O$2),MAX($O$10:O107)+1,IF(AND(ROW()-10&gt;$O$2,ROW()-10&lt;=$O$1),ROW()-10,0))</f>
        <v>0</v>
      </c>
      <c r="P108" s="7">
        <f ca="1">IF(O108&gt;0,MAX($P$10:P107)+1,0)</f>
        <v>0</v>
      </c>
    </row>
    <row r="109" spans="2:16" ht="24" customHeight="1" x14ac:dyDescent="0.3">
      <c r="B109" s="22" t="str">
        <f t="shared" ca="1" si="7"/>
        <v/>
      </c>
      <c r="C109" s="16" t="str">
        <f t="shared" ca="1" si="5"/>
        <v/>
      </c>
      <c r="D109" s="23"/>
      <c r="E109" s="24"/>
      <c r="F109" s="27"/>
      <c r="G109" s="25"/>
      <c r="H109" s="26"/>
      <c r="I109" s="177"/>
      <c r="J109" s="151"/>
      <c r="K109" s="167" t="str">
        <f ca="1">IF(IF(COPIA!$R$1=TRUE,IF(OR(G109&lt;&gt;0,H109&lt;&gt;0),ROUND(SUM(G$11:G109),2)-ROUND(SUM(H$11:H109),2),""),"")&lt;&gt;0,"",0)</f>
        <v/>
      </c>
      <c r="L109" s="7">
        <f t="shared" ca="1" si="6"/>
        <v>0</v>
      </c>
      <c r="M109" s="7">
        <f ca="1">IFERROR(IF(AND(INDIRECT(ADDRESS(ROW(),4,,,))&lt;=COPIA!$DA$1,K109=0,COPIA!$BF$1&gt;1,ROW()-10&lt;COPIA!$BF$1-1),MAX($M$10:M108)+1,IF(AND(INDIRECT(ADDRESS(ROW(),4,,,))&lt;=COPIA!$DA$1,K109=0,COPIA!$BF$1=1),MAX($M$10:M108)+1,0)),0)</f>
        <v>0</v>
      </c>
      <c r="N109" s="7">
        <f ca="1">IF(AND(COPIA!$BF$1=1,M109&lt;&gt;0),ROW()-10,IF(AND(COPIA!$BF$1&gt;1,ROW()-10&gt;COPIA!$BF$1,M109&lt;&gt;0),0,IF(AND(COPIA!$BF$1&gt;1,ROW()-10&lt;=COPIA!$BF$1,M109&lt;&gt;0),ROW()-10,0)))</f>
        <v>0</v>
      </c>
      <c r="O109" s="7">
        <f ca="1">IF(AND($O$1=0,ROW()-10&lt;=$O$2),MAX($O$10:O108)+1,IF(AND(ROW()-10&gt;$O$2,ROW()-10&lt;=$O$1),ROW()-10,0))</f>
        <v>0</v>
      </c>
      <c r="P109" s="7">
        <f ca="1">IF(O109&gt;0,MAX($P$10:P108)+1,0)</f>
        <v>0</v>
      </c>
    </row>
    <row r="110" spans="2:16" ht="24" customHeight="1" x14ac:dyDescent="0.3">
      <c r="B110" s="22" t="str">
        <f t="shared" ca="1" si="7"/>
        <v/>
      </c>
      <c r="C110" s="16" t="str">
        <f t="shared" ca="1" si="5"/>
        <v/>
      </c>
      <c r="D110" s="23"/>
      <c r="E110" s="24"/>
      <c r="F110" s="27"/>
      <c r="G110" s="25"/>
      <c r="H110" s="26"/>
      <c r="I110" s="177"/>
      <c r="J110" s="151"/>
      <c r="K110" s="167" t="str">
        <f ca="1">IF(IF(COPIA!$R$1=TRUE,IF(OR(G110&lt;&gt;0,H110&lt;&gt;0),ROUND(SUM(G$11:G110),2)-ROUND(SUM(H$11:H110),2),""),"")&lt;&gt;0,"",0)</f>
        <v/>
      </c>
      <c r="L110" s="7">
        <f t="shared" ca="1" si="6"/>
        <v>0</v>
      </c>
      <c r="M110" s="7">
        <f ca="1">IFERROR(IF(AND(INDIRECT(ADDRESS(ROW(),4,,,))&lt;=COPIA!$DA$1,K110=0,COPIA!$BF$1&gt;1,ROW()-10&lt;COPIA!$BF$1-1),MAX($M$10:M109)+1,IF(AND(INDIRECT(ADDRESS(ROW(),4,,,))&lt;=COPIA!$DA$1,K110=0,COPIA!$BF$1=1),MAX($M$10:M109)+1,0)),0)</f>
        <v>0</v>
      </c>
      <c r="N110" s="7">
        <f ca="1">IF(AND(COPIA!$BF$1=1,M110&lt;&gt;0),ROW()-10,IF(AND(COPIA!$BF$1&gt;1,ROW()-10&gt;COPIA!$BF$1,M110&lt;&gt;0),0,IF(AND(COPIA!$BF$1&gt;1,ROW()-10&lt;=COPIA!$BF$1,M110&lt;&gt;0),ROW()-10,0)))</f>
        <v>0</v>
      </c>
      <c r="O110" s="7">
        <f ca="1">IF(AND($O$1=0,ROW()-10&lt;=$O$2),MAX($O$10:O109)+1,IF(AND(ROW()-10&gt;$O$2,ROW()-10&lt;=$O$1),ROW()-10,0))</f>
        <v>0</v>
      </c>
      <c r="P110" s="7">
        <f ca="1">IF(O110&gt;0,MAX($P$10:P109)+1,0)</f>
        <v>0</v>
      </c>
    </row>
    <row r="111" spans="2:16" ht="24" customHeight="1" x14ac:dyDescent="0.3">
      <c r="B111" s="22" t="str">
        <f t="shared" ca="1" si="7"/>
        <v/>
      </c>
      <c r="C111" s="16" t="str">
        <f t="shared" ca="1" si="5"/>
        <v/>
      </c>
      <c r="D111" s="23"/>
      <c r="E111" s="24"/>
      <c r="F111" s="27"/>
      <c r="G111" s="25"/>
      <c r="H111" s="26"/>
      <c r="I111" s="177"/>
      <c r="J111" s="151"/>
      <c r="K111" s="167" t="str">
        <f ca="1">IF(IF(COPIA!$R$1=TRUE,IF(OR(G111&lt;&gt;0,H111&lt;&gt;0),ROUND(SUM(G$11:G111),2)-ROUND(SUM(H$11:H111),2),""),"")&lt;&gt;0,"",0)</f>
        <v/>
      </c>
      <c r="L111" s="7">
        <f t="shared" ca="1" si="6"/>
        <v>0</v>
      </c>
      <c r="M111" s="7">
        <f ca="1">IFERROR(IF(AND(INDIRECT(ADDRESS(ROW(),4,,,))&lt;=COPIA!$DA$1,K111=0,COPIA!$BF$1&gt;1,ROW()-10&lt;COPIA!$BF$1-1),MAX($M$10:M110)+1,IF(AND(INDIRECT(ADDRESS(ROW(),4,,,))&lt;=COPIA!$DA$1,K111=0,COPIA!$BF$1=1),MAX($M$10:M110)+1,0)),0)</f>
        <v>0</v>
      </c>
      <c r="N111" s="7">
        <f ca="1">IF(AND(COPIA!$BF$1=1,M111&lt;&gt;0),ROW()-10,IF(AND(COPIA!$BF$1&gt;1,ROW()-10&gt;COPIA!$BF$1,M111&lt;&gt;0),0,IF(AND(COPIA!$BF$1&gt;1,ROW()-10&lt;=COPIA!$BF$1,M111&lt;&gt;0),ROW()-10,0)))</f>
        <v>0</v>
      </c>
      <c r="O111" s="7">
        <f ca="1">IF(AND($O$1=0,ROW()-10&lt;=$O$2),MAX($O$10:O110)+1,IF(AND(ROW()-10&gt;$O$2,ROW()-10&lt;=$O$1),ROW()-10,0))</f>
        <v>0</v>
      </c>
      <c r="P111" s="7">
        <f ca="1">IF(O111&gt;0,MAX($P$10:P110)+1,0)</f>
        <v>0</v>
      </c>
    </row>
    <row r="112" spans="2:16" ht="24" customHeight="1" x14ac:dyDescent="0.3">
      <c r="B112" s="22" t="str">
        <f t="shared" ca="1" si="7"/>
        <v/>
      </c>
      <c r="C112" s="16" t="str">
        <f t="shared" ca="1" si="5"/>
        <v/>
      </c>
      <c r="D112" s="23"/>
      <c r="E112" s="24"/>
      <c r="F112" s="27"/>
      <c r="G112" s="25"/>
      <c r="H112" s="26"/>
      <c r="I112" s="177"/>
      <c r="J112" s="151"/>
      <c r="K112" s="167" t="str">
        <f ca="1">IF(IF(COPIA!$R$1=TRUE,IF(OR(G112&lt;&gt;0,H112&lt;&gt;0),ROUND(SUM(G$11:G112),2)-ROUND(SUM(H$11:H112),2),""),"")&lt;&gt;0,"",0)</f>
        <v/>
      </c>
      <c r="L112" s="7">
        <f t="shared" ca="1" si="6"/>
        <v>0</v>
      </c>
      <c r="M112" s="7">
        <f ca="1">IFERROR(IF(AND(INDIRECT(ADDRESS(ROW(),4,,,))&lt;=COPIA!$DA$1,K112=0,COPIA!$BF$1&gt;1,ROW()-10&lt;COPIA!$BF$1-1),MAX($M$10:M111)+1,IF(AND(INDIRECT(ADDRESS(ROW(),4,,,))&lt;=COPIA!$DA$1,K112=0,COPIA!$BF$1=1),MAX($M$10:M111)+1,0)),0)</f>
        <v>0</v>
      </c>
      <c r="N112" s="7">
        <f ca="1">IF(AND(COPIA!$BF$1=1,M112&lt;&gt;0),ROW()-10,IF(AND(COPIA!$BF$1&gt;1,ROW()-10&gt;COPIA!$BF$1,M112&lt;&gt;0),0,IF(AND(COPIA!$BF$1&gt;1,ROW()-10&lt;=COPIA!$BF$1,M112&lt;&gt;0),ROW()-10,0)))</f>
        <v>0</v>
      </c>
      <c r="O112" s="7">
        <f ca="1">IF(AND($O$1=0,ROW()-10&lt;=$O$2),MAX($O$10:O111)+1,IF(AND(ROW()-10&gt;$O$2,ROW()-10&lt;=$O$1),ROW()-10,0))</f>
        <v>0</v>
      </c>
      <c r="P112" s="7">
        <f ca="1">IF(O112&gt;0,MAX($P$10:P111)+1,0)</f>
        <v>0</v>
      </c>
    </row>
    <row r="113" spans="2:16" ht="24" customHeight="1" x14ac:dyDescent="0.3">
      <c r="B113" s="22" t="str">
        <f t="shared" ca="1" si="7"/>
        <v/>
      </c>
      <c r="C113" s="16" t="str">
        <f t="shared" ca="1" si="5"/>
        <v/>
      </c>
      <c r="D113" s="23"/>
      <c r="E113" s="24"/>
      <c r="F113" s="27"/>
      <c r="G113" s="25"/>
      <c r="H113" s="26"/>
      <c r="I113" s="177"/>
      <c r="J113" s="151"/>
      <c r="K113" s="167" t="str">
        <f ca="1">IF(IF(COPIA!$R$1=TRUE,IF(OR(G113&lt;&gt;0,H113&lt;&gt;0),ROUND(SUM(G$11:G113),2)-ROUND(SUM(H$11:H113),2),""),"")&lt;&gt;0,"",0)</f>
        <v/>
      </c>
      <c r="L113" s="7">
        <f t="shared" ca="1" si="6"/>
        <v>0</v>
      </c>
      <c r="M113" s="7">
        <f ca="1">IFERROR(IF(AND(INDIRECT(ADDRESS(ROW(),4,,,))&lt;=COPIA!$DA$1,K113=0,COPIA!$BF$1&gt;1,ROW()-10&lt;COPIA!$BF$1-1),MAX($M$10:M112)+1,IF(AND(INDIRECT(ADDRESS(ROW(),4,,,))&lt;=COPIA!$DA$1,K113=0,COPIA!$BF$1=1),MAX($M$10:M112)+1,0)),0)</f>
        <v>0</v>
      </c>
      <c r="N113" s="7">
        <f ca="1">IF(AND(COPIA!$BF$1=1,M113&lt;&gt;0),ROW()-10,IF(AND(COPIA!$BF$1&gt;1,ROW()-10&gt;COPIA!$BF$1,M113&lt;&gt;0),0,IF(AND(COPIA!$BF$1&gt;1,ROW()-10&lt;=COPIA!$BF$1,M113&lt;&gt;0),ROW()-10,0)))</f>
        <v>0</v>
      </c>
      <c r="O113" s="7">
        <f ca="1">IF(AND($O$1=0,ROW()-10&lt;=$O$2),MAX($O$10:O112)+1,IF(AND(ROW()-10&gt;$O$2,ROW()-10&lt;=$O$1),ROW()-10,0))</f>
        <v>0</v>
      </c>
      <c r="P113" s="7">
        <f ca="1">IF(O113&gt;0,MAX($P$10:P112)+1,0)</f>
        <v>0</v>
      </c>
    </row>
    <row r="114" spans="2:16" ht="24" customHeight="1" x14ac:dyDescent="0.3">
      <c r="B114" s="22" t="str">
        <f t="shared" ca="1" si="7"/>
        <v/>
      </c>
      <c r="C114" s="16" t="str">
        <f t="shared" ca="1" si="5"/>
        <v/>
      </c>
      <c r="D114" s="23"/>
      <c r="E114" s="24"/>
      <c r="F114" s="27"/>
      <c r="G114" s="25"/>
      <c r="H114" s="26"/>
      <c r="I114" s="177"/>
      <c r="J114" s="151"/>
      <c r="K114" s="167" t="str">
        <f ca="1">IF(IF(COPIA!$R$1=TRUE,IF(OR(G114&lt;&gt;0,H114&lt;&gt;0),ROUND(SUM(G$11:G114),2)-ROUND(SUM(H$11:H114),2),""),"")&lt;&gt;0,"",0)</f>
        <v/>
      </c>
      <c r="L114" s="7">
        <f t="shared" ca="1" si="6"/>
        <v>0</v>
      </c>
      <c r="M114" s="7">
        <f ca="1">IFERROR(IF(AND(INDIRECT(ADDRESS(ROW(),4,,,))&lt;=COPIA!$DA$1,K114=0,COPIA!$BF$1&gt;1,ROW()-10&lt;COPIA!$BF$1-1),MAX($M$10:M113)+1,IF(AND(INDIRECT(ADDRESS(ROW(),4,,,))&lt;=COPIA!$DA$1,K114=0,COPIA!$BF$1=1),MAX($M$10:M113)+1,0)),0)</f>
        <v>0</v>
      </c>
      <c r="N114" s="7">
        <f ca="1">IF(AND(COPIA!$BF$1=1,M114&lt;&gt;0),ROW()-10,IF(AND(COPIA!$BF$1&gt;1,ROW()-10&gt;COPIA!$BF$1,M114&lt;&gt;0),0,IF(AND(COPIA!$BF$1&gt;1,ROW()-10&lt;=COPIA!$BF$1,M114&lt;&gt;0),ROW()-10,0)))</f>
        <v>0</v>
      </c>
      <c r="O114" s="7">
        <f ca="1">IF(AND($O$1=0,ROW()-10&lt;=$O$2),MAX($O$10:O113)+1,IF(AND(ROW()-10&gt;$O$2,ROW()-10&lt;=$O$1),ROW()-10,0))</f>
        <v>0</v>
      </c>
      <c r="P114" s="7">
        <f ca="1">IF(O114&gt;0,MAX($P$10:P113)+1,0)</f>
        <v>0</v>
      </c>
    </row>
    <row r="115" spans="2:16" ht="24" customHeight="1" x14ac:dyDescent="0.3">
      <c r="B115" s="22" t="str">
        <f t="shared" ca="1" si="7"/>
        <v/>
      </c>
      <c r="C115" s="16" t="str">
        <f t="shared" ca="1" si="5"/>
        <v/>
      </c>
      <c r="D115" s="23"/>
      <c r="E115" s="24"/>
      <c r="F115" s="27"/>
      <c r="G115" s="25"/>
      <c r="H115" s="26"/>
      <c r="I115" s="177"/>
      <c r="J115" s="151"/>
      <c r="K115" s="167" t="str">
        <f ca="1">IF(IF(COPIA!$R$1=TRUE,IF(OR(G115&lt;&gt;0,H115&lt;&gt;0),ROUND(SUM(G$11:G115),2)-ROUND(SUM(H$11:H115),2),""),"")&lt;&gt;0,"",0)</f>
        <v/>
      </c>
      <c r="L115" s="7">
        <f t="shared" ca="1" si="6"/>
        <v>0</v>
      </c>
      <c r="M115" s="7">
        <f ca="1">IFERROR(IF(AND(INDIRECT(ADDRESS(ROW(),4,,,))&lt;=COPIA!$DA$1,K115=0,COPIA!$BF$1&gt;1,ROW()-10&lt;COPIA!$BF$1-1),MAX($M$10:M114)+1,IF(AND(INDIRECT(ADDRESS(ROW(),4,,,))&lt;=COPIA!$DA$1,K115=0,COPIA!$BF$1=1),MAX($M$10:M114)+1,0)),0)</f>
        <v>0</v>
      </c>
      <c r="N115" s="7">
        <f ca="1">IF(AND(COPIA!$BF$1=1,M115&lt;&gt;0),ROW()-10,IF(AND(COPIA!$BF$1&gt;1,ROW()-10&gt;COPIA!$BF$1,M115&lt;&gt;0),0,IF(AND(COPIA!$BF$1&gt;1,ROW()-10&lt;=COPIA!$BF$1,M115&lt;&gt;0),ROW()-10,0)))</f>
        <v>0</v>
      </c>
      <c r="O115" s="7">
        <f ca="1">IF(AND($O$1=0,ROW()-10&lt;=$O$2),MAX($O$10:O114)+1,IF(AND(ROW()-10&gt;$O$2,ROW()-10&lt;=$O$1),ROW()-10,0))</f>
        <v>0</v>
      </c>
      <c r="P115" s="7">
        <f ca="1">IF(O115&gt;0,MAX($P$10:P114)+1,0)</f>
        <v>0</v>
      </c>
    </row>
    <row r="116" spans="2:16" ht="24" customHeight="1" x14ac:dyDescent="0.3">
      <c r="B116" s="22" t="str">
        <f t="shared" ca="1" si="7"/>
        <v/>
      </c>
      <c r="C116" s="16" t="str">
        <f t="shared" ca="1" si="5"/>
        <v/>
      </c>
      <c r="D116" s="23"/>
      <c r="E116" s="24"/>
      <c r="F116" s="27"/>
      <c r="G116" s="25"/>
      <c r="H116" s="26"/>
      <c r="I116" s="177"/>
      <c r="J116" s="151"/>
      <c r="K116" s="167" t="str">
        <f ca="1">IF(IF(COPIA!$R$1=TRUE,IF(OR(G116&lt;&gt;0,H116&lt;&gt;0),ROUND(SUM(G$11:G116),2)-ROUND(SUM(H$11:H116),2),""),"")&lt;&gt;0,"",0)</f>
        <v/>
      </c>
      <c r="L116" s="7">
        <f t="shared" ca="1" si="6"/>
        <v>0</v>
      </c>
      <c r="M116" s="7">
        <f ca="1">IFERROR(IF(AND(INDIRECT(ADDRESS(ROW(),4,,,))&lt;=COPIA!$DA$1,K116=0,COPIA!$BF$1&gt;1,ROW()-10&lt;COPIA!$BF$1-1),MAX($M$10:M115)+1,IF(AND(INDIRECT(ADDRESS(ROW(),4,,,))&lt;=COPIA!$DA$1,K116=0,COPIA!$BF$1=1),MAX($M$10:M115)+1,0)),0)</f>
        <v>0</v>
      </c>
      <c r="N116" s="7">
        <f ca="1">IF(AND(COPIA!$BF$1=1,M116&lt;&gt;0),ROW()-10,IF(AND(COPIA!$BF$1&gt;1,ROW()-10&gt;COPIA!$BF$1,M116&lt;&gt;0),0,IF(AND(COPIA!$BF$1&gt;1,ROW()-10&lt;=COPIA!$BF$1,M116&lt;&gt;0),ROW()-10,0)))</f>
        <v>0</v>
      </c>
      <c r="O116" s="7">
        <f ca="1">IF(AND($O$1=0,ROW()-10&lt;=$O$2),MAX($O$10:O115)+1,IF(AND(ROW()-10&gt;$O$2,ROW()-10&lt;=$O$1),ROW()-10,0))</f>
        <v>0</v>
      </c>
      <c r="P116" s="7">
        <f ca="1">IF(O116&gt;0,MAX($P$10:P115)+1,0)</f>
        <v>0</v>
      </c>
    </row>
    <row r="117" spans="2:16" ht="24" customHeight="1" x14ac:dyDescent="0.3">
      <c r="B117" s="22" t="str">
        <f t="shared" ca="1" si="7"/>
        <v/>
      </c>
      <c r="C117" s="16" t="str">
        <f t="shared" ca="1" si="5"/>
        <v/>
      </c>
      <c r="D117" s="23"/>
      <c r="E117" s="24"/>
      <c r="F117" s="27"/>
      <c r="G117" s="25"/>
      <c r="H117" s="26"/>
      <c r="I117" s="177"/>
      <c r="J117" s="151"/>
      <c r="K117" s="167" t="str">
        <f ca="1">IF(IF(COPIA!$R$1=TRUE,IF(OR(G117&lt;&gt;0,H117&lt;&gt;0),ROUND(SUM(G$11:G117),2)-ROUND(SUM(H$11:H117),2),""),"")&lt;&gt;0,"",0)</f>
        <v/>
      </c>
      <c r="L117" s="7">
        <f t="shared" ca="1" si="6"/>
        <v>0</v>
      </c>
      <c r="M117" s="7">
        <f ca="1">IFERROR(IF(AND(INDIRECT(ADDRESS(ROW(),4,,,))&lt;=COPIA!$DA$1,K117=0,COPIA!$BF$1&gt;1,ROW()-10&lt;COPIA!$BF$1-1),MAX($M$10:M116)+1,IF(AND(INDIRECT(ADDRESS(ROW(),4,,,))&lt;=COPIA!$DA$1,K117=0,COPIA!$BF$1=1),MAX($M$10:M116)+1,0)),0)</f>
        <v>0</v>
      </c>
      <c r="N117" s="7">
        <f ca="1">IF(AND(COPIA!$BF$1=1,M117&lt;&gt;0),ROW()-10,IF(AND(COPIA!$BF$1&gt;1,ROW()-10&gt;COPIA!$BF$1,M117&lt;&gt;0),0,IF(AND(COPIA!$BF$1&gt;1,ROW()-10&lt;=COPIA!$BF$1,M117&lt;&gt;0),ROW()-10,0)))</f>
        <v>0</v>
      </c>
      <c r="O117" s="7">
        <f ca="1">IF(AND($O$1=0,ROW()-10&lt;=$O$2),MAX($O$10:O116)+1,IF(AND(ROW()-10&gt;$O$2,ROW()-10&lt;=$O$1),ROW()-10,0))</f>
        <v>0</v>
      </c>
      <c r="P117" s="7">
        <f ca="1">IF(O117&gt;0,MAX($P$10:P116)+1,0)</f>
        <v>0</v>
      </c>
    </row>
    <row r="118" spans="2:16" ht="24" customHeight="1" x14ac:dyDescent="0.3">
      <c r="B118" s="22" t="str">
        <f t="shared" ca="1" si="7"/>
        <v/>
      </c>
      <c r="C118" s="16" t="str">
        <f t="shared" ca="1" si="5"/>
        <v/>
      </c>
      <c r="D118" s="23"/>
      <c r="E118" s="24"/>
      <c r="F118" s="27"/>
      <c r="G118" s="25"/>
      <c r="H118" s="26"/>
      <c r="I118" s="177"/>
      <c r="J118" s="151"/>
      <c r="K118" s="167" t="str">
        <f ca="1">IF(IF(COPIA!$R$1=TRUE,IF(OR(G118&lt;&gt;0,H118&lt;&gt;0),ROUND(SUM(G$11:G118),2)-ROUND(SUM(H$11:H118),2),""),"")&lt;&gt;0,"",0)</f>
        <v/>
      </c>
      <c r="L118" s="7">
        <f t="shared" ca="1" si="6"/>
        <v>0</v>
      </c>
      <c r="M118" s="7">
        <f ca="1">IFERROR(IF(AND(INDIRECT(ADDRESS(ROW(),4,,,))&lt;=COPIA!$DA$1,K118=0,COPIA!$BF$1&gt;1,ROW()-10&lt;COPIA!$BF$1-1),MAX($M$10:M117)+1,IF(AND(INDIRECT(ADDRESS(ROW(),4,,,))&lt;=COPIA!$DA$1,K118=0,COPIA!$BF$1=1),MAX($M$10:M117)+1,0)),0)</f>
        <v>0</v>
      </c>
      <c r="N118" s="7">
        <f ca="1">IF(AND(COPIA!$BF$1=1,M118&lt;&gt;0),ROW()-10,IF(AND(COPIA!$BF$1&gt;1,ROW()-10&gt;COPIA!$BF$1,M118&lt;&gt;0),0,IF(AND(COPIA!$BF$1&gt;1,ROW()-10&lt;=COPIA!$BF$1,M118&lt;&gt;0),ROW()-10,0)))</f>
        <v>0</v>
      </c>
      <c r="O118" s="7">
        <f ca="1">IF(AND($O$1=0,ROW()-10&lt;=$O$2),MAX($O$10:O117)+1,IF(AND(ROW()-10&gt;$O$2,ROW()-10&lt;=$O$1),ROW()-10,0))</f>
        <v>0</v>
      </c>
      <c r="P118" s="7">
        <f ca="1">IF(O118&gt;0,MAX($P$10:P117)+1,0)</f>
        <v>0</v>
      </c>
    </row>
    <row r="119" spans="2:16" ht="24" customHeight="1" x14ac:dyDescent="0.3">
      <c r="B119" s="22" t="str">
        <f t="shared" ca="1" si="7"/>
        <v/>
      </c>
      <c r="C119" s="16" t="str">
        <f t="shared" ca="1" si="5"/>
        <v/>
      </c>
      <c r="D119" s="23"/>
      <c r="E119" s="24"/>
      <c r="F119" s="27"/>
      <c r="G119" s="25"/>
      <c r="H119" s="26"/>
      <c r="I119" s="177"/>
      <c r="J119" s="151"/>
      <c r="K119" s="167" t="str">
        <f ca="1">IF(IF(COPIA!$R$1=TRUE,IF(OR(G119&lt;&gt;0,H119&lt;&gt;0),ROUND(SUM(G$11:G119),2)-ROUND(SUM(H$11:H119),2),""),"")&lt;&gt;0,"",0)</f>
        <v/>
      </c>
      <c r="L119" s="7">
        <f t="shared" ca="1" si="6"/>
        <v>0</v>
      </c>
      <c r="M119" s="7">
        <f ca="1">IFERROR(IF(AND(INDIRECT(ADDRESS(ROW(),4,,,))&lt;=COPIA!$DA$1,K119=0,COPIA!$BF$1&gt;1,ROW()-10&lt;COPIA!$BF$1-1),MAX($M$10:M118)+1,IF(AND(INDIRECT(ADDRESS(ROW(),4,,,))&lt;=COPIA!$DA$1,K119=0,COPIA!$BF$1=1),MAX($M$10:M118)+1,0)),0)</f>
        <v>0</v>
      </c>
      <c r="N119" s="7">
        <f ca="1">IF(AND(COPIA!$BF$1=1,M119&lt;&gt;0),ROW()-10,IF(AND(COPIA!$BF$1&gt;1,ROW()-10&gt;COPIA!$BF$1,M119&lt;&gt;0),0,IF(AND(COPIA!$BF$1&gt;1,ROW()-10&lt;=COPIA!$BF$1,M119&lt;&gt;0),ROW()-10,0)))</f>
        <v>0</v>
      </c>
      <c r="O119" s="7">
        <f ca="1">IF(AND($O$1=0,ROW()-10&lt;=$O$2),MAX($O$10:O118)+1,IF(AND(ROW()-10&gt;$O$2,ROW()-10&lt;=$O$1),ROW()-10,0))</f>
        <v>0</v>
      </c>
      <c r="P119" s="7">
        <f ca="1">IF(O119&gt;0,MAX($P$10:P118)+1,0)</f>
        <v>0</v>
      </c>
    </row>
    <row r="120" spans="2:16" ht="24" customHeight="1" x14ac:dyDescent="0.3">
      <c r="B120" s="22" t="str">
        <f t="shared" ca="1" si="7"/>
        <v/>
      </c>
      <c r="C120" s="16" t="str">
        <f t="shared" ca="1" si="5"/>
        <v/>
      </c>
      <c r="D120" s="23"/>
      <c r="E120" s="24"/>
      <c r="F120" s="27"/>
      <c r="G120" s="25"/>
      <c r="H120" s="26"/>
      <c r="I120" s="177"/>
      <c r="J120" s="151"/>
      <c r="K120" s="167" t="str">
        <f ca="1">IF(IF(COPIA!$R$1=TRUE,IF(OR(G120&lt;&gt;0,H120&lt;&gt;0),ROUND(SUM(G$11:G120),2)-ROUND(SUM(H$11:H120),2),""),"")&lt;&gt;0,"",0)</f>
        <v/>
      </c>
      <c r="L120" s="7">
        <f t="shared" ca="1" si="6"/>
        <v>0</v>
      </c>
      <c r="M120" s="7">
        <f ca="1">IFERROR(IF(AND(INDIRECT(ADDRESS(ROW(),4,,,))&lt;=COPIA!$DA$1,K120=0,COPIA!$BF$1&gt;1,ROW()-10&lt;COPIA!$BF$1-1),MAX($M$10:M119)+1,IF(AND(INDIRECT(ADDRESS(ROW(),4,,,))&lt;=COPIA!$DA$1,K120=0,COPIA!$BF$1=1),MAX($M$10:M119)+1,0)),0)</f>
        <v>0</v>
      </c>
      <c r="N120" s="7">
        <f ca="1">IF(AND(COPIA!$BF$1=1,M120&lt;&gt;0),ROW()-10,IF(AND(COPIA!$BF$1&gt;1,ROW()-10&gt;COPIA!$BF$1,M120&lt;&gt;0),0,IF(AND(COPIA!$BF$1&gt;1,ROW()-10&lt;=COPIA!$BF$1,M120&lt;&gt;0),ROW()-10,0)))</f>
        <v>0</v>
      </c>
      <c r="O120" s="7">
        <f ca="1">IF(AND($O$1=0,ROW()-10&lt;=$O$2),MAX($O$10:O119)+1,IF(AND(ROW()-10&gt;$O$2,ROW()-10&lt;=$O$1),ROW()-10,0))</f>
        <v>0</v>
      </c>
      <c r="P120" s="7">
        <f ca="1">IF(O120&gt;0,MAX($P$10:P119)+1,0)</f>
        <v>0</v>
      </c>
    </row>
    <row r="121" spans="2:16" ht="24" customHeight="1" x14ac:dyDescent="0.3">
      <c r="B121" s="22" t="str">
        <f t="shared" ca="1" si="7"/>
        <v/>
      </c>
      <c r="C121" s="16" t="str">
        <f t="shared" ca="1" si="5"/>
        <v/>
      </c>
      <c r="D121" s="23"/>
      <c r="E121" s="24"/>
      <c r="F121" s="27"/>
      <c r="G121" s="25"/>
      <c r="H121" s="26"/>
      <c r="I121" s="177"/>
      <c r="J121" s="151"/>
      <c r="K121" s="167" t="str">
        <f ca="1">IF(IF(COPIA!$R$1=TRUE,IF(OR(G121&lt;&gt;0,H121&lt;&gt;0),ROUND(SUM(G$11:G121),2)-ROUND(SUM(H$11:H121),2),""),"")&lt;&gt;0,"",0)</f>
        <v/>
      </c>
      <c r="L121" s="7">
        <f t="shared" ca="1" si="6"/>
        <v>0</v>
      </c>
      <c r="M121" s="7">
        <f ca="1">IFERROR(IF(AND(INDIRECT(ADDRESS(ROW(),4,,,))&lt;=COPIA!$DA$1,K121=0,COPIA!$BF$1&gt;1,ROW()-10&lt;COPIA!$BF$1-1),MAX($M$10:M120)+1,IF(AND(INDIRECT(ADDRESS(ROW(),4,,,))&lt;=COPIA!$DA$1,K121=0,COPIA!$BF$1=1),MAX($M$10:M120)+1,0)),0)</f>
        <v>0</v>
      </c>
      <c r="N121" s="7">
        <f ca="1">IF(AND(COPIA!$BF$1=1,M121&lt;&gt;0),ROW()-10,IF(AND(COPIA!$BF$1&gt;1,ROW()-10&gt;COPIA!$BF$1,M121&lt;&gt;0),0,IF(AND(COPIA!$BF$1&gt;1,ROW()-10&lt;=COPIA!$BF$1,M121&lt;&gt;0),ROW()-10,0)))</f>
        <v>0</v>
      </c>
      <c r="O121" s="7">
        <f ca="1">IF(AND($O$1=0,ROW()-10&lt;=$O$2),MAX($O$10:O120)+1,IF(AND(ROW()-10&gt;$O$2,ROW()-10&lt;=$O$1),ROW()-10,0))</f>
        <v>0</v>
      </c>
      <c r="P121" s="7">
        <f ca="1">IF(O121&gt;0,MAX($P$10:P120)+1,0)</f>
        <v>0</v>
      </c>
    </row>
    <row r="122" spans="2:16" ht="24" customHeight="1" x14ac:dyDescent="0.3">
      <c r="B122" s="22" t="str">
        <f t="shared" ca="1" si="7"/>
        <v/>
      </c>
      <c r="C122" s="16" t="str">
        <f t="shared" ca="1" si="5"/>
        <v/>
      </c>
      <c r="D122" s="23"/>
      <c r="E122" s="24"/>
      <c r="F122" s="27"/>
      <c r="G122" s="25"/>
      <c r="H122" s="26"/>
      <c r="I122" s="177"/>
      <c r="J122" s="151"/>
      <c r="K122" s="167" t="str">
        <f ca="1">IF(IF(COPIA!$R$1=TRUE,IF(OR(G122&lt;&gt;0,H122&lt;&gt;0),ROUND(SUM(G$11:G122),2)-ROUND(SUM(H$11:H122),2),""),"")&lt;&gt;0,"",0)</f>
        <v/>
      </c>
      <c r="L122" s="7">
        <f t="shared" ca="1" si="6"/>
        <v>0</v>
      </c>
      <c r="M122" s="7">
        <f ca="1">IFERROR(IF(AND(INDIRECT(ADDRESS(ROW(),4,,,))&lt;=COPIA!$DA$1,K122=0,COPIA!$BF$1&gt;1,ROW()-10&lt;COPIA!$BF$1-1),MAX($M$10:M121)+1,IF(AND(INDIRECT(ADDRESS(ROW(),4,,,))&lt;=COPIA!$DA$1,K122=0,COPIA!$BF$1=1),MAX($M$10:M121)+1,0)),0)</f>
        <v>0</v>
      </c>
      <c r="N122" s="7">
        <f ca="1">IF(AND(COPIA!$BF$1=1,M122&lt;&gt;0),ROW()-10,IF(AND(COPIA!$BF$1&gt;1,ROW()-10&gt;COPIA!$BF$1,M122&lt;&gt;0),0,IF(AND(COPIA!$BF$1&gt;1,ROW()-10&lt;=COPIA!$BF$1,M122&lt;&gt;0),ROW()-10,0)))</f>
        <v>0</v>
      </c>
      <c r="O122" s="7">
        <f ca="1">IF(AND($O$1=0,ROW()-10&lt;=$O$2),MAX($O$10:O121)+1,IF(AND(ROW()-10&gt;$O$2,ROW()-10&lt;=$O$1),ROW()-10,0))</f>
        <v>0</v>
      </c>
      <c r="P122" s="7">
        <f ca="1">IF(O122&gt;0,MAX($P$10:P121)+1,0)</f>
        <v>0</v>
      </c>
    </row>
    <row r="123" spans="2:16" ht="24" customHeight="1" x14ac:dyDescent="0.3">
      <c r="B123" s="22" t="str">
        <f t="shared" ca="1" si="7"/>
        <v/>
      </c>
      <c r="C123" s="16" t="str">
        <f t="shared" ca="1" si="5"/>
        <v/>
      </c>
      <c r="D123" s="23"/>
      <c r="E123" s="24"/>
      <c r="F123" s="27"/>
      <c r="G123" s="25"/>
      <c r="H123" s="26"/>
      <c r="I123" s="177"/>
      <c r="J123" s="151"/>
      <c r="K123" s="167" t="str">
        <f ca="1">IF(IF(COPIA!$R$1=TRUE,IF(OR(G123&lt;&gt;0,H123&lt;&gt;0),ROUND(SUM(G$11:G123),2)-ROUND(SUM(H$11:H123),2),""),"")&lt;&gt;0,"",0)</f>
        <v/>
      </c>
      <c r="L123" s="7">
        <f t="shared" ca="1" si="6"/>
        <v>0</v>
      </c>
      <c r="M123" s="7">
        <f ca="1">IFERROR(IF(AND(INDIRECT(ADDRESS(ROW(),4,,,))&lt;=COPIA!$DA$1,K123=0,COPIA!$BF$1&gt;1,ROW()-10&lt;COPIA!$BF$1-1),MAX($M$10:M122)+1,IF(AND(INDIRECT(ADDRESS(ROW(),4,,,))&lt;=COPIA!$DA$1,K123=0,COPIA!$BF$1=1),MAX($M$10:M122)+1,0)),0)</f>
        <v>0</v>
      </c>
      <c r="N123" s="7">
        <f ca="1">IF(AND(COPIA!$BF$1=1,M123&lt;&gt;0),ROW()-10,IF(AND(COPIA!$BF$1&gt;1,ROW()-10&gt;COPIA!$BF$1,M123&lt;&gt;0),0,IF(AND(COPIA!$BF$1&gt;1,ROW()-10&lt;=COPIA!$BF$1,M123&lt;&gt;0),ROW()-10,0)))</f>
        <v>0</v>
      </c>
      <c r="O123" s="7">
        <f ca="1">IF(AND($O$1=0,ROW()-10&lt;=$O$2),MAX($O$10:O122)+1,IF(AND(ROW()-10&gt;$O$2,ROW()-10&lt;=$O$1),ROW()-10,0))</f>
        <v>0</v>
      </c>
      <c r="P123" s="7">
        <f ca="1">IF(O123&gt;0,MAX($P$10:P122)+1,0)</f>
        <v>0</v>
      </c>
    </row>
    <row r="124" spans="2:16" ht="24" customHeight="1" x14ac:dyDescent="0.3">
      <c r="B124" s="22" t="str">
        <f t="shared" ca="1" si="7"/>
        <v/>
      </c>
      <c r="C124" s="16" t="str">
        <f t="shared" ca="1" si="5"/>
        <v/>
      </c>
      <c r="D124" s="23"/>
      <c r="E124" s="24"/>
      <c r="F124" s="27"/>
      <c r="G124" s="25"/>
      <c r="H124" s="26"/>
      <c r="I124" s="177"/>
      <c r="J124" s="151"/>
      <c r="K124" s="167" t="str">
        <f ca="1">IF(IF(COPIA!$R$1=TRUE,IF(OR(G124&lt;&gt;0,H124&lt;&gt;0),ROUND(SUM(G$11:G124),2)-ROUND(SUM(H$11:H124),2),""),"")&lt;&gt;0,"",0)</f>
        <v/>
      </c>
      <c r="L124" s="7">
        <f t="shared" ca="1" si="6"/>
        <v>0</v>
      </c>
      <c r="M124" s="7">
        <f ca="1">IFERROR(IF(AND(INDIRECT(ADDRESS(ROW(),4,,,))&lt;=COPIA!$DA$1,K124=0,COPIA!$BF$1&gt;1,ROW()-10&lt;COPIA!$BF$1-1),MAX($M$10:M123)+1,IF(AND(INDIRECT(ADDRESS(ROW(),4,,,))&lt;=COPIA!$DA$1,K124=0,COPIA!$BF$1=1),MAX($M$10:M123)+1,0)),0)</f>
        <v>0</v>
      </c>
      <c r="N124" s="7">
        <f ca="1">IF(AND(COPIA!$BF$1=1,M124&lt;&gt;0),ROW()-10,IF(AND(COPIA!$BF$1&gt;1,ROW()-10&gt;COPIA!$BF$1,M124&lt;&gt;0),0,IF(AND(COPIA!$BF$1&gt;1,ROW()-10&lt;=COPIA!$BF$1,M124&lt;&gt;0),ROW()-10,0)))</f>
        <v>0</v>
      </c>
      <c r="O124" s="7">
        <f ca="1">IF(AND($O$1=0,ROW()-10&lt;=$O$2),MAX($O$10:O123)+1,IF(AND(ROW()-10&gt;$O$2,ROW()-10&lt;=$O$1),ROW()-10,0))</f>
        <v>0</v>
      </c>
      <c r="P124" s="7">
        <f ca="1">IF(O124&gt;0,MAX($P$10:P123)+1,0)</f>
        <v>0</v>
      </c>
    </row>
    <row r="125" spans="2:16" ht="24" customHeight="1" x14ac:dyDescent="0.3">
      <c r="B125" s="22" t="str">
        <f t="shared" ca="1" si="7"/>
        <v/>
      </c>
      <c r="C125" s="16" t="str">
        <f t="shared" ca="1" si="5"/>
        <v/>
      </c>
      <c r="D125" s="23"/>
      <c r="E125" s="24"/>
      <c r="F125" s="27"/>
      <c r="G125" s="25"/>
      <c r="H125" s="26"/>
      <c r="I125" s="177"/>
      <c r="J125" s="151"/>
      <c r="K125" s="167" t="str">
        <f ca="1">IF(IF(COPIA!$R$1=TRUE,IF(OR(G125&lt;&gt;0,H125&lt;&gt;0),ROUND(SUM(G$11:G125),2)-ROUND(SUM(H$11:H125),2),""),"")&lt;&gt;0,"",0)</f>
        <v/>
      </c>
      <c r="L125" s="7">
        <f t="shared" ca="1" si="6"/>
        <v>0</v>
      </c>
      <c r="M125" s="7">
        <f ca="1">IFERROR(IF(AND(INDIRECT(ADDRESS(ROW(),4,,,))&lt;=COPIA!$DA$1,K125=0,COPIA!$BF$1&gt;1,ROW()-10&lt;COPIA!$BF$1-1),MAX($M$10:M124)+1,IF(AND(INDIRECT(ADDRESS(ROW(),4,,,))&lt;=COPIA!$DA$1,K125=0,COPIA!$BF$1=1),MAX($M$10:M124)+1,0)),0)</f>
        <v>0</v>
      </c>
      <c r="N125" s="7">
        <f ca="1">IF(AND(COPIA!$BF$1=1,M125&lt;&gt;0),ROW()-10,IF(AND(COPIA!$BF$1&gt;1,ROW()-10&gt;COPIA!$BF$1,M125&lt;&gt;0),0,IF(AND(COPIA!$BF$1&gt;1,ROW()-10&lt;=COPIA!$BF$1,M125&lt;&gt;0),ROW()-10,0)))</f>
        <v>0</v>
      </c>
      <c r="O125" s="7">
        <f ca="1">IF(AND($O$1=0,ROW()-10&lt;=$O$2),MAX($O$10:O124)+1,IF(AND(ROW()-10&gt;$O$2,ROW()-10&lt;=$O$1),ROW()-10,0))</f>
        <v>0</v>
      </c>
      <c r="P125" s="7">
        <f ca="1">IF(O125&gt;0,MAX($P$10:P124)+1,0)</f>
        <v>0</v>
      </c>
    </row>
    <row r="126" spans="2:16" ht="24" customHeight="1" x14ac:dyDescent="0.3">
      <c r="B126" s="22" t="str">
        <f t="shared" ca="1" si="7"/>
        <v/>
      </c>
      <c r="C126" s="16" t="str">
        <f t="shared" ca="1" si="5"/>
        <v/>
      </c>
      <c r="D126" s="23"/>
      <c r="E126" s="24"/>
      <c r="F126" s="27"/>
      <c r="G126" s="25"/>
      <c r="H126" s="26"/>
      <c r="I126" s="177"/>
      <c r="J126" s="151"/>
      <c r="K126" s="167" t="str">
        <f ca="1">IF(IF(COPIA!$R$1=TRUE,IF(OR(G126&lt;&gt;0,H126&lt;&gt;0),ROUND(SUM(G$11:G126),2)-ROUND(SUM(H$11:H126),2),""),"")&lt;&gt;0,"",0)</f>
        <v/>
      </c>
      <c r="L126" s="7">
        <f t="shared" ca="1" si="6"/>
        <v>0</v>
      </c>
      <c r="M126" s="7">
        <f ca="1">IFERROR(IF(AND(INDIRECT(ADDRESS(ROW(),4,,,))&lt;=COPIA!$DA$1,K126=0,COPIA!$BF$1&gt;1,ROW()-10&lt;COPIA!$BF$1-1),MAX($M$10:M125)+1,IF(AND(INDIRECT(ADDRESS(ROW(),4,,,))&lt;=COPIA!$DA$1,K126=0,COPIA!$BF$1=1),MAX($M$10:M125)+1,0)),0)</f>
        <v>0</v>
      </c>
      <c r="N126" s="7">
        <f ca="1">IF(AND(COPIA!$BF$1=1,M126&lt;&gt;0),ROW()-10,IF(AND(COPIA!$BF$1&gt;1,ROW()-10&gt;COPIA!$BF$1,M126&lt;&gt;0),0,IF(AND(COPIA!$BF$1&gt;1,ROW()-10&lt;=COPIA!$BF$1,M126&lt;&gt;0),ROW()-10,0)))</f>
        <v>0</v>
      </c>
      <c r="O126" s="7">
        <f ca="1">IF(AND($O$1=0,ROW()-10&lt;=$O$2),MAX($O$10:O125)+1,IF(AND(ROW()-10&gt;$O$2,ROW()-10&lt;=$O$1),ROW()-10,0))</f>
        <v>0</v>
      </c>
      <c r="P126" s="7">
        <f ca="1">IF(O126&gt;0,MAX($P$10:P125)+1,0)</f>
        <v>0</v>
      </c>
    </row>
    <row r="127" spans="2:16" ht="24" customHeight="1" x14ac:dyDescent="0.3">
      <c r="B127" s="22" t="str">
        <f t="shared" ca="1" si="7"/>
        <v/>
      </c>
      <c r="C127" s="16" t="str">
        <f t="shared" ca="1" si="5"/>
        <v/>
      </c>
      <c r="D127" s="23"/>
      <c r="E127" s="24"/>
      <c r="F127" s="27"/>
      <c r="G127" s="25"/>
      <c r="H127" s="26"/>
      <c r="I127" s="177"/>
      <c r="J127" s="151"/>
      <c r="K127" s="167" t="str">
        <f ca="1">IF(IF(COPIA!$R$1=TRUE,IF(OR(G127&lt;&gt;0,H127&lt;&gt;0),ROUND(SUM(G$11:G127),2)-ROUND(SUM(H$11:H127),2),""),"")&lt;&gt;0,"",0)</f>
        <v/>
      </c>
      <c r="L127" s="7">
        <f t="shared" ca="1" si="6"/>
        <v>0</v>
      </c>
      <c r="M127" s="7">
        <f ca="1">IFERROR(IF(AND(INDIRECT(ADDRESS(ROW(),4,,,))&lt;=COPIA!$DA$1,K127=0,COPIA!$BF$1&gt;1,ROW()-10&lt;COPIA!$BF$1-1),MAX($M$10:M126)+1,IF(AND(INDIRECT(ADDRESS(ROW(),4,,,))&lt;=COPIA!$DA$1,K127=0,COPIA!$BF$1=1),MAX($M$10:M126)+1,0)),0)</f>
        <v>0</v>
      </c>
      <c r="N127" s="7">
        <f ca="1">IF(AND(COPIA!$BF$1=1,M127&lt;&gt;0),ROW()-10,IF(AND(COPIA!$BF$1&gt;1,ROW()-10&gt;COPIA!$BF$1,M127&lt;&gt;0),0,IF(AND(COPIA!$BF$1&gt;1,ROW()-10&lt;=COPIA!$BF$1,M127&lt;&gt;0),ROW()-10,0)))</f>
        <v>0</v>
      </c>
      <c r="O127" s="7">
        <f ca="1">IF(AND($O$1=0,ROW()-10&lt;=$O$2),MAX($O$10:O126)+1,IF(AND(ROW()-10&gt;$O$2,ROW()-10&lt;=$O$1),ROW()-10,0))</f>
        <v>0</v>
      </c>
      <c r="P127" s="7">
        <f ca="1">IF(O127&gt;0,MAX($P$10:P126)+1,0)</f>
        <v>0</v>
      </c>
    </row>
    <row r="128" spans="2:16" ht="24" customHeight="1" x14ac:dyDescent="0.3">
      <c r="B128" s="22" t="str">
        <f t="shared" ca="1" si="7"/>
        <v/>
      </c>
      <c r="C128" s="16" t="str">
        <f t="shared" ca="1" si="5"/>
        <v/>
      </c>
      <c r="D128" s="23"/>
      <c r="E128" s="24"/>
      <c r="F128" s="27"/>
      <c r="G128" s="25"/>
      <c r="H128" s="26"/>
      <c r="I128" s="177"/>
      <c r="J128" s="151"/>
      <c r="K128" s="167" t="str">
        <f ca="1">IF(IF(COPIA!$R$1=TRUE,IF(OR(G128&lt;&gt;0,H128&lt;&gt;0),ROUND(SUM(G$11:G128),2)-ROUND(SUM(H$11:H128),2),""),"")&lt;&gt;0,"",0)</f>
        <v/>
      </c>
      <c r="L128" s="7">
        <f t="shared" ca="1" si="6"/>
        <v>0</v>
      </c>
      <c r="M128" s="7">
        <f ca="1">IFERROR(IF(AND(INDIRECT(ADDRESS(ROW(),4,,,))&lt;=COPIA!$DA$1,K128=0,COPIA!$BF$1&gt;1,ROW()-10&lt;COPIA!$BF$1-1),MAX($M$10:M127)+1,IF(AND(INDIRECT(ADDRESS(ROW(),4,,,))&lt;=COPIA!$DA$1,K128=0,COPIA!$BF$1=1),MAX($M$10:M127)+1,0)),0)</f>
        <v>0</v>
      </c>
      <c r="N128" s="7">
        <f ca="1">IF(AND(COPIA!$BF$1=1,M128&lt;&gt;0),ROW()-10,IF(AND(COPIA!$BF$1&gt;1,ROW()-10&gt;COPIA!$BF$1,M128&lt;&gt;0),0,IF(AND(COPIA!$BF$1&gt;1,ROW()-10&lt;=COPIA!$BF$1,M128&lt;&gt;0),ROW()-10,0)))</f>
        <v>0</v>
      </c>
      <c r="O128" s="7">
        <f ca="1">IF(AND($O$1=0,ROW()-10&lt;=$O$2),MAX($O$10:O127)+1,IF(AND(ROW()-10&gt;$O$2,ROW()-10&lt;=$O$1),ROW()-10,0))</f>
        <v>0</v>
      </c>
      <c r="P128" s="7">
        <f ca="1">IF(O128&gt;0,MAX($P$10:P127)+1,0)</f>
        <v>0</v>
      </c>
    </row>
    <row r="129" spans="2:16" ht="24" customHeight="1" x14ac:dyDescent="0.3">
      <c r="B129" s="22" t="str">
        <f t="shared" ca="1" si="7"/>
        <v/>
      </c>
      <c r="C129" s="16" t="str">
        <f t="shared" ca="1" si="5"/>
        <v/>
      </c>
      <c r="D129" s="23"/>
      <c r="E129" s="24"/>
      <c r="F129" s="27"/>
      <c r="G129" s="25"/>
      <c r="H129" s="26"/>
      <c r="I129" s="177"/>
      <c r="J129" s="151"/>
      <c r="K129" s="167" t="str">
        <f ca="1">IF(IF(COPIA!$R$1=TRUE,IF(OR(G129&lt;&gt;0,H129&lt;&gt;0),ROUND(SUM(G$11:G129),2)-ROUND(SUM(H$11:H129),2),""),"")&lt;&gt;0,"",0)</f>
        <v/>
      </c>
      <c r="L129" s="7">
        <f t="shared" ca="1" si="6"/>
        <v>0</v>
      </c>
      <c r="M129" s="7">
        <f ca="1">IFERROR(IF(AND(INDIRECT(ADDRESS(ROW(),4,,,))&lt;=COPIA!$DA$1,K129=0,COPIA!$BF$1&gt;1,ROW()-10&lt;COPIA!$BF$1-1),MAX($M$10:M128)+1,IF(AND(INDIRECT(ADDRESS(ROW(),4,,,))&lt;=COPIA!$DA$1,K129=0,COPIA!$BF$1=1),MAX($M$10:M128)+1,0)),0)</f>
        <v>0</v>
      </c>
      <c r="N129" s="7">
        <f ca="1">IF(AND(COPIA!$BF$1=1,M129&lt;&gt;0),ROW()-10,IF(AND(COPIA!$BF$1&gt;1,ROW()-10&gt;COPIA!$BF$1,M129&lt;&gt;0),0,IF(AND(COPIA!$BF$1&gt;1,ROW()-10&lt;=COPIA!$BF$1,M129&lt;&gt;0),ROW()-10,0)))</f>
        <v>0</v>
      </c>
      <c r="O129" s="7">
        <f ca="1">IF(AND($O$1=0,ROW()-10&lt;=$O$2),MAX($O$10:O128)+1,IF(AND(ROW()-10&gt;$O$2,ROW()-10&lt;=$O$1),ROW()-10,0))</f>
        <v>0</v>
      </c>
      <c r="P129" s="7">
        <f ca="1">IF(O129&gt;0,MAX($P$10:P128)+1,0)</f>
        <v>0</v>
      </c>
    </row>
    <row r="130" spans="2:16" ht="24" customHeight="1" x14ac:dyDescent="0.3">
      <c r="B130" s="22" t="str">
        <f t="shared" ca="1" si="7"/>
        <v/>
      </c>
      <c r="C130" s="16" t="str">
        <f t="shared" ca="1" si="5"/>
        <v/>
      </c>
      <c r="D130" s="23"/>
      <c r="E130" s="24"/>
      <c r="F130" s="27"/>
      <c r="G130" s="25"/>
      <c r="H130" s="26"/>
      <c r="I130" s="177"/>
      <c r="J130" s="151"/>
      <c r="K130" s="167" t="str">
        <f ca="1">IF(IF(COPIA!$R$1=TRUE,IF(OR(G130&lt;&gt;0,H130&lt;&gt;0),ROUND(SUM(G$11:G130),2)-ROUND(SUM(H$11:H130),2),""),"")&lt;&gt;0,"",0)</f>
        <v/>
      </c>
      <c r="L130" s="7">
        <f t="shared" ca="1" si="6"/>
        <v>0</v>
      </c>
      <c r="M130" s="7">
        <f ca="1">IFERROR(IF(AND(INDIRECT(ADDRESS(ROW(),4,,,))&lt;=COPIA!$DA$1,K130=0,COPIA!$BF$1&gt;1,ROW()-10&lt;COPIA!$BF$1-1),MAX($M$10:M129)+1,IF(AND(INDIRECT(ADDRESS(ROW(),4,,,))&lt;=COPIA!$DA$1,K130=0,COPIA!$BF$1=1),MAX($M$10:M129)+1,0)),0)</f>
        <v>0</v>
      </c>
      <c r="N130" s="7">
        <f ca="1">IF(AND(COPIA!$BF$1=1,M130&lt;&gt;0),ROW()-10,IF(AND(COPIA!$BF$1&gt;1,ROW()-10&gt;COPIA!$BF$1,M130&lt;&gt;0),0,IF(AND(COPIA!$BF$1&gt;1,ROW()-10&lt;=COPIA!$BF$1,M130&lt;&gt;0),ROW()-10,0)))</f>
        <v>0</v>
      </c>
      <c r="O130" s="7">
        <f ca="1">IF(AND($O$1=0,ROW()-10&lt;=$O$2),MAX($O$10:O129)+1,IF(AND(ROW()-10&gt;$O$2,ROW()-10&lt;=$O$1),ROW()-10,0))</f>
        <v>0</v>
      </c>
      <c r="P130" s="7">
        <f ca="1">IF(O130&gt;0,MAX($P$10:P129)+1,0)</f>
        <v>0</v>
      </c>
    </row>
    <row r="131" spans="2:16" ht="24" customHeight="1" x14ac:dyDescent="0.3">
      <c r="B131" s="22" t="str">
        <f t="shared" ca="1" si="7"/>
        <v/>
      </c>
      <c r="C131" s="16" t="str">
        <f t="shared" ca="1" si="5"/>
        <v/>
      </c>
      <c r="D131" s="23"/>
      <c r="E131" s="24"/>
      <c r="F131" s="27"/>
      <c r="G131" s="25"/>
      <c r="H131" s="26"/>
      <c r="I131" s="177"/>
      <c r="J131" s="151"/>
      <c r="K131" s="167" t="str">
        <f ca="1">IF(IF(COPIA!$R$1=TRUE,IF(OR(G131&lt;&gt;0,H131&lt;&gt;0),ROUND(SUM(G$11:G131),2)-ROUND(SUM(H$11:H131),2),""),"")&lt;&gt;0,"",0)</f>
        <v/>
      </c>
      <c r="L131" s="7">
        <f t="shared" ca="1" si="6"/>
        <v>0</v>
      </c>
      <c r="M131" s="7">
        <f ca="1">IFERROR(IF(AND(INDIRECT(ADDRESS(ROW(),4,,,))&lt;=COPIA!$DA$1,K131=0,COPIA!$BF$1&gt;1,ROW()-10&lt;COPIA!$BF$1-1),MAX($M$10:M130)+1,IF(AND(INDIRECT(ADDRESS(ROW(),4,,,))&lt;=COPIA!$DA$1,K131=0,COPIA!$BF$1=1),MAX($M$10:M130)+1,0)),0)</f>
        <v>0</v>
      </c>
      <c r="N131" s="7">
        <f ca="1">IF(AND(COPIA!$BF$1=1,M131&lt;&gt;0),ROW()-10,IF(AND(COPIA!$BF$1&gt;1,ROW()-10&gt;COPIA!$BF$1,M131&lt;&gt;0),0,IF(AND(COPIA!$BF$1&gt;1,ROW()-10&lt;=COPIA!$BF$1,M131&lt;&gt;0),ROW()-10,0)))</f>
        <v>0</v>
      </c>
      <c r="O131" s="7">
        <f ca="1">IF(AND($O$1=0,ROW()-10&lt;=$O$2),MAX($O$10:O130)+1,IF(AND(ROW()-10&gt;$O$2,ROW()-10&lt;=$O$1),ROW()-10,0))</f>
        <v>0</v>
      </c>
      <c r="P131" s="7">
        <f ca="1">IF(O131&gt;0,MAX($P$10:P130)+1,0)</f>
        <v>0</v>
      </c>
    </row>
    <row r="132" spans="2:16" ht="24" customHeight="1" x14ac:dyDescent="0.3">
      <c r="B132" s="22" t="str">
        <f t="shared" ca="1" si="7"/>
        <v/>
      </c>
      <c r="C132" s="16" t="str">
        <f t="shared" ca="1" si="5"/>
        <v/>
      </c>
      <c r="D132" s="23"/>
      <c r="E132" s="24"/>
      <c r="F132" s="27"/>
      <c r="G132" s="25"/>
      <c r="H132" s="26"/>
      <c r="I132" s="177"/>
      <c r="J132" s="151"/>
      <c r="K132" s="167" t="str">
        <f ca="1">IF(IF(COPIA!$R$1=TRUE,IF(OR(G132&lt;&gt;0,H132&lt;&gt;0),ROUND(SUM(G$11:G132),2)-ROUND(SUM(H$11:H132),2),""),"")&lt;&gt;0,"",0)</f>
        <v/>
      </c>
      <c r="L132" s="7">
        <f t="shared" ca="1" si="6"/>
        <v>0</v>
      </c>
      <c r="M132" s="7">
        <f ca="1">IFERROR(IF(AND(INDIRECT(ADDRESS(ROW(),4,,,))&lt;=COPIA!$DA$1,K132=0,COPIA!$BF$1&gt;1,ROW()-10&lt;COPIA!$BF$1-1),MAX($M$10:M131)+1,IF(AND(INDIRECT(ADDRESS(ROW(),4,,,))&lt;=COPIA!$DA$1,K132=0,COPIA!$BF$1=1),MAX($M$10:M131)+1,0)),0)</f>
        <v>0</v>
      </c>
      <c r="N132" s="7">
        <f ca="1">IF(AND(COPIA!$BF$1=1,M132&lt;&gt;0),ROW()-10,IF(AND(COPIA!$BF$1&gt;1,ROW()-10&gt;COPIA!$BF$1,M132&lt;&gt;0),0,IF(AND(COPIA!$BF$1&gt;1,ROW()-10&lt;=COPIA!$BF$1,M132&lt;&gt;0),ROW()-10,0)))</f>
        <v>0</v>
      </c>
      <c r="O132" s="7">
        <f ca="1">IF(AND($O$1=0,ROW()-10&lt;=$O$2),MAX($O$10:O131)+1,IF(AND(ROW()-10&gt;$O$2,ROW()-10&lt;=$O$1),ROW()-10,0))</f>
        <v>0</v>
      </c>
      <c r="P132" s="7">
        <f ca="1">IF(O132&gt;0,MAX($P$10:P131)+1,0)</f>
        <v>0</v>
      </c>
    </row>
    <row r="133" spans="2:16" ht="24" customHeight="1" x14ac:dyDescent="0.3">
      <c r="B133" s="22" t="str">
        <f t="shared" ca="1" si="7"/>
        <v/>
      </c>
      <c r="C133" s="16" t="str">
        <f t="shared" ca="1" si="5"/>
        <v/>
      </c>
      <c r="D133" s="23"/>
      <c r="E133" s="24"/>
      <c r="F133" s="27"/>
      <c r="G133" s="25"/>
      <c r="H133" s="26"/>
      <c r="I133" s="177"/>
      <c r="J133" s="151"/>
      <c r="K133" s="167" t="str">
        <f ca="1">IF(IF(COPIA!$R$1=TRUE,IF(OR(G133&lt;&gt;0,H133&lt;&gt;0),ROUND(SUM(G$11:G133),2)-ROUND(SUM(H$11:H133),2),""),"")&lt;&gt;0,"",0)</f>
        <v/>
      </c>
      <c r="L133" s="7">
        <f t="shared" ca="1" si="6"/>
        <v>0</v>
      </c>
      <c r="M133" s="7">
        <f ca="1">IFERROR(IF(AND(INDIRECT(ADDRESS(ROW(),4,,,))&lt;=COPIA!$DA$1,K133=0,COPIA!$BF$1&gt;1,ROW()-10&lt;COPIA!$BF$1-1),MAX($M$10:M132)+1,IF(AND(INDIRECT(ADDRESS(ROW(),4,,,))&lt;=COPIA!$DA$1,K133=0,COPIA!$BF$1=1),MAX($M$10:M132)+1,0)),0)</f>
        <v>0</v>
      </c>
      <c r="N133" s="7">
        <f ca="1">IF(AND(COPIA!$BF$1=1,M133&lt;&gt;0),ROW()-10,IF(AND(COPIA!$BF$1&gt;1,ROW()-10&gt;COPIA!$BF$1,M133&lt;&gt;0),0,IF(AND(COPIA!$BF$1&gt;1,ROW()-10&lt;=COPIA!$BF$1,M133&lt;&gt;0),ROW()-10,0)))</f>
        <v>0</v>
      </c>
      <c r="O133" s="7">
        <f ca="1">IF(AND($O$1=0,ROW()-10&lt;=$O$2),MAX($O$10:O132)+1,IF(AND(ROW()-10&gt;$O$2,ROW()-10&lt;=$O$1),ROW()-10,0))</f>
        <v>0</v>
      </c>
      <c r="P133" s="7">
        <f ca="1">IF(O133&gt;0,MAX($P$10:P132)+1,0)</f>
        <v>0</v>
      </c>
    </row>
    <row r="134" spans="2:16" ht="24" customHeight="1" x14ac:dyDescent="0.3">
      <c r="B134" s="22" t="str">
        <f t="shared" ca="1" si="7"/>
        <v/>
      </c>
      <c r="C134" s="16" t="str">
        <f t="shared" ca="1" si="5"/>
        <v/>
      </c>
      <c r="D134" s="23"/>
      <c r="E134" s="24"/>
      <c r="F134" s="27"/>
      <c r="G134" s="25"/>
      <c r="H134" s="26"/>
      <c r="I134" s="177"/>
      <c r="J134" s="151"/>
      <c r="K134" s="167" t="str">
        <f ca="1">IF(IF(COPIA!$R$1=TRUE,IF(OR(G134&lt;&gt;0,H134&lt;&gt;0),ROUND(SUM(G$11:G134),2)-ROUND(SUM(H$11:H134),2),""),"")&lt;&gt;0,"",0)</f>
        <v/>
      </c>
      <c r="L134" s="7">
        <f t="shared" ca="1" si="6"/>
        <v>0</v>
      </c>
      <c r="M134" s="7">
        <f ca="1">IFERROR(IF(AND(INDIRECT(ADDRESS(ROW(),4,,,))&lt;=COPIA!$DA$1,K134=0,COPIA!$BF$1&gt;1,ROW()-10&lt;COPIA!$BF$1-1),MAX($M$10:M133)+1,IF(AND(INDIRECT(ADDRESS(ROW(),4,,,))&lt;=COPIA!$DA$1,K134=0,COPIA!$BF$1=1),MAX($M$10:M133)+1,0)),0)</f>
        <v>0</v>
      </c>
      <c r="N134" s="7">
        <f ca="1">IF(AND(COPIA!$BF$1=1,M134&lt;&gt;0),ROW()-10,IF(AND(COPIA!$BF$1&gt;1,ROW()-10&gt;COPIA!$BF$1,M134&lt;&gt;0),0,IF(AND(COPIA!$BF$1&gt;1,ROW()-10&lt;=COPIA!$BF$1,M134&lt;&gt;0),ROW()-10,0)))</f>
        <v>0</v>
      </c>
      <c r="O134" s="7">
        <f ca="1">IF(AND($O$1=0,ROW()-10&lt;=$O$2),MAX($O$10:O133)+1,IF(AND(ROW()-10&gt;$O$2,ROW()-10&lt;=$O$1),ROW()-10,0))</f>
        <v>0</v>
      </c>
      <c r="P134" s="7">
        <f ca="1">IF(O134&gt;0,MAX($P$10:P133)+1,0)</f>
        <v>0</v>
      </c>
    </row>
    <row r="135" spans="2:16" ht="24" customHeight="1" x14ac:dyDescent="0.3">
      <c r="B135" s="22" t="str">
        <f t="shared" ca="1" si="7"/>
        <v/>
      </c>
      <c r="C135" s="16" t="str">
        <f t="shared" ca="1" si="5"/>
        <v/>
      </c>
      <c r="D135" s="23"/>
      <c r="E135" s="24"/>
      <c r="F135" s="27"/>
      <c r="G135" s="25"/>
      <c r="H135" s="26"/>
      <c r="I135" s="177"/>
      <c r="J135" s="151"/>
      <c r="K135" s="167" t="str">
        <f ca="1">IF(IF(COPIA!$R$1=TRUE,IF(OR(G135&lt;&gt;0,H135&lt;&gt;0),ROUND(SUM(G$11:G135),2)-ROUND(SUM(H$11:H135),2),""),"")&lt;&gt;0,"",0)</f>
        <v/>
      </c>
      <c r="L135" s="7">
        <f t="shared" ca="1" si="6"/>
        <v>0</v>
      </c>
      <c r="M135" s="7">
        <f ca="1">IFERROR(IF(AND(INDIRECT(ADDRESS(ROW(),4,,,))&lt;=COPIA!$DA$1,K135=0,COPIA!$BF$1&gt;1,ROW()-10&lt;COPIA!$BF$1-1),MAX($M$10:M134)+1,IF(AND(INDIRECT(ADDRESS(ROW(),4,,,))&lt;=COPIA!$DA$1,K135=0,COPIA!$BF$1=1),MAX($M$10:M134)+1,0)),0)</f>
        <v>0</v>
      </c>
      <c r="N135" s="7">
        <f ca="1">IF(AND(COPIA!$BF$1=1,M135&lt;&gt;0),ROW()-10,IF(AND(COPIA!$BF$1&gt;1,ROW()-10&gt;COPIA!$BF$1,M135&lt;&gt;0),0,IF(AND(COPIA!$BF$1&gt;1,ROW()-10&lt;=COPIA!$BF$1,M135&lt;&gt;0),ROW()-10,0)))</f>
        <v>0</v>
      </c>
      <c r="O135" s="7">
        <f ca="1">IF(AND($O$1=0,ROW()-10&lt;=$O$2),MAX($O$10:O134)+1,IF(AND(ROW()-10&gt;$O$2,ROW()-10&lt;=$O$1),ROW()-10,0))</f>
        <v>0</v>
      </c>
      <c r="P135" s="7">
        <f ca="1">IF(O135&gt;0,MAX($P$10:P134)+1,0)</f>
        <v>0</v>
      </c>
    </row>
    <row r="136" spans="2:16" ht="24" customHeight="1" x14ac:dyDescent="0.3">
      <c r="B136" s="22" t="str">
        <f t="shared" ca="1" si="7"/>
        <v/>
      </c>
      <c r="C136" s="16" t="str">
        <f t="shared" ca="1" si="5"/>
        <v/>
      </c>
      <c r="D136" s="23"/>
      <c r="E136" s="24"/>
      <c r="F136" s="27"/>
      <c r="G136" s="25"/>
      <c r="H136" s="26"/>
      <c r="I136" s="177"/>
      <c r="J136" s="151"/>
      <c r="K136" s="167" t="str">
        <f ca="1">IF(IF(COPIA!$R$1=TRUE,IF(OR(G136&lt;&gt;0,H136&lt;&gt;0),ROUND(SUM(G$11:G136),2)-ROUND(SUM(H$11:H136),2),""),"")&lt;&gt;0,"",0)</f>
        <v/>
      </c>
      <c r="L136" s="7">
        <f t="shared" ca="1" si="6"/>
        <v>0</v>
      </c>
      <c r="M136" s="7">
        <f ca="1">IFERROR(IF(AND(INDIRECT(ADDRESS(ROW(),4,,,))&lt;=COPIA!$DA$1,K136=0,COPIA!$BF$1&gt;1,ROW()-10&lt;COPIA!$BF$1-1),MAX($M$10:M135)+1,IF(AND(INDIRECT(ADDRESS(ROW(),4,,,))&lt;=COPIA!$DA$1,K136=0,COPIA!$BF$1=1),MAX($M$10:M135)+1,0)),0)</f>
        <v>0</v>
      </c>
      <c r="N136" s="7">
        <f ca="1">IF(AND(COPIA!$BF$1=1,M136&lt;&gt;0),ROW()-10,IF(AND(COPIA!$BF$1&gt;1,ROW()-10&gt;COPIA!$BF$1,M136&lt;&gt;0),0,IF(AND(COPIA!$BF$1&gt;1,ROW()-10&lt;=COPIA!$BF$1,M136&lt;&gt;0),ROW()-10,0)))</f>
        <v>0</v>
      </c>
      <c r="O136" s="7">
        <f ca="1">IF(AND($O$1=0,ROW()-10&lt;=$O$2),MAX($O$10:O135)+1,IF(AND(ROW()-10&gt;$O$2,ROW()-10&lt;=$O$1),ROW()-10,0))</f>
        <v>0</v>
      </c>
      <c r="P136" s="7">
        <f ca="1">IF(O136&gt;0,MAX($P$10:P135)+1,0)</f>
        <v>0</v>
      </c>
    </row>
    <row r="137" spans="2:16" ht="24" customHeight="1" x14ac:dyDescent="0.3">
      <c r="B137" s="22" t="str">
        <f t="shared" ca="1" si="7"/>
        <v/>
      </c>
      <c r="C137" s="16" t="str">
        <f t="shared" ca="1" si="5"/>
        <v/>
      </c>
      <c r="D137" s="23"/>
      <c r="E137" s="24"/>
      <c r="F137" s="27"/>
      <c r="G137" s="25"/>
      <c r="H137" s="26"/>
      <c r="I137" s="177"/>
      <c r="J137" s="151"/>
      <c r="K137" s="167" t="str">
        <f ca="1">IF(IF(COPIA!$R$1=TRUE,IF(OR(G137&lt;&gt;0,H137&lt;&gt;0),ROUND(SUM(G$11:G137),2)-ROUND(SUM(H$11:H137),2),""),"")&lt;&gt;0,"",0)</f>
        <v/>
      </c>
      <c r="L137" s="7">
        <f t="shared" ca="1" si="6"/>
        <v>0</v>
      </c>
      <c r="M137" s="7">
        <f ca="1">IFERROR(IF(AND(INDIRECT(ADDRESS(ROW(),4,,,))&lt;=COPIA!$DA$1,K137=0,COPIA!$BF$1&gt;1,ROW()-10&lt;COPIA!$BF$1-1),MAX($M$10:M136)+1,IF(AND(INDIRECT(ADDRESS(ROW(),4,,,))&lt;=COPIA!$DA$1,K137=0,COPIA!$BF$1=1),MAX($M$10:M136)+1,0)),0)</f>
        <v>0</v>
      </c>
      <c r="N137" s="7">
        <f ca="1">IF(AND(COPIA!$BF$1=1,M137&lt;&gt;0),ROW()-10,IF(AND(COPIA!$BF$1&gt;1,ROW()-10&gt;COPIA!$BF$1,M137&lt;&gt;0),0,IF(AND(COPIA!$BF$1&gt;1,ROW()-10&lt;=COPIA!$BF$1,M137&lt;&gt;0),ROW()-10,0)))</f>
        <v>0</v>
      </c>
      <c r="O137" s="7">
        <f ca="1">IF(AND($O$1=0,ROW()-10&lt;=$O$2),MAX($O$10:O136)+1,IF(AND(ROW()-10&gt;$O$2,ROW()-10&lt;=$O$1),ROW()-10,0))</f>
        <v>0</v>
      </c>
      <c r="P137" s="7">
        <f ca="1">IF(O137&gt;0,MAX($P$10:P136)+1,0)</f>
        <v>0</v>
      </c>
    </row>
    <row r="138" spans="2:16" ht="24" customHeight="1" x14ac:dyDescent="0.3">
      <c r="B138" s="22" t="str">
        <f t="shared" ca="1" si="7"/>
        <v/>
      </c>
      <c r="C138" s="16" t="str">
        <f t="shared" ca="1" si="5"/>
        <v/>
      </c>
      <c r="D138" s="23"/>
      <c r="E138" s="24"/>
      <c r="F138" s="27"/>
      <c r="G138" s="25"/>
      <c r="H138" s="26"/>
      <c r="I138" s="177"/>
      <c r="J138" s="151"/>
      <c r="K138" s="167" t="str">
        <f ca="1">IF(IF(COPIA!$R$1=TRUE,IF(OR(G138&lt;&gt;0,H138&lt;&gt;0),ROUND(SUM(G$11:G138),2)-ROUND(SUM(H$11:H138),2),""),"")&lt;&gt;0,"",0)</f>
        <v/>
      </c>
      <c r="L138" s="7">
        <f t="shared" ca="1" si="6"/>
        <v>0</v>
      </c>
      <c r="M138" s="7">
        <f ca="1">IFERROR(IF(AND(INDIRECT(ADDRESS(ROW(),4,,,))&lt;=COPIA!$DA$1,K138=0,COPIA!$BF$1&gt;1,ROW()-10&lt;COPIA!$BF$1-1),MAX($M$10:M137)+1,IF(AND(INDIRECT(ADDRESS(ROW(),4,,,))&lt;=COPIA!$DA$1,K138=0,COPIA!$BF$1=1),MAX($M$10:M137)+1,0)),0)</f>
        <v>0</v>
      </c>
      <c r="N138" s="7">
        <f ca="1">IF(AND(COPIA!$BF$1=1,M138&lt;&gt;0),ROW()-10,IF(AND(COPIA!$BF$1&gt;1,ROW()-10&gt;COPIA!$BF$1,M138&lt;&gt;0),0,IF(AND(COPIA!$BF$1&gt;1,ROW()-10&lt;=COPIA!$BF$1,M138&lt;&gt;0),ROW()-10,0)))</f>
        <v>0</v>
      </c>
      <c r="O138" s="7">
        <f ca="1">IF(AND($O$1=0,ROW()-10&lt;=$O$2),MAX($O$10:O137)+1,IF(AND(ROW()-10&gt;$O$2,ROW()-10&lt;=$O$1),ROW()-10,0))</f>
        <v>0</v>
      </c>
      <c r="P138" s="7">
        <f ca="1">IF(O138&gt;0,MAX($P$10:P137)+1,0)</f>
        <v>0</v>
      </c>
    </row>
    <row r="139" spans="2:16" ht="24" customHeight="1" x14ac:dyDescent="0.3">
      <c r="B139" s="22" t="str">
        <f t="shared" ref="B139:B170" ca="1" si="8">IF(INDIRECT(ADDRESS(ROW(),4,,,))="","",IFERROR(INDEX(PDC,MATCH(INDIRECT(ADDRESS(ROW(),5,,,)),DEN_PDC,0),1),0))</f>
        <v/>
      </c>
      <c r="C139" s="16" t="str">
        <f t="shared" ca="1" si="5"/>
        <v/>
      </c>
      <c r="D139" s="23"/>
      <c r="E139" s="24"/>
      <c r="F139" s="27"/>
      <c r="G139" s="25"/>
      <c r="H139" s="26"/>
      <c r="I139" s="177"/>
      <c r="J139" s="151"/>
      <c r="K139" s="167" t="str">
        <f ca="1">IF(IF(COPIA!$R$1=TRUE,IF(OR(G139&lt;&gt;0,H139&lt;&gt;0),ROUND(SUM(G$11:G139),2)-ROUND(SUM(H$11:H139),2),""),"")&lt;&gt;0,"",0)</f>
        <v/>
      </c>
      <c r="L139" s="7">
        <f t="shared" ca="1" si="6"/>
        <v>0</v>
      </c>
      <c r="M139" s="7">
        <f ca="1">IFERROR(IF(AND(INDIRECT(ADDRESS(ROW(),4,,,))&lt;=COPIA!$DA$1,K139=0,COPIA!$BF$1&gt;1,ROW()-10&lt;COPIA!$BF$1-1),MAX($M$10:M138)+1,IF(AND(INDIRECT(ADDRESS(ROW(),4,,,))&lt;=COPIA!$DA$1,K139=0,COPIA!$BF$1=1),MAX($M$10:M138)+1,0)),0)</f>
        <v>0</v>
      </c>
      <c r="N139" s="7">
        <f ca="1">IF(AND(COPIA!$BF$1=1,M139&lt;&gt;0),ROW()-10,IF(AND(COPIA!$BF$1&gt;1,ROW()-10&gt;COPIA!$BF$1,M139&lt;&gt;0),0,IF(AND(COPIA!$BF$1&gt;1,ROW()-10&lt;=COPIA!$BF$1,M139&lt;&gt;0),ROW()-10,0)))</f>
        <v>0</v>
      </c>
      <c r="O139" s="7">
        <f ca="1">IF(AND($O$1=0,ROW()-10&lt;=$O$2),MAX($O$10:O138)+1,IF(AND(ROW()-10&gt;$O$2,ROW()-10&lt;=$O$1),ROW()-10,0))</f>
        <v>0</v>
      </c>
      <c r="P139" s="7">
        <f ca="1">IF(O139&gt;0,MAX($P$10:P138)+1,0)</f>
        <v>0</v>
      </c>
    </row>
    <row r="140" spans="2:16" ht="24" customHeight="1" x14ac:dyDescent="0.3">
      <c r="B140" s="22" t="str">
        <f t="shared" ca="1" si="8"/>
        <v/>
      </c>
      <c r="C140" s="16" t="str">
        <f t="shared" ref="C140:C203" ca="1" si="9">IF(INDIRECT(ADDRESS(ROW(),5,,,))&lt;&gt;"",ROW()-10,"")</f>
        <v/>
      </c>
      <c r="D140" s="23"/>
      <c r="E140" s="24"/>
      <c r="F140" s="27"/>
      <c r="G140" s="25"/>
      <c r="H140" s="26"/>
      <c r="I140" s="177"/>
      <c r="J140" s="151"/>
      <c r="K140" s="167" t="str">
        <f ca="1">IF(IF(COPIA!$R$1=TRUE,IF(OR(G140&lt;&gt;0,H140&lt;&gt;0),ROUND(SUM(G$11:G140),2)-ROUND(SUM(H$11:H140),2),""),"")&lt;&gt;0,"",0)</f>
        <v/>
      </c>
      <c r="L140" s="7">
        <f t="shared" ref="L140:L203" ca="1" si="10">IF(INDIRECT(ADDRESS(ROW(),4,4,,))&lt;&gt;"",YEAR(INDIRECT(ADDRESS(ROW(),4,4,,))),0)</f>
        <v>0</v>
      </c>
      <c r="M140" s="7">
        <f ca="1">IFERROR(IF(AND(INDIRECT(ADDRESS(ROW(),4,,,))&lt;=COPIA!$DA$1,K140=0,COPIA!$BF$1&gt;1,ROW()-10&lt;COPIA!$BF$1-1),MAX($M$10:M139)+1,IF(AND(INDIRECT(ADDRESS(ROW(),4,,,))&lt;=COPIA!$DA$1,K140=0,COPIA!$BF$1=1),MAX($M$10:M139)+1,0)),0)</f>
        <v>0</v>
      </c>
      <c r="N140" s="7">
        <f ca="1">IF(AND(COPIA!$BF$1=1,M140&lt;&gt;0),ROW()-10,IF(AND(COPIA!$BF$1&gt;1,ROW()-10&gt;COPIA!$BF$1,M140&lt;&gt;0),0,IF(AND(COPIA!$BF$1&gt;1,ROW()-10&lt;=COPIA!$BF$1,M140&lt;&gt;0),ROW()-10,0)))</f>
        <v>0</v>
      </c>
      <c r="O140" s="7">
        <f ca="1">IF(AND($O$1=0,ROW()-10&lt;=$O$2),MAX($O$10:O139)+1,IF(AND(ROW()-10&gt;$O$2,ROW()-10&lt;=$O$1),ROW()-10,0))</f>
        <v>0</v>
      </c>
      <c r="P140" s="7">
        <f ca="1">IF(O140&gt;0,MAX($P$10:P139)+1,0)</f>
        <v>0</v>
      </c>
    </row>
    <row r="141" spans="2:16" ht="24" customHeight="1" x14ac:dyDescent="0.3">
      <c r="B141" s="22" t="str">
        <f t="shared" ca="1" si="8"/>
        <v/>
      </c>
      <c r="C141" s="16" t="str">
        <f t="shared" ca="1" si="9"/>
        <v/>
      </c>
      <c r="D141" s="23"/>
      <c r="E141" s="24"/>
      <c r="F141" s="27"/>
      <c r="G141" s="25"/>
      <c r="H141" s="26"/>
      <c r="I141" s="177"/>
      <c r="J141" s="151"/>
      <c r="K141" s="167" t="str">
        <f ca="1">IF(IF(COPIA!$R$1=TRUE,IF(OR(G141&lt;&gt;0,H141&lt;&gt;0),ROUND(SUM(G$11:G141),2)-ROUND(SUM(H$11:H141),2),""),"")&lt;&gt;0,"",0)</f>
        <v/>
      </c>
      <c r="L141" s="7">
        <f t="shared" ca="1" si="10"/>
        <v>0</v>
      </c>
      <c r="M141" s="7">
        <f ca="1">IFERROR(IF(AND(INDIRECT(ADDRESS(ROW(),4,,,))&lt;=COPIA!$DA$1,K141=0,COPIA!$BF$1&gt;1,ROW()-10&lt;COPIA!$BF$1-1),MAX($M$10:M140)+1,IF(AND(INDIRECT(ADDRESS(ROW(),4,,,))&lt;=COPIA!$DA$1,K141=0,COPIA!$BF$1=1),MAX($M$10:M140)+1,0)),0)</f>
        <v>0</v>
      </c>
      <c r="N141" s="7">
        <f ca="1">IF(AND(COPIA!$BF$1=1,M141&lt;&gt;0),ROW()-10,IF(AND(COPIA!$BF$1&gt;1,ROW()-10&gt;COPIA!$BF$1,M141&lt;&gt;0),0,IF(AND(COPIA!$BF$1&gt;1,ROW()-10&lt;=COPIA!$BF$1,M141&lt;&gt;0),ROW()-10,0)))</f>
        <v>0</v>
      </c>
      <c r="O141" s="7">
        <f ca="1">IF(AND($O$1=0,ROW()-10&lt;=$O$2),MAX($O$10:O140)+1,IF(AND(ROW()-10&gt;$O$2,ROW()-10&lt;=$O$1),ROW()-10,0))</f>
        <v>0</v>
      </c>
      <c r="P141" s="7">
        <f ca="1">IF(O141&gt;0,MAX($P$10:P140)+1,0)</f>
        <v>0</v>
      </c>
    </row>
    <row r="142" spans="2:16" ht="24" customHeight="1" x14ac:dyDescent="0.3">
      <c r="B142" s="22" t="str">
        <f t="shared" ca="1" si="8"/>
        <v/>
      </c>
      <c r="C142" s="16" t="str">
        <f t="shared" ca="1" si="9"/>
        <v/>
      </c>
      <c r="D142" s="23"/>
      <c r="E142" s="24"/>
      <c r="F142" s="27"/>
      <c r="G142" s="25"/>
      <c r="H142" s="26"/>
      <c r="I142" s="177"/>
      <c r="J142" s="151"/>
      <c r="K142" s="167" t="str">
        <f ca="1">IF(IF(COPIA!$R$1=TRUE,IF(OR(G142&lt;&gt;0,H142&lt;&gt;0),ROUND(SUM(G$11:G142),2)-ROUND(SUM(H$11:H142),2),""),"")&lt;&gt;0,"",0)</f>
        <v/>
      </c>
      <c r="L142" s="7">
        <f t="shared" ca="1" si="10"/>
        <v>0</v>
      </c>
      <c r="M142" s="7">
        <f ca="1">IFERROR(IF(AND(INDIRECT(ADDRESS(ROW(),4,,,))&lt;=COPIA!$DA$1,K142=0,COPIA!$BF$1&gt;1,ROW()-10&lt;COPIA!$BF$1-1),MAX($M$10:M141)+1,IF(AND(INDIRECT(ADDRESS(ROW(),4,,,))&lt;=COPIA!$DA$1,K142=0,COPIA!$BF$1=1),MAX($M$10:M141)+1,0)),0)</f>
        <v>0</v>
      </c>
      <c r="N142" s="7">
        <f ca="1">IF(AND(COPIA!$BF$1=1,M142&lt;&gt;0),ROW()-10,IF(AND(COPIA!$BF$1&gt;1,ROW()-10&gt;COPIA!$BF$1,M142&lt;&gt;0),0,IF(AND(COPIA!$BF$1&gt;1,ROW()-10&lt;=COPIA!$BF$1,M142&lt;&gt;0),ROW()-10,0)))</f>
        <v>0</v>
      </c>
      <c r="O142" s="7">
        <f ca="1">IF(AND($O$1=0,ROW()-10&lt;=$O$2),MAX($O$10:O141)+1,IF(AND(ROW()-10&gt;$O$2,ROW()-10&lt;=$O$1),ROW()-10,0))</f>
        <v>0</v>
      </c>
      <c r="P142" s="7">
        <f ca="1">IF(O142&gt;0,MAX($P$10:P141)+1,0)</f>
        <v>0</v>
      </c>
    </row>
    <row r="143" spans="2:16" ht="24" customHeight="1" x14ac:dyDescent="0.3">
      <c r="B143" s="22" t="str">
        <f t="shared" ca="1" si="8"/>
        <v/>
      </c>
      <c r="C143" s="16" t="str">
        <f t="shared" ca="1" si="9"/>
        <v/>
      </c>
      <c r="D143" s="23"/>
      <c r="E143" s="24"/>
      <c r="F143" s="27"/>
      <c r="G143" s="25"/>
      <c r="H143" s="26"/>
      <c r="I143" s="177"/>
      <c r="J143" s="151"/>
      <c r="K143" s="167" t="str">
        <f ca="1">IF(IF(COPIA!$R$1=TRUE,IF(OR(G143&lt;&gt;0,H143&lt;&gt;0),ROUND(SUM(G$11:G143),2)-ROUND(SUM(H$11:H143),2),""),"")&lt;&gt;0,"",0)</f>
        <v/>
      </c>
      <c r="L143" s="7">
        <f t="shared" ca="1" si="10"/>
        <v>0</v>
      </c>
      <c r="M143" s="7">
        <f ca="1">IFERROR(IF(AND(INDIRECT(ADDRESS(ROW(),4,,,))&lt;=COPIA!$DA$1,K143=0,COPIA!$BF$1&gt;1,ROW()-10&lt;COPIA!$BF$1-1),MAX($M$10:M142)+1,IF(AND(INDIRECT(ADDRESS(ROW(),4,,,))&lt;=COPIA!$DA$1,K143=0,COPIA!$BF$1=1),MAX($M$10:M142)+1,0)),0)</f>
        <v>0</v>
      </c>
      <c r="N143" s="7">
        <f ca="1">IF(AND(COPIA!$BF$1=1,M143&lt;&gt;0),ROW()-10,IF(AND(COPIA!$BF$1&gt;1,ROW()-10&gt;COPIA!$BF$1,M143&lt;&gt;0),0,IF(AND(COPIA!$BF$1&gt;1,ROW()-10&lt;=COPIA!$BF$1,M143&lt;&gt;0),ROW()-10,0)))</f>
        <v>0</v>
      </c>
      <c r="O143" s="7">
        <f ca="1">IF(AND($O$1=0,ROW()-10&lt;=$O$2),MAX($O$10:O142)+1,IF(AND(ROW()-10&gt;$O$2,ROW()-10&lt;=$O$1),ROW()-10,0))</f>
        <v>0</v>
      </c>
      <c r="P143" s="7">
        <f ca="1">IF(O143&gt;0,MAX($P$10:P142)+1,0)</f>
        <v>0</v>
      </c>
    </row>
    <row r="144" spans="2:16" ht="24" customHeight="1" x14ac:dyDescent="0.3">
      <c r="B144" s="22" t="str">
        <f t="shared" ca="1" si="8"/>
        <v/>
      </c>
      <c r="C144" s="16" t="str">
        <f t="shared" ca="1" si="9"/>
        <v/>
      </c>
      <c r="D144" s="23"/>
      <c r="E144" s="24"/>
      <c r="F144" s="27"/>
      <c r="G144" s="25"/>
      <c r="H144" s="26"/>
      <c r="I144" s="177"/>
      <c r="J144" s="151"/>
      <c r="K144" s="167" t="str">
        <f ca="1">IF(IF(COPIA!$R$1=TRUE,IF(OR(G144&lt;&gt;0,H144&lt;&gt;0),ROUND(SUM(G$11:G144),2)-ROUND(SUM(H$11:H144),2),""),"")&lt;&gt;0,"",0)</f>
        <v/>
      </c>
      <c r="L144" s="7">
        <f t="shared" ca="1" si="10"/>
        <v>0</v>
      </c>
      <c r="M144" s="7">
        <f ca="1">IFERROR(IF(AND(INDIRECT(ADDRESS(ROW(),4,,,))&lt;=COPIA!$DA$1,K144=0,COPIA!$BF$1&gt;1,ROW()-10&lt;COPIA!$BF$1-1),MAX($M$10:M143)+1,IF(AND(INDIRECT(ADDRESS(ROW(),4,,,))&lt;=COPIA!$DA$1,K144=0,COPIA!$BF$1=1),MAX($M$10:M143)+1,0)),0)</f>
        <v>0</v>
      </c>
      <c r="N144" s="7">
        <f ca="1">IF(AND(COPIA!$BF$1=1,M144&lt;&gt;0),ROW()-10,IF(AND(COPIA!$BF$1&gt;1,ROW()-10&gt;COPIA!$BF$1,M144&lt;&gt;0),0,IF(AND(COPIA!$BF$1&gt;1,ROW()-10&lt;=COPIA!$BF$1,M144&lt;&gt;0),ROW()-10,0)))</f>
        <v>0</v>
      </c>
      <c r="O144" s="7">
        <f ca="1">IF(AND($O$1=0,ROW()-10&lt;=$O$2),MAX($O$10:O143)+1,IF(AND(ROW()-10&gt;$O$2,ROW()-10&lt;=$O$1),ROW()-10,0))</f>
        <v>0</v>
      </c>
      <c r="P144" s="7">
        <f ca="1">IF(O144&gt;0,MAX($P$10:P143)+1,0)</f>
        <v>0</v>
      </c>
    </row>
    <row r="145" spans="2:16" ht="24" customHeight="1" x14ac:dyDescent="0.3">
      <c r="B145" s="22" t="str">
        <f t="shared" ca="1" si="8"/>
        <v/>
      </c>
      <c r="C145" s="16" t="str">
        <f t="shared" ca="1" si="9"/>
        <v/>
      </c>
      <c r="D145" s="23"/>
      <c r="E145" s="24"/>
      <c r="F145" s="27"/>
      <c r="G145" s="25"/>
      <c r="H145" s="26"/>
      <c r="I145" s="177"/>
      <c r="J145" s="151"/>
      <c r="K145" s="167" t="str">
        <f ca="1">IF(IF(COPIA!$R$1=TRUE,IF(OR(G145&lt;&gt;0,H145&lt;&gt;0),ROUND(SUM(G$11:G145),2)-ROUND(SUM(H$11:H145),2),""),"")&lt;&gt;0,"",0)</f>
        <v/>
      </c>
      <c r="L145" s="7">
        <f t="shared" ca="1" si="10"/>
        <v>0</v>
      </c>
      <c r="M145" s="7">
        <f ca="1">IFERROR(IF(AND(INDIRECT(ADDRESS(ROW(),4,,,))&lt;=COPIA!$DA$1,K145=0,COPIA!$BF$1&gt;1,ROW()-10&lt;COPIA!$BF$1-1),MAX($M$10:M144)+1,IF(AND(INDIRECT(ADDRESS(ROW(),4,,,))&lt;=COPIA!$DA$1,K145=0,COPIA!$BF$1=1),MAX($M$10:M144)+1,0)),0)</f>
        <v>0</v>
      </c>
      <c r="N145" s="7">
        <f ca="1">IF(AND(COPIA!$BF$1=1,M145&lt;&gt;0),ROW()-10,IF(AND(COPIA!$BF$1&gt;1,ROW()-10&gt;COPIA!$BF$1,M145&lt;&gt;0),0,IF(AND(COPIA!$BF$1&gt;1,ROW()-10&lt;=COPIA!$BF$1,M145&lt;&gt;0),ROW()-10,0)))</f>
        <v>0</v>
      </c>
      <c r="O145" s="7">
        <f ca="1">IF(AND($O$1=0,ROW()-10&lt;=$O$2),MAX($O$10:O144)+1,IF(AND(ROW()-10&gt;$O$2,ROW()-10&lt;=$O$1),ROW()-10,0))</f>
        <v>0</v>
      </c>
      <c r="P145" s="7">
        <f ca="1">IF(O145&gt;0,MAX($P$10:P144)+1,0)</f>
        <v>0</v>
      </c>
    </row>
    <row r="146" spans="2:16" ht="24" customHeight="1" x14ac:dyDescent="0.3">
      <c r="B146" s="22" t="str">
        <f t="shared" ca="1" si="8"/>
        <v/>
      </c>
      <c r="C146" s="16" t="str">
        <f t="shared" ca="1" si="9"/>
        <v/>
      </c>
      <c r="D146" s="23"/>
      <c r="E146" s="24"/>
      <c r="F146" s="27"/>
      <c r="G146" s="25"/>
      <c r="H146" s="26"/>
      <c r="I146" s="177"/>
      <c r="J146" s="151"/>
      <c r="K146" s="167" t="str">
        <f ca="1">IF(IF(COPIA!$R$1=TRUE,IF(OR(G146&lt;&gt;0,H146&lt;&gt;0),ROUND(SUM(G$11:G146),2)-ROUND(SUM(H$11:H146),2),""),"")&lt;&gt;0,"",0)</f>
        <v/>
      </c>
      <c r="L146" s="7">
        <f t="shared" ca="1" si="10"/>
        <v>0</v>
      </c>
      <c r="M146" s="7">
        <f ca="1">IFERROR(IF(AND(INDIRECT(ADDRESS(ROW(),4,,,))&lt;=COPIA!$DA$1,K146=0,COPIA!$BF$1&gt;1,ROW()-10&lt;COPIA!$BF$1-1),MAX($M$10:M145)+1,IF(AND(INDIRECT(ADDRESS(ROW(),4,,,))&lt;=COPIA!$DA$1,K146=0,COPIA!$BF$1=1),MAX($M$10:M145)+1,0)),0)</f>
        <v>0</v>
      </c>
      <c r="N146" s="7">
        <f ca="1">IF(AND(COPIA!$BF$1=1,M146&lt;&gt;0),ROW()-10,IF(AND(COPIA!$BF$1&gt;1,ROW()-10&gt;COPIA!$BF$1,M146&lt;&gt;0),0,IF(AND(COPIA!$BF$1&gt;1,ROW()-10&lt;=COPIA!$BF$1,M146&lt;&gt;0),ROW()-10,0)))</f>
        <v>0</v>
      </c>
      <c r="O146" s="7">
        <f ca="1">IF(AND($O$1=0,ROW()-10&lt;=$O$2),MAX($O$10:O145)+1,IF(AND(ROW()-10&gt;$O$2,ROW()-10&lt;=$O$1),ROW()-10,0))</f>
        <v>0</v>
      </c>
      <c r="P146" s="7">
        <f ca="1">IF(O146&gt;0,MAX($P$10:P145)+1,0)</f>
        <v>0</v>
      </c>
    </row>
    <row r="147" spans="2:16" ht="24" customHeight="1" x14ac:dyDescent="0.3">
      <c r="B147" s="22" t="str">
        <f t="shared" ca="1" si="8"/>
        <v/>
      </c>
      <c r="C147" s="16" t="str">
        <f t="shared" ca="1" si="9"/>
        <v/>
      </c>
      <c r="D147" s="23"/>
      <c r="E147" s="24"/>
      <c r="F147" s="27"/>
      <c r="G147" s="25"/>
      <c r="H147" s="26"/>
      <c r="I147" s="177"/>
      <c r="J147" s="151"/>
      <c r="K147" s="167" t="str">
        <f ca="1">IF(IF(COPIA!$R$1=TRUE,IF(OR(G147&lt;&gt;0,H147&lt;&gt;0),ROUND(SUM(G$11:G147),2)-ROUND(SUM(H$11:H147),2),""),"")&lt;&gt;0,"",0)</f>
        <v/>
      </c>
      <c r="L147" s="7">
        <f t="shared" ca="1" si="10"/>
        <v>0</v>
      </c>
      <c r="M147" s="7">
        <f ca="1">IFERROR(IF(AND(INDIRECT(ADDRESS(ROW(),4,,,))&lt;=COPIA!$DA$1,K147=0,COPIA!$BF$1&gt;1,ROW()-10&lt;COPIA!$BF$1-1),MAX($M$10:M146)+1,IF(AND(INDIRECT(ADDRESS(ROW(),4,,,))&lt;=COPIA!$DA$1,K147=0,COPIA!$BF$1=1),MAX($M$10:M146)+1,0)),0)</f>
        <v>0</v>
      </c>
      <c r="N147" s="7">
        <f ca="1">IF(AND(COPIA!$BF$1=1,M147&lt;&gt;0),ROW()-10,IF(AND(COPIA!$BF$1&gt;1,ROW()-10&gt;COPIA!$BF$1,M147&lt;&gt;0),0,IF(AND(COPIA!$BF$1&gt;1,ROW()-10&lt;=COPIA!$BF$1,M147&lt;&gt;0),ROW()-10,0)))</f>
        <v>0</v>
      </c>
      <c r="O147" s="7">
        <f ca="1">IF(AND($O$1=0,ROW()-10&lt;=$O$2),MAX($O$10:O146)+1,IF(AND(ROW()-10&gt;$O$2,ROW()-10&lt;=$O$1),ROW()-10,0))</f>
        <v>0</v>
      </c>
      <c r="P147" s="7">
        <f ca="1">IF(O147&gt;0,MAX($P$10:P146)+1,0)</f>
        <v>0</v>
      </c>
    </row>
    <row r="148" spans="2:16" ht="24" customHeight="1" x14ac:dyDescent="0.3">
      <c r="B148" s="22" t="str">
        <f t="shared" ca="1" si="8"/>
        <v/>
      </c>
      <c r="C148" s="16" t="str">
        <f t="shared" ca="1" si="9"/>
        <v/>
      </c>
      <c r="D148" s="23"/>
      <c r="E148" s="24"/>
      <c r="F148" s="27"/>
      <c r="G148" s="25"/>
      <c r="H148" s="25"/>
      <c r="I148" s="177"/>
      <c r="J148" s="151"/>
      <c r="K148" s="167" t="str">
        <f ca="1">IF(IF(COPIA!$R$1=TRUE,IF(OR(G148&lt;&gt;0,H148&lt;&gt;0),ROUND(SUM(G$11:G148),2)-ROUND(SUM(H$11:H148),2),""),"")&lt;&gt;0,"",0)</f>
        <v/>
      </c>
      <c r="L148" s="7">
        <f t="shared" ca="1" si="10"/>
        <v>0</v>
      </c>
      <c r="M148" s="7">
        <f ca="1">IFERROR(IF(AND(INDIRECT(ADDRESS(ROW(),4,,,))&lt;=COPIA!$DA$1,K148=0,COPIA!$BF$1&gt;1,ROW()-10&lt;COPIA!$BF$1-1),MAX($M$10:M147)+1,IF(AND(INDIRECT(ADDRESS(ROW(),4,,,))&lt;=COPIA!$DA$1,K148=0,COPIA!$BF$1=1),MAX($M$10:M147)+1,0)),0)</f>
        <v>0</v>
      </c>
      <c r="N148" s="7">
        <f ca="1">IF(AND(COPIA!$BF$1=1,M148&lt;&gt;0),ROW()-10,IF(AND(COPIA!$BF$1&gt;1,ROW()-10&gt;COPIA!$BF$1,M148&lt;&gt;0),0,IF(AND(COPIA!$BF$1&gt;1,ROW()-10&lt;=COPIA!$BF$1,M148&lt;&gt;0),ROW()-10,0)))</f>
        <v>0</v>
      </c>
      <c r="O148" s="7">
        <f ca="1">IF(AND($O$1=0,ROW()-10&lt;=$O$2),MAX($O$10:O147)+1,IF(AND(ROW()-10&gt;$O$2,ROW()-10&lt;=$O$1),ROW()-10,0))</f>
        <v>0</v>
      </c>
      <c r="P148" s="7">
        <f ca="1">IF(O148&gt;0,MAX($P$10:P147)+1,0)</f>
        <v>0</v>
      </c>
    </row>
    <row r="149" spans="2:16" ht="24" customHeight="1" x14ac:dyDescent="0.3">
      <c r="B149" s="22" t="str">
        <f t="shared" ca="1" si="8"/>
        <v/>
      </c>
      <c r="C149" s="16" t="str">
        <f t="shared" ca="1" si="9"/>
        <v/>
      </c>
      <c r="D149" s="23"/>
      <c r="E149" s="24"/>
      <c r="F149" s="27"/>
      <c r="G149" s="25"/>
      <c r="H149" s="25"/>
      <c r="I149" s="177"/>
      <c r="J149" s="151"/>
      <c r="K149" s="167" t="str">
        <f ca="1">IF(IF(COPIA!$R$1=TRUE,IF(OR(G149&lt;&gt;0,H149&lt;&gt;0),ROUND(SUM(G$11:G149),2)-ROUND(SUM(H$11:H149),2),""),"")&lt;&gt;0,"",0)</f>
        <v/>
      </c>
      <c r="L149" s="7">
        <f t="shared" ca="1" si="10"/>
        <v>0</v>
      </c>
      <c r="M149" s="7">
        <f ca="1">IFERROR(IF(AND(INDIRECT(ADDRESS(ROW(),4,,,))&lt;=COPIA!$DA$1,K149=0,COPIA!$BF$1&gt;1,ROW()-10&lt;COPIA!$BF$1-1),MAX($M$10:M148)+1,IF(AND(INDIRECT(ADDRESS(ROW(),4,,,))&lt;=COPIA!$DA$1,K149=0,COPIA!$BF$1=1),MAX($M$10:M148)+1,0)),0)</f>
        <v>0</v>
      </c>
      <c r="N149" s="7">
        <f ca="1">IF(AND(COPIA!$BF$1=1,M149&lt;&gt;0),ROW()-10,IF(AND(COPIA!$BF$1&gt;1,ROW()-10&gt;COPIA!$BF$1,M149&lt;&gt;0),0,IF(AND(COPIA!$BF$1&gt;1,ROW()-10&lt;=COPIA!$BF$1,M149&lt;&gt;0),ROW()-10,0)))</f>
        <v>0</v>
      </c>
      <c r="O149" s="7">
        <f ca="1">IF(AND($O$1=0,ROW()-10&lt;=$O$2),MAX($O$10:O148)+1,IF(AND(ROW()-10&gt;$O$2,ROW()-10&lt;=$O$1),ROW()-10,0))</f>
        <v>0</v>
      </c>
      <c r="P149" s="7">
        <f ca="1">IF(O149&gt;0,MAX($P$10:P148)+1,0)</f>
        <v>0</v>
      </c>
    </row>
    <row r="150" spans="2:16" ht="24" customHeight="1" x14ac:dyDescent="0.3">
      <c r="B150" s="22" t="str">
        <f t="shared" ca="1" si="8"/>
        <v/>
      </c>
      <c r="C150" s="16" t="str">
        <f t="shared" ca="1" si="9"/>
        <v/>
      </c>
      <c r="D150" s="23"/>
      <c r="E150" s="24"/>
      <c r="F150" s="27"/>
      <c r="G150" s="25"/>
      <c r="H150" s="25"/>
      <c r="I150" s="177"/>
      <c r="J150" s="151"/>
      <c r="K150" s="167" t="str">
        <f ca="1">IF(IF(COPIA!$R$1=TRUE,IF(OR(G150&lt;&gt;0,H150&lt;&gt;0),ROUND(SUM(G$11:G150),2)-ROUND(SUM(H$11:H150),2),""),"")&lt;&gt;0,"",0)</f>
        <v/>
      </c>
      <c r="L150" s="7">
        <f t="shared" ca="1" si="10"/>
        <v>0</v>
      </c>
      <c r="M150" s="7">
        <f ca="1">IFERROR(IF(AND(INDIRECT(ADDRESS(ROW(),4,,,))&lt;=COPIA!$DA$1,K150=0,COPIA!$BF$1&gt;1,ROW()-10&lt;COPIA!$BF$1-1),MAX($M$10:M149)+1,IF(AND(INDIRECT(ADDRESS(ROW(),4,,,))&lt;=COPIA!$DA$1,K150=0,COPIA!$BF$1=1),MAX($M$10:M149)+1,0)),0)</f>
        <v>0</v>
      </c>
      <c r="N150" s="7">
        <f ca="1">IF(AND(COPIA!$BF$1=1,M150&lt;&gt;0),ROW()-10,IF(AND(COPIA!$BF$1&gt;1,ROW()-10&gt;COPIA!$BF$1,M150&lt;&gt;0),0,IF(AND(COPIA!$BF$1&gt;1,ROW()-10&lt;=COPIA!$BF$1,M150&lt;&gt;0),ROW()-10,0)))</f>
        <v>0</v>
      </c>
      <c r="O150" s="7">
        <f ca="1">IF(AND($O$1=0,ROW()-10&lt;=$O$2),MAX($O$10:O149)+1,IF(AND(ROW()-10&gt;$O$2,ROW()-10&lt;=$O$1),ROW()-10,0))</f>
        <v>0</v>
      </c>
      <c r="P150" s="7">
        <f ca="1">IF(O150&gt;0,MAX($P$10:P149)+1,0)</f>
        <v>0</v>
      </c>
    </row>
    <row r="151" spans="2:16" ht="24" customHeight="1" x14ac:dyDescent="0.3">
      <c r="B151" s="22" t="str">
        <f t="shared" ca="1" si="8"/>
        <v/>
      </c>
      <c r="C151" s="16" t="str">
        <f t="shared" ca="1" si="9"/>
        <v/>
      </c>
      <c r="D151" s="23"/>
      <c r="E151" s="24"/>
      <c r="F151" s="27"/>
      <c r="G151" s="25"/>
      <c r="H151" s="25"/>
      <c r="I151" s="177"/>
      <c r="J151" s="151"/>
      <c r="K151" s="167" t="str">
        <f ca="1">IF(IF(COPIA!$R$1=TRUE,IF(OR(G151&lt;&gt;0,H151&lt;&gt;0),ROUND(SUM(G$11:G151),2)-ROUND(SUM(H$11:H151),2),""),"")&lt;&gt;0,"",0)</f>
        <v/>
      </c>
      <c r="L151" s="7">
        <f t="shared" ca="1" si="10"/>
        <v>0</v>
      </c>
      <c r="M151" s="7">
        <f ca="1">IFERROR(IF(AND(INDIRECT(ADDRESS(ROW(),4,,,))&lt;=COPIA!$DA$1,K151=0,COPIA!$BF$1&gt;1,ROW()-10&lt;COPIA!$BF$1-1),MAX($M$10:M150)+1,IF(AND(INDIRECT(ADDRESS(ROW(),4,,,))&lt;=COPIA!$DA$1,K151=0,COPIA!$BF$1=1),MAX($M$10:M150)+1,0)),0)</f>
        <v>0</v>
      </c>
      <c r="N151" s="7">
        <f ca="1">IF(AND(COPIA!$BF$1=1,M151&lt;&gt;0),ROW()-10,IF(AND(COPIA!$BF$1&gt;1,ROW()-10&gt;COPIA!$BF$1,M151&lt;&gt;0),0,IF(AND(COPIA!$BF$1&gt;1,ROW()-10&lt;=COPIA!$BF$1,M151&lt;&gt;0),ROW()-10,0)))</f>
        <v>0</v>
      </c>
      <c r="O151" s="7">
        <f ca="1">IF(AND($O$1=0,ROW()-10&lt;=$O$2),MAX($O$10:O150)+1,IF(AND(ROW()-10&gt;$O$2,ROW()-10&lt;=$O$1),ROW()-10,0))</f>
        <v>0</v>
      </c>
      <c r="P151" s="7">
        <f ca="1">IF(O151&gt;0,MAX($P$10:P150)+1,0)</f>
        <v>0</v>
      </c>
    </row>
    <row r="152" spans="2:16" ht="24" customHeight="1" x14ac:dyDescent="0.3">
      <c r="B152" s="22" t="str">
        <f t="shared" ca="1" si="8"/>
        <v/>
      </c>
      <c r="C152" s="16" t="str">
        <f t="shared" ca="1" si="9"/>
        <v/>
      </c>
      <c r="D152" s="23"/>
      <c r="E152" s="24"/>
      <c r="F152" s="27"/>
      <c r="G152" s="25"/>
      <c r="H152" s="25"/>
      <c r="I152" s="177"/>
      <c r="J152" s="151"/>
      <c r="K152" s="167" t="str">
        <f ca="1">IF(IF(COPIA!$R$1=TRUE,IF(OR(G152&lt;&gt;0,H152&lt;&gt;0),ROUND(SUM(G$11:G152),2)-ROUND(SUM(H$11:H152),2),""),"")&lt;&gt;0,"",0)</f>
        <v/>
      </c>
      <c r="L152" s="7">
        <f t="shared" ca="1" si="10"/>
        <v>0</v>
      </c>
      <c r="M152" s="7">
        <f ca="1">IFERROR(IF(AND(INDIRECT(ADDRESS(ROW(),4,,,))&lt;=COPIA!$DA$1,K152=0,COPIA!$BF$1&gt;1,ROW()-10&lt;COPIA!$BF$1-1),MAX($M$10:M151)+1,IF(AND(INDIRECT(ADDRESS(ROW(),4,,,))&lt;=COPIA!$DA$1,K152=0,COPIA!$BF$1=1),MAX($M$10:M151)+1,0)),0)</f>
        <v>0</v>
      </c>
      <c r="N152" s="7">
        <f ca="1">IF(AND(COPIA!$BF$1=1,M152&lt;&gt;0),ROW()-10,IF(AND(COPIA!$BF$1&gt;1,ROW()-10&gt;COPIA!$BF$1,M152&lt;&gt;0),0,IF(AND(COPIA!$BF$1&gt;1,ROW()-10&lt;=COPIA!$BF$1,M152&lt;&gt;0),ROW()-10,0)))</f>
        <v>0</v>
      </c>
      <c r="O152" s="7">
        <f ca="1">IF(AND($O$1=0,ROW()-10&lt;=$O$2),MAX($O$10:O151)+1,IF(AND(ROW()-10&gt;$O$2,ROW()-10&lt;=$O$1),ROW()-10,0))</f>
        <v>0</v>
      </c>
      <c r="P152" s="7">
        <f ca="1">IF(O152&gt;0,MAX($P$10:P151)+1,0)</f>
        <v>0</v>
      </c>
    </row>
    <row r="153" spans="2:16" ht="24" customHeight="1" x14ac:dyDescent="0.3">
      <c r="B153" s="22" t="str">
        <f t="shared" ca="1" si="8"/>
        <v/>
      </c>
      <c r="C153" s="16" t="str">
        <f t="shared" ca="1" si="9"/>
        <v/>
      </c>
      <c r="D153" s="23"/>
      <c r="E153" s="24"/>
      <c r="F153" s="27"/>
      <c r="G153" s="25"/>
      <c r="H153" s="25"/>
      <c r="I153" s="177"/>
      <c r="J153" s="151"/>
      <c r="K153" s="167" t="str">
        <f ca="1">IF(IF(COPIA!$R$1=TRUE,IF(OR(G153&lt;&gt;0,H153&lt;&gt;0),ROUND(SUM(G$11:G153),2)-ROUND(SUM(H$11:H153),2),""),"")&lt;&gt;0,"",0)</f>
        <v/>
      </c>
      <c r="L153" s="7">
        <f t="shared" ca="1" si="10"/>
        <v>0</v>
      </c>
      <c r="M153" s="7">
        <f ca="1">IFERROR(IF(AND(INDIRECT(ADDRESS(ROW(),4,,,))&lt;=COPIA!$DA$1,K153=0,COPIA!$BF$1&gt;1,ROW()-10&lt;COPIA!$BF$1-1),MAX($M$10:M152)+1,IF(AND(INDIRECT(ADDRESS(ROW(),4,,,))&lt;=COPIA!$DA$1,K153=0,COPIA!$BF$1=1),MAX($M$10:M152)+1,0)),0)</f>
        <v>0</v>
      </c>
      <c r="N153" s="7">
        <f ca="1">IF(AND(COPIA!$BF$1=1,M153&lt;&gt;0),ROW()-10,IF(AND(COPIA!$BF$1&gt;1,ROW()-10&gt;COPIA!$BF$1,M153&lt;&gt;0),0,IF(AND(COPIA!$BF$1&gt;1,ROW()-10&lt;=COPIA!$BF$1,M153&lt;&gt;0),ROW()-10,0)))</f>
        <v>0</v>
      </c>
      <c r="O153" s="7">
        <f ca="1">IF(AND($O$1=0,ROW()-10&lt;=$O$2),MAX($O$10:O152)+1,IF(AND(ROW()-10&gt;$O$2,ROW()-10&lt;=$O$1),ROW()-10,0))</f>
        <v>0</v>
      </c>
      <c r="P153" s="7">
        <f ca="1">IF(O153&gt;0,MAX($P$10:P152)+1,0)</f>
        <v>0</v>
      </c>
    </row>
    <row r="154" spans="2:16" ht="24" customHeight="1" x14ac:dyDescent="0.3">
      <c r="B154" s="22" t="str">
        <f t="shared" ca="1" si="8"/>
        <v/>
      </c>
      <c r="C154" s="16" t="str">
        <f t="shared" ca="1" si="9"/>
        <v/>
      </c>
      <c r="D154" s="23"/>
      <c r="E154" s="24"/>
      <c r="F154" s="27"/>
      <c r="G154" s="25"/>
      <c r="H154" s="25"/>
      <c r="I154" s="177"/>
      <c r="J154" s="151"/>
      <c r="K154" s="167" t="str">
        <f ca="1">IF(IF(COPIA!$R$1=TRUE,IF(OR(G154&lt;&gt;0,H154&lt;&gt;0),ROUND(SUM(G$11:G154),2)-ROUND(SUM(H$11:H154),2),""),"")&lt;&gt;0,"",0)</f>
        <v/>
      </c>
      <c r="L154" s="7">
        <f t="shared" ca="1" si="10"/>
        <v>0</v>
      </c>
      <c r="M154" s="7">
        <f ca="1">IFERROR(IF(AND(INDIRECT(ADDRESS(ROW(),4,,,))&lt;=COPIA!$DA$1,K154=0,COPIA!$BF$1&gt;1,ROW()-10&lt;COPIA!$BF$1-1),MAX($M$10:M153)+1,IF(AND(INDIRECT(ADDRESS(ROW(),4,,,))&lt;=COPIA!$DA$1,K154=0,COPIA!$BF$1=1),MAX($M$10:M153)+1,0)),0)</f>
        <v>0</v>
      </c>
      <c r="N154" s="7">
        <f ca="1">IF(AND(COPIA!$BF$1=1,M154&lt;&gt;0),ROW()-10,IF(AND(COPIA!$BF$1&gt;1,ROW()-10&gt;COPIA!$BF$1,M154&lt;&gt;0),0,IF(AND(COPIA!$BF$1&gt;1,ROW()-10&lt;=COPIA!$BF$1,M154&lt;&gt;0),ROW()-10,0)))</f>
        <v>0</v>
      </c>
      <c r="O154" s="7">
        <f ca="1">IF(AND($O$1=0,ROW()-10&lt;=$O$2),MAX($O$10:O153)+1,IF(AND(ROW()-10&gt;$O$2,ROW()-10&lt;=$O$1),ROW()-10,0))</f>
        <v>0</v>
      </c>
      <c r="P154" s="7">
        <f ca="1">IF(O154&gt;0,MAX($P$10:P153)+1,0)</f>
        <v>0</v>
      </c>
    </row>
    <row r="155" spans="2:16" ht="24" customHeight="1" x14ac:dyDescent="0.3">
      <c r="B155" s="22" t="str">
        <f t="shared" ca="1" si="8"/>
        <v/>
      </c>
      <c r="C155" s="16" t="str">
        <f t="shared" ca="1" si="9"/>
        <v/>
      </c>
      <c r="D155" s="23"/>
      <c r="E155" s="24"/>
      <c r="F155" s="27"/>
      <c r="G155" s="25"/>
      <c r="H155" s="25"/>
      <c r="I155" s="177"/>
      <c r="J155" s="151"/>
      <c r="K155" s="167" t="str">
        <f ca="1">IF(IF(COPIA!$R$1=TRUE,IF(OR(G155&lt;&gt;0,H155&lt;&gt;0),ROUND(SUM(G$11:G155),2)-ROUND(SUM(H$11:H155),2),""),"")&lt;&gt;0,"",0)</f>
        <v/>
      </c>
      <c r="L155" s="7">
        <f t="shared" ca="1" si="10"/>
        <v>0</v>
      </c>
      <c r="M155" s="7">
        <f ca="1">IFERROR(IF(AND(INDIRECT(ADDRESS(ROW(),4,,,))&lt;=COPIA!$DA$1,K155=0,COPIA!$BF$1&gt;1,ROW()-10&lt;COPIA!$BF$1-1),MAX($M$10:M154)+1,IF(AND(INDIRECT(ADDRESS(ROW(),4,,,))&lt;=COPIA!$DA$1,K155=0,COPIA!$BF$1=1),MAX($M$10:M154)+1,0)),0)</f>
        <v>0</v>
      </c>
      <c r="N155" s="7">
        <f ca="1">IF(AND(COPIA!$BF$1=1,M155&lt;&gt;0),ROW()-10,IF(AND(COPIA!$BF$1&gt;1,ROW()-10&gt;COPIA!$BF$1,M155&lt;&gt;0),0,IF(AND(COPIA!$BF$1&gt;1,ROW()-10&lt;=COPIA!$BF$1,M155&lt;&gt;0),ROW()-10,0)))</f>
        <v>0</v>
      </c>
      <c r="O155" s="7">
        <f ca="1">IF(AND($O$1=0,ROW()-10&lt;=$O$2),MAX($O$10:O154)+1,IF(AND(ROW()-10&gt;$O$2,ROW()-10&lt;=$O$1),ROW()-10,0))</f>
        <v>0</v>
      </c>
      <c r="P155" s="7">
        <f ca="1">IF(O155&gt;0,MAX($P$10:P154)+1,0)</f>
        <v>0</v>
      </c>
    </row>
    <row r="156" spans="2:16" ht="24" customHeight="1" x14ac:dyDescent="0.3">
      <c r="B156" s="22" t="str">
        <f t="shared" ca="1" si="8"/>
        <v/>
      </c>
      <c r="C156" s="16" t="str">
        <f t="shared" ca="1" si="9"/>
        <v/>
      </c>
      <c r="D156" s="23"/>
      <c r="E156" s="24"/>
      <c r="F156" s="27"/>
      <c r="G156" s="25"/>
      <c r="H156" s="25"/>
      <c r="I156" s="177"/>
      <c r="J156" s="151"/>
      <c r="K156" s="167" t="str">
        <f ca="1">IF(IF(COPIA!$R$1=TRUE,IF(OR(G156&lt;&gt;0,H156&lt;&gt;0),ROUND(SUM(G$11:G156),2)-ROUND(SUM(H$11:H156),2),""),"")&lt;&gt;0,"",0)</f>
        <v/>
      </c>
      <c r="L156" s="7">
        <f t="shared" ca="1" si="10"/>
        <v>0</v>
      </c>
      <c r="M156" s="7">
        <f ca="1">IFERROR(IF(AND(INDIRECT(ADDRESS(ROW(),4,,,))&lt;=COPIA!$DA$1,K156=0,COPIA!$BF$1&gt;1,ROW()-10&lt;COPIA!$BF$1-1),MAX($M$10:M155)+1,IF(AND(INDIRECT(ADDRESS(ROW(),4,,,))&lt;=COPIA!$DA$1,K156=0,COPIA!$BF$1=1),MAX($M$10:M155)+1,0)),0)</f>
        <v>0</v>
      </c>
      <c r="N156" s="7">
        <f ca="1">IF(AND(COPIA!$BF$1=1,M156&lt;&gt;0),ROW()-10,IF(AND(COPIA!$BF$1&gt;1,ROW()-10&gt;COPIA!$BF$1,M156&lt;&gt;0),0,IF(AND(COPIA!$BF$1&gt;1,ROW()-10&lt;=COPIA!$BF$1,M156&lt;&gt;0),ROW()-10,0)))</f>
        <v>0</v>
      </c>
      <c r="O156" s="7">
        <f ca="1">IF(AND($O$1=0,ROW()-10&lt;=$O$2),MAX($O$10:O155)+1,IF(AND(ROW()-10&gt;$O$2,ROW()-10&lt;=$O$1),ROW()-10,0))</f>
        <v>0</v>
      </c>
      <c r="P156" s="7">
        <f ca="1">IF(O156&gt;0,MAX($P$10:P155)+1,0)</f>
        <v>0</v>
      </c>
    </row>
    <row r="157" spans="2:16" ht="24" customHeight="1" x14ac:dyDescent="0.3">
      <c r="B157" s="22" t="str">
        <f t="shared" ca="1" si="8"/>
        <v/>
      </c>
      <c r="C157" s="16" t="str">
        <f t="shared" ca="1" si="9"/>
        <v/>
      </c>
      <c r="D157" s="23"/>
      <c r="E157" s="24"/>
      <c r="F157" s="27"/>
      <c r="G157" s="25"/>
      <c r="H157" s="25"/>
      <c r="I157" s="177"/>
      <c r="J157" s="151"/>
      <c r="K157" s="167" t="str">
        <f ca="1">IF(IF(COPIA!$R$1=TRUE,IF(OR(G157&lt;&gt;0,H157&lt;&gt;0),ROUND(SUM(G$11:G157),2)-ROUND(SUM(H$11:H157),2),""),"")&lt;&gt;0,"",0)</f>
        <v/>
      </c>
      <c r="L157" s="7">
        <f t="shared" ca="1" si="10"/>
        <v>0</v>
      </c>
      <c r="M157" s="7">
        <f ca="1">IFERROR(IF(AND(INDIRECT(ADDRESS(ROW(),4,,,))&lt;=COPIA!$DA$1,K157=0,COPIA!$BF$1&gt;1,ROW()-10&lt;COPIA!$BF$1-1),MAX($M$10:M156)+1,IF(AND(INDIRECT(ADDRESS(ROW(),4,,,))&lt;=COPIA!$DA$1,K157=0,COPIA!$BF$1=1),MAX($M$10:M156)+1,0)),0)</f>
        <v>0</v>
      </c>
      <c r="N157" s="7">
        <f ca="1">IF(AND(COPIA!$BF$1=1,M157&lt;&gt;0),ROW()-10,IF(AND(COPIA!$BF$1&gt;1,ROW()-10&gt;COPIA!$BF$1,M157&lt;&gt;0),0,IF(AND(COPIA!$BF$1&gt;1,ROW()-10&lt;=COPIA!$BF$1,M157&lt;&gt;0),ROW()-10,0)))</f>
        <v>0</v>
      </c>
      <c r="O157" s="7">
        <f ca="1">IF(AND($O$1=0,ROW()-10&lt;=$O$2),MAX($O$10:O156)+1,IF(AND(ROW()-10&gt;$O$2,ROW()-10&lt;=$O$1),ROW()-10,0))</f>
        <v>0</v>
      </c>
      <c r="P157" s="7">
        <f ca="1">IF(O157&gt;0,MAX($P$10:P156)+1,0)</f>
        <v>0</v>
      </c>
    </row>
    <row r="158" spans="2:16" ht="24" customHeight="1" x14ac:dyDescent="0.3">
      <c r="B158" s="22" t="str">
        <f t="shared" ca="1" si="8"/>
        <v/>
      </c>
      <c r="C158" s="16" t="str">
        <f t="shared" ca="1" si="9"/>
        <v/>
      </c>
      <c r="D158" s="23"/>
      <c r="E158" s="24"/>
      <c r="F158" s="27"/>
      <c r="G158" s="25"/>
      <c r="H158" s="25"/>
      <c r="I158" s="177"/>
      <c r="J158" s="151"/>
      <c r="K158" s="167" t="str">
        <f ca="1">IF(IF(COPIA!$R$1=TRUE,IF(OR(G158&lt;&gt;0,H158&lt;&gt;0),ROUND(SUM(G$11:G158),2)-ROUND(SUM(H$11:H158),2),""),"")&lt;&gt;0,"",0)</f>
        <v/>
      </c>
      <c r="L158" s="7">
        <f t="shared" ca="1" si="10"/>
        <v>0</v>
      </c>
      <c r="M158" s="7">
        <f ca="1">IFERROR(IF(AND(INDIRECT(ADDRESS(ROW(),4,,,))&lt;=COPIA!$DA$1,K158=0,COPIA!$BF$1&gt;1,ROW()-10&lt;COPIA!$BF$1-1),MAX($M$10:M157)+1,IF(AND(INDIRECT(ADDRESS(ROW(),4,,,))&lt;=COPIA!$DA$1,K158=0,COPIA!$BF$1=1),MAX($M$10:M157)+1,0)),0)</f>
        <v>0</v>
      </c>
      <c r="N158" s="7">
        <f ca="1">IF(AND(COPIA!$BF$1=1,M158&lt;&gt;0),ROW()-10,IF(AND(COPIA!$BF$1&gt;1,ROW()-10&gt;COPIA!$BF$1,M158&lt;&gt;0),0,IF(AND(COPIA!$BF$1&gt;1,ROW()-10&lt;=COPIA!$BF$1,M158&lt;&gt;0),ROW()-10,0)))</f>
        <v>0</v>
      </c>
      <c r="O158" s="7">
        <f ca="1">IF(AND($O$1=0,ROW()-10&lt;=$O$2),MAX($O$10:O157)+1,IF(AND(ROW()-10&gt;$O$2,ROW()-10&lt;=$O$1),ROW()-10,0))</f>
        <v>0</v>
      </c>
      <c r="P158" s="7">
        <f ca="1">IF(O158&gt;0,MAX($P$10:P157)+1,0)</f>
        <v>0</v>
      </c>
    </row>
    <row r="159" spans="2:16" ht="24" customHeight="1" x14ac:dyDescent="0.3">
      <c r="B159" s="22" t="str">
        <f t="shared" ca="1" si="8"/>
        <v/>
      </c>
      <c r="C159" s="16" t="str">
        <f t="shared" ca="1" si="9"/>
        <v/>
      </c>
      <c r="D159" s="23"/>
      <c r="E159" s="24"/>
      <c r="F159" s="27"/>
      <c r="G159" s="25"/>
      <c r="H159" s="25"/>
      <c r="I159" s="177"/>
      <c r="J159" s="151"/>
      <c r="K159" s="167" t="str">
        <f ca="1">IF(IF(COPIA!$R$1=TRUE,IF(OR(G159&lt;&gt;0,H159&lt;&gt;0),ROUND(SUM(G$11:G159),2)-ROUND(SUM(H$11:H159),2),""),"")&lt;&gt;0,"",0)</f>
        <v/>
      </c>
      <c r="L159" s="7">
        <f t="shared" ca="1" si="10"/>
        <v>0</v>
      </c>
      <c r="M159" s="7">
        <f ca="1">IFERROR(IF(AND(INDIRECT(ADDRESS(ROW(),4,,,))&lt;=COPIA!$DA$1,K159=0,COPIA!$BF$1&gt;1,ROW()-10&lt;COPIA!$BF$1-1),MAX($M$10:M158)+1,IF(AND(INDIRECT(ADDRESS(ROW(),4,,,))&lt;=COPIA!$DA$1,K159=0,COPIA!$BF$1=1),MAX($M$10:M158)+1,0)),0)</f>
        <v>0</v>
      </c>
      <c r="N159" s="7">
        <f ca="1">IF(AND(COPIA!$BF$1=1,M159&lt;&gt;0),ROW()-10,IF(AND(COPIA!$BF$1&gt;1,ROW()-10&gt;COPIA!$BF$1,M159&lt;&gt;0),0,IF(AND(COPIA!$BF$1&gt;1,ROW()-10&lt;=COPIA!$BF$1,M159&lt;&gt;0),ROW()-10,0)))</f>
        <v>0</v>
      </c>
      <c r="O159" s="7">
        <f ca="1">IF(AND($O$1=0,ROW()-10&lt;=$O$2),MAX($O$10:O158)+1,IF(AND(ROW()-10&gt;$O$2,ROW()-10&lt;=$O$1),ROW()-10,0))</f>
        <v>0</v>
      </c>
      <c r="P159" s="7">
        <f ca="1">IF(O159&gt;0,MAX($P$10:P158)+1,0)</f>
        <v>0</v>
      </c>
    </row>
    <row r="160" spans="2:16" ht="24" customHeight="1" x14ac:dyDescent="0.3">
      <c r="B160" s="22" t="str">
        <f t="shared" ca="1" si="8"/>
        <v/>
      </c>
      <c r="C160" s="16" t="str">
        <f t="shared" ca="1" si="9"/>
        <v/>
      </c>
      <c r="D160" s="23"/>
      <c r="E160" s="24"/>
      <c r="F160" s="27"/>
      <c r="G160" s="25"/>
      <c r="H160" s="25"/>
      <c r="I160" s="177"/>
      <c r="J160" s="151"/>
      <c r="K160" s="167" t="str">
        <f ca="1">IF(IF(COPIA!$R$1=TRUE,IF(OR(G160&lt;&gt;0,H160&lt;&gt;0),ROUND(SUM(G$11:G160),2)-ROUND(SUM(H$11:H160),2),""),"")&lt;&gt;0,"",0)</f>
        <v/>
      </c>
      <c r="L160" s="7">
        <f t="shared" ca="1" si="10"/>
        <v>0</v>
      </c>
      <c r="M160" s="7">
        <f ca="1">IFERROR(IF(AND(INDIRECT(ADDRESS(ROW(),4,,,))&lt;=COPIA!$DA$1,K160=0,COPIA!$BF$1&gt;1,ROW()-10&lt;COPIA!$BF$1-1),MAX($M$10:M159)+1,IF(AND(INDIRECT(ADDRESS(ROW(),4,,,))&lt;=COPIA!$DA$1,K160=0,COPIA!$BF$1=1),MAX($M$10:M159)+1,0)),0)</f>
        <v>0</v>
      </c>
      <c r="N160" s="7">
        <f ca="1">IF(AND(COPIA!$BF$1=1,M160&lt;&gt;0),ROW()-10,IF(AND(COPIA!$BF$1&gt;1,ROW()-10&gt;COPIA!$BF$1,M160&lt;&gt;0),0,IF(AND(COPIA!$BF$1&gt;1,ROW()-10&lt;=COPIA!$BF$1,M160&lt;&gt;0),ROW()-10,0)))</f>
        <v>0</v>
      </c>
      <c r="O160" s="7">
        <f ca="1">IF(AND($O$1=0,ROW()-10&lt;=$O$2),MAX($O$10:O159)+1,IF(AND(ROW()-10&gt;$O$2,ROW()-10&lt;=$O$1),ROW()-10,0))</f>
        <v>0</v>
      </c>
      <c r="P160" s="7">
        <f ca="1">IF(O160&gt;0,MAX($P$10:P159)+1,0)</f>
        <v>0</v>
      </c>
    </row>
    <row r="161" spans="2:16" ht="24" customHeight="1" x14ac:dyDescent="0.3">
      <c r="B161" s="22" t="str">
        <f t="shared" ca="1" si="8"/>
        <v/>
      </c>
      <c r="C161" s="16" t="str">
        <f t="shared" ca="1" si="9"/>
        <v/>
      </c>
      <c r="D161" s="23"/>
      <c r="E161" s="24"/>
      <c r="F161" s="27"/>
      <c r="G161" s="25"/>
      <c r="H161" s="25"/>
      <c r="I161" s="177"/>
      <c r="J161" s="151"/>
      <c r="K161" s="167" t="str">
        <f ca="1">IF(IF(COPIA!$R$1=TRUE,IF(OR(G161&lt;&gt;0,H161&lt;&gt;0),ROUND(SUM(G$11:G161),2)-ROUND(SUM(H$11:H161),2),""),"")&lt;&gt;0,"",0)</f>
        <v/>
      </c>
      <c r="L161" s="7">
        <f t="shared" ca="1" si="10"/>
        <v>0</v>
      </c>
      <c r="M161" s="7">
        <f ca="1">IFERROR(IF(AND(INDIRECT(ADDRESS(ROW(),4,,,))&lt;=COPIA!$DA$1,K161=0,COPIA!$BF$1&gt;1,ROW()-10&lt;COPIA!$BF$1-1),MAX($M$10:M160)+1,IF(AND(INDIRECT(ADDRESS(ROW(),4,,,))&lt;=COPIA!$DA$1,K161=0,COPIA!$BF$1=1),MAX($M$10:M160)+1,0)),0)</f>
        <v>0</v>
      </c>
      <c r="N161" s="7">
        <f ca="1">IF(AND(COPIA!$BF$1=1,M161&lt;&gt;0),ROW()-10,IF(AND(COPIA!$BF$1&gt;1,ROW()-10&gt;COPIA!$BF$1,M161&lt;&gt;0),0,IF(AND(COPIA!$BF$1&gt;1,ROW()-10&lt;=COPIA!$BF$1,M161&lt;&gt;0),ROW()-10,0)))</f>
        <v>0</v>
      </c>
      <c r="O161" s="7">
        <f ca="1">IF(AND($O$1=0,ROW()-10&lt;=$O$2),MAX($O$10:O160)+1,IF(AND(ROW()-10&gt;$O$2,ROW()-10&lt;=$O$1),ROW()-10,0))</f>
        <v>0</v>
      </c>
      <c r="P161" s="7">
        <f ca="1">IF(O161&gt;0,MAX($P$10:P160)+1,0)</f>
        <v>0</v>
      </c>
    </row>
    <row r="162" spans="2:16" ht="24" customHeight="1" x14ac:dyDescent="0.3">
      <c r="B162" s="22" t="str">
        <f t="shared" ca="1" si="8"/>
        <v/>
      </c>
      <c r="C162" s="16" t="str">
        <f t="shared" ca="1" si="9"/>
        <v/>
      </c>
      <c r="D162" s="23"/>
      <c r="E162" s="24"/>
      <c r="F162" s="27"/>
      <c r="G162" s="25"/>
      <c r="H162" s="25"/>
      <c r="I162" s="177"/>
      <c r="J162" s="151"/>
      <c r="K162" s="167" t="str">
        <f ca="1">IF(IF(COPIA!$R$1=TRUE,IF(OR(G162&lt;&gt;0,H162&lt;&gt;0),ROUND(SUM(G$11:G162),2)-ROUND(SUM(H$11:H162),2),""),"")&lt;&gt;0,"",0)</f>
        <v/>
      </c>
      <c r="L162" s="7">
        <f t="shared" ca="1" si="10"/>
        <v>0</v>
      </c>
      <c r="M162" s="7">
        <f ca="1">IFERROR(IF(AND(INDIRECT(ADDRESS(ROW(),4,,,))&lt;=COPIA!$DA$1,K162=0,COPIA!$BF$1&gt;1,ROW()-10&lt;COPIA!$BF$1-1),MAX($M$10:M161)+1,IF(AND(INDIRECT(ADDRESS(ROW(),4,,,))&lt;=COPIA!$DA$1,K162=0,COPIA!$BF$1=1),MAX($M$10:M161)+1,0)),0)</f>
        <v>0</v>
      </c>
      <c r="N162" s="7">
        <f ca="1">IF(AND(COPIA!$BF$1=1,M162&lt;&gt;0),ROW()-10,IF(AND(COPIA!$BF$1&gt;1,ROW()-10&gt;COPIA!$BF$1,M162&lt;&gt;0),0,IF(AND(COPIA!$BF$1&gt;1,ROW()-10&lt;=COPIA!$BF$1,M162&lt;&gt;0),ROW()-10,0)))</f>
        <v>0</v>
      </c>
      <c r="O162" s="7">
        <f ca="1">IF(AND($O$1=0,ROW()-10&lt;=$O$2),MAX($O$10:O161)+1,IF(AND(ROW()-10&gt;$O$2,ROW()-10&lt;=$O$1),ROW()-10,0))</f>
        <v>0</v>
      </c>
      <c r="P162" s="7">
        <f ca="1">IF(O162&gt;0,MAX($P$10:P161)+1,0)</f>
        <v>0</v>
      </c>
    </row>
    <row r="163" spans="2:16" ht="24" customHeight="1" x14ac:dyDescent="0.3">
      <c r="B163" s="22" t="str">
        <f t="shared" ca="1" si="8"/>
        <v/>
      </c>
      <c r="C163" s="16" t="str">
        <f t="shared" ca="1" si="9"/>
        <v/>
      </c>
      <c r="D163" s="23"/>
      <c r="E163" s="24"/>
      <c r="F163" s="27"/>
      <c r="G163" s="25"/>
      <c r="H163" s="25"/>
      <c r="I163" s="177"/>
      <c r="J163" s="151"/>
      <c r="K163" s="167" t="str">
        <f ca="1">IF(IF(COPIA!$R$1=TRUE,IF(OR(G163&lt;&gt;0,H163&lt;&gt;0),ROUND(SUM(G$11:G163),2)-ROUND(SUM(H$11:H163),2),""),"")&lt;&gt;0,"",0)</f>
        <v/>
      </c>
      <c r="L163" s="7">
        <f t="shared" ca="1" si="10"/>
        <v>0</v>
      </c>
      <c r="M163" s="7">
        <f ca="1">IFERROR(IF(AND(INDIRECT(ADDRESS(ROW(),4,,,))&lt;=COPIA!$DA$1,K163=0,COPIA!$BF$1&gt;1,ROW()-10&lt;COPIA!$BF$1-1),MAX($M$10:M162)+1,IF(AND(INDIRECT(ADDRESS(ROW(),4,,,))&lt;=COPIA!$DA$1,K163=0,COPIA!$BF$1=1),MAX($M$10:M162)+1,0)),0)</f>
        <v>0</v>
      </c>
      <c r="N163" s="7">
        <f ca="1">IF(AND(COPIA!$BF$1=1,M163&lt;&gt;0),ROW()-10,IF(AND(COPIA!$BF$1&gt;1,ROW()-10&gt;COPIA!$BF$1,M163&lt;&gt;0),0,IF(AND(COPIA!$BF$1&gt;1,ROW()-10&lt;=COPIA!$BF$1,M163&lt;&gt;0),ROW()-10,0)))</f>
        <v>0</v>
      </c>
      <c r="O163" s="7">
        <f ca="1">IF(AND($O$1=0,ROW()-10&lt;=$O$2),MAX($O$10:O162)+1,IF(AND(ROW()-10&gt;$O$2,ROW()-10&lt;=$O$1),ROW()-10,0))</f>
        <v>0</v>
      </c>
      <c r="P163" s="7">
        <f ca="1">IF(O163&gt;0,MAX($P$10:P162)+1,0)</f>
        <v>0</v>
      </c>
    </row>
    <row r="164" spans="2:16" ht="24" customHeight="1" x14ac:dyDescent="0.3">
      <c r="B164" s="22" t="str">
        <f t="shared" ca="1" si="8"/>
        <v/>
      </c>
      <c r="C164" s="16" t="str">
        <f t="shared" ca="1" si="9"/>
        <v/>
      </c>
      <c r="D164" s="23"/>
      <c r="E164" s="24"/>
      <c r="F164" s="27"/>
      <c r="G164" s="25"/>
      <c r="H164" s="25"/>
      <c r="I164" s="177"/>
      <c r="J164" s="151"/>
      <c r="K164" s="167" t="str">
        <f ca="1">IF(IF(COPIA!$R$1=TRUE,IF(OR(G164&lt;&gt;0,H164&lt;&gt;0),ROUND(SUM(G$11:G164),2)-ROUND(SUM(H$11:H164),2),""),"")&lt;&gt;0,"",0)</f>
        <v/>
      </c>
      <c r="L164" s="7">
        <f t="shared" ca="1" si="10"/>
        <v>0</v>
      </c>
      <c r="M164" s="7">
        <f ca="1">IFERROR(IF(AND(INDIRECT(ADDRESS(ROW(),4,,,))&lt;=COPIA!$DA$1,K164=0,COPIA!$BF$1&gt;1,ROW()-10&lt;COPIA!$BF$1-1),MAX($M$10:M163)+1,IF(AND(INDIRECT(ADDRESS(ROW(),4,,,))&lt;=COPIA!$DA$1,K164=0,COPIA!$BF$1=1),MAX($M$10:M163)+1,0)),0)</f>
        <v>0</v>
      </c>
      <c r="N164" s="7">
        <f ca="1">IF(AND(COPIA!$BF$1=1,M164&lt;&gt;0),ROW()-10,IF(AND(COPIA!$BF$1&gt;1,ROW()-10&gt;COPIA!$BF$1,M164&lt;&gt;0),0,IF(AND(COPIA!$BF$1&gt;1,ROW()-10&lt;=COPIA!$BF$1,M164&lt;&gt;0),ROW()-10,0)))</f>
        <v>0</v>
      </c>
      <c r="O164" s="7">
        <f ca="1">IF(AND($O$1=0,ROW()-10&lt;=$O$2),MAX($O$10:O163)+1,IF(AND(ROW()-10&gt;$O$2,ROW()-10&lt;=$O$1),ROW()-10,0))</f>
        <v>0</v>
      </c>
      <c r="P164" s="7">
        <f ca="1">IF(O164&gt;0,MAX($P$10:P163)+1,0)</f>
        <v>0</v>
      </c>
    </row>
    <row r="165" spans="2:16" ht="24" customHeight="1" x14ac:dyDescent="0.3">
      <c r="B165" s="22" t="str">
        <f t="shared" ca="1" si="8"/>
        <v/>
      </c>
      <c r="C165" s="16" t="str">
        <f t="shared" ca="1" si="9"/>
        <v/>
      </c>
      <c r="D165" s="23"/>
      <c r="E165" s="24"/>
      <c r="F165" s="27"/>
      <c r="G165" s="25"/>
      <c r="H165" s="25"/>
      <c r="I165" s="177"/>
      <c r="J165" s="151"/>
      <c r="K165" s="167" t="str">
        <f ca="1">IF(IF(COPIA!$R$1=TRUE,IF(OR(G165&lt;&gt;0,H165&lt;&gt;0),ROUND(SUM(G$11:G165),2)-ROUND(SUM(H$11:H165),2),""),"")&lt;&gt;0,"",0)</f>
        <v/>
      </c>
      <c r="L165" s="7">
        <f t="shared" ca="1" si="10"/>
        <v>0</v>
      </c>
      <c r="M165" s="7">
        <f ca="1">IFERROR(IF(AND(INDIRECT(ADDRESS(ROW(),4,,,))&lt;=COPIA!$DA$1,K165=0,COPIA!$BF$1&gt;1,ROW()-10&lt;COPIA!$BF$1-1),MAX($M$10:M164)+1,IF(AND(INDIRECT(ADDRESS(ROW(),4,,,))&lt;=COPIA!$DA$1,K165=0,COPIA!$BF$1=1),MAX($M$10:M164)+1,0)),0)</f>
        <v>0</v>
      </c>
      <c r="N165" s="7">
        <f ca="1">IF(AND(COPIA!$BF$1=1,M165&lt;&gt;0),ROW()-10,IF(AND(COPIA!$BF$1&gt;1,ROW()-10&gt;COPIA!$BF$1,M165&lt;&gt;0),0,IF(AND(COPIA!$BF$1&gt;1,ROW()-10&lt;=COPIA!$BF$1,M165&lt;&gt;0),ROW()-10,0)))</f>
        <v>0</v>
      </c>
      <c r="O165" s="7">
        <f ca="1">IF(AND($O$1=0,ROW()-10&lt;=$O$2),MAX($O$10:O164)+1,IF(AND(ROW()-10&gt;$O$2,ROW()-10&lt;=$O$1),ROW()-10,0))</f>
        <v>0</v>
      </c>
      <c r="P165" s="7">
        <f ca="1">IF(O165&gt;0,MAX($P$10:P164)+1,0)</f>
        <v>0</v>
      </c>
    </row>
    <row r="166" spans="2:16" ht="24" customHeight="1" x14ac:dyDescent="0.3">
      <c r="B166" s="22" t="str">
        <f t="shared" ca="1" si="8"/>
        <v/>
      </c>
      <c r="C166" s="16" t="str">
        <f t="shared" ca="1" si="9"/>
        <v/>
      </c>
      <c r="D166" s="23"/>
      <c r="E166" s="24"/>
      <c r="F166" s="27"/>
      <c r="G166" s="25"/>
      <c r="H166" s="25"/>
      <c r="I166" s="177"/>
      <c r="J166" s="151"/>
      <c r="K166" s="167" t="str">
        <f ca="1">IF(IF(COPIA!$R$1=TRUE,IF(OR(G166&lt;&gt;0,H166&lt;&gt;0),ROUND(SUM(G$11:G166),2)-ROUND(SUM(H$11:H166),2),""),"")&lt;&gt;0,"",0)</f>
        <v/>
      </c>
      <c r="L166" s="7">
        <f t="shared" ca="1" si="10"/>
        <v>0</v>
      </c>
      <c r="M166" s="7">
        <f ca="1">IFERROR(IF(AND(INDIRECT(ADDRESS(ROW(),4,,,))&lt;=COPIA!$DA$1,K166=0,COPIA!$BF$1&gt;1,ROW()-10&lt;COPIA!$BF$1-1),MAX($M$10:M165)+1,IF(AND(INDIRECT(ADDRESS(ROW(),4,,,))&lt;=COPIA!$DA$1,K166=0,COPIA!$BF$1=1),MAX($M$10:M165)+1,0)),0)</f>
        <v>0</v>
      </c>
      <c r="N166" s="7">
        <f ca="1">IF(AND(COPIA!$BF$1=1,M166&lt;&gt;0),ROW()-10,IF(AND(COPIA!$BF$1&gt;1,ROW()-10&gt;COPIA!$BF$1,M166&lt;&gt;0),0,IF(AND(COPIA!$BF$1&gt;1,ROW()-10&lt;=COPIA!$BF$1,M166&lt;&gt;0),ROW()-10,0)))</f>
        <v>0</v>
      </c>
      <c r="O166" s="7">
        <f ca="1">IF(AND($O$1=0,ROW()-10&lt;=$O$2),MAX($O$10:O165)+1,IF(AND(ROW()-10&gt;$O$2,ROW()-10&lt;=$O$1),ROW()-10,0))</f>
        <v>0</v>
      </c>
      <c r="P166" s="7">
        <f ca="1">IF(O166&gt;0,MAX($P$10:P165)+1,0)</f>
        <v>0</v>
      </c>
    </row>
    <row r="167" spans="2:16" ht="24" customHeight="1" x14ac:dyDescent="0.3">
      <c r="B167" s="22" t="str">
        <f t="shared" ca="1" si="8"/>
        <v/>
      </c>
      <c r="C167" s="16" t="str">
        <f t="shared" ca="1" si="9"/>
        <v/>
      </c>
      <c r="D167" s="23"/>
      <c r="E167" s="24"/>
      <c r="F167" s="27"/>
      <c r="G167" s="25"/>
      <c r="H167" s="25"/>
      <c r="I167" s="177"/>
      <c r="J167" s="151"/>
      <c r="K167" s="167" t="str">
        <f ca="1">IF(IF(COPIA!$R$1=TRUE,IF(OR(G167&lt;&gt;0,H167&lt;&gt;0),ROUND(SUM(G$11:G167),2)-ROUND(SUM(H$11:H167),2),""),"")&lt;&gt;0,"",0)</f>
        <v/>
      </c>
      <c r="L167" s="7">
        <f t="shared" ca="1" si="10"/>
        <v>0</v>
      </c>
      <c r="M167" s="7">
        <f ca="1">IFERROR(IF(AND(INDIRECT(ADDRESS(ROW(),4,,,))&lt;=COPIA!$DA$1,K167=0,COPIA!$BF$1&gt;1,ROW()-10&lt;COPIA!$BF$1-1),MAX($M$10:M166)+1,IF(AND(INDIRECT(ADDRESS(ROW(),4,,,))&lt;=COPIA!$DA$1,K167=0,COPIA!$BF$1=1),MAX($M$10:M166)+1,0)),0)</f>
        <v>0</v>
      </c>
      <c r="N167" s="7">
        <f ca="1">IF(AND(COPIA!$BF$1=1,M167&lt;&gt;0),ROW()-10,IF(AND(COPIA!$BF$1&gt;1,ROW()-10&gt;COPIA!$BF$1,M167&lt;&gt;0),0,IF(AND(COPIA!$BF$1&gt;1,ROW()-10&lt;=COPIA!$BF$1,M167&lt;&gt;0),ROW()-10,0)))</f>
        <v>0</v>
      </c>
      <c r="O167" s="7">
        <f ca="1">IF(AND($O$1=0,ROW()-10&lt;=$O$2),MAX($O$10:O166)+1,IF(AND(ROW()-10&gt;$O$2,ROW()-10&lt;=$O$1),ROW()-10,0))</f>
        <v>0</v>
      </c>
      <c r="P167" s="7">
        <f ca="1">IF(O167&gt;0,MAX($P$10:P166)+1,0)</f>
        <v>0</v>
      </c>
    </row>
    <row r="168" spans="2:16" ht="24" customHeight="1" x14ac:dyDescent="0.3">
      <c r="B168" s="22" t="str">
        <f t="shared" ca="1" si="8"/>
        <v/>
      </c>
      <c r="C168" s="16" t="str">
        <f t="shared" ca="1" si="9"/>
        <v/>
      </c>
      <c r="D168" s="23"/>
      <c r="E168" s="24"/>
      <c r="F168" s="27"/>
      <c r="G168" s="25"/>
      <c r="H168" s="25"/>
      <c r="I168" s="177"/>
      <c r="J168" s="151"/>
      <c r="K168" s="167" t="str">
        <f ca="1">IF(IF(COPIA!$R$1=TRUE,IF(OR(G168&lt;&gt;0,H168&lt;&gt;0),ROUND(SUM(G$11:G168),2)-ROUND(SUM(H$11:H168),2),""),"")&lt;&gt;0,"",0)</f>
        <v/>
      </c>
      <c r="L168" s="7">
        <f t="shared" ca="1" si="10"/>
        <v>0</v>
      </c>
      <c r="M168" s="7">
        <f ca="1">IFERROR(IF(AND(INDIRECT(ADDRESS(ROW(),4,,,))&lt;=COPIA!$DA$1,K168=0,COPIA!$BF$1&gt;1,ROW()-10&lt;COPIA!$BF$1-1),MAX($M$10:M167)+1,IF(AND(INDIRECT(ADDRESS(ROW(),4,,,))&lt;=COPIA!$DA$1,K168=0,COPIA!$BF$1=1),MAX($M$10:M167)+1,0)),0)</f>
        <v>0</v>
      </c>
      <c r="N168" s="7">
        <f ca="1">IF(AND(COPIA!$BF$1=1,M168&lt;&gt;0),ROW()-10,IF(AND(COPIA!$BF$1&gt;1,ROW()-10&gt;COPIA!$BF$1,M168&lt;&gt;0),0,IF(AND(COPIA!$BF$1&gt;1,ROW()-10&lt;=COPIA!$BF$1,M168&lt;&gt;0),ROW()-10,0)))</f>
        <v>0</v>
      </c>
      <c r="O168" s="7">
        <f ca="1">IF(AND($O$1=0,ROW()-10&lt;=$O$2),MAX($O$10:O167)+1,IF(AND(ROW()-10&gt;$O$2,ROW()-10&lt;=$O$1),ROW()-10,0))</f>
        <v>0</v>
      </c>
      <c r="P168" s="7">
        <f ca="1">IF(O168&gt;0,MAX($P$10:P167)+1,0)</f>
        <v>0</v>
      </c>
    </row>
    <row r="169" spans="2:16" ht="24" customHeight="1" x14ac:dyDescent="0.3">
      <c r="B169" s="22" t="str">
        <f t="shared" ca="1" si="8"/>
        <v/>
      </c>
      <c r="C169" s="16" t="str">
        <f t="shared" ca="1" si="9"/>
        <v/>
      </c>
      <c r="D169" s="23"/>
      <c r="E169" s="24"/>
      <c r="F169" s="27"/>
      <c r="G169" s="25"/>
      <c r="H169" s="25"/>
      <c r="I169" s="177"/>
      <c r="J169" s="151"/>
      <c r="K169" s="167" t="str">
        <f ca="1">IF(IF(COPIA!$R$1=TRUE,IF(OR(G169&lt;&gt;0,H169&lt;&gt;0),ROUND(SUM(G$11:G169),2)-ROUND(SUM(H$11:H169),2),""),"")&lt;&gt;0,"",0)</f>
        <v/>
      </c>
      <c r="L169" s="7">
        <f t="shared" ca="1" si="10"/>
        <v>0</v>
      </c>
      <c r="M169" s="7">
        <f ca="1">IFERROR(IF(AND(INDIRECT(ADDRESS(ROW(),4,,,))&lt;=COPIA!$DA$1,K169=0,COPIA!$BF$1&gt;1,ROW()-10&lt;COPIA!$BF$1-1),MAX($M$10:M168)+1,IF(AND(INDIRECT(ADDRESS(ROW(),4,,,))&lt;=COPIA!$DA$1,K169=0,COPIA!$BF$1=1),MAX($M$10:M168)+1,0)),0)</f>
        <v>0</v>
      </c>
      <c r="N169" s="7">
        <f ca="1">IF(AND(COPIA!$BF$1=1,M169&lt;&gt;0),ROW()-10,IF(AND(COPIA!$BF$1&gt;1,ROW()-10&gt;COPIA!$BF$1,M169&lt;&gt;0),0,IF(AND(COPIA!$BF$1&gt;1,ROW()-10&lt;=COPIA!$BF$1,M169&lt;&gt;0),ROW()-10,0)))</f>
        <v>0</v>
      </c>
      <c r="O169" s="7">
        <f ca="1">IF(AND($O$1=0,ROW()-10&lt;=$O$2),MAX($O$10:O168)+1,IF(AND(ROW()-10&gt;$O$2,ROW()-10&lt;=$O$1),ROW()-10,0))</f>
        <v>0</v>
      </c>
      <c r="P169" s="7">
        <f ca="1">IF(O169&gt;0,MAX($P$10:P168)+1,0)</f>
        <v>0</v>
      </c>
    </row>
    <row r="170" spans="2:16" ht="24" customHeight="1" x14ac:dyDescent="0.3">
      <c r="B170" s="22" t="str">
        <f t="shared" ca="1" si="8"/>
        <v/>
      </c>
      <c r="C170" s="16" t="str">
        <f t="shared" ca="1" si="9"/>
        <v/>
      </c>
      <c r="D170" s="23"/>
      <c r="E170" s="24"/>
      <c r="F170" s="27"/>
      <c r="G170" s="25"/>
      <c r="H170" s="25"/>
      <c r="I170" s="177"/>
      <c r="J170" s="151"/>
      <c r="K170" s="167" t="str">
        <f ca="1">IF(IF(COPIA!$R$1=TRUE,IF(OR(G170&lt;&gt;0,H170&lt;&gt;0),ROUND(SUM(G$11:G170),2)-ROUND(SUM(H$11:H170),2),""),"")&lt;&gt;0,"",0)</f>
        <v/>
      </c>
      <c r="L170" s="7">
        <f t="shared" ca="1" si="10"/>
        <v>0</v>
      </c>
      <c r="M170" s="7">
        <f ca="1">IFERROR(IF(AND(INDIRECT(ADDRESS(ROW(),4,,,))&lt;=COPIA!$DA$1,K170=0,COPIA!$BF$1&gt;1,ROW()-10&lt;COPIA!$BF$1-1),MAX($M$10:M169)+1,IF(AND(INDIRECT(ADDRESS(ROW(),4,,,))&lt;=COPIA!$DA$1,K170=0,COPIA!$BF$1=1),MAX($M$10:M169)+1,0)),0)</f>
        <v>0</v>
      </c>
      <c r="N170" s="7">
        <f ca="1">IF(AND(COPIA!$BF$1=1,M170&lt;&gt;0),ROW()-10,IF(AND(COPIA!$BF$1&gt;1,ROW()-10&gt;COPIA!$BF$1,M170&lt;&gt;0),0,IF(AND(COPIA!$BF$1&gt;1,ROW()-10&lt;=COPIA!$BF$1,M170&lt;&gt;0),ROW()-10,0)))</f>
        <v>0</v>
      </c>
      <c r="O170" s="7">
        <f ca="1">IF(AND($O$1=0,ROW()-10&lt;=$O$2),MAX($O$10:O169)+1,IF(AND(ROW()-10&gt;$O$2,ROW()-10&lt;=$O$1),ROW()-10,0))</f>
        <v>0</v>
      </c>
      <c r="P170" s="7">
        <f ca="1">IF(O170&gt;0,MAX($P$10:P169)+1,0)</f>
        <v>0</v>
      </c>
    </row>
    <row r="171" spans="2:16" ht="24" customHeight="1" x14ac:dyDescent="0.3">
      <c r="B171" s="22" t="str">
        <f t="shared" ref="B171:B202" ca="1" si="11">IF(INDIRECT(ADDRESS(ROW(),4,,,))="","",IFERROR(INDEX(PDC,MATCH(INDIRECT(ADDRESS(ROW(),5,,,)),DEN_PDC,0),1),0))</f>
        <v/>
      </c>
      <c r="C171" s="16" t="str">
        <f t="shared" ca="1" si="9"/>
        <v/>
      </c>
      <c r="D171" s="23"/>
      <c r="E171" s="24"/>
      <c r="F171" s="27"/>
      <c r="G171" s="25"/>
      <c r="H171" s="25"/>
      <c r="I171" s="177"/>
      <c r="J171" s="151"/>
      <c r="K171" s="167" t="str">
        <f ca="1">IF(IF(COPIA!$R$1=TRUE,IF(OR(G171&lt;&gt;0,H171&lt;&gt;0),ROUND(SUM(G$11:G171),2)-ROUND(SUM(H$11:H171),2),""),"")&lt;&gt;0,"",0)</f>
        <v/>
      </c>
      <c r="L171" s="7">
        <f t="shared" ca="1" si="10"/>
        <v>0</v>
      </c>
      <c r="M171" s="7">
        <f ca="1">IFERROR(IF(AND(INDIRECT(ADDRESS(ROW(),4,,,))&lt;=COPIA!$DA$1,K171=0,COPIA!$BF$1&gt;1,ROW()-10&lt;COPIA!$BF$1-1),MAX($M$10:M170)+1,IF(AND(INDIRECT(ADDRESS(ROW(),4,,,))&lt;=COPIA!$DA$1,K171=0,COPIA!$BF$1=1),MAX($M$10:M170)+1,0)),0)</f>
        <v>0</v>
      </c>
      <c r="N171" s="7">
        <f ca="1">IF(AND(COPIA!$BF$1=1,M171&lt;&gt;0),ROW()-10,IF(AND(COPIA!$BF$1&gt;1,ROW()-10&gt;COPIA!$BF$1,M171&lt;&gt;0),0,IF(AND(COPIA!$BF$1&gt;1,ROW()-10&lt;=COPIA!$BF$1,M171&lt;&gt;0),ROW()-10,0)))</f>
        <v>0</v>
      </c>
      <c r="O171" s="7">
        <f ca="1">IF(AND($O$1=0,ROW()-10&lt;=$O$2),MAX($O$10:O170)+1,IF(AND(ROW()-10&gt;$O$2,ROW()-10&lt;=$O$1),ROW()-10,0))</f>
        <v>0</v>
      </c>
      <c r="P171" s="7">
        <f ca="1">IF(O171&gt;0,MAX($P$10:P170)+1,0)</f>
        <v>0</v>
      </c>
    </row>
    <row r="172" spans="2:16" ht="24" customHeight="1" x14ac:dyDescent="0.3">
      <c r="B172" s="22" t="str">
        <f t="shared" ca="1" si="11"/>
        <v/>
      </c>
      <c r="C172" s="16" t="str">
        <f t="shared" ca="1" si="9"/>
        <v/>
      </c>
      <c r="D172" s="23"/>
      <c r="E172" s="24"/>
      <c r="F172" s="27"/>
      <c r="G172" s="25"/>
      <c r="H172" s="25"/>
      <c r="I172" s="177"/>
      <c r="J172" s="151"/>
      <c r="K172" s="167" t="str">
        <f ca="1">IF(IF(COPIA!$R$1=TRUE,IF(OR(G172&lt;&gt;0,H172&lt;&gt;0),ROUND(SUM(G$11:G172),2)-ROUND(SUM(H$11:H172),2),""),"")&lt;&gt;0,"",0)</f>
        <v/>
      </c>
      <c r="L172" s="7">
        <f t="shared" ca="1" si="10"/>
        <v>0</v>
      </c>
      <c r="M172" s="7">
        <f ca="1">IFERROR(IF(AND(INDIRECT(ADDRESS(ROW(),4,,,))&lt;=COPIA!$DA$1,K172=0,COPIA!$BF$1&gt;1,ROW()-10&lt;COPIA!$BF$1-1),MAX($M$10:M171)+1,IF(AND(INDIRECT(ADDRESS(ROW(),4,,,))&lt;=COPIA!$DA$1,K172=0,COPIA!$BF$1=1),MAX($M$10:M171)+1,0)),0)</f>
        <v>0</v>
      </c>
      <c r="N172" s="7">
        <f ca="1">IF(AND(COPIA!$BF$1=1,M172&lt;&gt;0),ROW()-10,IF(AND(COPIA!$BF$1&gt;1,ROW()-10&gt;COPIA!$BF$1,M172&lt;&gt;0),0,IF(AND(COPIA!$BF$1&gt;1,ROW()-10&lt;=COPIA!$BF$1,M172&lt;&gt;0),ROW()-10,0)))</f>
        <v>0</v>
      </c>
      <c r="O172" s="7">
        <f ca="1">IF(AND($O$1=0,ROW()-10&lt;=$O$2),MAX($O$10:O171)+1,IF(AND(ROW()-10&gt;$O$2,ROW()-10&lt;=$O$1),ROW()-10,0))</f>
        <v>0</v>
      </c>
      <c r="P172" s="7">
        <f ca="1">IF(O172&gt;0,MAX($P$10:P171)+1,0)</f>
        <v>0</v>
      </c>
    </row>
    <row r="173" spans="2:16" ht="24" customHeight="1" x14ac:dyDescent="0.3">
      <c r="B173" s="22" t="str">
        <f t="shared" ca="1" si="11"/>
        <v/>
      </c>
      <c r="C173" s="16" t="str">
        <f t="shared" ca="1" si="9"/>
        <v/>
      </c>
      <c r="D173" s="23"/>
      <c r="E173" s="24"/>
      <c r="F173" s="27"/>
      <c r="G173" s="25"/>
      <c r="H173" s="25"/>
      <c r="I173" s="177"/>
      <c r="J173" s="151"/>
      <c r="K173" s="167" t="str">
        <f ca="1">IF(IF(COPIA!$R$1=TRUE,IF(OR(G173&lt;&gt;0,H173&lt;&gt;0),ROUND(SUM(G$11:G173),2)-ROUND(SUM(H$11:H173),2),""),"")&lt;&gt;0,"",0)</f>
        <v/>
      </c>
      <c r="L173" s="7">
        <f t="shared" ca="1" si="10"/>
        <v>0</v>
      </c>
      <c r="M173" s="7">
        <f ca="1">IFERROR(IF(AND(INDIRECT(ADDRESS(ROW(),4,,,))&lt;=COPIA!$DA$1,K173=0,COPIA!$BF$1&gt;1,ROW()-10&lt;COPIA!$BF$1-1),MAX($M$10:M172)+1,IF(AND(INDIRECT(ADDRESS(ROW(),4,,,))&lt;=COPIA!$DA$1,K173=0,COPIA!$BF$1=1),MAX($M$10:M172)+1,0)),0)</f>
        <v>0</v>
      </c>
      <c r="N173" s="7">
        <f ca="1">IF(AND(COPIA!$BF$1=1,M173&lt;&gt;0),ROW()-10,IF(AND(COPIA!$BF$1&gt;1,ROW()-10&gt;COPIA!$BF$1,M173&lt;&gt;0),0,IF(AND(COPIA!$BF$1&gt;1,ROW()-10&lt;=COPIA!$BF$1,M173&lt;&gt;0),ROW()-10,0)))</f>
        <v>0</v>
      </c>
      <c r="O173" s="7">
        <f ca="1">IF(AND($O$1=0,ROW()-10&lt;=$O$2),MAX($O$10:O172)+1,IF(AND(ROW()-10&gt;$O$2,ROW()-10&lt;=$O$1),ROW()-10,0))</f>
        <v>0</v>
      </c>
      <c r="P173" s="7">
        <f ca="1">IF(O173&gt;0,MAX($P$10:P172)+1,0)</f>
        <v>0</v>
      </c>
    </row>
    <row r="174" spans="2:16" ht="24" customHeight="1" x14ac:dyDescent="0.3">
      <c r="B174" s="22" t="str">
        <f t="shared" ca="1" si="11"/>
        <v/>
      </c>
      <c r="C174" s="16" t="str">
        <f t="shared" ca="1" si="9"/>
        <v/>
      </c>
      <c r="D174" s="23"/>
      <c r="E174" s="24"/>
      <c r="F174" s="27"/>
      <c r="G174" s="25"/>
      <c r="H174" s="25"/>
      <c r="I174" s="177"/>
      <c r="J174" s="151"/>
      <c r="K174" s="167" t="str">
        <f ca="1">IF(IF(COPIA!$R$1=TRUE,IF(OR(G174&lt;&gt;0,H174&lt;&gt;0),ROUND(SUM(G$11:G174),2)-ROUND(SUM(H$11:H174),2),""),"")&lt;&gt;0,"",0)</f>
        <v/>
      </c>
      <c r="L174" s="7">
        <f t="shared" ca="1" si="10"/>
        <v>0</v>
      </c>
      <c r="M174" s="7">
        <f ca="1">IFERROR(IF(AND(INDIRECT(ADDRESS(ROW(),4,,,))&lt;=COPIA!$DA$1,K174=0,COPIA!$BF$1&gt;1,ROW()-10&lt;COPIA!$BF$1-1),MAX($M$10:M173)+1,IF(AND(INDIRECT(ADDRESS(ROW(),4,,,))&lt;=COPIA!$DA$1,K174=0,COPIA!$BF$1=1),MAX($M$10:M173)+1,0)),0)</f>
        <v>0</v>
      </c>
      <c r="N174" s="7">
        <f ca="1">IF(AND(COPIA!$BF$1=1,M174&lt;&gt;0),ROW()-10,IF(AND(COPIA!$BF$1&gt;1,ROW()-10&gt;COPIA!$BF$1,M174&lt;&gt;0),0,IF(AND(COPIA!$BF$1&gt;1,ROW()-10&lt;=COPIA!$BF$1,M174&lt;&gt;0),ROW()-10,0)))</f>
        <v>0</v>
      </c>
      <c r="O174" s="7">
        <f ca="1">IF(AND($O$1=0,ROW()-10&lt;=$O$2),MAX($O$10:O173)+1,IF(AND(ROW()-10&gt;$O$2,ROW()-10&lt;=$O$1),ROW()-10,0))</f>
        <v>0</v>
      </c>
      <c r="P174" s="7">
        <f ca="1">IF(O174&gt;0,MAX($P$10:P173)+1,0)</f>
        <v>0</v>
      </c>
    </row>
    <row r="175" spans="2:16" ht="24" customHeight="1" x14ac:dyDescent="0.3">
      <c r="B175" s="22" t="str">
        <f t="shared" ca="1" si="11"/>
        <v/>
      </c>
      <c r="C175" s="16" t="str">
        <f t="shared" ca="1" si="9"/>
        <v/>
      </c>
      <c r="D175" s="23"/>
      <c r="E175" s="24"/>
      <c r="F175" s="27"/>
      <c r="G175" s="25"/>
      <c r="H175" s="25"/>
      <c r="I175" s="177"/>
      <c r="J175" s="151"/>
      <c r="K175" s="167" t="str">
        <f ca="1">IF(IF(COPIA!$R$1=TRUE,IF(OR(G175&lt;&gt;0,H175&lt;&gt;0),ROUND(SUM(G$11:G175),2)-ROUND(SUM(H$11:H175),2),""),"")&lt;&gt;0,"",0)</f>
        <v/>
      </c>
      <c r="L175" s="7">
        <f t="shared" ca="1" si="10"/>
        <v>0</v>
      </c>
      <c r="M175" s="7">
        <f ca="1">IFERROR(IF(AND(INDIRECT(ADDRESS(ROW(),4,,,))&lt;=COPIA!$DA$1,K175=0,COPIA!$BF$1&gt;1,ROW()-10&lt;COPIA!$BF$1-1),MAX($M$10:M174)+1,IF(AND(INDIRECT(ADDRESS(ROW(),4,,,))&lt;=COPIA!$DA$1,K175=0,COPIA!$BF$1=1),MAX($M$10:M174)+1,0)),0)</f>
        <v>0</v>
      </c>
      <c r="N175" s="7">
        <f ca="1">IF(AND(COPIA!$BF$1=1,M175&lt;&gt;0),ROW()-10,IF(AND(COPIA!$BF$1&gt;1,ROW()-10&gt;COPIA!$BF$1,M175&lt;&gt;0),0,IF(AND(COPIA!$BF$1&gt;1,ROW()-10&lt;=COPIA!$BF$1,M175&lt;&gt;0),ROW()-10,0)))</f>
        <v>0</v>
      </c>
      <c r="O175" s="7">
        <f ca="1">IF(AND($O$1=0,ROW()-10&lt;=$O$2),MAX($O$10:O174)+1,IF(AND(ROW()-10&gt;$O$2,ROW()-10&lt;=$O$1),ROW()-10,0))</f>
        <v>0</v>
      </c>
      <c r="P175" s="7">
        <f ca="1">IF(O175&gt;0,MAX($P$10:P174)+1,0)</f>
        <v>0</v>
      </c>
    </row>
    <row r="176" spans="2:16" ht="24" customHeight="1" x14ac:dyDescent="0.3">
      <c r="B176" s="22" t="str">
        <f t="shared" ca="1" si="11"/>
        <v/>
      </c>
      <c r="C176" s="16" t="str">
        <f t="shared" ca="1" si="9"/>
        <v/>
      </c>
      <c r="D176" s="23"/>
      <c r="E176" s="24"/>
      <c r="F176" s="27"/>
      <c r="G176" s="25"/>
      <c r="H176" s="25"/>
      <c r="I176" s="177"/>
      <c r="J176" s="151"/>
      <c r="K176" s="167" t="str">
        <f ca="1">IF(IF(COPIA!$R$1=TRUE,IF(OR(G176&lt;&gt;0,H176&lt;&gt;0),ROUND(SUM(G$11:G176),2)-ROUND(SUM(H$11:H176),2),""),"")&lt;&gt;0,"",0)</f>
        <v/>
      </c>
      <c r="L176" s="7">
        <f t="shared" ca="1" si="10"/>
        <v>0</v>
      </c>
      <c r="M176" s="7">
        <f ca="1">IFERROR(IF(AND(INDIRECT(ADDRESS(ROW(),4,,,))&lt;=COPIA!$DA$1,K176=0,COPIA!$BF$1&gt;1,ROW()-10&lt;COPIA!$BF$1-1),MAX($M$10:M175)+1,IF(AND(INDIRECT(ADDRESS(ROW(),4,,,))&lt;=COPIA!$DA$1,K176=0,COPIA!$BF$1=1),MAX($M$10:M175)+1,0)),0)</f>
        <v>0</v>
      </c>
      <c r="N176" s="7">
        <f ca="1">IF(AND(COPIA!$BF$1=1,M176&lt;&gt;0),ROW()-10,IF(AND(COPIA!$BF$1&gt;1,ROW()-10&gt;COPIA!$BF$1,M176&lt;&gt;0),0,IF(AND(COPIA!$BF$1&gt;1,ROW()-10&lt;=COPIA!$BF$1,M176&lt;&gt;0),ROW()-10,0)))</f>
        <v>0</v>
      </c>
      <c r="O176" s="7">
        <f ca="1">IF(AND($O$1=0,ROW()-10&lt;=$O$2),MAX($O$10:O175)+1,IF(AND(ROW()-10&gt;$O$2,ROW()-10&lt;=$O$1),ROW()-10,0))</f>
        <v>0</v>
      </c>
      <c r="P176" s="7">
        <f ca="1">IF(O176&gt;0,MAX($P$10:P175)+1,0)</f>
        <v>0</v>
      </c>
    </row>
    <row r="177" spans="2:16" ht="24" customHeight="1" x14ac:dyDescent="0.3">
      <c r="B177" s="22" t="str">
        <f t="shared" ca="1" si="11"/>
        <v/>
      </c>
      <c r="C177" s="16" t="str">
        <f t="shared" ca="1" si="9"/>
        <v/>
      </c>
      <c r="D177" s="23"/>
      <c r="E177" s="24"/>
      <c r="F177" s="27"/>
      <c r="G177" s="25"/>
      <c r="H177" s="25"/>
      <c r="I177" s="177"/>
      <c r="J177" s="151"/>
      <c r="K177" s="167" t="str">
        <f ca="1">IF(IF(COPIA!$R$1=TRUE,IF(OR(G177&lt;&gt;0,H177&lt;&gt;0),ROUND(SUM(G$11:G177),2)-ROUND(SUM(H$11:H177),2),""),"")&lt;&gt;0,"",0)</f>
        <v/>
      </c>
      <c r="L177" s="7">
        <f t="shared" ca="1" si="10"/>
        <v>0</v>
      </c>
      <c r="M177" s="7">
        <f ca="1">IFERROR(IF(AND(INDIRECT(ADDRESS(ROW(),4,,,))&lt;=COPIA!$DA$1,K177=0,COPIA!$BF$1&gt;1,ROW()-10&lt;COPIA!$BF$1-1),MAX($M$10:M176)+1,IF(AND(INDIRECT(ADDRESS(ROW(),4,,,))&lt;=COPIA!$DA$1,K177=0,COPIA!$BF$1=1),MAX($M$10:M176)+1,0)),0)</f>
        <v>0</v>
      </c>
      <c r="N177" s="7">
        <f ca="1">IF(AND(COPIA!$BF$1=1,M177&lt;&gt;0),ROW()-10,IF(AND(COPIA!$BF$1&gt;1,ROW()-10&gt;COPIA!$BF$1,M177&lt;&gt;0),0,IF(AND(COPIA!$BF$1&gt;1,ROW()-10&lt;=COPIA!$BF$1,M177&lt;&gt;0),ROW()-10,0)))</f>
        <v>0</v>
      </c>
      <c r="O177" s="7">
        <f ca="1">IF(AND($O$1=0,ROW()-10&lt;=$O$2),MAX($O$10:O176)+1,IF(AND(ROW()-10&gt;$O$2,ROW()-10&lt;=$O$1),ROW()-10,0))</f>
        <v>0</v>
      </c>
      <c r="P177" s="7">
        <f ca="1">IF(O177&gt;0,MAX($P$10:P176)+1,0)</f>
        <v>0</v>
      </c>
    </row>
    <row r="178" spans="2:16" ht="24" customHeight="1" x14ac:dyDescent="0.3">
      <c r="B178" s="22" t="str">
        <f t="shared" ca="1" si="11"/>
        <v/>
      </c>
      <c r="C178" s="16" t="str">
        <f t="shared" ca="1" si="9"/>
        <v/>
      </c>
      <c r="D178" s="23"/>
      <c r="E178" s="24"/>
      <c r="F178" s="27"/>
      <c r="G178" s="25"/>
      <c r="H178" s="25"/>
      <c r="I178" s="177"/>
      <c r="J178" s="151"/>
      <c r="K178" s="167" t="str">
        <f ca="1">IF(IF(COPIA!$R$1=TRUE,IF(OR(G178&lt;&gt;0,H178&lt;&gt;0),ROUND(SUM(G$11:G178),2)-ROUND(SUM(H$11:H178),2),""),"")&lt;&gt;0,"",0)</f>
        <v/>
      </c>
      <c r="L178" s="7">
        <f t="shared" ca="1" si="10"/>
        <v>0</v>
      </c>
      <c r="M178" s="7">
        <f ca="1">IFERROR(IF(AND(INDIRECT(ADDRESS(ROW(),4,,,))&lt;=COPIA!$DA$1,K178=0,COPIA!$BF$1&gt;1,ROW()-10&lt;COPIA!$BF$1-1),MAX($M$10:M177)+1,IF(AND(INDIRECT(ADDRESS(ROW(),4,,,))&lt;=COPIA!$DA$1,K178=0,COPIA!$BF$1=1),MAX($M$10:M177)+1,0)),0)</f>
        <v>0</v>
      </c>
      <c r="N178" s="7">
        <f ca="1">IF(AND(COPIA!$BF$1=1,M178&lt;&gt;0),ROW()-10,IF(AND(COPIA!$BF$1&gt;1,ROW()-10&gt;COPIA!$BF$1,M178&lt;&gt;0),0,IF(AND(COPIA!$BF$1&gt;1,ROW()-10&lt;=COPIA!$BF$1,M178&lt;&gt;0),ROW()-10,0)))</f>
        <v>0</v>
      </c>
      <c r="O178" s="7">
        <f ca="1">IF(AND($O$1=0,ROW()-10&lt;=$O$2),MAX($O$10:O177)+1,IF(AND(ROW()-10&gt;$O$2,ROW()-10&lt;=$O$1),ROW()-10,0))</f>
        <v>0</v>
      </c>
      <c r="P178" s="7">
        <f ca="1">IF(O178&gt;0,MAX($P$10:P177)+1,0)</f>
        <v>0</v>
      </c>
    </row>
    <row r="179" spans="2:16" ht="24" customHeight="1" x14ac:dyDescent="0.3">
      <c r="B179" s="22" t="str">
        <f t="shared" ca="1" si="11"/>
        <v/>
      </c>
      <c r="C179" s="16" t="str">
        <f t="shared" ca="1" si="9"/>
        <v/>
      </c>
      <c r="D179" s="23"/>
      <c r="E179" s="24"/>
      <c r="F179" s="27"/>
      <c r="G179" s="25"/>
      <c r="H179" s="25"/>
      <c r="I179" s="177"/>
      <c r="J179" s="151"/>
      <c r="K179" s="167" t="str">
        <f ca="1">IF(IF(COPIA!$R$1=TRUE,IF(OR(G179&lt;&gt;0,H179&lt;&gt;0),ROUND(SUM(G$11:G179),2)-ROUND(SUM(H$11:H179),2),""),"")&lt;&gt;0,"",0)</f>
        <v/>
      </c>
      <c r="L179" s="7">
        <f t="shared" ca="1" si="10"/>
        <v>0</v>
      </c>
      <c r="M179" s="7">
        <f ca="1">IFERROR(IF(AND(INDIRECT(ADDRESS(ROW(),4,,,))&lt;=COPIA!$DA$1,K179=0,COPIA!$BF$1&gt;1,ROW()-10&lt;COPIA!$BF$1-1),MAX($M$10:M178)+1,IF(AND(INDIRECT(ADDRESS(ROW(),4,,,))&lt;=COPIA!$DA$1,K179=0,COPIA!$BF$1=1),MAX($M$10:M178)+1,0)),0)</f>
        <v>0</v>
      </c>
      <c r="N179" s="7">
        <f ca="1">IF(AND(COPIA!$BF$1=1,M179&lt;&gt;0),ROW()-10,IF(AND(COPIA!$BF$1&gt;1,ROW()-10&gt;COPIA!$BF$1,M179&lt;&gt;0),0,IF(AND(COPIA!$BF$1&gt;1,ROW()-10&lt;=COPIA!$BF$1,M179&lt;&gt;0),ROW()-10,0)))</f>
        <v>0</v>
      </c>
      <c r="O179" s="7">
        <f ca="1">IF(AND($O$1=0,ROW()-10&lt;=$O$2),MAX($O$10:O178)+1,IF(AND(ROW()-10&gt;$O$2,ROW()-10&lt;=$O$1),ROW()-10,0))</f>
        <v>0</v>
      </c>
      <c r="P179" s="7">
        <f ca="1">IF(O179&gt;0,MAX($P$10:P178)+1,0)</f>
        <v>0</v>
      </c>
    </row>
    <row r="180" spans="2:16" ht="24" customHeight="1" x14ac:dyDescent="0.3">
      <c r="B180" s="22" t="str">
        <f t="shared" ca="1" si="11"/>
        <v/>
      </c>
      <c r="C180" s="16" t="str">
        <f t="shared" ca="1" si="9"/>
        <v/>
      </c>
      <c r="D180" s="23"/>
      <c r="E180" s="24"/>
      <c r="F180" s="27"/>
      <c r="G180" s="25"/>
      <c r="H180" s="25"/>
      <c r="I180" s="177"/>
      <c r="J180" s="151"/>
      <c r="K180" s="167" t="str">
        <f ca="1">IF(IF(COPIA!$R$1=TRUE,IF(OR(G180&lt;&gt;0,H180&lt;&gt;0),ROUND(SUM(G$11:G180),2)-ROUND(SUM(H$11:H180),2),""),"")&lt;&gt;0,"",0)</f>
        <v/>
      </c>
      <c r="L180" s="7">
        <f t="shared" ca="1" si="10"/>
        <v>0</v>
      </c>
      <c r="M180" s="7">
        <f ca="1">IFERROR(IF(AND(INDIRECT(ADDRESS(ROW(),4,,,))&lt;=COPIA!$DA$1,K180=0,COPIA!$BF$1&gt;1,ROW()-10&lt;COPIA!$BF$1-1),MAX($M$10:M179)+1,IF(AND(INDIRECT(ADDRESS(ROW(),4,,,))&lt;=COPIA!$DA$1,K180=0,COPIA!$BF$1=1),MAX($M$10:M179)+1,0)),0)</f>
        <v>0</v>
      </c>
      <c r="N180" s="7">
        <f ca="1">IF(AND(COPIA!$BF$1=1,M180&lt;&gt;0),ROW()-10,IF(AND(COPIA!$BF$1&gt;1,ROW()-10&gt;COPIA!$BF$1,M180&lt;&gt;0),0,IF(AND(COPIA!$BF$1&gt;1,ROW()-10&lt;=COPIA!$BF$1,M180&lt;&gt;0),ROW()-10,0)))</f>
        <v>0</v>
      </c>
      <c r="O180" s="7">
        <f ca="1">IF(AND($O$1=0,ROW()-10&lt;=$O$2),MAX($O$10:O179)+1,IF(AND(ROW()-10&gt;$O$2,ROW()-10&lt;=$O$1),ROW()-10,0))</f>
        <v>0</v>
      </c>
      <c r="P180" s="7">
        <f ca="1">IF(O180&gt;0,MAX($P$10:P179)+1,0)</f>
        <v>0</v>
      </c>
    </row>
    <row r="181" spans="2:16" ht="24" customHeight="1" x14ac:dyDescent="0.3">
      <c r="B181" s="22" t="str">
        <f t="shared" ca="1" si="11"/>
        <v/>
      </c>
      <c r="C181" s="16" t="str">
        <f t="shared" ca="1" si="9"/>
        <v/>
      </c>
      <c r="D181" s="23"/>
      <c r="E181" s="24"/>
      <c r="F181" s="27"/>
      <c r="G181" s="25"/>
      <c r="H181" s="25"/>
      <c r="I181" s="177"/>
      <c r="J181" s="151"/>
      <c r="K181" s="167" t="str">
        <f ca="1">IF(IF(COPIA!$R$1=TRUE,IF(OR(G181&lt;&gt;0,H181&lt;&gt;0),ROUND(SUM(G$11:G181),2)-ROUND(SUM(H$11:H181),2),""),"")&lt;&gt;0,"",0)</f>
        <v/>
      </c>
      <c r="L181" s="7">
        <f t="shared" ca="1" si="10"/>
        <v>0</v>
      </c>
      <c r="M181" s="7">
        <f ca="1">IFERROR(IF(AND(INDIRECT(ADDRESS(ROW(),4,,,))&lt;=COPIA!$DA$1,K181=0,COPIA!$BF$1&gt;1,ROW()-10&lt;COPIA!$BF$1-1),MAX($M$10:M180)+1,IF(AND(INDIRECT(ADDRESS(ROW(),4,,,))&lt;=COPIA!$DA$1,K181=0,COPIA!$BF$1=1),MAX($M$10:M180)+1,0)),0)</f>
        <v>0</v>
      </c>
      <c r="N181" s="7">
        <f ca="1">IF(AND(COPIA!$BF$1=1,M181&lt;&gt;0),ROW()-10,IF(AND(COPIA!$BF$1&gt;1,ROW()-10&gt;COPIA!$BF$1,M181&lt;&gt;0),0,IF(AND(COPIA!$BF$1&gt;1,ROW()-10&lt;=COPIA!$BF$1,M181&lt;&gt;0),ROW()-10,0)))</f>
        <v>0</v>
      </c>
      <c r="O181" s="7">
        <f ca="1">IF(AND($O$1=0,ROW()-10&lt;=$O$2),MAX($O$10:O180)+1,IF(AND(ROW()-10&gt;$O$2,ROW()-10&lt;=$O$1),ROW()-10,0))</f>
        <v>0</v>
      </c>
      <c r="P181" s="7">
        <f ca="1">IF(O181&gt;0,MAX($P$10:P180)+1,0)</f>
        <v>0</v>
      </c>
    </row>
    <row r="182" spans="2:16" ht="24" customHeight="1" x14ac:dyDescent="0.3">
      <c r="B182" s="22" t="str">
        <f t="shared" ca="1" si="11"/>
        <v/>
      </c>
      <c r="C182" s="16" t="str">
        <f t="shared" ca="1" si="9"/>
        <v/>
      </c>
      <c r="D182" s="23"/>
      <c r="E182" s="24"/>
      <c r="F182" s="27"/>
      <c r="G182" s="25"/>
      <c r="H182" s="25"/>
      <c r="I182" s="177"/>
      <c r="J182" s="151"/>
      <c r="K182" s="167" t="str">
        <f ca="1">IF(IF(COPIA!$R$1=TRUE,IF(OR(G182&lt;&gt;0,H182&lt;&gt;0),ROUND(SUM(G$11:G182),2)-ROUND(SUM(H$11:H182),2),""),"")&lt;&gt;0,"",0)</f>
        <v/>
      </c>
      <c r="L182" s="7">
        <f t="shared" ca="1" si="10"/>
        <v>0</v>
      </c>
      <c r="M182" s="7">
        <f ca="1">IFERROR(IF(AND(INDIRECT(ADDRESS(ROW(),4,,,))&lt;=COPIA!$DA$1,K182=0,COPIA!$BF$1&gt;1,ROW()-10&lt;COPIA!$BF$1-1),MAX($M$10:M181)+1,IF(AND(INDIRECT(ADDRESS(ROW(),4,,,))&lt;=COPIA!$DA$1,K182=0,COPIA!$BF$1=1),MAX($M$10:M181)+1,0)),0)</f>
        <v>0</v>
      </c>
      <c r="N182" s="7">
        <f ca="1">IF(AND(COPIA!$BF$1=1,M182&lt;&gt;0),ROW()-10,IF(AND(COPIA!$BF$1&gt;1,ROW()-10&gt;COPIA!$BF$1,M182&lt;&gt;0),0,IF(AND(COPIA!$BF$1&gt;1,ROW()-10&lt;=COPIA!$BF$1,M182&lt;&gt;0),ROW()-10,0)))</f>
        <v>0</v>
      </c>
      <c r="O182" s="7">
        <f ca="1">IF(AND($O$1=0,ROW()-10&lt;=$O$2),MAX($O$10:O181)+1,IF(AND(ROW()-10&gt;$O$2,ROW()-10&lt;=$O$1),ROW()-10,0))</f>
        <v>0</v>
      </c>
      <c r="P182" s="7">
        <f ca="1">IF(O182&gt;0,MAX($P$10:P181)+1,0)</f>
        <v>0</v>
      </c>
    </row>
    <row r="183" spans="2:16" ht="24" customHeight="1" x14ac:dyDescent="0.3">
      <c r="B183" s="22" t="str">
        <f t="shared" ca="1" si="11"/>
        <v/>
      </c>
      <c r="C183" s="16" t="str">
        <f t="shared" ca="1" si="9"/>
        <v/>
      </c>
      <c r="D183" s="23"/>
      <c r="E183" s="24"/>
      <c r="F183" s="27"/>
      <c r="G183" s="25"/>
      <c r="H183" s="25"/>
      <c r="I183" s="177"/>
      <c r="J183" s="151"/>
      <c r="K183" s="167" t="str">
        <f ca="1">IF(IF(COPIA!$R$1=TRUE,IF(OR(G183&lt;&gt;0,H183&lt;&gt;0),ROUND(SUM(G$11:G183),2)-ROUND(SUM(H$11:H183),2),""),"")&lt;&gt;0,"",0)</f>
        <v/>
      </c>
      <c r="L183" s="7">
        <f t="shared" ca="1" si="10"/>
        <v>0</v>
      </c>
      <c r="M183" s="7">
        <f ca="1">IFERROR(IF(AND(INDIRECT(ADDRESS(ROW(),4,,,))&lt;=COPIA!$DA$1,K183=0,COPIA!$BF$1&gt;1,ROW()-10&lt;COPIA!$BF$1-1),MAX($M$10:M182)+1,IF(AND(INDIRECT(ADDRESS(ROW(),4,,,))&lt;=COPIA!$DA$1,K183=0,COPIA!$BF$1=1),MAX($M$10:M182)+1,0)),0)</f>
        <v>0</v>
      </c>
      <c r="N183" s="7">
        <f ca="1">IF(AND(COPIA!$BF$1=1,M183&lt;&gt;0),ROW()-10,IF(AND(COPIA!$BF$1&gt;1,ROW()-10&gt;COPIA!$BF$1,M183&lt;&gt;0),0,IF(AND(COPIA!$BF$1&gt;1,ROW()-10&lt;=COPIA!$BF$1,M183&lt;&gt;0),ROW()-10,0)))</f>
        <v>0</v>
      </c>
      <c r="O183" s="7">
        <f ca="1">IF(AND($O$1=0,ROW()-10&lt;=$O$2),MAX($O$10:O182)+1,IF(AND(ROW()-10&gt;$O$2,ROW()-10&lt;=$O$1),ROW()-10,0))</f>
        <v>0</v>
      </c>
      <c r="P183" s="7">
        <f ca="1">IF(O183&gt;0,MAX($P$10:P182)+1,0)</f>
        <v>0</v>
      </c>
    </row>
    <row r="184" spans="2:16" ht="24" customHeight="1" x14ac:dyDescent="0.3">
      <c r="B184" s="22" t="str">
        <f t="shared" ca="1" si="11"/>
        <v/>
      </c>
      <c r="C184" s="16" t="str">
        <f t="shared" ca="1" si="9"/>
        <v/>
      </c>
      <c r="D184" s="23"/>
      <c r="E184" s="24"/>
      <c r="F184" s="27"/>
      <c r="G184" s="25"/>
      <c r="H184" s="25"/>
      <c r="I184" s="177"/>
      <c r="J184" s="151"/>
      <c r="K184" s="167" t="str">
        <f ca="1">IF(IF(COPIA!$R$1=TRUE,IF(OR(G184&lt;&gt;0,H184&lt;&gt;0),ROUND(SUM(G$11:G184),2)-ROUND(SUM(H$11:H184),2),""),"")&lt;&gt;0,"",0)</f>
        <v/>
      </c>
      <c r="L184" s="7">
        <f t="shared" ca="1" si="10"/>
        <v>0</v>
      </c>
      <c r="M184" s="7">
        <f ca="1">IFERROR(IF(AND(INDIRECT(ADDRESS(ROW(),4,,,))&lt;=COPIA!$DA$1,K184=0,COPIA!$BF$1&gt;1,ROW()-10&lt;COPIA!$BF$1-1),MAX($M$10:M183)+1,IF(AND(INDIRECT(ADDRESS(ROW(),4,,,))&lt;=COPIA!$DA$1,K184=0,COPIA!$BF$1=1),MAX($M$10:M183)+1,0)),0)</f>
        <v>0</v>
      </c>
      <c r="N184" s="7">
        <f ca="1">IF(AND(COPIA!$BF$1=1,M184&lt;&gt;0),ROW()-10,IF(AND(COPIA!$BF$1&gt;1,ROW()-10&gt;COPIA!$BF$1,M184&lt;&gt;0),0,IF(AND(COPIA!$BF$1&gt;1,ROW()-10&lt;=COPIA!$BF$1,M184&lt;&gt;0),ROW()-10,0)))</f>
        <v>0</v>
      </c>
      <c r="O184" s="7">
        <f ca="1">IF(AND($O$1=0,ROW()-10&lt;=$O$2),MAX($O$10:O183)+1,IF(AND(ROW()-10&gt;$O$2,ROW()-10&lt;=$O$1),ROW()-10,0))</f>
        <v>0</v>
      </c>
      <c r="P184" s="7">
        <f ca="1">IF(O184&gt;0,MAX($P$10:P183)+1,0)</f>
        <v>0</v>
      </c>
    </row>
    <row r="185" spans="2:16" ht="24" customHeight="1" x14ac:dyDescent="0.3">
      <c r="B185" s="22" t="str">
        <f t="shared" ca="1" si="11"/>
        <v/>
      </c>
      <c r="C185" s="16" t="str">
        <f t="shared" ca="1" si="9"/>
        <v/>
      </c>
      <c r="D185" s="23"/>
      <c r="E185" s="24"/>
      <c r="F185" s="27"/>
      <c r="G185" s="25"/>
      <c r="H185" s="25"/>
      <c r="I185" s="177"/>
      <c r="J185" s="151"/>
      <c r="K185" s="167" t="str">
        <f ca="1">IF(IF(COPIA!$R$1=TRUE,IF(OR(G185&lt;&gt;0,H185&lt;&gt;0),ROUND(SUM(G$11:G185),2)-ROUND(SUM(H$11:H185),2),""),"")&lt;&gt;0,"",0)</f>
        <v/>
      </c>
      <c r="L185" s="7">
        <f t="shared" ca="1" si="10"/>
        <v>0</v>
      </c>
      <c r="M185" s="7">
        <f ca="1">IFERROR(IF(AND(INDIRECT(ADDRESS(ROW(),4,,,))&lt;=COPIA!$DA$1,K185=0,COPIA!$BF$1&gt;1,ROW()-10&lt;COPIA!$BF$1-1),MAX($M$10:M184)+1,IF(AND(INDIRECT(ADDRESS(ROW(),4,,,))&lt;=COPIA!$DA$1,K185=0,COPIA!$BF$1=1),MAX($M$10:M184)+1,0)),0)</f>
        <v>0</v>
      </c>
      <c r="N185" s="7">
        <f ca="1">IF(AND(COPIA!$BF$1=1,M185&lt;&gt;0),ROW()-10,IF(AND(COPIA!$BF$1&gt;1,ROW()-10&gt;COPIA!$BF$1,M185&lt;&gt;0),0,IF(AND(COPIA!$BF$1&gt;1,ROW()-10&lt;=COPIA!$BF$1,M185&lt;&gt;0),ROW()-10,0)))</f>
        <v>0</v>
      </c>
      <c r="O185" s="7">
        <f ca="1">IF(AND($O$1=0,ROW()-10&lt;=$O$2),MAX($O$10:O184)+1,IF(AND(ROW()-10&gt;$O$2,ROW()-10&lt;=$O$1),ROW()-10,0))</f>
        <v>0</v>
      </c>
      <c r="P185" s="7">
        <f ca="1">IF(O185&gt;0,MAX($P$10:P184)+1,0)</f>
        <v>0</v>
      </c>
    </row>
    <row r="186" spans="2:16" ht="24" customHeight="1" x14ac:dyDescent="0.3">
      <c r="B186" s="22" t="str">
        <f t="shared" ca="1" si="11"/>
        <v/>
      </c>
      <c r="C186" s="16" t="str">
        <f t="shared" ca="1" si="9"/>
        <v/>
      </c>
      <c r="D186" s="23"/>
      <c r="E186" s="24"/>
      <c r="F186" s="27"/>
      <c r="G186" s="25"/>
      <c r="H186" s="25"/>
      <c r="I186" s="177"/>
      <c r="J186" s="151"/>
      <c r="K186" s="167" t="str">
        <f ca="1">IF(IF(COPIA!$R$1=TRUE,IF(OR(G186&lt;&gt;0,H186&lt;&gt;0),ROUND(SUM(G$11:G186),2)-ROUND(SUM(H$11:H186),2),""),"")&lt;&gt;0,"",0)</f>
        <v/>
      </c>
      <c r="L186" s="7">
        <f t="shared" ca="1" si="10"/>
        <v>0</v>
      </c>
      <c r="M186" s="7">
        <f ca="1">IFERROR(IF(AND(INDIRECT(ADDRESS(ROW(),4,,,))&lt;=COPIA!$DA$1,K186=0,COPIA!$BF$1&gt;1,ROW()-10&lt;COPIA!$BF$1-1),MAX($M$10:M185)+1,IF(AND(INDIRECT(ADDRESS(ROW(),4,,,))&lt;=COPIA!$DA$1,K186=0,COPIA!$BF$1=1),MAX($M$10:M185)+1,0)),0)</f>
        <v>0</v>
      </c>
      <c r="N186" s="7">
        <f ca="1">IF(AND(COPIA!$BF$1=1,M186&lt;&gt;0),ROW()-10,IF(AND(COPIA!$BF$1&gt;1,ROW()-10&gt;COPIA!$BF$1,M186&lt;&gt;0),0,IF(AND(COPIA!$BF$1&gt;1,ROW()-10&lt;=COPIA!$BF$1,M186&lt;&gt;0),ROW()-10,0)))</f>
        <v>0</v>
      </c>
      <c r="O186" s="7">
        <f ca="1">IF(AND($O$1=0,ROW()-10&lt;=$O$2),MAX($O$10:O185)+1,IF(AND(ROW()-10&gt;$O$2,ROW()-10&lt;=$O$1),ROW()-10,0))</f>
        <v>0</v>
      </c>
      <c r="P186" s="7">
        <f ca="1">IF(O186&gt;0,MAX($P$10:P185)+1,0)</f>
        <v>0</v>
      </c>
    </row>
    <row r="187" spans="2:16" ht="24" customHeight="1" x14ac:dyDescent="0.3">
      <c r="B187" s="22" t="str">
        <f t="shared" ca="1" si="11"/>
        <v/>
      </c>
      <c r="C187" s="16" t="str">
        <f t="shared" ca="1" si="9"/>
        <v/>
      </c>
      <c r="D187" s="23"/>
      <c r="E187" s="24"/>
      <c r="F187" s="27"/>
      <c r="G187" s="25"/>
      <c r="H187" s="25"/>
      <c r="I187" s="177"/>
      <c r="J187" s="151"/>
      <c r="K187" s="167" t="str">
        <f ca="1">IF(IF(COPIA!$R$1=TRUE,IF(OR(G187&lt;&gt;0,H187&lt;&gt;0),ROUND(SUM(G$11:G187),2)-ROUND(SUM(H$11:H187),2),""),"")&lt;&gt;0,"",0)</f>
        <v/>
      </c>
      <c r="L187" s="7">
        <f t="shared" ca="1" si="10"/>
        <v>0</v>
      </c>
      <c r="M187" s="7">
        <f ca="1">IFERROR(IF(AND(INDIRECT(ADDRESS(ROW(),4,,,))&lt;=COPIA!$DA$1,K187=0,COPIA!$BF$1&gt;1,ROW()-10&lt;COPIA!$BF$1-1),MAX($M$10:M186)+1,IF(AND(INDIRECT(ADDRESS(ROW(),4,,,))&lt;=COPIA!$DA$1,K187=0,COPIA!$BF$1=1),MAX($M$10:M186)+1,0)),0)</f>
        <v>0</v>
      </c>
      <c r="N187" s="7">
        <f ca="1">IF(AND(COPIA!$BF$1=1,M187&lt;&gt;0),ROW()-10,IF(AND(COPIA!$BF$1&gt;1,ROW()-10&gt;COPIA!$BF$1,M187&lt;&gt;0),0,IF(AND(COPIA!$BF$1&gt;1,ROW()-10&lt;=COPIA!$BF$1,M187&lt;&gt;0),ROW()-10,0)))</f>
        <v>0</v>
      </c>
      <c r="O187" s="7">
        <f ca="1">IF(AND($O$1=0,ROW()-10&lt;=$O$2),MAX($O$10:O186)+1,IF(AND(ROW()-10&gt;$O$2,ROW()-10&lt;=$O$1),ROW()-10,0))</f>
        <v>0</v>
      </c>
      <c r="P187" s="7">
        <f ca="1">IF(O187&gt;0,MAX($P$10:P186)+1,0)</f>
        <v>0</v>
      </c>
    </row>
    <row r="188" spans="2:16" ht="24" customHeight="1" x14ac:dyDescent="0.3">
      <c r="B188" s="22" t="str">
        <f t="shared" ca="1" si="11"/>
        <v/>
      </c>
      <c r="C188" s="16" t="str">
        <f t="shared" ca="1" si="9"/>
        <v/>
      </c>
      <c r="D188" s="23"/>
      <c r="E188" s="24"/>
      <c r="F188" s="27"/>
      <c r="G188" s="25"/>
      <c r="H188" s="25"/>
      <c r="I188" s="177"/>
      <c r="J188" s="151"/>
      <c r="K188" s="167" t="str">
        <f ca="1">IF(IF(COPIA!$R$1=TRUE,IF(OR(G188&lt;&gt;0,H188&lt;&gt;0),ROUND(SUM(G$11:G188),2)-ROUND(SUM(H$11:H188),2),""),"")&lt;&gt;0,"",0)</f>
        <v/>
      </c>
      <c r="L188" s="7">
        <f t="shared" ca="1" si="10"/>
        <v>0</v>
      </c>
      <c r="M188" s="7">
        <f ca="1">IFERROR(IF(AND(INDIRECT(ADDRESS(ROW(),4,,,))&lt;=COPIA!$DA$1,K188=0,COPIA!$BF$1&gt;1,ROW()-10&lt;COPIA!$BF$1-1),MAX($M$10:M187)+1,IF(AND(INDIRECT(ADDRESS(ROW(),4,,,))&lt;=COPIA!$DA$1,K188=0,COPIA!$BF$1=1),MAX($M$10:M187)+1,0)),0)</f>
        <v>0</v>
      </c>
      <c r="N188" s="7">
        <f ca="1">IF(AND(COPIA!$BF$1=1,M188&lt;&gt;0),ROW()-10,IF(AND(COPIA!$BF$1&gt;1,ROW()-10&gt;COPIA!$BF$1,M188&lt;&gt;0),0,IF(AND(COPIA!$BF$1&gt;1,ROW()-10&lt;=COPIA!$BF$1,M188&lt;&gt;0),ROW()-10,0)))</f>
        <v>0</v>
      </c>
      <c r="O188" s="7">
        <f ca="1">IF(AND($O$1=0,ROW()-10&lt;=$O$2),MAX($O$10:O187)+1,IF(AND(ROW()-10&gt;$O$2,ROW()-10&lt;=$O$1),ROW()-10,0))</f>
        <v>0</v>
      </c>
      <c r="P188" s="7">
        <f ca="1">IF(O188&gt;0,MAX($P$10:P187)+1,0)</f>
        <v>0</v>
      </c>
    </row>
    <row r="189" spans="2:16" ht="24" customHeight="1" x14ac:dyDescent="0.3">
      <c r="B189" s="22" t="str">
        <f t="shared" ca="1" si="11"/>
        <v/>
      </c>
      <c r="C189" s="16" t="str">
        <f t="shared" ca="1" si="9"/>
        <v/>
      </c>
      <c r="D189" s="23"/>
      <c r="E189" s="24"/>
      <c r="F189" s="27"/>
      <c r="G189" s="25"/>
      <c r="H189" s="25"/>
      <c r="I189" s="177"/>
      <c r="J189" s="151"/>
      <c r="K189" s="167" t="str">
        <f ca="1">IF(IF(COPIA!$R$1=TRUE,IF(OR(G189&lt;&gt;0,H189&lt;&gt;0),ROUND(SUM(G$11:G189),2)-ROUND(SUM(H$11:H189),2),""),"")&lt;&gt;0,"",0)</f>
        <v/>
      </c>
      <c r="L189" s="7">
        <f t="shared" ca="1" si="10"/>
        <v>0</v>
      </c>
      <c r="M189" s="7">
        <f ca="1">IFERROR(IF(AND(INDIRECT(ADDRESS(ROW(),4,,,))&lt;=COPIA!$DA$1,K189=0,COPIA!$BF$1&gt;1,ROW()-10&lt;COPIA!$BF$1-1),MAX($M$10:M188)+1,IF(AND(INDIRECT(ADDRESS(ROW(),4,,,))&lt;=COPIA!$DA$1,K189=0,COPIA!$BF$1=1),MAX($M$10:M188)+1,0)),0)</f>
        <v>0</v>
      </c>
      <c r="N189" s="7">
        <f ca="1">IF(AND(COPIA!$BF$1=1,M189&lt;&gt;0),ROW()-10,IF(AND(COPIA!$BF$1&gt;1,ROW()-10&gt;COPIA!$BF$1,M189&lt;&gt;0),0,IF(AND(COPIA!$BF$1&gt;1,ROW()-10&lt;=COPIA!$BF$1,M189&lt;&gt;0),ROW()-10,0)))</f>
        <v>0</v>
      </c>
      <c r="O189" s="7">
        <f ca="1">IF(AND($O$1=0,ROW()-10&lt;=$O$2),MAX($O$10:O188)+1,IF(AND(ROW()-10&gt;$O$2,ROW()-10&lt;=$O$1),ROW()-10,0))</f>
        <v>0</v>
      </c>
      <c r="P189" s="7">
        <f ca="1">IF(O189&gt;0,MAX($P$10:P188)+1,0)</f>
        <v>0</v>
      </c>
    </row>
    <row r="190" spans="2:16" ht="24" customHeight="1" x14ac:dyDescent="0.3">
      <c r="B190" s="22" t="str">
        <f t="shared" ca="1" si="11"/>
        <v/>
      </c>
      <c r="C190" s="16" t="str">
        <f t="shared" ca="1" si="9"/>
        <v/>
      </c>
      <c r="D190" s="23"/>
      <c r="E190" s="24"/>
      <c r="F190" s="27"/>
      <c r="G190" s="25"/>
      <c r="H190" s="25"/>
      <c r="I190" s="177"/>
      <c r="J190" s="151"/>
      <c r="K190" s="167" t="str">
        <f ca="1">IF(IF(COPIA!$R$1=TRUE,IF(OR(G190&lt;&gt;0,H190&lt;&gt;0),ROUND(SUM(G$11:G190),2)-ROUND(SUM(H$11:H190),2),""),"")&lt;&gt;0,"",0)</f>
        <v/>
      </c>
      <c r="L190" s="7">
        <f t="shared" ca="1" si="10"/>
        <v>0</v>
      </c>
      <c r="M190" s="7">
        <f ca="1">IFERROR(IF(AND(INDIRECT(ADDRESS(ROW(),4,,,))&lt;=COPIA!$DA$1,K190=0,COPIA!$BF$1&gt;1,ROW()-10&lt;COPIA!$BF$1-1),MAX($M$10:M189)+1,IF(AND(INDIRECT(ADDRESS(ROW(),4,,,))&lt;=COPIA!$DA$1,K190=0,COPIA!$BF$1=1),MAX($M$10:M189)+1,0)),0)</f>
        <v>0</v>
      </c>
      <c r="N190" s="7">
        <f ca="1">IF(AND(COPIA!$BF$1=1,M190&lt;&gt;0),ROW()-10,IF(AND(COPIA!$BF$1&gt;1,ROW()-10&gt;COPIA!$BF$1,M190&lt;&gt;0),0,IF(AND(COPIA!$BF$1&gt;1,ROW()-10&lt;=COPIA!$BF$1,M190&lt;&gt;0),ROW()-10,0)))</f>
        <v>0</v>
      </c>
      <c r="O190" s="7">
        <f ca="1">IF(AND($O$1=0,ROW()-10&lt;=$O$2),MAX($O$10:O189)+1,IF(AND(ROW()-10&gt;$O$2,ROW()-10&lt;=$O$1),ROW()-10,0))</f>
        <v>0</v>
      </c>
      <c r="P190" s="7">
        <f ca="1">IF(O190&gt;0,MAX($P$10:P189)+1,0)</f>
        <v>0</v>
      </c>
    </row>
    <row r="191" spans="2:16" ht="24" customHeight="1" x14ac:dyDescent="0.3">
      <c r="B191" s="22" t="str">
        <f t="shared" ca="1" si="11"/>
        <v/>
      </c>
      <c r="C191" s="16" t="str">
        <f t="shared" ca="1" si="9"/>
        <v/>
      </c>
      <c r="D191" s="23"/>
      <c r="E191" s="24"/>
      <c r="F191" s="27"/>
      <c r="G191" s="25"/>
      <c r="H191" s="25"/>
      <c r="I191" s="177"/>
      <c r="J191" s="151"/>
      <c r="K191" s="167" t="str">
        <f ca="1">IF(IF(COPIA!$R$1=TRUE,IF(OR(G191&lt;&gt;0,H191&lt;&gt;0),ROUND(SUM(G$11:G191),2)-ROUND(SUM(H$11:H191),2),""),"")&lt;&gt;0,"",0)</f>
        <v/>
      </c>
      <c r="L191" s="7">
        <f t="shared" ca="1" si="10"/>
        <v>0</v>
      </c>
      <c r="M191" s="7">
        <f ca="1">IFERROR(IF(AND(INDIRECT(ADDRESS(ROW(),4,,,))&lt;=COPIA!$DA$1,K191=0,COPIA!$BF$1&gt;1,ROW()-10&lt;COPIA!$BF$1-1),MAX($M$10:M190)+1,IF(AND(INDIRECT(ADDRESS(ROW(),4,,,))&lt;=COPIA!$DA$1,K191=0,COPIA!$BF$1=1),MAX($M$10:M190)+1,0)),0)</f>
        <v>0</v>
      </c>
      <c r="N191" s="7">
        <f ca="1">IF(AND(COPIA!$BF$1=1,M191&lt;&gt;0),ROW()-10,IF(AND(COPIA!$BF$1&gt;1,ROW()-10&gt;COPIA!$BF$1,M191&lt;&gt;0),0,IF(AND(COPIA!$BF$1&gt;1,ROW()-10&lt;=COPIA!$BF$1,M191&lt;&gt;0),ROW()-10,0)))</f>
        <v>0</v>
      </c>
      <c r="O191" s="7">
        <f ca="1">IF(AND($O$1=0,ROW()-10&lt;=$O$2),MAX($O$10:O190)+1,IF(AND(ROW()-10&gt;$O$2,ROW()-10&lt;=$O$1),ROW()-10,0))</f>
        <v>0</v>
      </c>
      <c r="P191" s="7">
        <f ca="1">IF(O191&gt;0,MAX($P$10:P190)+1,0)</f>
        <v>0</v>
      </c>
    </row>
    <row r="192" spans="2:16" ht="24" customHeight="1" x14ac:dyDescent="0.3">
      <c r="B192" s="22" t="str">
        <f t="shared" ca="1" si="11"/>
        <v/>
      </c>
      <c r="C192" s="16" t="str">
        <f t="shared" ca="1" si="9"/>
        <v/>
      </c>
      <c r="D192" s="23"/>
      <c r="E192" s="24"/>
      <c r="F192" s="27"/>
      <c r="G192" s="25"/>
      <c r="H192" s="25"/>
      <c r="I192" s="177"/>
      <c r="J192" s="151"/>
      <c r="K192" s="167" t="str">
        <f ca="1">IF(IF(COPIA!$R$1=TRUE,IF(OR(G192&lt;&gt;0,H192&lt;&gt;0),ROUND(SUM(G$11:G192),2)-ROUND(SUM(H$11:H192),2),""),"")&lt;&gt;0,"",0)</f>
        <v/>
      </c>
      <c r="L192" s="7">
        <f t="shared" ca="1" si="10"/>
        <v>0</v>
      </c>
      <c r="M192" s="7">
        <f ca="1">IFERROR(IF(AND(INDIRECT(ADDRESS(ROW(),4,,,))&lt;=COPIA!$DA$1,K192=0,COPIA!$BF$1&gt;1,ROW()-10&lt;COPIA!$BF$1-1),MAX($M$10:M191)+1,IF(AND(INDIRECT(ADDRESS(ROW(),4,,,))&lt;=COPIA!$DA$1,K192=0,COPIA!$BF$1=1),MAX($M$10:M191)+1,0)),0)</f>
        <v>0</v>
      </c>
      <c r="N192" s="7">
        <f ca="1">IF(AND(COPIA!$BF$1=1,M192&lt;&gt;0),ROW()-10,IF(AND(COPIA!$BF$1&gt;1,ROW()-10&gt;COPIA!$BF$1,M192&lt;&gt;0),0,IF(AND(COPIA!$BF$1&gt;1,ROW()-10&lt;=COPIA!$BF$1,M192&lt;&gt;0),ROW()-10,0)))</f>
        <v>0</v>
      </c>
      <c r="O192" s="7">
        <f ca="1">IF(AND($O$1=0,ROW()-10&lt;=$O$2),MAX($O$10:O191)+1,IF(AND(ROW()-10&gt;$O$2,ROW()-10&lt;=$O$1),ROW()-10,0))</f>
        <v>0</v>
      </c>
      <c r="P192" s="7">
        <f ca="1">IF(O192&gt;0,MAX($P$10:P191)+1,0)</f>
        <v>0</v>
      </c>
    </row>
    <row r="193" spans="2:16" ht="24" customHeight="1" x14ac:dyDescent="0.3">
      <c r="B193" s="22" t="str">
        <f t="shared" ca="1" si="11"/>
        <v/>
      </c>
      <c r="C193" s="16" t="str">
        <f t="shared" ca="1" si="9"/>
        <v/>
      </c>
      <c r="D193" s="23"/>
      <c r="E193" s="24"/>
      <c r="F193" s="27"/>
      <c r="G193" s="25"/>
      <c r="H193" s="25"/>
      <c r="I193" s="177"/>
      <c r="J193" s="151"/>
      <c r="K193" s="167" t="str">
        <f ca="1">IF(IF(COPIA!$R$1=TRUE,IF(OR(G193&lt;&gt;0,H193&lt;&gt;0),ROUND(SUM(G$11:G193),2)-ROUND(SUM(H$11:H193),2),""),"")&lt;&gt;0,"",0)</f>
        <v/>
      </c>
      <c r="L193" s="7">
        <f t="shared" ca="1" si="10"/>
        <v>0</v>
      </c>
      <c r="M193" s="7">
        <f ca="1">IFERROR(IF(AND(INDIRECT(ADDRESS(ROW(),4,,,))&lt;=COPIA!$DA$1,K193=0,COPIA!$BF$1&gt;1,ROW()-10&lt;COPIA!$BF$1-1),MAX($M$10:M192)+1,IF(AND(INDIRECT(ADDRESS(ROW(),4,,,))&lt;=COPIA!$DA$1,K193=0,COPIA!$BF$1=1),MAX($M$10:M192)+1,0)),0)</f>
        <v>0</v>
      </c>
      <c r="N193" s="7">
        <f ca="1">IF(AND(COPIA!$BF$1=1,M193&lt;&gt;0),ROW()-10,IF(AND(COPIA!$BF$1&gt;1,ROW()-10&gt;COPIA!$BF$1,M193&lt;&gt;0),0,IF(AND(COPIA!$BF$1&gt;1,ROW()-10&lt;=COPIA!$BF$1,M193&lt;&gt;0),ROW()-10,0)))</f>
        <v>0</v>
      </c>
      <c r="O193" s="7">
        <f ca="1">IF(AND($O$1=0,ROW()-10&lt;=$O$2),MAX($O$10:O192)+1,IF(AND(ROW()-10&gt;$O$2,ROW()-10&lt;=$O$1),ROW()-10,0))</f>
        <v>0</v>
      </c>
      <c r="P193" s="7">
        <f ca="1">IF(O193&gt;0,MAX($P$10:P192)+1,0)</f>
        <v>0</v>
      </c>
    </row>
    <row r="194" spans="2:16" ht="24" customHeight="1" x14ac:dyDescent="0.3">
      <c r="B194" s="22" t="str">
        <f t="shared" ca="1" si="11"/>
        <v/>
      </c>
      <c r="C194" s="16" t="str">
        <f t="shared" ca="1" si="9"/>
        <v/>
      </c>
      <c r="D194" s="23"/>
      <c r="E194" s="24"/>
      <c r="F194" s="27"/>
      <c r="G194" s="25"/>
      <c r="H194" s="25"/>
      <c r="I194" s="177"/>
      <c r="J194" s="151"/>
      <c r="K194" s="167" t="str">
        <f ca="1">IF(IF(COPIA!$R$1=TRUE,IF(OR(G194&lt;&gt;0,H194&lt;&gt;0),ROUND(SUM(G$11:G194),2)-ROUND(SUM(H$11:H194),2),""),"")&lt;&gt;0,"",0)</f>
        <v/>
      </c>
      <c r="L194" s="7">
        <f t="shared" ca="1" si="10"/>
        <v>0</v>
      </c>
      <c r="M194" s="7">
        <f ca="1">IFERROR(IF(AND(INDIRECT(ADDRESS(ROW(),4,,,))&lt;=COPIA!$DA$1,K194=0,COPIA!$BF$1&gt;1,ROW()-10&lt;COPIA!$BF$1-1),MAX($M$10:M193)+1,IF(AND(INDIRECT(ADDRESS(ROW(),4,,,))&lt;=COPIA!$DA$1,K194=0,COPIA!$BF$1=1),MAX($M$10:M193)+1,0)),0)</f>
        <v>0</v>
      </c>
      <c r="N194" s="7">
        <f ca="1">IF(AND(COPIA!$BF$1=1,M194&lt;&gt;0),ROW()-10,IF(AND(COPIA!$BF$1&gt;1,ROW()-10&gt;COPIA!$BF$1,M194&lt;&gt;0),0,IF(AND(COPIA!$BF$1&gt;1,ROW()-10&lt;=COPIA!$BF$1,M194&lt;&gt;0),ROW()-10,0)))</f>
        <v>0</v>
      </c>
      <c r="O194" s="7">
        <f ca="1">IF(AND($O$1=0,ROW()-10&lt;=$O$2),MAX($O$10:O193)+1,IF(AND(ROW()-10&gt;$O$2,ROW()-10&lt;=$O$1),ROW()-10,0))</f>
        <v>0</v>
      </c>
      <c r="P194" s="7">
        <f ca="1">IF(O194&gt;0,MAX($P$10:P193)+1,0)</f>
        <v>0</v>
      </c>
    </row>
    <row r="195" spans="2:16" ht="24" customHeight="1" x14ac:dyDescent="0.3">
      <c r="B195" s="22" t="str">
        <f t="shared" ca="1" si="11"/>
        <v/>
      </c>
      <c r="C195" s="16" t="str">
        <f t="shared" ca="1" si="9"/>
        <v/>
      </c>
      <c r="D195" s="23"/>
      <c r="E195" s="24"/>
      <c r="F195" s="27"/>
      <c r="G195" s="25"/>
      <c r="H195" s="25"/>
      <c r="I195" s="177"/>
      <c r="J195" s="151"/>
      <c r="K195" s="167" t="str">
        <f ca="1">IF(IF(COPIA!$R$1=TRUE,IF(OR(G195&lt;&gt;0,H195&lt;&gt;0),ROUND(SUM(G$11:G195),2)-ROUND(SUM(H$11:H195),2),""),"")&lt;&gt;0,"",0)</f>
        <v/>
      </c>
      <c r="L195" s="7">
        <f t="shared" ca="1" si="10"/>
        <v>0</v>
      </c>
      <c r="M195" s="7">
        <f ca="1">IFERROR(IF(AND(INDIRECT(ADDRESS(ROW(),4,,,))&lt;=COPIA!$DA$1,K195=0,COPIA!$BF$1&gt;1,ROW()-10&lt;COPIA!$BF$1-1),MAX($M$10:M194)+1,IF(AND(INDIRECT(ADDRESS(ROW(),4,,,))&lt;=COPIA!$DA$1,K195=0,COPIA!$BF$1=1),MAX($M$10:M194)+1,0)),0)</f>
        <v>0</v>
      </c>
      <c r="N195" s="7">
        <f ca="1">IF(AND(COPIA!$BF$1=1,M195&lt;&gt;0),ROW()-10,IF(AND(COPIA!$BF$1&gt;1,ROW()-10&gt;COPIA!$BF$1,M195&lt;&gt;0),0,IF(AND(COPIA!$BF$1&gt;1,ROW()-10&lt;=COPIA!$BF$1,M195&lt;&gt;0),ROW()-10,0)))</f>
        <v>0</v>
      </c>
      <c r="O195" s="7">
        <f ca="1">IF(AND($O$1=0,ROW()-10&lt;=$O$2),MAX($O$10:O194)+1,IF(AND(ROW()-10&gt;$O$2,ROW()-10&lt;=$O$1),ROW()-10,0))</f>
        <v>0</v>
      </c>
      <c r="P195" s="7">
        <f ca="1">IF(O195&gt;0,MAX($P$10:P194)+1,0)</f>
        <v>0</v>
      </c>
    </row>
    <row r="196" spans="2:16" ht="24" customHeight="1" x14ac:dyDescent="0.3">
      <c r="B196" s="22" t="str">
        <f t="shared" ca="1" si="11"/>
        <v/>
      </c>
      <c r="C196" s="16" t="str">
        <f t="shared" ca="1" si="9"/>
        <v/>
      </c>
      <c r="D196" s="23"/>
      <c r="E196" s="24"/>
      <c r="F196" s="27"/>
      <c r="G196" s="25"/>
      <c r="H196" s="25"/>
      <c r="I196" s="177"/>
      <c r="J196" s="151"/>
      <c r="K196" s="167" t="str">
        <f ca="1">IF(IF(COPIA!$R$1=TRUE,IF(OR(G196&lt;&gt;0,H196&lt;&gt;0),ROUND(SUM(G$11:G196),2)-ROUND(SUM(H$11:H196),2),""),"")&lt;&gt;0,"",0)</f>
        <v/>
      </c>
      <c r="L196" s="7">
        <f t="shared" ca="1" si="10"/>
        <v>0</v>
      </c>
      <c r="M196" s="7">
        <f ca="1">IFERROR(IF(AND(INDIRECT(ADDRESS(ROW(),4,,,))&lt;=COPIA!$DA$1,K196=0,COPIA!$BF$1&gt;1,ROW()-10&lt;COPIA!$BF$1-1),MAX($M$10:M195)+1,IF(AND(INDIRECT(ADDRESS(ROW(),4,,,))&lt;=COPIA!$DA$1,K196=0,COPIA!$BF$1=1),MAX($M$10:M195)+1,0)),0)</f>
        <v>0</v>
      </c>
      <c r="N196" s="7">
        <f ca="1">IF(AND(COPIA!$BF$1=1,M196&lt;&gt;0),ROW()-10,IF(AND(COPIA!$BF$1&gt;1,ROW()-10&gt;COPIA!$BF$1,M196&lt;&gt;0),0,IF(AND(COPIA!$BF$1&gt;1,ROW()-10&lt;=COPIA!$BF$1,M196&lt;&gt;0),ROW()-10,0)))</f>
        <v>0</v>
      </c>
      <c r="O196" s="7">
        <f ca="1">IF(AND($O$1=0,ROW()-10&lt;=$O$2),MAX($O$10:O195)+1,IF(AND(ROW()-10&gt;$O$2,ROW()-10&lt;=$O$1),ROW()-10,0))</f>
        <v>0</v>
      </c>
      <c r="P196" s="7">
        <f ca="1">IF(O196&gt;0,MAX($P$10:P195)+1,0)</f>
        <v>0</v>
      </c>
    </row>
    <row r="197" spans="2:16" ht="24" customHeight="1" x14ac:dyDescent="0.3">
      <c r="B197" s="22" t="str">
        <f t="shared" ca="1" si="11"/>
        <v/>
      </c>
      <c r="C197" s="16" t="str">
        <f t="shared" ca="1" si="9"/>
        <v/>
      </c>
      <c r="D197" s="23"/>
      <c r="E197" s="24"/>
      <c r="F197" s="27"/>
      <c r="G197" s="25"/>
      <c r="H197" s="25"/>
      <c r="I197" s="177"/>
      <c r="J197" s="151"/>
      <c r="K197" s="167" t="str">
        <f ca="1">IF(IF(COPIA!$R$1=TRUE,IF(OR(G197&lt;&gt;0,H197&lt;&gt;0),ROUND(SUM(G$11:G197),2)-ROUND(SUM(H$11:H197),2),""),"")&lt;&gt;0,"",0)</f>
        <v/>
      </c>
      <c r="L197" s="7">
        <f t="shared" ca="1" si="10"/>
        <v>0</v>
      </c>
      <c r="M197" s="7">
        <f ca="1">IFERROR(IF(AND(INDIRECT(ADDRESS(ROW(),4,,,))&lt;=COPIA!$DA$1,K197=0,COPIA!$BF$1&gt;1,ROW()-10&lt;COPIA!$BF$1-1),MAX($M$10:M196)+1,IF(AND(INDIRECT(ADDRESS(ROW(),4,,,))&lt;=COPIA!$DA$1,K197=0,COPIA!$BF$1=1),MAX($M$10:M196)+1,0)),0)</f>
        <v>0</v>
      </c>
      <c r="N197" s="7">
        <f ca="1">IF(AND(COPIA!$BF$1=1,M197&lt;&gt;0),ROW()-10,IF(AND(COPIA!$BF$1&gt;1,ROW()-10&gt;COPIA!$BF$1,M197&lt;&gt;0),0,IF(AND(COPIA!$BF$1&gt;1,ROW()-10&lt;=COPIA!$BF$1,M197&lt;&gt;0),ROW()-10,0)))</f>
        <v>0</v>
      </c>
      <c r="O197" s="7">
        <f ca="1">IF(AND($O$1=0,ROW()-10&lt;=$O$2),MAX($O$10:O196)+1,IF(AND(ROW()-10&gt;$O$2,ROW()-10&lt;=$O$1),ROW()-10,0))</f>
        <v>0</v>
      </c>
      <c r="P197" s="7">
        <f ca="1">IF(O197&gt;0,MAX($P$10:P196)+1,0)</f>
        <v>0</v>
      </c>
    </row>
    <row r="198" spans="2:16" ht="24" customHeight="1" x14ac:dyDescent="0.3">
      <c r="B198" s="22" t="str">
        <f t="shared" ca="1" si="11"/>
        <v/>
      </c>
      <c r="C198" s="16" t="str">
        <f t="shared" ca="1" si="9"/>
        <v/>
      </c>
      <c r="D198" s="23"/>
      <c r="E198" s="24"/>
      <c r="F198" s="27"/>
      <c r="G198" s="25"/>
      <c r="H198" s="25"/>
      <c r="I198" s="177"/>
      <c r="J198" s="151"/>
      <c r="K198" s="167" t="str">
        <f ca="1">IF(IF(COPIA!$R$1=TRUE,IF(OR(G198&lt;&gt;0,H198&lt;&gt;0),ROUND(SUM(G$11:G198),2)-ROUND(SUM(H$11:H198),2),""),"")&lt;&gt;0,"",0)</f>
        <v/>
      </c>
      <c r="L198" s="7">
        <f t="shared" ca="1" si="10"/>
        <v>0</v>
      </c>
      <c r="M198" s="7">
        <f ca="1">IFERROR(IF(AND(INDIRECT(ADDRESS(ROW(),4,,,))&lt;=COPIA!$DA$1,K198=0,COPIA!$BF$1&gt;1,ROW()-10&lt;COPIA!$BF$1-1),MAX($M$10:M197)+1,IF(AND(INDIRECT(ADDRESS(ROW(),4,,,))&lt;=COPIA!$DA$1,K198=0,COPIA!$BF$1=1),MAX($M$10:M197)+1,0)),0)</f>
        <v>0</v>
      </c>
      <c r="N198" s="7">
        <f ca="1">IF(AND(COPIA!$BF$1=1,M198&lt;&gt;0),ROW()-10,IF(AND(COPIA!$BF$1&gt;1,ROW()-10&gt;COPIA!$BF$1,M198&lt;&gt;0),0,IF(AND(COPIA!$BF$1&gt;1,ROW()-10&lt;=COPIA!$BF$1,M198&lt;&gt;0),ROW()-10,0)))</f>
        <v>0</v>
      </c>
      <c r="O198" s="7">
        <f ca="1">IF(AND($O$1=0,ROW()-10&lt;=$O$2),MAX($O$10:O197)+1,IF(AND(ROW()-10&gt;$O$2,ROW()-10&lt;=$O$1),ROW()-10,0))</f>
        <v>0</v>
      </c>
      <c r="P198" s="7">
        <f ca="1">IF(O198&gt;0,MAX($P$10:P197)+1,0)</f>
        <v>0</v>
      </c>
    </row>
    <row r="199" spans="2:16" ht="24" customHeight="1" x14ac:dyDescent="0.3">
      <c r="B199" s="22" t="str">
        <f t="shared" ca="1" si="11"/>
        <v/>
      </c>
      <c r="C199" s="16" t="str">
        <f t="shared" ca="1" si="9"/>
        <v/>
      </c>
      <c r="D199" s="23"/>
      <c r="E199" s="24"/>
      <c r="F199" s="27"/>
      <c r="G199" s="25"/>
      <c r="H199" s="25"/>
      <c r="I199" s="177"/>
      <c r="J199" s="151"/>
      <c r="K199" s="167" t="str">
        <f ca="1">IF(IF(COPIA!$R$1=TRUE,IF(OR(G199&lt;&gt;0,H199&lt;&gt;0),ROUND(SUM(G$11:G199),2)-ROUND(SUM(H$11:H199),2),""),"")&lt;&gt;0,"",0)</f>
        <v/>
      </c>
      <c r="L199" s="7">
        <f t="shared" ca="1" si="10"/>
        <v>0</v>
      </c>
      <c r="M199" s="7">
        <f ca="1">IFERROR(IF(AND(INDIRECT(ADDRESS(ROW(),4,,,))&lt;=COPIA!$DA$1,K199=0,COPIA!$BF$1&gt;1,ROW()-10&lt;COPIA!$BF$1-1),MAX($M$10:M198)+1,IF(AND(INDIRECT(ADDRESS(ROW(),4,,,))&lt;=COPIA!$DA$1,K199=0,COPIA!$BF$1=1),MAX($M$10:M198)+1,0)),0)</f>
        <v>0</v>
      </c>
      <c r="N199" s="7">
        <f ca="1">IF(AND(COPIA!$BF$1=1,M199&lt;&gt;0),ROW()-10,IF(AND(COPIA!$BF$1&gt;1,ROW()-10&gt;COPIA!$BF$1,M199&lt;&gt;0),0,IF(AND(COPIA!$BF$1&gt;1,ROW()-10&lt;=COPIA!$BF$1,M199&lt;&gt;0),ROW()-10,0)))</f>
        <v>0</v>
      </c>
      <c r="O199" s="7">
        <f ca="1">IF(AND($O$1=0,ROW()-10&lt;=$O$2),MAX($O$10:O198)+1,IF(AND(ROW()-10&gt;$O$2,ROW()-10&lt;=$O$1),ROW()-10,0))</f>
        <v>0</v>
      </c>
      <c r="P199" s="7">
        <f ca="1">IF(O199&gt;0,MAX($P$10:P198)+1,0)</f>
        <v>0</v>
      </c>
    </row>
    <row r="200" spans="2:16" ht="24" customHeight="1" x14ac:dyDescent="0.3">
      <c r="B200" s="22" t="str">
        <f t="shared" ca="1" si="11"/>
        <v/>
      </c>
      <c r="C200" s="16" t="str">
        <f t="shared" ca="1" si="9"/>
        <v/>
      </c>
      <c r="D200" s="23"/>
      <c r="E200" s="24"/>
      <c r="F200" s="27"/>
      <c r="G200" s="25"/>
      <c r="H200" s="25"/>
      <c r="I200" s="177"/>
      <c r="J200" s="151"/>
      <c r="K200" s="167" t="str">
        <f ca="1">IF(IF(COPIA!$R$1=TRUE,IF(OR(G200&lt;&gt;0,H200&lt;&gt;0),ROUND(SUM(G$11:G200),2)-ROUND(SUM(H$11:H200),2),""),"")&lt;&gt;0,"",0)</f>
        <v/>
      </c>
      <c r="L200" s="7">
        <f t="shared" ca="1" si="10"/>
        <v>0</v>
      </c>
      <c r="M200" s="7">
        <f ca="1">IFERROR(IF(AND(INDIRECT(ADDRESS(ROW(),4,,,))&lt;=COPIA!$DA$1,K200=0,COPIA!$BF$1&gt;1,ROW()-10&lt;COPIA!$BF$1-1),MAX($M$10:M199)+1,IF(AND(INDIRECT(ADDRESS(ROW(),4,,,))&lt;=COPIA!$DA$1,K200=0,COPIA!$BF$1=1),MAX($M$10:M199)+1,0)),0)</f>
        <v>0</v>
      </c>
      <c r="N200" s="7">
        <f ca="1">IF(AND(COPIA!$BF$1=1,M200&lt;&gt;0),ROW()-10,IF(AND(COPIA!$BF$1&gt;1,ROW()-10&gt;COPIA!$BF$1,M200&lt;&gt;0),0,IF(AND(COPIA!$BF$1&gt;1,ROW()-10&lt;=COPIA!$BF$1,M200&lt;&gt;0),ROW()-10,0)))</f>
        <v>0</v>
      </c>
      <c r="O200" s="7">
        <f ca="1">IF(AND($O$1=0,ROW()-10&lt;=$O$2),MAX($O$10:O199)+1,IF(AND(ROW()-10&gt;$O$2,ROW()-10&lt;=$O$1),ROW()-10,0))</f>
        <v>0</v>
      </c>
      <c r="P200" s="7">
        <f ca="1">IF(O200&gt;0,MAX($P$10:P199)+1,0)</f>
        <v>0</v>
      </c>
    </row>
    <row r="201" spans="2:16" ht="24" customHeight="1" x14ac:dyDescent="0.3">
      <c r="B201" s="22" t="str">
        <f t="shared" ca="1" si="11"/>
        <v/>
      </c>
      <c r="C201" s="16" t="str">
        <f t="shared" ca="1" si="9"/>
        <v/>
      </c>
      <c r="D201" s="23"/>
      <c r="E201" s="24"/>
      <c r="F201" s="27"/>
      <c r="G201" s="25"/>
      <c r="H201" s="25"/>
      <c r="I201" s="177"/>
      <c r="J201" s="151"/>
      <c r="K201" s="167" t="str">
        <f ca="1">IF(IF(COPIA!$R$1=TRUE,IF(OR(G201&lt;&gt;0,H201&lt;&gt;0),ROUND(SUM(G$11:G201),2)-ROUND(SUM(H$11:H201),2),""),"")&lt;&gt;0,"",0)</f>
        <v/>
      </c>
      <c r="L201" s="7">
        <f t="shared" ca="1" si="10"/>
        <v>0</v>
      </c>
      <c r="M201" s="7">
        <f ca="1">IFERROR(IF(AND(INDIRECT(ADDRESS(ROW(),4,,,))&lt;=COPIA!$DA$1,K201=0,COPIA!$BF$1&gt;1,ROW()-10&lt;COPIA!$BF$1-1),MAX($M$10:M200)+1,IF(AND(INDIRECT(ADDRESS(ROW(),4,,,))&lt;=COPIA!$DA$1,K201=0,COPIA!$BF$1=1),MAX($M$10:M200)+1,0)),0)</f>
        <v>0</v>
      </c>
      <c r="N201" s="7">
        <f ca="1">IF(AND(COPIA!$BF$1=1,M201&lt;&gt;0),ROW()-10,IF(AND(COPIA!$BF$1&gt;1,ROW()-10&gt;COPIA!$BF$1,M201&lt;&gt;0),0,IF(AND(COPIA!$BF$1&gt;1,ROW()-10&lt;=COPIA!$BF$1,M201&lt;&gt;0),ROW()-10,0)))</f>
        <v>0</v>
      </c>
      <c r="O201" s="7">
        <f ca="1">IF(AND($O$1=0,ROW()-10&lt;=$O$2),MAX($O$10:O200)+1,IF(AND(ROW()-10&gt;$O$2,ROW()-10&lt;=$O$1),ROW()-10,0))</f>
        <v>0</v>
      </c>
      <c r="P201" s="7">
        <f ca="1">IF(O201&gt;0,MAX($P$10:P200)+1,0)</f>
        <v>0</v>
      </c>
    </row>
    <row r="202" spans="2:16" ht="24" customHeight="1" x14ac:dyDescent="0.3">
      <c r="B202" s="22" t="str">
        <f t="shared" ca="1" si="11"/>
        <v/>
      </c>
      <c r="C202" s="16" t="str">
        <f t="shared" ca="1" si="9"/>
        <v/>
      </c>
      <c r="D202" s="23"/>
      <c r="E202" s="24"/>
      <c r="F202" s="27"/>
      <c r="G202" s="25"/>
      <c r="H202" s="25"/>
      <c r="I202" s="177"/>
      <c r="J202" s="151"/>
      <c r="K202" s="167" t="str">
        <f ca="1">IF(IF(COPIA!$R$1=TRUE,IF(OR(G202&lt;&gt;0,H202&lt;&gt;0),ROUND(SUM(G$11:G202),2)-ROUND(SUM(H$11:H202),2),""),"")&lt;&gt;0,"",0)</f>
        <v/>
      </c>
      <c r="L202" s="7">
        <f t="shared" ca="1" si="10"/>
        <v>0</v>
      </c>
      <c r="M202" s="7">
        <f ca="1">IFERROR(IF(AND(INDIRECT(ADDRESS(ROW(),4,,,))&lt;=COPIA!$DA$1,K202=0,COPIA!$BF$1&gt;1,ROW()-10&lt;COPIA!$BF$1-1),MAX($M$10:M201)+1,IF(AND(INDIRECT(ADDRESS(ROW(),4,,,))&lt;=COPIA!$DA$1,K202=0,COPIA!$BF$1=1),MAX($M$10:M201)+1,0)),0)</f>
        <v>0</v>
      </c>
      <c r="N202" s="7">
        <f ca="1">IF(AND(COPIA!$BF$1=1,M202&lt;&gt;0),ROW()-10,IF(AND(COPIA!$BF$1&gt;1,ROW()-10&gt;COPIA!$BF$1,M202&lt;&gt;0),0,IF(AND(COPIA!$BF$1&gt;1,ROW()-10&lt;=COPIA!$BF$1,M202&lt;&gt;0),ROW()-10,0)))</f>
        <v>0</v>
      </c>
      <c r="O202" s="7">
        <f ca="1">IF(AND($O$1=0,ROW()-10&lt;=$O$2),MAX($O$10:O201)+1,IF(AND(ROW()-10&gt;$O$2,ROW()-10&lt;=$O$1),ROW()-10,0))</f>
        <v>0</v>
      </c>
      <c r="P202" s="7">
        <f ca="1">IF(O202&gt;0,MAX($P$10:P201)+1,0)</f>
        <v>0</v>
      </c>
    </row>
    <row r="203" spans="2:16" ht="24" customHeight="1" x14ac:dyDescent="0.3">
      <c r="B203" s="22" t="str">
        <f t="shared" ref="B203:B210" ca="1" si="12">IF(INDIRECT(ADDRESS(ROW(),4,,,))="","",IFERROR(INDEX(PDC,MATCH(INDIRECT(ADDRESS(ROW(),5,,,)),DEN_PDC,0),1),0))</f>
        <v/>
      </c>
      <c r="C203" s="16" t="str">
        <f t="shared" ca="1" si="9"/>
        <v/>
      </c>
      <c r="D203" s="23"/>
      <c r="E203" s="24"/>
      <c r="F203" s="27"/>
      <c r="G203" s="25"/>
      <c r="H203" s="25"/>
      <c r="I203" s="177"/>
      <c r="J203" s="151"/>
      <c r="K203" s="167" t="str">
        <f ca="1">IF(IF(COPIA!$R$1=TRUE,IF(OR(G203&lt;&gt;0,H203&lt;&gt;0),ROUND(SUM(G$11:G203),2)-ROUND(SUM(H$11:H203),2),""),"")&lt;&gt;0,"",0)</f>
        <v/>
      </c>
      <c r="L203" s="7">
        <f t="shared" ca="1" si="10"/>
        <v>0</v>
      </c>
      <c r="M203" s="7">
        <f ca="1">IFERROR(IF(AND(INDIRECT(ADDRESS(ROW(),4,,,))&lt;=COPIA!$DA$1,K203=0,COPIA!$BF$1&gt;1,ROW()-10&lt;COPIA!$BF$1-1),MAX($M$10:M202)+1,IF(AND(INDIRECT(ADDRESS(ROW(),4,,,))&lt;=COPIA!$DA$1,K203=0,COPIA!$BF$1=1),MAX($M$10:M202)+1,0)),0)</f>
        <v>0</v>
      </c>
      <c r="N203" s="7">
        <f ca="1">IF(AND(COPIA!$BF$1=1,M203&lt;&gt;0),ROW()-10,IF(AND(COPIA!$BF$1&gt;1,ROW()-10&gt;COPIA!$BF$1,M203&lt;&gt;0),0,IF(AND(COPIA!$BF$1&gt;1,ROW()-10&lt;=COPIA!$BF$1,M203&lt;&gt;0),ROW()-10,0)))</f>
        <v>0</v>
      </c>
      <c r="O203" s="7">
        <f ca="1">IF(AND($O$1=0,ROW()-10&lt;=$O$2),MAX($O$10:O202)+1,IF(AND(ROW()-10&gt;$O$2,ROW()-10&lt;=$O$1),ROW()-10,0))</f>
        <v>0</v>
      </c>
      <c r="P203" s="7">
        <f ca="1">IF(O203&gt;0,MAX($P$10:P202)+1,0)</f>
        <v>0</v>
      </c>
    </row>
    <row r="204" spans="2:16" ht="24" customHeight="1" x14ac:dyDescent="0.3">
      <c r="B204" s="22" t="str">
        <f t="shared" ca="1" si="12"/>
        <v/>
      </c>
      <c r="C204" s="16" t="str">
        <f t="shared" ref="C204:C212" ca="1" si="13">IF(INDIRECT(ADDRESS(ROW(),5,,,))&lt;&gt;"",ROW()-10,"")</f>
        <v/>
      </c>
      <c r="D204" s="23"/>
      <c r="E204" s="24"/>
      <c r="F204" s="27"/>
      <c r="G204" s="25"/>
      <c r="H204" s="25"/>
      <c r="I204" s="177"/>
      <c r="J204" s="151"/>
      <c r="K204" s="167" t="str">
        <f ca="1">IF(IF(COPIA!$R$1=TRUE,IF(OR(G204&lt;&gt;0,H204&lt;&gt;0),ROUND(SUM(G$11:G204),2)-ROUND(SUM(H$11:H204),2),""),"")&lt;&gt;0,"",0)</f>
        <v/>
      </c>
      <c r="L204" s="7">
        <f t="shared" ref="L204:L210" ca="1" si="14">IF(INDIRECT(ADDRESS(ROW(),4,4,,))&lt;&gt;"",YEAR(INDIRECT(ADDRESS(ROW(),4,4,,))),0)</f>
        <v>0</v>
      </c>
      <c r="M204" s="7">
        <f ca="1">IFERROR(IF(AND(INDIRECT(ADDRESS(ROW(),4,,,))&lt;=COPIA!$DA$1,K204=0,COPIA!$BF$1&gt;1,ROW()-10&lt;COPIA!$BF$1-1),MAX($M$10:M203)+1,IF(AND(INDIRECT(ADDRESS(ROW(),4,,,))&lt;=COPIA!$DA$1,K204=0,COPIA!$BF$1=1),MAX($M$10:M203)+1,0)),0)</f>
        <v>0</v>
      </c>
      <c r="N204" s="7">
        <f ca="1">IF(AND(COPIA!$BF$1=1,M204&lt;&gt;0),ROW()-10,IF(AND(COPIA!$BF$1&gt;1,ROW()-10&gt;COPIA!$BF$1,M204&lt;&gt;0),0,IF(AND(COPIA!$BF$1&gt;1,ROW()-10&lt;=COPIA!$BF$1,M204&lt;&gt;0),ROW()-10,0)))</f>
        <v>0</v>
      </c>
      <c r="O204" s="7">
        <f ca="1">IF(AND($O$1=0,ROW()-10&lt;=$O$2),MAX($O$10:O203)+1,IF(AND(ROW()-10&gt;$O$2,ROW()-10&lt;=$O$1),ROW()-10,0))</f>
        <v>0</v>
      </c>
      <c r="P204" s="7">
        <f ca="1">IF(O204&gt;0,MAX($P$10:P203)+1,0)</f>
        <v>0</v>
      </c>
    </row>
    <row r="205" spans="2:16" ht="24" customHeight="1" x14ac:dyDescent="0.3">
      <c r="B205" s="22" t="str">
        <f t="shared" ca="1" si="12"/>
        <v/>
      </c>
      <c r="C205" s="16" t="str">
        <f t="shared" ca="1" si="13"/>
        <v/>
      </c>
      <c r="D205" s="23"/>
      <c r="E205" s="24"/>
      <c r="F205" s="27"/>
      <c r="G205" s="25"/>
      <c r="H205" s="25"/>
      <c r="I205" s="177"/>
      <c r="J205" s="151"/>
      <c r="K205" s="167" t="str">
        <f ca="1">IF(IF(COPIA!$R$1=TRUE,IF(OR(G205&lt;&gt;0,H205&lt;&gt;0),ROUND(SUM(G$11:G205),2)-ROUND(SUM(H$11:H205),2),""),"")&lt;&gt;0,"",0)</f>
        <v/>
      </c>
      <c r="L205" s="7">
        <f t="shared" ca="1" si="14"/>
        <v>0</v>
      </c>
      <c r="M205" s="7">
        <f ca="1">IFERROR(IF(AND(INDIRECT(ADDRESS(ROW(),4,,,))&lt;=COPIA!$DA$1,K205=0,COPIA!$BF$1&gt;1,ROW()-10&lt;COPIA!$BF$1-1),MAX($M$10:M204)+1,IF(AND(INDIRECT(ADDRESS(ROW(),4,,,))&lt;=COPIA!$DA$1,K205=0,COPIA!$BF$1=1),MAX($M$10:M204)+1,0)),0)</f>
        <v>0</v>
      </c>
      <c r="N205" s="7">
        <f ca="1">IF(AND(COPIA!$BF$1=1,M205&lt;&gt;0),ROW()-10,IF(AND(COPIA!$BF$1&gt;1,ROW()-10&gt;COPIA!$BF$1,M205&lt;&gt;0),0,IF(AND(COPIA!$BF$1&gt;1,ROW()-10&lt;=COPIA!$BF$1,M205&lt;&gt;0),ROW()-10,0)))</f>
        <v>0</v>
      </c>
      <c r="O205" s="7">
        <f ca="1">IF(AND($O$1=0,ROW()-10&lt;=$O$2),MAX($O$10:O204)+1,IF(AND(ROW()-10&gt;$O$2,ROW()-10&lt;=$O$1),ROW()-10,0))</f>
        <v>0</v>
      </c>
      <c r="P205" s="7">
        <f ca="1">IF(O205&gt;0,MAX($P$10:P204)+1,0)</f>
        <v>0</v>
      </c>
    </row>
    <row r="206" spans="2:16" ht="24" customHeight="1" x14ac:dyDescent="0.3">
      <c r="B206" s="22" t="str">
        <f t="shared" ca="1" si="12"/>
        <v/>
      </c>
      <c r="C206" s="16" t="str">
        <f t="shared" ca="1" si="13"/>
        <v/>
      </c>
      <c r="D206" s="23"/>
      <c r="E206" s="24"/>
      <c r="F206" s="27"/>
      <c r="G206" s="25"/>
      <c r="H206" s="25"/>
      <c r="I206" s="177"/>
      <c r="J206" s="151"/>
      <c r="K206" s="167" t="str">
        <f ca="1">IF(IF(COPIA!$R$1=TRUE,IF(OR(G206&lt;&gt;0,H206&lt;&gt;0),ROUND(SUM(G$11:G206),2)-ROUND(SUM(H$11:H206),2),""),"")&lt;&gt;0,"",0)</f>
        <v/>
      </c>
      <c r="L206" s="7">
        <f t="shared" ca="1" si="14"/>
        <v>0</v>
      </c>
      <c r="M206" s="7">
        <f ca="1">IFERROR(IF(AND(INDIRECT(ADDRESS(ROW(),4,,,))&lt;=COPIA!$DA$1,K206=0,COPIA!$BF$1&gt;1,ROW()-10&lt;COPIA!$BF$1-1),MAX($M$10:M205)+1,IF(AND(INDIRECT(ADDRESS(ROW(),4,,,))&lt;=COPIA!$DA$1,K206=0,COPIA!$BF$1=1),MAX($M$10:M205)+1,0)),0)</f>
        <v>0</v>
      </c>
      <c r="N206" s="7">
        <f ca="1">IF(AND(COPIA!$BF$1=1,M206&lt;&gt;0),ROW()-10,IF(AND(COPIA!$BF$1&gt;1,ROW()-10&gt;COPIA!$BF$1,M206&lt;&gt;0),0,IF(AND(COPIA!$BF$1&gt;1,ROW()-10&lt;=COPIA!$BF$1,M206&lt;&gt;0),ROW()-10,0)))</f>
        <v>0</v>
      </c>
      <c r="O206" s="7">
        <f ca="1">IF(AND($O$1=0,ROW()-10&lt;=$O$2),MAX($O$10:O205)+1,IF(AND(ROW()-10&gt;$O$2,ROW()-10&lt;=$O$1),ROW()-10,0))</f>
        <v>0</v>
      </c>
      <c r="P206" s="7">
        <f ca="1">IF(O206&gt;0,MAX($P$10:P205)+1,0)</f>
        <v>0</v>
      </c>
    </row>
    <row r="207" spans="2:16" ht="24" customHeight="1" x14ac:dyDescent="0.3">
      <c r="B207" s="22" t="str">
        <f t="shared" ca="1" si="12"/>
        <v/>
      </c>
      <c r="C207" s="16" t="str">
        <f t="shared" ca="1" si="13"/>
        <v/>
      </c>
      <c r="D207" s="23"/>
      <c r="E207" s="24"/>
      <c r="F207" s="27"/>
      <c r="G207" s="25"/>
      <c r="H207" s="25"/>
      <c r="I207" s="177"/>
      <c r="J207" s="151"/>
      <c r="K207" s="167" t="str">
        <f ca="1">IF(IF(COPIA!$R$1=TRUE,IF(OR(G207&lt;&gt;0,H207&lt;&gt;0),ROUND(SUM(G$11:G207),2)-ROUND(SUM(H$11:H207),2),""),"")&lt;&gt;0,"",0)</f>
        <v/>
      </c>
      <c r="L207" s="7">
        <f t="shared" ca="1" si="14"/>
        <v>0</v>
      </c>
      <c r="M207" s="7">
        <f ca="1">IFERROR(IF(AND(INDIRECT(ADDRESS(ROW(),4,,,))&lt;=COPIA!$DA$1,K207=0,COPIA!$BF$1&gt;1,ROW()-10&lt;COPIA!$BF$1-1),MAX($M$10:M206)+1,IF(AND(INDIRECT(ADDRESS(ROW(),4,,,))&lt;=COPIA!$DA$1,K207=0,COPIA!$BF$1=1),MAX($M$10:M206)+1,0)),0)</f>
        <v>0</v>
      </c>
      <c r="N207" s="7">
        <f ca="1">IF(AND(COPIA!$BF$1=1,M207&lt;&gt;0),ROW()-10,IF(AND(COPIA!$BF$1&gt;1,ROW()-10&gt;COPIA!$BF$1,M207&lt;&gt;0),0,IF(AND(COPIA!$BF$1&gt;1,ROW()-10&lt;=COPIA!$BF$1,M207&lt;&gt;0),ROW()-10,0)))</f>
        <v>0</v>
      </c>
      <c r="O207" s="7">
        <f ca="1">IF(AND($O$1=0,ROW()-10&lt;=$O$2),MAX($O$10:O206)+1,IF(AND(ROW()-10&gt;$O$2,ROW()-10&lt;=$O$1),ROW()-10,0))</f>
        <v>0</v>
      </c>
      <c r="P207" s="7">
        <f ca="1">IF(O207&gt;0,MAX($P$10:P206)+1,0)</f>
        <v>0</v>
      </c>
    </row>
    <row r="208" spans="2:16" ht="24" customHeight="1" x14ac:dyDescent="0.3">
      <c r="B208" s="22" t="str">
        <f t="shared" ca="1" si="12"/>
        <v/>
      </c>
      <c r="C208" s="16" t="str">
        <f t="shared" ca="1" si="13"/>
        <v/>
      </c>
      <c r="D208" s="23"/>
      <c r="E208" s="24"/>
      <c r="F208" s="27"/>
      <c r="G208" s="25"/>
      <c r="H208" s="25"/>
      <c r="I208" s="177"/>
      <c r="J208" s="151"/>
      <c r="K208" s="167" t="str">
        <f ca="1">IF(IF(COPIA!$R$1=TRUE,IF(OR(G208&lt;&gt;0,H208&lt;&gt;0),ROUND(SUM(G$11:G208),2)-ROUND(SUM(H$11:H208),2),""),"")&lt;&gt;0,"",0)</f>
        <v/>
      </c>
      <c r="L208" s="7">
        <f t="shared" ca="1" si="14"/>
        <v>0</v>
      </c>
      <c r="M208" s="7">
        <f ca="1">IFERROR(IF(AND(INDIRECT(ADDRESS(ROW(),4,,,))&lt;=COPIA!$DA$1,K208=0,COPIA!$BF$1&gt;1,ROW()-10&lt;COPIA!$BF$1-1),MAX($M$10:M207)+1,IF(AND(INDIRECT(ADDRESS(ROW(),4,,,))&lt;=COPIA!$DA$1,K208=0,COPIA!$BF$1=1),MAX($M$10:M207)+1,0)),0)</f>
        <v>0</v>
      </c>
      <c r="N208" s="7">
        <f ca="1">IF(AND(COPIA!$BF$1=1,M208&lt;&gt;0),ROW()-10,IF(AND(COPIA!$BF$1&gt;1,ROW()-10&gt;COPIA!$BF$1,M208&lt;&gt;0),0,IF(AND(COPIA!$BF$1&gt;1,ROW()-10&lt;=COPIA!$BF$1,M208&lt;&gt;0),ROW()-10,0)))</f>
        <v>0</v>
      </c>
      <c r="O208" s="7">
        <f ca="1">IF(AND($O$1=0,ROW()-10&lt;=$O$2),MAX($O$10:O207)+1,IF(AND(ROW()-10&gt;$O$2,ROW()-10&lt;=$O$1),ROW()-10,0))</f>
        <v>0</v>
      </c>
      <c r="P208" s="7">
        <f ca="1">IF(O208&gt;0,MAX($P$10:P207)+1,0)</f>
        <v>0</v>
      </c>
    </row>
    <row r="209" spans="2:16" ht="24" customHeight="1" x14ac:dyDescent="0.3">
      <c r="B209" s="22" t="str">
        <f t="shared" ca="1" si="12"/>
        <v/>
      </c>
      <c r="C209" s="16" t="str">
        <f t="shared" ca="1" si="13"/>
        <v/>
      </c>
      <c r="D209" s="23"/>
      <c r="E209" s="24"/>
      <c r="F209" s="27"/>
      <c r="G209" s="25"/>
      <c r="H209" s="25"/>
      <c r="I209" s="177"/>
      <c r="J209" s="151"/>
      <c r="K209" s="167" t="str">
        <f ca="1">IF(IF(COPIA!$R$1=TRUE,IF(OR(G209&lt;&gt;0,H209&lt;&gt;0),ROUND(SUM(G$11:G209),2)-ROUND(SUM(H$11:H209),2),""),"")&lt;&gt;0,"",0)</f>
        <v/>
      </c>
      <c r="L209" s="7">
        <f t="shared" ca="1" si="14"/>
        <v>0</v>
      </c>
      <c r="M209" s="7">
        <f ca="1">IFERROR(IF(AND(INDIRECT(ADDRESS(ROW(),4,,,))&lt;=COPIA!$DA$1,K209=0,COPIA!$BF$1&gt;1,ROW()-10&lt;COPIA!$BF$1-1),MAX($M$10:M208)+1,IF(AND(INDIRECT(ADDRESS(ROW(),4,,,))&lt;=COPIA!$DA$1,K209=0,COPIA!$BF$1=1),MAX($M$10:M208)+1,0)),0)</f>
        <v>0</v>
      </c>
      <c r="N209" s="7">
        <f ca="1">IF(AND(COPIA!$BF$1=1,M209&lt;&gt;0),ROW()-10,IF(AND(COPIA!$BF$1&gt;1,ROW()-10&gt;COPIA!$BF$1,M209&lt;&gt;0),0,IF(AND(COPIA!$BF$1&gt;1,ROW()-10&lt;=COPIA!$BF$1,M209&lt;&gt;0),ROW()-10,0)))</f>
        <v>0</v>
      </c>
      <c r="O209" s="7">
        <f ca="1">IF(AND($O$1=0,ROW()-10&lt;=$O$2),MAX($O$10:O208)+1,IF(AND(ROW()-10&gt;$O$2,ROW()-10&lt;=$O$1),ROW()-10,0))</f>
        <v>0</v>
      </c>
      <c r="P209" s="7">
        <f ca="1">IF(O209&gt;0,MAX($P$10:P208)+1,0)</f>
        <v>0</v>
      </c>
    </row>
    <row r="210" spans="2:16" ht="24" customHeight="1" x14ac:dyDescent="0.3">
      <c r="B210" s="22" t="str">
        <f t="shared" ca="1" si="12"/>
        <v/>
      </c>
      <c r="C210" s="16" t="str">
        <f t="shared" ca="1" si="13"/>
        <v/>
      </c>
      <c r="D210" s="23"/>
      <c r="E210" s="24"/>
      <c r="F210" s="27"/>
      <c r="G210" s="25"/>
      <c r="H210" s="25"/>
      <c r="I210" s="177"/>
      <c r="J210" s="151"/>
      <c r="K210" s="167" t="str">
        <f ca="1">IF(IF(COPIA!$R$1=TRUE,IF(OR(G210&lt;&gt;0,H210&lt;&gt;0),ROUND(SUM(G$11:G210),2)-ROUND(SUM(H$11:H210),2),""),"")&lt;&gt;0,"",0)</f>
        <v/>
      </c>
      <c r="L210" s="7">
        <f t="shared" ca="1" si="14"/>
        <v>0</v>
      </c>
      <c r="M210" s="7">
        <f ca="1">IFERROR(IF(AND(INDIRECT(ADDRESS(ROW(),4,,,))&lt;=COPIA!$DA$1,K210=0,COPIA!$BF$1&gt;1,ROW()-10&lt;COPIA!$BF$1-1),MAX($M$10:M209)+1,IF(AND(INDIRECT(ADDRESS(ROW(),4,,,))&lt;=COPIA!$DA$1,K210=0,COPIA!$BF$1=1),MAX($M$10:M209)+1,0)),0)</f>
        <v>0</v>
      </c>
      <c r="N210" s="7">
        <f ca="1">IF(AND(COPIA!$BF$1=1,M210&lt;&gt;0),ROW()-10,IF(AND(COPIA!$BF$1&gt;1,ROW()-10&gt;COPIA!$BF$1,M210&lt;&gt;0),0,IF(AND(COPIA!$BF$1&gt;1,ROW()-10&lt;=COPIA!$BF$1,M210&lt;&gt;0),ROW()-10,0)))</f>
        <v>0</v>
      </c>
      <c r="O210" s="7">
        <f ca="1">IF(AND($O$1=0,ROW()-10&lt;=$O$2),MAX($O$10:O209)+1,IF(AND(ROW()-10&gt;$O$2,ROW()-10&lt;=$O$1),ROW()-10,0))</f>
        <v>0</v>
      </c>
      <c r="P210" s="7">
        <f ca="1">IF(O210&gt;0,MAX($P$10:P209)+1,0)</f>
        <v>0</v>
      </c>
    </row>
    <row r="211" spans="2:16" ht="7.5" customHeight="1" x14ac:dyDescent="0.3">
      <c r="B211" s="91"/>
      <c r="C211" s="92" t="str">
        <f t="shared" ca="1" si="13"/>
        <v/>
      </c>
      <c r="D211" s="107"/>
      <c r="E211" s="108"/>
      <c r="F211" s="109"/>
      <c r="G211" s="110"/>
      <c r="H211" s="110"/>
      <c r="J211" s="152"/>
      <c r="K211" s="167" t="str">
        <f ca="1">IF(IF(COPIA!$R$1=TRUE,IF(OR(G211&lt;&gt;0,H211&lt;&gt;0),ROUND(SUM(G$11:G211),2)-ROUND(SUM(H$11:H211),2),""),"")&lt;&gt;0,"",0)</f>
        <v/>
      </c>
    </row>
    <row r="212" spans="2:16" ht="3.75" customHeight="1" x14ac:dyDescent="0.3">
      <c r="B212" s="91"/>
      <c r="C212" s="92" t="str">
        <f t="shared" ca="1" si="13"/>
        <v/>
      </c>
      <c r="D212" s="107"/>
      <c r="E212" s="108"/>
      <c r="F212" s="109"/>
      <c r="G212" s="110"/>
      <c r="H212" s="110"/>
      <c r="J212" s="152"/>
      <c r="K212" s="167" t="str">
        <f ca="1">IF(IF(COPIA!$R$1=TRUE,IF(OR(G212&lt;&gt;0,H212&lt;&gt;0),ROUND(SUM(G$11:G212),2)-ROUND(SUM(H$11:H212),2),""),"")&lt;&gt;0,"",0)</f>
        <v/>
      </c>
      <c r="L212" s="7">
        <f t="shared" ref="L212" si="15">IF(D212&lt;&gt;"",YEAR(D212),0)</f>
        <v>0</v>
      </c>
    </row>
  </sheetData>
  <sheetProtection algorithmName="SHA-512" hashValue="qzPuer3acAeeY+opeZ9AxlPtar7OFFcrTXOp1mjVwZZ7KF2UN7hCXx6AsZT7+q9Mb4byLC8vWRXTEre03OHTsA==" saltValue="YBcd/konHMXMRczis65gXw==" spinCount="100000" sheet="1" objects="1" scenarios="1"/>
  <mergeCells count="12">
    <mergeCell ref="G8:H8"/>
    <mergeCell ref="G7:H7"/>
    <mergeCell ref="B8:D8"/>
    <mergeCell ref="B7:D7"/>
    <mergeCell ref="B1:E1"/>
    <mergeCell ref="G3:H3"/>
    <mergeCell ref="B2:D2"/>
    <mergeCell ref="B4:D4"/>
    <mergeCell ref="B3:D3"/>
    <mergeCell ref="F1:H1"/>
    <mergeCell ref="E3:E4"/>
    <mergeCell ref="E5:E6"/>
  </mergeCells>
  <conditionalFormatting sqref="B11:B210 D11:D210 G11:H210">
    <cfRule type="expression" dxfId="85" priority="27">
      <formula>AND($A$10=0,$C9&lt;&gt;"")</formula>
    </cfRule>
    <cfRule type="expression" dxfId="84" priority="11">
      <formula>AND($C11&lt;$A$10,$A$10&gt;0,$C9&lt;&gt;"")</formula>
    </cfRule>
    <cfRule type="expression" dxfId="83" priority="12">
      <formula>AND($C11&lt;$A$10,$A$10&gt;0,$C10&lt;&gt;"")</formula>
    </cfRule>
    <cfRule type="expression" dxfId="82" priority="28">
      <formula>AND($A$10=0,$C10&lt;&gt;"")</formula>
    </cfRule>
    <cfRule type="expression" dxfId="81" priority="29">
      <formula>AND($C11&gt;=$A$10,$A$10&gt;0,$C9&lt;&gt;"")</formula>
    </cfRule>
    <cfRule type="expression" dxfId="80" priority="30">
      <formula>AND($C11&gt;=$A$10,$A$10&gt;0,$C10&lt;&gt;"")</formula>
    </cfRule>
  </conditionalFormatting>
  <conditionalFormatting sqref="B11:B210">
    <cfRule type="expression" dxfId="79" priority="4">
      <formula>AND(ROW()-10&gt;=$H$6,$E11&lt;&gt;"")</formula>
    </cfRule>
    <cfRule type="expression" dxfId="78" priority="8">
      <formula>$B11=0</formula>
    </cfRule>
  </conditionalFormatting>
  <conditionalFormatting sqref="C11:C210">
    <cfRule type="expression" dxfId="77" priority="9">
      <formula>$C10&lt;&gt;""</formula>
    </cfRule>
    <cfRule type="expression" dxfId="76" priority="10">
      <formula>$C9&lt;&gt;""</formula>
    </cfRule>
  </conditionalFormatting>
  <conditionalFormatting sqref="D11:D210">
    <cfRule type="expression" dxfId="75" priority="3">
      <formula>AND(ROW()-10&gt;=$H$6,$E11&lt;&gt;"")</formula>
    </cfRule>
    <cfRule type="expression" dxfId="74" priority="32">
      <formula>AND($L11=$L$10+5,$L11&gt;0)</formula>
    </cfRule>
    <cfRule type="expression" dxfId="73" priority="37">
      <formula>AND($L11&gt;0,$L11&gt;$L$9)</formula>
    </cfRule>
    <cfRule type="expression" dxfId="72" priority="38">
      <formula>AND($L11=$L$10+4,$L11&gt;0)</formula>
    </cfRule>
    <cfRule type="expression" dxfId="71" priority="39">
      <formula>AND($L11=$L$10+3,$L11&gt;0)</formula>
    </cfRule>
    <cfRule type="expression" dxfId="70" priority="40">
      <formula>AND($L11=$L$10+2,$L11&gt;0)</formula>
    </cfRule>
    <cfRule type="expression" dxfId="69" priority="41">
      <formula>AND($L11=$L$10+1,$L11&gt;0)</formula>
    </cfRule>
    <cfRule type="expression" dxfId="68" priority="42">
      <formula>AND($L11&lt;$L$10,$L11&gt;0)</formula>
    </cfRule>
  </conditionalFormatting>
  <conditionalFormatting sqref="E2">
    <cfRule type="expression" dxfId="67" priority="1">
      <formula>INDIRECT(ADDRESS(3,2,,,))="Cloud: Office 365"</formula>
    </cfRule>
  </conditionalFormatting>
  <conditionalFormatting sqref="E11:F210">
    <cfRule type="expression" dxfId="66" priority="23">
      <formula>AND($C11&gt;=$A$10,$A$10&gt;0,$E10&lt;&gt;"",$K11&lt;&gt;0)</formula>
    </cfRule>
    <cfRule type="expression" dxfId="65" priority="24">
      <formula>AND($C11&gt;=$A$10,$A$10&gt;0,$E9&lt;&gt;"",$K11&lt;&gt;0)</formula>
    </cfRule>
    <cfRule type="expression" dxfId="64" priority="25">
      <formula>AND($C11&gt;=$A$10,$A$10&gt;0,$E10&lt;&gt;"",$K11=0)</formula>
    </cfRule>
    <cfRule type="expression" dxfId="63" priority="26">
      <formula>AND($C11&gt;=$A$10,$A$10&gt;0,$E9&lt;&gt;"",$K11=0)</formula>
    </cfRule>
    <cfRule type="expression" dxfId="62" priority="5">
      <formula>AND(ROW()-10&gt;=$H$6,$K11&lt;&gt;0,$E11&lt;&gt;"")</formula>
    </cfRule>
    <cfRule type="expression" dxfId="61" priority="7">
      <formula>AND(ROW()-10&gt;=$H$6,$K11=0,$E11&lt;&gt;"")</formula>
    </cfRule>
    <cfRule type="expression" dxfId="60" priority="15">
      <formula>AND($A$10=0,AND($E10&lt;&gt;"",$K11&lt;&gt;0))</formula>
    </cfRule>
    <cfRule type="expression" dxfId="59" priority="16">
      <formula>AND($A$10=0,AND($E9&lt;&gt;"",$K11&lt;&gt;0))</formula>
    </cfRule>
    <cfRule type="expression" dxfId="58" priority="17">
      <formula>AND($A$10=0,AND($E10&lt;&gt;"",$K11=0))</formula>
    </cfRule>
    <cfRule type="expression" dxfId="57" priority="18">
      <formula>AND($A$10=0,AND($E9&lt;&gt;"",$K11=0))</formula>
    </cfRule>
    <cfRule type="expression" dxfId="56" priority="19">
      <formula>AND($C11&lt;$A$10,$A$10&gt;0,$E10&lt;&gt;"",$K11&lt;&gt;0)</formula>
    </cfRule>
    <cfRule type="expression" dxfId="55" priority="20">
      <formula>AND($C11&lt;$A$10,$A$10&gt;0,$E9&lt;&gt;"",$K11&lt;&gt;0)</formula>
    </cfRule>
    <cfRule type="expression" dxfId="54" priority="21">
      <formula>AND($C11&lt;$A$10,$A$10&gt;0,$E10&lt;&gt;"",$K11=0)</formula>
    </cfRule>
    <cfRule type="expression" dxfId="53" priority="22">
      <formula>AND($C11&lt;$A$10,$A$10&gt;0,$E9&lt;&gt;"",$K11=0)</formula>
    </cfRule>
  </conditionalFormatting>
  <conditionalFormatting sqref="G4:H4">
    <cfRule type="expression" dxfId="52" priority="35">
      <formula>AND(G4=0,H4=0)</formula>
    </cfRule>
    <cfRule type="expression" dxfId="51" priority="47">
      <formula>$G$4&lt;&gt;$H$4</formula>
    </cfRule>
    <cfRule type="expression" dxfId="50" priority="48">
      <formula>$G$4=$H$4</formula>
    </cfRule>
  </conditionalFormatting>
  <conditionalFormatting sqref="G11:H210">
    <cfRule type="expression" dxfId="49" priority="2">
      <formula>AND(ROW()-10&gt;=$H$6,$E11&lt;&gt;"")</formula>
    </cfRule>
  </conditionalFormatting>
  <dataValidations count="8">
    <dataValidation type="list" allowBlank="1" sqref="E11:E212" xr:uid="{00000000-0002-0000-0100-000000000000}">
      <formula1>TENDINA_GIORNALE</formula1>
    </dataValidation>
    <dataValidation type="list" allowBlank="1" showInputMessage="1" showErrorMessage="1" sqref="B5" xr:uid="{00000000-0002-0000-0100-000001000000}">
      <formula1>GIORNI</formula1>
    </dataValidation>
    <dataValidation type="list" allowBlank="1" showInputMessage="1" showErrorMessage="1" sqref="C5" xr:uid="{00000000-0002-0000-0100-000002000000}">
      <formula1>MESI</formula1>
    </dataValidation>
    <dataValidation type="list" allowBlank="1" showInputMessage="1" showErrorMessage="1" sqref="D5" xr:uid="{00000000-0002-0000-0100-000003000000}">
      <formula1>"N,N+1,N+2,N+3,N+4,N+5"</formula1>
    </dataValidation>
    <dataValidation type="list" allowBlank="1" showInputMessage="1" showErrorMessage="1" sqref="E2" xr:uid="{00000000-0002-0000-0100-000004000000}">
      <formula1>"CONTI SUDDIVISI PER CLASSIFICAZIONE,CONTI SUDDIVISI PER RAGGRUPPAMENTO"</formula1>
    </dataValidation>
    <dataValidation type="list" allowBlank="1" showInputMessage="1" showErrorMessage="1" sqref="F6" xr:uid="{00000000-0002-0000-0100-000005000000}">
      <formula1>"DELIMITAZIONE ARTICOLO ATTIVATA,DELIMITAZIONE ARTICOLO DISATTIVATA"</formula1>
    </dataValidation>
    <dataValidation type="list" allowBlank="1" showInputMessage="1" showErrorMessage="1" sqref="B3:D3" xr:uid="{00000000-0002-0000-0100-000006000000}">
      <formula1>"Desktop: Office,Cloud: Office 365"</formula1>
    </dataValidation>
    <dataValidation type="list" allowBlank="1" showInputMessage="1" showErrorMessage="1" sqref="H6" xr:uid="{00000000-0002-0000-0100-000007000000}">
      <formula1>NASCONDI_RIGHE</formula1>
    </dataValidation>
  </dataValidations>
  <printOptions horizontalCentered="1"/>
  <pageMargins left="0.11811023622047245" right="0.11811023622047245" top="0.59055118110236227" bottom="0.55118110236220474" header="0.19685039370078741" footer="0.31496062992125984"/>
  <pageSetup paperSize="9" orientation="landscape" horizontalDpi="4294967294" r:id="rId1"/>
  <headerFooter>
    <oddHeader>&amp;L&amp;"Arial Narrow,Grassetto"&amp;11&amp;K08-041&amp;A&amp;R&amp;G</oddHeader>
    <oddFooter>&amp;L&amp;"Arial Narrow,Grassetto"&amp;8&amp;K08-038TRAMONTANA - FUTURO IMPRESA SMART 4 - T-SMART -  Autore: Biagio PALACINO&amp;C&amp;"-,Grassetto"&amp;10&amp;K08-044&amp;D&amp;R&amp;"Arial Narrow,Grassetto"&amp;10&amp;K08-038pag. &amp;P di &amp;N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8" r:id="rId5" name="List Box 16">
              <controlPr defaultSize="0" print="0" autoLine="0" autoPict="0">
                <anchor>
                  <from>
                    <xdr:col>4</xdr:col>
                    <xdr:colOff>144780</xdr:colOff>
                    <xdr:row>2</xdr:row>
                    <xdr:rowOff>30480</xdr:rowOff>
                  </from>
                  <to>
                    <xdr:col>4</xdr:col>
                    <xdr:colOff>3543300</xdr:colOff>
                    <xdr:row>7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>
    <tabColor rgb="FF00B0F0"/>
  </sheetPr>
  <dimension ref="A1:L879"/>
  <sheetViews>
    <sheetView showGridLines="0" showRowColHeaders="0" zoomScale="120" zoomScaleNormal="120" workbookViewId="0">
      <pane ySplit="7" topLeftCell="A8" activePane="bottomLeft" state="frozen"/>
      <selection pane="bottomLeft" activeCell="D6" sqref="D6"/>
    </sheetView>
  </sheetViews>
  <sheetFormatPr defaultColWidth="9" defaultRowHeight="15.6" x14ac:dyDescent="0.3"/>
  <cols>
    <col min="1" max="1" width="3" style="60" customWidth="1"/>
    <col min="2" max="2" width="7.59765625" style="29" customWidth="1"/>
    <col min="3" max="3" width="8.19921875" style="30" customWidth="1"/>
    <col min="4" max="4" width="43.8984375" style="136" customWidth="1"/>
    <col min="5" max="5" width="13.69921875" style="31" customWidth="1"/>
    <col min="6" max="6" width="13.69921875" style="6" customWidth="1"/>
    <col min="7" max="7" width="11.3984375" style="6" customWidth="1"/>
    <col min="8" max="8" width="9" style="11" customWidth="1"/>
    <col min="9" max="9" width="9" style="7" customWidth="1"/>
    <col min="10" max="10" width="9" style="11" customWidth="1"/>
    <col min="11" max="11" width="9" style="33"/>
    <col min="12" max="16384" width="9" style="11"/>
  </cols>
  <sheetData>
    <row r="1" spans="1:12" ht="23.25" customHeight="1" x14ac:dyDescent="0.3">
      <c r="A1" s="59"/>
      <c r="B1" s="389" t="s">
        <v>1149</v>
      </c>
      <c r="C1" s="302"/>
      <c r="D1" s="302"/>
      <c r="E1" s="302"/>
      <c r="F1" s="330"/>
      <c r="G1" s="330"/>
      <c r="H1" s="330"/>
      <c r="I1" s="330"/>
      <c r="J1" s="330"/>
      <c r="K1" s="330"/>
    </row>
    <row r="2" spans="1:12" x14ac:dyDescent="0.3">
      <c r="B2" s="303" t="str">
        <f ca="1">L7</f>
        <v/>
      </c>
      <c r="C2" s="303"/>
      <c r="E2" s="304" t="s">
        <v>986</v>
      </c>
      <c r="F2" s="305"/>
      <c r="G2" s="306"/>
      <c r="H2" s="307" t="s">
        <v>987</v>
      </c>
      <c r="I2" s="308"/>
      <c r="J2" s="308"/>
      <c r="K2" s="309"/>
    </row>
    <row r="3" spans="1:12" x14ac:dyDescent="0.3">
      <c r="B3" s="303"/>
      <c r="C3" s="303"/>
      <c r="D3" s="143" t="str">
        <f ca="1">IF(COPIA!CO1=0,"",CONCATENATE("Numero dei conti con denominazione errata: ",COPIA!ES1))</f>
        <v/>
      </c>
      <c r="E3" s="324" t="str">
        <f ca="1">IF(COPIA!ET3&lt;&gt;"",COPIA!ET3,"")</f>
        <v/>
      </c>
      <c r="F3" s="325"/>
      <c r="G3" s="326"/>
      <c r="H3" s="318" t="str">
        <f ca="1">IF(COPIA!EO3&lt;&gt;"",COPIA!EO3,"")</f>
        <v/>
      </c>
      <c r="I3" s="319"/>
      <c r="J3" s="319"/>
      <c r="K3" s="320"/>
    </row>
    <row r="4" spans="1:12" x14ac:dyDescent="0.3">
      <c r="B4" s="303"/>
      <c r="C4" s="303"/>
      <c r="D4" s="143" t="str">
        <f ca="1">IF(COPIA!CO1=0,"",CONCATENATE("Numero dei conti con eccedenza errata: ",COPIA!EN2))</f>
        <v/>
      </c>
      <c r="E4" s="327"/>
      <c r="F4" s="328"/>
      <c r="G4" s="329"/>
      <c r="H4" s="321"/>
      <c r="I4" s="322"/>
      <c r="J4" s="322"/>
      <c r="K4" s="323"/>
    </row>
    <row r="5" spans="1:12" ht="6.75" customHeight="1" x14ac:dyDescent="0.3">
      <c r="B5" s="142"/>
      <c r="C5" s="142"/>
    </row>
    <row r="6" spans="1:12" ht="18.75" customHeight="1" x14ac:dyDescent="0.3">
      <c r="B6" s="316" t="s">
        <v>982</v>
      </c>
      <c r="C6" s="317"/>
      <c r="D6" s="179" t="s">
        <v>1001</v>
      </c>
      <c r="E6" s="313" t="s">
        <v>1038</v>
      </c>
      <c r="F6" s="314"/>
      <c r="G6" s="315"/>
      <c r="H6" s="310" t="s">
        <v>1009</v>
      </c>
      <c r="I6" s="311"/>
      <c r="J6" s="311"/>
      <c r="K6" s="312"/>
    </row>
    <row r="7" spans="1:12" ht="18" customHeight="1" x14ac:dyDescent="0.3">
      <c r="A7" s="59"/>
      <c r="B7" s="198"/>
      <c r="C7" s="198"/>
      <c r="D7" s="198"/>
      <c r="E7" s="200"/>
      <c r="F7" s="200"/>
      <c r="G7" s="199"/>
      <c r="H7" s="300"/>
      <c r="I7" s="300"/>
      <c r="J7" s="300"/>
      <c r="K7" s="300"/>
      <c r="L7" s="7" t="str">
        <f ca="1">IF(COPIA!CO1=0,"",CONCATENATE("Numero dei conti visualizzati: ",COPIA!$DE$1))</f>
        <v/>
      </c>
    </row>
    <row r="8" spans="1:12" ht="18" customHeight="1" x14ac:dyDescent="0.3">
      <c r="A8" s="59"/>
      <c r="B8" s="331" t="str">
        <f ca="1">IF(INDIRECT(ADDRESS(8,6,,,"LIBRO_GIORNALE"))="","",INDIRECT(ADDRESS(8,6,,,"LIBRO_GIORNALE")))</f>
        <v/>
      </c>
      <c r="C8" s="331"/>
      <c r="D8" s="331"/>
      <c r="E8" s="332" t="str">
        <f ca="1">IF(INDIRECT(ADDRESS(8,7,,,"LIBRO_GIORNALE"))="","",INDIRECT(ADDRESS(8,7,,,"LIBRO_GIORNALE")))</f>
        <v/>
      </c>
      <c r="F8" s="332"/>
      <c r="G8" s="196"/>
      <c r="H8" s="196"/>
      <c r="I8" s="196"/>
      <c r="J8" s="196"/>
      <c r="K8" s="196"/>
      <c r="L8" s="7"/>
    </row>
    <row r="9" spans="1:12" ht="25.5" customHeight="1" x14ac:dyDescent="0.3">
      <c r="B9" s="301" t="str">
        <f ca="1">IF(COPIA!CO1=0,"",CONCATENATE("CONTI DI MASTRO dal 1/1/",COPIA!AW1," al ",COPIA!AS1,"/",COPIA!AT1,"/",COPIA!AW1))</f>
        <v/>
      </c>
      <c r="C9" s="301"/>
      <c r="D9" s="301"/>
      <c r="E9" s="301"/>
      <c r="F9" s="301"/>
      <c r="G9" s="12"/>
      <c r="I9" s="33"/>
      <c r="K9" s="7">
        <f ca="1">MAX(COPIA!DF3:DF1339)+3</f>
        <v>3</v>
      </c>
    </row>
    <row r="10" spans="1:12" ht="16.5" customHeight="1" x14ac:dyDescent="0.3">
      <c r="A10" s="60" t="str">
        <f ca="1">COPIA!AC3</f>
        <v>AZIONISTI C/SOTTOSCRIZIONE</v>
      </c>
      <c r="B10" s="10" t="str">
        <f ca="1">IF(IFERROR(INDEX((COPIA!$DA$3:$DE$1339),MATCH(ROWS(B$10:B10),COPIA!$DF$3:$DF$1339,0),COLUMN()-1),"")&gt;=1,IFERROR(INDEX((COPIA!$DA$3:$DE$1339),MATCH(ROWS(B$10:B10),COPIA!$DF$3:$DF$1339,0),COLUMN()-1),""),"")</f>
        <v/>
      </c>
      <c r="C10" s="5" t="str">
        <f ca="1">SUBSTITUTE(IFERROR(INDEX((COPIA!$DA$3:$DE$1339),MATCH(ROWS(C$10:C10),COPIA!$DF$3:$DF$1339,0),COLUMN()-1),""),"MASTRO","")</f>
        <v/>
      </c>
      <c r="D10" s="136" t="str">
        <f ca="1">IF(IFERROR(INDEX((COPIA!$DA$3:$DE$1339),MATCH(ROWS(D$10:D10),COPIA!$DF$3:$DF$1339,0),COLUMN()-1),"")=0,"",IFERROR(INDEX((COPIA!$DA$3:$DE$1339),MATCH(ROWS(D$10:D10),COPIA!$DF$3:$DF$1339,0),COLUMN()-1),""))</f>
        <v/>
      </c>
      <c r="E10" s="9" t="str">
        <f ca="1">IF(IFERROR(INDEX((COPIA!$DA$3:$DE$1339),MATCH(ROWS(E$10:E10),COPIA!$DF$3:$DF$1339,0),COLUMN()-1),"")=0,"",IFERROR(INDEX((COPIA!$DA$3:$DE$1339),MATCH(ROWS(E$10:E10),COPIA!$DF$3:$DF$1339,0),COLUMN()-1),""))</f>
        <v/>
      </c>
      <c r="F10" s="6" t="str">
        <f ca="1">IF(IFERROR(INDEX((COPIA!$DA$3:$DE$1339),MATCH(ROWS(F$10:F10),COPIA!$DF$3:$DF$1339,0),COLUMN()-1),"")=0,"",IFERROR(INDEX((COPIA!$DA$3:$DE$1339),MATCH(ROWS(F$10:F10),COPIA!$DF$3:$DF$1339,0),COLUMN()-1),""))</f>
        <v/>
      </c>
      <c r="G10" s="12"/>
      <c r="I10" s="33"/>
    </row>
    <row r="11" spans="1:12" ht="16.5" customHeight="1" x14ac:dyDescent="0.3">
      <c r="A11" s="60" t="str">
        <f ca="1">COPIA!AC4</f>
        <v>AZIONISTI C/VERSAMENTI RICHIAMATI</v>
      </c>
      <c r="B11" s="10" t="str">
        <f ca="1">IF(IFERROR(INDEX((COPIA!$DA$3:$DE$1339),MATCH(ROWS(B$10:B11),COPIA!$DF$3:$DF$1339,0),COLUMN()-1),"")&gt;=1,IFERROR(INDEX((COPIA!$DA$3:$DE$1339),MATCH(ROWS(B$10:B11),COPIA!$DF$3:$DF$1339,0),COLUMN()-1),""),"")</f>
        <v/>
      </c>
      <c r="C11" s="5" t="str">
        <f ca="1">SUBSTITUTE(IFERROR(INDEX((COPIA!$DA$3:$DE$1339),MATCH(ROWS(C$10:C11),COPIA!$DF$3:$DF$1339,0),COLUMN()-1),""),"MASTRO","")</f>
        <v/>
      </c>
      <c r="D11" s="136" t="str">
        <f ca="1">IF(IFERROR(INDEX((COPIA!$DA$3:$DE$1339),MATCH(ROWS(D$10:D11),COPIA!$DF$3:$DF$1339,0),COLUMN()-1),"")=0,"",IFERROR(INDEX((COPIA!$DA$3:$DE$1339),MATCH(ROWS(D$10:D11),COPIA!$DF$3:$DF$1339,0),COLUMN()-1),""))</f>
        <v/>
      </c>
      <c r="E11" s="9" t="str">
        <f ca="1">IF(IFERROR(INDEX((COPIA!$DA$3:$DE$1339),MATCH(ROWS(E$10:E11),COPIA!$DF$3:$DF$1339,0),COLUMN()-1),"")=0,"",IFERROR(INDEX((COPIA!$DA$3:$DE$1339),MATCH(ROWS(E$10:E11),COPIA!$DF$3:$DF$1339,0),COLUMN()-1),""))</f>
        <v/>
      </c>
      <c r="F11" s="6" t="str">
        <f ca="1">IF(IFERROR(INDEX((COPIA!$DA$3:$DE$1339),MATCH(ROWS(F$10:F11),COPIA!$DF$3:$DF$1339,0),COLUMN()-1),"")=0,"",IFERROR(INDEX((COPIA!$DA$3:$DE$1339),MATCH(ROWS(F$10:F11),COPIA!$DF$3:$DF$1339,0),COLUMN()-1),""))</f>
        <v/>
      </c>
      <c r="G11" s="12"/>
    </row>
    <row r="12" spans="1:12" x14ac:dyDescent="0.3">
      <c r="A12" s="60" t="str">
        <f ca="1">COPIA!AC5</f>
        <v>AZIONISTI C/REINTEGRO</v>
      </c>
      <c r="B12" s="10" t="str">
        <f ca="1">IF(IFERROR(INDEX((COPIA!$DA$3:$DE$1339),MATCH(ROWS(B$10:B12),COPIA!$DF$3:$DF$1339,0),COLUMN()-1),"")&gt;=1,IFERROR(INDEX((COPIA!$DA$3:$DE$1339),MATCH(ROWS(B$10:B12),COPIA!$DF$3:$DF$1339,0),COLUMN()-1),""),"")</f>
        <v/>
      </c>
      <c r="C12" s="5" t="str">
        <f ca="1">SUBSTITUTE(IFERROR(INDEX((COPIA!$DA$3:$DE$1339),MATCH(ROWS(C$10:C12),COPIA!$DF$3:$DF$1339,0),COLUMN()-1),""),"MASTRO","")</f>
        <v/>
      </c>
      <c r="D12" s="136" t="str">
        <f ca="1">IF(IFERROR(INDEX((COPIA!$DA$3:$DE$1339),MATCH(ROWS(D$10:D12),COPIA!$DF$3:$DF$1339,0),COLUMN()-1),"")=0,"",IFERROR(INDEX((COPIA!$DA$3:$DE$1339),MATCH(ROWS(D$10:D12),COPIA!$DF$3:$DF$1339,0),COLUMN()-1),""))</f>
        <v/>
      </c>
      <c r="E12" s="9" t="str">
        <f ca="1">IF(IFERROR(INDEX((COPIA!$DA$3:$DE$1339),MATCH(ROWS(E$10:E12),COPIA!$DF$3:$DF$1339,0),COLUMN()-1),"")=0,"",IFERROR(INDEX((COPIA!$DA$3:$DE$1339),MATCH(ROWS(E$10:E12),COPIA!$DF$3:$DF$1339,0),COLUMN()-1),""))</f>
        <v/>
      </c>
      <c r="F12" s="6" t="str">
        <f ca="1">IF(IFERROR(INDEX((COPIA!$DA$3:$DE$1339),MATCH(ROWS(F$10:F12),COPIA!$DF$3:$DF$1339,0),COLUMN()-1),"")=0,"",IFERROR(INDEX((COPIA!$DA$3:$DE$1339),MATCH(ROWS(F$10:F12),COPIA!$DF$3:$DF$1339,0),COLUMN()-1),""))</f>
        <v/>
      </c>
      <c r="G12" s="12"/>
    </row>
    <row r="13" spans="1:12" x14ac:dyDescent="0.3">
      <c r="A13" s="60" t="str">
        <f ca="1">COPIA!AC6</f>
        <v>COSTI DI IMPIANTO</v>
      </c>
      <c r="B13" s="10" t="str">
        <f ca="1">IF(IFERROR(INDEX((COPIA!$DA$3:$DE$1339),MATCH(ROWS(B$10:B13),COPIA!$DF$3:$DF$1339,0),COLUMN()-1),"")&gt;=1,IFERROR(INDEX((COPIA!$DA$3:$DE$1339),MATCH(ROWS(B$10:B13),COPIA!$DF$3:$DF$1339,0),COLUMN()-1),""),"")</f>
        <v/>
      </c>
      <c r="C13" s="5" t="str">
        <f ca="1">SUBSTITUTE(IFERROR(INDEX((COPIA!$DA$3:$DE$1339),MATCH(ROWS(C$10:C13),COPIA!$DF$3:$DF$1339,0),COLUMN()-1),""),"MASTRO","")</f>
        <v/>
      </c>
      <c r="D13" s="136" t="str">
        <f ca="1">IF(IFERROR(INDEX((COPIA!$DA$3:$DE$1339),MATCH(ROWS(D$10:D13),COPIA!$DF$3:$DF$1339,0),COLUMN()-1),"")=0,"",IFERROR(INDEX((COPIA!$DA$3:$DE$1339),MATCH(ROWS(D$10:D13),COPIA!$DF$3:$DF$1339,0),COLUMN()-1),""))</f>
        <v/>
      </c>
      <c r="E13" s="9" t="str">
        <f ca="1">IF(IFERROR(INDEX((COPIA!$DA$3:$DE$1339),MATCH(ROWS(E$10:E13),COPIA!$DF$3:$DF$1339,0),COLUMN()-1),"")=0,"",IFERROR(INDEX((COPIA!$DA$3:$DE$1339),MATCH(ROWS(E$10:E13),COPIA!$DF$3:$DF$1339,0),COLUMN()-1),""))</f>
        <v/>
      </c>
      <c r="F13" s="6" t="str">
        <f ca="1">IF(IFERROR(INDEX((COPIA!$DA$3:$DE$1339),MATCH(ROWS(F$10:F13),COPIA!$DF$3:$DF$1339,0),COLUMN()-1),"")=0,"",IFERROR(INDEX((COPIA!$DA$3:$DE$1339),MATCH(ROWS(F$10:F13),COPIA!$DF$3:$DF$1339,0),COLUMN()-1),""))</f>
        <v/>
      </c>
      <c r="G13" s="12"/>
    </row>
    <row r="14" spans="1:12" x14ac:dyDescent="0.3">
      <c r="A14" s="60" t="str">
        <f ca="1">COPIA!AC7</f>
        <v>COSTI DI AMPLIAMENTO</v>
      </c>
      <c r="B14" s="10" t="str">
        <f ca="1">IF(IFERROR(INDEX((COPIA!$DA$3:$DE$1339),MATCH(ROWS(B$10:B14),COPIA!$DF$3:$DF$1339,0),COLUMN()-1),"")&gt;=1,IFERROR(INDEX((COPIA!$DA$3:$DE$1339),MATCH(ROWS(B$10:B14),COPIA!$DF$3:$DF$1339,0),COLUMN()-1),""),"")</f>
        <v/>
      </c>
      <c r="C14" s="5" t="str">
        <f ca="1">SUBSTITUTE(IFERROR(INDEX((COPIA!$DA$3:$DE$1339),MATCH(ROWS(C$10:C14),COPIA!$DF$3:$DF$1339,0),COLUMN()-1),""),"MASTRO","")</f>
        <v/>
      </c>
      <c r="D14" s="136" t="str">
        <f ca="1">IF(IFERROR(INDEX((COPIA!$DA$3:$DE$1339),MATCH(ROWS(D$10:D14),COPIA!$DF$3:$DF$1339,0),COLUMN()-1),"")=0,"",IFERROR(INDEX((COPIA!$DA$3:$DE$1339),MATCH(ROWS(D$10:D14),COPIA!$DF$3:$DF$1339,0),COLUMN()-1),""))</f>
        <v/>
      </c>
      <c r="E14" s="9" t="str">
        <f ca="1">IF(IFERROR(INDEX((COPIA!$DA$3:$DE$1339),MATCH(ROWS(E$10:E14),COPIA!$DF$3:$DF$1339,0),COLUMN()-1),"")=0,"",IFERROR(INDEX((COPIA!$DA$3:$DE$1339),MATCH(ROWS(E$10:E14),COPIA!$DF$3:$DF$1339,0),COLUMN()-1),""))</f>
        <v/>
      </c>
      <c r="F14" s="6" t="str">
        <f ca="1">IF(IFERROR(INDEX((COPIA!$DA$3:$DE$1339),MATCH(ROWS(F$10:F14),COPIA!$DF$3:$DF$1339,0),COLUMN()-1),"")=0,"",IFERROR(INDEX((COPIA!$DA$3:$DE$1339),MATCH(ROWS(F$10:F14),COPIA!$DF$3:$DF$1339,0),COLUMN()-1),""))</f>
        <v/>
      </c>
      <c r="G14" s="12"/>
    </row>
    <row r="15" spans="1:12" x14ac:dyDescent="0.3">
      <c r="A15" s="60" t="str">
        <f ca="1">COPIA!AC8</f>
        <v>COSTI DI SVILUPPO</v>
      </c>
      <c r="B15" s="10" t="str">
        <f ca="1">IF(IFERROR(INDEX((COPIA!$DA$3:$DE$1339),MATCH(ROWS(B$10:B15),COPIA!$DF$3:$DF$1339,0),COLUMN()-1),"")&gt;=1,IFERROR(INDEX((COPIA!$DA$3:$DE$1339),MATCH(ROWS(B$10:B15),COPIA!$DF$3:$DF$1339,0),COLUMN()-1),""),"")</f>
        <v/>
      </c>
      <c r="C15" s="5" t="str">
        <f ca="1">SUBSTITUTE(IFERROR(INDEX((COPIA!$DA$3:$DE$1339),MATCH(ROWS(C$10:C15),COPIA!$DF$3:$DF$1339,0),COLUMN()-1),""),"MASTRO","")</f>
        <v/>
      </c>
      <c r="D15" s="136" t="str">
        <f ca="1">IF(IFERROR(INDEX((COPIA!$DA$3:$DE$1339),MATCH(ROWS(D$10:D15),COPIA!$DF$3:$DF$1339,0),COLUMN()-1),"")=0,"",IFERROR(INDEX((COPIA!$DA$3:$DE$1339),MATCH(ROWS(D$10:D15),COPIA!$DF$3:$DF$1339,0),COLUMN()-1),""))</f>
        <v/>
      </c>
      <c r="E15" s="9" t="str">
        <f ca="1">IF(IFERROR(INDEX((COPIA!$DA$3:$DE$1339),MATCH(ROWS(E$10:E15),COPIA!$DF$3:$DF$1339,0),COLUMN()-1),"")=0,"",IFERROR(INDEX((COPIA!$DA$3:$DE$1339),MATCH(ROWS(E$10:E15),COPIA!$DF$3:$DF$1339,0),COLUMN()-1),""))</f>
        <v/>
      </c>
      <c r="F15" s="6" t="str">
        <f ca="1">IF(IFERROR(INDEX((COPIA!$DA$3:$DE$1339),MATCH(ROWS(F$10:F15),COPIA!$DF$3:$DF$1339,0),COLUMN()-1),"")=0,"",IFERROR(INDEX((COPIA!$DA$3:$DE$1339),MATCH(ROWS(F$10:F15),COPIA!$DF$3:$DF$1339,0),COLUMN()-1),""))</f>
        <v/>
      </c>
      <c r="G15" s="12"/>
    </row>
    <row r="16" spans="1:12" x14ac:dyDescent="0.3">
      <c r="A16" s="60" t="str">
        <f ca="1">COPIA!AC9</f>
        <v>BREVETTI</v>
      </c>
      <c r="B16" s="10" t="str">
        <f ca="1">IF(IFERROR(INDEX((COPIA!$DA$3:$DE$1339),MATCH(ROWS(B$10:B16),COPIA!$DF$3:$DF$1339,0),COLUMN()-1),"")&gt;=1,IFERROR(INDEX((COPIA!$DA$3:$DE$1339),MATCH(ROWS(B$10:B16),COPIA!$DF$3:$DF$1339,0),COLUMN()-1),""),"")</f>
        <v/>
      </c>
      <c r="C16" s="5" t="str">
        <f ca="1">SUBSTITUTE(IFERROR(INDEX((COPIA!$DA$3:$DE$1339),MATCH(ROWS(C$10:C16),COPIA!$DF$3:$DF$1339,0),COLUMN()-1),""),"MASTRO","")</f>
        <v/>
      </c>
      <c r="D16" s="136" t="str">
        <f ca="1">IF(IFERROR(INDEX((COPIA!$DA$3:$DE$1339),MATCH(ROWS(D$10:D16),COPIA!$DF$3:$DF$1339,0),COLUMN()-1),"")=0,"",IFERROR(INDEX((COPIA!$DA$3:$DE$1339),MATCH(ROWS(D$10:D16),COPIA!$DF$3:$DF$1339,0),COLUMN()-1),""))</f>
        <v/>
      </c>
      <c r="E16" s="9" t="str">
        <f ca="1">IF(IFERROR(INDEX((COPIA!$DA$3:$DE$1339),MATCH(ROWS(E$10:E16),COPIA!$DF$3:$DF$1339,0),COLUMN()-1),"")=0,"",IFERROR(INDEX((COPIA!$DA$3:$DE$1339),MATCH(ROWS(E$10:E16),COPIA!$DF$3:$DF$1339,0),COLUMN()-1),""))</f>
        <v/>
      </c>
      <c r="F16" s="6" t="str">
        <f ca="1">IF(IFERROR(INDEX((COPIA!$DA$3:$DE$1339),MATCH(ROWS(F$10:F16),COPIA!$DF$3:$DF$1339,0),COLUMN()-1),"")=0,"",IFERROR(INDEX((COPIA!$DA$3:$DE$1339),MATCH(ROWS(F$10:F16),COPIA!$DF$3:$DF$1339,0),COLUMN()-1),""))</f>
        <v/>
      </c>
      <c r="G16" s="12"/>
    </row>
    <row r="17" spans="1:7" x14ac:dyDescent="0.3">
      <c r="A17" s="60" t="str">
        <f ca="1">COPIA!AC10</f>
        <v>SOFTWARE</v>
      </c>
      <c r="B17" s="10" t="str">
        <f ca="1">IF(IFERROR(INDEX((COPIA!$DA$3:$DE$1339),MATCH(ROWS(B$10:B17),COPIA!$DF$3:$DF$1339,0),COLUMN()-1),"")&gt;=1,IFERROR(INDEX((COPIA!$DA$3:$DE$1339),MATCH(ROWS(B$10:B17),COPIA!$DF$3:$DF$1339,0),COLUMN()-1),""),"")</f>
        <v/>
      </c>
      <c r="C17" s="5" t="str">
        <f ca="1">SUBSTITUTE(IFERROR(INDEX((COPIA!$DA$3:$DE$1339),MATCH(ROWS(C$10:C17),COPIA!$DF$3:$DF$1339,0),COLUMN()-1),""),"MASTRO","")</f>
        <v/>
      </c>
      <c r="D17" s="136" t="str">
        <f ca="1">IF(IFERROR(INDEX((COPIA!$DA$3:$DE$1339),MATCH(ROWS(D$10:D17),COPIA!$DF$3:$DF$1339,0),COLUMN()-1),"")=0,"",IFERROR(INDEX((COPIA!$DA$3:$DE$1339),MATCH(ROWS(D$10:D17),COPIA!$DF$3:$DF$1339,0),COLUMN()-1),""))</f>
        <v/>
      </c>
      <c r="E17" s="9" t="str">
        <f ca="1">IF(IFERROR(INDEX((COPIA!$DA$3:$DE$1339),MATCH(ROWS(E$10:E17),COPIA!$DF$3:$DF$1339,0),COLUMN()-1),"")=0,"",IFERROR(INDEX((COPIA!$DA$3:$DE$1339),MATCH(ROWS(E$10:E17),COPIA!$DF$3:$DF$1339,0),COLUMN()-1),""))</f>
        <v/>
      </c>
      <c r="F17" s="6" t="str">
        <f ca="1">IF(IFERROR(INDEX((COPIA!$DA$3:$DE$1339),MATCH(ROWS(F$10:F17),COPIA!$DF$3:$DF$1339,0),COLUMN()-1),"")=0,"",IFERROR(INDEX((COPIA!$DA$3:$DE$1339),MATCH(ROWS(F$10:F17),COPIA!$DF$3:$DF$1339,0),COLUMN()-1),""))</f>
        <v/>
      </c>
      <c r="G17" s="12"/>
    </row>
    <row r="18" spans="1:7" x14ac:dyDescent="0.3">
      <c r="A18" s="60" t="str">
        <f ca="1">COPIA!AC11</f>
        <v>AVVIAMENTO</v>
      </c>
      <c r="B18" s="10" t="str">
        <f ca="1">IF(IFERROR(INDEX((COPIA!$DA$3:$DE$1339),MATCH(ROWS(B$10:B18),COPIA!$DF$3:$DF$1339,0),COLUMN()-1),"")&gt;=1,IFERROR(INDEX((COPIA!$DA$3:$DE$1339),MATCH(ROWS(B$10:B18),COPIA!$DF$3:$DF$1339,0),COLUMN()-1),""),"")</f>
        <v/>
      </c>
      <c r="C18" s="5" t="str">
        <f ca="1">SUBSTITUTE(IFERROR(INDEX((COPIA!$DA$3:$DE$1339),MATCH(ROWS(C$10:C18),COPIA!$DF$3:$DF$1339,0),COLUMN()-1),""),"MASTRO","")</f>
        <v/>
      </c>
      <c r="D18" s="136" t="str">
        <f ca="1">IF(IFERROR(INDEX((COPIA!$DA$3:$DE$1339),MATCH(ROWS(D$10:D18),COPIA!$DF$3:$DF$1339,0),COLUMN()-1),"")=0,"",IFERROR(INDEX((COPIA!$DA$3:$DE$1339),MATCH(ROWS(D$10:D18),COPIA!$DF$3:$DF$1339,0),COLUMN()-1),""))</f>
        <v/>
      </c>
      <c r="E18" s="9" t="str">
        <f ca="1">IF(IFERROR(INDEX((COPIA!$DA$3:$DE$1339),MATCH(ROWS(E$10:E18),COPIA!$DF$3:$DF$1339,0),COLUMN()-1),"")=0,"",IFERROR(INDEX((COPIA!$DA$3:$DE$1339),MATCH(ROWS(E$10:E18),COPIA!$DF$3:$DF$1339,0),COLUMN()-1),""))</f>
        <v/>
      </c>
      <c r="F18" s="6" t="str">
        <f ca="1">IF(IFERROR(INDEX((COPIA!$DA$3:$DE$1339),MATCH(ROWS(F$10:F18),COPIA!$DF$3:$DF$1339,0),COLUMN()-1),"")=0,"",IFERROR(INDEX((COPIA!$DA$3:$DE$1339),MATCH(ROWS(F$10:F18),COPIA!$DF$3:$DF$1339,0),COLUMN()-1),""))</f>
        <v/>
      </c>
      <c r="G18" s="12"/>
    </row>
    <row r="19" spans="1:7" x14ac:dyDescent="0.3">
      <c r="A19" s="60" t="str">
        <f ca="1">COPIA!AC12</f>
        <v>FONDO AMMORTAMENTO COSTI DI IMPIANTO</v>
      </c>
      <c r="B19" s="10" t="str">
        <f ca="1">IF(IFERROR(INDEX((COPIA!$DA$3:$DE$1339),MATCH(ROWS(B$10:B19),COPIA!$DF$3:$DF$1339,0),COLUMN()-1),"")&gt;=1,IFERROR(INDEX((COPIA!$DA$3:$DE$1339),MATCH(ROWS(B$10:B19),COPIA!$DF$3:$DF$1339,0),COLUMN()-1),""),"")</f>
        <v/>
      </c>
      <c r="C19" s="5" t="str">
        <f ca="1">SUBSTITUTE(IFERROR(INDEX((COPIA!$DA$3:$DE$1339),MATCH(ROWS(C$10:C19),COPIA!$DF$3:$DF$1339,0),COLUMN()-1),""),"MASTRO","")</f>
        <v/>
      </c>
      <c r="D19" s="136" t="str">
        <f ca="1">IF(IFERROR(INDEX((COPIA!$DA$3:$DE$1339),MATCH(ROWS(D$10:D19),COPIA!$DF$3:$DF$1339,0),COLUMN()-1),"")=0,"",IFERROR(INDEX((COPIA!$DA$3:$DE$1339),MATCH(ROWS(D$10:D19),COPIA!$DF$3:$DF$1339,0),COLUMN()-1),""))</f>
        <v/>
      </c>
      <c r="E19" s="9" t="str">
        <f ca="1">IF(IFERROR(INDEX((COPIA!$DA$3:$DE$1339),MATCH(ROWS(E$10:E19),COPIA!$DF$3:$DF$1339,0),COLUMN()-1),"")=0,"",IFERROR(INDEX((COPIA!$DA$3:$DE$1339),MATCH(ROWS(E$10:E19),COPIA!$DF$3:$DF$1339,0),COLUMN()-1),""))</f>
        <v/>
      </c>
      <c r="F19" s="6" t="str">
        <f ca="1">IF(IFERROR(INDEX((COPIA!$DA$3:$DE$1339),MATCH(ROWS(F$10:F19),COPIA!$DF$3:$DF$1339,0),COLUMN()-1),"")=0,"",IFERROR(INDEX((COPIA!$DA$3:$DE$1339),MATCH(ROWS(F$10:F19),COPIA!$DF$3:$DF$1339,0),COLUMN()-1),""))</f>
        <v/>
      </c>
      <c r="G19" s="12"/>
    </row>
    <row r="20" spans="1:7" x14ac:dyDescent="0.3">
      <c r="A20" s="60" t="str">
        <f ca="1">COPIA!AC13</f>
        <v>FONDO AMMORTAMENTO COSTI DI AMPLIAMENTO</v>
      </c>
      <c r="B20" s="10" t="str">
        <f ca="1">IF(IFERROR(INDEX((COPIA!$DA$3:$DE$1339),MATCH(ROWS(B$10:B20),COPIA!$DF$3:$DF$1339,0),COLUMN()-1),"")&gt;=1,IFERROR(INDEX((COPIA!$DA$3:$DE$1339),MATCH(ROWS(B$10:B20),COPIA!$DF$3:$DF$1339,0),COLUMN()-1),""),"")</f>
        <v/>
      </c>
      <c r="C20" s="5" t="str">
        <f ca="1">SUBSTITUTE(IFERROR(INDEX((COPIA!$DA$3:$DE$1339),MATCH(ROWS(C$10:C20),COPIA!$DF$3:$DF$1339,0),COLUMN()-1),""),"MASTRO","")</f>
        <v/>
      </c>
      <c r="D20" s="136" t="str">
        <f ca="1">IF(IFERROR(INDEX((COPIA!$DA$3:$DE$1339),MATCH(ROWS(D$10:D20),COPIA!$DF$3:$DF$1339,0),COLUMN()-1),"")=0,"",IFERROR(INDEX((COPIA!$DA$3:$DE$1339),MATCH(ROWS(D$10:D20),COPIA!$DF$3:$DF$1339,0),COLUMN()-1),""))</f>
        <v/>
      </c>
      <c r="E20" s="9" t="str">
        <f ca="1">IF(IFERROR(INDEX((COPIA!$DA$3:$DE$1339),MATCH(ROWS(E$10:E20),COPIA!$DF$3:$DF$1339,0),COLUMN()-1),"")=0,"",IFERROR(INDEX((COPIA!$DA$3:$DE$1339),MATCH(ROWS(E$10:E20),COPIA!$DF$3:$DF$1339,0),COLUMN()-1),""))</f>
        <v/>
      </c>
      <c r="F20" s="6" t="str">
        <f ca="1">IF(IFERROR(INDEX((COPIA!$DA$3:$DE$1339),MATCH(ROWS(F$10:F20),COPIA!$DF$3:$DF$1339,0),COLUMN()-1),"")=0,"",IFERROR(INDEX((COPIA!$DA$3:$DE$1339),MATCH(ROWS(F$10:F20),COPIA!$DF$3:$DF$1339,0),COLUMN()-1),""))</f>
        <v/>
      </c>
      <c r="G20" s="12"/>
    </row>
    <row r="21" spans="1:7" x14ac:dyDescent="0.3">
      <c r="A21" s="60" t="str">
        <f ca="1">COPIA!AC14</f>
        <v>FONDO AMMORTAMENTO COSTI DI SVILUPPO</v>
      </c>
      <c r="B21" s="10" t="str">
        <f ca="1">IF(IFERROR(INDEX((COPIA!$DA$3:$DE$1339),MATCH(ROWS(B$10:B21),COPIA!$DF$3:$DF$1339,0),COLUMN()-1),"")&gt;=1,IFERROR(INDEX((COPIA!$DA$3:$DE$1339),MATCH(ROWS(B$10:B21),COPIA!$DF$3:$DF$1339,0),COLUMN()-1),""),"")</f>
        <v/>
      </c>
      <c r="C21" s="5" t="str">
        <f ca="1">SUBSTITUTE(IFERROR(INDEX((COPIA!$DA$3:$DE$1339),MATCH(ROWS(C$10:C21),COPIA!$DF$3:$DF$1339,0),COLUMN()-1),""),"MASTRO","")</f>
        <v/>
      </c>
      <c r="D21" s="136" t="str">
        <f ca="1">IF(IFERROR(INDEX((COPIA!$DA$3:$DE$1339),MATCH(ROWS(D$10:D21),COPIA!$DF$3:$DF$1339,0),COLUMN()-1),"")=0,"",IFERROR(INDEX((COPIA!$DA$3:$DE$1339),MATCH(ROWS(D$10:D21),COPIA!$DF$3:$DF$1339,0),COLUMN()-1),""))</f>
        <v/>
      </c>
      <c r="E21" s="9" t="str">
        <f ca="1">IF(IFERROR(INDEX((COPIA!$DA$3:$DE$1339),MATCH(ROWS(E$10:E21),COPIA!$DF$3:$DF$1339,0),COLUMN()-1),"")=0,"",IFERROR(INDEX((COPIA!$DA$3:$DE$1339),MATCH(ROWS(E$10:E21),COPIA!$DF$3:$DF$1339,0),COLUMN()-1),""))</f>
        <v/>
      </c>
      <c r="F21" s="6" t="str">
        <f ca="1">IF(IFERROR(INDEX((COPIA!$DA$3:$DE$1339),MATCH(ROWS(F$10:F21),COPIA!$DF$3:$DF$1339,0),COLUMN()-1),"")=0,"",IFERROR(INDEX((COPIA!$DA$3:$DE$1339),MATCH(ROWS(F$10:F21),COPIA!$DF$3:$DF$1339,0),COLUMN()-1),""))</f>
        <v/>
      </c>
      <c r="G21" s="12"/>
    </row>
    <row r="22" spans="1:7" x14ac:dyDescent="0.3">
      <c r="A22" s="60" t="str">
        <f ca="1">COPIA!AC15</f>
        <v>FONDO AMMORTAMENTO BREVETTI</v>
      </c>
      <c r="B22" s="10" t="str">
        <f ca="1">IF(IFERROR(INDEX((COPIA!$DA$3:$DE$1339),MATCH(ROWS(B$10:B22),COPIA!$DF$3:$DF$1339,0),COLUMN()-1),"")&gt;=1,IFERROR(INDEX((COPIA!$DA$3:$DE$1339),MATCH(ROWS(B$10:B22),COPIA!$DF$3:$DF$1339,0),COLUMN()-1),""),"")</f>
        <v/>
      </c>
      <c r="C22" s="5" t="str">
        <f ca="1">SUBSTITUTE(IFERROR(INDEX((COPIA!$DA$3:$DE$1339),MATCH(ROWS(C$10:C22),COPIA!$DF$3:$DF$1339,0),COLUMN()-1),""),"MASTRO","")</f>
        <v/>
      </c>
      <c r="D22" s="136" t="str">
        <f ca="1">IF(IFERROR(INDEX((COPIA!$DA$3:$DE$1339),MATCH(ROWS(D$10:D22),COPIA!$DF$3:$DF$1339,0),COLUMN()-1),"")=0,"",IFERROR(INDEX((COPIA!$DA$3:$DE$1339),MATCH(ROWS(D$10:D22),COPIA!$DF$3:$DF$1339,0),COLUMN()-1),""))</f>
        <v/>
      </c>
      <c r="E22" s="9" t="str">
        <f ca="1">IF(IFERROR(INDEX((COPIA!$DA$3:$DE$1339),MATCH(ROWS(E$10:E22),COPIA!$DF$3:$DF$1339,0),COLUMN()-1),"")=0,"",IFERROR(INDEX((COPIA!$DA$3:$DE$1339),MATCH(ROWS(E$10:E22),COPIA!$DF$3:$DF$1339,0),COLUMN()-1),""))</f>
        <v/>
      </c>
      <c r="F22" s="6" t="str">
        <f ca="1">IF(IFERROR(INDEX((COPIA!$DA$3:$DE$1339),MATCH(ROWS(F$10:F22),COPIA!$DF$3:$DF$1339,0),COLUMN()-1),"")=0,"",IFERROR(INDEX((COPIA!$DA$3:$DE$1339),MATCH(ROWS(F$10:F22),COPIA!$DF$3:$DF$1339,0),COLUMN()-1),""))</f>
        <v/>
      </c>
      <c r="G22" s="12"/>
    </row>
    <row r="23" spans="1:7" x14ac:dyDescent="0.3">
      <c r="A23" s="60" t="str">
        <f ca="1">COPIA!AC16</f>
        <v>FONDO AMMORTAMENTO SOFTWARE</v>
      </c>
      <c r="B23" s="10" t="str">
        <f ca="1">IF(IFERROR(INDEX((COPIA!$DA$3:$DE$1339),MATCH(ROWS(B$10:B23),COPIA!$DF$3:$DF$1339,0),COLUMN()-1),"")&gt;=1,IFERROR(INDEX((COPIA!$DA$3:$DE$1339),MATCH(ROWS(B$10:B23),COPIA!$DF$3:$DF$1339,0),COLUMN()-1),""),"")</f>
        <v/>
      </c>
      <c r="C23" s="5" t="str">
        <f ca="1">SUBSTITUTE(IFERROR(INDEX((COPIA!$DA$3:$DE$1339),MATCH(ROWS(C$10:C23),COPIA!$DF$3:$DF$1339,0),COLUMN()-1),""),"MASTRO","")</f>
        <v/>
      </c>
      <c r="D23" s="136" t="str">
        <f ca="1">IF(IFERROR(INDEX((COPIA!$DA$3:$DE$1339),MATCH(ROWS(D$10:D23),COPIA!$DF$3:$DF$1339,0),COLUMN()-1),"")=0,"",IFERROR(INDEX((COPIA!$DA$3:$DE$1339),MATCH(ROWS(D$10:D23),COPIA!$DF$3:$DF$1339,0),COLUMN()-1),""))</f>
        <v/>
      </c>
      <c r="E23" s="9" t="str">
        <f ca="1">IF(IFERROR(INDEX((COPIA!$DA$3:$DE$1339),MATCH(ROWS(E$10:E23),COPIA!$DF$3:$DF$1339,0),COLUMN()-1),"")=0,"",IFERROR(INDEX((COPIA!$DA$3:$DE$1339),MATCH(ROWS(E$10:E23),COPIA!$DF$3:$DF$1339,0),COLUMN()-1),""))</f>
        <v/>
      </c>
      <c r="F23" s="6" t="str">
        <f ca="1">IF(IFERROR(INDEX((COPIA!$DA$3:$DE$1339),MATCH(ROWS(F$10:F23),COPIA!$DF$3:$DF$1339,0),COLUMN()-1),"")=0,"",IFERROR(INDEX((COPIA!$DA$3:$DE$1339),MATCH(ROWS(F$10:F23),COPIA!$DF$3:$DF$1339,0),COLUMN()-1),""))</f>
        <v/>
      </c>
      <c r="G23" s="12"/>
    </row>
    <row r="24" spans="1:7" x14ac:dyDescent="0.3">
      <c r="A24" s="60" t="str">
        <f ca="1">COPIA!AC17</f>
        <v>FONDO AMMORTAMENTO AVVIAMENTO</v>
      </c>
      <c r="B24" s="10" t="str">
        <f ca="1">IF(IFERROR(INDEX((COPIA!$DA$3:$DE$1339),MATCH(ROWS(B$10:B24),COPIA!$DF$3:$DF$1339,0),COLUMN()-1),"")&gt;=1,IFERROR(INDEX((COPIA!$DA$3:$DE$1339),MATCH(ROWS(B$10:B24),COPIA!$DF$3:$DF$1339,0),COLUMN()-1),""),"")</f>
        <v/>
      </c>
      <c r="C24" s="5" t="str">
        <f ca="1">SUBSTITUTE(IFERROR(INDEX((COPIA!$DA$3:$DE$1339),MATCH(ROWS(C$10:C24),COPIA!$DF$3:$DF$1339,0),COLUMN()-1),""),"MASTRO","")</f>
        <v/>
      </c>
      <c r="D24" s="136" t="str">
        <f ca="1">IF(IFERROR(INDEX((COPIA!$DA$3:$DE$1339),MATCH(ROWS(D$10:D24),COPIA!$DF$3:$DF$1339,0),COLUMN()-1),"")=0,"",IFERROR(INDEX((COPIA!$DA$3:$DE$1339),MATCH(ROWS(D$10:D24),COPIA!$DF$3:$DF$1339,0),COLUMN()-1),""))</f>
        <v/>
      </c>
      <c r="E24" s="9" t="str">
        <f ca="1">IF(IFERROR(INDEX((COPIA!$DA$3:$DE$1339),MATCH(ROWS(E$10:E24),COPIA!$DF$3:$DF$1339,0),COLUMN()-1),"")=0,"",IFERROR(INDEX((COPIA!$DA$3:$DE$1339),MATCH(ROWS(E$10:E24),COPIA!$DF$3:$DF$1339,0),COLUMN()-1),""))</f>
        <v/>
      </c>
      <c r="F24" s="6" t="str">
        <f ca="1">IF(IFERROR(INDEX((COPIA!$DA$3:$DE$1339),MATCH(ROWS(F$10:F24),COPIA!$DF$3:$DF$1339,0),COLUMN()-1),"")=0,"",IFERROR(INDEX((COPIA!$DA$3:$DE$1339),MATCH(ROWS(F$10:F24),COPIA!$DF$3:$DF$1339,0),COLUMN()-1),""))</f>
        <v/>
      </c>
      <c r="G24" s="12"/>
    </row>
    <row r="25" spans="1:7" x14ac:dyDescent="0.3">
      <c r="A25" s="60" t="str">
        <f ca="1">COPIA!AC18</f>
        <v>IMMOBILIZZAZIONI IMMATERIALI IN CORSO</v>
      </c>
      <c r="B25" s="10" t="str">
        <f ca="1">IF(IFERROR(INDEX((COPIA!$DA$3:$DE$1339),MATCH(ROWS(B$10:B25),COPIA!$DF$3:$DF$1339,0),COLUMN()-1),"")&gt;=1,IFERROR(INDEX((COPIA!$DA$3:$DE$1339),MATCH(ROWS(B$10:B25),COPIA!$DF$3:$DF$1339,0),COLUMN()-1),""),"")</f>
        <v/>
      </c>
      <c r="C25" s="5" t="str">
        <f ca="1">SUBSTITUTE(IFERROR(INDEX((COPIA!$DA$3:$DE$1339),MATCH(ROWS(C$10:C25),COPIA!$DF$3:$DF$1339,0),COLUMN()-1),""),"MASTRO","")</f>
        <v/>
      </c>
      <c r="D25" s="136" t="str">
        <f ca="1">IF(IFERROR(INDEX((COPIA!$DA$3:$DE$1339),MATCH(ROWS(D$10:D25),COPIA!$DF$3:$DF$1339,0),COLUMN()-1),"")=0,"",IFERROR(INDEX((COPIA!$DA$3:$DE$1339),MATCH(ROWS(D$10:D25),COPIA!$DF$3:$DF$1339,0),COLUMN()-1),""))</f>
        <v/>
      </c>
      <c r="E25" s="9" t="str">
        <f ca="1">IF(IFERROR(INDEX((COPIA!$DA$3:$DE$1339),MATCH(ROWS(E$10:E25),COPIA!$DF$3:$DF$1339,0),COLUMN()-1),"")=0,"",IFERROR(INDEX((COPIA!$DA$3:$DE$1339),MATCH(ROWS(E$10:E25),COPIA!$DF$3:$DF$1339,0),COLUMN()-1),""))</f>
        <v/>
      </c>
      <c r="F25" s="6" t="str">
        <f ca="1">IF(IFERROR(INDEX((COPIA!$DA$3:$DE$1339),MATCH(ROWS(F$10:F25),COPIA!$DF$3:$DF$1339,0),COLUMN()-1),"")=0,"",IFERROR(INDEX((COPIA!$DA$3:$DE$1339),MATCH(ROWS(F$10:F25),COPIA!$DF$3:$DF$1339,0),COLUMN()-1),""))</f>
        <v/>
      </c>
      <c r="G25" s="12"/>
    </row>
    <row r="26" spans="1:7" x14ac:dyDescent="0.3">
      <c r="A26" s="60" t="str">
        <f ca="1">COPIA!AC19</f>
        <v>FORNITORI IMMOBILIZZAZIONI IMMATERIALI C/ACCONTI</v>
      </c>
      <c r="B26" s="10" t="str">
        <f ca="1">IF(IFERROR(INDEX((COPIA!$DA$3:$DE$1339),MATCH(ROWS(B$10:B26),COPIA!$DF$3:$DF$1339,0),COLUMN()-1),"")&gt;=1,IFERROR(INDEX((COPIA!$DA$3:$DE$1339),MATCH(ROWS(B$10:B26),COPIA!$DF$3:$DF$1339,0),COLUMN()-1),""),"")</f>
        <v/>
      </c>
      <c r="C26" s="5" t="str">
        <f ca="1">SUBSTITUTE(IFERROR(INDEX((COPIA!$DA$3:$DE$1339),MATCH(ROWS(C$10:C26),COPIA!$DF$3:$DF$1339,0),COLUMN()-1),""),"MASTRO","")</f>
        <v/>
      </c>
      <c r="D26" s="136" t="str">
        <f ca="1">IF(IFERROR(INDEX((COPIA!$DA$3:$DE$1339),MATCH(ROWS(D$10:D26),COPIA!$DF$3:$DF$1339,0),COLUMN()-1),"")=0,"",IFERROR(INDEX((COPIA!$DA$3:$DE$1339),MATCH(ROWS(D$10:D26),COPIA!$DF$3:$DF$1339,0),COLUMN()-1),""))</f>
        <v/>
      </c>
      <c r="E26" s="9" t="str">
        <f ca="1">IF(IFERROR(INDEX((COPIA!$DA$3:$DE$1339),MATCH(ROWS(E$10:E26),COPIA!$DF$3:$DF$1339,0),COLUMN()-1),"")=0,"",IFERROR(INDEX((COPIA!$DA$3:$DE$1339),MATCH(ROWS(E$10:E26),COPIA!$DF$3:$DF$1339,0),COLUMN()-1),""))</f>
        <v/>
      </c>
      <c r="F26" s="6" t="str">
        <f ca="1">IF(IFERROR(INDEX((COPIA!$DA$3:$DE$1339),MATCH(ROWS(F$10:F26),COPIA!$DF$3:$DF$1339,0),COLUMN()-1),"")=0,"",IFERROR(INDEX((COPIA!$DA$3:$DE$1339),MATCH(ROWS(F$10:F26),COPIA!$DF$3:$DF$1339,0),COLUMN()-1),""))</f>
        <v/>
      </c>
      <c r="G26" s="12"/>
    </row>
    <row r="27" spans="1:7" x14ac:dyDescent="0.3">
      <c r="A27" s="60" t="str">
        <f ca="1">COPIA!AC20</f>
        <v>TERRENI E FABBRICATI</v>
      </c>
      <c r="B27" s="10" t="str">
        <f ca="1">IF(IFERROR(INDEX((COPIA!$DA$3:$DE$1339),MATCH(ROWS(B$10:B27),COPIA!$DF$3:$DF$1339,0),COLUMN()-1),"")&gt;=1,IFERROR(INDEX((COPIA!$DA$3:$DE$1339),MATCH(ROWS(B$10:B27),COPIA!$DF$3:$DF$1339,0),COLUMN()-1),""),"")</f>
        <v/>
      </c>
      <c r="C27" s="5" t="str">
        <f ca="1">SUBSTITUTE(IFERROR(INDEX((COPIA!$DA$3:$DE$1339),MATCH(ROWS(C$10:C27),COPIA!$DF$3:$DF$1339,0),COLUMN()-1),""),"MASTRO","")</f>
        <v/>
      </c>
      <c r="D27" s="136" t="str">
        <f ca="1">IF(IFERROR(INDEX((COPIA!$DA$3:$DE$1339),MATCH(ROWS(D$10:D27),COPIA!$DF$3:$DF$1339,0),COLUMN()-1),"")=0,"",IFERROR(INDEX((COPIA!$DA$3:$DE$1339),MATCH(ROWS(D$10:D27),COPIA!$DF$3:$DF$1339,0),COLUMN()-1),""))</f>
        <v/>
      </c>
      <c r="E27" s="9" t="str">
        <f ca="1">IF(IFERROR(INDEX((COPIA!$DA$3:$DE$1339),MATCH(ROWS(E$10:E27),COPIA!$DF$3:$DF$1339,0),COLUMN()-1),"")=0,"",IFERROR(INDEX((COPIA!$DA$3:$DE$1339),MATCH(ROWS(E$10:E27),COPIA!$DF$3:$DF$1339,0),COLUMN()-1),""))</f>
        <v/>
      </c>
      <c r="F27" s="6" t="str">
        <f ca="1">IF(IFERROR(INDEX((COPIA!$DA$3:$DE$1339),MATCH(ROWS(F$10:F27),COPIA!$DF$3:$DF$1339,0),COLUMN()-1),"")=0,"",IFERROR(INDEX((COPIA!$DA$3:$DE$1339),MATCH(ROWS(F$10:F27),COPIA!$DF$3:$DF$1339,0),COLUMN()-1),""))</f>
        <v/>
      </c>
      <c r="G27" s="12"/>
    </row>
    <row r="28" spans="1:7" x14ac:dyDescent="0.3">
      <c r="A28" s="60" t="str">
        <f ca="1">COPIA!AC21</f>
        <v>IMPIANTI E MACCHINARI</v>
      </c>
      <c r="B28" s="10" t="str">
        <f ca="1">IF(IFERROR(INDEX((COPIA!$DA$3:$DE$1339),MATCH(ROWS(B$10:B28),COPIA!$DF$3:$DF$1339,0),COLUMN()-1),"")&gt;=1,IFERROR(INDEX((COPIA!$DA$3:$DE$1339),MATCH(ROWS(B$10:B28),COPIA!$DF$3:$DF$1339,0),COLUMN()-1),""),"")</f>
        <v/>
      </c>
      <c r="C28" s="5" t="str">
        <f ca="1">SUBSTITUTE(IFERROR(INDEX((COPIA!$DA$3:$DE$1339),MATCH(ROWS(C$10:C28),COPIA!$DF$3:$DF$1339,0),COLUMN()-1),""),"MASTRO","")</f>
        <v/>
      </c>
      <c r="D28" s="136" t="str">
        <f ca="1">IF(IFERROR(INDEX((COPIA!$DA$3:$DE$1339),MATCH(ROWS(D$10:D28),COPIA!$DF$3:$DF$1339,0),COLUMN()-1),"")=0,"",IFERROR(INDEX((COPIA!$DA$3:$DE$1339),MATCH(ROWS(D$10:D28),COPIA!$DF$3:$DF$1339,0),COLUMN()-1),""))</f>
        <v/>
      </c>
      <c r="E28" s="9" t="str">
        <f ca="1">IF(IFERROR(INDEX((COPIA!$DA$3:$DE$1339),MATCH(ROWS(E$10:E28),COPIA!$DF$3:$DF$1339,0),COLUMN()-1),"")=0,"",IFERROR(INDEX((COPIA!$DA$3:$DE$1339),MATCH(ROWS(E$10:E28),COPIA!$DF$3:$DF$1339,0),COLUMN()-1),""))</f>
        <v/>
      </c>
      <c r="F28" s="6" t="str">
        <f ca="1">IF(IFERROR(INDEX((COPIA!$DA$3:$DE$1339),MATCH(ROWS(F$10:F28),COPIA!$DF$3:$DF$1339,0),COLUMN()-1),"")=0,"",IFERROR(INDEX((COPIA!$DA$3:$DE$1339),MATCH(ROWS(F$10:F28),COPIA!$DF$3:$DF$1339,0),COLUMN()-1),""))</f>
        <v/>
      </c>
      <c r="G28" s="12"/>
    </row>
    <row r="29" spans="1:7" x14ac:dyDescent="0.3">
      <c r="A29" s="60" t="str">
        <f ca="1">COPIA!AC22</f>
        <v>ATTREZZATURE INDUSTRIALI</v>
      </c>
      <c r="B29" s="10" t="str">
        <f ca="1">IF(IFERROR(INDEX((COPIA!$DA$3:$DE$1339),MATCH(ROWS(B$10:B29),COPIA!$DF$3:$DF$1339,0),COLUMN()-1),"")&gt;=1,IFERROR(INDEX((COPIA!$DA$3:$DE$1339),MATCH(ROWS(B$10:B29),COPIA!$DF$3:$DF$1339,0),COLUMN()-1),""),"")</f>
        <v/>
      </c>
      <c r="C29" s="5" t="str">
        <f ca="1">SUBSTITUTE(IFERROR(INDEX((COPIA!$DA$3:$DE$1339),MATCH(ROWS(C$10:C29),COPIA!$DF$3:$DF$1339,0),COLUMN()-1),""),"MASTRO","")</f>
        <v/>
      </c>
      <c r="D29" s="136" t="str">
        <f ca="1">IF(IFERROR(INDEX((COPIA!$DA$3:$DE$1339),MATCH(ROWS(D$10:D29),COPIA!$DF$3:$DF$1339,0),COLUMN()-1),"")=0,"",IFERROR(INDEX((COPIA!$DA$3:$DE$1339),MATCH(ROWS(D$10:D29),COPIA!$DF$3:$DF$1339,0),COLUMN()-1),""))</f>
        <v/>
      </c>
      <c r="E29" s="9" t="str">
        <f ca="1">IF(IFERROR(INDEX((COPIA!$DA$3:$DE$1339),MATCH(ROWS(E$10:E29),COPIA!$DF$3:$DF$1339,0),COLUMN()-1),"")=0,"",IFERROR(INDEX((COPIA!$DA$3:$DE$1339),MATCH(ROWS(E$10:E29),COPIA!$DF$3:$DF$1339,0),COLUMN()-1),""))</f>
        <v/>
      </c>
      <c r="F29" s="6" t="str">
        <f ca="1">IF(IFERROR(INDEX((COPIA!$DA$3:$DE$1339),MATCH(ROWS(F$10:F29),COPIA!$DF$3:$DF$1339,0),COLUMN()-1),"")=0,"",IFERROR(INDEX((COPIA!$DA$3:$DE$1339),MATCH(ROWS(F$10:F29),COPIA!$DF$3:$DF$1339,0),COLUMN()-1),""))</f>
        <v/>
      </c>
      <c r="G29" s="12"/>
    </row>
    <row r="30" spans="1:7" x14ac:dyDescent="0.3">
      <c r="A30" s="60" t="str">
        <f ca="1">COPIA!AC23</f>
        <v>ATTREZZATURE COMMERCIALI</v>
      </c>
      <c r="B30" s="10" t="str">
        <f ca="1">IF(IFERROR(INDEX((COPIA!$DA$3:$DE$1339),MATCH(ROWS(B$10:B30),COPIA!$DF$3:$DF$1339,0),COLUMN()-1),"")&gt;=1,IFERROR(INDEX((COPIA!$DA$3:$DE$1339),MATCH(ROWS(B$10:B30),COPIA!$DF$3:$DF$1339,0),COLUMN()-1),""),"")</f>
        <v/>
      </c>
      <c r="C30" s="5" t="str">
        <f ca="1">SUBSTITUTE(IFERROR(INDEX((COPIA!$DA$3:$DE$1339),MATCH(ROWS(C$10:C30),COPIA!$DF$3:$DF$1339,0),COLUMN()-1),""),"MASTRO","")</f>
        <v/>
      </c>
      <c r="D30" s="136" t="str">
        <f ca="1">IF(IFERROR(INDEX((COPIA!$DA$3:$DE$1339),MATCH(ROWS(D$10:D30),COPIA!$DF$3:$DF$1339,0),COLUMN()-1),"")=0,"",IFERROR(INDEX((COPIA!$DA$3:$DE$1339),MATCH(ROWS(D$10:D30),COPIA!$DF$3:$DF$1339,0),COLUMN()-1),""))</f>
        <v/>
      </c>
      <c r="E30" s="9" t="str">
        <f ca="1">IF(IFERROR(INDEX((COPIA!$DA$3:$DE$1339),MATCH(ROWS(E$10:E30),COPIA!$DF$3:$DF$1339,0),COLUMN()-1),"")=0,"",IFERROR(INDEX((COPIA!$DA$3:$DE$1339),MATCH(ROWS(E$10:E30),COPIA!$DF$3:$DF$1339,0),COLUMN()-1),""))</f>
        <v/>
      </c>
      <c r="F30" s="6" t="str">
        <f ca="1">IF(IFERROR(INDEX((COPIA!$DA$3:$DE$1339),MATCH(ROWS(F$10:F30),COPIA!$DF$3:$DF$1339,0),COLUMN()-1),"")=0,"",IFERROR(INDEX((COPIA!$DA$3:$DE$1339),MATCH(ROWS(F$10:F30),COPIA!$DF$3:$DF$1339,0),COLUMN()-1),""))</f>
        <v/>
      </c>
      <c r="G30" s="12"/>
    </row>
    <row r="31" spans="1:7" x14ac:dyDescent="0.3">
      <c r="A31" s="60" t="str">
        <f ca="1">COPIA!AC24</f>
        <v>MACCHINE D'UFFICIO</v>
      </c>
      <c r="B31" s="10" t="str">
        <f ca="1">IF(IFERROR(INDEX((COPIA!$DA$3:$DE$1339),MATCH(ROWS(B$10:B31),COPIA!$DF$3:$DF$1339,0),COLUMN()-1),"")&gt;=1,IFERROR(INDEX((COPIA!$DA$3:$DE$1339),MATCH(ROWS(B$10:B31),COPIA!$DF$3:$DF$1339,0),COLUMN()-1),""),"")</f>
        <v/>
      </c>
      <c r="C31" s="5" t="str">
        <f ca="1">SUBSTITUTE(IFERROR(INDEX((COPIA!$DA$3:$DE$1339),MATCH(ROWS(C$10:C31),COPIA!$DF$3:$DF$1339,0),COLUMN()-1),""),"MASTRO","")</f>
        <v/>
      </c>
      <c r="D31" s="136" t="str">
        <f ca="1">IF(IFERROR(INDEX((COPIA!$DA$3:$DE$1339),MATCH(ROWS(D$10:D31),COPIA!$DF$3:$DF$1339,0),COLUMN()-1),"")=0,"",IFERROR(INDEX((COPIA!$DA$3:$DE$1339),MATCH(ROWS(D$10:D31),COPIA!$DF$3:$DF$1339,0),COLUMN()-1),""))</f>
        <v/>
      </c>
      <c r="E31" s="9" t="str">
        <f ca="1">IF(IFERROR(INDEX((COPIA!$DA$3:$DE$1339),MATCH(ROWS(E$10:E31),COPIA!$DF$3:$DF$1339,0),COLUMN()-1),"")=0,"",IFERROR(INDEX((COPIA!$DA$3:$DE$1339),MATCH(ROWS(E$10:E31),COPIA!$DF$3:$DF$1339,0),COLUMN()-1),""))</f>
        <v/>
      </c>
      <c r="F31" s="6" t="str">
        <f ca="1">IF(IFERROR(INDEX((COPIA!$DA$3:$DE$1339),MATCH(ROWS(F$10:F31),COPIA!$DF$3:$DF$1339,0),COLUMN()-1),"")=0,"",IFERROR(INDEX((COPIA!$DA$3:$DE$1339),MATCH(ROWS(F$10:F31),COPIA!$DF$3:$DF$1339,0),COLUMN()-1),""))</f>
        <v/>
      </c>
      <c r="G31" s="12"/>
    </row>
    <row r="32" spans="1:7" x14ac:dyDescent="0.3">
      <c r="A32" s="60" t="str">
        <f ca="1">COPIA!AC25</f>
        <v>ARREDAMENTO</v>
      </c>
      <c r="B32" s="10" t="str">
        <f ca="1">IF(IFERROR(INDEX((COPIA!$DA$3:$DE$1339),MATCH(ROWS(B$10:B32),COPIA!$DF$3:$DF$1339,0),COLUMN()-1),"")&gt;=1,IFERROR(INDEX((COPIA!$DA$3:$DE$1339),MATCH(ROWS(B$10:B32),COPIA!$DF$3:$DF$1339,0),COLUMN()-1),""),"")</f>
        <v/>
      </c>
      <c r="C32" s="5" t="str">
        <f ca="1">SUBSTITUTE(IFERROR(INDEX((COPIA!$DA$3:$DE$1339),MATCH(ROWS(C$10:C32),COPIA!$DF$3:$DF$1339,0),COLUMN()-1),""),"MASTRO","")</f>
        <v/>
      </c>
      <c r="D32" s="136" t="str">
        <f ca="1">IF(IFERROR(INDEX((COPIA!$DA$3:$DE$1339),MATCH(ROWS(D$10:D32),COPIA!$DF$3:$DF$1339,0),COLUMN()-1),"")=0,"",IFERROR(INDEX((COPIA!$DA$3:$DE$1339),MATCH(ROWS(D$10:D32),COPIA!$DF$3:$DF$1339,0),COLUMN()-1),""))</f>
        <v/>
      </c>
      <c r="E32" s="9" t="str">
        <f ca="1">IF(IFERROR(INDEX((COPIA!$DA$3:$DE$1339),MATCH(ROWS(E$10:E32),COPIA!$DF$3:$DF$1339,0),COLUMN()-1),"")=0,"",IFERROR(INDEX((COPIA!$DA$3:$DE$1339),MATCH(ROWS(E$10:E32),COPIA!$DF$3:$DF$1339,0),COLUMN()-1),""))</f>
        <v/>
      </c>
      <c r="F32" s="6" t="str">
        <f ca="1">IF(IFERROR(INDEX((COPIA!$DA$3:$DE$1339),MATCH(ROWS(F$10:F32),COPIA!$DF$3:$DF$1339,0),COLUMN()-1),"")=0,"",IFERROR(INDEX((COPIA!$DA$3:$DE$1339),MATCH(ROWS(F$10:F32),COPIA!$DF$3:$DF$1339,0),COLUMN()-1),""))</f>
        <v/>
      </c>
      <c r="G32" s="12"/>
    </row>
    <row r="33" spans="1:9" x14ac:dyDescent="0.3">
      <c r="A33" s="60" t="str">
        <f ca="1">COPIA!AC26</f>
        <v>AUTOMEZZI</v>
      </c>
      <c r="B33" s="10" t="str">
        <f ca="1">IF(IFERROR(INDEX((COPIA!$DA$3:$DE$1339),MATCH(ROWS(B$10:B33),COPIA!$DF$3:$DF$1339,0),COLUMN()-1),"")&gt;=1,IFERROR(INDEX((COPIA!$DA$3:$DE$1339),MATCH(ROWS(B$10:B33),COPIA!$DF$3:$DF$1339,0),COLUMN()-1),""),"")</f>
        <v/>
      </c>
      <c r="C33" s="5" t="str">
        <f ca="1">SUBSTITUTE(IFERROR(INDEX((COPIA!$DA$3:$DE$1339),MATCH(ROWS(C$10:C33),COPIA!$DF$3:$DF$1339,0),COLUMN()-1),""),"MASTRO","")</f>
        <v/>
      </c>
      <c r="D33" s="136" t="str">
        <f ca="1">IF(IFERROR(INDEX((COPIA!$DA$3:$DE$1339),MATCH(ROWS(D$10:D33),COPIA!$DF$3:$DF$1339,0),COLUMN()-1),"")=0,"",IFERROR(INDEX((COPIA!$DA$3:$DE$1339),MATCH(ROWS(D$10:D33),COPIA!$DF$3:$DF$1339,0),COLUMN()-1),""))</f>
        <v/>
      </c>
      <c r="E33" s="9" t="str">
        <f ca="1">IF(IFERROR(INDEX((COPIA!$DA$3:$DE$1339),MATCH(ROWS(E$10:E33),COPIA!$DF$3:$DF$1339,0),COLUMN()-1),"")=0,"",IFERROR(INDEX((COPIA!$DA$3:$DE$1339),MATCH(ROWS(E$10:E33),COPIA!$DF$3:$DF$1339,0),COLUMN()-1),""))</f>
        <v/>
      </c>
      <c r="F33" s="6" t="str">
        <f ca="1">IF(IFERROR(INDEX((COPIA!$DA$3:$DE$1339),MATCH(ROWS(F$10:F33),COPIA!$DF$3:$DF$1339,0),COLUMN()-1),"")=0,"",IFERROR(INDEX((COPIA!$DA$3:$DE$1339),MATCH(ROWS(F$10:F33),COPIA!$DF$3:$DF$1339,0),COLUMN()-1),""))</f>
        <v/>
      </c>
      <c r="G33" s="12"/>
    </row>
    <row r="34" spans="1:9" x14ac:dyDescent="0.3">
      <c r="A34" s="60" t="str">
        <f ca="1">COPIA!AC27</f>
        <v>IMBALLAGGI DUREVOLI</v>
      </c>
      <c r="B34" s="10" t="str">
        <f ca="1">IF(IFERROR(INDEX((COPIA!$DA$3:$DE$1339),MATCH(ROWS(B$10:B34),COPIA!$DF$3:$DF$1339,0),COLUMN()-1),"")&gt;=1,IFERROR(INDEX((COPIA!$DA$3:$DE$1339),MATCH(ROWS(B$10:B34),COPIA!$DF$3:$DF$1339,0),COLUMN()-1),""),"")</f>
        <v/>
      </c>
      <c r="C34" s="5" t="str">
        <f ca="1">SUBSTITUTE(IFERROR(INDEX((COPIA!$DA$3:$DE$1339),MATCH(ROWS(C$10:C34),COPIA!$DF$3:$DF$1339,0),COLUMN()-1),""),"MASTRO","")</f>
        <v/>
      </c>
      <c r="D34" s="136" t="str">
        <f ca="1">IF(IFERROR(INDEX((COPIA!$DA$3:$DE$1339),MATCH(ROWS(D$10:D34),COPIA!$DF$3:$DF$1339,0),COLUMN()-1),"")=0,"",IFERROR(INDEX((COPIA!$DA$3:$DE$1339),MATCH(ROWS(D$10:D34),COPIA!$DF$3:$DF$1339,0),COLUMN()-1),""))</f>
        <v/>
      </c>
      <c r="E34" s="9" t="str">
        <f ca="1">IF(IFERROR(INDEX((COPIA!$DA$3:$DE$1339),MATCH(ROWS(E$10:E34),COPIA!$DF$3:$DF$1339,0),COLUMN()-1),"")=0,"",IFERROR(INDEX((COPIA!$DA$3:$DE$1339),MATCH(ROWS(E$10:E34),COPIA!$DF$3:$DF$1339,0),COLUMN()-1),""))</f>
        <v/>
      </c>
      <c r="F34" s="6" t="str">
        <f ca="1">IF(IFERROR(INDEX((COPIA!$DA$3:$DE$1339),MATCH(ROWS(F$10:F34),COPIA!$DF$3:$DF$1339,0),COLUMN()-1),"")=0,"",IFERROR(INDEX((COPIA!$DA$3:$DE$1339),MATCH(ROWS(F$10:F34),COPIA!$DF$3:$DF$1339,0),COLUMN()-1),""))</f>
        <v/>
      </c>
      <c r="G34" s="13"/>
    </row>
    <row r="35" spans="1:9" x14ac:dyDescent="0.3">
      <c r="A35" s="60" t="str">
        <f ca="1">COPIA!AC28</f>
        <v>FONDO AMMORTAMENTO FABBRICATI</v>
      </c>
      <c r="B35" s="10" t="str">
        <f ca="1">IF(IFERROR(INDEX((COPIA!$DA$3:$DE$1339),MATCH(ROWS(B$10:B35),COPIA!$DF$3:$DF$1339,0),COLUMN()-1),"")&gt;=1,IFERROR(INDEX((COPIA!$DA$3:$DE$1339),MATCH(ROWS(B$10:B35),COPIA!$DF$3:$DF$1339,0),COLUMN()-1),""),"")</f>
        <v/>
      </c>
      <c r="C35" s="5" t="str">
        <f ca="1">SUBSTITUTE(IFERROR(INDEX((COPIA!$DA$3:$DE$1339),MATCH(ROWS(C$10:C35),COPIA!$DF$3:$DF$1339,0),COLUMN()-1),""),"MASTRO","")</f>
        <v/>
      </c>
      <c r="D35" s="136" t="str">
        <f ca="1">IF(IFERROR(INDEX((COPIA!$DA$3:$DE$1339),MATCH(ROWS(D$10:D35),COPIA!$DF$3:$DF$1339,0),COLUMN()-1),"")=0,"",IFERROR(INDEX((COPIA!$DA$3:$DE$1339),MATCH(ROWS(D$10:D35),COPIA!$DF$3:$DF$1339,0),COLUMN()-1),""))</f>
        <v/>
      </c>
      <c r="E35" s="9" t="str">
        <f ca="1">IF(IFERROR(INDEX((COPIA!$DA$3:$DE$1339),MATCH(ROWS(E$10:E35),COPIA!$DF$3:$DF$1339,0),COLUMN()-1),"")=0,"",IFERROR(INDEX((COPIA!$DA$3:$DE$1339),MATCH(ROWS(E$10:E35),COPIA!$DF$3:$DF$1339,0),COLUMN()-1),""))</f>
        <v/>
      </c>
      <c r="F35" s="6" t="str">
        <f ca="1">IF(IFERROR(INDEX((COPIA!$DA$3:$DE$1339),MATCH(ROWS(F$10:F35),COPIA!$DF$3:$DF$1339,0),COLUMN()-1),"")=0,"",IFERROR(INDEX((COPIA!$DA$3:$DE$1339),MATCH(ROWS(F$10:F35),COPIA!$DF$3:$DF$1339,0),COLUMN()-1),""))</f>
        <v/>
      </c>
      <c r="G35" s="12"/>
    </row>
    <row r="36" spans="1:9" x14ac:dyDescent="0.3">
      <c r="A36" s="60" t="str">
        <f ca="1">COPIA!AC29</f>
        <v>FONDO AMMORTAMENTO IMPIANTI E MACCHINARI</v>
      </c>
      <c r="B36" s="10" t="str">
        <f ca="1">IF(IFERROR(INDEX((COPIA!$DA$3:$DE$1339),MATCH(ROWS(B$10:B36),COPIA!$DF$3:$DF$1339,0),COLUMN()-1),"")&gt;=1,IFERROR(INDEX((COPIA!$DA$3:$DE$1339),MATCH(ROWS(B$10:B36),COPIA!$DF$3:$DF$1339,0),COLUMN()-1),""),"")</f>
        <v/>
      </c>
      <c r="C36" s="5" t="str">
        <f ca="1">SUBSTITUTE(IFERROR(INDEX((COPIA!$DA$3:$DE$1339),MATCH(ROWS(C$10:C36),COPIA!$DF$3:$DF$1339,0),COLUMN()-1),""),"MASTRO","")</f>
        <v/>
      </c>
      <c r="D36" s="136" t="str">
        <f ca="1">IF(IFERROR(INDEX((COPIA!$DA$3:$DE$1339),MATCH(ROWS(D$10:D36),COPIA!$DF$3:$DF$1339,0),COLUMN()-1),"")=0,"",IFERROR(INDEX((COPIA!$DA$3:$DE$1339),MATCH(ROWS(D$10:D36),COPIA!$DF$3:$DF$1339,0),COLUMN()-1),""))</f>
        <v/>
      </c>
      <c r="E36" s="9" t="str">
        <f ca="1">IF(IFERROR(INDEX((COPIA!$DA$3:$DE$1339),MATCH(ROWS(E$10:E36),COPIA!$DF$3:$DF$1339,0),COLUMN()-1),"")=0,"",IFERROR(INDEX((COPIA!$DA$3:$DE$1339),MATCH(ROWS(E$10:E36),COPIA!$DF$3:$DF$1339,0),COLUMN()-1),""))</f>
        <v/>
      </c>
      <c r="F36" s="6" t="str">
        <f ca="1">IF(IFERROR(INDEX((COPIA!$DA$3:$DE$1339),MATCH(ROWS(F$10:F36),COPIA!$DF$3:$DF$1339,0),COLUMN()-1),"")=0,"",IFERROR(INDEX((COPIA!$DA$3:$DE$1339),MATCH(ROWS(F$10:F36),COPIA!$DF$3:$DF$1339,0),COLUMN()-1),""))</f>
        <v/>
      </c>
      <c r="G36" s="12"/>
    </row>
    <row r="37" spans="1:9" x14ac:dyDescent="0.3">
      <c r="A37" s="60" t="str">
        <f ca="1">COPIA!AC30</f>
        <v>FONDO AMMORTAMENTO ATTREZZATURE INDUSTRIALI</v>
      </c>
      <c r="B37" s="10" t="str">
        <f ca="1">IF(IFERROR(INDEX((COPIA!$DA$3:$DE$1339),MATCH(ROWS(B$10:B37),COPIA!$DF$3:$DF$1339,0),COLUMN()-1),"")&gt;=1,IFERROR(INDEX((COPIA!$DA$3:$DE$1339),MATCH(ROWS(B$10:B37),COPIA!$DF$3:$DF$1339,0),COLUMN()-1),""),"")</f>
        <v/>
      </c>
      <c r="C37" s="5" t="str">
        <f ca="1">SUBSTITUTE(IFERROR(INDEX((COPIA!$DA$3:$DE$1339),MATCH(ROWS(C$10:C37),COPIA!$DF$3:$DF$1339,0),COLUMN()-1),""),"MASTRO","")</f>
        <v/>
      </c>
      <c r="D37" s="136" t="str">
        <f ca="1">IF(IFERROR(INDEX((COPIA!$DA$3:$DE$1339),MATCH(ROWS(D$10:D37),COPIA!$DF$3:$DF$1339,0),COLUMN()-1),"")=0,"",IFERROR(INDEX((COPIA!$DA$3:$DE$1339),MATCH(ROWS(D$10:D37),COPIA!$DF$3:$DF$1339,0),COLUMN()-1),""))</f>
        <v/>
      </c>
      <c r="E37" s="9" t="str">
        <f ca="1">IF(IFERROR(INDEX((COPIA!$DA$3:$DE$1339),MATCH(ROWS(E$10:E37),COPIA!$DF$3:$DF$1339,0),COLUMN()-1),"")=0,"",IFERROR(INDEX((COPIA!$DA$3:$DE$1339),MATCH(ROWS(E$10:E37),COPIA!$DF$3:$DF$1339,0),COLUMN()-1),""))</f>
        <v/>
      </c>
      <c r="F37" s="6" t="str">
        <f ca="1">IF(IFERROR(INDEX((COPIA!$DA$3:$DE$1339),MATCH(ROWS(F$10:F37),COPIA!$DF$3:$DF$1339,0),COLUMN()-1),"")=0,"",IFERROR(INDEX((COPIA!$DA$3:$DE$1339),MATCH(ROWS(F$10:F37),COPIA!$DF$3:$DF$1339,0),COLUMN()-1),""))</f>
        <v/>
      </c>
      <c r="G37" s="12"/>
    </row>
    <row r="38" spans="1:9" x14ac:dyDescent="0.3">
      <c r="A38" s="60" t="str">
        <f ca="1">COPIA!AC31</f>
        <v>FONDO AMMORTAMENTO ATTREZZATURE COMMERCIALI</v>
      </c>
      <c r="B38" s="10" t="str">
        <f ca="1">IF(IFERROR(INDEX((COPIA!$DA$3:$DE$1339),MATCH(ROWS(B$10:B38),COPIA!$DF$3:$DF$1339,0),COLUMN()-1),"")&gt;=1,IFERROR(INDEX((COPIA!$DA$3:$DE$1339),MATCH(ROWS(B$10:B38),COPIA!$DF$3:$DF$1339,0),COLUMN()-1),""),"")</f>
        <v/>
      </c>
      <c r="C38" s="5" t="str">
        <f ca="1">SUBSTITUTE(IFERROR(INDEX((COPIA!$DA$3:$DE$1339),MATCH(ROWS(C$10:C38),COPIA!$DF$3:$DF$1339,0),COLUMN()-1),""),"MASTRO","")</f>
        <v/>
      </c>
      <c r="D38" s="136" t="str">
        <f ca="1">IF(IFERROR(INDEX((COPIA!$DA$3:$DE$1339),MATCH(ROWS(D$10:D38),COPIA!$DF$3:$DF$1339,0),COLUMN()-1),"")=0,"",IFERROR(INDEX((COPIA!$DA$3:$DE$1339),MATCH(ROWS(D$10:D38),COPIA!$DF$3:$DF$1339,0),COLUMN()-1),""))</f>
        <v/>
      </c>
      <c r="E38" s="9" t="str">
        <f ca="1">IF(IFERROR(INDEX((COPIA!$DA$3:$DE$1339),MATCH(ROWS(E$10:E38),COPIA!$DF$3:$DF$1339,0),COLUMN()-1),"")=0,"",IFERROR(INDEX((COPIA!$DA$3:$DE$1339),MATCH(ROWS(E$10:E38),COPIA!$DF$3:$DF$1339,0),COLUMN()-1),""))</f>
        <v/>
      </c>
      <c r="F38" s="6" t="str">
        <f ca="1">IF(IFERROR(INDEX((COPIA!$DA$3:$DE$1339),MATCH(ROWS(F$10:F38),COPIA!$DF$3:$DF$1339,0),COLUMN()-1),"")=0,"",IFERROR(INDEX((COPIA!$DA$3:$DE$1339),MATCH(ROWS(F$10:F38),COPIA!$DF$3:$DF$1339,0),COLUMN()-1),""))</f>
        <v/>
      </c>
      <c r="G38" s="12"/>
      <c r="I38" s="58"/>
    </row>
    <row r="39" spans="1:9" x14ac:dyDescent="0.3">
      <c r="A39" s="60" t="str">
        <f ca="1">COPIA!AC32</f>
        <v>FONDO AMMORTAMENTO MACCHINE D'UFFICIO</v>
      </c>
      <c r="B39" s="10" t="str">
        <f ca="1">IF(IFERROR(INDEX((COPIA!$DA$3:$DE$1339),MATCH(ROWS(B$10:B39),COPIA!$DF$3:$DF$1339,0),COLUMN()-1),"")&gt;=1,IFERROR(INDEX((COPIA!$DA$3:$DE$1339),MATCH(ROWS(B$10:B39),COPIA!$DF$3:$DF$1339,0),COLUMN()-1),""),"")</f>
        <v/>
      </c>
      <c r="C39" s="5" t="str">
        <f ca="1">SUBSTITUTE(IFERROR(INDEX((COPIA!$DA$3:$DE$1339),MATCH(ROWS(C$10:C39),COPIA!$DF$3:$DF$1339,0),COLUMN()-1),""),"MASTRO","")</f>
        <v/>
      </c>
      <c r="D39" s="136" t="str">
        <f ca="1">IF(IFERROR(INDEX((COPIA!$DA$3:$DE$1339),MATCH(ROWS(D$10:D39),COPIA!$DF$3:$DF$1339,0),COLUMN()-1),"")=0,"",IFERROR(INDEX((COPIA!$DA$3:$DE$1339),MATCH(ROWS(D$10:D39),COPIA!$DF$3:$DF$1339,0),COLUMN()-1),""))</f>
        <v/>
      </c>
      <c r="E39" s="9" t="str">
        <f ca="1">IF(IFERROR(INDEX((COPIA!$DA$3:$DE$1339),MATCH(ROWS(E$10:E39),COPIA!$DF$3:$DF$1339,0),COLUMN()-1),"")=0,"",IFERROR(INDEX((COPIA!$DA$3:$DE$1339),MATCH(ROWS(E$10:E39),COPIA!$DF$3:$DF$1339,0),COLUMN()-1),""))</f>
        <v/>
      </c>
      <c r="F39" s="6" t="str">
        <f ca="1">IF(IFERROR(INDEX((COPIA!$DA$3:$DE$1339),MATCH(ROWS(F$10:F39),COPIA!$DF$3:$DF$1339,0),COLUMN()-1),"")=0,"",IFERROR(INDEX((COPIA!$DA$3:$DE$1339),MATCH(ROWS(F$10:F39),COPIA!$DF$3:$DF$1339,0),COLUMN()-1),""))</f>
        <v/>
      </c>
      <c r="G39" s="12"/>
    </row>
    <row r="40" spans="1:9" x14ac:dyDescent="0.3">
      <c r="A40" s="60" t="str">
        <f ca="1">COPIA!AC33</f>
        <v>FONDO AMMORTAMENTO ARREDAMENTO</v>
      </c>
      <c r="B40" s="10" t="str">
        <f ca="1">IF(IFERROR(INDEX((COPIA!$DA$3:$DE$1339),MATCH(ROWS(B$10:B40),COPIA!$DF$3:$DF$1339,0),COLUMN()-1),"")&gt;=1,IFERROR(INDEX((COPIA!$DA$3:$DE$1339),MATCH(ROWS(B$10:B40),COPIA!$DF$3:$DF$1339,0),COLUMN()-1),""),"")</f>
        <v/>
      </c>
      <c r="C40" s="5" t="str">
        <f ca="1">SUBSTITUTE(IFERROR(INDEX((COPIA!$DA$3:$DE$1339),MATCH(ROWS(C$10:C40),COPIA!$DF$3:$DF$1339,0),COLUMN()-1),""),"MASTRO","")</f>
        <v/>
      </c>
      <c r="D40" s="136" t="str">
        <f ca="1">IF(IFERROR(INDEX((COPIA!$DA$3:$DE$1339),MATCH(ROWS(D$10:D40),COPIA!$DF$3:$DF$1339,0),COLUMN()-1),"")=0,"",IFERROR(INDEX((COPIA!$DA$3:$DE$1339),MATCH(ROWS(D$10:D40),COPIA!$DF$3:$DF$1339,0),COLUMN()-1),""))</f>
        <v/>
      </c>
      <c r="E40" s="9" t="str">
        <f ca="1">IF(IFERROR(INDEX((COPIA!$DA$3:$DE$1339),MATCH(ROWS(E$10:E40),COPIA!$DF$3:$DF$1339,0),COLUMN()-1),"")=0,"",IFERROR(INDEX((COPIA!$DA$3:$DE$1339),MATCH(ROWS(E$10:E40),COPIA!$DF$3:$DF$1339,0),COLUMN()-1),""))</f>
        <v/>
      </c>
      <c r="F40" s="6" t="str">
        <f ca="1">IF(IFERROR(INDEX((COPIA!$DA$3:$DE$1339),MATCH(ROWS(F$10:F40),COPIA!$DF$3:$DF$1339,0),COLUMN()-1),"")=0,"",IFERROR(INDEX((COPIA!$DA$3:$DE$1339),MATCH(ROWS(F$10:F40),COPIA!$DF$3:$DF$1339,0),COLUMN()-1),""))</f>
        <v/>
      </c>
      <c r="G40" s="12"/>
    </row>
    <row r="41" spans="1:9" x14ac:dyDescent="0.3">
      <c r="A41" s="60" t="str">
        <f ca="1">COPIA!AC34</f>
        <v>FONDO AMMORTAMENTO AUTOMEZZI</v>
      </c>
      <c r="B41" s="10" t="str">
        <f ca="1">IF(IFERROR(INDEX((COPIA!$DA$3:$DE$1339),MATCH(ROWS(B$10:B41),COPIA!$DF$3:$DF$1339,0),COLUMN()-1),"")&gt;=1,IFERROR(INDEX((COPIA!$DA$3:$DE$1339),MATCH(ROWS(B$10:B41),COPIA!$DF$3:$DF$1339,0),COLUMN()-1),""),"")</f>
        <v/>
      </c>
      <c r="C41" s="5" t="str">
        <f ca="1">SUBSTITUTE(IFERROR(INDEX((COPIA!$DA$3:$DE$1339),MATCH(ROWS(C$10:C41),COPIA!$DF$3:$DF$1339,0),COLUMN()-1),""),"MASTRO","")</f>
        <v/>
      </c>
      <c r="D41" s="136" t="str">
        <f ca="1">IF(IFERROR(INDEX((COPIA!$DA$3:$DE$1339),MATCH(ROWS(D$10:D41),COPIA!$DF$3:$DF$1339,0),COLUMN()-1),"")=0,"",IFERROR(INDEX((COPIA!$DA$3:$DE$1339),MATCH(ROWS(D$10:D41),COPIA!$DF$3:$DF$1339,0),COLUMN()-1),""))</f>
        <v/>
      </c>
      <c r="E41" s="9" t="str">
        <f ca="1">IF(IFERROR(INDEX((COPIA!$DA$3:$DE$1339),MATCH(ROWS(E$10:E41),COPIA!$DF$3:$DF$1339,0),COLUMN()-1),"")=0,"",IFERROR(INDEX((COPIA!$DA$3:$DE$1339),MATCH(ROWS(E$10:E41),COPIA!$DF$3:$DF$1339,0),COLUMN()-1),""))</f>
        <v/>
      </c>
      <c r="F41" s="6" t="str">
        <f ca="1">IF(IFERROR(INDEX((COPIA!$DA$3:$DE$1339),MATCH(ROWS(F$10:F41),COPIA!$DF$3:$DF$1339,0),COLUMN()-1),"")=0,"",IFERROR(INDEX((COPIA!$DA$3:$DE$1339),MATCH(ROWS(F$10:F41),COPIA!$DF$3:$DF$1339,0),COLUMN()-1),""))</f>
        <v/>
      </c>
      <c r="G41" s="12"/>
    </row>
    <row r="42" spans="1:9" x14ac:dyDescent="0.3">
      <c r="A42" s="60" t="str">
        <f ca="1">COPIA!AC35</f>
        <v>FONDO AMMORTAMENTO IMBALLAGGI DUREVOLI</v>
      </c>
      <c r="B42" s="10" t="str">
        <f ca="1">IF(IFERROR(INDEX((COPIA!$DA$3:$DE$1339),MATCH(ROWS(B$10:B42),COPIA!$DF$3:$DF$1339,0),COLUMN()-1),"")&gt;=1,IFERROR(INDEX((COPIA!$DA$3:$DE$1339),MATCH(ROWS(B$10:B42),COPIA!$DF$3:$DF$1339,0),COLUMN()-1),""),"")</f>
        <v/>
      </c>
      <c r="C42" s="5" t="str">
        <f ca="1">SUBSTITUTE(IFERROR(INDEX((COPIA!$DA$3:$DE$1339),MATCH(ROWS(C$10:C42),COPIA!$DF$3:$DF$1339,0),COLUMN()-1),""),"MASTRO","")</f>
        <v/>
      </c>
      <c r="D42" s="136" t="str">
        <f ca="1">IF(IFERROR(INDEX((COPIA!$DA$3:$DE$1339),MATCH(ROWS(D$10:D42),COPIA!$DF$3:$DF$1339,0),COLUMN()-1),"")=0,"",IFERROR(INDEX((COPIA!$DA$3:$DE$1339),MATCH(ROWS(D$10:D42),COPIA!$DF$3:$DF$1339,0),COLUMN()-1),""))</f>
        <v/>
      </c>
      <c r="E42" s="9" t="str">
        <f ca="1">IF(IFERROR(INDEX((COPIA!$DA$3:$DE$1339),MATCH(ROWS(E$10:E42),COPIA!$DF$3:$DF$1339,0),COLUMN()-1),"")=0,"",IFERROR(INDEX((COPIA!$DA$3:$DE$1339),MATCH(ROWS(E$10:E42),COPIA!$DF$3:$DF$1339,0),COLUMN()-1),""))</f>
        <v/>
      </c>
      <c r="F42" s="6" t="str">
        <f ca="1">IF(IFERROR(INDEX((COPIA!$DA$3:$DE$1339),MATCH(ROWS(F$10:F42),COPIA!$DF$3:$DF$1339,0),COLUMN()-1),"")=0,"",IFERROR(INDEX((COPIA!$DA$3:$DE$1339),MATCH(ROWS(F$10:F42),COPIA!$DF$3:$DF$1339,0),COLUMN()-1),""))</f>
        <v/>
      </c>
      <c r="G42" s="12"/>
    </row>
    <row r="43" spans="1:9" x14ac:dyDescent="0.3">
      <c r="A43" s="60" t="str">
        <f ca="1">COPIA!AC36</f>
        <v>FONDO SVALUTAZIONE TERRENI E FABBRICATI</v>
      </c>
      <c r="B43" s="10" t="str">
        <f ca="1">IF(IFERROR(INDEX((COPIA!$DA$3:$DE$1339),MATCH(ROWS(B$10:B43),COPIA!$DF$3:$DF$1339,0),COLUMN()-1),"")&gt;=1,IFERROR(INDEX((COPIA!$DA$3:$DE$1339),MATCH(ROWS(B$10:B43),COPIA!$DF$3:$DF$1339,0),COLUMN()-1),""),"")</f>
        <v/>
      </c>
      <c r="C43" s="5" t="str">
        <f ca="1">SUBSTITUTE(IFERROR(INDEX((COPIA!$DA$3:$DE$1339),MATCH(ROWS(C$10:C43),COPIA!$DF$3:$DF$1339,0),COLUMN()-1),""),"MASTRO","")</f>
        <v/>
      </c>
      <c r="D43" s="136" t="str">
        <f ca="1">IF(IFERROR(INDEX((COPIA!$DA$3:$DE$1339),MATCH(ROWS(D$10:D43),COPIA!$DF$3:$DF$1339,0),COLUMN()-1),"")=0,"",IFERROR(INDEX((COPIA!$DA$3:$DE$1339),MATCH(ROWS(D$10:D43),COPIA!$DF$3:$DF$1339,0),COLUMN()-1),""))</f>
        <v/>
      </c>
      <c r="E43" s="9" t="str">
        <f ca="1">IF(IFERROR(INDEX((COPIA!$DA$3:$DE$1339),MATCH(ROWS(E$10:E43),COPIA!$DF$3:$DF$1339,0),COLUMN()-1),"")=0,"",IFERROR(INDEX((COPIA!$DA$3:$DE$1339),MATCH(ROWS(E$10:E43),COPIA!$DF$3:$DF$1339,0),COLUMN()-1),""))</f>
        <v/>
      </c>
      <c r="F43" s="6" t="str">
        <f ca="1">IF(IFERROR(INDEX((COPIA!$DA$3:$DE$1339),MATCH(ROWS(F$10:F43),COPIA!$DF$3:$DF$1339,0),COLUMN()-1),"")=0,"",IFERROR(INDEX((COPIA!$DA$3:$DE$1339),MATCH(ROWS(F$10:F43),COPIA!$DF$3:$DF$1339,0),COLUMN()-1),""))</f>
        <v/>
      </c>
      <c r="G43" s="12"/>
    </row>
    <row r="44" spans="1:9" x14ac:dyDescent="0.3">
      <c r="A44" s="60" t="str">
        <f ca="1">COPIA!AC37</f>
        <v>FONDO SVALUTAZIONE IMPIANTI E MACCHINARI</v>
      </c>
      <c r="B44" s="10" t="str">
        <f ca="1">IF(IFERROR(INDEX((COPIA!$DA$3:$DE$1339),MATCH(ROWS(B$10:B44),COPIA!$DF$3:$DF$1339,0),COLUMN()-1),"")&gt;=1,IFERROR(INDEX((COPIA!$DA$3:$DE$1339),MATCH(ROWS(B$10:B44),COPIA!$DF$3:$DF$1339,0),COLUMN()-1),""),"")</f>
        <v/>
      </c>
      <c r="C44" s="5" t="str">
        <f ca="1">SUBSTITUTE(IFERROR(INDEX((COPIA!$DA$3:$DE$1339),MATCH(ROWS(C$10:C44),COPIA!$DF$3:$DF$1339,0),COLUMN()-1),""),"MASTRO","")</f>
        <v/>
      </c>
      <c r="D44" s="136" t="str">
        <f ca="1">IF(IFERROR(INDEX((COPIA!$DA$3:$DE$1339),MATCH(ROWS(D$10:D44),COPIA!$DF$3:$DF$1339,0),COLUMN()-1),"")=0,"",IFERROR(INDEX((COPIA!$DA$3:$DE$1339),MATCH(ROWS(D$10:D44),COPIA!$DF$3:$DF$1339,0),COLUMN()-1),""))</f>
        <v/>
      </c>
      <c r="E44" s="9" t="str">
        <f ca="1">IF(IFERROR(INDEX((COPIA!$DA$3:$DE$1339),MATCH(ROWS(E$10:E44),COPIA!$DF$3:$DF$1339,0),COLUMN()-1),"")=0,"",IFERROR(INDEX((COPIA!$DA$3:$DE$1339),MATCH(ROWS(E$10:E44),COPIA!$DF$3:$DF$1339,0),COLUMN()-1),""))</f>
        <v/>
      </c>
      <c r="F44" s="6" t="str">
        <f ca="1">IF(IFERROR(INDEX((COPIA!$DA$3:$DE$1339),MATCH(ROWS(F$10:F44),COPIA!$DF$3:$DF$1339,0),COLUMN()-1),"")=0,"",IFERROR(INDEX((COPIA!$DA$3:$DE$1339),MATCH(ROWS(F$10:F44),COPIA!$DF$3:$DF$1339,0),COLUMN()-1),""))</f>
        <v/>
      </c>
      <c r="G44" s="12"/>
    </row>
    <row r="45" spans="1:9" x14ac:dyDescent="0.3">
      <c r="A45" s="60" t="str">
        <f ca="1">COPIA!AC38</f>
        <v>IMMOBILIZZAZIONI MATERIALI IN CORSO</v>
      </c>
      <c r="B45" s="10" t="str">
        <f ca="1">IF(IFERROR(INDEX((COPIA!$DA$3:$DE$1339),MATCH(ROWS(B$10:B45),COPIA!$DF$3:$DF$1339,0),COLUMN()-1),"")&gt;=1,IFERROR(INDEX((COPIA!$DA$3:$DE$1339),MATCH(ROWS(B$10:B45),COPIA!$DF$3:$DF$1339,0),COLUMN()-1),""),"")</f>
        <v/>
      </c>
      <c r="C45" s="5" t="str">
        <f ca="1">SUBSTITUTE(IFERROR(INDEX((COPIA!$DA$3:$DE$1339),MATCH(ROWS(C$10:C45),COPIA!$DF$3:$DF$1339,0),COLUMN()-1),""),"MASTRO","")</f>
        <v/>
      </c>
      <c r="D45" s="136" t="str">
        <f ca="1">IF(IFERROR(INDEX((COPIA!$DA$3:$DE$1339),MATCH(ROWS(D$10:D45),COPIA!$DF$3:$DF$1339,0),COLUMN()-1),"")=0,"",IFERROR(INDEX((COPIA!$DA$3:$DE$1339),MATCH(ROWS(D$10:D45),COPIA!$DF$3:$DF$1339,0),COLUMN()-1),""))</f>
        <v/>
      </c>
      <c r="E45" s="9" t="str">
        <f ca="1">IF(IFERROR(INDEX((COPIA!$DA$3:$DE$1339),MATCH(ROWS(E$10:E45),COPIA!$DF$3:$DF$1339,0),COLUMN()-1),"")=0,"",IFERROR(INDEX((COPIA!$DA$3:$DE$1339),MATCH(ROWS(E$10:E45),COPIA!$DF$3:$DF$1339,0),COLUMN()-1),""))</f>
        <v/>
      </c>
      <c r="F45" s="6" t="str">
        <f ca="1">IF(IFERROR(INDEX((COPIA!$DA$3:$DE$1339),MATCH(ROWS(F$10:F45),COPIA!$DF$3:$DF$1339,0),COLUMN()-1),"")=0,"",IFERROR(INDEX((COPIA!$DA$3:$DE$1339),MATCH(ROWS(F$10:F45),COPIA!$DF$3:$DF$1339,0),COLUMN()-1),""))</f>
        <v/>
      </c>
      <c r="G45" s="12"/>
    </row>
    <row r="46" spans="1:9" x14ac:dyDescent="0.3">
      <c r="A46" s="60" t="str">
        <f ca="1">COPIA!AC39</f>
        <v>FORNITORI IMMOBILIZZAZIONI MATERIALI C/ACCONTI</v>
      </c>
      <c r="B46" s="10" t="str">
        <f ca="1">IF(IFERROR(INDEX((COPIA!$DA$3:$DE$1339),MATCH(ROWS(B$10:B46),COPIA!$DF$3:$DF$1339,0),COLUMN()-1),"")&gt;=1,IFERROR(INDEX((COPIA!$DA$3:$DE$1339),MATCH(ROWS(B$10:B46),COPIA!$DF$3:$DF$1339,0),COLUMN()-1),""),"")</f>
        <v/>
      </c>
      <c r="C46" s="5" t="str">
        <f ca="1">SUBSTITUTE(IFERROR(INDEX((COPIA!$DA$3:$DE$1339),MATCH(ROWS(C$10:C46),COPIA!$DF$3:$DF$1339,0),COLUMN()-1),""),"MASTRO","")</f>
        <v/>
      </c>
      <c r="D46" s="136" t="str">
        <f ca="1">IF(IFERROR(INDEX((COPIA!$DA$3:$DE$1339),MATCH(ROWS(D$10:D46),COPIA!$DF$3:$DF$1339,0),COLUMN()-1),"")=0,"",IFERROR(INDEX((COPIA!$DA$3:$DE$1339),MATCH(ROWS(D$10:D46),COPIA!$DF$3:$DF$1339,0),COLUMN()-1),""))</f>
        <v/>
      </c>
      <c r="E46" s="9" t="str">
        <f ca="1">IF(IFERROR(INDEX((COPIA!$DA$3:$DE$1339),MATCH(ROWS(E$10:E46),COPIA!$DF$3:$DF$1339,0),COLUMN()-1),"")=0,"",IFERROR(INDEX((COPIA!$DA$3:$DE$1339),MATCH(ROWS(E$10:E46),COPIA!$DF$3:$DF$1339,0),COLUMN()-1),""))</f>
        <v/>
      </c>
      <c r="F46" s="6" t="str">
        <f ca="1">IF(IFERROR(INDEX((COPIA!$DA$3:$DE$1339),MATCH(ROWS(F$10:F46),COPIA!$DF$3:$DF$1339,0),COLUMN()-1),"")=0,"",IFERROR(INDEX((COPIA!$DA$3:$DE$1339),MATCH(ROWS(F$10:F46),COPIA!$DF$3:$DF$1339,0),COLUMN()-1),""))</f>
        <v/>
      </c>
      <c r="G46" s="12"/>
    </row>
    <row r="47" spans="1:9" x14ac:dyDescent="0.3">
      <c r="A47" s="60" t="str">
        <f ca="1">COPIA!AC40</f>
        <v>PARTECIPAZIONI IN CONTROLLATE</v>
      </c>
      <c r="B47" s="10" t="str">
        <f ca="1">IF(IFERROR(INDEX((COPIA!$DA$3:$DE$1339),MATCH(ROWS(B$10:B47),COPIA!$DF$3:$DF$1339,0),COLUMN()-1),"")&gt;=1,IFERROR(INDEX((COPIA!$DA$3:$DE$1339),MATCH(ROWS(B$10:B47),COPIA!$DF$3:$DF$1339,0),COLUMN()-1),""),"")</f>
        <v/>
      </c>
      <c r="C47" s="5" t="str">
        <f ca="1">SUBSTITUTE(IFERROR(INDEX((COPIA!$DA$3:$DE$1339),MATCH(ROWS(C$10:C47),COPIA!$DF$3:$DF$1339,0),COLUMN()-1),""),"MASTRO","")</f>
        <v/>
      </c>
      <c r="D47" s="136" t="str">
        <f ca="1">IF(IFERROR(INDEX((COPIA!$DA$3:$DE$1339),MATCH(ROWS(D$10:D47),COPIA!$DF$3:$DF$1339,0),COLUMN()-1),"")=0,"",IFERROR(INDEX((COPIA!$DA$3:$DE$1339),MATCH(ROWS(D$10:D47),COPIA!$DF$3:$DF$1339,0),COLUMN()-1),""))</f>
        <v/>
      </c>
      <c r="E47" s="9" t="str">
        <f ca="1">IF(IFERROR(INDEX((COPIA!$DA$3:$DE$1339),MATCH(ROWS(E$10:E47),COPIA!$DF$3:$DF$1339,0),COLUMN()-1),"")=0,"",IFERROR(INDEX((COPIA!$DA$3:$DE$1339),MATCH(ROWS(E$10:E47),COPIA!$DF$3:$DF$1339,0),COLUMN()-1),""))</f>
        <v/>
      </c>
      <c r="F47" s="6" t="str">
        <f ca="1">IF(IFERROR(INDEX((COPIA!$DA$3:$DE$1339),MATCH(ROWS(F$10:F47),COPIA!$DF$3:$DF$1339,0),COLUMN()-1),"")=0,"",IFERROR(INDEX((COPIA!$DA$3:$DE$1339),MATCH(ROWS(F$10:F47),COPIA!$DF$3:$DF$1339,0),COLUMN()-1),""))</f>
        <v/>
      </c>
      <c r="G47" s="12"/>
    </row>
    <row r="48" spans="1:9" x14ac:dyDescent="0.3">
      <c r="A48" s="60" t="str">
        <f ca="1">COPIA!AC41</f>
        <v>PARTECIPAZIONI IN COLLEGATE</v>
      </c>
      <c r="B48" s="10" t="str">
        <f ca="1">IF(IFERROR(INDEX((COPIA!$DA$3:$DE$1339),MATCH(ROWS(B$10:B48),COPIA!$DF$3:$DF$1339,0),COLUMN()-1),"")&gt;=1,IFERROR(INDEX((COPIA!$DA$3:$DE$1339),MATCH(ROWS(B$10:B48),COPIA!$DF$3:$DF$1339,0),COLUMN()-1),""),"")</f>
        <v/>
      </c>
      <c r="C48" s="5" t="str">
        <f ca="1">SUBSTITUTE(IFERROR(INDEX((COPIA!$DA$3:$DE$1339),MATCH(ROWS(C$10:C48),COPIA!$DF$3:$DF$1339,0),COLUMN()-1),""),"MASTRO","")</f>
        <v/>
      </c>
      <c r="D48" s="136" t="str">
        <f ca="1">IF(IFERROR(INDEX((COPIA!$DA$3:$DE$1339),MATCH(ROWS(D$10:D48),COPIA!$DF$3:$DF$1339,0),COLUMN()-1),"")=0,"",IFERROR(INDEX((COPIA!$DA$3:$DE$1339),MATCH(ROWS(D$10:D48),COPIA!$DF$3:$DF$1339,0),COLUMN()-1),""))</f>
        <v/>
      </c>
      <c r="E48" s="9" t="str">
        <f ca="1">IF(IFERROR(INDEX((COPIA!$DA$3:$DE$1339),MATCH(ROWS(E$10:E48),COPIA!$DF$3:$DF$1339,0),COLUMN()-1),"")=0,"",IFERROR(INDEX((COPIA!$DA$3:$DE$1339),MATCH(ROWS(E$10:E48),COPIA!$DF$3:$DF$1339,0),COLUMN()-1),""))</f>
        <v/>
      </c>
      <c r="F48" s="6" t="str">
        <f ca="1">IF(IFERROR(INDEX((COPIA!$DA$3:$DE$1339),MATCH(ROWS(F$10:F48),COPIA!$DF$3:$DF$1339,0),COLUMN()-1),"")=0,"",IFERROR(INDEX((COPIA!$DA$3:$DE$1339),MATCH(ROWS(F$10:F48),COPIA!$DF$3:$DF$1339,0),COLUMN()-1),""))</f>
        <v/>
      </c>
      <c r="G48" s="12"/>
    </row>
    <row r="49" spans="1:7" x14ac:dyDescent="0.3">
      <c r="A49" s="60" t="str">
        <f ca="1">COPIA!AC42</f>
        <v>PARTECIPAZIONI IN CONTROLLANTE</v>
      </c>
      <c r="B49" s="10" t="str">
        <f ca="1">IF(IFERROR(INDEX((COPIA!$DA$3:$DE$1339),MATCH(ROWS(B$10:B49),COPIA!$DF$3:$DF$1339,0),COLUMN()-1),"")&gt;=1,IFERROR(INDEX((COPIA!$DA$3:$DE$1339),MATCH(ROWS(B$10:B49),COPIA!$DF$3:$DF$1339,0),COLUMN()-1),""),"")</f>
        <v/>
      </c>
      <c r="C49" s="5" t="str">
        <f ca="1">SUBSTITUTE(IFERROR(INDEX((COPIA!$DA$3:$DE$1339),MATCH(ROWS(C$10:C49),COPIA!$DF$3:$DF$1339,0),COLUMN()-1),""),"MASTRO","")</f>
        <v/>
      </c>
      <c r="D49" s="136" t="str">
        <f ca="1">IF(IFERROR(INDEX((COPIA!$DA$3:$DE$1339),MATCH(ROWS(D$10:D49),COPIA!$DF$3:$DF$1339,0),COLUMN()-1),"")=0,"",IFERROR(INDEX((COPIA!$DA$3:$DE$1339),MATCH(ROWS(D$10:D49),COPIA!$DF$3:$DF$1339,0),COLUMN()-1),""))</f>
        <v/>
      </c>
      <c r="E49" s="9" t="str">
        <f ca="1">IF(IFERROR(INDEX((COPIA!$DA$3:$DE$1339),MATCH(ROWS(E$10:E49),COPIA!$DF$3:$DF$1339,0),COLUMN()-1),"")=0,"",IFERROR(INDEX((COPIA!$DA$3:$DE$1339),MATCH(ROWS(E$10:E49),COPIA!$DF$3:$DF$1339,0),COLUMN()-1),""))</f>
        <v/>
      </c>
      <c r="F49" s="6" t="str">
        <f ca="1">IF(IFERROR(INDEX((COPIA!$DA$3:$DE$1339),MATCH(ROWS(F$10:F49),COPIA!$DF$3:$DF$1339,0),COLUMN()-1),"")=0,"",IFERROR(INDEX((COPIA!$DA$3:$DE$1339),MATCH(ROWS(F$10:F49),COPIA!$DF$3:$DF$1339,0),COLUMN()-1),""))</f>
        <v/>
      </c>
      <c r="G49" s="12"/>
    </row>
    <row r="50" spans="1:7" x14ac:dyDescent="0.3">
      <c r="A50" s="60" t="str">
        <f ca="1">COPIA!AC43</f>
        <v>PARTECIPAZIONI DIVERSE</v>
      </c>
      <c r="B50" s="10" t="str">
        <f ca="1">IF(IFERROR(INDEX((COPIA!$DA$3:$DE$1339),MATCH(ROWS(B$10:B50),COPIA!$DF$3:$DF$1339,0),COLUMN()-1),"")&gt;=1,IFERROR(INDEX((COPIA!$DA$3:$DE$1339),MATCH(ROWS(B$10:B50),COPIA!$DF$3:$DF$1339,0),COLUMN()-1),""),"")</f>
        <v/>
      </c>
      <c r="C50" s="5" t="str">
        <f ca="1">SUBSTITUTE(IFERROR(INDEX((COPIA!$DA$3:$DE$1339),MATCH(ROWS(C$10:C50),COPIA!$DF$3:$DF$1339,0),COLUMN()-1),""),"MASTRO","")</f>
        <v/>
      </c>
      <c r="D50" s="136" t="str">
        <f ca="1">IF(IFERROR(INDEX((COPIA!$DA$3:$DE$1339),MATCH(ROWS(D$10:D50),COPIA!$DF$3:$DF$1339,0),COLUMN()-1),"")=0,"",IFERROR(INDEX((COPIA!$DA$3:$DE$1339),MATCH(ROWS(D$10:D50),COPIA!$DF$3:$DF$1339,0),COLUMN()-1),""))</f>
        <v/>
      </c>
      <c r="E50" s="9" t="str">
        <f ca="1">IF(IFERROR(INDEX((COPIA!$DA$3:$DE$1339),MATCH(ROWS(E$10:E50),COPIA!$DF$3:$DF$1339,0),COLUMN()-1),"")=0,"",IFERROR(INDEX((COPIA!$DA$3:$DE$1339),MATCH(ROWS(E$10:E50),COPIA!$DF$3:$DF$1339,0),COLUMN()-1),""))</f>
        <v/>
      </c>
      <c r="F50" s="6" t="str">
        <f ca="1">IF(IFERROR(INDEX((COPIA!$DA$3:$DE$1339),MATCH(ROWS(F$10:F50),COPIA!$DF$3:$DF$1339,0),COLUMN()-1),"")=0,"",IFERROR(INDEX((COPIA!$DA$3:$DE$1339),MATCH(ROWS(F$10:F50),COPIA!$DF$3:$DF$1339,0),COLUMN()-1),""))</f>
        <v/>
      </c>
      <c r="G50" s="12"/>
    </row>
    <row r="51" spans="1:7" x14ac:dyDescent="0.3">
      <c r="A51" s="60" t="str">
        <f ca="1">COPIA!AC44</f>
        <v>PRESTITI A CONTROLLATE</v>
      </c>
      <c r="B51" s="10" t="str">
        <f ca="1">IF(IFERROR(INDEX((COPIA!$DA$3:$DE$1339),MATCH(ROWS(B$10:B51),COPIA!$DF$3:$DF$1339,0),COLUMN()-1),"")&gt;=1,IFERROR(INDEX((COPIA!$DA$3:$DE$1339),MATCH(ROWS(B$10:B51),COPIA!$DF$3:$DF$1339,0),COLUMN()-1),""),"")</f>
        <v/>
      </c>
      <c r="C51" s="5" t="str">
        <f ca="1">SUBSTITUTE(IFERROR(INDEX((COPIA!$DA$3:$DE$1339),MATCH(ROWS(C$10:C51),COPIA!$DF$3:$DF$1339,0),COLUMN()-1),""),"MASTRO","")</f>
        <v/>
      </c>
      <c r="D51" s="136" t="str">
        <f ca="1">IF(IFERROR(INDEX((COPIA!$DA$3:$DE$1339),MATCH(ROWS(D$10:D51),COPIA!$DF$3:$DF$1339,0),COLUMN()-1),"")=0,"",IFERROR(INDEX((COPIA!$DA$3:$DE$1339),MATCH(ROWS(D$10:D51),COPIA!$DF$3:$DF$1339,0),COLUMN()-1),""))</f>
        <v/>
      </c>
      <c r="E51" s="9" t="str">
        <f ca="1">IF(IFERROR(INDEX((COPIA!$DA$3:$DE$1339),MATCH(ROWS(E$10:E51),COPIA!$DF$3:$DF$1339,0),COLUMN()-1),"")=0,"",IFERROR(INDEX((COPIA!$DA$3:$DE$1339),MATCH(ROWS(E$10:E51),COPIA!$DF$3:$DF$1339,0),COLUMN()-1),""))</f>
        <v/>
      </c>
      <c r="F51" s="6" t="str">
        <f ca="1">IF(IFERROR(INDEX((COPIA!$DA$3:$DE$1339),MATCH(ROWS(F$10:F51),COPIA!$DF$3:$DF$1339,0),COLUMN()-1),"")=0,"",IFERROR(INDEX((COPIA!$DA$3:$DE$1339),MATCH(ROWS(F$10:F51),COPIA!$DF$3:$DF$1339,0),COLUMN()-1),""))</f>
        <v/>
      </c>
      <c r="G51" s="12"/>
    </row>
    <row r="52" spans="1:7" x14ac:dyDescent="0.3">
      <c r="A52" s="60" t="str">
        <f ca="1">COPIA!AC45</f>
        <v>PRESTITI A COLLEGATE</v>
      </c>
      <c r="B52" s="10" t="str">
        <f ca="1">IF(IFERROR(INDEX((COPIA!$DA$3:$DE$1339),MATCH(ROWS(B$10:B52),COPIA!$DF$3:$DF$1339,0),COLUMN()-1),"")&gt;=1,IFERROR(INDEX((COPIA!$DA$3:$DE$1339),MATCH(ROWS(B$10:B52),COPIA!$DF$3:$DF$1339,0),COLUMN()-1),""),"")</f>
        <v/>
      </c>
      <c r="C52" s="5" t="str">
        <f ca="1">SUBSTITUTE(IFERROR(INDEX((COPIA!$DA$3:$DE$1339),MATCH(ROWS(C$10:C52),COPIA!$DF$3:$DF$1339,0),COLUMN()-1),""),"MASTRO","")</f>
        <v/>
      </c>
      <c r="D52" s="136" t="str">
        <f ca="1">IF(IFERROR(INDEX((COPIA!$DA$3:$DE$1339),MATCH(ROWS(D$10:D52),COPIA!$DF$3:$DF$1339,0),COLUMN()-1),"")=0,"",IFERROR(INDEX((COPIA!$DA$3:$DE$1339),MATCH(ROWS(D$10:D52),COPIA!$DF$3:$DF$1339,0),COLUMN()-1),""))</f>
        <v/>
      </c>
      <c r="E52" s="9" t="str">
        <f ca="1">IF(IFERROR(INDEX((COPIA!$DA$3:$DE$1339),MATCH(ROWS(E$10:E52),COPIA!$DF$3:$DF$1339,0),COLUMN()-1),"")=0,"",IFERROR(INDEX((COPIA!$DA$3:$DE$1339),MATCH(ROWS(E$10:E52),COPIA!$DF$3:$DF$1339,0),COLUMN()-1),""))</f>
        <v/>
      </c>
      <c r="F52" s="6" t="str">
        <f ca="1">IF(IFERROR(INDEX((COPIA!$DA$3:$DE$1339),MATCH(ROWS(F$10:F52),COPIA!$DF$3:$DF$1339,0),COLUMN()-1),"")=0,"",IFERROR(INDEX((COPIA!$DA$3:$DE$1339),MATCH(ROWS(F$10:F52),COPIA!$DF$3:$DF$1339,0),COLUMN()-1),""))</f>
        <v/>
      </c>
      <c r="G52" s="12"/>
    </row>
    <row r="53" spans="1:7" x14ac:dyDescent="0.3">
      <c r="A53" s="60" t="str">
        <f ca="1">COPIA!AC46</f>
        <v>PRESTITI A CONTROLLANTE</v>
      </c>
      <c r="B53" s="10" t="str">
        <f ca="1">IF(IFERROR(INDEX((COPIA!$DA$3:$DE$1339),MATCH(ROWS(B$10:B53),COPIA!$DF$3:$DF$1339,0),COLUMN()-1),"")&gt;=1,IFERROR(INDEX((COPIA!$DA$3:$DE$1339),MATCH(ROWS(B$10:B53),COPIA!$DF$3:$DF$1339,0),COLUMN()-1),""),"")</f>
        <v/>
      </c>
      <c r="C53" s="5" t="str">
        <f ca="1">SUBSTITUTE(IFERROR(INDEX((COPIA!$DA$3:$DE$1339),MATCH(ROWS(C$10:C53),COPIA!$DF$3:$DF$1339,0),COLUMN()-1),""),"MASTRO","")</f>
        <v/>
      </c>
      <c r="D53" s="136" t="str">
        <f ca="1">IF(IFERROR(INDEX((COPIA!$DA$3:$DE$1339),MATCH(ROWS(D$10:D53),COPIA!$DF$3:$DF$1339,0),COLUMN()-1),"")=0,"",IFERROR(INDEX((COPIA!$DA$3:$DE$1339),MATCH(ROWS(D$10:D53),COPIA!$DF$3:$DF$1339,0),COLUMN()-1),""))</f>
        <v/>
      </c>
      <c r="E53" s="9" t="str">
        <f ca="1">IF(IFERROR(INDEX((COPIA!$DA$3:$DE$1339),MATCH(ROWS(E$10:E53),COPIA!$DF$3:$DF$1339,0),COLUMN()-1),"")=0,"",IFERROR(INDEX((COPIA!$DA$3:$DE$1339),MATCH(ROWS(E$10:E53),COPIA!$DF$3:$DF$1339,0),COLUMN()-1),""))</f>
        <v/>
      </c>
      <c r="F53" s="6" t="str">
        <f ca="1">IF(IFERROR(INDEX((COPIA!$DA$3:$DE$1339),MATCH(ROWS(F$10:F53),COPIA!$DF$3:$DF$1339,0),COLUMN()-1),"")=0,"",IFERROR(INDEX((COPIA!$DA$3:$DE$1339),MATCH(ROWS(F$10:F53),COPIA!$DF$3:$DF$1339,0),COLUMN()-1),""))</f>
        <v/>
      </c>
      <c r="G53" s="12"/>
    </row>
    <row r="54" spans="1:7" x14ac:dyDescent="0.3">
      <c r="A54" s="60" t="str">
        <f ca="1">COPIA!AC47</f>
        <v>MUTUI ATTIVI</v>
      </c>
      <c r="B54" s="10" t="str">
        <f ca="1">IF(IFERROR(INDEX((COPIA!$DA$3:$DE$1339),MATCH(ROWS(B$10:B54),COPIA!$DF$3:$DF$1339,0),COLUMN()-1),"")&gt;=1,IFERROR(INDEX((COPIA!$DA$3:$DE$1339),MATCH(ROWS(B$10:B54),COPIA!$DF$3:$DF$1339,0),COLUMN()-1),""),"")</f>
        <v/>
      </c>
      <c r="C54" s="5" t="str">
        <f ca="1">SUBSTITUTE(IFERROR(INDEX((COPIA!$DA$3:$DE$1339),MATCH(ROWS(C$10:C54),COPIA!$DF$3:$DF$1339,0),COLUMN()-1),""),"MASTRO","")</f>
        <v/>
      </c>
      <c r="D54" s="136" t="str">
        <f ca="1">IF(IFERROR(INDEX((COPIA!$DA$3:$DE$1339),MATCH(ROWS(D$10:D54),COPIA!$DF$3:$DF$1339,0),COLUMN()-1),"")=0,"",IFERROR(INDEX((COPIA!$DA$3:$DE$1339),MATCH(ROWS(D$10:D54),COPIA!$DF$3:$DF$1339,0),COLUMN()-1),""))</f>
        <v/>
      </c>
      <c r="E54" s="9" t="str">
        <f ca="1">IF(IFERROR(INDEX((COPIA!$DA$3:$DE$1339),MATCH(ROWS(E$10:E54),COPIA!$DF$3:$DF$1339,0),COLUMN()-1),"")=0,"",IFERROR(INDEX((COPIA!$DA$3:$DE$1339),MATCH(ROWS(E$10:E54),COPIA!$DF$3:$DF$1339,0),COLUMN()-1),""))</f>
        <v/>
      </c>
      <c r="F54" s="6" t="str">
        <f ca="1">IF(IFERROR(INDEX((COPIA!$DA$3:$DE$1339),MATCH(ROWS(F$10:F54),COPIA!$DF$3:$DF$1339,0),COLUMN()-1),"")=0,"",IFERROR(INDEX((COPIA!$DA$3:$DE$1339),MATCH(ROWS(F$10:F54),COPIA!$DF$3:$DF$1339,0),COLUMN()-1),""))</f>
        <v/>
      </c>
      <c r="G54" s="12"/>
    </row>
    <row r="55" spans="1:7" x14ac:dyDescent="0.3">
      <c r="A55" s="60" t="str">
        <f ca="1">COPIA!AC48</f>
        <v>TITOLI IMMOBILIZZATI</v>
      </c>
      <c r="B55" s="10" t="str">
        <f ca="1">IF(IFERROR(INDEX((COPIA!$DA$3:$DE$1339),MATCH(ROWS(B$10:B55),COPIA!$DF$3:$DF$1339,0),COLUMN()-1),"")&gt;=1,IFERROR(INDEX((COPIA!$DA$3:$DE$1339),MATCH(ROWS(B$10:B55),COPIA!$DF$3:$DF$1339,0),COLUMN()-1),""),"")</f>
        <v/>
      </c>
      <c r="C55" s="5" t="str">
        <f ca="1">SUBSTITUTE(IFERROR(INDEX((COPIA!$DA$3:$DE$1339),MATCH(ROWS(C$10:C55),COPIA!$DF$3:$DF$1339,0),COLUMN()-1),""),"MASTRO","")</f>
        <v/>
      </c>
      <c r="D55" s="136" t="str">
        <f ca="1">IF(IFERROR(INDEX((COPIA!$DA$3:$DE$1339),MATCH(ROWS(D$10:D55),COPIA!$DF$3:$DF$1339,0),COLUMN()-1),"")=0,"",IFERROR(INDEX((COPIA!$DA$3:$DE$1339),MATCH(ROWS(D$10:D55),COPIA!$DF$3:$DF$1339,0),COLUMN()-1),""))</f>
        <v/>
      </c>
      <c r="E55" s="9" t="str">
        <f ca="1">IF(IFERROR(INDEX((COPIA!$DA$3:$DE$1339),MATCH(ROWS(E$10:E55),COPIA!$DF$3:$DF$1339,0),COLUMN()-1),"")=0,"",IFERROR(INDEX((COPIA!$DA$3:$DE$1339),MATCH(ROWS(E$10:E55),COPIA!$DF$3:$DF$1339,0),COLUMN()-1),""))</f>
        <v/>
      </c>
      <c r="F55" s="6" t="str">
        <f ca="1">IF(IFERROR(INDEX((COPIA!$DA$3:$DE$1339),MATCH(ROWS(F$10:F55),COPIA!$DF$3:$DF$1339,0),COLUMN()-1),"")=0,"",IFERROR(INDEX((COPIA!$DA$3:$DE$1339),MATCH(ROWS(F$10:F55),COPIA!$DF$3:$DF$1339,0),COLUMN()-1),""))</f>
        <v/>
      </c>
      <c r="G55" s="12"/>
    </row>
    <row r="56" spans="1:7" x14ac:dyDescent="0.3">
      <c r="A56" s="60" t="str">
        <f ca="1">COPIA!AC49</f>
        <v>MATERIE PRIME</v>
      </c>
      <c r="B56" s="10" t="str">
        <f ca="1">IF(IFERROR(INDEX((COPIA!$DA$3:$DE$1339),MATCH(ROWS(B$10:B56),COPIA!$DF$3:$DF$1339,0),COLUMN()-1),"")&gt;=1,IFERROR(INDEX((COPIA!$DA$3:$DE$1339),MATCH(ROWS(B$10:B56),COPIA!$DF$3:$DF$1339,0),COLUMN()-1),""),"")</f>
        <v/>
      </c>
      <c r="C56" s="5" t="str">
        <f ca="1">SUBSTITUTE(IFERROR(INDEX((COPIA!$DA$3:$DE$1339),MATCH(ROWS(C$10:C56),COPIA!$DF$3:$DF$1339,0),COLUMN()-1),""),"MASTRO","")</f>
        <v/>
      </c>
      <c r="D56" s="136" t="str">
        <f ca="1">IF(IFERROR(INDEX((COPIA!$DA$3:$DE$1339),MATCH(ROWS(D$10:D56),COPIA!$DF$3:$DF$1339,0),COLUMN()-1),"")=0,"",IFERROR(INDEX((COPIA!$DA$3:$DE$1339),MATCH(ROWS(D$10:D56),COPIA!$DF$3:$DF$1339,0),COLUMN()-1),""))</f>
        <v/>
      </c>
      <c r="E56" s="9" t="str">
        <f ca="1">IF(IFERROR(INDEX((COPIA!$DA$3:$DE$1339),MATCH(ROWS(E$10:E56),COPIA!$DF$3:$DF$1339,0),COLUMN()-1),"")=0,"",IFERROR(INDEX((COPIA!$DA$3:$DE$1339),MATCH(ROWS(E$10:E56),COPIA!$DF$3:$DF$1339,0),COLUMN()-1),""))</f>
        <v/>
      </c>
      <c r="F56" s="6" t="str">
        <f ca="1">IF(IFERROR(INDEX((COPIA!$DA$3:$DE$1339),MATCH(ROWS(F$10:F56),COPIA!$DF$3:$DF$1339,0),COLUMN()-1),"")=0,"",IFERROR(INDEX((COPIA!$DA$3:$DE$1339),MATCH(ROWS(F$10:F56),COPIA!$DF$3:$DF$1339,0),COLUMN()-1),""))</f>
        <v/>
      </c>
      <c r="G56" s="12"/>
    </row>
    <row r="57" spans="1:7" x14ac:dyDescent="0.3">
      <c r="A57" s="60" t="str">
        <f ca="1">COPIA!AC50</f>
        <v>MATERIE SUSSIDIARIE</v>
      </c>
      <c r="B57" s="10" t="str">
        <f ca="1">IF(IFERROR(INDEX((COPIA!$DA$3:$DE$1339),MATCH(ROWS(B$10:B57),COPIA!$DF$3:$DF$1339,0),COLUMN()-1),"")&gt;=1,IFERROR(INDEX((COPIA!$DA$3:$DE$1339),MATCH(ROWS(B$10:B57),COPIA!$DF$3:$DF$1339,0),COLUMN()-1),""),"")</f>
        <v/>
      </c>
      <c r="C57" s="5" t="str">
        <f ca="1">SUBSTITUTE(IFERROR(INDEX((COPIA!$DA$3:$DE$1339),MATCH(ROWS(C$10:C57),COPIA!$DF$3:$DF$1339,0),COLUMN()-1),""),"MASTRO","")</f>
        <v/>
      </c>
      <c r="D57" s="136" t="str">
        <f ca="1">IF(IFERROR(INDEX((COPIA!$DA$3:$DE$1339),MATCH(ROWS(D$10:D57),COPIA!$DF$3:$DF$1339,0),COLUMN()-1),"")=0,"",IFERROR(INDEX((COPIA!$DA$3:$DE$1339),MATCH(ROWS(D$10:D57),COPIA!$DF$3:$DF$1339,0),COLUMN()-1),""))</f>
        <v/>
      </c>
      <c r="E57" s="9" t="str">
        <f ca="1">IF(IFERROR(INDEX((COPIA!$DA$3:$DE$1339),MATCH(ROWS(E$10:E57),COPIA!$DF$3:$DF$1339,0),COLUMN()-1),"")=0,"",IFERROR(INDEX((COPIA!$DA$3:$DE$1339),MATCH(ROWS(E$10:E57),COPIA!$DF$3:$DF$1339,0),COLUMN()-1),""))</f>
        <v/>
      </c>
      <c r="F57" s="6" t="str">
        <f ca="1">IF(IFERROR(INDEX((COPIA!$DA$3:$DE$1339),MATCH(ROWS(F$10:F57),COPIA!$DF$3:$DF$1339,0),COLUMN()-1),"")=0,"",IFERROR(INDEX((COPIA!$DA$3:$DE$1339),MATCH(ROWS(F$10:F57),COPIA!$DF$3:$DF$1339,0),COLUMN()-1),""))</f>
        <v/>
      </c>
      <c r="G57" s="12"/>
    </row>
    <row r="58" spans="1:7" x14ac:dyDescent="0.3">
      <c r="A58" s="60" t="str">
        <f ca="1">COPIA!AC51</f>
        <v>MATERIE DI CONSUMO</v>
      </c>
      <c r="B58" s="10" t="str">
        <f ca="1">IF(IFERROR(INDEX((COPIA!$DA$3:$DE$1339),MATCH(ROWS(B$10:B58),COPIA!$DF$3:$DF$1339,0),COLUMN()-1),"")&gt;=1,IFERROR(INDEX((COPIA!$DA$3:$DE$1339),MATCH(ROWS(B$10:B58),COPIA!$DF$3:$DF$1339,0),COLUMN()-1),""),"")</f>
        <v/>
      </c>
      <c r="C58" s="5" t="str">
        <f ca="1">SUBSTITUTE(IFERROR(INDEX((COPIA!$DA$3:$DE$1339),MATCH(ROWS(C$10:C58),COPIA!$DF$3:$DF$1339,0),COLUMN()-1),""),"MASTRO","")</f>
        <v/>
      </c>
      <c r="D58" s="136" t="str">
        <f ca="1">IF(IFERROR(INDEX((COPIA!$DA$3:$DE$1339),MATCH(ROWS(D$10:D58),COPIA!$DF$3:$DF$1339,0),COLUMN()-1),"")=0,"",IFERROR(INDEX((COPIA!$DA$3:$DE$1339),MATCH(ROWS(D$10:D58),COPIA!$DF$3:$DF$1339,0),COLUMN()-1),""))</f>
        <v/>
      </c>
      <c r="E58" s="9" t="str">
        <f ca="1">IF(IFERROR(INDEX((COPIA!$DA$3:$DE$1339),MATCH(ROWS(E$10:E58),COPIA!$DF$3:$DF$1339,0),COLUMN()-1),"")=0,"",IFERROR(INDEX((COPIA!$DA$3:$DE$1339),MATCH(ROWS(E$10:E58),COPIA!$DF$3:$DF$1339,0),COLUMN()-1),""))</f>
        <v/>
      </c>
      <c r="F58" s="6" t="str">
        <f ca="1">IF(IFERROR(INDEX((COPIA!$DA$3:$DE$1339),MATCH(ROWS(F$10:F58),COPIA!$DF$3:$DF$1339,0),COLUMN()-1),"")=0,"",IFERROR(INDEX((COPIA!$DA$3:$DE$1339),MATCH(ROWS(F$10:F58),COPIA!$DF$3:$DF$1339,0),COLUMN()-1),""))</f>
        <v/>
      </c>
      <c r="G58" s="12"/>
    </row>
    <row r="59" spans="1:7" x14ac:dyDescent="0.3">
      <c r="A59" s="60" t="str">
        <f ca="1">COPIA!AC52</f>
        <v>PRODOTTI IN LAVORAZIONE</v>
      </c>
      <c r="B59" s="10" t="str">
        <f ca="1">IF(IFERROR(INDEX((COPIA!$DA$3:$DE$1339),MATCH(ROWS(B$10:B59),COPIA!$DF$3:$DF$1339,0),COLUMN()-1),"")&gt;=1,IFERROR(INDEX((COPIA!$DA$3:$DE$1339),MATCH(ROWS(B$10:B59),COPIA!$DF$3:$DF$1339,0),COLUMN()-1),""),"")</f>
        <v/>
      </c>
      <c r="C59" s="5" t="str">
        <f ca="1">SUBSTITUTE(IFERROR(INDEX((COPIA!$DA$3:$DE$1339),MATCH(ROWS(C$10:C59),COPIA!$DF$3:$DF$1339,0),COLUMN()-1),""),"MASTRO","")</f>
        <v/>
      </c>
      <c r="D59" s="136" t="str">
        <f ca="1">IF(IFERROR(INDEX((COPIA!$DA$3:$DE$1339),MATCH(ROWS(D$10:D59),COPIA!$DF$3:$DF$1339,0),COLUMN()-1),"")=0,"",IFERROR(INDEX((COPIA!$DA$3:$DE$1339),MATCH(ROWS(D$10:D59),COPIA!$DF$3:$DF$1339,0),COLUMN()-1),""))</f>
        <v/>
      </c>
      <c r="E59" s="9" t="str">
        <f ca="1">IF(IFERROR(INDEX((COPIA!$DA$3:$DE$1339),MATCH(ROWS(E$10:E59),COPIA!$DF$3:$DF$1339,0),COLUMN()-1),"")=0,"",IFERROR(INDEX((COPIA!$DA$3:$DE$1339),MATCH(ROWS(E$10:E59),COPIA!$DF$3:$DF$1339,0),COLUMN()-1),""))</f>
        <v/>
      </c>
      <c r="F59" s="6" t="str">
        <f ca="1">IF(IFERROR(INDEX((COPIA!$DA$3:$DE$1339),MATCH(ROWS(F$10:F59),COPIA!$DF$3:$DF$1339,0),COLUMN()-1),"")=0,"",IFERROR(INDEX((COPIA!$DA$3:$DE$1339),MATCH(ROWS(F$10:F59),COPIA!$DF$3:$DF$1339,0),COLUMN()-1),""))</f>
        <v/>
      </c>
      <c r="G59" s="12"/>
    </row>
    <row r="60" spans="1:7" x14ac:dyDescent="0.3">
      <c r="A60" s="60" t="str">
        <f ca="1">COPIA!AC53</f>
        <v>SEMILAVORATI</v>
      </c>
      <c r="B60" s="10" t="str">
        <f ca="1">IF(IFERROR(INDEX((COPIA!$DA$3:$DE$1339),MATCH(ROWS(B$10:B60),COPIA!$DF$3:$DF$1339,0),COLUMN()-1),"")&gt;=1,IFERROR(INDEX((COPIA!$DA$3:$DE$1339),MATCH(ROWS(B$10:B60),COPIA!$DF$3:$DF$1339,0),COLUMN()-1),""),"")</f>
        <v/>
      </c>
      <c r="C60" s="5" t="str">
        <f ca="1">SUBSTITUTE(IFERROR(INDEX((COPIA!$DA$3:$DE$1339),MATCH(ROWS(C$10:C60),COPIA!$DF$3:$DF$1339,0),COLUMN()-1),""),"MASTRO","")</f>
        <v/>
      </c>
      <c r="D60" s="136" t="str">
        <f ca="1">IF(IFERROR(INDEX((COPIA!$DA$3:$DE$1339),MATCH(ROWS(D$10:D60),COPIA!$DF$3:$DF$1339,0),COLUMN()-1),"")=0,"",IFERROR(INDEX((COPIA!$DA$3:$DE$1339),MATCH(ROWS(D$10:D60),COPIA!$DF$3:$DF$1339,0),COLUMN()-1),""))</f>
        <v/>
      </c>
      <c r="E60" s="9" t="str">
        <f ca="1">IF(IFERROR(INDEX((COPIA!$DA$3:$DE$1339),MATCH(ROWS(E$10:E60),COPIA!$DF$3:$DF$1339,0),COLUMN()-1),"")=0,"",IFERROR(INDEX((COPIA!$DA$3:$DE$1339),MATCH(ROWS(E$10:E60),COPIA!$DF$3:$DF$1339,0),COLUMN()-1),""))</f>
        <v/>
      </c>
      <c r="F60" s="6" t="str">
        <f ca="1">IF(IFERROR(INDEX((COPIA!$DA$3:$DE$1339),MATCH(ROWS(F$10:F60),COPIA!$DF$3:$DF$1339,0),COLUMN()-1),"")=0,"",IFERROR(INDEX((COPIA!$DA$3:$DE$1339),MATCH(ROWS(F$10:F60),COPIA!$DF$3:$DF$1339,0),COLUMN()-1),""))</f>
        <v/>
      </c>
      <c r="G60" s="12"/>
    </row>
    <row r="61" spans="1:7" x14ac:dyDescent="0.3">
      <c r="A61" s="60" t="str">
        <f ca="1">COPIA!AC54</f>
        <v>PRODOTTI FINITI</v>
      </c>
      <c r="B61" s="10" t="str">
        <f ca="1">IF(IFERROR(INDEX((COPIA!$DA$3:$DE$1339),MATCH(ROWS(B$10:B61),COPIA!$DF$3:$DF$1339,0),COLUMN()-1),"")&gt;=1,IFERROR(INDEX((COPIA!$DA$3:$DE$1339),MATCH(ROWS(B$10:B61),COPIA!$DF$3:$DF$1339,0),COLUMN()-1),""),"")</f>
        <v/>
      </c>
      <c r="C61" s="5" t="str">
        <f ca="1">SUBSTITUTE(IFERROR(INDEX((COPIA!$DA$3:$DE$1339),MATCH(ROWS(C$10:C61),COPIA!$DF$3:$DF$1339,0),COLUMN()-1),""),"MASTRO","")</f>
        <v/>
      </c>
      <c r="D61" s="136" t="str">
        <f ca="1">IF(IFERROR(INDEX((COPIA!$DA$3:$DE$1339),MATCH(ROWS(D$10:D61),COPIA!$DF$3:$DF$1339,0),COLUMN()-1),"")=0,"",IFERROR(INDEX((COPIA!$DA$3:$DE$1339),MATCH(ROWS(D$10:D61),COPIA!$DF$3:$DF$1339,0),COLUMN()-1),""))</f>
        <v/>
      </c>
      <c r="E61" s="9" t="str">
        <f ca="1">IF(IFERROR(INDEX((COPIA!$DA$3:$DE$1339),MATCH(ROWS(E$10:E61),COPIA!$DF$3:$DF$1339,0),COLUMN()-1),"")=0,"",IFERROR(INDEX((COPIA!$DA$3:$DE$1339),MATCH(ROWS(E$10:E61),COPIA!$DF$3:$DF$1339,0),COLUMN()-1),""))</f>
        <v/>
      </c>
      <c r="F61" s="6" t="str">
        <f ca="1">IF(IFERROR(INDEX((COPIA!$DA$3:$DE$1339),MATCH(ROWS(F$10:F61),COPIA!$DF$3:$DF$1339,0),COLUMN()-1),"")=0,"",IFERROR(INDEX((COPIA!$DA$3:$DE$1339),MATCH(ROWS(F$10:F61),COPIA!$DF$3:$DF$1339,0),COLUMN()-1),""))</f>
        <v/>
      </c>
      <c r="G61" s="12"/>
    </row>
    <row r="62" spans="1:7" x14ac:dyDescent="0.3">
      <c r="A62" s="60" t="str">
        <f ca="1">COPIA!AC55</f>
        <v>FORNITORI C/ACCONTI</v>
      </c>
      <c r="B62" s="10" t="str">
        <f ca="1">IF(IFERROR(INDEX((COPIA!$DA$3:$DE$1339),MATCH(ROWS(B$10:B62),COPIA!$DF$3:$DF$1339,0),COLUMN()-1),"")&gt;=1,IFERROR(INDEX((COPIA!$DA$3:$DE$1339),MATCH(ROWS(B$10:B62),COPIA!$DF$3:$DF$1339,0),COLUMN()-1),""),"")</f>
        <v/>
      </c>
      <c r="C62" s="5" t="str">
        <f ca="1">SUBSTITUTE(IFERROR(INDEX((COPIA!$DA$3:$DE$1339),MATCH(ROWS(C$10:C62),COPIA!$DF$3:$DF$1339,0),COLUMN()-1),""),"MASTRO","")</f>
        <v/>
      </c>
      <c r="D62" s="136" t="str">
        <f ca="1">IF(IFERROR(INDEX((COPIA!$DA$3:$DE$1339),MATCH(ROWS(D$10:D62),COPIA!$DF$3:$DF$1339,0),COLUMN()-1),"")=0,"",IFERROR(INDEX((COPIA!$DA$3:$DE$1339),MATCH(ROWS(D$10:D62),COPIA!$DF$3:$DF$1339,0),COLUMN()-1),""))</f>
        <v/>
      </c>
      <c r="E62" s="9" t="str">
        <f ca="1">IF(IFERROR(INDEX((COPIA!$DA$3:$DE$1339),MATCH(ROWS(E$10:E62),COPIA!$DF$3:$DF$1339,0),COLUMN()-1),"")=0,"",IFERROR(INDEX((COPIA!$DA$3:$DE$1339),MATCH(ROWS(E$10:E62),COPIA!$DF$3:$DF$1339,0),COLUMN()-1),""))</f>
        <v/>
      </c>
      <c r="F62" s="6" t="str">
        <f ca="1">IF(IFERROR(INDEX((COPIA!$DA$3:$DE$1339),MATCH(ROWS(F$10:F62),COPIA!$DF$3:$DF$1339,0),COLUMN()-1),"")=0,"",IFERROR(INDEX((COPIA!$DA$3:$DE$1339),MATCH(ROWS(F$10:F62),COPIA!$DF$3:$DF$1339,0),COLUMN()-1),""))</f>
        <v/>
      </c>
      <c r="G62" s="12"/>
    </row>
    <row r="63" spans="1:7" x14ac:dyDescent="0.3">
      <c r="A63" s="60" t="str">
        <f ca="1">COPIA!AC56</f>
        <v>CREDITI V/CLIENTI</v>
      </c>
      <c r="B63" s="10" t="str">
        <f ca="1">IF(IFERROR(INDEX((COPIA!$DA$3:$DE$1339),MATCH(ROWS(B$10:B63),COPIA!$DF$3:$DF$1339,0),COLUMN()-1),"")&gt;=1,IFERROR(INDEX((COPIA!$DA$3:$DE$1339),MATCH(ROWS(B$10:B63),COPIA!$DF$3:$DF$1339,0),COLUMN()-1),""),"")</f>
        <v/>
      </c>
      <c r="C63" s="5" t="str">
        <f ca="1">SUBSTITUTE(IFERROR(INDEX((COPIA!$DA$3:$DE$1339),MATCH(ROWS(C$10:C63),COPIA!$DF$3:$DF$1339,0),COLUMN()-1),""),"MASTRO","")</f>
        <v/>
      </c>
      <c r="D63" s="136" t="str">
        <f ca="1">IF(IFERROR(INDEX((COPIA!$DA$3:$DE$1339),MATCH(ROWS(D$10:D63),COPIA!$DF$3:$DF$1339,0),COLUMN()-1),"")=0,"",IFERROR(INDEX((COPIA!$DA$3:$DE$1339),MATCH(ROWS(D$10:D63),COPIA!$DF$3:$DF$1339,0),COLUMN()-1),""))</f>
        <v/>
      </c>
      <c r="E63" s="9" t="str">
        <f ca="1">IF(IFERROR(INDEX((COPIA!$DA$3:$DE$1339),MATCH(ROWS(E$10:E63),COPIA!$DF$3:$DF$1339,0),COLUMN()-1),"")=0,"",IFERROR(INDEX((COPIA!$DA$3:$DE$1339),MATCH(ROWS(E$10:E63),COPIA!$DF$3:$DF$1339,0),COLUMN()-1),""))</f>
        <v/>
      </c>
      <c r="F63" s="6" t="str">
        <f ca="1">IF(IFERROR(INDEX((COPIA!$DA$3:$DE$1339),MATCH(ROWS(F$10:F63),COPIA!$DF$3:$DF$1339,0),COLUMN()-1),"")=0,"",IFERROR(INDEX((COPIA!$DA$3:$DE$1339),MATCH(ROWS(F$10:F63),COPIA!$DF$3:$DF$1339,0),COLUMN()-1),""))</f>
        <v/>
      </c>
      <c r="G63" s="12"/>
    </row>
    <row r="64" spans="1:7" x14ac:dyDescent="0.3">
      <c r="A64" s="60" t="str">
        <f ca="1">COPIA!AC57</f>
        <v>FATTURE DA EMETTERE</v>
      </c>
      <c r="B64" s="10" t="str">
        <f ca="1">IF(IFERROR(INDEX((COPIA!$DA$3:$DE$1339),MATCH(ROWS(B$10:B64),COPIA!$DF$3:$DF$1339,0),COLUMN()-1),"")&gt;=1,IFERROR(INDEX((COPIA!$DA$3:$DE$1339),MATCH(ROWS(B$10:B64),COPIA!$DF$3:$DF$1339,0),COLUMN()-1),""),"")</f>
        <v/>
      </c>
      <c r="C64" s="5" t="str">
        <f ca="1">SUBSTITUTE(IFERROR(INDEX((COPIA!$DA$3:$DE$1339),MATCH(ROWS(C$10:C64),COPIA!$DF$3:$DF$1339,0),COLUMN()-1),""),"MASTRO","")</f>
        <v/>
      </c>
      <c r="D64" s="136" t="str">
        <f ca="1">IF(IFERROR(INDEX((COPIA!$DA$3:$DE$1339),MATCH(ROWS(D$10:D64),COPIA!$DF$3:$DF$1339,0),COLUMN()-1),"")=0,"",IFERROR(INDEX((COPIA!$DA$3:$DE$1339),MATCH(ROWS(D$10:D64),COPIA!$DF$3:$DF$1339,0),COLUMN()-1),""))</f>
        <v/>
      </c>
      <c r="E64" s="9" t="str">
        <f ca="1">IF(IFERROR(INDEX((COPIA!$DA$3:$DE$1339),MATCH(ROWS(E$10:E64),COPIA!$DF$3:$DF$1339,0),COLUMN()-1),"")=0,"",IFERROR(INDEX((COPIA!$DA$3:$DE$1339),MATCH(ROWS(E$10:E64),COPIA!$DF$3:$DF$1339,0),COLUMN()-1),""))</f>
        <v/>
      </c>
      <c r="F64" s="6" t="str">
        <f ca="1">IF(IFERROR(INDEX((COPIA!$DA$3:$DE$1339),MATCH(ROWS(F$10:F64),COPIA!$DF$3:$DF$1339,0),COLUMN()-1),"")=0,"",IFERROR(INDEX((COPIA!$DA$3:$DE$1339),MATCH(ROWS(F$10:F64),COPIA!$DF$3:$DF$1339,0),COLUMN()-1),""))</f>
        <v/>
      </c>
      <c r="G64" s="12"/>
    </row>
    <row r="65" spans="1:7" x14ac:dyDescent="0.3">
      <c r="A65" s="60" t="str">
        <f ca="1">COPIA!AC58</f>
        <v>CREDITI COMMERCIALI DIVERSI</v>
      </c>
      <c r="B65" s="10" t="str">
        <f ca="1">IF(IFERROR(INDEX((COPIA!$DA$3:$DE$1339),MATCH(ROWS(B$10:B65),COPIA!$DF$3:$DF$1339,0),COLUMN()-1),"")&gt;=1,IFERROR(INDEX((COPIA!$DA$3:$DE$1339),MATCH(ROWS(B$10:B65),COPIA!$DF$3:$DF$1339,0),COLUMN()-1),""),"")</f>
        <v/>
      </c>
      <c r="C65" s="5" t="str">
        <f ca="1">SUBSTITUTE(IFERROR(INDEX((COPIA!$DA$3:$DE$1339),MATCH(ROWS(C$10:C65),COPIA!$DF$3:$DF$1339,0),COLUMN()-1),""),"MASTRO","")</f>
        <v/>
      </c>
      <c r="D65" s="136" t="str">
        <f ca="1">IF(IFERROR(INDEX((COPIA!$DA$3:$DE$1339),MATCH(ROWS(D$10:D65),COPIA!$DF$3:$DF$1339,0),COLUMN()-1),"")=0,"",IFERROR(INDEX((COPIA!$DA$3:$DE$1339),MATCH(ROWS(D$10:D65),COPIA!$DF$3:$DF$1339,0),COLUMN()-1),""))</f>
        <v/>
      </c>
      <c r="E65" s="9" t="str">
        <f ca="1">IF(IFERROR(INDEX((COPIA!$DA$3:$DE$1339),MATCH(ROWS(E$10:E65),COPIA!$DF$3:$DF$1339,0),COLUMN()-1),"")=0,"",IFERROR(INDEX((COPIA!$DA$3:$DE$1339),MATCH(ROWS(E$10:E65),COPIA!$DF$3:$DF$1339,0),COLUMN()-1),""))</f>
        <v/>
      </c>
      <c r="F65" s="6" t="str">
        <f ca="1">IF(IFERROR(INDEX((COPIA!$DA$3:$DE$1339),MATCH(ROWS(F$10:F65),COPIA!$DF$3:$DF$1339,0),COLUMN()-1),"")=0,"",IFERROR(INDEX((COPIA!$DA$3:$DE$1339),MATCH(ROWS(F$10:F65),COPIA!$DF$3:$DF$1339,0),COLUMN()-1),""))</f>
        <v/>
      </c>
      <c r="G65" s="12"/>
    </row>
    <row r="66" spans="1:7" x14ac:dyDescent="0.3">
      <c r="A66" s="60" t="str">
        <f ca="1">COPIA!AC59</f>
        <v>CREDITI FATTORIZZATI</v>
      </c>
      <c r="B66" s="10" t="str">
        <f ca="1">IF(IFERROR(INDEX((COPIA!$DA$3:$DE$1339),MATCH(ROWS(B$10:B66),COPIA!$DF$3:$DF$1339,0),COLUMN()-1),"")&gt;=1,IFERROR(INDEX((COPIA!$DA$3:$DE$1339),MATCH(ROWS(B$10:B66),COPIA!$DF$3:$DF$1339,0),COLUMN()-1),""),"")</f>
        <v/>
      </c>
      <c r="C66" s="5" t="str">
        <f ca="1">SUBSTITUTE(IFERROR(INDEX((COPIA!$DA$3:$DE$1339),MATCH(ROWS(C$10:C66),COPIA!$DF$3:$DF$1339,0),COLUMN()-1),""),"MASTRO","")</f>
        <v/>
      </c>
      <c r="D66" s="136" t="str">
        <f ca="1">IF(IFERROR(INDEX((COPIA!$DA$3:$DE$1339),MATCH(ROWS(D$10:D66),COPIA!$DF$3:$DF$1339,0),COLUMN()-1),"")=0,"",IFERROR(INDEX((COPIA!$DA$3:$DE$1339),MATCH(ROWS(D$10:D66),COPIA!$DF$3:$DF$1339,0),COLUMN()-1),""))</f>
        <v/>
      </c>
      <c r="E66" s="9" t="str">
        <f ca="1">IF(IFERROR(INDEX((COPIA!$DA$3:$DE$1339),MATCH(ROWS(E$10:E66),COPIA!$DF$3:$DF$1339,0),COLUMN()-1),"")=0,"",IFERROR(INDEX((COPIA!$DA$3:$DE$1339),MATCH(ROWS(E$10:E66),COPIA!$DF$3:$DF$1339,0),COLUMN()-1),""))</f>
        <v/>
      </c>
      <c r="F66" s="6" t="str">
        <f ca="1">IF(IFERROR(INDEX((COPIA!$DA$3:$DE$1339),MATCH(ROWS(F$10:F66),COPIA!$DF$3:$DF$1339,0),COLUMN()-1),"")=0,"",IFERROR(INDEX((COPIA!$DA$3:$DE$1339),MATCH(ROWS(F$10:F66),COPIA!$DF$3:$DF$1339,0),COLUMN()-1),""))</f>
        <v/>
      </c>
      <c r="G66" s="12"/>
    </row>
    <row r="67" spans="1:7" x14ac:dyDescent="0.3">
      <c r="A67" s="60" t="str">
        <f ca="1">COPIA!AC60</f>
        <v>CLIENTI C/COSTI ANTICIPATI</v>
      </c>
      <c r="B67" s="10" t="str">
        <f ca="1">IF(IFERROR(INDEX((COPIA!$DA$3:$DE$1339),MATCH(ROWS(B$10:B67),COPIA!$DF$3:$DF$1339,0),COLUMN()-1),"")&gt;=1,IFERROR(INDEX((COPIA!$DA$3:$DE$1339),MATCH(ROWS(B$10:B67),COPIA!$DF$3:$DF$1339,0),COLUMN()-1),""),"")</f>
        <v/>
      </c>
      <c r="C67" s="5" t="str">
        <f ca="1">SUBSTITUTE(IFERROR(INDEX((COPIA!$DA$3:$DE$1339),MATCH(ROWS(C$10:C67),COPIA!$DF$3:$DF$1339,0),COLUMN()-1),""),"MASTRO","")</f>
        <v/>
      </c>
      <c r="D67" s="136" t="str">
        <f ca="1">IF(IFERROR(INDEX((COPIA!$DA$3:$DE$1339),MATCH(ROWS(D$10:D67),COPIA!$DF$3:$DF$1339,0),COLUMN()-1),"")=0,"",IFERROR(INDEX((COPIA!$DA$3:$DE$1339),MATCH(ROWS(D$10:D67),COPIA!$DF$3:$DF$1339,0),COLUMN()-1),""))</f>
        <v/>
      </c>
      <c r="E67" s="9" t="str">
        <f ca="1">IF(IFERROR(INDEX((COPIA!$DA$3:$DE$1339),MATCH(ROWS(E$10:E67),COPIA!$DF$3:$DF$1339,0),COLUMN()-1),"")=0,"",IFERROR(INDEX((COPIA!$DA$3:$DE$1339),MATCH(ROWS(E$10:E67),COPIA!$DF$3:$DF$1339,0),COLUMN()-1),""))</f>
        <v/>
      </c>
      <c r="F67" s="6" t="str">
        <f ca="1">IF(IFERROR(INDEX((COPIA!$DA$3:$DE$1339),MATCH(ROWS(F$10:F67),COPIA!$DF$3:$DF$1339,0),COLUMN()-1),"")=0,"",IFERROR(INDEX((COPIA!$DA$3:$DE$1339),MATCH(ROWS(F$10:F67),COPIA!$DF$3:$DF$1339,0),COLUMN()-1),""))</f>
        <v/>
      </c>
      <c r="G67" s="12"/>
    </row>
    <row r="68" spans="1:7" x14ac:dyDescent="0.3">
      <c r="A68" s="60" t="str">
        <f ca="1">COPIA!AC61</f>
        <v>CAMBIALI ATTIVE</v>
      </c>
      <c r="B68" s="10" t="str">
        <f ca="1">IF(IFERROR(INDEX((COPIA!$DA$3:$DE$1339),MATCH(ROWS(B$10:B68),COPIA!$DF$3:$DF$1339,0),COLUMN()-1),"")&gt;=1,IFERROR(INDEX((COPIA!$DA$3:$DE$1339),MATCH(ROWS(B$10:B68),COPIA!$DF$3:$DF$1339,0),COLUMN()-1),""),"")</f>
        <v/>
      </c>
      <c r="C68" s="5" t="str">
        <f ca="1">SUBSTITUTE(IFERROR(INDEX((COPIA!$DA$3:$DE$1339),MATCH(ROWS(C$10:C68),COPIA!$DF$3:$DF$1339,0),COLUMN()-1),""),"MASTRO","")</f>
        <v/>
      </c>
      <c r="D68" s="136" t="str">
        <f ca="1">IF(IFERROR(INDEX((COPIA!$DA$3:$DE$1339),MATCH(ROWS(D$10:D68),COPIA!$DF$3:$DF$1339,0),COLUMN()-1),"")=0,"",IFERROR(INDEX((COPIA!$DA$3:$DE$1339),MATCH(ROWS(D$10:D68),COPIA!$DF$3:$DF$1339,0),COLUMN()-1),""))</f>
        <v/>
      </c>
      <c r="E68" s="9" t="str">
        <f ca="1">IF(IFERROR(INDEX((COPIA!$DA$3:$DE$1339),MATCH(ROWS(E$10:E68),COPIA!$DF$3:$DF$1339,0),COLUMN()-1),"")=0,"",IFERROR(INDEX((COPIA!$DA$3:$DE$1339),MATCH(ROWS(E$10:E68),COPIA!$DF$3:$DF$1339,0),COLUMN()-1),""))</f>
        <v/>
      </c>
      <c r="F68" s="6" t="str">
        <f ca="1">IF(IFERROR(INDEX((COPIA!$DA$3:$DE$1339),MATCH(ROWS(F$10:F68),COPIA!$DF$3:$DF$1339,0),COLUMN()-1),"")=0,"",IFERROR(INDEX((COPIA!$DA$3:$DE$1339),MATCH(ROWS(F$10:F68),COPIA!$DF$3:$DF$1339,0),COLUMN()-1),""))</f>
        <v/>
      </c>
      <c r="G68" s="12"/>
    </row>
    <row r="69" spans="1:7" x14ac:dyDescent="0.3">
      <c r="A69" s="60" t="str">
        <f ca="1">COPIA!AC62</f>
        <v>CAMBIALI ALLO SCONTO</v>
      </c>
      <c r="B69" s="10" t="str">
        <f ca="1">IF(IFERROR(INDEX((COPIA!$DA$3:$DE$1339),MATCH(ROWS(B$10:B69),COPIA!$DF$3:$DF$1339,0),COLUMN()-1),"")&gt;=1,IFERROR(INDEX((COPIA!$DA$3:$DE$1339),MATCH(ROWS(B$10:B69),COPIA!$DF$3:$DF$1339,0),COLUMN()-1),""),"")</f>
        <v/>
      </c>
      <c r="C69" s="5" t="str">
        <f ca="1">SUBSTITUTE(IFERROR(INDEX((COPIA!$DA$3:$DE$1339),MATCH(ROWS(C$10:C69),COPIA!$DF$3:$DF$1339,0),COLUMN()-1),""),"MASTRO","")</f>
        <v/>
      </c>
      <c r="D69" s="136" t="str">
        <f ca="1">IF(IFERROR(INDEX((COPIA!$DA$3:$DE$1339),MATCH(ROWS(D$10:D69),COPIA!$DF$3:$DF$1339,0),COLUMN()-1),"")=0,"",IFERROR(INDEX((COPIA!$DA$3:$DE$1339),MATCH(ROWS(D$10:D69),COPIA!$DF$3:$DF$1339,0),COLUMN()-1),""))</f>
        <v/>
      </c>
      <c r="E69" s="9" t="str">
        <f ca="1">IF(IFERROR(INDEX((COPIA!$DA$3:$DE$1339),MATCH(ROWS(E$10:E69),COPIA!$DF$3:$DF$1339,0),COLUMN()-1),"")=0,"",IFERROR(INDEX((COPIA!$DA$3:$DE$1339),MATCH(ROWS(E$10:E69),COPIA!$DF$3:$DF$1339,0),COLUMN()-1),""))</f>
        <v/>
      </c>
      <c r="F69" s="6" t="str">
        <f ca="1">IF(IFERROR(INDEX((COPIA!$DA$3:$DE$1339),MATCH(ROWS(F$10:F69),COPIA!$DF$3:$DF$1339,0),COLUMN()-1),"")=0,"",IFERROR(INDEX((COPIA!$DA$3:$DE$1339),MATCH(ROWS(F$10:F69),COPIA!$DF$3:$DF$1339,0),COLUMN()-1),""))</f>
        <v/>
      </c>
      <c r="G69" s="12"/>
    </row>
    <row r="70" spans="1:7" x14ac:dyDescent="0.3">
      <c r="A70" s="60" t="str">
        <f ca="1">COPIA!AC63</f>
        <v>CAMBIALI ALL'INCASSO</v>
      </c>
      <c r="B70" s="10" t="str">
        <f ca="1">IF(IFERROR(INDEX((COPIA!$DA$3:$DE$1339),MATCH(ROWS(B$10:B70),COPIA!$DF$3:$DF$1339,0),COLUMN()-1),"")&gt;=1,IFERROR(INDEX((COPIA!$DA$3:$DE$1339),MATCH(ROWS(B$10:B70),COPIA!$DF$3:$DF$1339,0),COLUMN()-1),""),"")</f>
        <v/>
      </c>
      <c r="C70" s="5" t="str">
        <f ca="1">SUBSTITUTE(IFERROR(INDEX((COPIA!$DA$3:$DE$1339),MATCH(ROWS(C$10:C70),COPIA!$DF$3:$DF$1339,0),COLUMN()-1),""),"MASTRO","")</f>
        <v/>
      </c>
      <c r="D70" s="136" t="str">
        <f ca="1">IF(IFERROR(INDEX((COPIA!$DA$3:$DE$1339),MATCH(ROWS(D$10:D70),COPIA!$DF$3:$DF$1339,0),COLUMN()-1),"")=0,"",IFERROR(INDEX((COPIA!$DA$3:$DE$1339),MATCH(ROWS(D$10:D70),COPIA!$DF$3:$DF$1339,0),COLUMN()-1),""))</f>
        <v/>
      </c>
      <c r="E70" s="9" t="str">
        <f ca="1">IF(IFERROR(INDEX((COPIA!$DA$3:$DE$1339),MATCH(ROWS(E$10:E70),COPIA!$DF$3:$DF$1339,0),COLUMN()-1),"")=0,"",IFERROR(INDEX((COPIA!$DA$3:$DE$1339),MATCH(ROWS(E$10:E70),COPIA!$DF$3:$DF$1339,0),COLUMN()-1),""))</f>
        <v/>
      </c>
      <c r="F70" s="6" t="str">
        <f ca="1">IF(IFERROR(INDEX((COPIA!$DA$3:$DE$1339),MATCH(ROWS(F$10:F70),COPIA!$DF$3:$DF$1339,0),COLUMN()-1),"")=0,"",IFERROR(INDEX((COPIA!$DA$3:$DE$1339),MATCH(ROWS(F$10:F70),COPIA!$DF$3:$DF$1339,0),COLUMN()-1),""))</f>
        <v/>
      </c>
      <c r="G70" s="12"/>
    </row>
    <row r="71" spans="1:7" x14ac:dyDescent="0.3">
      <c r="A71" s="60" t="str">
        <f ca="1">COPIA!AC64</f>
        <v>CREDITI DA LIQUIDARE</v>
      </c>
      <c r="B71" s="10" t="str">
        <f ca="1">IF(IFERROR(INDEX((COPIA!$DA$3:$DE$1339),MATCH(ROWS(B$10:B71),COPIA!$DF$3:$DF$1339,0),COLUMN()-1),"")&gt;=1,IFERROR(INDEX((COPIA!$DA$3:$DE$1339),MATCH(ROWS(B$10:B71),COPIA!$DF$3:$DF$1339,0),COLUMN()-1),""),"")</f>
        <v/>
      </c>
      <c r="C71" s="5" t="str">
        <f ca="1">SUBSTITUTE(IFERROR(INDEX((COPIA!$DA$3:$DE$1339),MATCH(ROWS(C$10:C71),COPIA!$DF$3:$DF$1339,0),COLUMN()-1),""),"MASTRO","")</f>
        <v/>
      </c>
      <c r="D71" s="136" t="str">
        <f ca="1">IF(IFERROR(INDEX((COPIA!$DA$3:$DE$1339),MATCH(ROWS(D$10:D71),COPIA!$DF$3:$DF$1339,0),COLUMN()-1),"")=0,"",IFERROR(INDEX((COPIA!$DA$3:$DE$1339),MATCH(ROWS(D$10:D71),COPIA!$DF$3:$DF$1339,0),COLUMN()-1),""))</f>
        <v/>
      </c>
      <c r="E71" s="9" t="str">
        <f ca="1">IF(IFERROR(INDEX((COPIA!$DA$3:$DE$1339),MATCH(ROWS(E$10:E71),COPIA!$DF$3:$DF$1339,0),COLUMN()-1),"")=0,"",IFERROR(INDEX((COPIA!$DA$3:$DE$1339),MATCH(ROWS(E$10:E71),COPIA!$DF$3:$DF$1339,0),COLUMN()-1),""))</f>
        <v/>
      </c>
      <c r="F71" s="6" t="str">
        <f ca="1">IF(IFERROR(INDEX((COPIA!$DA$3:$DE$1339),MATCH(ROWS(F$10:F71),COPIA!$DF$3:$DF$1339,0),COLUMN()-1),"")=0,"",IFERROR(INDEX((COPIA!$DA$3:$DE$1339),MATCH(ROWS(F$10:F71),COPIA!$DF$3:$DF$1339,0),COLUMN()-1),""))</f>
        <v/>
      </c>
      <c r="G71" s="12"/>
    </row>
    <row r="72" spans="1:7" x14ac:dyDescent="0.3">
      <c r="A72" s="60" t="str">
        <f ca="1">COPIA!AC65</f>
        <v>CREDITI INSOLUTI</v>
      </c>
      <c r="B72" s="10" t="str">
        <f ca="1">IF(IFERROR(INDEX((COPIA!$DA$3:$DE$1339),MATCH(ROWS(B$10:B72),COPIA!$DF$3:$DF$1339,0),COLUMN()-1),"")&gt;=1,IFERROR(INDEX((COPIA!$DA$3:$DE$1339),MATCH(ROWS(B$10:B72),COPIA!$DF$3:$DF$1339,0),COLUMN()-1),""),"")</f>
        <v/>
      </c>
      <c r="C72" s="5" t="str">
        <f ca="1">SUBSTITUTE(IFERROR(INDEX((COPIA!$DA$3:$DE$1339),MATCH(ROWS(C$10:C72),COPIA!$DF$3:$DF$1339,0),COLUMN()-1),""),"MASTRO","")</f>
        <v/>
      </c>
      <c r="D72" s="136" t="str">
        <f ca="1">IF(IFERROR(INDEX((COPIA!$DA$3:$DE$1339),MATCH(ROWS(D$10:D72),COPIA!$DF$3:$DF$1339,0),COLUMN()-1),"")=0,"",IFERROR(INDEX((COPIA!$DA$3:$DE$1339),MATCH(ROWS(D$10:D72),COPIA!$DF$3:$DF$1339,0),COLUMN()-1),""))</f>
        <v/>
      </c>
      <c r="E72" s="9" t="str">
        <f ca="1">IF(IFERROR(INDEX((COPIA!$DA$3:$DE$1339),MATCH(ROWS(E$10:E72),COPIA!$DF$3:$DF$1339,0),COLUMN()-1),"")=0,"",IFERROR(INDEX((COPIA!$DA$3:$DE$1339),MATCH(ROWS(E$10:E72),COPIA!$DF$3:$DF$1339,0),COLUMN()-1),""))</f>
        <v/>
      </c>
      <c r="F72" s="6" t="str">
        <f ca="1">IF(IFERROR(INDEX((COPIA!$DA$3:$DE$1339),MATCH(ROWS(F$10:F72),COPIA!$DF$3:$DF$1339,0),COLUMN()-1),"")=0,"",IFERROR(INDEX((COPIA!$DA$3:$DE$1339),MATCH(ROWS(F$10:F72),COPIA!$DF$3:$DF$1339,0),COLUMN()-1),""))</f>
        <v/>
      </c>
      <c r="G72" s="12"/>
    </row>
    <row r="73" spans="1:7" x14ac:dyDescent="0.3">
      <c r="A73" s="60" t="str">
        <f ca="1">COPIA!AC66</f>
        <v>CAMBIALI INSOLUTE</v>
      </c>
      <c r="B73" s="10" t="str">
        <f ca="1">IF(IFERROR(INDEX((COPIA!$DA$3:$DE$1339),MATCH(ROWS(B$10:B73),COPIA!$DF$3:$DF$1339,0),COLUMN()-1),"")&gt;=1,IFERROR(INDEX((COPIA!$DA$3:$DE$1339),MATCH(ROWS(B$10:B73),COPIA!$DF$3:$DF$1339,0),COLUMN()-1),""),"")</f>
        <v/>
      </c>
      <c r="C73" s="5" t="str">
        <f ca="1">SUBSTITUTE(IFERROR(INDEX((COPIA!$DA$3:$DE$1339),MATCH(ROWS(C$10:C73),COPIA!$DF$3:$DF$1339,0),COLUMN()-1),""),"MASTRO","")</f>
        <v/>
      </c>
      <c r="D73" s="136" t="str">
        <f ca="1">IF(IFERROR(INDEX((COPIA!$DA$3:$DE$1339),MATCH(ROWS(D$10:D73),COPIA!$DF$3:$DF$1339,0),COLUMN()-1),"")=0,"",IFERROR(INDEX((COPIA!$DA$3:$DE$1339),MATCH(ROWS(D$10:D73),COPIA!$DF$3:$DF$1339,0),COLUMN()-1),""))</f>
        <v/>
      </c>
      <c r="E73" s="9" t="str">
        <f ca="1">IF(IFERROR(INDEX((COPIA!$DA$3:$DE$1339),MATCH(ROWS(E$10:E73),COPIA!$DF$3:$DF$1339,0),COLUMN()-1),"")=0,"",IFERROR(INDEX((COPIA!$DA$3:$DE$1339),MATCH(ROWS(E$10:E73),COPIA!$DF$3:$DF$1339,0),COLUMN()-1),""))</f>
        <v/>
      </c>
      <c r="F73" s="6" t="str">
        <f ca="1">IF(IFERROR(INDEX((COPIA!$DA$3:$DE$1339),MATCH(ROWS(F$10:F73),COPIA!$DF$3:$DF$1339,0),COLUMN()-1),"")=0,"",IFERROR(INDEX((COPIA!$DA$3:$DE$1339),MATCH(ROWS(F$10:F73),COPIA!$DF$3:$DF$1339,0),COLUMN()-1),""))</f>
        <v/>
      </c>
      <c r="G73" s="12"/>
    </row>
    <row r="74" spans="1:7" x14ac:dyDescent="0.3">
      <c r="A74" s="60" t="str">
        <f ca="1">COPIA!AC67</f>
        <v>CREDITI PER ACCONTI DA CLIENTI</v>
      </c>
      <c r="B74" s="10" t="str">
        <f ca="1">IF(IFERROR(INDEX((COPIA!$DA$3:$DE$1339),MATCH(ROWS(B$10:B74),COPIA!$DF$3:$DF$1339,0),COLUMN()-1),"")&gt;=1,IFERROR(INDEX((COPIA!$DA$3:$DE$1339),MATCH(ROWS(B$10:B74),COPIA!$DF$3:$DF$1339,0),COLUMN()-1),""),"")</f>
        <v/>
      </c>
      <c r="C74" s="5" t="str">
        <f ca="1">SUBSTITUTE(IFERROR(INDEX((COPIA!$DA$3:$DE$1339),MATCH(ROWS(C$10:C74),COPIA!$DF$3:$DF$1339,0),COLUMN()-1),""),"MASTRO","")</f>
        <v/>
      </c>
      <c r="D74" s="136" t="str">
        <f ca="1">IF(IFERROR(INDEX((COPIA!$DA$3:$DE$1339),MATCH(ROWS(D$10:D74),COPIA!$DF$3:$DF$1339,0),COLUMN()-1),"")=0,"",IFERROR(INDEX((COPIA!$DA$3:$DE$1339),MATCH(ROWS(D$10:D74),COPIA!$DF$3:$DF$1339,0),COLUMN()-1),""))</f>
        <v/>
      </c>
      <c r="E74" s="9" t="str">
        <f ca="1">IF(IFERROR(INDEX((COPIA!$DA$3:$DE$1339),MATCH(ROWS(E$10:E74),COPIA!$DF$3:$DF$1339,0),COLUMN()-1),"")=0,"",IFERROR(INDEX((COPIA!$DA$3:$DE$1339),MATCH(ROWS(E$10:E74),COPIA!$DF$3:$DF$1339,0),COLUMN()-1),""))</f>
        <v/>
      </c>
      <c r="F74" s="6" t="str">
        <f ca="1">IF(IFERROR(INDEX((COPIA!$DA$3:$DE$1339),MATCH(ROWS(F$10:F74),COPIA!$DF$3:$DF$1339,0),COLUMN()-1),"")=0,"",IFERROR(INDEX((COPIA!$DA$3:$DE$1339),MATCH(ROWS(F$10:F74),COPIA!$DF$3:$DF$1339,0),COLUMN()-1),""))</f>
        <v/>
      </c>
      <c r="G74" s="12"/>
    </row>
    <row r="75" spans="1:7" x14ac:dyDescent="0.3">
      <c r="A75" s="60" t="str">
        <f ca="1">COPIA!AC68</f>
        <v>FONDO SVALUTAZIONE CREDITI</v>
      </c>
      <c r="B75" s="10" t="str">
        <f ca="1">IF(IFERROR(INDEX((COPIA!$DA$3:$DE$1339),MATCH(ROWS(B$10:B75),COPIA!$DF$3:$DF$1339,0),COLUMN()-1),"")&gt;=1,IFERROR(INDEX((COPIA!$DA$3:$DE$1339),MATCH(ROWS(B$10:B75),COPIA!$DF$3:$DF$1339,0),COLUMN()-1),""),"")</f>
        <v/>
      </c>
      <c r="C75" s="5" t="str">
        <f ca="1">SUBSTITUTE(IFERROR(INDEX((COPIA!$DA$3:$DE$1339),MATCH(ROWS(C$10:C75),COPIA!$DF$3:$DF$1339,0),COLUMN()-1),""),"MASTRO","")</f>
        <v/>
      </c>
      <c r="D75" s="136" t="str">
        <f ca="1">IF(IFERROR(INDEX((COPIA!$DA$3:$DE$1339),MATCH(ROWS(D$10:D75),COPIA!$DF$3:$DF$1339,0),COLUMN()-1),"")=0,"",IFERROR(INDEX((COPIA!$DA$3:$DE$1339),MATCH(ROWS(D$10:D75),COPIA!$DF$3:$DF$1339,0),COLUMN()-1),""))</f>
        <v/>
      </c>
      <c r="E75" s="9" t="str">
        <f ca="1">IF(IFERROR(INDEX((COPIA!$DA$3:$DE$1339),MATCH(ROWS(E$10:E75),COPIA!$DF$3:$DF$1339,0),COLUMN()-1),"")=0,"",IFERROR(INDEX((COPIA!$DA$3:$DE$1339),MATCH(ROWS(E$10:E75),COPIA!$DF$3:$DF$1339,0),COLUMN()-1),""))</f>
        <v/>
      </c>
      <c r="F75" s="6" t="str">
        <f ca="1">IF(IFERROR(INDEX((COPIA!$DA$3:$DE$1339),MATCH(ROWS(F$10:F75),COPIA!$DF$3:$DF$1339,0),COLUMN()-1),"")=0,"",IFERROR(INDEX((COPIA!$DA$3:$DE$1339),MATCH(ROWS(F$10:F75),COPIA!$DF$3:$DF$1339,0),COLUMN()-1),""))</f>
        <v/>
      </c>
      <c r="G75" s="12"/>
    </row>
    <row r="76" spans="1:7" x14ac:dyDescent="0.3">
      <c r="A76" s="60" t="str">
        <f ca="1">COPIA!AC69</f>
        <v>IVA NS/CREDITO</v>
      </c>
      <c r="B76" s="10" t="str">
        <f ca="1">IF(IFERROR(INDEX((COPIA!$DA$3:$DE$1339),MATCH(ROWS(B$10:B76),COPIA!$DF$3:$DF$1339,0),COLUMN()-1),"")&gt;=1,IFERROR(INDEX((COPIA!$DA$3:$DE$1339),MATCH(ROWS(B$10:B76),COPIA!$DF$3:$DF$1339,0),COLUMN()-1),""),"")</f>
        <v/>
      </c>
      <c r="C76" s="5" t="str">
        <f ca="1">SUBSTITUTE(IFERROR(INDEX((COPIA!$DA$3:$DE$1339),MATCH(ROWS(C$10:C76),COPIA!$DF$3:$DF$1339,0),COLUMN()-1),""),"MASTRO","")</f>
        <v/>
      </c>
      <c r="D76" s="136" t="str">
        <f ca="1">IF(IFERROR(INDEX((COPIA!$DA$3:$DE$1339),MATCH(ROWS(D$10:D76),COPIA!$DF$3:$DF$1339,0),COLUMN()-1),"")=0,"",IFERROR(INDEX((COPIA!$DA$3:$DE$1339),MATCH(ROWS(D$10:D76),COPIA!$DF$3:$DF$1339,0),COLUMN()-1),""))</f>
        <v/>
      </c>
      <c r="E76" s="9" t="str">
        <f ca="1">IF(IFERROR(INDEX((COPIA!$DA$3:$DE$1339),MATCH(ROWS(E$10:E76),COPIA!$DF$3:$DF$1339,0),COLUMN()-1),"")=0,"",IFERROR(INDEX((COPIA!$DA$3:$DE$1339),MATCH(ROWS(E$10:E76),COPIA!$DF$3:$DF$1339,0),COLUMN()-1),""))</f>
        <v/>
      </c>
      <c r="F76" s="6" t="str">
        <f ca="1">IF(IFERROR(INDEX((COPIA!$DA$3:$DE$1339),MATCH(ROWS(F$10:F76),COPIA!$DF$3:$DF$1339,0),COLUMN()-1),"")=0,"",IFERROR(INDEX((COPIA!$DA$3:$DE$1339),MATCH(ROWS(F$10:F76),COPIA!$DF$3:$DF$1339,0),COLUMN()-1),""))</f>
        <v/>
      </c>
      <c r="G76" s="12"/>
    </row>
    <row r="77" spans="1:7" x14ac:dyDescent="0.3">
      <c r="A77" s="60" t="str">
        <f ca="1">COPIA!AC70</f>
        <v>IVA C/ACCONTO</v>
      </c>
      <c r="B77" s="10" t="str">
        <f ca="1">IF(IFERROR(INDEX((COPIA!$DA$3:$DE$1339),MATCH(ROWS(B$10:B77),COPIA!$DF$3:$DF$1339,0),COLUMN()-1),"")&gt;=1,IFERROR(INDEX((COPIA!$DA$3:$DE$1339),MATCH(ROWS(B$10:B77),COPIA!$DF$3:$DF$1339,0),COLUMN()-1),""),"")</f>
        <v/>
      </c>
      <c r="C77" s="5" t="str">
        <f ca="1">SUBSTITUTE(IFERROR(INDEX((COPIA!$DA$3:$DE$1339),MATCH(ROWS(C$10:C77),COPIA!$DF$3:$DF$1339,0),COLUMN()-1),""),"MASTRO","")</f>
        <v/>
      </c>
      <c r="D77" s="136" t="str">
        <f ca="1">IF(IFERROR(INDEX((COPIA!$DA$3:$DE$1339),MATCH(ROWS(D$10:D77),COPIA!$DF$3:$DF$1339,0),COLUMN()-1),"")=0,"",IFERROR(INDEX((COPIA!$DA$3:$DE$1339),MATCH(ROWS(D$10:D77),COPIA!$DF$3:$DF$1339,0),COLUMN()-1),""))</f>
        <v/>
      </c>
      <c r="E77" s="9" t="str">
        <f ca="1">IF(IFERROR(INDEX((COPIA!$DA$3:$DE$1339),MATCH(ROWS(E$10:E77),COPIA!$DF$3:$DF$1339,0),COLUMN()-1),"")=0,"",IFERROR(INDEX((COPIA!$DA$3:$DE$1339),MATCH(ROWS(E$10:E77),COPIA!$DF$3:$DF$1339,0),COLUMN()-1),""))</f>
        <v/>
      </c>
      <c r="F77" s="6" t="str">
        <f ca="1">IF(IFERROR(INDEX((COPIA!$DA$3:$DE$1339),MATCH(ROWS(F$10:F77),COPIA!$DF$3:$DF$1339,0),COLUMN()-1),"")=0,"",IFERROR(INDEX((COPIA!$DA$3:$DE$1339),MATCH(ROWS(F$10:F77),COPIA!$DF$3:$DF$1339,0),COLUMN()-1),""))</f>
        <v/>
      </c>
      <c r="G77" s="12"/>
    </row>
    <row r="78" spans="1:7" x14ac:dyDescent="0.3">
      <c r="A78" s="60" t="str">
        <f ca="1">COPIA!AC71</f>
        <v>CREDITI PER IVA</v>
      </c>
      <c r="B78" s="10" t="str">
        <f ca="1">IF(IFERROR(INDEX((COPIA!$DA$3:$DE$1339),MATCH(ROWS(B$10:B78),COPIA!$DF$3:$DF$1339,0),COLUMN()-1),"")&gt;=1,IFERROR(INDEX((COPIA!$DA$3:$DE$1339),MATCH(ROWS(B$10:B78),COPIA!$DF$3:$DF$1339,0),COLUMN()-1),""),"")</f>
        <v/>
      </c>
      <c r="C78" s="5" t="str">
        <f ca="1">SUBSTITUTE(IFERROR(INDEX((COPIA!$DA$3:$DE$1339),MATCH(ROWS(C$10:C78),COPIA!$DF$3:$DF$1339,0),COLUMN()-1),""),"MASTRO","")</f>
        <v/>
      </c>
      <c r="D78" s="136" t="str">
        <f ca="1">IF(IFERROR(INDEX((COPIA!$DA$3:$DE$1339),MATCH(ROWS(D$10:D78),COPIA!$DF$3:$DF$1339,0),COLUMN()-1),"")=0,"",IFERROR(INDEX((COPIA!$DA$3:$DE$1339),MATCH(ROWS(D$10:D78),COPIA!$DF$3:$DF$1339,0),COLUMN()-1),""))</f>
        <v/>
      </c>
      <c r="E78" s="9" t="str">
        <f ca="1">IF(IFERROR(INDEX((COPIA!$DA$3:$DE$1339),MATCH(ROWS(E$10:E78),COPIA!$DF$3:$DF$1339,0),COLUMN()-1),"")=0,"",IFERROR(INDEX((COPIA!$DA$3:$DE$1339),MATCH(ROWS(E$10:E78),COPIA!$DF$3:$DF$1339,0),COLUMN()-1),""))</f>
        <v/>
      </c>
      <c r="F78" s="6" t="str">
        <f ca="1">IF(IFERROR(INDEX((COPIA!$DA$3:$DE$1339),MATCH(ROWS(F$10:F78),COPIA!$DF$3:$DF$1339,0),COLUMN()-1),"")=0,"",IFERROR(INDEX((COPIA!$DA$3:$DE$1339),MATCH(ROWS(F$10:F78),COPIA!$DF$3:$DF$1339,0),COLUMN()-1),""))</f>
        <v/>
      </c>
      <c r="G78" s="12"/>
    </row>
    <row r="79" spans="1:7" x14ac:dyDescent="0.3">
      <c r="A79" s="60" t="str">
        <f ca="1">COPIA!AC72</f>
        <v>IMPOSTE C/ACCONTO</v>
      </c>
      <c r="B79" s="10" t="str">
        <f ca="1">IF(IFERROR(INDEX((COPIA!$DA$3:$DE$1339),MATCH(ROWS(B$10:B79),COPIA!$DF$3:$DF$1339,0),COLUMN()-1),"")&gt;=1,IFERROR(INDEX((COPIA!$DA$3:$DE$1339),MATCH(ROWS(B$10:B79),COPIA!$DF$3:$DF$1339,0),COLUMN()-1),""),"")</f>
        <v/>
      </c>
      <c r="C79" s="5" t="str">
        <f ca="1">SUBSTITUTE(IFERROR(INDEX((COPIA!$DA$3:$DE$1339),MATCH(ROWS(C$10:C79),COPIA!$DF$3:$DF$1339,0),COLUMN()-1),""),"MASTRO","")</f>
        <v/>
      </c>
      <c r="D79" s="136" t="str">
        <f ca="1">IF(IFERROR(INDEX((COPIA!$DA$3:$DE$1339),MATCH(ROWS(D$10:D79),COPIA!$DF$3:$DF$1339,0),COLUMN()-1),"")=0,"",IFERROR(INDEX((COPIA!$DA$3:$DE$1339),MATCH(ROWS(D$10:D79),COPIA!$DF$3:$DF$1339,0),COLUMN()-1),""))</f>
        <v/>
      </c>
      <c r="E79" s="9" t="str">
        <f ca="1">IF(IFERROR(INDEX((COPIA!$DA$3:$DE$1339),MATCH(ROWS(E$10:E79),COPIA!$DF$3:$DF$1339,0),COLUMN()-1),"")=0,"",IFERROR(INDEX((COPIA!$DA$3:$DE$1339),MATCH(ROWS(E$10:E79),COPIA!$DF$3:$DF$1339,0),COLUMN()-1),""))</f>
        <v/>
      </c>
      <c r="F79" s="6" t="str">
        <f ca="1">IF(IFERROR(INDEX((COPIA!$DA$3:$DE$1339),MATCH(ROWS(F$10:F79),COPIA!$DF$3:$DF$1339,0),COLUMN()-1),"")=0,"",IFERROR(INDEX((COPIA!$DA$3:$DE$1339),MATCH(ROWS(F$10:F79),COPIA!$DF$3:$DF$1339,0),COLUMN()-1),""))</f>
        <v/>
      </c>
      <c r="G79" s="12"/>
    </row>
    <row r="80" spans="1:7" x14ac:dyDescent="0.3">
      <c r="A80" s="60" t="str">
        <f ca="1">COPIA!AC73</f>
        <v>CREDITI PER RITENUTE SUBITE</v>
      </c>
      <c r="B80" s="10" t="str">
        <f ca="1">IF(IFERROR(INDEX((COPIA!$DA$3:$DE$1339),MATCH(ROWS(B$10:B80),COPIA!$DF$3:$DF$1339,0),COLUMN()-1),"")&gt;=1,IFERROR(INDEX((COPIA!$DA$3:$DE$1339),MATCH(ROWS(B$10:B80),COPIA!$DF$3:$DF$1339,0),COLUMN()-1),""),"")</f>
        <v/>
      </c>
      <c r="C80" s="5" t="str">
        <f ca="1">SUBSTITUTE(IFERROR(INDEX((COPIA!$DA$3:$DE$1339),MATCH(ROWS(C$10:C80),COPIA!$DF$3:$DF$1339,0),COLUMN()-1),""),"MASTRO","")</f>
        <v/>
      </c>
      <c r="D80" s="136" t="str">
        <f ca="1">IF(IFERROR(INDEX((COPIA!$DA$3:$DE$1339),MATCH(ROWS(D$10:D80),COPIA!$DF$3:$DF$1339,0),COLUMN()-1),"")=0,"",IFERROR(INDEX((COPIA!$DA$3:$DE$1339),MATCH(ROWS(D$10:D80),COPIA!$DF$3:$DF$1339,0),COLUMN()-1),""))</f>
        <v/>
      </c>
      <c r="E80" s="9" t="str">
        <f ca="1">IF(IFERROR(INDEX((COPIA!$DA$3:$DE$1339),MATCH(ROWS(E$10:E80),COPIA!$DF$3:$DF$1339,0),COLUMN()-1),"")=0,"",IFERROR(INDEX((COPIA!$DA$3:$DE$1339),MATCH(ROWS(E$10:E80),COPIA!$DF$3:$DF$1339,0),COLUMN()-1),""))</f>
        <v/>
      </c>
      <c r="F80" s="6" t="str">
        <f ca="1">IF(IFERROR(INDEX((COPIA!$DA$3:$DE$1339),MATCH(ROWS(F$10:F80),COPIA!$DF$3:$DF$1339,0),COLUMN()-1),"")=0,"",IFERROR(INDEX((COPIA!$DA$3:$DE$1339),MATCH(ROWS(F$10:F80),COPIA!$DF$3:$DF$1339,0),COLUMN()-1),""))</f>
        <v/>
      </c>
      <c r="G80" s="12"/>
    </row>
    <row r="81" spans="1:7" x14ac:dyDescent="0.3">
      <c r="A81" s="60" t="str">
        <f ca="1">COPIA!AC74</f>
        <v>CREDITI PER IMPOSTE</v>
      </c>
      <c r="B81" s="10" t="str">
        <f ca="1">IF(IFERROR(INDEX((COPIA!$DA$3:$DE$1339),MATCH(ROWS(B$10:B81),COPIA!$DF$3:$DF$1339,0),COLUMN()-1),"")&gt;=1,IFERROR(INDEX((COPIA!$DA$3:$DE$1339),MATCH(ROWS(B$10:B81),COPIA!$DF$3:$DF$1339,0),COLUMN()-1),""),"")</f>
        <v/>
      </c>
      <c r="C81" s="5" t="str">
        <f ca="1">SUBSTITUTE(IFERROR(INDEX((COPIA!$DA$3:$DE$1339),MATCH(ROWS(C$10:C81),COPIA!$DF$3:$DF$1339,0),COLUMN()-1),""),"MASTRO","")</f>
        <v/>
      </c>
      <c r="D81" s="136" t="str">
        <f ca="1">IF(IFERROR(INDEX((COPIA!$DA$3:$DE$1339),MATCH(ROWS(D$10:D81),COPIA!$DF$3:$DF$1339,0),COLUMN()-1),"")=0,"",IFERROR(INDEX((COPIA!$DA$3:$DE$1339),MATCH(ROWS(D$10:D81),COPIA!$DF$3:$DF$1339,0),COLUMN()-1),""))</f>
        <v/>
      </c>
      <c r="E81" s="9" t="str">
        <f ca="1">IF(IFERROR(INDEX((COPIA!$DA$3:$DE$1339),MATCH(ROWS(E$10:E81),COPIA!$DF$3:$DF$1339,0),COLUMN()-1),"")=0,"",IFERROR(INDEX((COPIA!$DA$3:$DE$1339),MATCH(ROWS(E$10:E81),COPIA!$DF$3:$DF$1339,0),COLUMN()-1),""))</f>
        <v/>
      </c>
      <c r="F81" s="6" t="str">
        <f ca="1">IF(IFERROR(INDEX((COPIA!$DA$3:$DE$1339),MATCH(ROWS(F$10:F81),COPIA!$DF$3:$DF$1339,0),COLUMN()-1),"")=0,"",IFERROR(INDEX((COPIA!$DA$3:$DE$1339),MATCH(ROWS(F$10:F81),COPIA!$DF$3:$DF$1339,0),COLUMN()-1),""))</f>
        <v/>
      </c>
      <c r="G81" s="12"/>
    </row>
    <row r="82" spans="1:7" x14ac:dyDescent="0.3">
      <c r="A82" s="60" t="str">
        <f ca="1">COPIA!AC75</f>
        <v>CREDITI D'IMPOSTA</v>
      </c>
      <c r="B82" s="10" t="str">
        <f ca="1">IF(IFERROR(INDEX((COPIA!$DA$3:$DE$1339),MATCH(ROWS(B$10:B82),COPIA!$DF$3:$DF$1339,0),COLUMN()-1),"")&gt;=1,IFERROR(INDEX((COPIA!$DA$3:$DE$1339),MATCH(ROWS(B$10:B82),COPIA!$DF$3:$DF$1339,0),COLUMN()-1),""),"")</f>
        <v/>
      </c>
      <c r="C82" s="5" t="str">
        <f ca="1">SUBSTITUTE(IFERROR(INDEX((COPIA!$DA$3:$DE$1339),MATCH(ROWS(C$10:C82),COPIA!$DF$3:$DF$1339,0),COLUMN()-1),""),"MASTRO","")</f>
        <v/>
      </c>
      <c r="D82" s="136" t="str">
        <f ca="1">IF(IFERROR(INDEX((COPIA!$DA$3:$DE$1339),MATCH(ROWS(D$10:D82),COPIA!$DF$3:$DF$1339,0),COLUMN()-1),"")=0,"",IFERROR(INDEX((COPIA!$DA$3:$DE$1339),MATCH(ROWS(D$10:D82),COPIA!$DF$3:$DF$1339,0),COLUMN()-1),""))</f>
        <v/>
      </c>
      <c r="E82" s="9" t="str">
        <f ca="1">IF(IFERROR(INDEX((COPIA!$DA$3:$DE$1339),MATCH(ROWS(E$10:E82),COPIA!$DF$3:$DF$1339,0),COLUMN()-1),"")=0,"",IFERROR(INDEX((COPIA!$DA$3:$DE$1339),MATCH(ROWS(E$10:E82),COPIA!$DF$3:$DF$1339,0),COLUMN()-1),""))</f>
        <v/>
      </c>
      <c r="F82" s="6" t="str">
        <f ca="1">IF(IFERROR(INDEX((COPIA!$DA$3:$DE$1339),MATCH(ROWS(F$10:F82),COPIA!$DF$3:$DF$1339,0),COLUMN()-1),"")=0,"",IFERROR(INDEX((COPIA!$DA$3:$DE$1339),MATCH(ROWS(F$10:F82),COPIA!$DF$3:$DF$1339,0),COLUMN()-1),""))</f>
        <v/>
      </c>
      <c r="G82" s="12"/>
    </row>
    <row r="83" spans="1:7" x14ac:dyDescent="0.3">
      <c r="A83" s="60" t="str">
        <f ca="1">COPIA!AC76</f>
        <v>CREDITI V/ISTITUTI PREVIDENZIALI</v>
      </c>
      <c r="B83" s="10" t="str">
        <f ca="1">IF(IFERROR(INDEX((COPIA!$DA$3:$DE$1339),MATCH(ROWS(B$10:B83),COPIA!$DF$3:$DF$1339,0),COLUMN()-1),"")&gt;=1,IFERROR(INDEX((COPIA!$DA$3:$DE$1339),MATCH(ROWS(B$10:B83),COPIA!$DF$3:$DF$1339,0),COLUMN()-1),""),"")</f>
        <v/>
      </c>
      <c r="C83" s="5" t="str">
        <f ca="1">SUBSTITUTE(IFERROR(INDEX((COPIA!$DA$3:$DE$1339),MATCH(ROWS(C$10:C83),COPIA!$DF$3:$DF$1339,0),COLUMN()-1),""),"MASTRO","")</f>
        <v/>
      </c>
      <c r="D83" s="136" t="str">
        <f ca="1">IF(IFERROR(INDEX((COPIA!$DA$3:$DE$1339),MATCH(ROWS(D$10:D83),COPIA!$DF$3:$DF$1339,0),COLUMN()-1),"")=0,"",IFERROR(INDEX((COPIA!$DA$3:$DE$1339),MATCH(ROWS(D$10:D83),COPIA!$DF$3:$DF$1339,0),COLUMN()-1),""))</f>
        <v/>
      </c>
      <c r="E83" s="9" t="str">
        <f ca="1">IF(IFERROR(INDEX((COPIA!$DA$3:$DE$1339),MATCH(ROWS(E$10:E83),COPIA!$DF$3:$DF$1339,0),COLUMN()-1),"")=0,"",IFERROR(INDEX((COPIA!$DA$3:$DE$1339),MATCH(ROWS(E$10:E83),COPIA!$DF$3:$DF$1339,0),COLUMN()-1),""))</f>
        <v/>
      </c>
      <c r="F83" s="6" t="str">
        <f ca="1">IF(IFERROR(INDEX((COPIA!$DA$3:$DE$1339),MATCH(ROWS(F$10:F83),COPIA!$DF$3:$DF$1339,0),COLUMN()-1),"")=0,"",IFERROR(INDEX((COPIA!$DA$3:$DE$1339),MATCH(ROWS(F$10:F83),COPIA!$DF$3:$DF$1339,0),COLUMN()-1),""))</f>
        <v/>
      </c>
      <c r="G83" s="12"/>
    </row>
    <row r="84" spans="1:7" x14ac:dyDescent="0.3">
      <c r="A84" s="60" t="str">
        <f ca="1">COPIA!AC77</f>
        <v>CREDITI PER CAUZIONI</v>
      </c>
      <c r="B84" s="10" t="str">
        <f ca="1">IF(IFERROR(INDEX((COPIA!$DA$3:$DE$1339),MATCH(ROWS(B$10:B84),COPIA!$DF$3:$DF$1339,0),COLUMN()-1),"")&gt;=1,IFERROR(INDEX((COPIA!$DA$3:$DE$1339),MATCH(ROWS(B$10:B84),COPIA!$DF$3:$DF$1339,0),COLUMN()-1),""),"")</f>
        <v/>
      </c>
      <c r="C84" s="5" t="str">
        <f ca="1">SUBSTITUTE(IFERROR(INDEX((COPIA!$DA$3:$DE$1339),MATCH(ROWS(C$10:C84),COPIA!$DF$3:$DF$1339,0),COLUMN()-1),""),"MASTRO","")</f>
        <v/>
      </c>
      <c r="D84" s="136" t="str">
        <f ca="1">IF(IFERROR(INDEX((COPIA!$DA$3:$DE$1339),MATCH(ROWS(D$10:D84),COPIA!$DF$3:$DF$1339,0),COLUMN()-1),"")=0,"",IFERROR(INDEX((COPIA!$DA$3:$DE$1339),MATCH(ROWS(D$10:D84),COPIA!$DF$3:$DF$1339,0),COLUMN()-1),""))</f>
        <v/>
      </c>
      <c r="E84" s="9" t="str">
        <f ca="1">IF(IFERROR(INDEX((COPIA!$DA$3:$DE$1339),MATCH(ROWS(E$10:E84),COPIA!$DF$3:$DF$1339,0),COLUMN()-1),"")=0,"",IFERROR(INDEX((COPIA!$DA$3:$DE$1339),MATCH(ROWS(E$10:E84),COPIA!$DF$3:$DF$1339,0),COLUMN()-1),""))</f>
        <v/>
      </c>
      <c r="F84" s="6" t="str">
        <f ca="1">IF(IFERROR(INDEX((COPIA!$DA$3:$DE$1339),MATCH(ROWS(F$10:F84),COPIA!$DF$3:$DF$1339,0),COLUMN()-1),"")=0,"",IFERROR(INDEX((COPIA!$DA$3:$DE$1339),MATCH(ROWS(F$10:F84),COPIA!$DF$3:$DF$1339,0),COLUMN()-1),""))</f>
        <v/>
      </c>
      <c r="G84" s="12"/>
    </row>
    <row r="85" spans="1:7" x14ac:dyDescent="0.3">
      <c r="A85" s="60" t="str">
        <f ca="1">COPIA!AC78</f>
        <v>CREDITI DIVERSI</v>
      </c>
      <c r="B85" s="10" t="str">
        <f ca="1">IF(IFERROR(INDEX((COPIA!$DA$3:$DE$1339),MATCH(ROWS(B$10:B85),COPIA!$DF$3:$DF$1339,0),COLUMN()-1),"")&gt;=1,IFERROR(INDEX((COPIA!$DA$3:$DE$1339),MATCH(ROWS(B$10:B85),COPIA!$DF$3:$DF$1339,0),COLUMN()-1),""),"")</f>
        <v/>
      </c>
      <c r="C85" s="5" t="str">
        <f ca="1">SUBSTITUTE(IFERROR(INDEX((COPIA!$DA$3:$DE$1339),MATCH(ROWS(C$10:C85),COPIA!$DF$3:$DF$1339,0),COLUMN()-1),""),"MASTRO","")</f>
        <v/>
      </c>
      <c r="D85" s="136" t="str">
        <f ca="1">IF(IFERROR(INDEX((COPIA!$DA$3:$DE$1339),MATCH(ROWS(D$10:D85),COPIA!$DF$3:$DF$1339,0),COLUMN()-1),"")=0,"",IFERROR(INDEX((COPIA!$DA$3:$DE$1339),MATCH(ROWS(D$10:D85),COPIA!$DF$3:$DF$1339,0),COLUMN()-1),""))</f>
        <v/>
      </c>
      <c r="E85" s="9" t="str">
        <f ca="1">IF(IFERROR(INDEX((COPIA!$DA$3:$DE$1339),MATCH(ROWS(E$10:E85),COPIA!$DF$3:$DF$1339,0),COLUMN()-1),"")=0,"",IFERROR(INDEX((COPIA!$DA$3:$DE$1339),MATCH(ROWS(E$10:E85),COPIA!$DF$3:$DF$1339,0),COLUMN()-1),""))</f>
        <v/>
      </c>
      <c r="F85" s="6" t="str">
        <f ca="1">IF(IFERROR(INDEX((COPIA!$DA$3:$DE$1339),MATCH(ROWS(F$10:F85),COPIA!$DF$3:$DF$1339,0),COLUMN()-1),"")=0,"",IFERROR(INDEX((COPIA!$DA$3:$DE$1339),MATCH(ROWS(F$10:F85),COPIA!$DF$3:$DF$1339,0),COLUMN()-1),""))</f>
        <v/>
      </c>
      <c r="G85" s="12"/>
    </row>
    <row r="86" spans="1:7" x14ac:dyDescent="0.3">
      <c r="A86" s="60" t="str">
        <f ca="1">COPIA!AC79</f>
        <v>CREDITI V/CONTROLLATE</v>
      </c>
      <c r="B86" s="10" t="str">
        <f ca="1">IF(IFERROR(INDEX((COPIA!$DA$3:$DE$1339),MATCH(ROWS(B$10:B86),COPIA!$DF$3:$DF$1339,0),COLUMN()-1),"")&gt;=1,IFERROR(INDEX((COPIA!$DA$3:$DE$1339),MATCH(ROWS(B$10:B86),COPIA!$DF$3:$DF$1339,0),COLUMN()-1),""),"")</f>
        <v/>
      </c>
      <c r="C86" s="5" t="str">
        <f ca="1">SUBSTITUTE(IFERROR(INDEX((COPIA!$DA$3:$DE$1339),MATCH(ROWS(C$10:C86),COPIA!$DF$3:$DF$1339,0),COLUMN()-1),""),"MASTRO","")</f>
        <v/>
      </c>
      <c r="D86" s="136" t="str">
        <f ca="1">IF(IFERROR(INDEX((COPIA!$DA$3:$DE$1339),MATCH(ROWS(D$10:D86),COPIA!$DF$3:$DF$1339,0),COLUMN()-1),"")=0,"",IFERROR(INDEX((COPIA!$DA$3:$DE$1339),MATCH(ROWS(D$10:D86),COPIA!$DF$3:$DF$1339,0),COLUMN()-1),""))</f>
        <v/>
      </c>
      <c r="E86" s="9" t="str">
        <f ca="1">IF(IFERROR(INDEX((COPIA!$DA$3:$DE$1339),MATCH(ROWS(E$10:E86),COPIA!$DF$3:$DF$1339,0),COLUMN()-1),"")=0,"",IFERROR(INDEX((COPIA!$DA$3:$DE$1339),MATCH(ROWS(E$10:E86),COPIA!$DF$3:$DF$1339,0),COLUMN()-1),""))</f>
        <v/>
      </c>
      <c r="F86" s="6" t="str">
        <f ca="1">IF(IFERROR(INDEX((COPIA!$DA$3:$DE$1339),MATCH(ROWS(F$10:F86),COPIA!$DF$3:$DF$1339,0),COLUMN()-1),"")=0,"",IFERROR(INDEX((COPIA!$DA$3:$DE$1339),MATCH(ROWS(F$10:F86),COPIA!$DF$3:$DF$1339,0),COLUMN()-1),""))</f>
        <v/>
      </c>
      <c r="G86" s="12"/>
    </row>
    <row r="87" spans="1:7" x14ac:dyDescent="0.3">
      <c r="A87" s="60" t="str">
        <f ca="1">COPIA!AC80</f>
        <v>CREDITI V/COLLEGATE</v>
      </c>
      <c r="B87" s="10" t="str">
        <f ca="1">IF(IFERROR(INDEX((COPIA!$DA$3:$DE$1339),MATCH(ROWS(B$10:B87),COPIA!$DF$3:$DF$1339,0),COLUMN()-1),"")&gt;=1,IFERROR(INDEX((COPIA!$DA$3:$DE$1339),MATCH(ROWS(B$10:B87),COPIA!$DF$3:$DF$1339,0),COLUMN()-1),""),"")</f>
        <v/>
      </c>
      <c r="C87" s="5" t="str">
        <f ca="1">SUBSTITUTE(IFERROR(INDEX((COPIA!$DA$3:$DE$1339),MATCH(ROWS(C$10:C87),COPIA!$DF$3:$DF$1339,0),COLUMN()-1),""),"MASTRO","")</f>
        <v/>
      </c>
      <c r="D87" s="136" t="str">
        <f ca="1">IF(IFERROR(INDEX((COPIA!$DA$3:$DE$1339),MATCH(ROWS(D$10:D87),COPIA!$DF$3:$DF$1339,0),COLUMN()-1),"")=0,"",IFERROR(INDEX((COPIA!$DA$3:$DE$1339),MATCH(ROWS(D$10:D87),COPIA!$DF$3:$DF$1339,0),COLUMN()-1),""))</f>
        <v/>
      </c>
      <c r="E87" s="9" t="str">
        <f ca="1">IF(IFERROR(INDEX((COPIA!$DA$3:$DE$1339),MATCH(ROWS(E$10:E87),COPIA!$DF$3:$DF$1339,0),COLUMN()-1),"")=0,"",IFERROR(INDEX((COPIA!$DA$3:$DE$1339),MATCH(ROWS(E$10:E87),COPIA!$DF$3:$DF$1339,0),COLUMN()-1),""))</f>
        <v/>
      </c>
      <c r="F87" s="6" t="str">
        <f ca="1">IF(IFERROR(INDEX((COPIA!$DA$3:$DE$1339),MATCH(ROWS(F$10:F87),COPIA!$DF$3:$DF$1339,0),COLUMN()-1),"")=0,"",IFERROR(INDEX((COPIA!$DA$3:$DE$1339),MATCH(ROWS(F$10:F87),COPIA!$DF$3:$DF$1339,0),COLUMN()-1),""))</f>
        <v/>
      </c>
      <c r="G87" s="12"/>
    </row>
    <row r="88" spans="1:7" x14ac:dyDescent="0.3">
      <c r="A88" s="60" t="str">
        <f ca="1">COPIA!AC81</f>
        <v>CREDITI V/CONTROLLANTE</v>
      </c>
      <c r="B88" s="10" t="str">
        <f ca="1">IF(IFERROR(INDEX((COPIA!$DA$3:$DE$1339),MATCH(ROWS(B$10:B88),COPIA!$DF$3:$DF$1339,0),COLUMN()-1),"")&gt;=1,IFERROR(INDEX((COPIA!$DA$3:$DE$1339),MATCH(ROWS(B$10:B88),COPIA!$DF$3:$DF$1339,0),COLUMN()-1),""),"")</f>
        <v/>
      </c>
      <c r="C88" s="5" t="str">
        <f ca="1">SUBSTITUTE(IFERROR(INDEX((COPIA!$DA$3:$DE$1339),MATCH(ROWS(C$10:C88),COPIA!$DF$3:$DF$1339,0),COLUMN()-1),""),"MASTRO","")</f>
        <v/>
      </c>
      <c r="D88" s="136" t="str">
        <f ca="1">IF(IFERROR(INDEX((COPIA!$DA$3:$DE$1339),MATCH(ROWS(D$10:D88),COPIA!$DF$3:$DF$1339,0),COLUMN()-1),"")=0,"",IFERROR(INDEX((COPIA!$DA$3:$DE$1339),MATCH(ROWS(D$10:D88),COPIA!$DF$3:$DF$1339,0),COLUMN()-1),""))</f>
        <v/>
      </c>
      <c r="E88" s="9" t="str">
        <f ca="1">IF(IFERROR(INDEX((COPIA!$DA$3:$DE$1339),MATCH(ROWS(E$10:E88),COPIA!$DF$3:$DF$1339,0),COLUMN()-1),"")=0,"",IFERROR(INDEX((COPIA!$DA$3:$DE$1339),MATCH(ROWS(E$10:E88),COPIA!$DF$3:$DF$1339,0),COLUMN()-1),""))</f>
        <v/>
      </c>
      <c r="F88" s="6" t="str">
        <f ca="1">IF(IFERROR(INDEX((COPIA!$DA$3:$DE$1339),MATCH(ROWS(F$10:F88),COPIA!$DF$3:$DF$1339,0),COLUMN()-1),"")=0,"",IFERROR(INDEX((COPIA!$DA$3:$DE$1339),MATCH(ROWS(F$10:F88),COPIA!$DF$3:$DF$1339,0),COLUMN()-1),""))</f>
        <v/>
      </c>
      <c r="G88" s="12"/>
    </row>
    <row r="89" spans="1:7" x14ac:dyDescent="0.3">
      <c r="A89" s="60" t="str">
        <f ca="1">COPIA!AC82</f>
        <v>PERSONALE C/ACCONTI</v>
      </c>
      <c r="B89" s="10" t="str">
        <f ca="1">IF(IFERROR(INDEX((COPIA!$DA$3:$DE$1339),MATCH(ROWS(B$10:B89),COPIA!$DF$3:$DF$1339,0),COLUMN()-1),"")&gt;=1,IFERROR(INDEX((COPIA!$DA$3:$DE$1339),MATCH(ROWS(B$10:B89),COPIA!$DF$3:$DF$1339,0),COLUMN()-1),""),"")</f>
        <v/>
      </c>
      <c r="C89" s="5" t="str">
        <f ca="1">SUBSTITUTE(IFERROR(INDEX((COPIA!$DA$3:$DE$1339),MATCH(ROWS(C$10:C89),COPIA!$DF$3:$DF$1339,0),COLUMN()-1),""),"MASTRO","")</f>
        <v/>
      </c>
      <c r="D89" s="136" t="str">
        <f ca="1">IF(IFERROR(INDEX((COPIA!$DA$3:$DE$1339),MATCH(ROWS(D$10:D89),COPIA!$DF$3:$DF$1339,0),COLUMN()-1),"")=0,"",IFERROR(INDEX((COPIA!$DA$3:$DE$1339),MATCH(ROWS(D$10:D89),COPIA!$DF$3:$DF$1339,0),COLUMN()-1),""))</f>
        <v/>
      </c>
      <c r="E89" s="9" t="str">
        <f ca="1">IF(IFERROR(INDEX((COPIA!$DA$3:$DE$1339),MATCH(ROWS(E$10:E89),COPIA!$DF$3:$DF$1339,0),COLUMN()-1),"")=0,"",IFERROR(INDEX((COPIA!$DA$3:$DE$1339),MATCH(ROWS(E$10:E89),COPIA!$DF$3:$DF$1339,0),COLUMN()-1),""))</f>
        <v/>
      </c>
      <c r="F89" s="6" t="str">
        <f ca="1">IF(IFERROR(INDEX((COPIA!$DA$3:$DE$1339),MATCH(ROWS(F$10:F89),COPIA!$DF$3:$DF$1339,0),COLUMN()-1),"")=0,"",IFERROR(INDEX((COPIA!$DA$3:$DE$1339),MATCH(ROWS(F$10:F89),COPIA!$DF$3:$DF$1339,0),COLUMN()-1),""))</f>
        <v/>
      </c>
      <c r="G89" s="12"/>
    </row>
    <row r="90" spans="1:7" x14ac:dyDescent="0.3">
      <c r="A90" s="60" t="str">
        <f ca="1">COPIA!AC83</f>
        <v>OBBLIGAZIONISTI C/SOTTOSCRIZIONE</v>
      </c>
      <c r="B90" s="10" t="str">
        <f ca="1">IF(IFERROR(INDEX((COPIA!$DA$3:$DE$1339),MATCH(ROWS(B$10:B90),COPIA!$DF$3:$DF$1339,0),COLUMN()-1),"")&gt;=1,IFERROR(INDEX((COPIA!$DA$3:$DE$1339),MATCH(ROWS(B$10:B90),COPIA!$DF$3:$DF$1339,0),COLUMN()-1),""),"")</f>
        <v/>
      </c>
      <c r="C90" s="5" t="str">
        <f ca="1">SUBSTITUTE(IFERROR(INDEX((COPIA!$DA$3:$DE$1339),MATCH(ROWS(C$10:C90),COPIA!$DF$3:$DF$1339,0),COLUMN()-1),""),"MASTRO","")</f>
        <v/>
      </c>
      <c r="D90" s="136" t="str">
        <f ca="1">IF(IFERROR(INDEX((COPIA!$DA$3:$DE$1339),MATCH(ROWS(D$10:D90),COPIA!$DF$3:$DF$1339,0),COLUMN()-1),"")=0,"",IFERROR(INDEX((COPIA!$DA$3:$DE$1339),MATCH(ROWS(D$10:D90),COPIA!$DF$3:$DF$1339,0),COLUMN()-1),""))</f>
        <v/>
      </c>
      <c r="E90" s="9" t="str">
        <f ca="1">IF(IFERROR(INDEX((COPIA!$DA$3:$DE$1339),MATCH(ROWS(E$10:E90),COPIA!$DF$3:$DF$1339,0),COLUMN()-1),"")=0,"",IFERROR(INDEX((COPIA!$DA$3:$DE$1339),MATCH(ROWS(E$10:E90),COPIA!$DF$3:$DF$1339,0),COLUMN()-1),""))</f>
        <v/>
      </c>
      <c r="F90" s="6" t="str">
        <f ca="1">IF(IFERROR(INDEX((COPIA!$DA$3:$DE$1339),MATCH(ROWS(F$10:F90),COPIA!$DF$3:$DF$1339,0),COLUMN()-1),"")=0,"",IFERROR(INDEX((COPIA!$DA$3:$DE$1339),MATCH(ROWS(F$10:F90),COPIA!$DF$3:$DF$1339,0),COLUMN()-1),""))</f>
        <v/>
      </c>
      <c r="G90" s="12"/>
    </row>
    <row r="91" spans="1:7" x14ac:dyDescent="0.3">
      <c r="A91" s="60" t="str">
        <f ca="1">COPIA!AC84</f>
        <v>ENTE CONCEDENTE C/CONTRIBUTI</v>
      </c>
      <c r="B91" s="10" t="str">
        <f ca="1">IF(IFERROR(INDEX((COPIA!$DA$3:$DE$1339),MATCH(ROWS(B$10:B91),COPIA!$DF$3:$DF$1339,0),COLUMN()-1),"")&gt;=1,IFERROR(INDEX((COPIA!$DA$3:$DE$1339),MATCH(ROWS(B$10:B91),COPIA!$DF$3:$DF$1339,0),COLUMN()-1),""),"")</f>
        <v/>
      </c>
      <c r="C91" s="5" t="str">
        <f ca="1">SUBSTITUTE(IFERROR(INDEX((COPIA!$DA$3:$DE$1339),MATCH(ROWS(C$10:C91),COPIA!$DF$3:$DF$1339,0),COLUMN()-1),""),"MASTRO","")</f>
        <v/>
      </c>
      <c r="D91" s="136" t="str">
        <f ca="1">IF(IFERROR(INDEX((COPIA!$DA$3:$DE$1339),MATCH(ROWS(D$10:D91),COPIA!$DF$3:$DF$1339,0),COLUMN()-1),"")=0,"",IFERROR(INDEX((COPIA!$DA$3:$DE$1339),MATCH(ROWS(D$10:D91),COPIA!$DF$3:$DF$1339,0),COLUMN()-1),""))</f>
        <v/>
      </c>
      <c r="E91" s="9" t="str">
        <f ca="1">IF(IFERROR(INDEX((COPIA!$DA$3:$DE$1339),MATCH(ROWS(E$10:E91),COPIA!$DF$3:$DF$1339,0),COLUMN()-1),"")=0,"",IFERROR(INDEX((COPIA!$DA$3:$DE$1339),MATCH(ROWS(E$10:E91),COPIA!$DF$3:$DF$1339,0),COLUMN()-1),""))</f>
        <v/>
      </c>
      <c r="F91" s="6" t="str">
        <f ca="1">IF(IFERROR(INDEX((COPIA!$DA$3:$DE$1339),MATCH(ROWS(F$10:F91),COPIA!$DF$3:$DF$1339,0),COLUMN()-1),"")=0,"",IFERROR(INDEX((COPIA!$DA$3:$DE$1339),MATCH(ROWS(F$10:F91),COPIA!$DF$3:$DF$1339,0),COLUMN()-1),""))</f>
        <v/>
      </c>
      <c r="G91" s="12"/>
    </row>
    <row r="92" spans="1:7" x14ac:dyDescent="0.3">
      <c r="A92" s="60" t="str">
        <f ca="1">COPIA!AC85</f>
        <v>PARTECIPAZIONI</v>
      </c>
      <c r="B92" s="10" t="str">
        <f ca="1">IF(IFERROR(INDEX((COPIA!$DA$3:$DE$1339),MATCH(ROWS(B$10:B92),COPIA!$DF$3:$DF$1339,0),COLUMN()-1),"")&gt;=1,IFERROR(INDEX((COPIA!$DA$3:$DE$1339),MATCH(ROWS(B$10:B92),COPIA!$DF$3:$DF$1339,0),COLUMN()-1),""),"")</f>
        <v/>
      </c>
      <c r="C92" s="5" t="str">
        <f ca="1">SUBSTITUTE(IFERROR(INDEX((COPIA!$DA$3:$DE$1339),MATCH(ROWS(C$10:C92),COPIA!$DF$3:$DF$1339,0),COLUMN()-1),""),"MASTRO","")</f>
        <v/>
      </c>
      <c r="D92" s="136" t="str">
        <f ca="1">IF(IFERROR(INDEX((COPIA!$DA$3:$DE$1339),MATCH(ROWS(D$10:D92),COPIA!$DF$3:$DF$1339,0),COLUMN()-1),"")=0,"",IFERROR(INDEX((COPIA!$DA$3:$DE$1339),MATCH(ROWS(D$10:D92),COPIA!$DF$3:$DF$1339,0),COLUMN()-1),""))</f>
        <v/>
      </c>
      <c r="E92" s="9" t="str">
        <f ca="1">IF(IFERROR(INDEX((COPIA!$DA$3:$DE$1339),MATCH(ROWS(E$10:E92),COPIA!$DF$3:$DF$1339,0),COLUMN()-1),"")=0,"",IFERROR(INDEX((COPIA!$DA$3:$DE$1339),MATCH(ROWS(E$10:E92),COPIA!$DF$3:$DF$1339,0),COLUMN()-1),""))</f>
        <v/>
      </c>
      <c r="F92" s="6" t="str">
        <f ca="1">IF(IFERROR(INDEX((COPIA!$DA$3:$DE$1339),MATCH(ROWS(F$10:F92),COPIA!$DF$3:$DF$1339,0),COLUMN()-1),"")=0,"",IFERROR(INDEX((COPIA!$DA$3:$DE$1339),MATCH(ROWS(F$10:F92),COPIA!$DF$3:$DF$1339,0),COLUMN()-1),""))</f>
        <v/>
      </c>
      <c r="G92" s="12"/>
    </row>
    <row r="93" spans="1:7" x14ac:dyDescent="0.3">
      <c r="A93" s="60" t="str">
        <f ca="1">COPIA!AC86</f>
        <v>TITOLI</v>
      </c>
      <c r="B93" s="10" t="str">
        <f ca="1">IF(IFERROR(INDEX((COPIA!$DA$3:$DE$1339),MATCH(ROWS(B$10:B93),COPIA!$DF$3:$DF$1339,0),COLUMN()-1),"")&gt;=1,IFERROR(INDEX((COPIA!$DA$3:$DE$1339),MATCH(ROWS(B$10:B93),COPIA!$DF$3:$DF$1339,0),COLUMN()-1),""),"")</f>
        <v/>
      </c>
      <c r="C93" s="5" t="str">
        <f ca="1">SUBSTITUTE(IFERROR(INDEX((COPIA!$DA$3:$DE$1339),MATCH(ROWS(C$10:C93),COPIA!$DF$3:$DF$1339,0),COLUMN()-1),""),"MASTRO","")</f>
        <v/>
      </c>
      <c r="D93" s="136" t="str">
        <f ca="1">IF(IFERROR(INDEX((COPIA!$DA$3:$DE$1339),MATCH(ROWS(D$10:D93),COPIA!$DF$3:$DF$1339,0),COLUMN()-1),"")=0,"",IFERROR(INDEX((COPIA!$DA$3:$DE$1339),MATCH(ROWS(D$10:D93),COPIA!$DF$3:$DF$1339,0),COLUMN()-1),""))</f>
        <v/>
      </c>
      <c r="E93" s="9" t="str">
        <f ca="1">IF(IFERROR(INDEX((COPIA!$DA$3:$DE$1339),MATCH(ROWS(E$10:E93),COPIA!$DF$3:$DF$1339,0),COLUMN()-1),"")=0,"",IFERROR(INDEX((COPIA!$DA$3:$DE$1339),MATCH(ROWS(E$10:E93),COPIA!$DF$3:$DF$1339,0),COLUMN()-1),""))</f>
        <v/>
      </c>
      <c r="F93" s="6" t="str">
        <f ca="1">IF(IFERROR(INDEX((COPIA!$DA$3:$DE$1339),MATCH(ROWS(F$10:F93),COPIA!$DF$3:$DF$1339,0),COLUMN()-1),"")=0,"",IFERROR(INDEX((COPIA!$DA$3:$DE$1339),MATCH(ROWS(F$10:F93),COPIA!$DF$3:$DF$1339,0),COLUMN()-1),""))</f>
        <v/>
      </c>
      <c r="G93" s="12"/>
    </row>
    <row r="94" spans="1:7" x14ac:dyDescent="0.3">
      <c r="A94" s="60" t="str">
        <f ca="1">COPIA!AC87</f>
        <v>BANCHE C/C ATTIVI</v>
      </c>
      <c r="B94" s="10" t="str">
        <f ca="1">IF(IFERROR(INDEX((COPIA!$DA$3:$DE$1339),MATCH(ROWS(B$10:B94),COPIA!$DF$3:$DF$1339,0),COLUMN()-1),"")&gt;=1,IFERROR(INDEX((COPIA!$DA$3:$DE$1339),MATCH(ROWS(B$10:B94),COPIA!$DF$3:$DF$1339,0),COLUMN()-1),""),"")</f>
        <v/>
      </c>
      <c r="C94" s="5" t="str">
        <f ca="1">SUBSTITUTE(IFERROR(INDEX((COPIA!$DA$3:$DE$1339),MATCH(ROWS(C$10:C94),COPIA!$DF$3:$DF$1339,0),COLUMN()-1),""),"MASTRO","")</f>
        <v/>
      </c>
      <c r="D94" s="136" t="str">
        <f ca="1">IF(IFERROR(INDEX((COPIA!$DA$3:$DE$1339),MATCH(ROWS(D$10:D94),COPIA!$DF$3:$DF$1339,0),COLUMN()-1),"")=0,"",IFERROR(INDEX((COPIA!$DA$3:$DE$1339),MATCH(ROWS(D$10:D94),COPIA!$DF$3:$DF$1339,0),COLUMN()-1),""))</f>
        <v/>
      </c>
      <c r="E94" s="9" t="str">
        <f ca="1">IF(IFERROR(INDEX((COPIA!$DA$3:$DE$1339),MATCH(ROWS(E$10:E94),COPIA!$DF$3:$DF$1339,0),COLUMN()-1),"")=0,"",IFERROR(INDEX((COPIA!$DA$3:$DE$1339),MATCH(ROWS(E$10:E94),COPIA!$DF$3:$DF$1339,0),COLUMN()-1),""))</f>
        <v/>
      </c>
      <c r="F94" s="6" t="str">
        <f ca="1">IF(IFERROR(INDEX((COPIA!$DA$3:$DE$1339),MATCH(ROWS(F$10:F94),COPIA!$DF$3:$DF$1339,0),COLUMN()-1),"")=0,"",IFERROR(INDEX((COPIA!$DA$3:$DE$1339),MATCH(ROWS(F$10:F94),COPIA!$DF$3:$DF$1339,0),COLUMN()-1),""))</f>
        <v/>
      </c>
      <c r="G94" s="12"/>
    </row>
    <row r="95" spans="1:7" x14ac:dyDescent="0.3">
      <c r="A95" s="60" t="str">
        <f ca="1">COPIA!AC88</f>
        <v>BANCA X C/VINCOLATO</v>
      </c>
      <c r="B95" s="10" t="str">
        <f ca="1">IF(IFERROR(INDEX((COPIA!$DA$3:$DE$1339),MATCH(ROWS(B$10:B95),COPIA!$DF$3:$DF$1339,0),COLUMN()-1),"")&gt;=1,IFERROR(INDEX((COPIA!$DA$3:$DE$1339),MATCH(ROWS(B$10:B95),COPIA!$DF$3:$DF$1339,0),COLUMN()-1),""),"")</f>
        <v/>
      </c>
      <c r="C95" s="5" t="str">
        <f ca="1">SUBSTITUTE(IFERROR(INDEX((COPIA!$DA$3:$DE$1339),MATCH(ROWS(C$10:C95),COPIA!$DF$3:$DF$1339,0),COLUMN()-1),""),"MASTRO","")</f>
        <v/>
      </c>
      <c r="D95" s="136" t="str">
        <f ca="1">IF(IFERROR(INDEX((COPIA!$DA$3:$DE$1339),MATCH(ROWS(D$10:D95),COPIA!$DF$3:$DF$1339,0),COLUMN()-1),"")=0,"",IFERROR(INDEX((COPIA!$DA$3:$DE$1339),MATCH(ROWS(D$10:D95),COPIA!$DF$3:$DF$1339,0),COLUMN()-1),""))</f>
        <v/>
      </c>
      <c r="E95" s="9" t="str">
        <f ca="1">IF(IFERROR(INDEX((COPIA!$DA$3:$DE$1339),MATCH(ROWS(E$10:E95),COPIA!$DF$3:$DF$1339,0),COLUMN()-1),"")=0,"",IFERROR(INDEX((COPIA!$DA$3:$DE$1339),MATCH(ROWS(E$10:E95),COPIA!$DF$3:$DF$1339,0),COLUMN()-1),""))</f>
        <v/>
      </c>
      <c r="F95" s="6" t="str">
        <f ca="1">IF(IFERROR(INDEX((COPIA!$DA$3:$DE$1339),MATCH(ROWS(F$10:F95),COPIA!$DF$3:$DF$1339,0),COLUMN()-1),"")=0,"",IFERROR(INDEX((COPIA!$DA$3:$DE$1339),MATCH(ROWS(F$10:F95),COPIA!$DF$3:$DF$1339,0),COLUMN()-1),""))</f>
        <v/>
      </c>
      <c r="G95" s="12"/>
    </row>
    <row r="96" spans="1:7" x14ac:dyDescent="0.3">
      <c r="A96" s="60" t="str">
        <f ca="1">COPIA!AC89</f>
        <v>C/C POSTALI</v>
      </c>
      <c r="B96" s="10" t="str">
        <f ca="1">IF(IFERROR(INDEX((COPIA!$DA$3:$DE$1339),MATCH(ROWS(B$10:B96),COPIA!$DF$3:$DF$1339,0),COLUMN()-1),"")&gt;=1,IFERROR(INDEX((COPIA!$DA$3:$DE$1339),MATCH(ROWS(B$10:B96),COPIA!$DF$3:$DF$1339,0),COLUMN()-1),""),"")</f>
        <v/>
      </c>
      <c r="C96" s="5" t="str">
        <f ca="1">SUBSTITUTE(IFERROR(INDEX((COPIA!$DA$3:$DE$1339),MATCH(ROWS(C$10:C96),COPIA!$DF$3:$DF$1339,0),COLUMN()-1),""),"MASTRO","")</f>
        <v/>
      </c>
      <c r="D96" s="136" t="str">
        <f ca="1">IF(IFERROR(INDEX((COPIA!$DA$3:$DE$1339),MATCH(ROWS(D$10:D96),COPIA!$DF$3:$DF$1339,0),COLUMN()-1),"")=0,"",IFERROR(INDEX((COPIA!$DA$3:$DE$1339),MATCH(ROWS(D$10:D96),COPIA!$DF$3:$DF$1339,0),COLUMN()-1),""))</f>
        <v/>
      </c>
      <c r="E96" s="9" t="str">
        <f ca="1">IF(IFERROR(INDEX((COPIA!$DA$3:$DE$1339),MATCH(ROWS(E$10:E96),COPIA!$DF$3:$DF$1339,0),COLUMN()-1),"")=0,"",IFERROR(INDEX((COPIA!$DA$3:$DE$1339),MATCH(ROWS(E$10:E96),COPIA!$DF$3:$DF$1339,0),COLUMN()-1),""))</f>
        <v/>
      </c>
      <c r="F96" s="6" t="str">
        <f ca="1">IF(IFERROR(INDEX((COPIA!$DA$3:$DE$1339),MATCH(ROWS(F$10:F96),COPIA!$DF$3:$DF$1339,0),COLUMN()-1),"")=0,"",IFERROR(INDEX((COPIA!$DA$3:$DE$1339),MATCH(ROWS(F$10:F96),COPIA!$DF$3:$DF$1339,0),COLUMN()-1),""))</f>
        <v/>
      </c>
      <c r="G96" s="12"/>
    </row>
    <row r="97" spans="1:7" x14ac:dyDescent="0.3">
      <c r="A97" s="60" t="str">
        <f ca="1">COPIA!AC90</f>
        <v>ASSEGNI</v>
      </c>
      <c r="B97" s="10" t="str">
        <f ca="1">IF(IFERROR(INDEX((COPIA!$DA$3:$DE$1339),MATCH(ROWS(B$10:B97),COPIA!$DF$3:$DF$1339,0),COLUMN()-1),"")&gt;=1,IFERROR(INDEX((COPIA!$DA$3:$DE$1339),MATCH(ROWS(B$10:B97),COPIA!$DF$3:$DF$1339,0),COLUMN()-1),""),"")</f>
        <v/>
      </c>
      <c r="C97" s="5" t="str">
        <f ca="1">SUBSTITUTE(IFERROR(INDEX((COPIA!$DA$3:$DE$1339),MATCH(ROWS(C$10:C97),COPIA!$DF$3:$DF$1339,0),COLUMN()-1),""),"MASTRO","")</f>
        <v/>
      </c>
      <c r="D97" s="136" t="str">
        <f ca="1">IF(IFERROR(INDEX((COPIA!$DA$3:$DE$1339),MATCH(ROWS(D$10:D97),COPIA!$DF$3:$DF$1339,0),COLUMN()-1),"")=0,"",IFERROR(INDEX((COPIA!$DA$3:$DE$1339),MATCH(ROWS(D$10:D97),COPIA!$DF$3:$DF$1339,0),COLUMN()-1),""))</f>
        <v/>
      </c>
      <c r="E97" s="9" t="str">
        <f ca="1">IF(IFERROR(INDEX((COPIA!$DA$3:$DE$1339),MATCH(ROWS(E$10:E97),COPIA!$DF$3:$DF$1339,0),COLUMN()-1),"")=0,"",IFERROR(INDEX((COPIA!$DA$3:$DE$1339),MATCH(ROWS(E$10:E97),COPIA!$DF$3:$DF$1339,0),COLUMN()-1),""))</f>
        <v/>
      </c>
      <c r="F97" s="6" t="str">
        <f ca="1">IF(IFERROR(INDEX((COPIA!$DA$3:$DE$1339),MATCH(ROWS(F$10:F97),COPIA!$DF$3:$DF$1339,0),COLUMN()-1),"")=0,"",IFERROR(INDEX((COPIA!$DA$3:$DE$1339),MATCH(ROWS(F$10:F97),COPIA!$DF$3:$DF$1339,0),COLUMN()-1),""))</f>
        <v/>
      </c>
      <c r="G97" s="12"/>
    </row>
    <row r="98" spans="1:7" x14ac:dyDescent="0.3">
      <c r="A98" s="60" t="str">
        <f ca="1">COPIA!AC91</f>
        <v>DENARO IN CASSA</v>
      </c>
      <c r="B98" s="10" t="str">
        <f ca="1">IF(IFERROR(INDEX((COPIA!$DA$3:$DE$1339),MATCH(ROWS(B$10:B98),COPIA!$DF$3:$DF$1339,0),COLUMN()-1),"")&gt;=1,IFERROR(INDEX((COPIA!$DA$3:$DE$1339),MATCH(ROWS(B$10:B98),COPIA!$DF$3:$DF$1339,0),COLUMN()-1),""),"")</f>
        <v/>
      </c>
      <c r="C98" s="5" t="str">
        <f ca="1">SUBSTITUTE(IFERROR(INDEX((COPIA!$DA$3:$DE$1339),MATCH(ROWS(C$10:C98),COPIA!$DF$3:$DF$1339,0),COLUMN()-1),""),"MASTRO","")</f>
        <v/>
      </c>
      <c r="D98" s="136" t="str">
        <f ca="1">IF(IFERROR(INDEX((COPIA!$DA$3:$DE$1339),MATCH(ROWS(D$10:D98),COPIA!$DF$3:$DF$1339,0),COLUMN()-1),"")=0,"",IFERROR(INDEX((COPIA!$DA$3:$DE$1339),MATCH(ROWS(D$10:D98),COPIA!$DF$3:$DF$1339,0),COLUMN()-1),""))</f>
        <v/>
      </c>
      <c r="E98" s="9" t="str">
        <f ca="1">IF(IFERROR(INDEX((COPIA!$DA$3:$DE$1339),MATCH(ROWS(E$10:E98),COPIA!$DF$3:$DF$1339,0),COLUMN()-1),"")=0,"",IFERROR(INDEX((COPIA!$DA$3:$DE$1339),MATCH(ROWS(E$10:E98),COPIA!$DF$3:$DF$1339,0),COLUMN()-1),""))</f>
        <v/>
      </c>
      <c r="F98" s="6" t="str">
        <f ca="1">IF(IFERROR(INDEX((COPIA!$DA$3:$DE$1339),MATCH(ROWS(F$10:F98),COPIA!$DF$3:$DF$1339,0),COLUMN()-1),"")=0,"",IFERROR(INDEX((COPIA!$DA$3:$DE$1339),MATCH(ROWS(F$10:F98),COPIA!$DF$3:$DF$1339,0),COLUMN()-1),""))</f>
        <v/>
      </c>
      <c r="G98" s="12"/>
    </row>
    <row r="99" spans="1:7" x14ac:dyDescent="0.3">
      <c r="A99" s="60" t="str">
        <f ca="1">COPIA!AC92</f>
        <v>VALORI BOLLATI</v>
      </c>
      <c r="B99" s="10" t="str">
        <f ca="1">IF(IFERROR(INDEX((COPIA!$DA$3:$DE$1339),MATCH(ROWS(B$10:B99),COPIA!$DF$3:$DF$1339,0),COLUMN()-1),"")&gt;=1,IFERROR(INDEX((COPIA!$DA$3:$DE$1339),MATCH(ROWS(B$10:B99),COPIA!$DF$3:$DF$1339,0),COLUMN()-1),""),"")</f>
        <v/>
      </c>
      <c r="C99" s="5" t="str">
        <f ca="1">SUBSTITUTE(IFERROR(INDEX((COPIA!$DA$3:$DE$1339),MATCH(ROWS(C$10:C99),COPIA!$DF$3:$DF$1339,0),COLUMN()-1),""),"MASTRO","")</f>
        <v/>
      </c>
      <c r="D99" s="136" t="str">
        <f ca="1">IF(IFERROR(INDEX((COPIA!$DA$3:$DE$1339),MATCH(ROWS(D$10:D99),COPIA!$DF$3:$DF$1339,0),COLUMN()-1),"")=0,"",IFERROR(INDEX((COPIA!$DA$3:$DE$1339),MATCH(ROWS(D$10:D99),COPIA!$DF$3:$DF$1339,0),COLUMN()-1),""))</f>
        <v/>
      </c>
      <c r="E99" s="9" t="str">
        <f ca="1">IF(IFERROR(INDEX((COPIA!$DA$3:$DE$1339),MATCH(ROWS(E$10:E99),COPIA!$DF$3:$DF$1339,0),COLUMN()-1),"")=0,"",IFERROR(INDEX((COPIA!$DA$3:$DE$1339),MATCH(ROWS(E$10:E99),COPIA!$DF$3:$DF$1339,0),COLUMN()-1),""))</f>
        <v/>
      </c>
      <c r="F99" s="6" t="str">
        <f ca="1">IF(IFERROR(INDEX((COPIA!$DA$3:$DE$1339),MATCH(ROWS(F$10:F99),COPIA!$DF$3:$DF$1339,0),COLUMN()-1),"")=0,"",IFERROR(INDEX((COPIA!$DA$3:$DE$1339),MATCH(ROWS(F$10:F99),COPIA!$DF$3:$DF$1339,0),COLUMN()-1),""))</f>
        <v/>
      </c>
      <c r="G99" s="12"/>
    </row>
    <row r="100" spans="1:7" x14ac:dyDescent="0.3">
      <c r="A100" s="60" t="str">
        <f ca="1">COPIA!AC93</f>
        <v>RATEI ATTIVI</v>
      </c>
      <c r="B100" s="10" t="str">
        <f ca="1">IF(IFERROR(INDEX((COPIA!$DA$3:$DE$1339),MATCH(ROWS(B$10:B100),COPIA!$DF$3:$DF$1339,0),COLUMN()-1),"")&gt;=1,IFERROR(INDEX((COPIA!$DA$3:$DE$1339),MATCH(ROWS(B$10:B100),COPIA!$DF$3:$DF$1339,0),COLUMN()-1),""),"")</f>
        <v/>
      </c>
      <c r="C100" s="5" t="str">
        <f ca="1">SUBSTITUTE(IFERROR(INDEX((COPIA!$DA$3:$DE$1339),MATCH(ROWS(C$10:C100),COPIA!$DF$3:$DF$1339,0),COLUMN()-1),""),"MASTRO","")</f>
        <v/>
      </c>
      <c r="D100" s="136" t="str">
        <f ca="1">IF(IFERROR(INDEX((COPIA!$DA$3:$DE$1339),MATCH(ROWS(D$10:D100),COPIA!$DF$3:$DF$1339,0),COLUMN()-1),"")=0,"",IFERROR(INDEX((COPIA!$DA$3:$DE$1339),MATCH(ROWS(D$10:D100),COPIA!$DF$3:$DF$1339,0),COLUMN()-1),""))</f>
        <v/>
      </c>
      <c r="E100" s="9" t="str">
        <f ca="1">IF(IFERROR(INDEX((COPIA!$DA$3:$DE$1339),MATCH(ROWS(E$10:E100),COPIA!$DF$3:$DF$1339,0),COLUMN()-1),"")=0,"",IFERROR(INDEX((COPIA!$DA$3:$DE$1339),MATCH(ROWS(E$10:E100),COPIA!$DF$3:$DF$1339,0),COLUMN()-1),""))</f>
        <v/>
      </c>
      <c r="F100" s="6" t="str">
        <f ca="1">IF(IFERROR(INDEX((COPIA!$DA$3:$DE$1339),MATCH(ROWS(F$10:F100),COPIA!$DF$3:$DF$1339,0),COLUMN()-1),"")=0,"",IFERROR(INDEX((COPIA!$DA$3:$DE$1339),MATCH(ROWS(F$10:F100),COPIA!$DF$3:$DF$1339,0),COLUMN()-1),""))</f>
        <v/>
      </c>
      <c r="G100" s="12"/>
    </row>
    <row r="101" spans="1:7" x14ac:dyDescent="0.3">
      <c r="A101" s="60" t="str">
        <f ca="1">COPIA!AC94</f>
        <v>RISCONTI ATTIVI</v>
      </c>
      <c r="B101" s="10" t="str">
        <f ca="1">IF(IFERROR(INDEX((COPIA!$DA$3:$DE$1339),MATCH(ROWS(B$10:B101),COPIA!$DF$3:$DF$1339,0),COLUMN()-1),"")&gt;=1,IFERROR(INDEX((COPIA!$DA$3:$DE$1339),MATCH(ROWS(B$10:B101),COPIA!$DF$3:$DF$1339,0),COLUMN()-1),""),"")</f>
        <v/>
      </c>
      <c r="C101" s="5" t="str">
        <f ca="1">SUBSTITUTE(IFERROR(INDEX((COPIA!$DA$3:$DE$1339),MATCH(ROWS(C$10:C101),COPIA!$DF$3:$DF$1339,0),COLUMN()-1),""),"MASTRO","")</f>
        <v/>
      </c>
      <c r="D101" s="136" t="str">
        <f ca="1">IF(IFERROR(INDEX((COPIA!$DA$3:$DE$1339),MATCH(ROWS(D$10:D101),COPIA!$DF$3:$DF$1339,0),COLUMN()-1),"")=0,"",IFERROR(INDEX((COPIA!$DA$3:$DE$1339),MATCH(ROWS(D$10:D101),COPIA!$DF$3:$DF$1339,0),COLUMN()-1),""))</f>
        <v/>
      </c>
      <c r="E101" s="9" t="str">
        <f ca="1">IF(IFERROR(INDEX((COPIA!$DA$3:$DE$1339),MATCH(ROWS(E$10:E101),COPIA!$DF$3:$DF$1339,0),COLUMN()-1),"")=0,"",IFERROR(INDEX((COPIA!$DA$3:$DE$1339),MATCH(ROWS(E$10:E101),COPIA!$DF$3:$DF$1339,0),COLUMN()-1),""))</f>
        <v/>
      </c>
      <c r="F101" s="6" t="str">
        <f ca="1">IF(IFERROR(INDEX((COPIA!$DA$3:$DE$1339),MATCH(ROWS(F$10:F101),COPIA!$DF$3:$DF$1339,0),COLUMN()-1),"")=0,"",IFERROR(INDEX((COPIA!$DA$3:$DE$1339),MATCH(ROWS(F$10:F101),COPIA!$DF$3:$DF$1339,0),COLUMN()-1),""))</f>
        <v/>
      </c>
      <c r="G101" s="12"/>
    </row>
    <row r="102" spans="1:7" x14ac:dyDescent="0.3">
      <c r="A102" s="60" t="str">
        <f ca="1">COPIA!AC95</f>
        <v>CAPITALE SOCIALE</v>
      </c>
      <c r="B102" s="10" t="str">
        <f ca="1">IF(IFERROR(INDEX((COPIA!$DA$3:$DE$1339),MATCH(ROWS(B$10:B102),COPIA!$DF$3:$DF$1339,0),COLUMN()-1),"")&gt;=1,IFERROR(INDEX((COPIA!$DA$3:$DE$1339),MATCH(ROWS(B$10:B102),COPIA!$DF$3:$DF$1339,0),COLUMN()-1),""),"")</f>
        <v/>
      </c>
      <c r="C102" s="5" t="str">
        <f ca="1">SUBSTITUTE(IFERROR(INDEX((COPIA!$DA$3:$DE$1339),MATCH(ROWS(C$10:C102),COPIA!$DF$3:$DF$1339,0),COLUMN()-1),""),"MASTRO","")</f>
        <v/>
      </c>
      <c r="D102" s="136" t="str">
        <f ca="1">IF(IFERROR(INDEX((COPIA!$DA$3:$DE$1339),MATCH(ROWS(D$10:D102),COPIA!$DF$3:$DF$1339,0),COLUMN()-1),"")=0,"",IFERROR(INDEX((COPIA!$DA$3:$DE$1339),MATCH(ROWS(D$10:D102),COPIA!$DF$3:$DF$1339,0),COLUMN()-1),""))</f>
        <v/>
      </c>
      <c r="E102" s="9" t="str">
        <f ca="1">IF(IFERROR(INDEX((COPIA!$DA$3:$DE$1339),MATCH(ROWS(E$10:E102),COPIA!$DF$3:$DF$1339,0),COLUMN()-1),"")=0,"",IFERROR(INDEX((COPIA!$DA$3:$DE$1339),MATCH(ROWS(E$10:E102),COPIA!$DF$3:$DF$1339,0),COLUMN()-1),""))</f>
        <v/>
      </c>
      <c r="F102" s="6" t="str">
        <f ca="1">IF(IFERROR(INDEX((COPIA!$DA$3:$DE$1339),MATCH(ROWS(F$10:F102),COPIA!$DF$3:$DF$1339,0),COLUMN()-1),"")=0,"",IFERROR(INDEX((COPIA!$DA$3:$DE$1339),MATCH(ROWS(F$10:F102),COPIA!$DF$3:$DF$1339,0),COLUMN()-1),""))</f>
        <v/>
      </c>
      <c r="G102" s="12"/>
    </row>
    <row r="103" spans="1:7" x14ac:dyDescent="0.3">
      <c r="A103" s="60" t="str">
        <f ca="1">COPIA!AC96</f>
        <v>RISERVA SOPRAPPREZZO AZIONI</v>
      </c>
      <c r="B103" s="10" t="str">
        <f ca="1">IF(IFERROR(INDEX((COPIA!$DA$3:$DE$1339),MATCH(ROWS(B$10:B103),COPIA!$DF$3:$DF$1339,0),COLUMN()-1),"")&gt;=1,IFERROR(INDEX((COPIA!$DA$3:$DE$1339),MATCH(ROWS(B$10:B103),COPIA!$DF$3:$DF$1339,0),COLUMN()-1),""),"")</f>
        <v/>
      </c>
      <c r="C103" s="5" t="str">
        <f ca="1">SUBSTITUTE(IFERROR(INDEX((COPIA!$DA$3:$DE$1339),MATCH(ROWS(C$10:C103),COPIA!$DF$3:$DF$1339,0),COLUMN()-1),""),"MASTRO","")</f>
        <v/>
      </c>
      <c r="D103" s="136" t="str">
        <f ca="1">IF(IFERROR(INDEX((COPIA!$DA$3:$DE$1339),MATCH(ROWS(D$10:D103),COPIA!$DF$3:$DF$1339,0),COLUMN()-1),"")=0,"",IFERROR(INDEX((COPIA!$DA$3:$DE$1339),MATCH(ROWS(D$10:D103),COPIA!$DF$3:$DF$1339,0),COLUMN()-1),""))</f>
        <v/>
      </c>
      <c r="E103" s="9" t="str">
        <f ca="1">IF(IFERROR(INDEX((COPIA!$DA$3:$DE$1339),MATCH(ROWS(E$10:E103),COPIA!$DF$3:$DF$1339,0),COLUMN()-1),"")=0,"",IFERROR(INDEX((COPIA!$DA$3:$DE$1339),MATCH(ROWS(E$10:E103),COPIA!$DF$3:$DF$1339,0),COLUMN()-1),""))</f>
        <v/>
      </c>
      <c r="F103" s="6" t="str">
        <f ca="1">IF(IFERROR(INDEX((COPIA!$DA$3:$DE$1339),MATCH(ROWS(F$10:F103),COPIA!$DF$3:$DF$1339,0),COLUMN()-1),"")=0,"",IFERROR(INDEX((COPIA!$DA$3:$DE$1339),MATCH(ROWS(F$10:F103),COPIA!$DF$3:$DF$1339,0),COLUMN()-1),""))</f>
        <v/>
      </c>
      <c r="G103" s="12"/>
    </row>
    <row r="104" spans="1:7" x14ac:dyDescent="0.3">
      <c r="A104" s="60" t="str">
        <f ca="1">COPIA!AC97</f>
        <v>RISERVA DI RIVALUTAZIONE</v>
      </c>
      <c r="B104" s="10" t="str">
        <f ca="1">IF(IFERROR(INDEX((COPIA!$DA$3:$DE$1339),MATCH(ROWS(B$10:B104),COPIA!$DF$3:$DF$1339,0),COLUMN()-1),"")&gt;=1,IFERROR(INDEX((COPIA!$DA$3:$DE$1339),MATCH(ROWS(B$10:B104),COPIA!$DF$3:$DF$1339,0),COLUMN()-1),""),"")</f>
        <v/>
      </c>
      <c r="C104" s="5" t="str">
        <f ca="1">SUBSTITUTE(IFERROR(INDEX((COPIA!$DA$3:$DE$1339),MATCH(ROWS(C$10:C104),COPIA!$DF$3:$DF$1339,0),COLUMN()-1),""),"MASTRO","")</f>
        <v/>
      </c>
      <c r="D104" s="136" t="str">
        <f ca="1">IF(IFERROR(INDEX((COPIA!$DA$3:$DE$1339),MATCH(ROWS(D$10:D104),COPIA!$DF$3:$DF$1339,0),COLUMN()-1),"")=0,"",IFERROR(INDEX((COPIA!$DA$3:$DE$1339),MATCH(ROWS(D$10:D104),COPIA!$DF$3:$DF$1339,0),COLUMN()-1),""))</f>
        <v/>
      </c>
      <c r="E104" s="9" t="str">
        <f ca="1">IF(IFERROR(INDEX((COPIA!$DA$3:$DE$1339),MATCH(ROWS(E$10:E104),COPIA!$DF$3:$DF$1339,0),COLUMN()-1),"")=0,"",IFERROR(INDEX((COPIA!$DA$3:$DE$1339),MATCH(ROWS(E$10:E104),COPIA!$DF$3:$DF$1339,0),COLUMN()-1),""))</f>
        <v/>
      </c>
      <c r="F104" s="6" t="str">
        <f ca="1">IF(IFERROR(INDEX((COPIA!$DA$3:$DE$1339),MATCH(ROWS(F$10:F104),COPIA!$DF$3:$DF$1339,0),COLUMN()-1),"")=0,"",IFERROR(INDEX((COPIA!$DA$3:$DE$1339),MATCH(ROWS(F$10:F104),COPIA!$DF$3:$DF$1339,0),COLUMN()-1),""))</f>
        <v/>
      </c>
      <c r="G104" s="12"/>
    </row>
    <row r="105" spans="1:7" x14ac:dyDescent="0.3">
      <c r="A105" s="60" t="str">
        <f ca="1">COPIA!AC98</f>
        <v>RISERVA LEGALE</v>
      </c>
      <c r="B105" s="10" t="str">
        <f ca="1">IF(IFERROR(INDEX((COPIA!$DA$3:$DE$1339),MATCH(ROWS(B$10:B105),COPIA!$DF$3:$DF$1339,0),COLUMN()-1),"")&gt;=1,IFERROR(INDEX((COPIA!$DA$3:$DE$1339),MATCH(ROWS(B$10:B105),COPIA!$DF$3:$DF$1339,0),COLUMN()-1),""),"")</f>
        <v/>
      </c>
      <c r="C105" s="5" t="str">
        <f ca="1">SUBSTITUTE(IFERROR(INDEX((COPIA!$DA$3:$DE$1339),MATCH(ROWS(C$10:C105),COPIA!$DF$3:$DF$1339,0),COLUMN()-1),""),"MASTRO","")</f>
        <v/>
      </c>
      <c r="D105" s="136" t="str">
        <f ca="1">IF(IFERROR(INDEX((COPIA!$DA$3:$DE$1339),MATCH(ROWS(D$10:D105),COPIA!$DF$3:$DF$1339,0),COLUMN()-1),"")=0,"",IFERROR(INDEX((COPIA!$DA$3:$DE$1339),MATCH(ROWS(D$10:D105),COPIA!$DF$3:$DF$1339,0),COLUMN()-1),""))</f>
        <v/>
      </c>
      <c r="E105" s="9" t="str">
        <f ca="1">IF(IFERROR(INDEX((COPIA!$DA$3:$DE$1339),MATCH(ROWS(E$10:E105),COPIA!$DF$3:$DF$1339,0),COLUMN()-1),"")=0,"",IFERROR(INDEX((COPIA!$DA$3:$DE$1339),MATCH(ROWS(E$10:E105),COPIA!$DF$3:$DF$1339,0),COLUMN()-1),""))</f>
        <v/>
      </c>
      <c r="F105" s="6" t="str">
        <f ca="1">IF(IFERROR(INDEX((COPIA!$DA$3:$DE$1339),MATCH(ROWS(F$10:F105),COPIA!$DF$3:$DF$1339,0),COLUMN()-1),"")=0,"",IFERROR(INDEX((COPIA!$DA$3:$DE$1339),MATCH(ROWS(F$10:F105),COPIA!$DF$3:$DF$1339,0),COLUMN()-1),""))</f>
        <v/>
      </c>
      <c r="G105" s="12"/>
    </row>
    <row r="106" spans="1:7" x14ac:dyDescent="0.3">
      <c r="A106" s="60" t="str">
        <f ca="1">COPIA!AC99</f>
        <v>RISERVA STATUTARIA</v>
      </c>
      <c r="B106" s="10" t="str">
        <f ca="1">IF(IFERROR(INDEX((COPIA!$DA$3:$DE$1339),MATCH(ROWS(B$10:B106),COPIA!$DF$3:$DF$1339,0),COLUMN()-1),"")&gt;=1,IFERROR(INDEX((COPIA!$DA$3:$DE$1339),MATCH(ROWS(B$10:B106),COPIA!$DF$3:$DF$1339,0),COLUMN()-1),""),"")</f>
        <v/>
      </c>
      <c r="C106" s="5" t="str">
        <f ca="1">SUBSTITUTE(IFERROR(INDEX((COPIA!$DA$3:$DE$1339),MATCH(ROWS(C$10:C106),COPIA!$DF$3:$DF$1339,0),COLUMN()-1),""),"MASTRO","")</f>
        <v/>
      </c>
      <c r="D106" s="136" t="str">
        <f ca="1">IF(IFERROR(INDEX((COPIA!$DA$3:$DE$1339),MATCH(ROWS(D$10:D106),COPIA!$DF$3:$DF$1339,0),COLUMN()-1),"")=0,"",IFERROR(INDEX((COPIA!$DA$3:$DE$1339),MATCH(ROWS(D$10:D106),COPIA!$DF$3:$DF$1339,0),COLUMN()-1),""))</f>
        <v/>
      </c>
      <c r="E106" s="9" t="str">
        <f ca="1">IF(IFERROR(INDEX((COPIA!$DA$3:$DE$1339),MATCH(ROWS(E$10:E106),COPIA!$DF$3:$DF$1339,0),COLUMN()-1),"")=0,"",IFERROR(INDEX((COPIA!$DA$3:$DE$1339),MATCH(ROWS(E$10:E106),COPIA!$DF$3:$DF$1339,0),COLUMN()-1),""))</f>
        <v/>
      </c>
      <c r="F106" s="6" t="str">
        <f ca="1">IF(IFERROR(INDEX((COPIA!$DA$3:$DE$1339),MATCH(ROWS(F$10:F106),COPIA!$DF$3:$DF$1339,0),COLUMN()-1),"")=0,"",IFERROR(INDEX((COPIA!$DA$3:$DE$1339),MATCH(ROWS(F$10:F106),COPIA!$DF$3:$DF$1339,0),COLUMN()-1),""))</f>
        <v/>
      </c>
      <c r="G106" s="12"/>
    </row>
    <row r="107" spans="1:7" x14ac:dyDescent="0.3">
      <c r="A107" s="60" t="str">
        <f ca="1">COPIA!AC100</f>
        <v>RISERVA STRAORDINARIA</v>
      </c>
      <c r="B107" s="10" t="str">
        <f ca="1">IF(IFERROR(INDEX((COPIA!$DA$3:$DE$1339),MATCH(ROWS(B$10:B107),COPIA!$DF$3:$DF$1339,0),COLUMN()-1),"")&gt;=1,IFERROR(INDEX((COPIA!$DA$3:$DE$1339),MATCH(ROWS(B$10:B107),COPIA!$DF$3:$DF$1339,0),COLUMN()-1),""),"")</f>
        <v/>
      </c>
      <c r="C107" s="5" t="str">
        <f ca="1">SUBSTITUTE(IFERROR(INDEX((COPIA!$DA$3:$DE$1339),MATCH(ROWS(C$10:C107),COPIA!$DF$3:$DF$1339,0),COLUMN()-1),""),"MASTRO","")</f>
        <v/>
      </c>
      <c r="D107" s="136" t="str">
        <f ca="1">IF(IFERROR(INDEX((COPIA!$DA$3:$DE$1339),MATCH(ROWS(D$10:D107),COPIA!$DF$3:$DF$1339,0),COLUMN()-1),"")=0,"",IFERROR(INDEX((COPIA!$DA$3:$DE$1339),MATCH(ROWS(D$10:D107),COPIA!$DF$3:$DF$1339,0),COLUMN()-1),""))</f>
        <v/>
      </c>
      <c r="E107" s="9" t="str">
        <f ca="1">IF(IFERROR(INDEX((COPIA!$DA$3:$DE$1339),MATCH(ROWS(E$10:E107),COPIA!$DF$3:$DF$1339,0),COLUMN()-1),"")=0,"",IFERROR(INDEX((COPIA!$DA$3:$DE$1339),MATCH(ROWS(E$10:E107),COPIA!$DF$3:$DF$1339,0),COLUMN()-1),""))</f>
        <v/>
      </c>
      <c r="F107" s="6" t="str">
        <f ca="1">IF(IFERROR(INDEX((COPIA!$DA$3:$DE$1339),MATCH(ROWS(F$10:F107),COPIA!$DF$3:$DF$1339,0),COLUMN()-1),"")=0,"",IFERROR(INDEX((COPIA!$DA$3:$DE$1339),MATCH(ROWS(F$10:F107),COPIA!$DF$3:$DF$1339,0),COLUMN()-1),""))</f>
        <v/>
      </c>
      <c r="G107" s="12"/>
    </row>
    <row r="108" spans="1:7" x14ac:dyDescent="0.3">
      <c r="A108" s="60" t="str">
        <f ca="1">COPIA!AC101</f>
        <v>RISERVA CONGUAGLIO UTILI</v>
      </c>
      <c r="B108" s="10" t="str">
        <f ca="1">IF(IFERROR(INDEX((COPIA!$DA$3:$DE$1339),MATCH(ROWS(B$10:B108),COPIA!$DF$3:$DF$1339,0),COLUMN()-1),"")&gt;=1,IFERROR(INDEX((COPIA!$DA$3:$DE$1339),MATCH(ROWS(B$10:B108),COPIA!$DF$3:$DF$1339,0),COLUMN()-1),""),"")</f>
        <v/>
      </c>
      <c r="C108" s="5" t="str">
        <f ca="1">SUBSTITUTE(IFERROR(INDEX((COPIA!$DA$3:$DE$1339),MATCH(ROWS(C$10:C108),COPIA!$DF$3:$DF$1339,0),COLUMN()-1),""),"MASTRO","")</f>
        <v/>
      </c>
      <c r="D108" s="136" t="str">
        <f ca="1">IF(IFERROR(INDEX((COPIA!$DA$3:$DE$1339),MATCH(ROWS(D$10:D108),COPIA!$DF$3:$DF$1339,0),COLUMN()-1),"")=0,"",IFERROR(INDEX((COPIA!$DA$3:$DE$1339),MATCH(ROWS(D$10:D108),COPIA!$DF$3:$DF$1339,0),COLUMN()-1),""))</f>
        <v/>
      </c>
      <c r="E108" s="9" t="str">
        <f ca="1">IF(IFERROR(INDEX((COPIA!$DA$3:$DE$1339),MATCH(ROWS(E$10:E108),COPIA!$DF$3:$DF$1339,0),COLUMN()-1),"")=0,"",IFERROR(INDEX((COPIA!$DA$3:$DE$1339),MATCH(ROWS(E$10:E108),COPIA!$DF$3:$DF$1339,0),COLUMN()-1),""))</f>
        <v/>
      </c>
      <c r="F108" s="6" t="str">
        <f ca="1">IF(IFERROR(INDEX((COPIA!$DA$3:$DE$1339),MATCH(ROWS(F$10:F108),COPIA!$DF$3:$DF$1339,0),COLUMN()-1),"")=0,"",IFERROR(INDEX((COPIA!$DA$3:$DE$1339),MATCH(ROWS(F$10:F108),COPIA!$DF$3:$DF$1339,0),COLUMN()-1),""))</f>
        <v/>
      </c>
      <c r="G108" s="12"/>
    </row>
    <row r="109" spans="1:7" x14ac:dyDescent="0.3">
      <c r="A109" s="60" t="str">
        <f ca="1">COPIA!AC102</f>
        <v>FONDO RIMBORSO SPESE</v>
      </c>
      <c r="B109" s="10" t="str">
        <f ca="1">IF(IFERROR(INDEX((COPIA!$DA$3:$DE$1339),MATCH(ROWS(B$10:B109),COPIA!$DF$3:$DF$1339,0),COLUMN()-1),"")&gt;=1,IFERROR(INDEX((COPIA!$DA$3:$DE$1339),MATCH(ROWS(B$10:B109),COPIA!$DF$3:$DF$1339,0),COLUMN()-1),""),"")</f>
        <v/>
      </c>
      <c r="C109" s="5" t="str">
        <f ca="1">SUBSTITUTE(IFERROR(INDEX((COPIA!$DA$3:$DE$1339),MATCH(ROWS(C$10:C109),COPIA!$DF$3:$DF$1339,0),COLUMN()-1),""),"MASTRO","")</f>
        <v/>
      </c>
      <c r="D109" s="136" t="str">
        <f ca="1">IF(IFERROR(INDEX((COPIA!$DA$3:$DE$1339),MATCH(ROWS(D$10:D109),COPIA!$DF$3:$DF$1339,0),COLUMN()-1),"")=0,"",IFERROR(INDEX((COPIA!$DA$3:$DE$1339),MATCH(ROWS(D$10:D109),COPIA!$DF$3:$DF$1339,0),COLUMN()-1),""))</f>
        <v/>
      </c>
      <c r="E109" s="9" t="str">
        <f ca="1">IF(IFERROR(INDEX((COPIA!$DA$3:$DE$1339),MATCH(ROWS(E$10:E109),COPIA!$DF$3:$DF$1339,0),COLUMN()-1),"")=0,"",IFERROR(INDEX((COPIA!$DA$3:$DE$1339),MATCH(ROWS(E$10:E109),COPIA!$DF$3:$DF$1339,0),COLUMN()-1),""))</f>
        <v/>
      </c>
      <c r="F109" s="6" t="str">
        <f ca="1">IF(IFERROR(INDEX((COPIA!$DA$3:$DE$1339),MATCH(ROWS(F$10:F109),COPIA!$DF$3:$DF$1339,0),COLUMN()-1),"")=0,"",IFERROR(INDEX((COPIA!$DA$3:$DE$1339),MATCH(ROWS(F$10:F109),COPIA!$DF$3:$DF$1339,0),COLUMN()-1),""))</f>
        <v/>
      </c>
      <c r="G109" s="12"/>
    </row>
    <row r="110" spans="1:7" x14ac:dyDescent="0.3">
      <c r="A110" s="60" t="str">
        <f ca="1">COPIA!AC103</f>
        <v>VERSAMENTI AZIONISTI C/CAPITALE</v>
      </c>
      <c r="B110" s="10" t="str">
        <f ca="1">IF(IFERROR(INDEX((COPIA!$DA$3:$DE$1339),MATCH(ROWS(B$10:B110),COPIA!$DF$3:$DF$1339,0),COLUMN()-1),"")&gt;=1,IFERROR(INDEX((COPIA!$DA$3:$DE$1339),MATCH(ROWS(B$10:B110),COPIA!$DF$3:$DF$1339,0),COLUMN()-1),""),"")</f>
        <v/>
      </c>
      <c r="C110" s="5" t="str">
        <f ca="1">SUBSTITUTE(IFERROR(INDEX((COPIA!$DA$3:$DE$1339),MATCH(ROWS(C$10:C110),COPIA!$DF$3:$DF$1339,0),COLUMN()-1),""),"MASTRO","")</f>
        <v/>
      </c>
      <c r="D110" s="136" t="str">
        <f ca="1">IF(IFERROR(INDEX((COPIA!$DA$3:$DE$1339),MATCH(ROWS(D$10:D110),COPIA!$DF$3:$DF$1339,0),COLUMN()-1),"")=0,"",IFERROR(INDEX((COPIA!$DA$3:$DE$1339),MATCH(ROWS(D$10:D110),COPIA!$DF$3:$DF$1339,0),COLUMN()-1),""))</f>
        <v/>
      </c>
      <c r="E110" s="9" t="str">
        <f ca="1">IF(IFERROR(INDEX((COPIA!$DA$3:$DE$1339),MATCH(ROWS(E$10:E110),COPIA!$DF$3:$DF$1339,0),COLUMN()-1),"")=0,"",IFERROR(INDEX((COPIA!$DA$3:$DE$1339),MATCH(ROWS(E$10:E110),COPIA!$DF$3:$DF$1339,0),COLUMN()-1),""))</f>
        <v/>
      </c>
      <c r="F110" s="6" t="str">
        <f ca="1">IF(IFERROR(INDEX((COPIA!$DA$3:$DE$1339),MATCH(ROWS(F$10:F110),COPIA!$DF$3:$DF$1339,0),COLUMN()-1),"")=0,"",IFERROR(INDEX((COPIA!$DA$3:$DE$1339),MATCH(ROWS(F$10:F110),COPIA!$DF$3:$DF$1339,0),COLUMN()-1),""))</f>
        <v/>
      </c>
      <c r="G110" s="12"/>
    </row>
    <row r="111" spans="1:7" x14ac:dyDescent="0.3">
      <c r="A111" s="60" t="str">
        <f ca="1">COPIA!AC104</f>
        <v>VERSAMENTI C/AUMENTO CAPITALE</v>
      </c>
      <c r="B111" s="10" t="str">
        <f ca="1">IF(IFERROR(INDEX((COPIA!$DA$3:$DE$1339),MATCH(ROWS(B$10:B111),COPIA!$DF$3:$DF$1339,0),COLUMN()-1),"")&gt;=1,IFERROR(INDEX((COPIA!$DA$3:$DE$1339),MATCH(ROWS(B$10:B111),COPIA!$DF$3:$DF$1339,0),COLUMN()-1),""),"")</f>
        <v/>
      </c>
      <c r="C111" s="5" t="str">
        <f ca="1">SUBSTITUTE(IFERROR(INDEX((COPIA!$DA$3:$DE$1339),MATCH(ROWS(C$10:C111),COPIA!$DF$3:$DF$1339,0),COLUMN()-1),""),"MASTRO","")</f>
        <v/>
      </c>
      <c r="D111" s="136" t="str">
        <f ca="1">IF(IFERROR(INDEX((COPIA!$DA$3:$DE$1339),MATCH(ROWS(D$10:D111),COPIA!$DF$3:$DF$1339,0),COLUMN()-1),"")=0,"",IFERROR(INDEX((COPIA!$DA$3:$DE$1339),MATCH(ROWS(D$10:D111),COPIA!$DF$3:$DF$1339,0),COLUMN()-1),""))</f>
        <v/>
      </c>
      <c r="E111" s="9" t="str">
        <f ca="1">IF(IFERROR(INDEX((COPIA!$DA$3:$DE$1339),MATCH(ROWS(E$10:E111),COPIA!$DF$3:$DF$1339,0),COLUMN()-1),"")=0,"",IFERROR(INDEX((COPIA!$DA$3:$DE$1339),MATCH(ROWS(E$10:E111),COPIA!$DF$3:$DF$1339,0),COLUMN()-1),""))</f>
        <v/>
      </c>
      <c r="F111" s="6" t="str">
        <f ca="1">IF(IFERROR(INDEX((COPIA!$DA$3:$DE$1339),MATCH(ROWS(F$10:F111),COPIA!$DF$3:$DF$1339,0),COLUMN()-1),"")=0,"",IFERROR(INDEX((COPIA!$DA$3:$DE$1339),MATCH(ROWS(F$10:F111),COPIA!$DF$3:$DF$1339,0),COLUMN()-1),""))</f>
        <v/>
      </c>
      <c r="G111" s="12"/>
    </row>
    <row r="112" spans="1:7" x14ac:dyDescent="0.3">
      <c r="A112" s="60" t="str">
        <f ca="1">COPIA!AC105</f>
        <v>UTILI A NUOVO</v>
      </c>
      <c r="B112" s="10" t="str">
        <f ca="1">IF(IFERROR(INDEX((COPIA!$DA$3:$DE$1339),MATCH(ROWS(B$10:B112),COPIA!$DF$3:$DF$1339,0),COLUMN()-1),"")&gt;=1,IFERROR(INDEX((COPIA!$DA$3:$DE$1339),MATCH(ROWS(B$10:B112),COPIA!$DF$3:$DF$1339,0),COLUMN()-1),""),"")</f>
        <v/>
      </c>
      <c r="C112" s="5" t="str">
        <f ca="1">SUBSTITUTE(IFERROR(INDEX((COPIA!$DA$3:$DE$1339),MATCH(ROWS(C$10:C112),COPIA!$DF$3:$DF$1339,0),COLUMN()-1),""),"MASTRO","")</f>
        <v/>
      </c>
      <c r="D112" s="136" t="str">
        <f ca="1">IF(IFERROR(INDEX((COPIA!$DA$3:$DE$1339),MATCH(ROWS(D$10:D112),COPIA!$DF$3:$DF$1339,0),COLUMN()-1),"")=0,"",IFERROR(INDEX((COPIA!$DA$3:$DE$1339),MATCH(ROWS(D$10:D112),COPIA!$DF$3:$DF$1339,0),COLUMN()-1),""))</f>
        <v/>
      </c>
      <c r="E112" s="9" t="str">
        <f ca="1">IF(IFERROR(INDEX((COPIA!$DA$3:$DE$1339),MATCH(ROWS(E$10:E112),COPIA!$DF$3:$DF$1339,0),COLUMN()-1),"")=0,"",IFERROR(INDEX((COPIA!$DA$3:$DE$1339),MATCH(ROWS(E$10:E112),COPIA!$DF$3:$DF$1339,0),COLUMN()-1),""))</f>
        <v/>
      </c>
      <c r="F112" s="6" t="str">
        <f ca="1">IF(IFERROR(INDEX((COPIA!$DA$3:$DE$1339),MATCH(ROWS(F$10:F112),COPIA!$DF$3:$DF$1339,0),COLUMN()-1),"")=0,"",IFERROR(INDEX((COPIA!$DA$3:$DE$1339),MATCH(ROWS(F$10:F112),COPIA!$DF$3:$DF$1339,0),COLUMN()-1),""))</f>
        <v/>
      </c>
      <c r="G112" s="12"/>
    </row>
    <row r="113" spans="1:7" x14ac:dyDescent="0.3">
      <c r="A113" s="60" t="str">
        <f ca="1">COPIA!AC106</f>
        <v>PERDITE A NUOVO</v>
      </c>
      <c r="B113" s="10" t="str">
        <f ca="1">IF(IFERROR(INDEX((COPIA!$DA$3:$DE$1339),MATCH(ROWS(B$10:B113),COPIA!$DF$3:$DF$1339,0),COLUMN()-1),"")&gt;=1,IFERROR(INDEX((COPIA!$DA$3:$DE$1339),MATCH(ROWS(B$10:B113),COPIA!$DF$3:$DF$1339,0),COLUMN()-1),""),"")</f>
        <v/>
      </c>
      <c r="C113" s="5" t="str">
        <f ca="1">SUBSTITUTE(IFERROR(INDEX((COPIA!$DA$3:$DE$1339),MATCH(ROWS(C$10:C113),COPIA!$DF$3:$DF$1339,0),COLUMN()-1),""),"MASTRO","")</f>
        <v/>
      </c>
      <c r="D113" s="136" t="str">
        <f ca="1">IF(IFERROR(INDEX((COPIA!$DA$3:$DE$1339),MATCH(ROWS(D$10:D113),COPIA!$DF$3:$DF$1339,0),COLUMN()-1),"")=0,"",IFERROR(INDEX((COPIA!$DA$3:$DE$1339),MATCH(ROWS(D$10:D113),COPIA!$DF$3:$DF$1339,0),COLUMN()-1),""))</f>
        <v/>
      </c>
      <c r="E113" s="9" t="str">
        <f ca="1">IF(IFERROR(INDEX((COPIA!$DA$3:$DE$1339),MATCH(ROWS(E$10:E113),COPIA!$DF$3:$DF$1339,0),COLUMN()-1),"")=0,"",IFERROR(INDEX((COPIA!$DA$3:$DE$1339),MATCH(ROWS(E$10:E113),COPIA!$DF$3:$DF$1339,0),COLUMN()-1),""))</f>
        <v/>
      </c>
      <c r="F113" s="6" t="str">
        <f ca="1">IF(IFERROR(INDEX((COPIA!$DA$3:$DE$1339),MATCH(ROWS(F$10:F113),COPIA!$DF$3:$DF$1339,0),COLUMN()-1),"")=0,"",IFERROR(INDEX((COPIA!$DA$3:$DE$1339),MATCH(ROWS(F$10:F113),COPIA!$DF$3:$DF$1339,0),COLUMN()-1),""))</f>
        <v/>
      </c>
      <c r="G113" s="12"/>
    </row>
    <row r="114" spans="1:7" x14ac:dyDescent="0.3">
      <c r="A114" s="60" t="str">
        <f ca="1">COPIA!AC107</f>
        <v>UTILE D'ESERCIZIO</v>
      </c>
      <c r="B114" s="10" t="str">
        <f ca="1">IF(IFERROR(INDEX((COPIA!$DA$3:$DE$1339),MATCH(ROWS(B$10:B114),COPIA!$DF$3:$DF$1339,0),COLUMN()-1),"")&gt;=1,IFERROR(INDEX((COPIA!$DA$3:$DE$1339),MATCH(ROWS(B$10:B114),COPIA!$DF$3:$DF$1339,0),COLUMN()-1),""),"")</f>
        <v/>
      </c>
      <c r="C114" s="5" t="str">
        <f ca="1">SUBSTITUTE(IFERROR(INDEX((COPIA!$DA$3:$DE$1339),MATCH(ROWS(C$10:C114),COPIA!$DF$3:$DF$1339,0),COLUMN()-1),""),"MASTRO","")</f>
        <v/>
      </c>
      <c r="D114" s="136" t="str">
        <f ca="1">IF(IFERROR(INDEX((COPIA!$DA$3:$DE$1339),MATCH(ROWS(D$10:D114),COPIA!$DF$3:$DF$1339,0),COLUMN()-1),"")=0,"",IFERROR(INDEX((COPIA!$DA$3:$DE$1339),MATCH(ROWS(D$10:D114),COPIA!$DF$3:$DF$1339,0),COLUMN()-1),""))</f>
        <v/>
      </c>
      <c r="E114" s="9" t="str">
        <f ca="1">IF(IFERROR(INDEX((COPIA!$DA$3:$DE$1339),MATCH(ROWS(E$10:E114),COPIA!$DF$3:$DF$1339,0),COLUMN()-1),"")=0,"",IFERROR(INDEX((COPIA!$DA$3:$DE$1339),MATCH(ROWS(E$10:E114),COPIA!$DF$3:$DF$1339,0),COLUMN()-1),""))</f>
        <v/>
      </c>
      <c r="F114" s="6" t="str">
        <f ca="1">IF(IFERROR(INDEX((COPIA!$DA$3:$DE$1339),MATCH(ROWS(F$10:F114),COPIA!$DF$3:$DF$1339,0),COLUMN()-1),"")=0,"",IFERROR(INDEX((COPIA!$DA$3:$DE$1339),MATCH(ROWS(F$10:F114),COPIA!$DF$3:$DF$1339,0),COLUMN()-1),""))</f>
        <v/>
      </c>
      <c r="G114" s="12"/>
    </row>
    <row r="115" spans="1:7" x14ac:dyDescent="0.3">
      <c r="A115" s="60" t="str">
        <f ca="1">COPIA!AC108</f>
        <v>PERDITA D'ESERCIZIO</v>
      </c>
      <c r="B115" s="10" t="str">
        <f ca="1">IF(IFERROR(INDEX((COPIA!$DA$3:$DE$1339),MATCH(ROWS(B$10:B115),COPIA!$DF$3:$DF$1339,0),COLUMN()-1),"")&gt;=1,IFERROR(INDEX((COPIA!$DA$3:$DE$1339),MATCH(ROWS(B$10:B115),COPIA!$DF$3:$DF$1339,0),COLUMN()-1),""),"")</f>
        <v/>
      </c>
      <c r="C115" s="5" t="str">
        <f ca="1">SUBSTITUTE(IFERROR(INDEX((COPIA!$DA$3:$DE$1339),MATCH(ROWS(C$10:C115),COPIA!$DF$3:$DF$1339,0),COLUMN()-1),""),"MASTRO","")</f>
        <v/>
      </c>
      <c r="D115" s="136" t="str">
        <f ca="1">IF(IFERROR(INDEX((COPIA!$DA$3:$DE$1339),MATCH(ROWS(D$10:D115),COPIA!$DF$3:$DF$1339,0),COLUMN()-1),"")=0,"",IFERROR(INDEX((COPIA!$DA$3:$DE$1339),MATCH(ROWS(D$10:D115),COPIA!$DF$3:$DF$1339,0),COLUMN()-1),""))</f>
        <v/>
      </c>
      <c r="E115" s="9" t="str">
        <f ca="1">IF(IFERROR(INDEX((COPIA!$DA$3:$DE$1339),MATCH(ROWS(E$10:E115),COPIA!$DF$3:$DF$1339,0),COLUMN()-1),"")=0,"",IFERROR(INDEX((COPIA!$DA$3:$DE$1339),MATCH(ROWS(E$10:E115),COPIA!$DF$3:$DF$1339,0),COLUMN()-1),""))</f>
        <v/>
      </c>
      <c r="F115" s="6" t="str">
        <f ca="1">IF(IFERROR(INDEX((COPIA!$DA$3:$DE$1339),MATCH(ROWS(F$10:F115),COPIA!$DF$3:$DF$1339,0),COLUMN()-1),"")=0,"",IFERROR(INDEX((COPIA!$DA$3:$DE$1339),MATCH(ROWS(F$10:F115),COPIA!$DF$3:$DF$1339,0),COLUMN()-1),""))</f>
        <v/>
      </c>
      <c r="G115" s="12"/>
    </row>
    <row r="116" spans="1:7" x14ac:dyDescent="0.3">
      <c r="A116" s="60" t="str">
        <f ca="1">COPIA!AC109</f>
        <v>RISERVA NEGATIVA PER AZIONI PROPRIE</v>
      </c>
      <c r="B116" s="10" t="str">
        <f ca="1">IF(IFERROR(INDEX((COPIA!$DA$3:$DE$1339),MATCH(ROWS(B$10:B116),COPIA!$DF$3:$DF$1339,0),COLUMN()-1),"")&gt;=1,IFERROR(INDEX((COPIA!$DA$3:$DE$1339),MATCH(ROWS(B$10:B116),COPIA!$DF$3:$DF$1339,0),COLUMN()-1),""),"")</f>
        <v/>
      </c>
      <c r="C116" s="5" t="str">
        <f ca="1">SUBSTITUTE(IFERROR(INDEX((COPIA!$DA$3:$DE$1339),MATCH(ROWS(C$10:C116),COPIA!$DF$3:$DF$1339,0),COLUMN()-1),""),"MASTRO","")</f>
        <v/>
      </c>
      <c r="D116" s="136" t="str">
        <f ca="1">IF(IFERROR(INDEX((COPIA!$DA$3:$DE$1339),MATCH(ROWS(D$10:D116),COPIA!$DF$3:$DF$1339,0),COLUMN()-1),"")=0,"",IFERROR(INDEX((COPIA!$DA$3:$DE$1339),MATCH(ROWS(D$10:D116),COPIA!$DF$3:$DF$1339,0),COLUMN()-1),""))</f>
        <v/>
      </c>
      <c r="E116" s="9" t="str">
        <f ca="1">IF(IFERROR(INDEX((COPIA!$DA$3:$DE$1339),MATCH(ROWS(E$10:E116),COPIA!$DF$3:$DF$1339,0),COLUMN()-1),"")=0,"",IFERROR(INDEX((COPIA!$DA$3:$DE$1339),MATCH(ROWS(E$10:E116),COPIA!$DF$3:$DF$1339,0),COLUMN()-1),""))</f>
        <v/>
      </c>
      <c r="F116" s="6" t="str">
        <f ca="1">IF(IFERROR(INDEX((COPIA!$DA$3:$DE$1339),MATCH(ROWS(F$10:F116),COPIA!$DF$3:$DF$1339,0),COLUMN()-1),"")=0,"",IFERROR(INDEX((COPIA!$DA$3:$DE$1339),MATCH(ROWS(F$10:F116),COPIA!$DF$3:$DF$1339,0),COLUMN()-1),""))</f>
        <v/>
      </c>
      <c r="G116" s="12"/>
    </row>
    <row r="117" spans="1:7" x14ac:dyDescent="0.3">
      <c r="A117" s="60" t="str">
        <f ca="1">COPIA!AC110</f>
        <v>FONDO PER IMPOSTE</v>
      </c>
      <c r="B117" s="10" t="str">
        <f ca="1">IF(IFERROR(INDEX((COPIA!$DA$3:$DE$1339),MATCH(ROWS(B$10:B117),COPIA!$DF$3:$DF$1339,0),COLUMN()-1),"")&gt;=1,IFERROR(INDEX((COPIA!$DA$3:$DE$1339),MATCH(ROWS(B$10:B117),COPIA!$DF$3:$DF$1339,0),COLUMN()-1),""),"")</f>
        <v/>
      </c>
      <c r="C117" s="5" t="str">
        <f ca="1">SUBSTITUTE(IFERROR(INDEX((COPIA!$DA$3:$DE$1339),MATCH(ROWS(C$10:C117),COPIA!$DF$3:$DF$1339,0),COLUMN()-1),""),"MASTRO","")</f>
        <v/>
      </c>
      <c r="D117" s="136" t="str">
        <f ca="1">IF(IFERROR(INDEX((COPIA!$DA$3:$DE$1339),MATCH(ROWS(D$10:D117),COPIA!$DF$3:$DF$1339,0),COLUMN()-1),"")=0,"",IFERROR(INDEX((COPIA!$DA$3:$DE$1339),MATCH(ROWS(D$10:D117),COPIA!$DF$3:$DF$1339,0),COLUMN()-1),""))</f>
        <v/>
      </c>
      <c r="E117" s="9" t="str">
        <f ca="1">IF(IFERROR(INDEX((COPIA!$DA$3:$DE$1339),MATCH(ROWS(E$10:E117),COPIA!$DF$3:$DF$1339,0),COLUMN()-1),"")=0,"",IFERROR(INDEX((COPIA!$DA$3:$DE$1339),MATCH(ROWS(E$10:E117),COPIA!$DF$3:$DF$1339,0),COLUMN()-1),""))</f>
        <v/>
      </c>
      <c r="F117" s="6" t="str">
        <f ca="1">IF(IFERROR(INDEX((COPIA!$DA$3:$DE$1339),MATCH(ROWS(F$10:F117),COPIA!$DF$3:$DF$1339,0),COLUMN()-1),"")=0,"",IFERROR(INDEX((COPIA!$DA$3:$DE$1339),MATCH(ROWS(F$10:F117),COPIA!$DF$3:$DF$1339,0),COLUMN()-1),""))</f>
        <v/>
      </c>
      <c r="G117" s="12"/>
    </row>
    <row r="118" spans="1:7" x14ac:dyDescent="0.3">
      <c r="A118" s="60" t="str">
        <f ca="1">COPIA!AC111</f>
        <v>FONDO RESPONSABILITÀ CIVILE</v>
      </c>
      <c r="B118" s="10" t="str">
        <f ca="1">IF(IFERROR(INDEX((COPIA!$DA$3:$DE$1339),MATCH(ROWS(B$10:B118),COPIA!$DF$3:$DF$1339,0),COLUMN()-1),"")&gt;=1,IFERROR(INDEX((COPIA!$DA$3:$DE$1339),MATCH(ROWS(B$10:B118),COPIA!$DF$3:$DF$1339,0),COLUMN()-1),""),"")</f>
        <v/>
      </c>
      <c r="C118" s="5" t="str">
        <f ca="1">SUBSTITUTE(IFERROR(INDEX((COPIA!$DA$3:$DE$1339),MATCH(ROWS(C$10:C118),COPIA!$DF$3:$DF$1339,0),COLUMN()-1),""),"MASTRO","")</f>
        <v/>
      </c>
      <c r="D118" s="136" t="str">
        <f ca="1">IF(IFERROR(INDEX((COPIA!$DA$3:$DE$1339),MATCH(ROWS(D$10:D118),COPIA!$DF$3:$DF$1339,0),COLUMN()-1),"")=0,"",IFERROR(INDEX((COPIA!$DA$3:$DE$1339),MATCH(ROWS(D$10:D118),COPIA!$DF$3:$DF$1339,0),COLUMN()-1),""))</f>
        <v/>
      </c>
      <c r="E118" s="9" t="str">
        <f ca="1">IF(IFERROR(INDEX((COPIA!$DA$3:$DE$1339),MATCH(ROWS(E$10:E118),COPIA!$DF$3:$DF$1339,0),COLUMN()-1),"")=0,"",IFERROR(INDEX((COPIA!$DA$3:$DE$1339),MATCH(ROWS(E$10:E118),COPIA!$DF$3:$DF$1339,0),COLUMN()-1),""))</f>
        <v/>
      </c>
      <c r="F118" s="6" t="str">
        <f ca="1">IF(IFERROR(INDEX((COPIA!$DA$3:$DE$1339),MATCH(ROWS(F$10:F118),COPIA!$DF$3:$DF$1339,0),COLUMN()-1),"")=0,"",IFERROR(INDEX((COPIA!$DA$3:$DE$1339),MATCH(ROWS(F$10:F118),COPIA!$DF$3:$DF$1339,0),COLUMN()-1),""))</f>
        <v/>
      </c>
      <c r="G118" s="12"/>
    </row>
    <row r="119" spans="1:7" x14ac:dyDescent="0.3">
      <c r="A119" s="60" t="str">
        <f ca="1">COPIA!AC112</f>
        <v>FONDO MANUTENZIONI PROGRAMMATE</v>
      </c>
      <c r="B119" s="10" t="str">
        <f ca="1">IF(IFERROR(INDEX((COPIA!$DA$3:$DE$1339),MATCH(ROWS(B$10:B119),COPIA!$DF$3:$DF$1339,0),COLUMN()-1),"")&gt;=1,IFERROR(INDEX((COPIA!$DA$3:$DE$1339),MATCH(ROWS(B$10:B119),COPIA!$DF$3:$DF$1339,0),COLUMN()-1),""),"")</f>
        <v/>
      </c>
      <c r="C119" s="5" t="str">
        <f ca="1">SUBSTITUTE(IFERROR(INDEX((COPIA!$DA$3:$DE$1339),MATCH(ROWS(C$10:C119),COPIA!$DF$3:$DF$1339,0),COLUMN()-1),""),"MASTRO","")</f>
        <v/>
      </c>
      <c r="D119" s="136" t="str">
        <f ca="1">IF(IFERROR(INDEX((COPIA!$DA$3:$DE$1339),MATCH(ROWS(D$10:D119),COPIA!$DF$3:$DF$1339,0),COLUMN()-1),"")=0,"",IFERROR(INDEX((COPIA!$DA$3:$DE$1339),MATCH(ROWS(D$10:D119),COPIA!$DF$3:$DF$1339,0),COLUMN()-1),""))</f>
        <v/>
      </c>
      <c r="E119" s="9" t="str">
        <f ca="1">IF(IFERROR(INDEX((COPIA!$DA$3:$DE$1339),MATCH(ROWS(E$10:E119),COPIA!$DF$3:$DF$1339,0),COLUMN()-1),"")=0,"",IFERROR(INDEX((COPIA!$DA$3:$DE$1339),MATCH(ROWS(E$10:E119),COPIA!$DF$3:$DF$1339,0),COLUMN()-1),""))</f>
        <v/>
      </c>
      <c r="F119" s="6" t="str">
        <f ca="1">IF(IFERROR(INDEX((COPIA!$DA$3:$DE$1339),MATCH(ROWS(F$10:F119),COPIA!$DF$3:$DF$1339,0),COLUMN()-1),"")=0,"",IFERROR(INDEX((COPIA!$DA$3:$DE$1339),MATCH(ROWS(F$10:F119),COPIA!$DF$3:$DF$1339,0),COLUMN()-1),""))</f>
        <v/>
      </c>
      <c r="G119" s="12"/>
    </row>
    <row r="120" spans="1:7" x14ac:dyDescent="0.3">
      <c r="A120" s="60" t="str">
        <f ca="1">COPIA!AC113</f>
        <v>FONDO GARANZIA PRODOTTI</v>
      </c>
      <c r="B120" s="10" t="str">
        <f ca="1">IF(IFERROR(INDEX((COPIA!$DA$3:$DE$1339),MATCH(ROWS(B$10:B120),COPIA!$DF$3:$DF$1339,0),COLUMN()-1),"")&gt;=1,IFERROR(INDEX((COPIA!$DA$3:$DE$1339),MATCH(ROWS(B$10:B120),COPIA!$DF$3:$DF$1339,0),COLUMN()-1),""),"")</f>
        <v/>
      </c>
      <c r="C120" s="5" t="str">
        <f ca="1">SUBSTITUTE(IFERROR(INDEX((COPIA!$DA$3:$DE$1339),MATCH(ROWS(C$10:C120),COPIA!$DF$3:$DF$1339,0),COLUMN()-1),""),"MASTRO","")</f>
        <v/>
      </c>
      <c r="D120" s="136" t="str">
        <f ca="1">IF(IFERROR(INDEX((COPIA!$DA$3:$DE$1339),MATCH(ROWS(D$10:D120),COPIA!$DF$3:$DF$1339,0),COLUMN()-1),"")=0,"",IFERROR(INDEX((COPIA!$DA$3:$DE$1339),MATCH(ROWS(D$10:D120),COPIA!$DF$3:$DF$1339,0),COLUMN()-1),""))</f>
        <v/>
      </c>
      <c r="E120" s="9" t="str">
        <f ca="1">IF(IFERROR(INDEX((COPIA!$DA$3:$DE$1339),MATCH(ROWS(E$10:E120),COPIA!$DF$3:$DF$1339,0),COLUMN()-1),"")=0,"",IFERROR(INDEX((COPIA!$DA$3:$DE$1339),MATCH(ROWS(E$10:E120),COPIA!$DF$3:$DF$1339,0),COLUMN()-1),""))</f>
        <v/>
      </c>
      <c r="F120" s="6" t="str">
        <f ca="1">IF(IFERROR(INDEX((COPIA!$DA$3:$DE$1339),MATCH(ROWS(F$10:F120),COPIA!$DF$3:$DF$1339,0),COLUMN()-1),"")=0,"",IFERROR(INDEX((COPIA!$DA$3:$DE$1339),MATCH(ROWS(F$10:F120),COPIA!$DF$3:$DF$1339,0),COLUMN()-1),""))</f>
        <v/>
      </c>
      <c r="G120" s="12"/>
    </row>
    <row r="121" spans="1:7" x14ac:dyDescent="0.3">
      <c r="A121" s="60" t="str">
        <f ca="1">COPIA!AC114</f>
        <v>DEBITI PER TFR</v>
      </c>
      <c r="B121" s="10" t="str">
        <f ca="1">IF(IFERROR(INDEX((COPIA!$DA$3:$DE$1339),MATCH(ROWS(B$10:B121),COPIA!$DF$3:$DF$1339,0),COLUMN()-1),"")&gt;=1,IFERROR(INDEX((COPIA!$DA$3:$DE$1339),MATCH(ROWS(B$10:B121),COPIA!$DF$3:$DF$1339,0),COLUMN()-1),""),"")</f>
        <v/>
      </c>
      <c r="C121" s="5" t="str">
        <f ca="1">SUBSTITUTE(IFERROR(INDEX((COPIA!$DA$3:$DE$1339),MATCH(ROWS(C$10:C121),COPIA!$DF$3:$DF$1339,0),COLUMN()-1),""),"MASTRO","")</f>
        <v/>
      </c>
      <c r="D121" s="136" t="str">
        <f ca="1">IF(IFERROR(INDEX((COPIA!$DA$3:$DE$1339),MATCH(ROWS(D$10:D121),COPIA!$DF$3:$DF$1339,0),COLUMN()-1),"")=0,"",IFERROR(INDEX((COPIA!$DA$3:$DE$1339),MATCH(ROWS(D$10:D121),COPIA!$DF$3:$DF$1339,0),COLUMN()-1),""))</f>
        <v/>
      </c>
      <c r="E121" s="9" t="str">
        <f ca="1">IF(IFERROR(INDEX((COPIA!$DA$3:$DE$1339),MATCH(ROWS(E$10:E121),COPIA!$DF$3:$DF$1339,0),COLUMN()-1),"")=0,"",IFERROR(INDEX((COPIA!$DA$3:$DE$1339),MATCH(ROWS(E$10:E121),COPIA!$DF$3:$DF$1339,0),COLUMN()-1),""))</f>
        <v/>
      </c>
      <c r="F121" s="6" t="str">
        <f ca="1">IF(IFERROR(INDEX((COPIA!$DA$3:$DE$1339),MATCH(ROWS(F$10:F121),COPIA!$DF$3:$DF$1339,0),COLUMN()-1),"")=0,"",IFERROR(INDEX((COPIA!$DA$3:$DE$1339),MATCH(ROWS(F$10:F121),COPIA!$DF$3:$DF$1339,0),COLUMN()-1),""))</f>
        <v/>
      </c>
      <c r="G121" s="12"/>
    </row>
    <row r="122" spans="1:7" x14ac:dyDescent="0.3">
      <c r="A122" s="60" t="str">
        <f ca="1">COPIA!AC115</f>
        <v>PRESTITI OBBLIGAZIONARI</v>
      </c>
      <c r="B122" s="10" t="str">
        <f ca="1">IF(IFERROR(INDEX((COPIA!$DA$3:$DE$1339),MATCH(ROWS(B$10:B122),COPIA!$DF$3:$DF$1339,0),COLUMN()-1),"")&gt;=1,IFERROR(INDEX((COPIA!$DA$3:$DE$1339),MATCH(ROWS(B$10:B122),COPIA!$DF$3:$DF$1339,0),COLUMN()-1),""),"")</f>
        <v/>
      </c>
      <c r="C122" s="5" t="str">
        <f ca="1">SUBSTITUTE(IFERROR(INDEX((COPIA!$DA$3:$DE$1339),MATCH(ROWS(C$10:C122),COPIA!$DF$3:$DF$1339,0),COLUMN()-1),""),"MASTRO","")</f>
        <v/>
      </c>
      <c r="D122" s="136" t="str">
        <f ca="1">IF(IFERROR(INDEX((COPIA!$DA$3:$DE$1339),MATCH(ROWS(D$10:D122),COPIA!$DF$3:$DF$1339,0),COLUMN()-1),"")=0,"",IFERROR(INDEX((COPIA!$DA$3:$DE$1339),MATCH(ROWS(D$10:D122),COPIA!$DF$3:$DF$1339,0),COLUMN()-1),""))</f>
        <v/>
      </c>
      <c r="E122" s="9" t="str">
        <f ca="1">IF(IFERROR(INDEX((COPIA!$DA$3:$DE$1339),MATCH(ROWS(E$10:E122),COPIA!$DF$3:$DF$1339,0),COLUMN()-1),"")=0,"",IFERROR(INDEX((COPIA!$DA$3:$DE$1339),MATCH(ROWS(E$10:E122),COPIA!$DF$3:$DF$1339,0),COLUMN()-1),""))</f>
        <v/>
      </c>
      <c r="F122" s="6" t="str">
        <f ca="1">IF(IFERROR(INDEX((COPIA!$DA$3:$DE$1339),MATCH(ROWS(F$10:F122),COPIA!$DF$3:$DF$1339,0),COLUMN()-1),"")=0,"",IFERROR(INDEX((COPIA!$DA$3:$DE$1339),MATCH(ROWS(F$10:F122),COPIA!$DF$3:$DF$1339,0),COLUMN()-1),""))</f>
        <v/>
      </c>
      <c r="G122" s="12"/>
    </row>
    <row r="123" spans="1:7" x14ac:dyDescent="0.3">
      <c r="A123" s="60" t="str">
        <f ca="1">COPIA!AC116</f>
        <v>PRESTITI OBBLIGAZIONARI CONVERTIBILI</v>
      </c>
      <c r="B123" s="10" t="str">
        <f ca="1">IF(IFERROR(INDEX((COPIA!$DA$3:$DE$1339),MATCH(ROWS(B$10:B123),COPIA!$DF$3:$DF$1339,0),COLUMN()-1),"")&gt;=1,IFERROR(INDEX((COPIA!$DA$3:$DE$1339),MATCH(ROWS(B$10:B123),COPIA!$DF$3:$DF$1339,0),COLUMN()-1),""),"")</f>
        <v/>
      </c>
      <c r="C123" s="5" t="str">
        <f ca="1">SUBSTITUTE(IFERROR(INDEX((COPIA!$DA$3:$DE$1339),MATCH(ROWS(C$10:C123),COPIA!$DF$3:$DF$1339,0),COLUMN()-1),""),"MASTRO","")</f>
        <v/>
      </c>
      <c r="D123" s="136" t="str">
        <f ca="1">IF(IFERROR(INDEX((COPIA!$DA$3:$DE$1339),MATCH(ROWS(D$10:D123),COPIA!$DF$3:$DF$1339,0),COLUMN()-1),"")=0,"",IFERROR(INDEX((COPIA!$DA$3:$DE$1339),MATCH(ROWS(D$10:D123),COPIA!$DF$3:$DF$1339,0),COLUMN()-1),""))</f>
        <v/>
      </c>
      <c r="E123" s="9" t="str">
        <f ca="1">IF(IFERROR(INDEX((COPIA!$DA$3:$DE$1339),MATCH(ROWS(E$10:E123),COPIA!$DF$3:$DF$1339,0),COLUMN()-1),"")=0,"",IFERROR(INDEX((COPIA!$DA$3:$DE$1339),MATCH(ROWS(E$10:E123),COPIA!$DF$3:$DF$1339,0),COLUMN()-1),""))</f>
        <v/>
      </c>
      <c r="F123" s="6" t="str">
        <f ca="1">IF(IFERROR(INDEX((COPIA!$DA$3:$DE$1339),MATCH(ROWS(F$10:F123),COPIA!$DF$3:$DF$1339,0),COLUMN()-1),"")=0,"",IFERROR(INDEX((COPIA!$DA$3:$DE$1339),MATCH(ROWS(F$10:F123),COPIA!$DF$3:$DF$1339,0),COLUMN()-1),""))</f>
        <v/>
      </c>
      <c r="G123" s="12"/>
    </row>
    <row r="124" spans="1:7" x14ac:dyDescent="0.3">
      <c r="A124" s="60" t="str">
        <f ca="1">COPIA!AC117</f>
        <v>MUTUI PASSIVI</v>
      </c>
      <c r="B124" s="10" t="str">
        <f ca="1">IF(IFERROR(INDEX((COPIA!$DA$3:$DE$1339),MATCH(ROWS(B$10:B124),COPIA!$DF$3:$DF$1339,0),COLUMN()-1),"")&gt;=1,IFERROR(INDEX((COPIA!$DA$3:$DE$1339),MATCH(ROWS(B$10:B124),COPIA!$DF$3:$DF$1339,0),COLUMN()-1),""),"")</f>
        <v/>
      </c>
      <c r="C124" s="5" t="str">
        <f ca="1">SUBSTITUTE(IFERROR(INDEX((COPIA!$DA$3:$DE$1339),MATCH(ROWS(C$10:C124),COPIA!$DF$3:$DF$1339,0),COLUMN()-1),""),"MASTRO","")</f>
        <v/>
      </c>
      <c r="D124" s="136" t="str">
        <f ca="1">IF(IFERROR(INDEX((COPIA!$DA$3:$DE$1339),MATCH(ROWS(D$10:D124),COPIA!$DF$3:$DF$1339,0),COLUMN()-1),"")=0,"",IFERROR(INDEX((COPIA!$DA$3:$DE$1339),MATCH(ROWS(D$10:D124),COPIA!$DF$3:$DF$1339,0),COLUMN()-1),""))</f>
        <v/>
      </c>
      <c r="E124" s="9" t="str">
        <f ca="1">IF(IFERROR(INDEX((COPIA!$DA$3:$DE$1339),MATCH(ROWS(E$10:E124),COPIA!$DF$3:$DF$1339,0),COLUMN()-1),"")=0,"",IFERROR(INDEX((COPIA!$DA$3:$DE$1339),MATCH(ROWS(E$10:E124),COPIA!$DF$3:$DF$1339,0),COLUMN()-1),""))</f>
        <v/>
      </c>
      <c r="F124" s="6" t="str">
        <f ca="1">IF(IFERROR(INDEX((COPIA!$DA$3:$DE$1339),MATCH(ROWS(F$10:F124),COPIA!$DF$3:$DF$1339,0),COLUMN()-1),"")=0,"",IFERROR(INDEX((COPIA!$DA$3:$DE$1339),MATCH(ROWS(F$10:F124),COPIA!$DF$3:$DF$1339,0),COLUMN()-1),""))</f>
        <v/>
      </c>
      <c r="G124" s="12"/>
    </row>
    <row r="125" spans="1:7" x14ac:dyDescent="0.3">
      <c r="A125" s="60" t="str">
        <f ca="1">COPIA!AC118</f>
        <v>BANCHE C/RI.BA. SBF</v>
      </c>
      <c r="B125" s="10" t="str">
        <f ca="1">IF(IFERROR(INDEX((COPIA!$DA$3:$DE$1339),MATCH(ROWS(B$10:B125),COPIA!$DF$3:$DF$1339,0),COLUMN()-1),"")&gt;=1,IFERROR(INDEX((COPIA!$DA$3:$DE$1339),MATCH(ROWS(B$10:B125),COPIA!$DF$3:$DF$1339,0),COLUMN()-1),""),"")</f>
        <v/>
      </c>
      <c r="C125" s="5" t="str">
        <f ca="1">SUBSTITUTE(IFERROR(INDEX((COPIA!$DA$3:$DE$1339),MATCH(ROWS(C$10:C125),COPIA!$DF$3:$DF$1339,0),COLUMN()-1),""),"MASTRO","")</f>
        <v/>
      </c>
      <c r="D125" s="136" t="str">
        <f ca="1">IF(IFERROR(INDEX((COPIA!$DA$3:$DE$1339),MATCH(ROWS(D$10:D125),COPIA!$DF$3:$DF$1339,0),COLUMN()-1),"")=0,"",IFERROR(INDEX((COPIA!$DA$3:$DE$1339),MATCH(ROWS(D$10:D125),COPIA!$DF$3:$DF$1339,0),COLUMN()-1),""))</f>
        <v/>
      </c>
      <c r="E125" s="9" t="str">
        <f ca="1">IF(IFERROR(INDEX((COPIA!$DA$3:$DE$1339),MATCH(ROWS(E$10:E125),COPIA!$DF$3:$DF$1339,0),COLUMN()-1),"")=0,"",IFERROR(INDEX((COPIA!$DA$3:$DE$1339),MATCH(ROWS(E$10:E125),COPIA!$DF$3:$DF$1339,0),COLUMN()-1),""))</f>
        <v/>
      </c>
      <c r="F125" s="6" t="str">
        <f ca="1">IF(IFERROR(INDEX((COPIA!$DA$3:$DE$1339),MATCH(ROWS(F$10:F125),COPIA!$DF$3:$DF$1339,0),COLUMN()-1),"")=0,"",IFERROR(INDEX((COPIA!$DA$3:$DE$1339),MATCH(ROWS(F$10:F125),COPIA!$DF$3:$DF$1339,0),COLUMN()-1),""))</f>
        <v/>
      </c>
      <c r="G125" s="12"/>
    </row>
    <row r="126" spans="1:7" x14ac:dyDescent="0.3">
      <c r="A126" s="60" t="str">
        <f ca="1">COPIA!AC119</f>
        <v>BANCHE C/ANTICIPI SU FATTURE</v>
      </c>
      <c r="B126" s="10" t="str">
        <f ca="1">IF(IFERROR(INDEX((COPIA!$DA$3:$DE$1339),MATCH(ROWS(B$10:B126),COPIA!$DF$3:$DF$1339,0),COLUMN()-1),"")&gt;=1,IFERROR(INDEX((COPIA!$DA$3:$DE$1339),MATCH(ROWS(B$10:B126),COPIA!$DF$3:$DF$1339,0),COLUMN()-1),""),"")</f>
        <v/>
      </c>
      <c r="C126" s="5" t="str">
        <f ca="1">SUBSTITUTE(IFERROR(INDEX((COPIA!$DA$3:$DE$1339),MATCH(ROWS(C$10:C126),COPIA!$DF$3:$DF$1339,0),COLUMN()-1),""),"MASTRO","")</f>
        <v/>
      </c>
      <c r="D126" s="136" t="str">
        <f ca="1">IF(IFERROR(INDEX((COPIA!$DA$3:$DE$1339),MATCH(ROWS(D$10:D126),COPIA!$DF$3:$DF$1339,0),COLUMN()-1),"")=0,"",IFERROR(INDEX((COPIA!$DA$3:$DE$1339),MATCH(ROWS(D$10:D126),COPIA!$DF$3:$DF$1339,0),COLUMN()-1),""))</f>
        <v/>
      </c>
      <c r="E126" s="9" t="str">
        <f ca="1">IF(IFERROR(INDEX((COPIA!$DA$3:$DE$1339),MATCH(ROWS(E$10:E126),COPIA!$DF$3:$DF$1339,0),COLUMN()-1),"")=0,"",IFERROR(INDEX((COPIA!$DA$3:$DE$1339),MATCH(ROWS(E$10:E126),COPIA!$DF$3:$DF$1339,0),COLUMN()-1),""))</f>
        <v/>
      </c>
      <c r="F126" s="6" t="str">
        <f ca="1">IF(IFERROR(INDEX((COPIA!$DA$3:$DE$1339),MATCH(ROWS(F$10:F126),COPIA!$DF$3:$DF$1339,0),COLUMN()-1),"")=0,"",IFERROR(INDEX((COPIA!$DA$3:$DE$1339),MATCH(ROWS(F$10:F126),COPIA!$DF$3:$DF$1339,0),COLUMN()-1),""))</f>
        <v/>
      </c>
      <c r="G126" s="12"/>
    </row>
    <row r="127" spans="1:7" x14ac:dyDescent="0.3">
      <c r="A127" s="60" t="str">
        <f ca="1">COPIA!AC120</f>
        <v>SOVVENZIONI BANCARIE</v>
      </c>
      <c r="B127" s="10" t="str">
        <f ca="1">IF(IFERROR(INDEX((COPIA!$DA$3:$DE$1339),MATCH(ROWS(B$10:B127),COPIA!$DF$3:$DF$1339,0),COLUMN()-1),"")&gt;=1,IFERROR(INDEX((COPIA!$DA$3:$DE$1339),MATCH(ROWS(B$10:B127),COPIA!$DF$3:$DF$1339,0),COLUMN()-1),""),"")</f>
        <v/>
      </c>
      <c r="C127" s="5" t="str">
        <f ca="1">SUBSTITUTE(IFERROR(INDEX((COPIA!$DA$3:$DE$1339),MATCH(ROWS(C$10:C127),COPIA!$DF$3:$DF$1339,0),COLUMN()-1),""),"MASTRO","")</f>
        <v/>
      </c>
      <c r="D127" s="136" t="str">
        <f ca="1">IF(IFERROR(INDEX((COPIA!$DA$3:$DE$1339),MATCH(ROWS(D$10:D127),COPIA!$DF$3:$DF$1339,0),COLUMN()-1),"")=0,"",IFERROR(INDEX((COPIA!$DA$3:$DE$1339),MATCH(ROWS(D$10:D127),COPIA!$DF$3:$DF$1339,0),COLUMN()-1),""))</f>
        <v/>
      </c>
      <c r="E127" s="9" t="str">
        <f ca="1">IF(IFERROR(INDEX((COPIA!$DA$3:$DE$1339),MATCH(ROWS(E$10:E127),COPIA!$DF$3:$DF$1339,0),COLUMN()-1),"")=0,"",IFERROR(INDEX((COPIA!$DA$3:$DE$1339),MATCH(ROWS(E$10:E127),COPIA!$DF$3:$DF$1339,0),COLUMN()-1),""))</f>
        <v/>
      </c>
      <c r="F127" s="6" t="str">
        <f ca="1">IF(IFERROR(INDEX((COPIA!$DA$3:$DE$1339),MATCH(ROWS(F$10:F127),COPIA!$DF$3:$DF$1339,0),COLUMN()-1),"")=0,"",IFERROR(INDEX((COPIA!$DA$3:$DE$1339),MATCH(ROWS(F$10:F127),COPIA!$DF$3:$DF$1339,0),COLUMN()-1),""))</f>
        <v/>
      </c>
      <c r="G127" s="12"/>
    </row>
    <row r="128" spans="1:7" x14ac:dyDescent="0.3">
      <c r="A128" s="60" t="str">
        <f ca="1">COPIA!AC121</f>
        <v>BANCHE C/C PASSIVI</v>
      </c>
      <c r="B128" s="10" t="str">
        <f ca="1">IF(IFERROR(INDEX((COPIA!$DA$3:$DE$1339),MATCH(ROWS(B$10:B128),COPIA!$DF$3:$DF$1339,0),COLUMN()-1),"")&gt;=1,IFERROR(INDEX((COPIA!$DA$3:$DE$1339),MATCH(ROWS(B$10:B128),COPIA!$DF$3:$DF$1339,0),COLUMN()-1),""),"")</f>
        <v/>
      </c>
      <c r="C128" s="5" t="str">
        <f ca="1">SUBSTITUTE(IFERROR(INDEX((COPIA!$DA$3:$DE$1339),MATCH(ROWS(C$10:C128),COPIA!$DF$3:$DF$1339,0),COLUMN()-1),""),"MASTRO","")</f>
        <v/>
      </c>
      <c r="D128" s="136" t="str">
        <f ca="1">IF(IFERROR(INDEX((COPIA!$DA$3:$DE$1339),MATCH(ROWS(D$10:D128),COPIA!$DF$3:$DF$1339,0),COLUMN()-1),"")=0,"",IFERROR(INDEX((COPIA!$DA$3:$DE$1339),MATCH(ROWS(D$10:D128),COPIA!$DF$3:$DF$1339,0),COLUMN()-1),""))</f>
        <v/>
      </c>
      <c r="E128" s="9" t="str">
        <f ca="1">IF(IFERROR(INDEX((COPIA!$DA$3:$DE$1339),MATCH(ROWS(E$10:E128),COPIA!$DF$3:$DF$1339,0),COLUMN()-1),"")=0,"",IFERROR(INDEX((COPIA!$DA$3:$DE$1339),MATCH(ROWS(E$10:E128),COPIA!$DF$3:$DF$1339,0),COLUMN()-1),""))</f>
        <v/>
      </c>
      <c r="F128" s="6" t="str">
        <f ca="1">IF(IFERROR(INDEX((COPIA!$DA$3:$DE$1339),MATCH(ROWS(F$10:F128),COPIA!$DF$3:$DF$1339,0),COLUMN()-1),"")=0,"",IFERROR(INDEX((COPIA!$DA$3:$DE$1339),MATCH(ROWS(F$10:F128),COPIA!$DF$3:$DF$1339,0),COLUMN()-1),""))</f>
        <v/>
      </c>
      <c r="G128" s="12"/>
    </row>
    <row r="129" spans="1:7" x14ac:dyDescent="0.3">
      <c r="A129" s="60" t="str">
        <f ca="1">COPIA!AC122</f>
        <v>BANCHE C/INTERESSI MATURATI</v>
      </c>
      <c r="B129" s="10" t="str">
        <f ca="1">IF(IFERROR(INDEX((COPIA!$DA$3:$DE$1339),MATCH(ROWS(B$10:B129),COPIA!$DF$3:$DF$1339,0),COLUMN()-1),"")&gt;=1,IFERROR(INDEX((COPIA!$DA$3:$DE$1339),MATCH(ROWS(B$10:B129),COPIA!$DF$3:$DF$1339,0),COLUMN()-1),""),"")</f>
        <v/>
      </c>
      <c r="C129" s="5" t="str">
        <f ca="1">SUBSTITUTE(IFERROR(INDEX((COPIA!$DA$3:$DE$1339),MATCH(ROWS(C$10:C129),COPIA!$DF$3:$DF$1339,0),COLUMN()-1),""),"MASTRO","")</f>
        <v/>
      </c>
      <c r="D129" s="136" t="str">
        <f ca="1">IF(IFERROR(INDEX((COPIA!$DA$3:$DE$1339),MATCH(ROWS(D$10:D129),COPIA!$DF$3:$DF$1339,0),COLUMN()-1),"")=0,"",IFERROR(INDEX((COPIA!$DA$3:$DE$1339),MATCH(ROWS(D$10:D129),COPIA!$DF$3:$DF$1339,0),COLUMN()-1),""))</f>
        <v/>
      </c>
      <c r="E129" s="9" t="str">
        <f ca="1">IF(IFERROR(INDEX((COPIA!$DA$3:$DE$1339),MATCH(ROWS(E$10:E129),COPIA!$DF$3:$DF$1339,0),COLUMN()-1),"")=0,"",IFERROR(INDEX((COPIA!$DA$3:$DE$1339),MATCH(ROWS(E$10:E129),COPIA!$DF$3:$DF$1339,0),COLUMN()-1),""))</f>
        <v/>
      </c>
      <c r="F129" s="6" t="str">
        <f ca="1">IF(IFERROR(INDEX((COPIA!$DA$3:$DE$1339),MATCH(ROWS(F$10:F129),COPIA!$DF$3:$DF$1339,0),COLUMN()-1),"")=0,"",IFERROR(INDEX((COPIA!$DA$3:$DE$1339),MATCH(ROWS(F$10:F129),COPIA!$DF$3:$DF$1339,0),COLUMN()-1),""))</f>
        <v/>
      </c>
      <c r="G129" s="12"/>
    </row>
    <row r="130" spans="1:7" x14ac:dyDescent="0.3">
      <c r="A130" s="60" t="str">
        <f ca="1">COPIA!AC123</f>
        <v>PRESTITI DA CONTROLLATE</v>
      </c>
      <c r="B130" s="10" t="str">
        <f ca="1">IF(IFERROR(INDEX((COPIA!$DA$3:$DE$1339),MATCH(ROWS(B$10:B130),COPIA!$DF$3:$DF$1339,0),COLUMN()-1),"")&gt;=1,IFERROR(INDEX((COPIA!$DA$3:$DE$1339),MATCH(ROWS(B$10:B130),COPIA!$DF$3:$DF$1339,0),COLUMN()-1),""),"")</f>
        <v/>
      </c>
      <c r="C130" s="5" t="str">
        <f ca="1">SUBSTITUTE(IFERROR(INDEX((COPIA!$DA$3:$DE$1339),MATCH(ROWS(C$10:C130),COPIA!$DF$3:$DF$1339,0),COLUMN()-1),""),"MASTRO","")</f>
        <v/>
      </c>
      <c r="D130" s="136" t="str">
        <f ca="1">IF(IFERROR(INDEX((COPIA!$DA$3:$DE$1339),MATCH(ROWS(D$10:D130),COPIA!$DF$3:$DF$1339,0),COLUMN()-1),"")=0,"",IFERROR(INDEX((COPIA!$DA$3:$DE$1339),MATCH(ROWS(D$10:D130),COPIA!$DF$3:$DF$1339,0),COLUMN()-1),""))</f>
        <v/>
      </c>
      <c r="E130" s="9" t="str">
        <f ca="1">IF(IFERROR(INDEX((COPIA!$DA$3:$DE$1339),MATCH(ROWS(E$10:E130),COPIA!$DF$3:$DF$1339,0),COLUMN()-1),"")=0,"",IFERROR(INDEX((COPIA!$DA$3:$DE$1339),MATCH(ROWS(E$10:E130),COPIA!$DF$3:$DF$1339,0),COLUMN()-1),""))</f>
        <v/>
      </c>
      <c r="F130" s="6" t="str">
        <f ca="1">IF(IFERROR(INDEX((COPIA!$DA$3:$DE$1339),MATCH(ROWS(F$10:F130),COPIA!$DF$3:$DF$1339,0),COLUMN()-1),"")=0,"",IFERROR(INDEX((COPIA!$DA$3:$DE$1339),MATCH(ROWS(F$10:F130),COPIA!$DF$3:$DF$1339,0),COLUMN()-1),""))</f>
        <v/>
      </c>
      <c r="G130" s="12"/>
    </row>
    <row r="131" spans="1:7" x14ac:dyDescent="0.3">
      <c r="A131" s="60" t="str">
        <f ca="1">COPIA!AC124</f>
        <v>PRESTITI DA COLLEGATE</v>
      </c>
      <c r="B131" s="10" t="str">
        <f ca="1">IF(IFERROR(INDEX((COPIA!$DA$3:$DE$1339),MATCH(ROWS(B$10:B131),COPIA!$DF$3:$DF$1339,0),COLUMN()-1),"")&gt;=1,IFERROR(INDEX((COPIA!$DA$3:$DE$1339),MATCH(ROWS(B$10:B131),COPIA!$DF$3:$DF$1339,0),COLUMN()-1),""),"")</f>
        <v/>
      </c>
      <c r="C131" s="5" t="str">
        <f ca="1">SUBSTITUTE(IFERROR(INDEX((COPIA!$DA$3:$DE$1339),MATCH(ROWS(C$10:C131),COPIA!$DF$3:$DF$1339,0),COLUMN()-1),""),"MASTRO","")</f>
        <v/>
      </c>
      <c r="D131" s="136" t="str">
        <f ca="1">IF(IFERROR(INDEX((COPIA!$DA$3:$DE$1339),MATCH(ROWS(D$10:D131),COPIA!$DF$3:$DF$1339,0),COLUMN()-1),"")=0,"",IFERROR(INDEX((COPIA!$DA$3:$DE$1339),MATCH(ROWS(D$10:D131),COPIA!$DF$3:$DF$1339,0),COLUMN()-1),""))</f>
        <v/>
      </c>
      <c r="E131" s="9" t="str">
        <f ca="1">IF(IFERROR(INDEX((COPIA!$DA$3:$DE$1339),MATCH(ROWS(E$10:E131),COPIA!$DF$3:$DF$1339,0),COLUMN()-1),"")=0,"",IFERROR(INDEX((COPIA!$DA$3:$DE$1339),MATCH(ROWS(E$10:E131),COPIA!$DF$3:$DF$1339,0),COLUMN()-1),""))</f>
        <v/>
      </c>
      <c r="F131" s="6" t="str">
        <f ca="1">IF(IFERROR(INDEX((COPIA!$DA$3:$DE$1339),MATCH(ROWS(F$10:F131),COPIA!$DF$3:$DF$1339,0),COLUMN()-1),"")=0,"",IFERROR(INDEX((COPIA!$DA$3:$DE$1339),MATCH(ROWS(F$10:F131),COPIA!$DF$3:$DF$1339,0),COLUMN()-1),""))</f>
        <v/>
      </c>
      <c r="G131" s="12"/>
    </row>
    <row r="132" spans="1:7" x14ac:dyDescent="0.3">
      <c r="A132" s="60" t="str">
        <f ca="1">COPIA!AC125</f>
        <v>PRESTITI DA CONTROLLANTE</v>
      </c>
      <c r="B132" s="10" t="str">
        <f ca="1">IF(IFERROR(INDEX((COPIA!$DA$3:$DE$1339),MATCH(ROWS(B$10:B132),COPIA!$DF$3:$DF$1339,0),COLUMN()-1),"")&gt;=1,IFERROR(INDEX((COPIA!$DA$3:$DE$1339),MATCH(ROWS(B$10:B132),COPIA!$DF$3:$DF$1339,0),COLUMN()-1),""),"")</f>
        <v/>
      </c>
      <c r="C132" s="5" t="str">
        <f ca="1">SUBSTITUTE(IFERROR(INDEX((COPIA!$DA$3:$DE$1339),MATCH(ROWS(C$10:C132),COPIA!$DF$3:$DF$1339,0),COLUMN()-1),""),"MASTRO","")</f>
        <v/>
      </c>
      <c r="D132" s="136" t="str">
        <f ca="1">IF(IFERROR(INDEX((COPIA!$DA$3:$DE$1339),MATCH(ROWS(D$10:D132),COPIA!$DF$3:$DF$1339,0),COLUMN()-1),"")=0,"",IFERROR(INDEX((COPIA!$DA$3:$DE$1339),MATCH(ROWS(D$10:D132),COPIA!$DF$3:$DF$1339,0),COLUMN()-1),""))</f>
        <v/>
      </c>
      <c r="E132" s="9" t="str">
        <f ca="1">IF(IFERROR(INDEX((COPIA!$DA$3:$DE$1339),MATCH(ROWS(E$10:E132),COPIA!$DF$3:$DF$1339,0),COLUMN()-1),"")=0,"",IFERROR(INDEX((COPIA!$DA$3:$DE$1339),MATCH(ROWS(E$10:E132),COPIA!$DF$3:$DF$1339,0),COLUMN()-1),""))</f>
        <v/>
      </c>
      <c r="F132" s="6" t="str">
        <f ca="1">IF(IFERROR(INDEX((COPIA!$DA$3:$DE$1339),MATCH(ROWS(F$10:F132),COPIA!$DF$3:$DF$1339,0),COLUMN()-1),"")=0,"",IFERROR(INDEX((COPIA!$DA$3:$DE$1339),MATCH(ROWS(F$10:F132),COPIA!$DF$3:$DF$1339,0),COLUMN()-1),""))</f>
        <v/>
      </c>
      <c r="G132" s="12"/>
    </row>
    <row r="133" spans="1:7" x14ac:dyDescent="0.3">
      <c r="A133" s="60" t="str">
        <f ca="1">COPIA!AC126</f>
        <v>DEBITI V/ALTRI FINANZIATORI</v>
      </c>
      <c r="B133" s="10" t="str">
        <f ca="1">IF(IFERROR(INDEX((COPIA!$DA$3:$DE$1339),MATCH(ROWS(B$10:B133),COPIA!$DF$3:$DF$1339,0),COLUMN()-1),"")&gt;=1,IFERROR(INDEX((COPIA!$DA$3:$DE$1339),MATCH(ROWS(B$10:B133),COPIA!$DF$3:$DF$1339,0),COLUMN()-1),""),"")</f>
        <v/>
      </c>
      <c r="C133" s="5" t="str">
        <f ca="1">SUBSTITUTE(IFERROR(INDEX((COPIA!$DA$3:$DE$1339),MATCH(ROWS(C$10:C133),COPIA!$DF$3:$DF$1339,0),COLUMN()-1),""),"MASTRO","")</f>
        <v/>
      </c>
      <c r="D133" s="136" t="str">
        <f ca="1">IF(IFERROR(INDEX((COPIA!$DA$3:$DE$1339),MATCH(ROWS(D$10:D133),COPIA!$DF$3:$DF$1339,0),COLUMN()-1),"")=0,"",IFERROR(INDEX((COPIA!$DA$3:$DE$1339),MATCH(ROWS(D$10:D133),COPIA!$DF$3:$DF$1339,0),COLUMN()-1),""))</f>
        <v/>
      </c>
      <c r="E133" s="9" t="str">
        <f ca="1">IF(IFERROR(INDEX((COPIA!$DA$3:$DE$1339),MATCH(ROWS(E$10:E133),COPIA!$DF$3:$DF$1339,0),COLUMN()-1),"")=0,"",IFERROR(INDEX((COPIA!$DA$3:$DE$1339),MATCH(ROWS(E$10:E133),COPIA!$DF$3:$DF$1339,0),COLUMN()-1),""))</f>
        <v/>
      </c>
      <c r="F133" s="6" t="str">
        <f ca="1">IF(IFERROR(INDEX((COPIA!$DA$3:$DE$1339),MATCH(ROWS(F$10:F133),COPIA!$DF$3:$DF$1339,0),COLUMN()-1),"")=0,"",IFERROR(INDEX((COPIA!$DA$3:$DE$1339),MATCH(ROWS(F$10:F133),COPIA!$DF$3:$DF$1339,0),COLUMN()-1),""))</f>
        <v/>
      </c>
      <c r="G133" s="12"/>
    </row>
    <row r="134" spans="1:7" x14ac:dyDescent="0.3">
      <c r="A134" s="60" t="str">
        <f ca="1">COPIA!AC127</f>
        <v>DEBITI V/FORNITORI</v>
      </c>
      <c r="B134" s="10" t="str">
        <f ca="1">IF(IFERROR(INDEX((COPIA!$DA$3:$DE$1339),MATCH(ROWS(B$10:B134),COPIA!$DF$3:$DF$1339,0),COLUMN()-1),"")&gt;=1,IFERROR(INDEX((COPIA!$DA$3:$DE$1339),MATCH(ROWS(B$10:B134),COPIA!$DF$3:$DF$1339,0),COLUMN()-1),""),"")</f>
        <v/>
      </c>
      <c r="C134" s="5" t="str">
        <f ca="1">SUBSTITUTE(IFERROR(INDEX((COPIA!$DA$3:$DE$1339),MATCH(ROWS(C$10:C134),COPIA!$DF$3:$DF$1339,0),COLUMN()-1),""),"MASTRO","")</f>
        <v/>
      </c>
      <c r="D134" s="136" t="str">
        <f ca="1">IF(IFERROR(INDEX((COPIA!$DA$3:$DE$1339),MATCH(ROWS(D$10:D134),COPIA!$DF$3:$DF$1339,0),COLUMN()-1),"")=0,"",IFERROR(INDEX((COPIA!$DA$3:$DE$1339),MATCH(ROWS(D$10:D134),COPIA!$DF$3:$DF$1339,0),COLUMN()-1),""))</f>
        <v/>
      </c>
      <c r="E134" s="9" t="str">
        <f ca="1">IF(IFERROR(INDEX((COPIA!$DA$3:$DE$1339),MATCH(ROWS(E$10:E134),COPIA!$DF$3:$DF$1339,0),COLUMN()-1),"")=0,"",IFERROR(INDEX((COPIA!$DA$3:$DE$1339),MATCH(ROWS(E$10:E134),COPIA!$DF$3:$DF$1339,0),COLUMN()-1),""))</f>
        <v/>
      </c>
      <c r="F134" s="6" t="str">
        <f ca="1">IF(IFERROR(INDEX((COPIA!$DA$3:$DE$1339),MATCH(ROWS(F$10:F134),COPIA!$DF$3:$DF$1339,0),COLUMN()-1),"")=0,"",IFERROR(INDEX((COPIA!$DA$3:$DE$1339),MATCH(ROWS(F$10:F134),COPIA!$DF$3:$DF$1339,0),COLUMN()-1),""))</f>
        <v/>
      </c>
      <c r="G134" s="12"/>
    </row>
    <row r="135" spans="1:7" x14ac:dyDescent="0.3">
      <c r="A135" s="60" t="str">
        <f ca="1">COPIA!AC128</f>
        <v>FATTURE DA RICEVERE</v>
      </c>
      <c r="B135" s="10" t="str">
        <f ca="1">IF(IFERROR(INDEX((COPIA!$DA$3:$DE$1339),MATCH(ROWS(B$10:B135),COPIA!$DF$3:$DF$1339,0),COLUMN()-1),"")&gt;=1,IFERROR(INDEX((COPIA!$DA$3:$DE$1339),MATCH(ROWS(B$10:B135),COPIA!$DF$3:$DF$1339,0),COLUMN()-1),""),"")</f>
        <v/>
      </c>
      <c r="C135" s="5" t="str">
        <f ca="1">SUBSTITUTE(IFERROR(INDEX((COPIA!$DA$3:$DE$1339),MATCH(ROWS(C$10:C135),COPIA!$DF$3:$DF$1339,0),COLUMN()-1),""),"MASTRO","")</f>
        <v/>
      </c>
      <c r="D135" s="136" t="str">
        <f ca="1">IF(IFERROR(INDEX((COPIA!$DA$3:$DE$1339),MATCH(ROWS(D$10:D135),COPIA!$DF$3:$DF$1339,0),COLUMN()-1),"")=0,"",IFERROR(INDEX((COPIA!$DA$3:$DE$1339),MATCH(ROWS(D$10:D135),COPIA!$DF$3:$DF$1339,0),COLUMN()-1),""))</f>
        <v/>
      </c>
      <c r="E135" s="9" t="str">
        <f ca="1">IF(IFERROR(INDEX((COPIA!$DA$3:$DE$1339),MATCH(ROWS(E$10:E135),COPIA!$DF$3:$DF$1339,0),COLUMN()-1),"")=0,"",IFERROR(INDEX((COPIA!$DA$3:$DE$1339),MATCH(ROWS(E$10:E135),COPIA!$DF$3:$DF$1339,0),COLUMN()-1),""))</f>
        <v/>
      </c>
      <c r="F135" s="6" t="str">
        <f ca="1">IF(IFERROR(INDEX((COPIA!$DA$3:$DE$1339),MATCH(ROWS(F$10:F135),COPIA!$DF$3:$DF$1339,0),COLUMN()-1),"")=0,"",IFERROR(INDEX((COPIA!$DA$3:$DE$1339),MATCH(ROWS(F$10:F135),COPIA!$DF$3:$DF$1339,0),COLUMN()-1),""))</f>
        <v/>
      </c>
      <c r="G135" s="12"/>
    </row>
    <row r="136" spans="1:7" x14ac:dyDescent="0.3">
      <c r="A136" s="60" t="str">
        <f ca="1">COPIA!AC129</f>
        <v>DEBITI COMMERCIALI DIVERSI</v>
      </c>
      <c r="B136" s="10" t="str">
        <f ca="1">IF(IFERROR(INDEX((COPIA!$DA$3:$DE$1339),MATCH(ROWS(B$10:B136),COPIA!$DF$3:$DF$1339,0),COLUMN()-1),"")&gt;=1,IFERROR(INDEX((COPIA!$DA$3:$DE$1339),MATCH(ROWS(B$10:B136),COPIA!$DF$3:$DF$1339,0),COLUMN()-1),""),"")</f>
        <v/>
      </c>
      <c r="C136" s="5" t="str">
        <f ca="1">SUBSTITUTE(IFERROR(INDEX((COPIA!$DA$3:$DE$1339),MATCH(ROWS(C$10:C136),COPIA!$DF$3:$DF$1339,0),COLUMN()-1),""),"MASTRO","")</f>
        <v/>
      </c>
      <c r="D136" s="136" t="str">
        <f ca="1">IF(IFERROR(INDEX((COPIA!$DA$3:$DE$1339),MATCH(ROWS(D$10:D136),COPIA!$DF$3:$DF$1339,0),COLUMN()-1),"")=0,"",IFERROR(INDEX((COPIA!$DA$3:$DE$1339),MATCH(ROWS(D$10:D136),COPIA!$DF$3:$DF$1339,0),COLUMN()-1),""))</f>
        <v/>
      </c>
      <c r="E136" s="9" t="str">
        <f ca="1">IF(IFERROR(INDEX((COPIA!$DA$3:$DE$1339),MATCH(ROWS(E$10:E136),COPIA!$DF$3:$DF$1339,0),COLUMN()-1),"")=0,"",IFERROR(INDEX((COPIA!$DA$3:$DE$1339),MATCH(ROWS(E$10:E136),COPIA!$DF$3:$DF$1339,0),COLUMN()-1),""))</f>
        <v/>
      </c>
      <c r="F136" s="6" t="str">
        <f ca="1">IF(IFERROR(INDEX((COPIA!$DA$3:$DE$1339),MATCH(ROWS(F$10:F136),COPIA!$DF$3:$DF$1339,0),COLUMN()-1),"")=0,"",IFERROR(INDEX((COPIA!$DA$3:$DE$1339),MATCH(ROWS(F$10:F136),COPIA!$DF$3:$DF$1339,0),COLUMN()-1),""))</f>
        <v/>
      </c>
      <c r="G136" s="12"/>
    </row>
    <row r="137" spans="1:7" x14ac:dyDescent="0.3">
      <c r="A137" s="60" t="str">
        <f ca="1">COPIA!AC130</f>
        <v>CAMBIALI PASSIVE</v>
      </c>
      <c r="B137" s="10" t="str">
        <f ca="1">IF(IFERROR(INDEX((COPIA!$DA$3:$DE$1339),MATCH(ROWS(B$10:B137),COPIA!$DF$3:$DF$1339,0),COLUMN()-1),"")&gt;=1,IFERROR(INDEX((COPIA!$DA$3:$DE$1339),MATCH(ROWS(B$10:B137),COPIA!$DF$3:$DF$1339,0),COLUMN()-1),""),"")</f>
        <v/>
      </c>
      <c r="C137" s="5" t="str">
        <f ca="1">SUBSTITUTE(IFERROR(INDEX((COPIA!$DA$3:$DE$1339),MATCH(ROWS(C$10:C137),COPIA!$DF$3:$DF$1339,0),COLUMN()-1),""),"MASTRO","")</f>
        <v/>
      </c>
      <c r="D137" s="136" t="str">
        <f ca="1">IF(IFERROR(INDEX((COPIA!$DA$3:$DE$1339),MATCH(ROWS(D$10:D137),COPIA!$DF$3:$DF$1339,0),COLUMN()-1),"")=0,"",IFERROR(INDEX((COPIA!$DA$3:$DE$1339),MATCH(ROWS(D$10:D137),COPIA!$DF$3:$DF$1339,0),COLUMN()-1),""))</f>
        <v/>
      </c>
      <c r="E137" s="9" t="str">
        <f ca="1">IF(IFERROR(INDEX((COPIA!$DA$3:$DE$1339),MATCH(ROWS(E$10:E137),COPIA!$DF$3:$DF$1339,0),COLUMN()-1),"")=0,"",IFERROR(INDEX((COPIA!$DA$3:$DE$1339),MATCH(ROWS(E$10:E137),COPIA!$DF$3:$DF$1339,0),COLUMN()-1),""))</f>
        <v/>
      </c>
      <c r="F137" s="6" t="str">
        <f ca="1">IF(IFERROR(INDEX((COPIA!$DA$3:$DE$1339),MATCH(ROWS(F$10:F137),COPIA!$DF$3:$DF$1339,0),COLUMN()-1),"")=0,"",IFERROR(INDEX((COPIA!$DA$3:$DE$1339),MATCH(ROWS(F$10:F137),COPIA!$DF$3:$DF$1339,0),COLUMN()-1),""))</f>
        <v/>
      </c>
      <c r="G137" s="12"/>
    </row>
    <row r="138" spans="1:7" x14ac:dyDescent="0.3">
      <c r="A138" s="60" t="str">
        <f ca="1">COPIA!AC131</f>
        <v>DEBITI DA LIQUIDARE</v>
      </c>
      <c r="B138" s="10" t="str">
        <f ca="1">IF(IFERROR(INDEX((COPIA!$DA$3:$DE$1339),MATCH(ROWS(B$10:B138),COPIA!$DF$3:$DF$1339,0),COLUMN()-1),"")&gt;=1,IFERROR(INDEX((COPIA!$DA$3:$DE$1339),MATCH(ROWS(B$10:B138),COPIA!$DF$3:$DF$1339,0),COLUMN()-1),""),"")</f>
        <v/>
      </c>
      <c r="C138" s="5" t="str">
        <f ca="1">SUBSTITUTE(IFERROR(INDEX((COPIA!$DA$3:$DE$1339),MATCH(ROWS(C$10:C138),COPIA!$DF$3:$DF$1339,0),COLUMN()-1),""),"MASTRO","")</f>
        <v/>
      </c>
      <c r="D138" s="136" t="str">
        <f ca="1">IF(IFERROR(INDEX((COPIA!$DA$3:$DE$1339),MATCH(ROWS(D$10:D138),COPIA!$DF$3:$DF$1339,0),COLUMN()-1),"")=0,"",IFERROR(INDEX((COPIA!$DA$3:$DE$1339),MATCH(ROWS(D$10:D138),COPIA!$DF$3:$DF$1339,0),COLUMN()-1),""))</f>
        <v/>
      </c>
      <c r="E138" s="9" t="str">
        <f ca="1">IF(IFERROR(INDEX((COPIA!$DA$3:$DE$1339),MATCH(ROWS(E$10:E138),COPIA!$DF$3:$DF$1339,0),COLUMN()-1),"")=0,"",IFERROR(INDEX((COPIA!$DA$3:$DE$1339),MATCH(ROWS(E$10:E138),COPIA!$DF$3:$DF$1339,0),COLUMN()-1),""))</f>
        <v/>
      </c>
      <c r="F138" s="6" t="str">
        <f ca="1">IF(IFERROR(INDEX((COPIA!$DA$3:$DE$1339),MATCH(ROWS(F$10:F138),COPIA!$DF$3:$DF$1339,0),COLUMN()-1),"")=0,"",IFERROR(INDEX((COPIA!$DA$3:$DE$1339),MATCH(ROWS(F$10:F138),COPIA!$DF$3:$DF$1339,0),COLUMN()-1),""))</f>
        <v/>
      </c>
      <c r="G138" s="12"/>
    </row>
    <row r="139" spans="1:7" x14ac:dyDescent="0.3">
      <c r="A139" s="60" t="str">
        <f ca="1">COPIA!AC132</f>
        <v>DEBITI PER ACCONTI A FORNITORI</v>
      </c>
      <c r="B139" s="10" t="str">
        <f ca="1">IF(IFERROR(INDEX((COPIA!$DA$3:$DE$1339),MATCH(ROWS(B$10:B139),COPIA!$DF$3:$DF$1339,0),COLUMN()-1),"")&gt;=1,IFERROR(INDEX((COPIA!$DA$3:$DE$1339),MATCH(ROWS(B$10:B139),COPIA!$DF$3:$DF$1339,0),COLUMN()-1),""),"")</f>
        <v/>
      </c>
      <c r="C139" s="5" t="str">
        <f ca="1">SUBSTITUTE(IFERROR(INDEX((COPIA!$DA$3:$DE$1339),MATCH(ROWS(C$10:C139),COPIA!$DF$3:$DF$1339,0),COLUMN()-1),""),"MASTRO","")</f>
        <v/>
      </c>
      <c r="D139" s="136" t="str">
        <f ca="1">IF(IFERROR(INDEX((COPIA!$DA$3:$DE$1339),MATCH(ROWS(D$10:D139),COPIA!$DF$3:$DF$1339,0),COLUMN()-1),"")=0,"",IFERROR(INDEX((COPIA!$DA$3:$DE$1339),MATCH(ROWS(D$10:D139),COPIA!$DF$3:$DF$1339,0),COLUMN()-1),""))</f>
        <v/>
      </c>
      <c r="E139" s="9" t="str">
        <f ca="1">IF(IFERROR(INDEX((COPIA!$DA$3:$DE$1339),MATCH(ROWS(E$10:E139),COPIA!$DF$3:$DF$1339,0),COLUMN()-1),"")=0,"",IFERROR(INDEX((COPIA!$DA$3:$DE$1339),MATCH(ROWS(E$10:E139),COPIA!$DF$3:$DF$1339,0),COLUMN()-1),""))</f>
        <v/>
      </c>
      <c r="F139" s="6" t="str">
        <f ca="1">IF(IFERROR(INDEX((COPIA!$DA$3:$DE$1339),MATCH(ROWS(F$10:F139),COPIA!$DF$3:$DF$1339,0),COLUMN()-1),"")=0,"",IFERROR(INDEX((COPIA!$DA$3:$DE$1339),MATCH(ROWS(F$10:F139),COPIA!$DF$3:$DF$1339,0),COLUMN()-1),""))</f>
        <v/>
      </c>
      <c r="G139" s="12"/>
    </row>
    <row r="140" spans="1:7" x14ac:dyDescent="0.3">
      <c r="A140" s="60" t="str">
        <f ca="1">COPIA!AC133</f>
        <v>CLIENTI C/ACCONTI</v>
      </c>
      <c r="B140" s="10" t="str">
        <f ca="1">IF(IFERROR(INDEX((COPIA!$DA$3:$DE$1339),MATCH(ROWS(B$10:B140),COPIA!$DF$3:$DF$1339,0),COLUMN()-1),"")&gt;=1,IFERROR(INDEX((COPIA!$DA$3:$DE$1339),MATCH(ROWS(B$10:B140),COPIA!$DF$3:$DF$1339,0),COLUMN()-1),""),"")</f>
        <v/>
      </c>
      <c r="C140" s="5" t="str">
        <f ca="1">SUBSTITUTE(IFERROR(INDEX((COPIA!$DA$3:$DE$1339),MATCH(ROWS(C$10:C140),COPIA!$DF$3:$DF$1339,0),COLUMN()-1),""),"MASTRO","")</f>
        <v/>
      </c>
      <c r="D140" s="136" t="str">
        <f ca="1">IF(IFERROR(INDEX((COPIA!$DA$3:$DE$1339),MATCH(ROWS(D$10:D140),COPIA!$DF$3:$DF$1339,0),COLUMN()-1),"")=0,"",IFERROR(INDEX((COPIA!$DA$3:$DE$1339),MATCH(ROWS(D$10:D140),COPIA!$DF$3:$DF$1339,0),COLUMN()-1),""))</f>
        <v/>
      </c>
      <c r="E140" s="9" t="str">
        <f ca="1">IF(IFERROR(INDEX((COPIA!$DA$3:$DE$1339),MATCH(ROWS(E$10:E140),COPIA!$DF$3:$DF$1339,0),COLUMN()-1),"")=0,"",IFERROR(INDEX((COPIA!$DA$3:$DE$1339),MATCH(ROWS(E$10:E140),COPIA!$DF$3:$DF$1339,0),COLUMN()-1),""))</f>
        <v/>
      </c>
      <c r="F140" s="6" t="str">
        <f ca="1">IF(IFERROR(INDEX((COPIA!$DA$3:$DE$1339),MATCH(ROWS(F$10:F140),COPIA!$DF$3:$DF$1339,0),COLUMN()-1),"")=0,"",IFERROR(INDEX((COPIA!$DA$3:$DE$1339),MATCH(ROWS(F$10:F140),COPIA!$DF$3:$DF$1339,0),COLUMN()-1),""))</f>
        <v/>
      </c>
      <c r="G140" s="12"/>
    </row>
    <row r="141" spans="1:7" x14ac:dyDescent="0.3">
      <c r="A141" s="60" t="str">
        <f ca="1">COPIA!AC134</f>
        <v>IVA NS/DEBITO</v>
      </c>
      <c r="B141" s="10" t="str">
        <f ca="1">IF(IFERROR(INDEX((COPIA!$DA$3:$DE$1339),MATCH(ROWS(B$10:B141),COPIA!$DF$3:$DF$1339,0),COLUMN()-1),"")&gt;=1,IFERROR(INDEX((COPIA!$DA$3:$DE$1339),MATCH(ROWS(B$10:B141),COPIA!$DF$3:$DF$1339,0),COLUMN()-1),""),"")</f>
        <v/>
      </c>
      <c r="C141" s="5" t="str">
        <f ca="1">SUBSTITUTE(IFERROR(INDEX((COPIA!$DA$3:$DE$1339),MATCH(ROWS(C$10:C141),COPIA!$DF$3:$DF$1339,0),COLUMN()-1),""),"MASTRO","")</f>
        <v/>
      </c>
      <c r="D141" s="136" t="str">
        <f ca="1">IF(IFERROR(INDEX((COPIA!$DA$3:$DE$1339),MATCH(ROWS(D$10:D141),COPIA!$DF$3:$DF$1339,0),COLUMN()-1),"")=0,"",IFERROR(INDEX((COPIA!$DA$3:$DE$1339),MATCH(ROWS(D$10:D141),COPIA!$DF$3:$DF$1339,0),COLUMN()-1),""))</f>
        <v/>
      </c>
      <c r="E141" s="9" t="str">
        <f ca="1">IF(IFERROR(INDEX((COPIA!$DA$3:$DE$1339),MATCH(ROWS(E$10:E141),COPIA!$DF$3:$DF$1339,0),COLUMN()-1),"")=0,"",IFERROR(INDEX((COPIA!$DA$3:$DE$1339),MATCH(ROWS(E$10:E141),COPIA!$DF$3:$DF$1339,0),COLUMN()-1),""))</f>
        <v/>
      </c>
      <c r="F141" s="6" t="str">
        <f ca="1">IF(IFERROR(INDEX((COPIA!$DA$3:$DE$1339),MATCH(ROWS(F$10:F141),COPIA!$DF$3:$DF$1339,0),COLUMN()-1),"")=0,"",IFERROR(INDEX((COPIA!$DA$3:$DE$1339),MATCH(ROWS(F$10:F141),COPIA!$DF$3:$DF$1339,0),COLUMN()-1),""))</f>
        <v/>
      </c>
      <c r="G141" s="12"/>
    </row>
    <row r="142" spans="1:7" x14ac:dyDescent="0.3">
      <c r="A142" s="60" t="str">
        <f ca="1">COPIA!AC135</f>
        <v>DEBITI PER RITENUTE DA VERSARE</v>
      </c>
      <c r="B142" s="10" t="str">
        <f ca="1">IF(IFERROR(INDEX((COPIA!$DA$3:$DE$1339),MATCH(ROWS(B$10:B142),COPIA!$DF$3:$DF$1339,0),COLUMN()-1),"")&gt;=1,IFERROR(INDEX((COPIA!$DA$3:$DE$1339),MATCH(ROWS(B$10:B142),COPIA!$DF$3:$DF$1339,0),COLUMN()-1),""),"")</f>
        <v/>
      </c>
      <c r="C142" s="5" t="str">
        <f ca="1">SUBSTITUTE(IFERROR(INDEX((COPIA!$DA$3:$DE$1339),MATCH(ROWS(C$10:C142),COPIA!$DF$3:$DF$1339,0),COLUMN()-1),""),"MASTRO","")</f>
        <v/>
      </c>
      <c r="D142" s="136" t="str">
        <f ca="1">IF(IFERROR(INDEX((COPIA!$DA$3:$DE$1339),MATCH(ROWS(D$10:D142),COPIA!$DF$3:$DF$1339,0),COLUMN()-1),"")=0,"",IFERROR(INDEX((COPIA!$DA$3:$DE$1339),MATCH(ROWS(D$10:D142),COPIA!$DF$3:$DF$1339,0),COLUMN()-1),""))</f>
        <v/>
      </c>
      <c r="E142" s="9" t="str">
        <f ca="1">IF(IFERROR(INDEX((COPIA!$DA$3:$DE$1339),MATCH(ROWS(E$10:E142),COPIA!$DF$3:$DF$1339,0),COLUMN()-1),"")=0,"",IFERROR(INDEX((COPIA!$DA$3:$DE$1339),MATCH(ROWS(E$10:E142),COPIA!$DF$3:$DF$1339,0),COLUMN()-1),""))</f>
        <v/>
      </c>
      <c r="F142" s="6" t="str">
        <f ca="1">IF(IFERROR(INDEX((COPIA!$DA$3:$DE$1339),MATCH(ROWS(F$10:F142),COPIA!$DF$3:$DF$1339,0),COLUMN()-1),"")=0,"",IFERROR(INDEX((COPIA!$DA$3:$DE$1339),MATCH(ROWS(F$10:F142),COPIA!$DF$3:$DF$1339,0),COLUMN()-1),""))</f>
        <v/>
      </c>
      <c r="G142" s="12"/>
    </row>
    <row r="143" spans="1:7" x14ac:dyDescent="0.3">
      <c r="A143" s="60" t="str">
        <f ca="1">COPIA!AC136</f>
        <v>DEBITI PER IVA</v>
      </c>
      <c r="B143" s="10" t="str">
        <f ca="1">IF(IFERROR(INDEX((COPIA!$DA$3:$DE$1339),MATCH(ROWS(B$10:B143),COPIA!$DF$3:$DF$1339,0),COLUMN()-1),"")&gt;=1,IFERROR(INDEX((COPIA!$DA$3:$DE$1339),MATCH(ROWS(B$10:B143),COPIA!$DF$3:$DF$1339,0),COLUMN()-1),""),"")</f>
        <v/>
      </c>
      <c r="C143" s="5" t="str">
        <f ca="1">SUBSTITUTE(IFERROR(INDEX((COPIA!$DA$3:$DE$1339),MATCH(ROWS(C$10:C143),COPIA!$DF$3:$DF$1339,0),COLUMN()-1),""),"MASTRO","")</f>
        <v/>
      </c>
      <c r="D143" s="136" t="str">
        <f ca="1">IF(IFERROR(INDEX((COPIA!$DA$3:$DE$1339),MATCH(ROWS(D$10:D143),COPIA!$DF$3:$DF$1339,0),COLUMN()-1),"")=0,"",IFERROR(INDEX((COPIA!$DA$3:$DE$1339),MATCH(ROWS(D$10:D143),COPIA!$DF$3:$DF$1339,0),COLUMN()-1),""))</f>
        <v/>
      </c>
      <c r="E143" s="9" t="str">
        <f ca="1">IF(IFERROR(INDEX((COPIA!$DA$3:$DE$1339),MATCH(ROWS(E$10:E143),COPIA!$DF$3:$DF$1339,0),COLUMN()-1),"")=0,"",IFERROR(INDEX((COPIA!$DA$3:$DE$1339),MATCH(ROWS(E$10:E143),COPIA!$DF$3:$DF$1339,0),COLUMN()-1),""))</f>
        <v/>
      </c>
      <c r="F143" s="6" t="str">
        <f ca="1">IF(IFERROR(INDEX((COPIA!$DA$3:$DE$1339),MATCH(ROWS(F$10:F143),COPIA!$DF$3:$DF$1339,0),COLUMN()-1),"")=0,"",IFERROR(INDEX((COPIA!$DA$3:$DE$1339),MATCH(ROWS(F$10:F143),COPIA!$DF$3:$DF$1339,0),COLUMN()-1),""))</f>
        <v/>
      </c>
      <c r="G143" s="12"/>
    </row>
    <row r="144" spans="1:7" x14ac:dyDescent="0.3">
      <c r="A144" s="60" t="str">
        <f ca="1">COPIA!AC137</f>
        <v>DEBITI PER IMPOSTE</v>
      </c>
      <c r="B144" s="10" t="str">
        <f ca="1">IF(IFERROR(INDEX((COPIA!$DA$3:$DE$1339),MATCH(ROWS(B$10:B144),COPIA!$DF$3:$DF$1339,0),COLUMN()-1),"")&gt;=1,IFERROR(INDEX((COPIA!$DA$3:$DE$1339),MATCH(ROWS(B$10:B144),COPIA!$DF$3:$DF$1339,0),COLUMN()-1),""),"")</f>
        <v/>
      </c>
      <c r="C144" s="5" t="str">
        <f ca="1">SUBSTITUTE(IFERROR(INDEX((COPIA!$DA$3:$DE$1339),MATCH(ROWS(C$10:C144),COPIA!$DF$3:$DF$1339,0),COLUMN()-1),""),"MASTRO","")</f>
        <v/>
      </c>
      <c r="D144" s="136" t="str">
        <f ca="1">IF(IFERROR(INDEX((COPIA!$DA$3:$DE$1339),MATCH(ROWS(D$10:D144),COPIA!$DF$3:$DF$1339,0),COLUMN()-1),"")=0,"",IFERROR(INDEX((COPIA!$DA$3:$DE$1339),MATCH(ROWS(D$10:D144),COPIA!$DF$3:$DF$1339,0),COLUMN()-1),""))</f>
        <v/>
      </c>
      <c r="E144" s="9" t="str">
        <f ca="1">IF(IFERROR(INDEX((COPIA!$DA$3:$DE$1339),MATCH(ROWS(E$10:E144),COPIA!$DF$3:$DF$1339,0),COLUMN()-1),"")=0,"",IFERROR(INDEX((COPIA!$DA$3:$DE$1339),MATCH(ROWS(E$10:E144),COPIA!$DF$3:$DF$1339,0),COLUMN()-1),""))</f>
        <v/>
      </c>
      <c r="F144" s="6" t="str">
        <f ca="1">IF(IFERROR(INDEX((COPIA!$DA$3:$DE$1339),MATCH(ROWS(F$10:F144),COPIA!$DF$3:$DF$1339,0),COLUMN()-1),"")=0,"",IFERROR(INDEX((COPIA!$DA$3:$DE$1339),MATCH(ROWS(F$10:F144),COPIA!$DF$3:$DF$1339,0),COLUMN()-1),""))</f>
        <v/>
      </c>
      <c r="G144" s="12"/>
    </row>
    <row r="145" spans="1:7" x14ac:dyDescent="0.3">
      <c r="A145" s="60" t="str">
        <f ca="1">COPIA!AC138</f>
        <v>DEBITI FISCALI DIVERSI</v>
      </c>
      <c r="B145" s="10" t="str">
        <f ca="1">IF(IFERROR(INDEX((COPIA!$DA$3:$DE$1339),MATCH(ROWS(B$10:B145),COPIA!$DF$3:$DF$1339,0),COLUMN()-1),"")&gt;=1,IFERROR(INDEX((COPIA!$DA$3:$DE$1339),MATCH(ROWS(B$10:B145),COPIA!$DF$3:$DF$1339,0),COLUMN()-1),""),"")</f>
        <v/>
      </c>
      <c r="C145" s="5" t="str">
        <f ca="1">SUBSTITUTE(IFERROR(INDEX((COPIA!$DA$3:$DE$1339),MATCH(ROWS(C$10:C145),COPIA!$DF$3:$DF$1339,0),COLUMN()-1),""),"MASTRO","")</f>
        <v/>
      </c>
      <c r="D145" s="136" t="str">
        <f ca="1">IF(IFERROR(INDEX((COPIA!$DA$3:$DE$1339),MATCH(ROWS(D$10:D145),COPIA!$DF$3:$DF$1339,0),COLUMN()-1),"")=0,"",IFERROR(INDEX((COPIA!$DA$3:$DE$1339),MATCH(ROWS(D$10:D145),COPIA!$DF$3:$DF$1339,0),COLUMN()-1),""))</f>
        <v/>
      </c>
      <c r="E145" s="9" t="str">
        <f ca="1">IF(IFERROR(INDEX((COPIA!$DA$3:$DE$1339),MATCH(ROWS(E$10:E145),COPIA!$DF$3:$DF$1339,0),COLUMN()-1),"")=0,"",IFERROR(INDEX((COPIA!$DA$3:$DE$1339),MATCH(ROWS(E$10:E145),COPIA!$DF$3:$DF$1339,0),COLUMN()-1),""))</f>
        <v/>
      </c>
      <c r="F145" s="6" t="str">
        <f ca="1">IF(IFERROR(INDEX((COPIA!$DA$3:$DE$1339),MATCH(ROWS(F$10:F145),COPIA!$DF$3:$DF$1339,0),COLUMN()-1),"")=0,"",IFERROR(INDEX((COPIA!$DA$3:$DE$1339),MATCH(ROWS(F$10:F145),COPIA!$DF$3:$DF$1339,0),COLUMN()-1),""))</f>
        <v/>
      </c>
      <c r="G145" s="12"/>
    </row>
    <row r="146" spans="1:7" x14ac:dyDescent="0.3">
      <c r="A146" s="60" t="str">
        <f ca="1">COPIA!AC139</f>
        <v>DEBITI V/ISTITUTI PREVIDENZIALI</v>
      </c>
      <c r="B146" s="10" t="str">
        <f ca="1">IF(IFERROR(INDEX((COPIA!$DA$3:$DE$1339),MATCH(ROWS(B$10:B146),COPIA!$DF$3:$DF$1339,0),COLUMN()-1),"")&gt;=1,IFERROR(INDEX((COPIA!$DA$3:$DE$1339),MATCH(ROWS(B$10:B146),COPIA!$DF$3:$DF$1339,0),COLUMN()-1),""),"")</f>
        <v/>
      </c>
      <c r="C146" s="5" t="str">
        <f ca="1">SUBSTITUTE(IFERROR(INDEX((COPIA!$DA$3:$DE$1339),MATCH(ROWS(C$10:C146),COPIA!$DF$3:$DF$1339,0),COLUMN()-1),""),"MASTRO","")</f>
        <v/>
      </c>
      <c r="D146" s="136" t="str">
        <f ca="1">IF(IFERROR(INDEX((COPIA!$DA$3:$DE$1339),MATCH(ROWS(D$10:D146),COPIA!$DF$3:$DF$1339,0),COLUMN()-1),"")=0,"",IFERROR(INDEX((COPIA!$DA$3:$DE$1339),MATCH(ROWS(D$10:D146),COPIA!$DF$3:$DF$1339,0),COLUMN()-1),""))</f>
        <v/>
      </c>
      <c r="E146" s="9" t="str">
        <f ca="1">IF(IFERROR(INDEX((COPIA!$DA$3:$DE$1339),MATCH(ROWS(E$10:E146),COPIA!$DF$3:$DF$1339,0),COLUMN()-1),"")=0,"",IFERROR(INDEX((COPIA!$DA$3:$DE$1339),MATCH(ROWS(E$10:E146),COPIA!$DF$3:$DF$1339,0),COLUMN()-1),""))</f>
        <v/>
      </c>
      <c r="F146" s="6" t="str">
        <f ca="1">IF(IFERROR(INDEX((COPIA!$DA$3:$DE$1339),MATCH(ROWS(F$10:F146),COPIA!$DF$3:$DF$1339,0),COLUMN()-1),"")=0,"",IFERROR(INDEX((COPIA!$DA$3:$DE$1339),MATCH(ROWS(F$10:F146),COPIA!$DF$3:$DF$1339,0),COLUMN()-1),""))</f>
        <v/>
      </c>
      <c r="G146" s="12"/>
    </row>
    <row r="147" spans="1:7" x14ac:dyDescent="0.3">
      <c r="A147" s="60" t="str">
        <f ca="1">COPIA!AC140</f>
        <v>DEBITI PER CAUZIONI</v>
      </c>
      <c r="B147" s="10" t="str">
        <f ca="1">IF(IFERROR(INDEX((COPIA!$DA$3:$DE$1339),MATCH(ROWS(B$10:B147),COPIA!$DF$3:$DF$1339,0),COLUMN()-1),"")&gt;=1,IFERROR(INDEX((COPIA!$DA$3:$DE$1339),MATCH(ROWS(B$10:B147),COPIA!$DF$3:$DF$1339,0),COLUMN()-1),""),"")</f>
        <v/>
      </c>
      <c r="C147" s="5" t="str">
        <f ca="1">SUBSTITUTE(IFERROR(INDEX((COPIA!$DA$3:$DE$1339),MATCH(ROWS(C$10:C147),COPIA!$DF$3:$DF$1339,0),COLUMN()-1),""),"MASTRO","")</f>
        <v/>
      </c>
      <c r="D147" s="136" t="str">
        <f ca="1">IF(IFERROR(INDEX((COPIA!$DA$3:$DE$1339),MATCH(ROWS(D$10:D147),COPIA!$DF$3:$DF$1339,0),COLUMN()-1),"")=0,"",IFERROR(INDEX((COPIA!$DA$3:$DE$1339),MATCH(ROWS(D$10:D147),COPIA!$DF$3:$DF$1339,0),COLUMN()-1),""))</f>
        <v/>
      </c>
      <c r="E147" s="9" t="str">
        <f ca="1">IF(IFERROR(INDEX((COPIA!$DA$3:$DE$1339),MATCH(ROWS(E$10:E147),COPIA!$DF$3:$DF$1339,0),COLUMN()-1),"")=0,"",IFERROR(INDEX((COPIA!$DA$3:$DE$1339),MATCH(ROWS(E$10:E147),COPIA!$DF$3:$DF$1339,0),COLUMN()-1),""))</f>
        <v/>
      </c>
      <c r="F147" s="6" t="str">
        <f ca="1">IF(IFERROR(INDEX((COPIA!$DA$3:$DE$1339),MATCH(ROWS(F$10:F147),COPIA!$DF$3:$DF$1339,0),COLUMN()-1),"")=0,"",IFERROR(INDEX((COPIA!$DA$3:$DE$1339),MATCH(ROWS(F$10:F147),COPIA!$DF$3:$DF$1339,0),COLUMN()-1),""))</f>
        <v/>
      </c>
      <c r="G147" s="12"/>
    </row>
    <row r="148" spans="1:7" x14ac:dyDescent="0.3">
      <c r="A148" s="60" t="str">
        <f ca="1">COPIA!AC141</f>
        <v>PERSONALE C/RETRIBUZIONI</v>
      </c>
      <c r="B148" s="10" t="str">
        <f ca="1">IF(IFERROR(INDEX((COPIA!$DA$3:$DE$1339),MATCH(ROWS(B$10:B148),COPIA!$DF$3:$DF$1339,0),COLUMN()-1),"")&gt;=1,IFERROR(INDEX((COPIA!$DA$3:$DE$1339),MATCH(ROWS(B$10:B148),COPIA!$DF$3:$DF$1339,0),COLUMN()-1),""),"")</f>
        <v/>
      </c>
      <c r="C148" s="5" t="str">
        <f ca="1">SUBSTITUTE(IFERROR(INDEX((COPIA!$DA$3:$DE$1339),MATCH(ROWS(C$10:C148),COPIA!$DF$3:$DF$1339,0),COLUMN()-1),""),"MASTRO","")</f>
        <v/>
      </c>
      <c r="D148" s="136" t="str">
        <f ca="1">IF(IFERROR(INDEX((COPIA!$DA$3:$DE$1339),MATCH(ROWS(D$10:D148),COPIA!$DF$3:$DF$1339,0),COLUMN()-1),"")=0,"",IFERROR(INDEX((COPIA!$DA$3:$DE$1339),MATCH(ROWS(D$10:D148),COPIA!$DF$3:$DF$1339,0),COLUMN()-1),""))</f>
        <v/>
      </c>
      <c r="E148" s="9" t="str">
        <f ca="1">IF(IFERROR(INDEX((COPIA!$DA$3:$DE$1339),MATCH(ROWS(E$10:E148),COPIA!$DF$3:$DF$1339,0),COLUMN()-1),"")=0,"",IFERROR(INDEX((COPIA!$DA$3:$DE$1339),MATCH(ROWS(E$10:E148),COPIA!$DF$3:$DF$1339,0),COLUMN()-1),""))</f>
        <v/>
      </c>
      <c r="F148" s="6" t="str">
        <f ca="1">IF(IFERROR(INDEX((COPIA!$DA$3:$DE$1339),MATCH(ROWS(F$10:F148),COPIA!$DF$3:$DF$1339,0),COLUMN()-1),"")=0,"",IFERROR(INDEX((COPIA!$DA$3:$DE$1339),MATCH(ROWS(F$10:F148),COPIA!$DF$3:$DF$1339,0),COLUMN()-1),""))</f>
        <v/>
      </c>
      <c r="G148" s="12"/>
    </row>
    <row r="149" spans="1:7" x14ac:dyDescent="0.3">
      <c r="A149" s="60" t="str">
        <f ca="1">COPIA!AC142</f>
        <v>PERSONALE C/LIQUIDAZIONE</v>
      </c>
      <c r="B149" s="10" t="str">
        <f ca="1">IF(IFERROR(INDEX((COPIA!$DA$3:$DE$1339),MATCH(ROWS(B$10:B149),COPIA!$DF$3:$DF$1339,0),COLUMN()-1),"")&gt;=1,IFERROR(INDEX((COPIA!$DA$3:$DE$1339),MATCH(ROWS(B$10:B149),COPIA!$DF$3:$DF$1339,0),COLUMN()-1),""),"")</f>
        <v/>
      </c>
      <c r="C149" s="5" t="str">
        <f ca="1">SUBSTITUTE(IFERROR(INDEX((COPIA!$DA$3:$DE$1339),MATCH(ROWS(C$10:C149),COPIA!$DF$3:$DF$1339,0),COLUMN()-1),""),"MASTRO","")</f>
        <v/>
      </c>
      <c r="D149" s="136" t="str">
        <f ca="1">IF(IFERROR(INDEX((COPIA!$DA$3:$DE$1339),MATCH(ROWS(D$10:D149),COPIA!$DF$3:$DF$1339,0),COLUMN()-1),"")=0,"",IFERROR(INDEX((COPIA!$DA$3:$DE$1339),MATCH(ROWS(D$10:D149),COPIA!$DF$3:$DF$1339,0),COLUMN()-1),""))</f>
        <v/>
      </c>
      <c r="E149" s="9" t="str">
        <f ca="1">IF(IFERROR(INDEX((COPIA!$DA$3:$DE$1339),MATCH(ROWS(E$10:E149),COPIA!$DF$3:$DF$1339,0),COLUMN()-1),"")=0,"",IFERROR(INDEX((COPIA!$DA$3:$DE$1339),MATCH(ROWS(E$10:E149),COPIA!$DF$3:$DF$1339,0),COLUMN()-1),""))</f>
        <v/>
      </c>
      <c r="F149" s="6" t="str">
        <f ca="1">IF(IFERROR(INDEX((COPIA!$DA$3:$DE$1339),MATCH(ROWS(F$10:F149),COPIA!$DF$3:$DF$1339,0),COLUMN()-1),"")=0,"",IFERROR(INDEX((COPIA!$DA$3:$DE$1339),MATCH(ROWS(F$10:F149),COPIA!$DF$3:$DF$1339,0),COLUMN()-1),""))</f>
        <v/>
      </c>
      <c r="G149" s="12"/>
    </row>
    <row r="150" spans="1:7" x14ac:dyDescent="0.3">
      <c r="A150" s="60" t="str">
        <f ca="1">COPIA!AC143</f>
        <v>DEBITI V/FONDI PENSIONE</v>
      </c>
      <c r="B150" s="10" t="str">
        <f ca="1">IF(IFERROR(INDEX((COPIA!$DA$3:$DE$1339),MATCH(ROWS(B$10:B150),COPIA!$DF$3:$DF$1339,0),COLUMN()-1),"")&gt;=1,IFERROR(INDEX((COPIA!$DA$3:$DE$1339),MATCH(ROWS(B$10:B150),COPIA!$DF$3:$DF$1339,0),COLUMN()-1),""),"")</f>
        <v/>
      </c>
      <c r="C150" s="5" t="str">
        <f ca="1">SUBSTITUTE(IFERROR(INDEX((COPIA!$DA$3:$DE$1339),MATCH(ROWS(C$10:C150),COPIA!$DF$3:$DF$1339,0),COLUMN()-1),""),"MASTRO","")</f>
        <v/>
      </c>
      <c r="D150" s="136" t="str">
        <f ca="1">IF(IFERROR(INDEX((COPIA!$DA$3:$DE$1339),MATCH(ROWS(D$10:D150),COPIA!$DF$3:$DF$1339,0),COLUMN()-1),"")=0,"",IFERROR(INDEX((COPIA!$DA$3:$DE$1339),MATCH(ROWS(D$10:D150),COPIA!$DF$3:$DF$1339,0),COLUMN()-1),""))</f>
        <v/>
      </c>
      <c r="E150" s="9" t="str">
        <f ca="1">IF(IFERROR(INDEX((COPIA!$DA$3:$DE$1339),MATCH(ROWS(E$10:E150),COPIA!$DF$3:$DF$1339,0),COLUMN()-1),"")=0,"",IFERROR(INDEX((COPIA!$DA$3:$DE$1339),MATCH(ROWS(E$10:E150),COPIA!$DF$3:$DF$1339,0),COLUMN()-1),""))</f>
        <v/>
      </c>
      <c r="F150" s="6" t="str">
        <f ca="1">IF(IFERROR(INDEX((COPIA!$DA$3:$DE$1339),MATCH(ROWS(F$10:F150),COPIA!$DF$3:$DF$1339,0),COLUMN()-1),"")=0,"",IFERROR(INDEX((COPIA!$DA$3:$DE$1339),MATCH(ROWS(F$10:F150),COPIA!$DF$3:$DF$1339,0),COLUMN()-1),""))</f>
        <v/>
      </c>
      <c r="G150" s="12"/>
    </row>
    <row r="151" spans="1:7" x14ac:dyDescent="0.3">
      <c r="A151" s="60" t="str">
        <f ca="1">COPIA!AC144</f>
        <v>DEBITI DIVERSI</v>
      </c>
      <c r="B151" s="10" t="str">
        <f ca="1">IF(IFERROR(INDEX((COPIA!$DA$3:$DE$1339),MATCH(ROWS(B$10:B151),COPIA!$DF$3:$DF$1339,0),COLUMN()-1),"")&gt;=1,IFERROR(INDEX((COPIA!$DA$3:$DE$1339),MATCH(ROWS(B$10:B151),COPIA!$DF$3:$DF$1339,0),COLUMN()-1),""),"")</f>
        <v/>
      </c>
      <c r="C151" s="5" t="str">
        <f ca="1">SUBSTITUTE(IFERROR(INDEX((COPIA!$DA$3:$DE$1339),MATCH(ROWS(C$10:C151),COPIA!$DF$3:$DF$1339,0),COLUMN()-1),""),"MASTRO","")</f>
        <v/>
      </c>
      <c r="D151" s="136" t="str">
        <f ca="1">IF(IFERROR(INDEX((COPIA!$DA$3:$DE$1339),MATCH(ROWS(D$10:D151),COPIA!$DF$3:$DF$1339,0),COLUMN()-1),"")=0,"",IFERROR(INDEX((COPIA!$DA$3:$DE$1339),MATCH(ROWS(D$10:D151),COPIA!$DF$3:$DF$1339,0),COLUMN()-1),""))</f>
        <v/>
      </c>
      <c r="E151" s="9" t="str">
        <f ca="1">IF(IFERROR(INDEX((COPIA!$DA$3:$DE$1339),MATCH(ROWS(E$10:E151),COPIA!$DF$3:$DF$1339,0),COLUMN()-1),"")=0,"",IFERROR(INDEX((COPIA!$DA$3:$DE$1339),MATCH(ROWS(E$10:E151),COPIA!$DF$3:$DF$1339,0),COLUMN()-1),""))</f>
        <v/>
      </c>
      <c r="F151" s="6" t="str">
        <f ca="1">IF(IFERROR(INDEX((COPIA!$DA$3:$DE$1339),MATCH(ROWS(F$10:F151),COPIA!$DF$3:$DF$1339,0),COLUMN()-1),"")=0,"",IFERROR(INDEX((COPIA!$DA$3:$DE$1339),MATCH(ROWS(F$10:F151),COPIA!$DF$3:$DF$1339,0),COLUMN()-1),""))</f>
        <v/>
      </c>
      <c r="G151" s="12"/>
    </row>
    <row r="152" spans="1:7" x14ac:dyDescent="0.3">
      <c r="A152" s="60" t="str">
        <f ca="1">COPIA!AC145</f>
        <v>AZIONISTI C/DIVIDENDI</v>
      </c>
      <c r="B152" s="10" t="str">
        <f ca="1">IF(IFERROR(INDEX((COPIA!$DA$3:$DE$1339),MATCH(ROWS(B$10:B152),COPIA!$DF$3:$DF$1339,0),COLUMN()-1),"")&gt;=1,IFERROR(INDEX((COPIA!$DA$3:$DE$1339),MATCH(ROWS(B$10:B152),COPIA!$DF$3:$DF$1339,0),COLUMN()-1),""),"")</f>
        <v/>
      </c>
      <c r="C152" s="5" t="str">
        <f ca="1">SUBSTITUTE(IFERROR(INDEX((COPIA!$DA$3:$DE$1339),MATCH(ROWS(C$10:C152),COPIA!$DF$3:$DF$1339,0),COLUMN()-1),""),"MASTRO","")</f>
        <v/>
      </c>
      <c r="D152" s="136" t="str">
        <f ca="1">IF(IFERROR(INDEX((COPIA!$DA$3:$DE$1339),MATCH(ROWS(D$10:D152),COPIA!$DF$3:$DF$1339,0),COLUMN()-1),"")=0,"",IFERROR(INDEX((COPIA!$DA$3:$DE$1339),MATCH(ROWS(D$10:D152),COPIA!$DF$3:$DF$1339,0),COLUMN()-1),""))</f>
        <v/>
      </c>
      <c r="E152" s="9" t="str">
        <f ca="1">IF(IFERROR(INDEX((COPIA!$DA$3:$DE$1339),MATCH(ROWS(E$10:E152),COPIA!$DF$3:$DF$1339,0),COLUMN()-1),"")=0,"",IFERROR(INDEX((COPIA!$DA$3:$DE$1339),MATCH(ROWS(E$10:E152),COPIA!$DF$3:$DF$1339,0),COLUMN()-1),""))</f>
        <v/>
      </c>
      <c r="F152" s="6" t="str">
        <f ca="1">IF(IFERROR(INDEX((COPIA!$DA$3:$DE$1339),MATCH(ROWS(F$10:F152),COPIA!$DF$3:$DF$1339,0),COLUMN()-1),"")=0,"",IFERROR(INDEX((COPIA!$DA$3:$DE$1339),MATCH(ROWS(F$10:F152),COPIA!$DF$3:$DF$1339,0),COLUMN()-1),""))</f>
        <v/>
      </c>
      <c r="G152" s="12"/>
    </row>
    <row r="153" spans="1:7" x14ac:dyDescent="0.3">
      <c r="A153" s="60" t="str">
        <f ca="1">COPIA!AC146</f>
        <v>AZIONISTI C/RIMBORSO</v>
      </c>
      <c r="B153" s="10" t="str">
        <f ca="1">IF(IFERROR(INDEX((COPIA!$DA$3:$DE$1339),MATCH(ROWS(B$10:B153),COPIA!$DF$3:$DF$1339,0),COLUMN()-1),"")&gt;=1,IFERROR(INDEX((COPIA!$DA$3:$DE$1339),MATCH(ROWS(B$10:B153),COPIA!$DF$3:$DF$1339,0),COLUMN()-1),""),"")</f>
        <v/>
      </c>
      <c r="C153" s="5" t="str">
        <f ca="1">SUBSTITUTE(IFERROR(INDEX((COPIA!$DA$3:$DE$1339),MATCH(ROWS(C$10:C153),COPIA!$DF$3:$DF$1339,0),COLUMN()-1),""),"MASTRO","")</f>
        <v/>
      </c>
      <c r="D153" s="136" t="str">
        <f ca="1">IF(IFERROR(INDEX((COPIA!$DA$3:$DE$1339),MATCH(ROWS(D$10:D153),COPIA!$DF$3:$DF$1339,0),COLUMN()-1),"")=0,"",IFERROR(INDEX((COPIA!$DA$3:$DE$1339),MATCH(ROWS(D$10:D153),COPIA!$DF$3:$DF$1339,0),COLUMN()-1),""))</f>
        <v/>
      </c>
      <c r="E153" s="9" t="str">
        <f ca="1">IF(IFERROR(INDEX((COPIA!$DA$3:$DE$1339),MATCH(ROWS(E$10:E153),COPIA!$DF$3:$DF$1339,0),COLUMN()-1),"")=0,"",IFERROR(INDEX((COPIA!$DA$3:$DE$1339),MATCH(ROWS(E$10:E153),COPIA!$DF$3:$DF$1339,0),COLUMN()-1),""))</f>
        <v/>
      </c>
      <c r="F153" s="6" t="str">
        <f ca="1">IF(IFERROR(INDEX((COPIA!$DA$3:$DE$1339),MATCH(ROWS(F$10:F153),COPIA!$DF$3:$DF$1339,0),COLUMN()-1),"")=0,"",IFERROR(INDEX((COPIA!$DA$3:$DE$1339),MATCH(ROWS(F$10:F153),COPIA!$DF$3:$DF$1339,0),COLUMN()-1),""))</f>
        <v/>
      </c>
      <c r="G153" s="12"/>
    </row>
    <row r="154" spans="1:7" x14ac:dyDescent="0.3">
      <c r="A154" s="60" t="str">
        <f ca="1">COPIA!AC147</f>
        <v>DEBITI PER AZIONI ESTRATTE</v>
      </c>
      <c r="B154" s="10" t="str">
        <f ca="1">IF(IFERROR(INDEX((COPIA!$DA$3:$DE$1339),MATCH(ROWS(B$10:B154),COPIA!$DF$3:$DF$1339,0),COLUMN()-1),"")&gt;=1,IFERROR(INDEX((COPIA!$DA$3:$DE$1339),MATCH(ROWS(B$10:B154),COPIA!$DF$3:$DF$1339,0),COLUMN()-1),""),"")</f>
        <v/>
      </c>
      <c r="C154" s="5" t="str">
        <f ca="1">SUBSTITUTE(IFERROR(INDEX((COPIA!$DA$3:$DE$1339),MATCH(ROWS(C$10:C154),COPIA!$DF$3:$DF$1339,0),COLUMN()-1),""),"MASTRO","")</f>
        <v/>
      </c>
      <c r="D154" s="136" t="str">
        <f ca="1">IF(IFERROR(INDEX((COPIA!$DA$3:$DE$1339),MATCH(ROWS(D$10:D154),COPIA!$DF$3:$DF$1339,0),COLUMN()-1),"")=0,"",IFERROR(INDEX((COPIA!$DA$3:$DE$1339),MATCH(ROWS(D$10:D154),COPIA!$DF$3:$DF$1339,0),COLUMN()-1),""))</f>
        <v/>
      </c>
      <c r="E154" s="9" t="str">
        <f ca="1">IF(IFERROR(INDEX((COPIA!$DA$3:$DE$1339),MATCH(ROWS(E$10:E154),COPIA!$DF$3:$DF$1339,0),COLUMN()-1),"")=0,"",IFERROR(INDEX((COPIA!$DA$3:$DE$1339),MATCH(ROWS(E$10:E154),COPIA!$DF$3:$DF$1339,0),COLUMN()-1),""))</f>
        <v/>
      </c>
      <c r="F154" s="6" t="str">
        <f ca="1">IF(IFERROR(INDEX((COPIA!$DA$3:$DE$1339),MATCH(ROWS(F$10:F154),COPIA!$DF$3:$DF$1339,0),COLUMN()-1),"")=0,"",IFERROR(INDEX((COPIA!$DA$3:$DE$1339),MATCH(ROWS(F$10:F154),COPIA!$DF$3:$DF$1339,0),COLUMN()-1),""))</f>
        <v/>
      </c>
      <c r="G154" s="12"/>
    </row>
    <row r="155" spans="1:7" x14ac:dyDescent="0.3">
      <c r="A155" s="60" t="str">
        <f ca="1">COPIA!AC148</f>
        <v>OBBLIGAZIONISTI C/INTERESSI</v>
      </c>
      <c r="B155" s="10" t="str">
        <f ca="1">IF(IFERROR(INDEX((COPIA!$DA$3:$DE$1339),MATCH(ROWS(B$10:B155),COPIA!$DF$3:$DF$1339,0),COLUMN()-1),"")&gt;=1,IFERROR(INDEX((COPIA!$DA$3:$DE$1339),MATCH(ROWS(B$10:B155),COPIA!$DF$3:$DF$1339,0),COLUMN()-1),""),"")</f>
        <v/>
      </c>
      <c r="C155" s="5" t="str">
        <f ca="1">SUBSTITUTE(IFERROR(INDEX((COPIA!$DA$3:$DE$1339),MATCH(ROWS(C$10:C155),COPIA!$DF$3:$DF$1339,0),COLUMN()-1),""),"MASTRO","")</f>
        <v/>
      </c>
      <c r="D155" s="136" t="str">
        <f ca="1">IF(IFERROR(INDEX((COPIA!$DA$3:$DE$1339),MATCH(ROWS(D$10:D155),COPIA!$DF$3:$DF$1339,0),COLUMN()-1),"")=0,"",IFERROR(INDEX((COPIA!$DA$3:$DE$1339),MATCH(ROWS(D$10:D155),COPIA!$DF$3:$DF$1339,0),COLUMN()-1),""))</f>
        <v/>
      </c>
      <c r="E155" s="9" t="str">
        <f ca="1">IF(IFERROR(INDEX((COPIA!$DA$3:$DE$1339),MATCH(ROWS(E$10:E155),COPIA!$DF$3:$DF$1339,0),COLUMN()-1),"")=0,"",IFERROR(INDEX((COPIA!$DA$3:$DE$1339),MATCH(ROWS(E$10:E155),COPIA!$DF$3:$DF$1339,0),COLUMN()-1),""))</f>
        <v/>
      </c>
      <c r="F155" s="6" t="str">
        <f ca="1">IF(IFERROR(INDEX((COPIA!$DA$3:$DE$1339),MATCH(ROWS(F$10:F155),COPIA!$DF$3:$DF$1339,0),COLUMN()-1),"")=0,"",IFERROR(INDEX((COPIA!$DA$3:$DE$1339),MATCH(ROWS(F$10:F155),COPIA!$DF$3:$DF$1339,0),COLUMN()-1),""))</f>
        <v/>
      </c>
      <c r="G155" s="12"/>
    </row>
    <row r="156" spans="1:7" x14ac:dyDescent="0.3">
      <c r="A156" s="60" t="str">
        <f ca="1">COPIA!AC149</f>
        <v>OBBLIGAZIONISTI C/RIMBORSI</v>
      </c>
      <c r="B156" s="10" t="str">
        <f ca="1">IF(IFERROR(INDEX((COPIA!$DA$3:$DE$1339),MATCH(ROWS(B$10:B156),COPIA!$DF$3:$DF$1339,0),COLUMN()-1),"")&gt;=1,IFERROR(INDEX((COPIA!$DA$3:$DE$1339),MATCH(ROWS(B$10:B156),COPIA!$DF$3:$DF$1339,0),COLUMN()-1),""),"")</f>
        <v/>
      </c>
      <c r="C156" s="5" t="str">
        <f ca="1">SUBSTITUTE(IFERROR(INDEX((COPIA!$DA$3:$DE$1339),MATCH(ROWS(C$10:C156),COPIA!$DF$3:$DF$1339,0),COLUMN()-1),""),"MASTRO","")</f>
        <v/>
      </c>
      <c r="D156" s="136" t="str">
        <f ca="1">IF(IFERROR(INDEX((COPIA!$DA$3:$DE$1339),MATCH(ROWS(D$10:D156),COPIA!$DF$3:$DF$1339,0),COLUMN()-1),"")=0,"",IFERROR(INDEX((COPIA!$DA$3:$DE$1339),MATCH(ROWS(D$10:D156),COPIA!$DF$3:$DF$1339,0),COLUMN()-1),""))</f>
        <v/>
      </c>
      <c r="E156" s="9" t="str">
        <f ca="1">IF(IFERROR(INDEX((COPIA!$DA$3:$DE$1339),MATCH(ROWS(E$10:E156),COPIA!$DF$3:$DF$1339,0),COLUMN()-1),"")=0,"",IFERROR(INDEX((COPIA!$DA$3:$DE$1339),MATCH(ROWS(E$10:E156),COPIA!$DF$3:$DF$1339,0),COLUMN()-1),""))</f>
        <v/>
      </c>
      <c r="F156" s="6" t="str">
        <f ca="1">IF(IFERROR(INDEX((COPIA!$DA$3:$DE$1339),MATCH(ROWS(F$10:F156),COPIA!$DF$3:$DF$1339,0),COLUMN()-1),"")=0,"",IFERROR(INDEX((COPIA!$DA$3:$DE$1339),MATCH(ROWS(F$10:F156),COPIA!$DF$3:$DF$1339,0),COLUMN()-1),""))</f>
        <v/>
      </c>
      <c r="G156" s="12"/>
    </row>
    <row r="157" spans="1:7" x14ac:dyDescent="0.3">
      <c r="A157" s="60" t="str">
        <f ca="1">COPIA!AC150</f>
        <v>AMMINISTRATORI C/COMPETENZE</v>
      </c>
      <c r="B157" s="10" t="str">
        <f ca="1">IF(IFERROR(INDEX((COPIA!$DA$3:$DE$1339),MATCH(ROWS(B$10:B157),COPIA!$DF$3:$DF$1339,0),COLUMN()-1),"")&gt;=1,IFERROR(INDEX((COPIA!$DA$3:$DE$1339),MATCH(ROWS(B$10:B157),COPIA!$DF$3:$DF$1339,0),COLUMN()-1),""),"")</f>
        <v/>
      </c>
      <c r="C157" s="5" t="str">
        <f ca="1">SUBSTITUTE(IFERROR(INDEX((COPIA!$DA$3:$DE$1339),MATCH(ROWS(C$10:C157),COPIA!$DF$3:$DF$1339,0),COLUMN()-1),""),"MASTRO","")</f>
        <v/>
      </c>
      <c r="D157" s="136" t="str">
        <f ca="1">IF(IFERROR(INDEX((COPIA!$DA$3:$DE$1339),MATCH(ROWS(D$10:D157),COPIA!$DF$3:$DF$1339,0),COLUMN()-1),"")=0,"",IFERROR(INDEX((COPIA!$DA$3:$DE$1339),MATCH(ROWS(D$10:D157),COPIA!$DF$3:$DF$1339,0),COLUMN()-1),""))</f>
        <v/>
      </c>
      <c r="E157" s="9" t="str">
        <f ca="1">IF(IFERROR(INDEX((COPIA!$DA$3:$DE$1339),MATCH(ROWS(E$10:E157),COPIA!$DF$3:$DF$1339,0),COLUMN()-1),"")=0,"",IFERROR(INDEX((COPIA!$DA$3:$DE$1339),MATCH(ROWS(E$10:E157),COPIA!$DF$3:$DF$1339,0),COLUMN()-1),""))</f>
        <v/>
      </c>
      <c r="F157" s="6" t="str">
        <f ca="1">IF(IFERROR(INDEX((COPIA!$DA$3:$DE$1339),MATCH(ROWS(F$10:F157),COPIA!$DF$3:$DF$1339,0),COLUMN()-1),"")=0,"",IFERROR(INDEX((COPIA!$DA$3:$DE$1339),MATCH(ROWS(F$10:F157),COPIA!$DF$3:$DF$1339,0),COLUMN()-1),""))</f>
        <v/>
      </c>
      <c r="G157" s="12"/>
    </row>
    <row r="158" spans="1:7" x14ac:dyDescent="0.3">
      <c r="A158" s="60" t="str">
        <f ca="1">COPIA!AC151</f>
        <v>SINDACI C/COMPETENZE</v>
      </c>
      <c r="B158" s="10" t="str">
        <f ca="1">IF(IFERROR(INDEX((COPIA!$DA$3:$DE$1339),MATCH(ROWS(B$10:B158),COPIA!$DF$3:$DF$1339,0),COLUMN()-1),"")&gt;=1,IFERROR(INDEX((COPIA!$DA$3:$DE$1339),MATCH(ROWS(B$10:B158),COPIA!$DF$3:$DF$1339,0),COLUMN()-1),""),"")</f>
        <v/>
      </c>
      <c r="C158" s="5" t="str">
        <f ca="1">SUBSTITUTE(IFERROR(INDEX((COPIA!$DA$3:$DE$1339),MATCH(ROWS(C$10:C158),COPIA!$DF$3:$DF$1339,0),COLUMN()-1),""),"MASTRO","")</f>
        <v/>
      </c>
      <c r="D158" s="136" t="str">
        <f ca="1">IF(IFERROR(INDEX((COPIA!$DA$3:$DE$1339),MATCH(ROWS(D$10:D158),COPIA!$DF$3:$DF$1339,0),COLUMN()-1),"")=0,"",IFERROR(INDEX((COPIA!$DA$3:$DE$1339),MATCH(ROWS(D$10:D158),COPIA!$DF$3:$DF$1339,0),COLUMN()-1),""))</f>
        <v/>
      </c>
      <c r="E158" s="9" t="str">
        <f ca="1">IF(IFERROR(INDEX((COPIA!$DA$3:$DE$1339),MATCH(ROWS(E$10:E158),COPIA!$DF$3:$DF$1339,0),COLUMN()-1),"")=0,"",IFERROR(INDEX((COPIA!$DA$3:$DE$1339),MATCH(ROWS(E$10:E158),COPIA!$DF$3:$DF$1339,0),COLUMN()-1),""))</f>
        <v/>
      </c>
      <c r="F158" s="6" t="str">
        <f ca="1">IF(IFERROR(INDEX((COPIA!$DA$3:$DE$1339),MATCH(ROWS(F$10:F158),COPIA!$DF$3:$DF$1339,0),COLUMN()-1),"")=0,"",IFERROR(INDEX((COPIA!$DA$3:$DE$1339),MATCH(ROWS(F$10:F158),COPIA!$DF$3:$DF$1339,0),COLUMN()-1),""))</f>
        <v/>
      </c>
      <c r="G158" s="12"/>
    </row>
    <row r="159" spans="1:7" x14ac:dyDescent="0.3">
      <c r="A159" s="60" t="str">
        <f ca="1">COPIA!AC152</f>
        <v>RATEI PASSIVI</v>
      </c>
      <c r="B159" s="10" t="str">
        <f ca="1">IF(IFERROR(INDEX((COPIA!$DA$3:$DE$1339),MATCH(ROWS(B$10:B159),COPIA!$DF$3:$DF$1339,0),COLUMN()-1),"")&gt;=1,IFERROR(INDEX((COPIA!$DA$3:$DE$1339),MATCH(ROWS(B$10:B159),COPIA!$DF$3:$DF$1339,0),COLUMN()-1),""),"")</f>
        <v/>
      </c>
      <c r="C159" s="5" t="str">
        <f ca="1">SUBSTITUTE(IFERROR(INDEX((COPIA!$DA$3:$DE$1339),MATCH(ROWS(C$10:C159),COPIA!$DF$3:$DF$1339,0),COLUMN()-1),""),"MASTRO","")</f>
        <v/>
      </c>
      <c r="D159" s="136" t="str">
        <f ca="1">IF(IFERROR(INDEX((COPIA!$DA$3:$DE$1339),MATCH(ROWS(D$10:D159),COPIA!$DF$3:$DF$1339,0),COLUMN()-1),"")=0,"",IFERROR(INDEX((COPIA!$DA$3:$DE$1339),MATCH(ROWS(D$10:D159),COPIA!$DF$3:$DF$1339,0),COLUMN()-1),""))</f>
        <v/>
      </c>
      <c r="E159" s="9" t="str">
        <f ca="1">IF(IFERROR(INDEX((COPIA!$DA$3:$DE$1339),MATCH(ROWS(E$10:E159),COPIA!$DF$3:$DF$1339,0),COLUMN()-1),"")=0,"",IFERROR(INDEX((COPIA!$DA$3:$DE$1339),MATCH(ROWS(E$10:E159),COPIA!$DF$3:$DF$1339,0),COLUMN()-1),""))</f>
        <v/>
      </c>
      <c r="F159" s="6" t="str">
        <f ca="1">IF(IFERROR(INDEX((COPIA!$DA$3:$DE$1339),MATCH(ROWS(F$10:F159),COPIA!$DF$3:$DF$1339,0),COLUMN()-1),"")=0,"",IFERROR(INDEX((COPIA!$DA$3:$DE$1339),MATCH(ROWS(F$10:F159),COPIA!$DF$3:$DF$1339,0),COLUMN()-1),""))</f>
        <v/>
      </c>
      <c r="G159" s="12"/>
    </row>
    <row r="160" spans="1:7" x14ac:dyDescent="0.3">
      <c r="A160" s="60" t="str">
        <f ca="1">COPIA!AC153</f>
        <v>RISCONTI PASSIVI</v>
      </c>
      <c r="B160" s="10" t="str">
        <f ca="1">IF(IFERROR(INDEX((COPIA!$DA$3:$DE$1339),MATCH(ROWS(B$10:B160),COPIA!$DF$3:$DF$1339,0),COLUMN()-1),"")&gt;=1,IFERROR(INDEX((COPIA!$DA$3:$DE$1339),MATCH(ROWS(B$10:B160),COPIA!$DF$3:$DF$1339,0),COLUMN()-1),""),"")</f>
        <v/>
      </c>
      <c r="C160" s="5" t="str">
        <f ca="1">SUBSTITUTE(IFERROR(INDEX((COPIA!$DA$3:$DE$1339),MATCH(ROWS(C$10:C160),COPIA!$DF$3:$DF$1339,0),COLUMN()-1),""),"MASTRO","")</f>
        <v/>
      </c>
      <c r="D160" s="136" t="str">
        <f ca="1">IF(IFERROR(INDEX((COPIA!$DA$3:$DE$1339),MATCH(ROWS(D$10:D160),COPIA!$DF$3:$DF$1339,0),COLUMN()-1),"")=0,"",IFERROR(INDEX((COPIA!$DA$3:$DE$1339),MATCH(ROWS(D$10:D160),COPIA!$DF$3:$DF$1339,0),COLUMN()-1),""))</f>
        <v/>
      </c>
      <c r="E160" s="9" t="str">
        <f ca="1">IF(IFERROR(INDEX((COPIA!$DA$3:$DE$1339),MATCH(ROWS(E$10:E160),COPIA!$DF$3:$DF$1339,0),COLUMN()-1),"")=0,"",IFERROR(INDEX((COPIA!$DA$3:$DE$1339),MATCH(ROWS(E$10:E160),COPIA!$DF$3:$DF$1339,0),COLUMN()-1),""))</f>
        <v/>
      </c>
      <c r="F160" s="6" t="str">
        <f ca="1">IF(IFERROR(INDEX((COPIA!$DA$3:$DE$1339),MATCH(ROWS(F$10:F160),COPIA!$DF$3:$DF$1339,0),COLUMN()-1),"")=0,"",IFERROR(INDEX((COPIA!$DA$3:$DE$1339),MATCH(ROWS(F$10:F160),COPIA!$DF$3:$DF$1339,0),COLUMN()-1),""))</f>
        <v/>
      </c>
      <c r="G160" s="12"/>
    </row>
    <row r="161" spans="1:7" x14ac:dyDescent="0.3">
      <c r="A161" s="60" t="str">
        <f ca="1">COPIA!AC154</f>
        <v>BILANCIO DI APERTURA</v>
      </c>
      <c r="B161" s="10" t="str">
        <f ca="1">IF(IFERROR(INDEX((COPIA!$DA$3:$DE$1339),MATCH(ROWS(B$10:B161),COPIA!$DF$3:$DF$1339,0),COLUMN()-1),"")&gt;=1,IFERROR(INDEX((COPIA!$DA$3:$DE$1339),MATCH(ROWS(B$10:B161),COPIA!$DF$3:$DF$1339,0),COLUMN()-1),""),"")</f>
        <v/>
      </c>
      <c r="C161" s="5" t="str">
        <f ca="1">SUBSTITUTE(IFERROR(INDEX((COPIA!$DA$3:$DE$1339),MATCH(ROWS(C$10:C161),COPIA!$DF$3:$DF$1339,0),COLUMN()-1),""),"MASTRO","")</f>
        <v/>
      </c>
      <c r="D161" s="136" t="str">
        <f ca="1">IF(IFERROR(INDEX((COPIA!$DA$3:$DE$1339),MATCH(ROWS(D$10:D161),COPIA!$DF$3:$DF$1339,0),COLUMN()-1),"")=0,"",IFERROR(INDEX((COPIA!$DA$3:$DE$1339),MATCH(ROWS(D$10:D161),COPIA!$DF$3:$DF$1339,0),COLUMN()-1),""))</f>
        <v/>
      </c>
      <c r="E161" s="9" t="str">
        <f ca="1">IF(IFERROR(INDEX((COPIA!$DA$3:$DE$1339),MATCH(ROWS(E$10:E161),COPIA!$DF$3:$DF$1339,0),COLUMN()-1),"")=0,"",IFERROR(INDEX((COPIA!$DA$3:$DE$1339),MATCH(ROWS(E$10:E161),COPIA!$DF$3:$DF$1339,0),COLUMN()-1),""))</f>
        <v/>
      </c>
      <c r="F161" s="6" t="str">
        <f ca="1">IF(IFERROR(INDEX((COPIA!$DA$3:$DE$1339),MATCH(ROWS(F$10:F161),COPIA!$DF$3:$DF$1339,0),COLUMN()-1),"")=0,"",IFERROR(INDEX((COPIA!$DA$3:$DE$1339),MATCH(ROWS(F$10:F161),COPIA!$DF$3:$DF$1339,0),COLUMN()-1),""))</f>
        <v/>
      </c>
      <c r="G161" s="12"/>
    </row>
    <row r="162" spans="1:7" x14ac:dyDescent="0.3">
      <c r="A162" s="60" t="str">
        <f ca="1">COPIA!AC155</f>
        <v>BILANCIO DI CHIUSURA</v>
      </c>
      <c r="B162" s="10" t="str">
        <f ca="1">IF(IFERROR(INDEX((COPIA!$DA$3:$DE$1339),MATCH(ROWS(B$10:B162),COPIA!$DF$3:$DF$1339,0),COLUMN()-1),"")&gt;=1,IFERROR(INDEX((COPIA!$DA$3:$DE$1339),MATCH(ROWS(B$10:B162),COPIA!$DF$3:$DF$1339,0),COLUMN()-1),""),"")</f>
        <v/>
      </c>
      <c r="C162" s="5" t="str">
        <f ca="1">SUBSTITUTE(IFERROR(INDEX((COPIA!$DA$3:$DE$1339),MATCH(ROWS(C$10:C162),COPIA!$DF$3:$DF$1339,0),COLUMN()-1),""),"MASTRO","")</f>
        <v/>
      </c>
      <c r="D162" s="136" t="str">
        <f ca="1">IF(IFERROR(INDEX((COPIA!$DA$3:$DE$1339),MATCH(ROWS(D$10:D162),COPIA!$DF$3:$DF$1339,0),COLUMN()-1),"")=0,"",IFERROR(INDEX((COPIA!$DA$3:$DE$1339),MATCH(ROWS(D$10:D162),COPIA!$DF$3:$DF$1339,0),COLUMN()-1),""))</f>
        <v/>
      </c>
      <c r="E162" s="9" t="str">
        <f ca="1">IF(IFERROR(INDEX((COPIA!$DA$3:$DE$1339),MATCH(ROWS(E$10:E162),COPIA!$DF$3:$DF$1339,0),COLUMN()-1),"")=0,"",IFERROR(INDEX((COPIA!$DA$3:$DE$1339),MATCH(ROWS(E$10:E162),COPIA!$DF$3:$DF$1339,0),COLUMN()-1),""))</f>
        <v/>
      </c>
      <c r="F162" s="6" t="str">
        <f ca="1">IF(IFERROR(INDEX((COPIA!$DA$3:$DE$1339),MATCH(ROWS(F$10:F162),COPIA!$DF$3:$DF$1339,0),COLUMN()-1),"")=0,"",IFERROR(INDEX((COPIA!$DA$3:$DE$1339),MATCH(ROWS(F$10:F162),COPIA!$DF$3:$DF$1339,0),COLUMN()-1),""))</f>
        <v/>
      </c>
      <c r="G162" s="12"/>
    </row>
    <row r="163" spans="1:7" x14ac:dyDescent="0.3">
      <c r="A163" s="60" t="str">
        <f ca="1">COPIA!AC156</f>
        <v>IVA C/LIQUIDAZIONE</v>
      </c>
      <c r="B163" s="10" t="str">
        <f ca="1">IF(IFERROR(INDEX((COPIA!$DA$3:$DE$1339),MATCH(ROWS(B$10:B163),COPIA!$DF$3:$DF$1339,0),COLUMN()-1),"")&gt;=1,IFERROR(INDEX((COPIA!$DA$3:$DE$1339),MATCH(ROWS(B$10:B163),COPIA!$DF$3:$DF$1339,0),COLUMN()-1),""),"")</f>
        <v/>
      </c>
      <c r="C163" s="5" t="str">
        <f ca="1">SUBSTITUTE(IFERROR(INDEX((COPIA!$DA$3:$DE$1339),MATCH(ROWS(C$10:C163),COPIA!$DF$3:$DF$1339,0),COLUMN()-1),""),"MASTRO","")</f>
        <v/>
      </c>
      <c r="D163" s="136" t="str">
        <f ca="1">IF(IFERROR(INDEX((COPIA!$DA$3:$DE$1339),MATCH(ROWS(D$10:D163),COPIA!$DF$3:$DF$1339,0),COLUMN()-1),"")=0,"",IFERROR(INDEX((COPIA!$DA$3:$DE$1339),MATCH(ROWS(D$10:D163),COPIA!$DF$3:$DF$1339,0),COLUMN()-1),""))</f>
        <v/>
      </c>
      <c r="E163" s="9" t="str">
        <f ca="1">IF(IFERROR(INDEX((COPIA!$DA$3:$DE$1339),MATCH(ROWS(E$10:E163),COPIA!$DF$3:$DF$1339,0),COLUMN()-1),"")=0,"",IFERROR(INDEX((COPIA!$DA$3:$DE$1339),MATCH(ROWS(E$10:E163),COPIA!$DF$3:$DF$1339,0),COLUMN()-1),""))</f>
        <v/>
      </c>
      <c r="F163" s="6" t="str">
        <f ca="1">IF(IFERROR(INDEX((COPIA!$DA$3:$DE$1339),MATCH(ROWS(F$10:F163),COPIA!$DF$3:$DF$1339,0),COLUMN()-1),"")=0,"",IFERROR(INDEX((COPIA!$DA$3:$DE$1339),MATCH(ROWS(F$10:F163),COPIA!$DF$3:$DF$1339,0),COLUMN()-1),""))</f>
        <v/>
      </c>
      <c r="G163" s="12"/>
    </row>
    <row r="164" spans="1:7" x14ac:dyDescent="0.3">
      <c r="A164" s="60" t="str">
        <f ca="1">COPIA!AC157</f>
        <v>ISTITUTI PREVIDENZIALI</v>
      </c>
      <c r="B164" s="10" t="str">
        <f ca="1">IF(IFERROR(INDEX((COPIA!$DA$3:$DE$1339),MATCH(ROWS(B$10:B164),COPIA!$DF$3:$DF$1339,0),COLUMN()-1),"")&gt;=1,IFERROR(INDEX((COPIA!$DA$3:$DE$1339),MATCH(ROWS(B$10:B164),COPIA!$DF$3:$DF$1339,0),COLUMN()-1),""),"")</f>
        <v/>
      </c>
      <c r="C164" s="5" t="str">
        <f ca="1">SUBSTITUTE(IFERROR(INDEX((COPIA!$DA$3:$DE$1339),MATCH(ROWS(C$10:C164),COPIA!$DF$3:$DF$1339,0),COLUMN()-1),""),"MASTRO","")</f>
        <v/>
      </c>
      <c r="D164" s="136" t="str">
        <f ca="1">IF(IFERROR(INDEX((COPIA!$DA$3:$DE$1339),MATCH(ROWS(D$10:D164),COPIA!$DF$3:$DF$1339,0),COLUMN()-1),"")=0,"",IFERROR(INDEX((COPIA!$DA$3:$DE$1339),MATCH(ROWS(D$10:D164),COPIA!$DF$3:$DF$1339,0),COLUMN()-1),""))</f>
        <v/>
      </c>
      <c r="E164" s="9" t="str">
        <f ca="1">IF(IFERROR(INDEX((COPIA!$DA$3:$DE$1339),MATCH(ROWS(E$10:E164),COPIA!$DF$3:$DF$1339,0),COLUMN()-1),"")=0,"",IFERROR(INDEX((COPIA!$DA$3:$DE$1339),MATCH(ROWS(E$10:E164),COPIA!$DF$3:$DF$1339,0),COLUMN()-1),""))</f>
        <v/>
      </c>
      <c r="F164" s="6" t="str">
        <f ca="1">IF(IFERROR(INDEX((COPIA!$DA$3:$DE$1339),MATCH(ROWS(F$10:F164),COPIA!$DF$3:$DF$1339,0),COLUMN()-1),"")=0,"",IFERROR(INDEX((COPIA!$DA$3:$DE$1339),MATCH(ROWS(F$10:F164),COPIA!$DF$3:$DF$1339,0),COLUMN()-1),""))</f>
        <v/>
      </c>
      <c r="G164" s="12"/>
    </row>
    <row r="165" spans="1:7" x14ac:dyDescent="0.3">
      <c r="A165" s="60" t="str">
        <f ca="1">COPIA!AC158</f>
        <v>BANCA X C/C</v>
      </c>
      <c r="B165" s="10" t="str">
        <f ca="1">IF(IFERROR(INDEX((COPIA!$DA$3:$DE$1339),MATCH(ROWS(B$10:B165),COPIA!$DF$3:$DF$1339,0),COLUMN()-1),"")&gt;=1,IFERROR(INDEX((COPIA!$DA$3:$DE$1339),MATCH(ROWS(B$10:B165),COPIA!$DF$3:$DF$1339,0),COLUMN()-1),""),"")</f>
        <v/>
      </c>
      <c r="C165" s="5" t="str">
        <f ca="1">SUBSTITUTE(IFERROR(INDEX((COPIA!$DA$3:$DE$1339),MATCH(ROWS(C$10:C165),COPIA!$DF$3:$DF$1339,0),COLUMN()-1),""),"MASTRO","")</f>
        <v/>
      </c>
      <c r="D165" s="136" t="str">
        <f ca="1">IF(IFERROR(INDEX((COPIA!$DA$3:$DE$1339),MATCH(ROWS(D$10:D165),COPIA!$DF$3:$DF$1339,0),COLUMN()-1),"")=0,"",IFERROR(INDEX((COPIA!$DA$3:$DE$1339),MATCH(ROWS(D$10:D165),COPIA!$DF$3:$DF$1339,0),COLUMN()-1),""))</f>
        <v/>
      </c>
      <c r="E165" s="9" t="str">
        <f ca="1">IF(IFERROR(INDEX((COPIA!$DA$3:$DE$1339),MATCH(ROWS(E$10:E165),COPIA!$DF$3:$DF$1339,0),COLUMN()-1),"")=0,"",IFERROR(INDEX((COPIA!$DA$3:$DE$1339),MATCH(ROWS(E$10:E165),COPIA!$DF$3:$DF$1339,0),COLUMN()-1),""))</f>
        <v/>
      </c>
      <c r="F165" s="6" t="str">
        <f ca="1">IF(IFERROR(INDEX((COPIA!$DA$3:$DE$1339),MATCH(ROWS(F$10:F165),COPIA!$DF$3:$DF$1339,0),COLUMN()-1),"")=0,"",IFERROR(INDEX((COPIA!$DA$3:$DE$1339),MATCH(ROWS(F$10:F165),COPIA!$DF$3:$DF$1339,0),COLUMN()-1),""))</f>
        <v/>
      </c>
      <c r="G165" s="12"/>
    </row>
    <row r="166" spans="1:7" x14ac:dyDescent="0.3">
      <c r="A166" s="60" t="str">
        <f ca="1">COPIA!AC159</f>
        <v>BANCA Y C/C</v>
      </c>
      <c r="B166" s="10" t="str">
        <f ca="1">IF(IFERROR(INDEX((COPIA!$DA$3:$DE$1339),MATCH(ROWS(B$10:B166),COPIA!$DF$3:$DF$1339,0),COLUMN()-1),"")&gt;=1,IFERROR(INDEX((COPIA!$DA$3:$DE$1339),MATCH(ROWS(B$10:B166),COPIA!$DF$3:$DF$1339,0),COLUMN()-1),""),"")</f>
        <v/>
      </c>
      <c r="C166" s="5" t="str">
        <f ca="1">SUBSTITUTE(IFERROR(INDEX((COPIA!$DA$3:$DE$1339),MATCH(ROWS(C$10:C166),COPIA!$DF$3:$DF$1339,0),COLUMN()-1),""),"MASTRO","")</f>
        <v/>
      </c>
      <c r="D166" s="136" t="str">
        <f ca="1">IF(IFERROR(INDEX((COPIA!$DA$3:$DE$1339),MATCH(ROWS(D$10:D166),COPIA!$DF$3:$DF$1339,0),COLUMN()-1),"")=0,"",IFERROR(INDEX((COPIA!$DA$3:$DE$1339),MATCH(ROWS(D$10:D166),COPIA!$DF$3:$DF$1339,0),COLUMN()-1),""))</f>
        <v/>
      </c>
      <c r="E166" s="9" t="str">
        <f ca="1">IF(IFERROR(INDEX((COPIA!$DA$3:$DE$1339),MATCH(ROWS(E$10:E166),COPIA!$DF$3:$DF$1339,0),COLUMN()-1),"")=0,"",IFERROR(INDEX((COPIA!$DA$3:$DE$1339),MATCH(ROWS(E$10:E166),COPIA!$DF$3:$DF$1339,0),COLUMN()-1),""))</f>
        <v/>
      </c>
      <c r="F166" s="6" t="str">
        <f ca="1">IF(IFERROR(INDEX((COPIA!$DA$3:$DE$1339),MATCH(ROWS(F$10:F166),COPIA!$DF$3:$DF$1339,0),COLUMN()-1),"")=0,"",IFERROR(INDEX((COPIA!$DA$3:$DE$1339),MATCH(ROWS(F$10:F166),COPIA!$DF$3:$DF$1339,0),COLUMN()-1),""))</f>
        <v/>
      </c>
      <c r="G166" s="12"/>
    </row>
    <row r="167" spans="1:7" x14ac:dyDescent="0.3">
      <c r="A167" s="60" t="str">
        <f ca="1">COPIA!AC160</f>
        <v>BANCA Z C/C</v>
      </c>
      <c r="B167" s="10" t="str">
        <f ca="1">IF(IFERROR(INDEX((COPIA!$DA$3:$DE$1339),MATCH(ROWS(B$10:B167),COPIA!$DF$3:$DF$1339,0),COLUMN()-1),"")&gt;=1,IFERROR(INDEX((COPIA!$DA$3:$DE$1339),MATCH(ROWS(B$10:B167),COPIA!$DF$3:$DF$1339,0),COLUMN()-1),""),"")</f>
        <v/>
      </c>
      <c r="C167" s="5" t="str">
        <f ca="1">SUBSTITUTE(IFERROR(INDEX((COPIA!$DA$3:$DE$1339),MATCH(ROWS(C$10:C167),COPIA!$DF$3:$DF$1339,0),COLUMN()-1),""),"MASTRO","")</f>
        <v/>
      </c>
      <c r="D167" s="136" t="str">
        <f ca="1">IF(IFERROR(INDEX((COPIA!$DA$3:$DE$1339),MATCH(ROWS(D$10:D167),COPIA!$DF$3:$DF$1339,0),COLUMN()-1),"")=0,"",IFERROR(INDEX((COPIA!$DA$3:$DE$1339),MATCH(ROWS(D$10:D167),COPIA!$DF$3:$DF$1339,0),COLUMN()-1),""))</f>
        <v/>
      </c>
      <c r="E167" s="9" t="str">
        <f ca="1">IF(IFERROR(INDEX((COPIA!$DA$3:$DE$1339),MATCH(ROWS(E$10:E167),COPIA!$DF$3:$DF$1339,0),COLUMN()-1),"")=0,"",IFERROR(INDEX((COPIA!$DA$3:$DE$1339),MATCH(ROWS(E$10:E167),COPIA!$DF$3:$DF$1339,0),COLUMN()-1),""))</f>
        <v/>
      </c>
      <c r="F167" s="6" t="str">
        <f ca="1">IF(IFERROR(INDEX((COPIA!$DA$3:$DE$1339),MATCH(ROWS(F$10:F167),COPIA!$DF$3:$DF$1339,0),COLUMN()-1),"")=0,"",IFERROR(INDEX((COPIA!$DA$3:$DE$1339),MATCH(ROWS(F$10:F167),COPIA!$DF$3:$DF$1339,0),COLUMN()-1),""))</f>
        <v/>
      </c>
      <c r="G167" s="12"/>
    </row>
    <row r="168" spans="1:7" x14ac:dyDescent="0.3">
      <c r="A168" s="60" t="str">
        <f ca="1">COPIA!AC161</f>
        <v>SOCIETÀ DI FACTORING C/C</v>
      </c>
      <c r="B168" s="10" t="str">
        <f ca="1">IF(IFERROR(INDEX((COPIA!$DA$3:$DE$1339),MATCH(ROWS(B$10:B168),COPIA!$DF$3:$DF$1339,0),COLUMN()-1),"")&gt;=1,IFERROR(INDEX((COPIA!$DA$3:$DE$1339),MATCH(ROWS(B$10:B168),COPIA!$DF$3:$DF$1339,0),COLUMN()-1),""),"")</f>
        <v/>
      </c>
      <c r="C168" s="5" t="str">
        <f ca="1">SUBSTITUTE(IFERROR(INDEX((COPIA!$DA$3:$DE$1339),MATCH(ROWS(C$10:C168),COPIA!$DF$3:$DF$1339,0),COLUMN()-1),""),"MASTRO","")</f>
        <v/>
      </c>
      <c r="D168" s="136" t="str">
        <f ca="1">IF(IFERROR(INDEX((COPIA!$DA$3:$DE$1339),MATCH(ROWS(D$10:D168),COPIA!$DF$3:$DF$1339,0),COLUMN()-1),"")=0,"",IFERROR(INDEX((COPIA!$DA$3:$DE$1339),MATCH(ROWS(D$10:D168),COPIA!$DF$3:$DF$1339,0),COLUMN()-1),""))</f>
        <v/>
      </c>
      <c r="E168" s="9" t="str">
        <f ca="1">IF(IFERROR(INDEX((COPIA!$DA$3:$DE$1339),MATCH(ROWS(E$10:E168),COPIA!$DF$3:$DF$1339,0),COLUMN()-1),"")=0,"",IFERROR(INDEX((COPIA!$DA$3:$DE$1339),MATCH(ROWS(E$10:E168),COPIA!$DF$3:$DF$1339,0),COLUMN()-1),""))</f>
        <v/>
      </c>
      <c r="F168" s="6" t="str">
        <f ca="1">IF(IFERROR(INDEX((COPIA!$DA$3:$DE$1339),MATCH(ROWS(F$10:F168),COPIA!$DF$3:$DF$1339,0),COLUMN()-1),"")=0,"",IFERROR(INDEX((COPIA!$DA$3:$DE$1339),MATCH(ROWS(F$10:F168),COPIA!$DF$3:$DF$1339,0),COLUMN()-1),""))</f>
        <v/>
      </c>
      <c r="G168" s="12"/>
    </row>
    <row r="169" spans="1:7" x14ac:dyDescent="0.3">
      <c r="A169" s="60" t="str">
        <f ca="1">COPIA!AC162</f>
        <v>BENI DI TERZI</v>
      </c>
      <c r="B169" s="10" t="str">
        <f ca="1">IF(IFERROR(INDEX((COPIA!$DA$3:$DE$1339),MATCH(ROWS(B$10:B169),COPIA!$DF$3:$DF$1339,0),COLUMN()-1),"")&gt;=1,IFERROR(INDEX((COPIA!$DA$3:$DE$1339),MATCH(ROWS(B$10:B169),COPIA!$DF$3:$DF$1339,0),COLUMN()-1),""),"")</f>
        <v/>
      </c>
      <c r="C169" s="5" t="str">
        <f ca="1">SUBSTITUTE(IFERROR(INDEX((COPIA!$DA$3:$DE$1339),MATCH(ROWS(C$10:C169),COPIA!$DF$3:$DF$1339,0),COLUMN()-1),""),"MASTRO","")</f>
        <v/>
      </c>
      <c r="D169" s="136" t="str">
        <f ca="1">IF(IFERROR(INDEX((COPIA!$DA$3:$DE$1339),MATCH(ROWS(D$10:D169),COPIA!$DF$3:$DF$1339,0),COLUMN()-1),"")=0,"",IFERROR(INDEX((COPIA!$DA$3:$DE$1339),MATCH(ROWS(D$10:D169),COPIA!$DF$3:$DF$1339,0),COLUMN()-1),""))</f>
        <v/>
      </c>
      <c r="E169" s="9" t="str">
        <f ca="1">IF(IFERROR(INDEX((COPIA!$DA$3:$DE$1339),MATCH(ROWS(E$10:E169),COPIA!$DF$3:$DF$1339,0),COLUMN()-1),"")=0,"",IFERROR(INDEX((COPIA!$DA$3:$DE$1339),MATCH(ROWS(E$10:E169),COPIA!$DF$3:$DF$1339,0),COLUMN()-1),""))</f>
        <v/>
      </c>
      <c r="F169" s="6" t="str">
        <f ca="1">IF(IFERROR(INDEX((COPIA!$DA$3:$DE$1339),MATCH(ROWS(F$10:F169),COPIA!$DF$3:$DF$1339,0),COLUMN()-1),"")=0,"",IFERROR(INDEX((COPIA!$DA$3:$DE$1339),MATCH(ROWS(F$10:F169),COPIA!$DF$3:$DF$1339,0),COLUMN()-1),""))</f>
        <v/>
      </c>
      <c r="G169" s="12"/>
    </row>
    <row r="170" spans="1:7" x14ac:dyDescent="0.3">
      <c r="A170" s="60" t="str">
        <f ca="1">COPIA!AC163</f>
        <v>DEPOSITANTI BENI</v>
      </c>
      <c r="B170" s="10" t="str">
        <f ca="1">IF(IFERROR(INDEX((COPIA!$DA$3:$DE$1339),MATCH(ROWS(B$10:B170),COPIA!$DF$3:$DF$1339,0),COLUMN()-1),"")&gt;=1,IFERROR(INDEX((COPIA!$DA$3:$DE$1339),MATCH(ROWS(B$10:B170),COPIA!$DF$3:$DF$1339,0),COLUMN()-1),""),"")</f>
        <v/>
      </c>
      <c r="C170" s="5" t="str">
        <f ca="1">SUBSTITUTE(IFERROR(INDEX((COPIA!$DA$3:$DE$1339),MATCH(ROWS(C$10:C170),COPIA!$DF$3:$DF$1339,0),COLUMN()-1),""),"MASTRO","")</f>
        <v/>
      </c>
      <c r="D170" s="136" t="str">
        <f ca="1">IF(IFERROR(INDEX((COPIA!$DA$3:$DE$1339),MATCH(ROWS(D$10:D170),COPIA!$DF$3:$DF$1339,0),COLUMN()-1),"")=0,"",IFERROR(INDEX((COPIA!$DA$3:$DE$1339),MATCH(ROWS(D$10:D170),COPIA!$DF$3:$DF$1339,0),COLUMN()-1),""))</f>
        <v/>
      </c>
      <c r="E170" s="9" t="str">
        <f ca="1">IF(IFERROR(INDEX((COPIA!$DA$3:$DE$1339),MATCH(ROWS(E$10:E170),COPIA!$DF$3:$DF$1339,0),COLUMN()-1),"")=0,"",IFERROR(INDEX((COPIA!$DA$3:$DE$1339),MATCH(ROWS(E$10:E170),COPIA!$DF$3:$DF$1339,0),COLUMN()-1),""))</f>
        <v/>
      </c>
      <c r="F170" s="6" t="str">
        <f ca="1">IF(IFERROR(INDEX((COPIA!$DA$3:$DE$1339),MATCH(ROWS(F$10:F170),COPIA!$DF$3:$DF$1339,0),COLUMN()-1),"")=0,"",IFERROR(INDEX((COPIA!$DA$3:$DE$1339),MATCH(ROWS(F$10:F170),COPIA!$DF$3:$DF$1339,0),COLUMN()-1),""))</f>
        <v/>
      </c>
      <c r="G170" s="12"/>
    </row>
    <row r="171" spans="1:7" x14ac:dyDescent="0.3">
      <c r="A171" s="60" t="str">
        <f ca="1">COPIA!AC164</f>
        <v>IMPEGNI PER BENI IN LEASING</v>
      </c>
      <c r="B171" s="10" t="str">
        <f ca="1">IF(IFERROR(INDEX((COPIA!$DA$3:$DE$1339),MATCH(ROWS(B$10:B171),COPIA!$DF$3:$DF$1339,0),COLUMN()-1),"")&gt;=1,IFERROR(INDEX((COPIA!$DA$3:$DE$1339),MATCH(ROWS(B$10:B171),COPIA!$DF$3:$DF$1339,0),COLUMN()-1),""),"")</f>
        <v/>
      </c>
      <c r="C171" s="5" t="str">
        <f ca="1">SUBSTITUTE(IFERROR(INDEX((COPIA!$DA$3:$DE$1339),MATCH(ROWS(C$10:C171),COPIA!$DF$3:$DF$1339,0),COLUMN()-1),""),"MASTRO","")</f>
        <v/>
      </c>
      <c r="D171" s="136" t="str">
        <f ca="1">IF(IFERROR(INDEX((COPIA!$DA$3:$DE$1339),MATCH(ROWS(D$10:D171),COPIA!$DF$3:$DF$1339,0),COLUMN()-1),"")=0,"",IFERROR(INDEX((COPIA!$DA$3:$DE$1339),MATCH(ROWS(D$10:D171),COPIA!$DF$3:$DF$1339,0),COLUMN()-1),""))</f>
        <v/>
      </c>
      <c r="E171" s="9" t="str">
        <f ca="1">IF(IFERROR(INDEX((COPIA!$DA$3:$DE$1339),MATCH(ROWS(E$10:E171),COPIA!$DF$3:$DF$1339,0),COLUMN()-1),"")=0,"",IFERROR(INDEX((COPIA!$DA$3:$DE$1339),MATCH(ROWS(E$10:E171),COPIA!$DF$3:$DF$1339,0),COLUMN()-1),""))</f>
        <v/>
      </c>
      <c r="F171" s="6" t="str">
        <f ca="1">IF(IFERROR(INDEX((COPIA!$DA$3:$DE$1339),MATCH(ROWS(F$10:F171),COPIA!$DF$3:$DF$1339,0),COLUMN()-1),"")=0,"",IFERROR(INDEX((COPIA!$DA$3:$DE$1339),MATCH(ROWS(F$10:F171),COPIA!$DF$3:$DF$1339,0),COLUMN()-1),""))</f>
        <v/>
      </c>
      <c r="G171" s="12"/>
    </row>
    <row r="172" spans="1:7" x14ac:dyDescent="0.3">
      <c r="A172" s="60" t="str">
        <f ca="1">COPIA!AC165</f>
        <v>CREDITORI C/LEASING</v>
      </c>
      <c r="B172" s="10" t="str">
        <f ca="1">IF(IFERROR(INDEX((COPIA!$DA$3:$DE$1339),MATCH(ROWS(B$10:B172),COPIA!$DF$3:$DF$1339,0),COLUMN()-1),"")&gt;=1,IFERROR(INDEX((COPIA!$DA$3:$DE$1339),MATCH(ROWS(B$10:B172),COPIA!$DF$3:$DF$1339,0),COLUMN()-1),""),"")</f>
        <v/>
      </c>
      <c r="C172" s="5" t="str">
        <f ca="1">SUBSTITUTE(IFERROR(INDEX((COPIA!$DA$3:$DE$1339),MATCH(ROWS(C$10:C172),COPIA!$DF$3:$DF$1339,0),COLUMN()-1),""),"MASTRO","")</f>
        <v/>
      </c>
      <c r="D172" s="136" t="str">
        <f ca="1">IF(IFERROR(INDEX((COPIA!$DA$3:$DE$1339),MATCH(ROWS(D$10:D172),COPIA!$DF$3:$DF$1339,0),COLUMN()-1),"")=0,"",IFERROR(INDEX((COPIA!$DA$3:$DE$1339),MATCH(ROWS(D$10:D172),COPIA!$DF$3:$DF$1339,0),COLUMN()-1),""))</f>
        <v/>
      </c>
      <c r="E172" s="9" t="str">
        <f ca="1">IF(IFERROR(INDEX((COPIA!$DA$3:$DE$1339),MATCH(ROWS(E$10:E172),COPIA!$DF$3:$DF$1339,0),COLUMN()-1),"")=0,"",IFERROR(INDEX((COPIA!$DA$3:$DE$1339),MATCH(ROWS(E$10:E172),COPIA!$DF$3:$DF$1339,0),COLUMN()-1),""))</f>
        <v/>
      </c>
      <c r="F172" s="6" t="str">
        <f ca="1">IF(IFERROR(INDEX((COPIA!$DA$3:$DE$1339),MATCH(ROWS(F$10:F172),COPIA!$DF$3:$DF$1339,0),COLUMN()-1),"")=0,"",IFERROR(INDEX((COPIA!$DA$3:$DE$1339),MATCH(ROWS(F$10:F172),COPIA!$DF$3:$DF$1339,0),COLUMN()-1),""))</f>
        <v/>
      </c>
      <c r="G172" s="12"/>
    </row>
    <row r="173" spans="1:7" x14ac:dyDescent="0.3">
      <c r="A173" s="60" t="str">
        <f ca="1">COPIA!AC166</f>
        <v>RISCHI PER FIDEIUSSIONI</v>
      </c>
      <c r="B173" s="10" t="str">
        <f ca="1">IF(IFERROR(INDEX((COPIA!$DA$3:$DE$1339),MATCH(ROWS(B$10:B173),COPIA!$DF$3:$DF$1339,0),COLUMN()-1),"")&gt;=1,IFERROR(INDEX((COPIA!$DA$3:$DE$1339),MATCH(ROWS(B$10:B173),COPIA!$DF$3:$DF$1339,0),COLUMN()-1),""),"")</f>
        <v/>
      </c>
      <c r="C173" s="5" t="str">
        <f ca="1">SUBSTITUTE(IFERROR(INDEX((COPIA!$DA$3:$DE$1339),MATCH(ROWS(C$10:C173),COPIA!$DF$3:$DF$1339,0),COLUMN()-1),""),"MASTRO","")</f>
        <v/>
      </c>
      <c r="D173" s="136" t="str">
        <f ca="1">IF(IFERROR(INDEX((COPIA!$DA$3:$DE$1339),MATCH(ROWS(D$10:D173),COPIA!$DF$3:$DF$1339,0),COLUMN()-1),"")=0,"",IFERROR(INDEX((COPIA!$DA$3:$DE$1339),MATCH(ROWS(D$10:D173),COPIA!$DF$3:$DF$1339,0),COLUMN()-1),""))</f>
        <v/>
      </c>
      <c r="E173" s="9" t="str">
        <f ca="1">IF(IFERROR(INDEX((COPIA!$DA$3:$DE$1339),MATCH(ROWS(E$10:E173),COPIA!$DF$3:$DF$1339,0),COLUMN()-1),"")=0,"",IFERROR(INDEX((COPIA!$DA$3:$DE$1339),MATCH(ROWS(E$10:E173),COPIA!$DF$3:$DF$1339,0),COLUMN()-1),""))</f>
        <v/>
      </c>
      <c r="F173" s="6" t="str">
        <f ca="1">IF(IFERROR(INDEX((COPIA!$DA$3:$DE$1339),MATCH(ROWS(F$10:F173),COPIA!$DF$3:$DF$1339,0),COLUMN()-1),"")=0,"",IFERROR(INDEX((COPIA!$DA$3:$DE$1339),MATCH(ROWS(F$10:F173),COPIA!$DF$3:$DF$1339,0),COLUMN()-1),""))</f>
        <v/>
      </c>
      <c r="G173" s="12"/>
    </row>
    <row r="174" spans="1:7" x14ac:dyDescent="0.3">
      <c r="A174" s="60" t="str">
        <f ca="1">COPIA!AC167</f>
        <v>CREDITORI PER FIDEIUSSIONI</v>
      </c>
      <c r="B174" s="10" t="str">
        <f ca="1">IF(IFERROR(INDEX((COPIA!$DA$3:$DE$1339),MATCH(ROWS(B$10:B174),COPIA!$DF$3:$DF$1339,0),COLUMN()-1),"")&gt;=1,IFERROR(INDEX((COPIA!$DA$3:$DE$1339),MATCH(ROWS(B$10:B174),COPIA!$DF$3:$DF$1339,0),COLUMN()-1),""),"")</f>
        <v/>
      </c>
      <c r="C174" s="5" t="str">
        <f ca="1">SUBSTITUTE(IFERROR(INDEX((COPIA!$DA$3:$DE$1339),MATCH(ROWS(C$10:C174),COPIA!$DF$3:$DF$1339,0),COLUMN()-1),""),"MASTRO","")</f>
        <v/>
      </c>
      <c r="D174" s="136" t="str">
        <f ca="1">IF(IFERROR(INDEX((COPIA!$DA$3:$DE$1339),MATCH(ROWS(D$10:D174),COPIA!$DF$3:$DF$1339,0),COLUMN()-1),"")=0,"",IFERROR(INDEX((COPIA!$DA$3:$DE$1339),MATCH(ROWS(D$10:D174),COPIA!$DF$3:$DF$1339,0),COLUMN()-1),""))</f>
        <v/>
      </c>
      <c r="E174" s="9" t="str">
        <f ca="1">IF(IFERROR(INDEX((COPIA!$DA$3:$DE$1339),MATCH(ROWS(E$10:E174),COPIA!$DF$3:$DF$1339,0),COLUMN()-1),"")=0,"",IFERROR(INDEX((COPIA!$DA$3:$DE$1339),MATCH(ROWS(E$10:E174),COPIA!$DF$3:$DF$1339,0),COLUMN()-1),""))</f>
        <v/>
      </c>
      <c r="F174" s="6" t="str">
        <f ca="1">IF(IFERROR(INDEX((COPIA!$DA$3:$DE$1339),MATCH(ROWS(F$10:F174),COPIA!$DF$3:$DF$1339,0),COLUMN()-1),"")=0,"",IFERROR(INDEX((COPIA!$DA$3:$DE$1339),MATCH(ROWS(F$10:F174),COPIA!$DF$3:$DF$1339,0),COLUMN()-1),""))</f>
        <v/>
      </c>
      <c r="G174" s="12"/>
    </row>
    <row r="175" spans="1:7" x14ac:dyDescent="0.3">
      <c r="A175" s="60" t="str">
        <f ca="1">COPIA!AC168</f>
        <v>PRODOTTI C/VENDITE</v>
      </c>
      <c r="B175" s="10" t="str">
        <f ca="1">IF(IFERROR(INDEX((COPIA!$DA$3:$DE$1339),MATCH(ROWS(B$10:B175),COPIA!$DF$3:$DF$1339,0),COLUMN()-1),"")&gt;=1,IFERROR(INDEX((COPIA!$DA$3:$DE$1339),MATCH(ROWS(B$10:B175),COPIA!$DF$3:$DF$1339,0),COLUMN()-1),""),"")</f>
        <v/>
      </c>
      <c r="C175" s="5" t="str">
        <f ca="1">SUBSTITUTE(IFERROR(INDEX((COPIA!$DA$3:$DE$1339),MATCH(ROWS(C$10:C175),COPIA!$DF$3:$DF$1339,0),COLUMN()-1),""),"MASTRO","")</f>
        <v/>
      </c>
      <c r="D175" s="136" t="str">
        <f ca="1">IF(IFERROR(INDEX((COPIA!$DA$3:$DE$1339),MATCH(ROWS(D$10:D175),COPIA!$DF$3:$DF$1339,0),COLUMN()-1),"")=0,"",IFERROR(INDEX((COPIA!$DA$3:$DE$1339),MATCH(ROWS(D$10:D175),COPIA!$DF$3:$DF$1339,0),COLUMN()-1),""))</f>
        <v/>
      </c>
      <c r="E175" s="9" t="str">
        <f ca="1">IF(IFERROR(INDEX((COPIA!$DA$3:$DE$1339),MATCH(ROWS(E$10:E175),COPIA!$DF$3:$DF$1339,0),COLUMN()-1),"")=0,"",IFERROR(INDEX((COPIA!$DA$3:$DE$1339),MATCH(ROWS(E$10:E175),COPIA!$DF$3:$DF$1339,0),COLUMN()-1),""))</f>
        <v/>
      </c>
      <c r="F175" s="6" t="str">
        <f ca="1">IF(IFERROR(INDEX((COPIA!$DA$3:$DE$1339),MATCH(ROWS(F$10:F175),COPIA!$DF$3:$DF$1339,0),COLUMN()-1),"")=0,"",IFERROR(INDEX((COPIA!$DA$3:$DE$1339),MATCH(ROWS(F$10:F175),COPIA!$DF$3:$DF$1339,0),COLUMN()-1),""))</f>
        <v/>
      </c>
      <c r="G175" s="12"/>
    </row>
    <row r="176" spans="1:7" x14ac:dyDescent="0.3">
      <c r="A176" s="60" t="str">
        <f ca="1">COPIA!AC169</f>
        <v>PRODOTTI C/VENDITE ON LINE</v>
      </c>
      <c r="B176" s="10" t="str">
        <f ca="1">IF(IFERROR(INDEX((COPIA!$DA$3:$DE$1339),MATCH(ROWS(B$10:B176),COPIA!$DF$3:$DF$1339,0),COLUMN()-1),"")&gt;=1,IFERROR(INDEX((COPIA!$DA$3:$DE$1339),MATCH(ROWS(B$10:B176),COPIA!$DF$3:$DF$1339,0),COLUMN()-1),""),"")</f>
        <v/>
      </c>
      <c r="C176" s="5" t="str">
        <f ca="1">SUBSTITUTE(IFERROR(INDEX((COPIA!$DA$3:$DE$1339),MATCH(ROWS(C$10:C176),COPIA!$DF$3:$DF$1339,0),COLUMN()-1),""),"MASTRO","")</f>
        <v/>
      </c>
      <c r="D176" s="136" t="str">
        <f ca="1">IF(IFERROR(INDEX((COPIA!$DA$3:$DE$1339),MATCH(ROWS(D$10:D176),COPIA!$DF$3:$DF$1339,0),COLUMN()-1),"")=0,"",IFERROR(INDEX((COPIA!$DA$3:$DE$1339),MATCH(ROWS(D$10:D176),COPIA!$DF$3:$DF$1339,0),COLUMN()-1),""))</f>
        <v/>
      </c>
      <c r="E176" s="9" t="str">
        <f ca="1">IF(IFERROR(INDEX((COPIA!$DA$3:$DE$1339),MATCH(ROWS(E$10:E176),COPIA!$DF$3:$DF$1339,0),COLUMN()-1),"")=0,"",IFERROR(INDEX((COPIA!$DA$3:$DE$1339),MATCH(ROWS(E$10:E176),COPIA!$DF$3:$DF$1339,0),COLUMN()-1),""))</f>
        <v/>
      </c>
      <c r="F176" s="6" t="str">
        <f ca="1">IF(IFERROR(INDEX((COPIA!$DA$3:$DE$1339),MATCH(ROWS(F$10:F176),COPIA!$DF$3:$DF$1339,0),COLUMN()-1),"")=0,"",IFERROR(INDEX((COPIA!$DA$3:$DE$1339),MATCH(ROWS(F$10:F176),COPIA!$DF$3:$DF$1339,0),COLUMN()-1),""))</f>
        <v/>
      </c>
      <c r="G176" s="12"/>
    </row>
    <row r="177" spans="1:7" x14ac:dyDescent="0.3">
      <c r="A177" s="60" t="str">
        <f ca="1">COPIA!AC170</f>
        <v>SERVIZI ON LINE</v>
      </c>
      <c r="B177" s="10" t="str">
        <f ca="1">IF(IFERROR(INDEX((COPIA!$DA$3:$DE$1339),MATCH(ROWS(B$10:B177),COPIA!$DF$3:$DF$1339,0),COLUMN()-1),"")&gt;=1,IFERROR(INDEX((COPIA!$DA$3:$DE$1339),MATCH(ROWS(B$10:B177),COPIA!$DF$3:$DF$1339,0),COLUMN()-1),""),"")</f>
        <v/>
      </c>
      <c r="C177" s="5" t="str">
        <f ca="1">SUBSTITUTE(IFERROR(INDEX((COPIA!$DA$3:$DE$1339),MATCH(ROWS(C$10:C177),COPIA!$DF$3:$DF$1339,0),COLUMN()-1),""),"MASTRO","")</f>
        <v/>
      </c>
      <c r="D177" s="136" t="str">
        <f ca="1">IF(IFERROR(INDEX((COPIA!$DA$3:$DE$1339),MATCH(ROWS(D$10:D177),COPIA!$DF$3:$DF$1339,0),COLUMN()-1),"")=0,"",IFERROR(INDEX((COPIA!$DA$3:$DE$1339),MATCH(ROWS(D$10:D177),COPIA!$DF$3:$DF$1339,0),COLUMN()-1),""))</f>
        <v/>
      </c>
      <c r="E177" s="9" t="str">
        <f ca="1">IF(IFERROR(INDEX((COPIA!$DA$3:$DE$1339),MATCH(ROWS(E$10:E177),COPIA!$DF$3:$DF$1339,0),COLUMN()-1),"")=0,"",IFERROR(INDEX((COPIA!$DA$3:$DE$1339),MATCH(ROWS(E$10:E177),COPIA!$DF$3:$DF$1339,0),COLUMN()-1),""))</f>
        <v/>
      </c>
      <c r="F177" s="6" t="str">
        <f ca="1">IF(IFERROR(INDEX((COPIA!$DA$3:$DE$1339),MATCH(ROWS(F$10:F177),COPIA!$DF$3:$DF$1339,0),COLUMN()-1),"")=0,"",IFERROR(INDEX((COPIA!$DA$3:$DE$1339),MATCH(ROWS(F$10:F177),COPIA!$DF$3:$DF$1339,0),COLUMN()-1),""))</f>
        <v/>
      </c>
      <c r="G177" s="12"/>
    </row>
    <row r="178" spans="1:7" x14ac:dyDescent="0.3">
      <c r="A178" s="60" t="str">
        <f ca="1">COPIA!AC171</f>
        <v>LAVORAZIONI C/TERZI</v>
      </c>
      <c r="B178" s="10" t="str">
        <f ca="1">IF(IFERROR(INDEX((COPIA!$DA$3:$DE$1339),MATCH(ROWS(B$10:B178),COPIA!$DF$3:$DF$1339,0),COLUMN()-1),"")&gt;=1,IFERROR(INDEX((COPIA!$DA$3:$DE$1339),MATCH(ROWS(B$10:B178),COPIA!$DF$3:$DF$1339,0),COLUMN()-1),""),"")</f>
        <v/>
      </c>
      <c r="C178" s="5" t="str">
        <f ca="1">SUBSTITUTE(IFERROR(INDEX((COPIA!$DA$3:$DE$1339),MATCH(ROWS(C$10:C178),COPIA!$DF$3:$DF$1339,0),COLUMN()-1),""),"MASTRO","")</f>
        <v/>
      </c>
      <c r="D178" s="136" t="str">
        <f ca="1">IF(IFERROR(INDEX((COPIA!$DA$3:$DE$1339),MATCH(ROWS(D$10:D178),COPIA!$DF$3:$DF$1339,0),COLUMN()-1),"")=0,"",IFERROR(INDEX((COPIA!$DA$3:$DE$1339),MATCH(ROWS(D$10:D178),COPIA!$DF$3:$DF$1339,0),COLUMN()-1),""))</f>
        <v/>
      </c>
      <c r="E178" s="9" t="str">
        <f ca="1">IF(IFERROR(INDEX((COPIA!$DA$3:$DE$1339),MATCH(ROWS(E$10:E178),COPIA!$DF$3:$DF$1339,0),COLUMN()-1),"")=0,"",IFERROR(INDEX((COPIA!$DA$3:$DE$1339),MATCH(ROWS(E$10:E178),COPIA!$DF$3:$DF$1339,0),COLUMN()-1),""))</f>
        <v/>
      </c>
      <c r="F178" s="6" t="str">
        <f ca="1">IF(IFERROR(INDEX((COPIA!$DA$3:$DE$1339),MATCH(ROWS(F$10:F178),COPIA!$DF$3:$DF$1339,0),COLUMN()-1),"")=0,"",IFERROR(INDEX((COPIA!$DA$3:$DE$1339),MATCH(ROWS(F$10:F178),COPIA!$DF$3:$DF$1339,0),COLUMN()-1),""))</f>
        <v/>
      </c>
      <c r="G178" s="12"/>
    </row>
    <row r="179" spans="1:7" x14ac:dyDescent="0.3">
      <c r="A179" s="60" t="str">
        <f ca="1">COPIA!AC172</f>
        <v>RESI SU VENDITE</v>
      </c>
      <c r="B179" s="10" t="str">
        <f ca="1">IF(IFERROR(INDEX((COPIA!$DA$3:$DE$1339),MATCH(ROWS(B$10:B179),COPIA!$DF$3:$DF$1339,0),COLUMN()-1),"")&gt;=1,IFERROR(INDEX((COPIA!$DA$3:$DE$1339),MATCH(ROWS(B$10:B179),COPIA!$DF$3:$DF$1339,0),COLUMN()-1),""),"")</f>
        <v/>
      </c>
      <c r="C179" s="5" t="str">
        <f ca="1">SUBSTITUTE(IFERROR(INDEX((COPIA!$DA$3:$DE$1339),MATCH(ROWS(C$10:C179),COPIA!$DF$3:$DF$1339,0),COLUMN()-1),""),"MASTRO","")</f>
        <v/>
      </c>
      <c r="D179" s="136" t="str">
        <f ca="1">IF(IFERROR(INDEX((COPIA!$DA$3:$DE$1339),MATCH(ROWS(D$10:D179),COPIA!$DF$3:$DF$1339,0),COLUMN()-1),"")=0,"",IFERROR(INDEX((COPIA!$DA$3:$DE$1339),MATCH(ROWS(D$10:D179),COPIA!$DF$3:$DF$1339,0),COLUMN()-1),""))</f>
        <v/>
      </c>
      <c r="E179" s="9" t="str">
        <f ca="1">IF(IFERROR(INDEX((COPIA!$DA$3:$DE$1339),MATCH(ROWS(E$10:E179),COPIA!$DF$3:$DF$1339,0),COLUMN()-1),"")=0,"",IFERROR(INDEX((COPIA!$DA$3:$DE$1339),MATCH(ROWS(E$10:E179),COPIA!$DF$3:$DF$1339,0),COLUMN()-1),""))</f>
        <v/>
      </c>
      <c r="F179" s="6" t="str">
        <f ca="1">IF(IFERROR(INDEX((COPIA!$DA$3:$DE$1339),MATCH(ROWS(F$10:F179),COPIA!$DF$3:$DF$1339,0),COLUMN()-1),"")=0,"",IFERROR(INDEX((COPIA!$DA$3:$DE$1339),MATCH(ROWS(F$10:F179),COPIA!$DF$3:$DF$1339,0),COLUMN()-1),""))</f>
        <v/>
      </c>
      <c r="G179" s="12"/>
    </row>
    <row r="180" spans="1:7" x14ac:dyDescent="0.3">
      <c r="A180" s="60" t="str">
        <f ca="1">COPIA!AC173</f>
        <v>RIBASSI E ABBUONI PASSIVI</v>
      </c>
      <c r="B180" s="10" t="str">
        <f ca="1">IF(IFERROR(INDEX((COPIA!$DA$3:$DE$1339),MATCH(ROWS(B$10:B180),COPIA!$DF$3:$DF$1339,0),COLUMN()-1),"")&gt;=1,IFERROR(INDEX((COPIA!$DA$3:$DE$1339),MATCH(ROWS(B$10:B180),COPIA!$DF$3:$DF$1339,0),COLUMN()-1),""),"")</f>
        <v/>
      </c>
      <c r="C180" s="5" t="str">
        <f ca="1">SUBSTITUTE(IFERROR(INDEX((COPIA!$DA$3:$DE$1339),MATCH(ROWS(C$10:C180),COPIA!$DF$3:$DF$1339,0),COLUMN()-1),""),"MASTRO","")</f>
        <v/>
      </c>
      <c r="D180" s="136" t="str">
        <f ca="1">IF(IFERROR(INDEX((COPIA!$DA$3:$DE$1339),MATCH(ROWS(D$10:D180),COPIA!$DF$3:$DF$1339,0),COLUMN()-1),"")=0,"",IFERROR(INDEX((COPIA!$DA$3:$DE$1339),MATCH(ROWS(D$10:D180),COPIA!$DF$3:$DF$1339,0),COLUMN()-1),""))</f>
        <v/>
      </c>
      <c r="E180" s="9" t="str">
        <f ca="1">IF(IFERROR(INDEX((COPIA!$DA$3:$DE$1339),MATCH(ROWS(E$10:E180),COPIA!$DF$3:$DF$1339,0),COLUMN()-1),"")=0,"",IFERROR(INDEX((COPIA!$DA$3:$DE$1339),MATCH(ROWS(E$10:E180),COPIA!$DF$3:$DF$1339,0),COLUMN()-1),""))</f>
        <v/>
      </c>
      <c r="F180" s="6" t="str">
        <f ca="1">IF(IFERROR(INDEX((COPIA!$DA$3:$DE$1339),MATCH(ROWS(F$10:F180),COPIA!$DF$3:$DF$1339,0),COLUMN()-1),"")=0,"",IFERROR(INDEX((COPIA!$DA$3:$DE$1339),MATCH(ROWS(F$10:F180),COPIA!$DF$3:$DF$1339,0),COLUMN()-1),""))</f>
        <v/>
      </c>
      <c r="G180" s="12"/>
    </row>
    <row r="181" spans="1:7" x14ac:dyDescent="0.3">
      <c r="A181" s="60" t="str">
        <f ca="1">COPIA!AC174</f>
        <v>PREMI SU VENDITE</v>
      </c>
      <c r="B181" s="10" t="str">
        <f ca="1">IF(IFERROR(INDEX((COPIA!$DA$3:$DE$1339),MATCH(ROWS(B$10:B181),COPIA!$DF$3:$DF$1339,0),COLUMN()-1),"")&gt;=1,IFERROR(INDEX((COPIA!$DA$3:$DE$1339),MATCH(ROWS(B$10:B181),COPIA!$DF$3:$DF$1339,0),COLUMN()-1),""),"")</f>
        <v/>
      </c>
      <c r="C181" s="5" t="str">
        <f ca="1">SUBSTITUTE(IFERROR(INDEX((COPIA!$DA$3:$DE$1339),MATCH(ROWS(C$10:C181),COPIA!$DF$3:$DF$1339,0),COLUMN()-1),""),"MASTRO","")</f>
        <v/>
      </c>
      <c r="D181" s="136" t="str">
        <f ca="1">IF(IFERROR(INDEX((COPIA!$DA$3:$DE$1339),MATCH(ROWS(D$10:D181),COPIA!$DF$3:$DF$1339,0),COLUMN()-1),"")=0,"",IFERROR(INDEX((COPIA!$DA$3:$DE$1339),MATCH(ROWS(D$10:D181),COPIA!$DF$3:$DF$1339,0),COLUMN()-1),""))</f>
        <v/>
      </c>
      <c r="E181" s="9" t="str">
        <f ca="1">IF(IFERROR(INDEX((COPIA!$DA$3:$DE$1339),MATCH(ROWS(E$10:E181),COPIA!$DF$3:$DF$1339,0),COLUMN()-1),"")=0,"",IFERROR(INDEX((COPIA!$DA$3:$DE$1339),MATCH(ROWS(E$10:E181),COPIA!$DF$3:$DF$1339,0),COLUMN()-1),""))</f>
        <v/>
      </c>
      <c r="F181" s="6" t="str">
        <f ca="1">IF(IFERROR(INDEX((COPIA!$DA$3:$DE$1339),MATCH(ROWS(F$10:F181),COPIA!$DF$3:$DF$1339,0),COLUMN()-1),"")=0,"",IFERROR(INDEX((COPIA!$DA$3:$DE$1339),MATCH(ROWS(F$10:F181),COPIA!$DF$3:$DF$1339,0),COLUMN()-1),""))</f>
        <v/>
      </c>
      <c r="G181" s="12"/>
    </row>
    <row r="182" spans="1:7" x14ac:dyDescent="0.3">
      <c r="A182" s="60" t="str">
        <f ca="1">COPIA!AC175</f>
        <v>COSTRUZIONI INTERNE</v>
      </c>
      <c r="B182" s="10" t="str">
        <f ca="1">IF(IFERROR(INDEX((COPIA!$DA$3:$DE$1339),MATCH(ROWS(B$10:B182),COPIA!$DF$3:$DF$1339,0),COLUMN()-1),"")&gt;=1,IFERROR(INDEX((COPIA!$DA$3:$DE$1339),MATCH(ROWS(B$10:B182),COPIA!$DF$3:$DF$1339,0),COLUMN()-1),""),"")</f>
        <v/>
      </c>
      <c r="C182" s="5" t="str">
        <f ca="1">SUBSTITUTE(IFERROR(INDEX((COPIA!$DA$3:$DE$1339),MATCH(ROWS(C$10:C182),COPIA!$DF$3:$DF$1339,0),COLUMN()-1),""),"MASTRO","")</f>
        <v/>
      </c>
      <c r="D182" s="136" t="str">
        <f ca="1">IF(IFERROR(INDEX((COPIA!$DA$3:$DE$1339),MATCH(ROWS(D$10:D182),COPIA!$DF$3:$DF$1339,0),COLUMN()-1),"")=0,"",IFERROR(INDEX((COPIA!$DA$3:$DE$1339),MATCH(ROWS(D$10:D182),COPIA!$DF$3:$DF$1339,0),COLUMN()-1),""))</f>
        <v/>
      </c>
      <c r="E182" s="9" t="str">
        <f ca="1">IF(IFERROR(INDEX((COPIA!$DA$3:$DE$1339),MATCH(ROWS(E$10:E182),COPIA!$DF$3:$DF$1339,0),COLUMN()-1),"")=0,"",IFERROR(INDEX((COPIA!$DA$3:$DE$1339),MATCH(ROWS(E$10:E182),COPIA!$DF$3:$DF$1339,0),COLUMN()-1),""))</f>
        <v/>
      </c>
      <c r="F182" s="6" t="str">
        <f ca="1">IF(IFERROR(INDEX((COPIA!$DA$3:$DE$1339),MATCH(ROWS(F$10:F182),COPIA!$DF$3:$DF$1339,0),COLUMN()-1),"")=0,"",IFERROR(INDEX((COPIA!$DA$3:$DE$1339),MATCH(ROWS(F$10:F182),COPIA!$DF$3:$DF$1339,0),COLUMN()-1),""))</f>
        <v/>
      </c>
      <c r="G182" s="12"/>
    </row>
    <row r="183" spans="1:7" x14ac:dyDescent="0.3">
      <c r="A183" s="60" t="str">
        <f ca="1">COPIA!AC176</f>
        <v>COSTI DI SVILUPPO RINVIATI</v>
      </c>
      <c r="B183" s="10" t="str">
        <f ca="1">IF(IFERROR(INDEX((COPIA!$DA$3:$DE$1339),MATCH(ROWS(B$10:B183),COPIA!$DF$3:$DF$1339,0),COLUMN()-1),"")&gt;=1,IFERROR(INDEX((COPIA!$DA$3:$DE$1339),MATCH(ROWS(B$10:B183),COPIA!$DF$3:$DF$1339,0),COLUMN()-1),""),"")</f>
        <v/>
      </c>
      <c r="C183" s="5" t="str">
        <f ca="1">SUBSTITUTE(IFERROR(INDEX((COPIA!$DA$3:$DE$1339),MATCH(ROWS(C$10:C183),COPIA!$DF$3:$DF$1339,0),COLUMN()-1),""),"MASTRO","")</f>
        <v/>
      </c>
      <c r="D183" s="136" t="str">
        <f ca="1">IF(IFERROR(INDEX((COPIA!$DA$3:$DE$1339),MATCH(ROWS(D$10:D183),COPIA!$DF$3:$DF$1339,0),COLUMN()-1),"")=0,"",IFERROR(INDEX((COPIA!$DA$3:$DE$1339),MATCH(ROWS(D$10:D183),COPIA!$DF$3:$DF$1339,0),COLUMN()-1),""))</f>
        <v/>
      </c>
      <c r="E183" s="9" t="str">
        <f ca="1">IF(IFERROR(INDEX((COPIA!$DA$3:$DE$1339),MATCH(ROWS(E$10:E183),COPIA!$DF$3:$DF$1339,0),COLUMN()-1),"")=0,"",IFERROR(INDEX((COPIA!$DA$3:$DE$1339),MATCH(ROWS(E$10:E183),COPIA!$DF$3:$DF$1339,0),COLUMN()-1),""))</f>
        <v/>
      </c>
      <c r="F183" s="6" t="str">
        <f ca="1">IF(IFERROR(INDEX((COPIA!$DA$3:$DE$1339),MATCH(ROWS(F$10:F183),COPIA!$DF$3:$DF$1339,0),COLUMN()-1),"")=0,"",IFERROR(INDEX((COPIA!$DA$3:$DE$1339),MATCH(ROWS(F$10:F183),COPIA!$DF$3:$DF$1339,0),COLUMN()-1),""))</f>
        <v/>
      </c>
      <c r="G183" s="12"/>
    </row>
    <row r="184" spans="1:7" x14ac:dyDescent="0.3">
      <c r="A184" s="60" t="str">
        <f ca="1">COPIA!AC177</f>
        <v>RIMBORSI COSTI DI VENDITA</v>
      </c>
      <c r="B184" s="10" t="str">
        <f ca="1">IF(IFERROR(INDEX((COPIA!$DA$3:$DE$1339),MATCH(ROWS(B$10:B184),COPIA!$DF$3:$DF$1339,0),COLUMN()-1),"")&gt;=1,IFERROR(INDEX((COPIA!$DA$3:$DE$1339),MATCH(ROWS(B$10:B184),COPIA!$DF$3:$DF$1339,0),COLUMN()-1),""),"")</f>
        <v/>
      </c>
      <c r="C184" s="5" t="str">
        <f ca="1">SUBSTITUTE(IFERROR(INDEX((COPIA!$DA$3:$DE$1339),MATCH(ROWS(C$10:C184),COPIA!$DF$3:$DF$1339,0),COLUMN()-1),""),"MASTRO","")</f>
        <v/>
      </c>
      <c r="D184" s="136" t="str">
        <f ca="1">IF(IFERROR(INDEX((COPIA!$DA$3:$DE$1339),MATCH(ROWS(D$10:D184),COPIA!$DF$3:$DF$1339,0),COLUMN()-1),"")=0,"",IFERROR(INDEX((COPIA!$DA$3:$DE$1339),MATCH(ROWS(D$10:D184),COPIA!$DF$3:$DF$1339,0),COLUMN()-1),""))</f>
        <v/>
      </c>
      <c r="E184" s="9" t="str">
        <f ca="1">IF(IFERROR(INDEX((COPIA!$DA$3:$DE$1339),MATCH(ROWS(E$10:E184),COPIA!$DF$3:$DF$1339,0),COLUMN()-1),"")=0,"",IFERROR(INDEX((COPIA!$DA$3:$DE$1339),MATCH(ROWS(E$10:E184),COPIA!$DF$3:$DF$1339,0),COLUMN()-1),""))</f>
        <v/>
      </c>
      <c r="F184" s="6" t="str">
        <f ca="1">IF(IFERROR(INDEX((COPIA!$DA$3:$DE$1339),MATCH(ROWS(F$10:F184),COPIA!$DF$3:$DF$1339,0),COLUMN()-1),"")=0,"",IFERROR(INDEX((COPIA!$DA$3:$DE$1339),MATCH(ROWS(F$10:F184),COPIA!$DF$3:$DF$1339,0),COLUMN()-1),""))</f>
        <v/>
      </c>
      <c r="G184" s="12"/>
    </row>
    <row r="185" spans="1:7" x14ac:dyDescent="0.3">
      <c r="A185" s="60" t="str">
        <f ca="1">COPIA!AC178</f>
        <v>FITTI ATTIVI</v>
      </c>
      <c r="B185" s="10" t="str">
        <f ca="1">IF(IFERROR(INDEX((COPIA!$DA$3:$DE$1339),MATCH(ROWS(B$10:B185),COPIA!$DF$3:$DF$1339,0),COLUMN()-1),"")&gt;=1,IFERROR(INDEX((COPIA!$DA$3:$DE$1339),MATCH(ROWS(B$10:B185),COPIA!$DF$3:$DF$1339,0),COLUMN()-1),""),"")</f>
        <v/>
      </c>
      <c r="C185" s="5" t="str">
        <f ca="1">SUBSTITUTE(IFERROR(INDEX((COPIA!$DA$3:$DE$1339),MATCH(ROWS(C$10:C185),COPIA!$DF$3:$DF$1339,0),COLUMN()-1),""),"MASTRO","")</f>
        <v/>
      </c>
      <c r="D185" s="136" t="str">
        <f ca="1">IF(IFERROR(INDEX((COPIA!$DA$3:$DE$1339),MATCH(ROWS(D$10:D185),COPIA!$DF$3:$DF$1339,0),COLUMN()-1),"")=0,"",IFERROR(INDEX((COPIA!$DA$3:$DE$1339),MATCH(ROWS(D$10:D185),COPIA!$DF$3:$DF$1339,0),COLUMN()-1),""))</f>
        <v/>
      </c>
      <c r="E185" s="9" t="str">
        <f ca="1">IF(IFERROR(INDEX((COPIA!$DA$3:$DE$1339),MATCH(ROWS(E$10:E185),COPIA!$DF$3:$DF$1339,0),COLUMN()-1),"")=0,"",IFERROR(INDEX((COPIA!$DA$3:$DE$1339),MATCH(ROWS(E$10:E185),COPIA!$DF$3:$DF$1339,0),COLUMN()-1),""))</f>
        <v/>
      </c>
      <c r="F185" s="6" t="str">
        <f ca="1">IF(IFERROR(INDEX((COPIA!$DA$3:$DE$1339),MATCH(ROWS(F$10:F185),COPIA!$DF$3:$DF$1339,0),COLUMN()-1),"")=0,"",IFERROR(INDEX((COPIA!$DA$3:$DE$1339),MATCH(ROWS(F$10:F185),COPIA!$DF$3:$DF$1339,0),COLUMN()-1),""))</f>
        <v/>
      </c>
      <c r="G185" s="12"/>
    </row>
    <row r="186" spans="1:7" x14ac:dyDescent="0.3">
      <c r="A186" s="60" t="str">
        <f ca="1">COPIA!AC179</f>
        <v>CONTRIBUTI IN C/ESERCIZIO</v>
      </c>
      <c r="B186" s="10" t="str">
        <f ca="1">IF(IFERROR(INDEX((COPIA!$DA$3:$DE$1339),MATCH(ROWS(B$10:B186),COPIA!$DF$3:$DF$1339,0),COLUMN()-1),"")&gt;=1,IFERROR(INDEX((COPIA!$DA$3:$DE$1339),MATCH(ROWS(B$10:B186),COPIA!$DF$3:$DF$1339,0),COLUMN()-1),""),"")</f>
        <v/>
      </c>
      <c r="C186" s="5" t="str">
        <f ca="1">SUBSTITUTE(IFERROR(INDEX((COPIA!$DA$3:$DE$1339),MATCH(ROWS(C$10:C186),COPIA!$DF$3:$DF$1339,0),COLUMN()-1),""),"MASTRO","")</f>
        <v/>
      </c>
      <c r="D186" s="136" t="str">
        <f ca="1">IF(IFERROR(INDEX((COPIA!$DA$3:$DE$1339),MATCH(ROWS(D$10:D186),COPIA!$DF$3:$DF$1339,0),COLUMN()-1),"")=0,"",IFERROR(INDEX((COPIA!$DA$3:$DE$1339),MATCH(ROWS(D$10:D186),COPIA!$DF$3:$DF$1339,0),COLUMN()-1),""))</f>
        <v/>
      </c>
      <c r="E186" s="9" t="str">
        <f ca="1">IF(IFERROR(INDEX((COPIA!$DA$3:$DE$1339),MATCH(ROWS(E$10:E186),COPIA!$DF$3:$DF$1339,0),COLUMN()-1),"")=0,"",IFERROR(INDEX((COPIA!$DA$3:$DE$1339),MATCH(ROWS(E$10:E186),COPIA!$DF$3:$DF$1339,0),COLUMN()-1),""))</f>
        <v/>
      </c>
      <c r="F186" s="6" t="str">
        <f ca="1">IF(IFERROR(INDEX((COPIA!$DA$3:$DE$1339),MATCH(ROWS(F$10:F186),COPIA!$DF$3:$DF$1339,0),COLUMN()-1),"")=0,"",IFERROR(INDEX((COPIA!$DA$3:$DE$1339),MATCH(ROWS(F$10:F186),COPIA!$DF$3:$DF$1339,0),COLUMN()-1),""))</f>
        <v/>
      </c>
      <c r="G186" s="12"/>
    </row>
    <row r="187" spans="1:7" x14ac:dyDescent="0.3">
      <c r="A187" s="60" t="str">
        <f ca="1">COPIA!AC180</f>
        <v>CONTRIBUTI IN C/IMPIANTI</v>
      </c>
      <c r="B187" s="10" t="str">
        <f ca="1">IF(IFERROR(INDEX((COPIA!$DA$3:$DE$1339),MATCH(ROWS(B$10:B187),COPIA!$DF$3:$DF$1339,0),COLUMN()-1),"")&gt;=1,IFERROR(INDEX((COPIA!$DA$3:$DE$1339),MATCH(ROWS(B$10:B187),COPIA!$DF$3:$DF$1339,0),COLUMN()-1),""),"")</f>
        <v/>
      </c>
      <c r="C187" s="5" t="str">
        <f ca="1">SUBSTITUTE(IFERROR(INDEX((COPIA!$DA$3:$DE$1339),MATCH(ROWS(C$10:C187),COPIA!$DF$3:$DF$1339,0),COLUMN()-1),""),"MASTRO","")</f>
        <v/>
      </c>
      <c r="D187" s="136" t="str">
        <f ca="1">IF(IFERROR(INDEX((COPIA!$DA$3:$DE$1339),MATCH(ROWS(D$10:D187),COPIA!$DF$3:$DF$1339,0),COLUMN()-1),"")=0,"",IFERROR(INDEX((COPIA!$DA$3:$DE$1339),MATCH(ROWS(D$10:D187),COPIA!$DF$3:$DF$1339,0),COLUMN()-1),""))</f>
        <v/>
      </c>
      <c r="E187" s="9" t="str">
        <f ca="1">IF(IFERROR(INDEX((COPIA!$DA$3:$DE$1339),MATCH(ROWS(E$10:E187),COPIA!$DF$3:$DF$1339,0),COLUMN()-1),"")=0,"",IFERROR(INDEX((COPIA!$DA$3:$DE$1339),MATCH(ROWS(E$10:E187),COPIA!$DF$3:$DF$1339,0),COLUMN()-1),""))</f>
        <v/>
      </c>
      <c r="F187" s="6" t="str">
        <f ca="1">IF(IFERROR(INDEX((COPIA!$DA$3:$DE$1339),MATCH(ROWS(F$10:F187),COPIA!$DF$3:$DF$1339,0),COLUMN()-1),"")=0,"",IFERROR(INDEX((COPIA!$DA$3:$DE$1339),MATCH(ROWS(F$10:F187),COPIA!$DF$3:$DF$1339,0),COLUMN()-1),""))</f>
        <v/>
      </c>
      <c r="G187" s="12"/>
    </row>
    <row r="188" spans="1:7" x14ac:dyDescent="0.3">
      <c r="A188" s="60" t="str">
        <f ca="1">COPIA!AC181</f>
        <v>PROVENTI VARI</v>
      </c>
      <c r="B188" s="10" t="str">
        <f ca="1">IF(IFERROR(INDEX((COPIA!$DA$3:$DE$1339),MATCH(ROWS(B$10:B188),COPIA!$DF$3:$DF$1339,0),COLUMN()-1),"")&gt;=1,IFERROR(INDEX((COPIA!$DA$3:$DE$1339),MATCH(ROWS(B$10:B188),COPIA!$DF$3:$DF$1339,0),COLUMN()-1),""),"")</f>
        <v/>
      </c>
      <c r="C188" s="5" t="str">
        <f ca="1">SUBSTITUTE(IFERROR(INDEX((COPIA!$DA$3:$DE$1339),MATCH(ROWS(C$10:C188),COPIA!$DF$3:$DF$1339,0),COLUMN()-1),""),"MASTRO","")</f>
        <v/>
      </c>
      <c r="D188" s="136" t="str">
        <f ca="1">IF(IFERROR(INDEX((COPIA!$DA$3:$DE$1339),MATCH(ROWS(D$10:D188),COPIA!$DF$3:$DF$1339,0),COLUMN()-1),"")=0,"",IFERROR(INDEX((COPIA!$DA$3:$DE$1339),MATCH(ROWS(D$10:D188),COPIA!$DF$3:$DF$1339,0),COLUMN()-1),""))</f>
        <v/>
      </c>
      <c r="E188" s="9" t="str">
        <f ca="1">IF(IFERROR(INDEX((COPIA!$DA$3:$DE$1339),MATCH(ROWS(E$10:E188),COPIA!$DF$3:$DF$1339,0),COLUMN()-1),"")=0,"",IFERROR(INDEX((COPIA!$DA$3:$DE$1339),MATCH(ROWS(E$10:E188),COPIA!$DF$3:$DF$1339,0),COLUMN()-1),""))</f>
        <v/>
      </c>
      <c r="F188" s="6" t="str">
        <f ca="1">IF(IFERROR(INDEX((COPIA!$DA$3:$DE$1339),MATCH(ROWS(F$10:F188),COPIA!$DF$3:$DF$1339,0),COLUMN()-1),"")=0,"",IFERROR(INDEX((COPIA!$DA$3:$DE$1339),MATCH(ROWS(F$10:F188),COPIA!$DF$3:$DF$1339,0),COLUMN()-1),""))</f>
        <v/>
      </c>
      <c r="G188" s="12"/>
    </row>
    <row r="189" spans="1:7" x14ac:dyDescent="0.3">
      <c r="A189" s="60" t="str">
        <f ca="1">COPIA!AC182</f>
        <v>ARROTONDAMENTI ATTIVI</v>
      </c>
      <c r="B189" s="10" t="str">
        <f ca="1">IF(IFERROR(INDEX((COPIA!$DA$3:$DE$1339),MATCH(ROWS(B$10:B189),COPIA!$DF$3:$DF$1339,0),COLUMN()-1),"")&gt;=1,IFERROR(INDEX((COPIA!$DA$3:$DE$1339),MATCH(ROWS(B$10:B189),COPIA!$DF$3:$DF$1339,0),COLUMN()-1),""),"")</f>
        <v/>
      </c>
      <c r="C189" s="5" t="str">
        <f ca="1">SUBSTITUTE(IFERROR(INDEX((COPIA!$DA$3:$DE$1339),MATCH(ROWS(C$10:C189),COPIA!$DF$3:$DF$1339,0),COLUMN()-1),""),"MASTRO","")</f>
        <v/>
      </c>
      <c r="D189" s="136" t="str">
        <f ca="1">IF(IFERROR(INDEX((COPIA!$DA$3:$DE$1339),MATCH(ROWS(D$10:D189),COPIA!$DF$3:$DF$1339,0),COLUMN()-1),"")=0,"",IFERROR(INDEX((COPIA!$DA$3:$DE$1339),MATCH(ROWS(D$10:D189),COPIA!$DF$3:$DF$1339,0),COLUMN()-1),""))</f>
        <v/>
      </c>
      <c r="E189" s="9" t="str">
        <f ca="1">IF(IFERROR(INDEX((COPIA!$DA$3:$DE$1339),MATCH(ROWS(E$10:E189),COPIA!$DF$3:$DF$1339,0),COLUMN()-1),"")=0,"",IFERROR(INDEX((COPIA!$DA$3:$DE$1339),MATCH(ROWS(E$10:E189),COPIA!$DF$3:$DF$1339,0),COLUMN()-1),""))</f>
        <v/>
      </c>
      <c r="F189" s="6" t="str">
        <f ca="1">IF(IFERROR(INDEX((COPIA!$DA$3:$DE$1339),MATCH(ROWS(F$10:F189),COPIA!$DF$3:$DF$1339,0),COLUMN()-1),"")=0,"",IFERROR(INDEX((COPIA!$DA$3:$DE$1339),MATCH(ROWS(F$10:F189),COPIA!$DF$3:$DF$1339,0),COLUMN()-1),""))</f>
        <v/>
      </c>
      <c r="G189" s="12"/>
    </row>
    <row r="190" spans="1:7" x14ac:dyDescent="0.3">
      <c r="A190" s="60" t="str">
        <f ca="1">COPIA!AC183</f>
        <v>PLUSVALENZE</v>
      </c>
      <c r="B190" s="10" t="str">
        <f ca="1">IF(IFERROR(INDEX((COPIA!$DA$3:$DE$1339),MATCH(ROWS(B$10:B190),COPIA!$DF$3:$DF$1339,0),COLUMN()-1),"")&gt;=1,IFERROR(INDEX((COPIA!$DA$3:$DE$1339),MATCH(ROWS(B$10:B190),COPIA!$DF$3:$DF$1339,0),COLUMN()-1),""),"")</f>
        <v/>
      </c>
      <c r="C190" s="5" t="str">
        <f ca="1">SUBSTITUTE(IFERROR(INDEX((COPIA!$DA$3:$DE$1339),MATCH(ROWS(C$10:C190),COPIA!$DF$3:$DF$1339,0),COLUMN()-1),""),"MASTRO","")</f>
        <v/>
      </c>
      <c r="D190" s="136" t="str">
        <f ca="1">IF(IFERROR(INDEX((COPIA!$DA$3:$DE$1339),MATCH(ROWS(D$10:D190),COPIA!$DF$3:$DF$1339,0),COLUMN()-1),"")=0,"",IFERROR(INDEX((COPIA!$DA$3:$DE$1339),MATCH(ROWS(D$10:D190),COPIA!$DF$3:$DF$1339,0),COLUMN()-1),""))</f>
        <v/>
      </c>
      <c r="E190" s="9" t="str">
        <f ca="1">IF(IFERROR(INDEX((COPIA!$DA$3:$DE$1339),MATCH(ROWS(E$10:E190),COPIA!$DF$3:$DF$1339,0),COLUMN()-1),"")=0,"",IFERROR(INDEX((COPIA!$DA$3:$DE$1339),MATCH(ROWS(E$10:E190),COPIA!$DF$3:$DF$1339,0),COLUMN()-1),""))</f>
        <v/>
      </c>
      <c r="F190" s="6" t="str">
        <f ca="1">IF(IFERROR(INDEX((COPIA!$DA$3:$DE$1339),MATCH(ROWS(F$10:F190),COPIA!$DF$3:$DF$1339,0),COLUMN()-1),"")=0,"",IFERROR(INDEX((COPIA!$DA$3:$DE$1339),MATCH(ROWS(F$10:F190),COPIA!$DF$3:$DF$1339,0),COLUMN()-1),""))</f>
        <v/>
      </c>
      <c r="G190" s="12"/>
    </row>
    <row r="191" spans="1:7" x14ac:dyDescent="0.3">
      <c r="A191" s="60" t="str">
        <f ca="1">COPIA!AC184</f>
        <v>SOPRAVVENIENZE ATTIVE</v>
      </c>
      <c r="B191" s="10" t="str">
        <f ca="1">IF(IFERROR(INDEX((COPIA!$DA$3:$DE$1339),MATCH(ROWS(B$10:B191),COPIA!$DF$3:$DF$1339,0),COLUMN()-1),"")&gt;=1,IFERROR(INDEX((COPIA!$DA$3:$DE$1339),MATCH(ROWS(B$10:B191),COPIA!$DF$3:$DF$1339,0),COLUMN()-1),""),"")</f>
        <v/>
      </c>
      <c r="C191" s="5" t="str">
        <f ca="1">SUBSTITUTE(IFERROR(INDEX((COPIA!$DA$3:$DE$1339),MATCH(ROWS(C$10:C191),COPIA!$DF$3:$DF$1339,0),COLUMN()-1),""),"MASTRO","")</f>
        <v/>
      </c>
      <c r="D191" s="136" t="str">
        <f ca="1">IF(IFERROR(INDEX((COPIA!$DA$3:$DE$1339),MATCH(ROWS(D$10:D191),COPIA!$DF$3:$DF$1339,0),COLUMN()-1),"")=0,"",IFERROR(INDEX((COPIA!$DA$3:$DE$1339),MATCH(ROWS(D$10:D191),COPIA!$DF$3:$DF$1339,0),COLUMN()-1),""))</f>
        <v/>
      </c>
      <c r="E191" s="9" t="str">
        <f ca="1">IF(IFERROR(INDEX((COPIA!$DA$3:$DE$1339),MATCH(ROWS(E$10:E191),COPIA!$DF$3:$DF$1339,0),COLUMN()-1),"")=0,"",IFERROR(INDEX((COPIA!$DA$3:$DE$1339),MATCH(ROWS(E$10:E191),COPIA!$DF$3:$DF$1339,0),COLUMN()-1),""))</f>
        <v/>
      </c>
      <c r="F191" s="6" t="str">
        <f ca="1">IF(IFERROR(INDEX((COPIA!$DA$3:$DE$1339),MATCH(ROWS(F$10:F191),COPIA!$DF$3:$DF$1339,0),COLUMN()-1),"")=0,"",IFERROR(INDEX((COPIA!$DA$3:$DE$1339),MATCH(ROWS(F$10:F191),COPIA!$DF$3:$DF$1339,0),COLUMN()-1),""))</f>
        <v/>
      </c>
      <c r="G191" s="12"/>
    </row>
    <row r="192" spans="1:7" x14ac:dyDescent="0.3">
      <c r="A192" s="60" t="str">
        <f ca="1">COPIA!AC185</f>
        <v>INSUSSISTENZE ATTIVE</v>
      </c>
      <c r="B192" s="10" t="str">
        <f ca="1">IF(IFERROR(INDEX((COPIA!$DA$3:$DE$1339),MATCH(ROWS(B$10:B192),COPIA!$DF$3:$DF$1339,0),COLUMN()-1),"")&gt;=1,IFERROR(INDEX((COPIA!$DA$3:$DE$1339),MATCH(ROWS(B$10:B192),COPIA!$DF$3:$DF$1339,0),COLUMN()-1),""),"")</f>
        <v/>
      </c>
      <c r="C192" s="5" t="str">
        <f ca="1">SUBSTITUTE(IFERROR(INDEX((COPIA!$DA$3:$DE$1339),MATCH(ROWS(C$10:C192),COPIA!$DF$3:$DF$1339,0),COLUMN()-1),""),"MASTRO","")</f>
        <v/>
      </c>
      <c r="D192" s="136" t="str">
        <f ca="1">IF(IFERROR(INDEX((COPIA!$DA$3:$DE$1339),MATCH(ROWS(D$10:D192),COPIA!$DF$3:$DF$1339,0),COLUMN()-1),"")=0,"",IFERROR(INDEX((COPIA!$DA$3:$DE$1339),MATCH(ROWS(D$10:D192),COPIA!$DF$3:$DF$1339,0),COLUMN()-1),""))</f>
        <v/>
      </c>
      <c r="E192" s="9" t="str">
        <f ca="1">IF(IFERROR(INDEX((COPIA!$DA$3:$DE$1339),MATCH(ROWS(E$10:E192),COPIA!$DF$3:$DF$1339,0),COLUMN()-1),"")=0,"",IFERROR(INDEX((COPIA!$DA$3:$DE$1339),MATCH(ROWS(E$10:E192),COPIA!$DF$3:$DF$1339,0),COLUMN()-1),""))</f>
        <v/>
      </c>
      <c r="F192" s="6" t="str">
        <f ca="1">IF(IFERROR(INDEX((COPIA!$DA$3:$DE$1339),MATCH(ROWS(F$10:F192),COPIA!$DF$3:$DF$1339,0),COLUMN()-1),"")=0,"",IFERROR(INDEX((COPIA!$DA$3:$DE$1339),MATCH(ROWS(F$10:F192),COPIA!$DF$3:$DF$1339,0),COLUMN()-1),""))</f>
        <v/>
      </c>
      <c r="G192" s="12"/>
    </row>
    <row r="193" spans="1:7" x14ac:dyDescent="0.3">
      <c r="A193" s="60" t="str">
        <f ca="1">COPIA!AC186</f>
        <v>RIVALUTAZIONE TERRENI E FABBRICATI</v>
      </c>
      <c r="B193" s="10" t="str">
        <f ca="1">IF(IFERROR(INDEX((COPIA!$DA$3:$DE$1339),MATCH(ROWS(B$10:B193),COPIA!$DF$3:$DF$1339,0),COLUMN()-1),"")&gt;=1,IFERROR(INDEX((COPIA!$DA$3:$DE$1339),MATCH(ROWS(B$10:B193),COPIA!$DF$3:$DF$1339,0),COLUMN()-1),""),"")</f>
        <v/>
      </c>
      <c r="C193" s="5" t="str">
        <f ca="1">SUBSTITUTE(IFERROR(INDEX((COPIA!$DA$3:$DE$1339),MATCH(ROWS(C$10:C193),COPIA!$DF$3:$DF$1339,0),COLUMN()-1),""),"MASTRO","")</f>
        <v/>
      </c>
      <c r="D193" s="136" t="str">
        <f ca="1">IF(IFERROR(INDEX((COPIA!$DA$3:$DE$1339),MATCH(ROWS(D$10:D193),COPIA!$DF$3:$DF$1339,0),COLUMN()-1),"")=0,"",IFERROR(INDEX((COPIA!$DA$3:$DE$1339),MATCH(ROWS(D$10:D193),COPIA!$DF$3:$DF$1339,0),COLUMN()-1),""))</f>
        <v/>
      </c>
      <c r="E193" s="9" t="str">
        <f ca="1">IF(IFERROR(INDEX((COPIA!$DA$3:$DE$1339),MATCH(ROWS(E$10:E193),COPIA!$DF$3:$DF$1339,0),COLUMN()-1),"")=0,"",IFERROR(INDEX((COPIA!$DA$3:$DE$1339),MATCH(ROWS(E$10:E193),COPIA!$DF$3:$DF$1339,0),COLUMN()-1),""))</f>
        <v/>
      </c>
      <c r="F193" s="6" t="str">
        <f ca="1">IF(IFERROR(INDEX((COPIA!$DA$3:$DE$1339),MATCH(ROWS(F$10:F193),COPIA!$DF$3:$DF$1339,0),COLUMN()-1),"")=0,"",IFERROR(INDEX((COPIA!$DA$3:$DE$1339),MATCH(ROWS(F$10:F193),COPIA!$DF$3:$DF$1339,0),COLUMN()-1),""))</f>
        <v/>
      </c>
      <c r="G193" s="12"/>
    </row>
    <row r="194" spans="1:7" x14ac:dyDescent="0.3">
      <c r="A194" s="60" t="str">
        <f ca="1">COPIA!AC187</f>
        <v>RIVALUTAZIONE IMPIANTI E MACCHINARI</v>
      </c>
      <c r="B194" s="10" t="str">
        <f ca="1">IF(IFERROR(INDEX((COPIA!$DA$3:$DE$1339),MATCH(ROWS(B$10:B194),COPIA!$DF$3:$DF$1339,0),COLUMN()-1),"")&gt;=1,IFERROR(INDEX((COPIA!$DA$3:$DE$1339),MATCH(ROWS(B$10:B194),COPIA!$DF$3:$DF$1339,0),COLUMN()-1),""),"")</f>
        <v/>
      </c>
      <c r="C194" s="5" t="str">
        <f ca="1">SUBSTITUTE(IFERROR(INDEX((COPIA!$DA$3:$DE$1339),MATCH(ROWS(C$10:C194),COPIA!$DF$3:$DF$1339,0),COLUMN()-1),""),"MASTRO","")</f>
        <v/>
      </c>
      <c r="D194" s="136" t="str">
        <f ca="1">IF(IFERROR(INDEX((COPIA!$DA$3:$DE$1339),MATCH(ROWS(D$10:D194),COPIA!$DF$3:$DF$1339,0),COLUMN()-1),"")=0,"",IFERROR(INDEX((COPIA!$DA$3:$DE$1339),MATCH(ROWS(D$10:D194),COPIA!$DF$3:$DF$1339,0),COLUMN()-1),""))</f>
        <v/>
      </c>
      <c r="E194" s="9" t="str">
        <f ca="1">IF(IFERROR(INDEX((COPIA!$DA$3:$DE$1339),MATCH(ROWS(E$10:E194),COPIA!$DF$3:$DF$1339,0),COLUMN()-1),"")=0,"",IFERROR(INDEX((COPIA!$DA$3:$DE$1339),MATCH(ROWS(E$10:E194),COPIA!$DF$3:$DF$1339,0),COLUMN()-1),""))</f>
        <v/>
      </c>
      <c r="F194" s="6" t="str">
        <f ca="1">IF(IFERROR(INDEX((COPIA!$DA$3:$DE$1339),MATCH(ROWS(F$10:F194),COPIA!$DF$3:$DF$1339,0),COLUMN()-1),"")=0,"",IFERROR(INDEX((COPIA!$DA$3:$DE$1339),MATCH(ROWS(F$10:F194),COPIA!$DF$3:$DF$1339,0),COLUMN()-1),""))</f>
        <v/>
      </c>
      <c r="G194" s="12"/>
    </row>
    <row r="195" spans="1:7" x14ac:dyDescent="0.3">
      <c r="A195" s="60" t="str">
        <f ca="1">COPIA!AC188</f>
        <v>PRODOTTI IN LAVORAZIONE C/ESISTENZE INIZIALI</v>
      </c>
      <c r="B195" s="10" t="str">
        <f ca="1">IF(IFERROR(INDEX((COPIA!$DA$3:$DE$1339),MATCH(ROWS(B$10:B195),COPIA!$DF$3:$DF$1339,0),COLUMN()-1),"")&gt;=1,IFERROR(INDEX((COPIA!$DA$3:$DE$1339),MATCH(ROWS(B$10:B195),COPIA!$DF$3:$DF$1339,0),COLUMN()-1),""),"")</f>
        <v/>
      </c>
      <c r="C195" s="5" t="str">
        <f ca="1">SUBSTITUTE(IFERROR(INDEX((COPIA!$DA$3:$DE$1339),MATCH(ROWS(C$10:C195),COPIA!$DF$3:$DF$1339,0),COLUMN()-1),""),"MASTRO","")</f>
        <v/>
      </c>
      <c r="D195" s="136" t="str">
        <f ca="1">IF(IFERROR(INDEX((COPIA!$DA$3:$DE$1339),MATCH(ROWS(D$10:D195),COPIA!$DF$3:$DF$1339,0),COLUMN()-1),"")=0,"",IFERROR(INDEX((COPIA!$DA$3:$DE$1339),MATCH(ROWS(D$10:D195),COPIA!$DF$3:$DF$1339,0),COLUMN()-1),""))</f>
        <v/>
      </c>
      <c r="E195" s="9" t="str">
        <f ca="1">IF(IFERROR(INDEX((COPIA!$DA$3:$DE$1339),MATCH(ROWS(E$10:E195),COPIA!$DF$3:$DF$1339,0),COLUMN()-1),"")=0,"",IFERROR(INDEX((COPIA!$DA$3:$DE$1339),MATCH(ROWS(E$10:E195),COPIA!$DF$3:$DF$1339,0),COLUMN()-1),""))</f>
        <v/>
      </c>
      <c r="F195" s="6" t="str">
        <f ca="1">IF(IFERROR(INDEX((COPIA!$DA$3:$DE$1339),MATCH(ROWS(F$10:F195),COPIA!$DF$3:$DF$1339,0),COLUMN()-1),"")=0,"",IFERROR(INDEX((COPIA!$DA$3:$DE$1339),MATCH(ROWS(F$10:F195),COPIA!$DF$3:$DF$1339,0),COLUMN()-1),""))</f>
        <v/>
      </c>
      <c r="G195" s="12"/>
    </row>
    <row r="196" spans="1:7" x14ac:dyDescent="0.3">
      <c r="A196" s="60" t="str">
        <f ca="1">COPIA!AC189</f>
        <v>SEMILAVORATI C/ESISTENZE INIZIALI</v>
      </c>
      <c r="B196" s="10" t="str">
        <f ca="1">IF(IFERROR(INDEX((COPIA!$DA$3:$DE$1339),MATCH(ROWS(B$10:B196),COPIA!$DF$3:$DF$1339,0),COLUMN()-1),"")&gt;=1,IFERROR(INDEX((COPIA!$DA$3:$DE$1339),MATCH(ROWS(B$10:B196),COPIA!$DF$3:$DF$1339,0),COLUMN()-1),""),"")</f>
        <v/>
      </c>
      <c r="C196" s="5" t="str">
        <f ca="1">SUBSTITUTE(IFERROR(INDEX((COPIA!$DA$3:$DE$1339),MATCH(ROWS(C$10:C196),COPIA!$DF$3:$DF$1339,0),COLUMN()-1),""),"MASTRO","")</f>
        <v/>
      </c>
      <c r="D196" s="136" t="str">
        <f ca="1">IF(IFERROR(INDEX((COPIA!$DA$3:$DE$1339),MATCH(ROWS(D$10:D196),COPIA!$DF$3:$DF$1339,0),COLUMN()-1),"")=0,"",IFERROR(INDEX((COPIA!$DA$3:$DE$1339),MATCH(ROWS(D$10:D196),COPIA!$DF$3:$DF$1339,0),COLUMN()-1),""))</f>
        <v/>
      </c>
      <c r="E196" s="9" t="str">
        <f ca="1">IF(IFERROR(INDEX((COPIA!$DA$3:$DE$1339),MATCH(ROWS(E$10:E196),COPIA!$DF$3:$DF$1339,0),COLUMN()-1),"")=0,"",IFERROR(INDEX((COPIA!$DA$3:$DE$1339),MATCH(ROWS(E$10:E196),COPIA!$DF$3:$DF$1339,0),COLUMN()-1),""))</f>
        <v/>
      </c>
      <c r="F196" s="6" t="str">
        <f ca="1">IF(IFERROR(INDEX((COPIA!$DA$3:$DE$1339),MATCH(ROWS(F$10:F196),COPIA!$DF$3:$DF$1339,0),COLUMN()-1),"")=0,"",IFERROR(INDEX((COPIA!$DA$3:$DE$1339),MATCH(ROWS(F$10:F196),COPIA!$DF$3:$DF$1339,0),COLUMN()-1),""))</f>
        <v/>
      </c>
      <c r="G196" s="12"/>
    </row>
    <row r="197" spans="1:7" x14ac:dyDescent="0.3">
      <c r="A197" s="60" t="str">
        <f ca="1">COPIA!AC190</f>
        <v>PRODOTTI FINITI C/ESISTENZE INIZIALI</v>
      </c>
      <c r="B197" s="10" t="str">
        <f ca="1">IF(IFERROR(INDEX((COPIA!$DA$3:$DE$1339),MATCH(ROWS(B$10:B197),COPIA!$DF$3:$DF$1339,0),COLUMN()-1),"")&gt;=1,IFERROR(INDEX((COPIA!$DA$3:$DE$1339),MATCH(ROWS(B$10:B197),COPIA!$DF$3:$DF$1339,0),COLUMN()-1),""),"")</f>
        <v/>
      </c>
      <c r="C197" s="5" t="str">
        <f ca="1">SUBSTITUTE(IFERROR(INDEX((COPIA!$DA$3:$DE$1339),MATCH(ROWS(C$10:C197),COPIA!$DF$3:$DF$1339,0),COLUMN()-1),""),"MASTRO","")</f>
        <v/>
      </c>
      <c r="D197" s="136" t="str">
        <f ca="1">IF(IFERROR(INDEX((COPIA!$DA$3:$DE$1339),MATCH(ROWS(D$10:D197),COPIA!$DF$3:$DF$1339,0),COLUMN()-1),"")=0,"",IFERROR(INDEX((COPIA!$DA$3:$DE$1339),MATCH(ROWS(D$10:D197),COPIA!$DF$3:$DF$1339,0),COLUMN()-1),""))</f>
        <v/>
      </c>
      <c r="E197" s="9" t="str">
        <f ca="1">IF(IFERROR(INDEX((COPIA!$DA$3:$DE$1339),MATCH(ROWS(E$10:E197),COPIA!$DF$3:$DF$1339,0),COLUMN()-1),"")=0,"",IFERROR(INDEX((COPIA!$DA$3:$DE$1339),MATCH(ROWS(E$10:E197),COPIA!$DF$3:$DF$1339,0),COLUMN()-1),""))</f>
        <v/>
      </c>
      <c r="F197" s="6" t="str">
        <f ca="1">IF(IFERROR(INDEX((COPIA!$DA$3:$DE$1339),MATCH(ROWS(F$10:F197),COPIA!$DF$3:$DF$1339,0),COLUMN()-1),"")=0,"",IFERROR(INDEX((COPIA!$DA$3:$DE$1339),MATCH(ROWS(F$10:F197),COPIA!$DF$3:$DF$1339,0),COLUMN()-1),""))</f>
        <v/>
      </c>
      <c r="G197" s="12"/>
    </row>
    <row r="198" spans="1:7" x14ac:dyDescent="0.3">
      <c r="A198" s="60" t="str">
        <f ca="1">COPIA!AC191</f>
        <v>PRODOTTI IN LAVORAZIONE C/RIMANENZE FINALI</v>
      </c>
      <c r="B198" s="10" t="str">
        <f ca="1">IF(IFERROR(INDEX((COPIA!$DA$3:$DE$1339),MATCH(ROWS(B$10:B198),COPIA!$DF$3:$DF$1339,0),COLUMN()-1),"")&gt;=1,IFERROR(INDEX((COPIA!$DA$3:$DE$1339),MATCH(ROWS(B$10:B198),COPIA!$DF$3:$DF$1339,0),COLUMN()-1),""),"")</f>
        <v/>
      </c>
      <c r="C198" s="5" t="str">
        <f ca="1">SUBSTITUTE(IFERROR(INDEX((COPIA!$DA$3:$DE$1339),MATCH(ROWS(C$10:C198),COPIA!$DF$3:$DF$1339,0),COLUMN()-1),""),"MASTRO","")</f>
        <v/>
      </c>
      <c r="D198" s="136" t="str">
        <f ca="1">IF(IFERROR(INDEX((COPIA!$DA$3:$DE$1339),MATCH(ROWS(D$10:D198),COPIA!$DF$3:$DF$1339,0),COLUMN()-1),"")=0,"",IFERROR(INDEX((COPIA!$DA$3:$DE$1339),MATCH(ROWS(D$10:D198),COPIA!$DF$3:$DF$1339,0),COLUMN()-1),""))</f>
        <v/>
      </c>
      <c r="E198" s="9" t="str">
        <f ca="1">IF(IFERROR(INDEX((COPIA!$DA$3:$DE$1339),MATCH(ROWS(E$10:E198),COPIA!$DF$3:$DF$1339,0),COLUMN()-1),"")=0,"",IFERROR(INDEX((COPIA!$DA$3:$DE$1339),MATCH(ROWS(E$10:E198),COPIA!$DF$3:$DF$1339,0),COLUMN()-1),""))</f>
        <v/>
      </c>
      <c r="F198" s="6" t="str">
        <f ca="1">IF(IFERROR(INDEX((COPIA!$DA$3:$DE$1339),MATCH(ROWS(F$10:F198),COPIA!$DF$3:$DF$1339,0),COLUMN()-1),"")=0,"",IFERROR(INDEX((COPIA!$DA$3:$DE$1339),MATCH(ROWS(F$10:F198),COPIA!$DF$3:$DF$1339,0),COLUMN()-1),""))</f>
        <v/>
      </c>
      <c r="G198" s="12"/>
    </row>
    <row r="199" spans="1:7" x14ac:dyDescent="0.3">
      <c r="A199" s="60" t="str">
        <f ca="1">COPIA!AC192</f>
        <v>SEMILAVORATI C/RIMANENZE FINALI</v>
      </c>
      <c r="B199" s="10" t="str">
        <f ca="1">IF(IFERROR(INDEX((COPIA!$DA$3:$DE$1339),MATCH(ROWS(B$10:B199),COPIA!$DF$3:$DF$1339,0),COLUMN()-1),"")&gt;=1,IFERROR(INDEX((COPIA!$DA$3:$DE$1339),MATCH(ROWS(B$10:B199),COPIA!$DF$3:$DF$1339,0),COLUMN()-1),""),"")</f>
        <v/>
      </c>
      <c r="C199" s="5" t="str">
        <f ca="1">SUBSTITUTE(IFERROR(INDEX((COPIA!$DA$3:$DE$1339),MATCH(ROWS(C$10:C199),COPIA!$DF$3:$DF$1339,0),COLUMN()-1),""),"MASTRO","")</f>
        <v/>
      </c>
      <c r="D199" s="136" t="str">
        <f ca="1">IF(IFERROR(INDEX((COPIA!$DA$3:$DE$1339),MATCH(ROWS(D$10:D199),COPIA!$DF$3:$DF$1339,0),COLUMN()-1),"")=0,"",IFERROR(INDEX((COPIA!$DA$3:$DE$1339),MATCH(ROWS(D$10:D199),COPIA!$DF$3:$DF$1339,0),COLUMN()-1),""))</f>
        <v/>
      </c>
      <c r="E199" s="9" t="str">
        <f ca="1">IF(IFERROR(INDEX((COPIA!$DA$3:$DE$1339),MATCH(ROWS(E$10:E199),COPIA!$DF$3:$DF$1339,0),COLUMN()-1),"")=0,"",IFERROR(INDEX((COPIA!$DA$3:$DE$1339),MATCH(ROWS(E$10:E199),COPIA!$DF$3:$DF$1339,0),COLUMN()-1),""))</f>
        <v/>
      </c>
      <c r="F199" s="6" t="str">
        <f ca="1">IF(IFERROR(INDEX((COPIA!$DA$3:$DE$1339),MATCH(ROWS(F$10:F199),COPIA!$DF$3:$DF$1339,0),COLUMN()-1),"")=0,"",IFERROR(INDEX((COPIA!$DA$3:$DE$1339),MATCH(ROWS(F$10:F199),COPIA!$DF$3:$DF$1339,0),COLUMN()-1),""))</f>
        <v/>
      </c>
      <c r="G199" s="12"/>
    </row>
    <row r="200" spans="1:7" x14ac:dyDescent="0.3">
      <c r="A200" s="60" t="str">
        <f ca="1">COPIA!AC193</f>
        <v>PRODOTTI FINITI C/RIMANENZE FINALI</v>
      </c>
      <c r="B200" s="10" t="str">
        <f ca="1">IF(IFERROR(INDEX((COPIA!$DA$3:$DE$1339),MATCH(ROWS(B$10:B200),COPIA!$DF$3:$DF$1339,0),COLUMN()-1),"")&gt;=1,IFERROR(INDEX((COPIA!$DA$3:$DE$1339),MATCH(ROWS(B$10:B200),COPIA!$DF$3:$DF$1339,0),COLUMN()-1),""),"")</f>
        <v/>
      </c>
      <c r="C200" s="5" t="str">
        <f ca="1">SUBSTITUTE(IFERROR(INDEX((COPIA!$DA$3:$DE$1339),MATCH(ROWS(C$10:C200),COPIA!$DF$3:$DF$1339,0),COLUMN()-1),""),"MASTRO","")</f>
        <v/>
      </c>
      <c r="D200" s="136" t="str">
        <f ca="1">IF(IFERROR(INDEX((COPIA!$DA$3:$DE$1339),MATCH(ROWS(D$10:D200),COPIA!$DF$3:$DF$1339,0),COLUMN()-1),"")=0,"",IFERROR(INDEX((COPIA!$DA$3:$DE$1339),MATCH(ROWS(D$10:D200),COPIA!$DF$3:$DF$1339,0),COLUMN()-1),""))</f>
        <v/>
      </c>
      <c r="E200" s="9" t="str">
        <f ca="1">IF(IFERROR(INDEX((COPIA!$DA$3:$DE$1339),MATCH(ROWS(E$10:E200),COPIA!$DF$3:$DF$1339,0),COLUMN()-1),"")=0,"",IFERROR(INDEX((COPIA!$DA$3:$DE$1339),MATCH(ROWS(E$10:E200),COPIA!$DF$3:$DF$1339,0),COLUMN()-1),""))</f>
        <v/>
      </c>
      <c r="F200" s="6" t="str">
        <f ca="1">IF(IFERROR(INDEX((COPIA!$DA$3:$DE$1339),MATCH(ROWS(F$10:F200),COPIA!$DF$3:$DF$1339,0),COLUMN()-1),"")=0,"",IFERROR(INDEX((COPIA!$DA$3:$DE$1339),MATCH(ROWS(F$10:F200),COPIA!$DF$3:$DF$1339,0),COLUMN()-1),""))</f>
        <v/>
      </c>
      <c r="G200" s="12"/>
    </row>
    <row r="201" spans="1:7" x14ac:dyDescent="0.3">
      <c r="A201" s="60" t="str">
        <f ca="1">COPIA!AC194</f>
        <v>MATERIE PRIME C/ACQUISTI</v>
      </c>
      <c r="B201" s="10" t="str">
        <f ca="1">IF(IFERROR(INDEX((COPIA!$DA$3:$DE$1339),MATCH(ROWS(B$10:B201),COPIA!$DF$3:$DF$1339,0),COLUMN()-1),"")&gt;=1,IFERROR(INDEX((COPIA!$DA$3:$DE$1339),MATCH(ROWS(B$10:B201),COPIA!$DF$3:$DF$1339,0),COLUMN()-1),""),"")</f>
        <v/>
      </c>
      <c r="C201" s="5" t="str">
        <f ca="1">SUBSTITUTE(IFERROR(INDEX((COPIA!$DA$3:$DE$1339),MATCH(ROWS(C$10:C201),COPIA!$DF$3:$DF$1339,0),COLUMN()-1),""),"MASTRO","")</f>
        <v/>
      </c>
      <c r="D201" s="136" t="str">
        <f ca="1">IF(IFERROR(INDEX((COPIA!$DA$3:$DE$1339),MATCH(ROWS(D$10:D201),COPIA!$DF$3:$DF$1339,0),COLUMN()-1),"")=0,"",IFERROR(INDEX((COPIA!$DA$3:$DE$1339),MATCH(ROWS(D$10:D201),COPIA!$DF$3:$DF$1339,0),COLUMN()-1),""))</f>
        <v/>
      </c>
      <c r="E201" s="9" t="str">
        <f ca="1">IF(IFERROR(INDEX((COPIA!$DA$3:$DE$1339),MATCH(ROWS(E$10:E201),COPIA!$DF$3:$DF$1339,0),COLUMN()-1),"")=0,"",IFERROR(INDEX((COPIA!$DA$3:$DE$1339),MATCH(ROWS(E$10:E201),COPIA!$DF$3:$DF$1339,0),COLUMN()-1),""))</f>
        <v/>
      </c>
      <c r="F201" s="6" t="str">
        <f ca="1">IF(IFERROR(INDEX((COPIA!$DA$3:$DE$1339),MATCH(ROWS(F$10:F201),COPIA!$DF$3:$DF$1339,0),COLUMN()-1),"")=0,"",IFERROR(INDEX((COPIA!$DA$3:$DE$1339),MATCH(ROWS(F$10:F201),COPIA!$DF$3:$DF$1339,0),COLUMN()-1),""))</f>
        <v/>
      </c>
      <c r="G201" s="12"/>
    </row>
    <row r="202" spans="1:7" x14ac:dyDescent="0.3">
      <c r="A202" s="60" t="str">
        <f ca="1">COPIA!AC195</f>
        <v>MATERIE SUSSIDIARIE C/ACQUISTI</v>
      </c>
      <c r="B202" s="10" t="str">
        <f ca="1">IF(IFERROR(INDEX((COPIA!$DA$3:$DE$1339),MATCH(ROWS(B$10:B202),COPIA!$DF$3:$DF$1339,0),COLUMN()-1),"")&gt;=1,IFERROR(INDEX((COPIA!$DA$3:$DE$1339),MATCH(ROWS(B$10:B202),COPIA!$DF$3:$DF$1339,0),COLUMN()-1),""),"")</f>
        <v/>
      </c>
      <c r="C202" s="5" t="str">
        <f ca="1">SUBSTITUTE(IFERROR(INDEX((COPIA!$DA$3:$DE$1339),MATCH(ROWS(C$10:C202),COPIA!$DF$3:$DF$1339,0),COLUMN()-1),""),"MASTRO","")</f>
        <v/>
      </c>
      <c r="D202" s="136" t="str">
        <f ca="1">IF(IFERROR(INDEX((COPIA!$DA$3:$DE$1339),MATCH(ROWS(D$10:D202),COPIA!$DF$3:$DF$1339,0),COLUMN()-1),"")=0,"",IFERROR(INDEX((COPIA!$DA$3:$DE$1339),MATCH(ROWS(D$10:D202),COPIA!$DF$3:$DF$1339,0),COLUMN()-1),""))</f>
        <v/>
      </c>
      <c r="E202" s="9" t="str">
        <f ca="1">IF(IFERROR(INDEX((COPIA!$DA$3:$DE$1339),MATCH(ROWS(E$10:E202),COPIA!$DF$3:$DF$1339,0),COLUMN()-1),"")=0,"",IFERROR(INDEX((COPIA!$DA$3:$DE$1339),MATCH(ROWS(E$10:E202),COPIA!$DF$3:$DF$1339,0),COLUMN()-1),""))</f>
        <v/>
      </c>
      <c r="F202" s="6" t="str">
        <f ca="1">IF(IFERROR(INDEX((COPIA!$DA$3:$DE$1339),MATCH(ROWS(F$10:F202),COPIA!$DF$3:$DF$1339,0),COLUMN()-1),"")=0,"",IFERROR(INDEX((COPIA!$DA$3:$DE$1339),MATCH(ROWS(F$10:F202),COPIA!$DF$3:$DF$1339,0),COLUMN()-1),""))</f>
        <v/>
      </c>
      <c r="G202" s="12"/>
    </row>
    <row r="203" spans="1:7" x14ac:dyDescent="0.3">
      <c r="A203" s="60" t="str">
        <f ca="1">COPIA!AC196</f>
        <v>MATERIE DI CONSUMO C/ACQUISTI</v>
      </c>
      <c r="B203" s="10" t="str">
        <f ca="1">IF(IFERROR(INDEX((COPIA!$DA$3:$DE$1339),MATCH(ROWS(B$10:B203),COPIA!$DF$3:$DF$1339,0),COLUMN()-1),"")&gt;=1,IFERROR(INDEX((COPIA!$DA$3:$DE$1339),MATCH(ROWS(B$10:B203),COPIA!$DF$3:$DF$1339,0),COLUMN()-1),""),"")</f>
        <v/>
      </c>
      <c r="C203" s="5" t="str">
        <f ca="1">SUBSTITUTE(IFERROR(INDEX((COPIA!$DA$3:$DE$1339),MATCH(ROWS(C$10:C203),COPIA!$DF$3:$DF$1339,0),COLUMN()-1),""),"MASTRO","")</f>
        <v/>
      </c>
      <c r="D203" s="136" t="str">
        <f ca="1">IF(IFERROR(INDEX((COPIA!$DA$3:$DE$1339),MATCH(ROWS(D$10:D203),COPIA!$DF$3:$DF$1339,0),COLUMN()-1),"")=0,"",IFERROR(INDEX((COPIA!$DA$3:$DE$1339),MATCH(ROWS(D$10:D203),COPIA!$DF$3:$DF$1339,0),COLUMN()-1),""))</f>
        <v/>
      </c>
      <c r="E203" s="9" t="str">
        <f ca="1">IF(IFERROR(INDEX((COPIA!$DA$3:$DE$1339),MATCH(ROWS(E$10:E203),COPIA!$DF$3:$DF$1339,0),COLUMN()-1),"")=0,"",IFERROR(INDEX((COPIA!$DA$3:$DE$1339),MATCH(ROWS(E$10:E203),COPIA!$DF$3:$DF$1339,0),COLUMN()-1),""))</f>
        <v/>
      </c>
      <c r="F203" s="6" t="str">
        <f ca="1">IF(IFERROR(INDEX((COPIA!$DA$3:$DE$1339),MATCH(ROWS(F$10:F203),COPIA!$DF$3:$DF$1339,0),COLUMN()-1),"")=0,"",IFERROR(INDEX((COPIA!$DA$3:$DE$1339),MATCH(ROWS(F$10:F203),COPIA!$DF$3:$DF$1339,0),COLUMN()-1),""))</f>
        <v/>
      </c>
      <c r="G203" s="12"/>
    </row>
    <row r="204" spans="1:7" x14ac:dyDescent="0.3">
      <c r="A204" s="60" t="str">
        <f ca="1">COPIA!AC197</f>
        <v>MATERIE C/APPORTI</v>
      </c>
      <c r="B204" s="10" t="str">
        <f ca="1">IF(IFERROR(INDEX((COPIA!$DA$3:$DE$1339),MATCH(ROWS(B$10:B204),COPIA!$DF$3:$DF$1339,0),COLUMN()-1),"")&gt;=1,IFERROR(INDEX((COPIA!$DA$3:$DE$1339),MATCH(ROWS(B$10:B204),COPIA!$DF$3:$DF$1339,0),COLUMN()-1),""),"")</f>
        <v/>
      </c>
      <c r="C204" s="5" t="str">
        <f ca="1">SUBSTITUTE(IFERROR(INDEX((COPIA!$DA$3:$DE$1339),MATCH(ROWS(C$10:C204),COPIA!$DF$3:$DF$1339,0),COLUMN()-1),""),"MASTRO","")</f>
        <v/>
      </c>
      <c r="D204" s="136" t="str">
        <f ca="1">IF(IFERROR(INDEX((COPIA!$DA$3:$DE$1339),MATCH(ROWS(D$10:D204),COPIA!$DF$3:$DF$1339,0),COLUMN()-1),"")=0,"",IFERROR(INDEX((COPIA!$DA$3:$DE$1339),MATCH(ROWS(D$10:D204),COPIA!$DF$3:$DF$1339,0),COLUMN()-1),""))</f>
        <v/>
      </c>
      <c r="E204" s="9" t="str">
        <f ca="1">IF(IFERROR(INDEX((COPIA!$DA$3:$DE$1339),MATCH(ROWS(E$10:E204),COPIA!$DF$3:$DF$1339,0),COLUMN()-1),"")=0,"",IFERROR(INDEX((COPIA!$DA$3:$DE$1339),MATCH(ROWS(E$10:E204),COPIA!$DF$3:$DF$1339,0),COLUMN()-1),""))</f>
        <v/>
      </c>
      <c r="F204" s="6" t="str">
        <f ca="1">IF(IFERROR(INDEX((COPIA!$DA$3:$DE$1339),MATCH(ROWS(F$10:F204),COPIA!$DF$3:$DF$1339,0),COLUMN()-1),"")=0,"",IFERROR(INDEX((COPIA!$DA$3:$DE$1339),MATCH(ROWS(F$10:F204),COPIA!$DF$3:$DF$1339,0),COLUMN()-1),""))</f>
        <v/>
      </c>
      <c r="G204" s="12"/>
    </row>
    <row r="205" spans="1:7" x14ac:dyDescent="0.3">
      <c r="A205" s="60" t="str">
        <f ca="1">COPIA!AC198</f>
        <v>RESI SU ACQUISTI</v>
      </c>
      <c r="B205" s="10" t="str">
        <f ca="1">IF(IFERROR(INDEX((COPIA!$DA$3:$DE$1339),MATCH(ROWS(B$10:B205),COPIA!$DF$3:$DF$1339,0),COLUMN()-1),"")&gt;=1,IFERROR(INDEX((COPIA!$DA$3:$DE$1339),MATCH(ROWS(B$10:B205),COPIA!$DF$3:$DF$1339,0),COLUMN()-1),""),"")</f>
        <v/>
      </c>
      <c r="C205" s="5" t="str">
        <f ca="1">SUBSTITUTE(IFERROR(INDEX((COPIA!$DA$3:$DE$1339),MATCH(ROWS(C$10:C205),COPIA!$DF$3:$DF$1339,0),COLUMN()-1),""),"MASTRO","")</f>
        <v/>
      </c>
      <c r="D205" s="136" t="str">
        <f ca="1">IF(IFERROR(INDEX((COPIA!$DA$3:$DE$1339),MATCH(ROWS(D$10:D205),COPIA!$DF$3:$DF$1339,0),COLUMN()-1),"")=0,"",IFERROR(INDEX((COPIA!$DA$3:$DE$1339),MATCH(ROWS(D$10:D205),COPIA!$DF$3:$DF$1339,0),COLUMN()-1),""))</f>
        <v/>
      </c>
      <c r="E205" s="9" t="str">
        <f ca="1">IF(IFERROR(INDEX((COPIA!$DA$3:$DE$1339),MATCH(ROWS(E$10:E205),COPIA!$DF$3:$DF$1339,0),COLUMN()-1),"")=0,"",IFERROR(INDEX((COPIA!$DA$3:$DE$1339),MATCH(ROWS(E$10:E205),COPIA!$DF$3:$DF$1339,0),COLUMN()-1),""))</f>
        <v/>
      </c>
      <c r="F205" s="6" t="str">
        <f ca="1">IF(IFERROR(INDEX((COPIA!$DA$3:$DE$1339),MATCH(ROWS(F$10:F205),COPIA!$DF$3:$DF$1339,0),COLUMN()-1),"")=0,"",IFERROR(INDEX((COPIA!$DA$3:$DE$1339),MATCH(ROWS(F$10:F205),COPIA!$DF$3:$DF$1339,0),COLUMN()-1),""))</f>
        <v/>
      </c>
      <c r="G205" s="12"/>
    </row>
    <row r="206" spans="1:7" x14ac:dyDescent="0.3">
      <c r="A206" s="60" t="str">
        <f ca="1">COPIA!AC199</f>
        <v>RIBASSI E ABBUONI ATTIVI</v>
      </c>
      <c r="B206" s="10" t="str">
        <f ca="1">IF(IFERROR(INDEX((COPIA!$DA$3:$DE$1339),MATCH(ROWS(B$10:B206),COPIA!$DF$3:$DF$1339,0),COLUMN()-1),"")&gt;=1,IFERROR(INDEX((COPIA!$DA$3:$DE$1339),MATCH(ROWS(B$10:B206),COPIA!$DF$3:$DF$1339,0),COLUMN()-1),""),"")</f>
        <v/>
      </c>
      <c r="C206" s="5" t="str">
        <f ca="1">SUBSTITUTE(IFERROR(INDEX((COPIA!$DA$3:$DE$1339),MATCH(ROWS(C$10:C206),COPIA!$DF$3:$DF$1339,0),COLUMN()-1),""),"MASTRO","")</f>
        <v/>
      </c>
      <c r="D206" s="136" t="str">
        <f ca="1">IF(IFERROR(INDEX((COPIA!$DA$3:$DE$1339),MATCH(ROWS(D$10:D206),COPIA!$DF$3:$DF$1339,0),COLUMN()-1),"")=0,"",IFERROR(INDEX((COPIA!$DA$3:$DE$1339),MATCH(ROWS(D$10:D206),COPIA!$DF$3:$DF$1339,0),COLUMN()-1),""))</f>
        <v/>
      </c>
      <c r="E206" s="9" t="str">
        <f ca="1">IF(IFERROR(INDEX((COPIA!$DA$3:$DE$1339),MATCH(ROWS(E$10:E206),COPIA!$DF$3:$DF$1339,0),COLUMN()-1),"")=0,"",IFERROR(INDEX((COPIA!$DA$3:$DE$1339),MATCH(ROWS(E$10:E206),COPIA!$DF$3:$DF$1339,0),COLUMN()-1),""))</f>
        <v/>
      </c>
      <c r="F206" s="6" t="str">
        <f ca="1">IF(IFERROR(INDEX((COPIA!$DA$3:$DE$1339),MATCH(ROWS(F$10:F206),COPIA!$DF$3:$DF$1339,0),COLUMN()-1),"")=0,"",IFERROR(INDEX((COPIA!$DA$3:$DE$1339),MATCH(ROWS(F$10:F206),COPIA!$DF$3:$DF$1339,0),COLUMN()-1),""))</f>
        <v/>
      </c>
      <c r="G206" s="12"/>
    </row>
    <row r="207" spans="1:7" x14ac:dyDescent="0.3">
      <c r="A207" s="60" t="str">
        <f ca="1">COPIA!AC200</f>
        <v>PREMI SU ACQUISTI</v>
      </c>
      <c r="B207" s="10" t="str">
        <f ca="1">IF(IFERROR(INDEX((COPIA!$DA$3:$DE$1339),MATCH(ROWS(B$10:B207),COPIA!$DF$3:$DF$1339,0),COLUMN()-1),"")&gt;=1,IFERROR(INDEX((COPIA!$DA$3:$DE$1339),MATCH(ROWS(B$10:B207),COPIA!$DF$3:$DF$1339,0),COLUMN()-1),""),"")</f>
        <v/>
      </c>
      <c r="C207" s="5" t="str">
        <f ca="1">SUBSTITUTE(IFERROR(INDEX((COPIA!$DA$3:$DE$1339),MATCH(ROWS(C$10:C207),COPIA!$DF$3:$DF$1339,0),COLUMN()-1),""),"MASTRO","")</f>
        <v/>
      </c>
      <c r="D207" s="136" t="str">
        <f ca="1">IF(IFERROR(INDEX((COPIA!$DA$3:$DE$1339),MATCH(ROWS(D$10:D207),COPIA!$DF$3:$DF$1339,0),COLUMN()-1),"")=0,"",IFERROR(INDEX((COPIA!$DA$3:$DE$1339),MATCH(ROWS(D$10:D207),COPIA!$DF$3:$DF$1339,0),COLUMN()-1),""))</f>
        <v/>
      </c>
      <c r="E207" s="9" t="str">
        <f ca="1">IF(IFERROR(INDEX((COPIA!$DA$3:$DE$1339),MATCH(ROWS(E$10:E207),COPIA!$DF$3:$DF$1339,0),COLUMN()-1),"")=0,"",IFERROR(INDEX((COPIA!$DA$3:$DE$1339),MATCH(ROWS(E$10:E207),COPIA!$DF$3:$DF$1339,0),COLUMN()-1),""))</f>
        <v/>
      </c>
      <c r="F207" s="6" t="str">
        <f ca="1">IF(IFERROR(INDEX((COPIA!$DA$3:$DE$1339),MATCH(ROWS(F$10:F207),COPIA!$DF$3:$DF$1339,0),COLUMN()-1),"")=0,"",IFERROR(INDEX((COPIA!$DA$3:$DE$1339),MATCH(ROWS(F$10:F207),COPIA!$DF$3:$DF$1339,0),COLUMN()-1),""))</f>
        <v/>
      </c>
      <c r="G207" s="12"/>
    </row>
    <row r="208" spans="1:7" x14ac:dyDescent="0.3">
      <c r="A208" s="60" t="str">
        <f ca="1">COPIA!AC201</f>
        <v>COSTI DI TRASPORTO</v>
      </c>
      <c r="B208" s="10" t="str">
        <f ca="1">IF(IFERROR(INDEX((COPIA!$DA$3:$DE$1339),MATCH(ROWS(B$10:B208),COPIA!$DF$3:$DF$1339,0),COLUMN()-1),"")&gt;=1,IFERROR(INDEX((COPIA!$DA$3:$DE$1339),MATCH(ROWS(B$10:B208),COPIA!$DF$3:$DF$1339,0),COLUMN()-1),""),"")</f>
        <v/>
      </c>
      <c r="C208" s="5" t="str">
        <f ca="1">SUBSTITUTE(IFERROR(INDEX((COPIA!$DA$3:$DE$1339),MATCH(ROWS(C$10:C208),COPIA!$DF$3:$DF$1339,0),COLUMN()-1),""),"MASTRO","")</f>
        <v/>
      </c>
      <c r="D208" s="136" t="str">
        <f ca="1">IF(IFERROR(INDEX((COPIA!$DA$3:$DE$1339),MATCH(ROWS(D$10:D208),COPIA!$DF$3:$DF$1339,0),COLUMN()-1),"")=0,"",IFERROR(INDEX((COPIA!$DA$3:$DE$1339),MATCH(ROWS(D$10:D208),COPIA!$DF$3:$DF$1339,0),COLUMN()-1),""))</f>
        <v/>
      </c>
      <c r="E208" s="9" t="str">
        <f ca="1">IF(IFERROR(INDEX((COPIA!$DA$3:$DE$1339),MATCH(ROWS(E$10:E208),COPIA!$DF$3:$DF$1339,0),COLUMN()-1),"")=0,"",IFERROR(INDEX((COPIA!$DA$3:$DE$1339),MATCH(ROWS(E$10:E208),COPIA!$DF$3:$DF$1339,0),COLUMN()-1),""))</f>
        <v/>
      </c>
      <c r="F208" s="6" t="str">
        <f ca="1">IF(IFERROR(INDEX((COPIA!$DA$3:$DE$1339),MATCH(ROWS(F$10:F208),COPIA!$DF$3:$DF$1339,0),COLUMN()-1),"")=0,"",IFERROR(INDEX((COPIA!$DA$3:$DE$1339),MATCH(ROWS(F$10:F208),COPIA!$DF$3:$DF$1339,0),COLUMN()-1),""))</f>
        <v/>
      </c>
    </row>
    <row r="209" spans="1:6" x14ac:dyDescent="0.3">
      <c r="A209" s="60" t="str">
        <f ca="1">COPIA!AC202</f>
        <v>COSTI PER ENERGIA</v>
      </c>
      <c r="B209" s="10" t="str">
        <f ca="1">IF(IFERROR(INDEX((COPIA!$DA$3:$DE$1339),MATCH(ROWS(B$10:B209),COPIA!$DF$3:$DF$1339,0),COLUMN()-1),"")&gt;=1,IFERROR(INDEX((COPIA!$DA$3:$DE$1339),MATCH(ROWS(B$10:B209),COPIA!$DF$3:$DF$1339,0),COLUMN()-1),""),"")</f>
        <v/>
      </c>
      <c r="C209" s="5" t="str">
        <f ca="1">SUBSTITUTE(IFERROR(INDEX((COPIA!$DA$3:$DE$1339),MATCH(ROWS(C$10:C209),COPIA!$DF$3:$DF$1339,0),COLUMN()-1),""),"MASTRO","")</f>
        <v/>
      </c>
      <c r="D209" s="136" t="str">
        <f ca="1">IF(IFERROR(INDEX((COPIA!$DA$3:$DE$1339),MATCH(ROWS(D$10:D209),COPIA!$DF$3:$DF$1339,0),COLUMN()-1),"")=0,"",IFERROR(INDEX((COPIA!$DA$3:$DE$1339),MATCH(ROWS(D$10:D209),COPIA!$DF$3:$DF$1339,0),COLUMN()-1),""))</f>
        <v/>
      </c>
      <c r="E209" s="9" t="str">
        <f ca="1">IF(IFERROR(INDEX((COPIA!$DA$3:$DE$1339),MATCH(ROWS(E$10:E209),COPIA!$DF$3:$DF$1339,0),COLUMN()-1),"")=0,"",IFERROR(INDEX((COPIA!$DA$3:$DE$1339),MATCH(ROWS(E$10:E209),COPIA!$DF$3:$DF$1339,0),COLUMN()-1),""))</f>
        <v/>
      </c>
      <c r="F209" s="6" t="str">
        <f ca="1">IF(IFERROR(INDEX((COPIA!$DA$3:$DE$1339),MATCH(ROWS(F$10:F209),COPIA!$DF$3:$DF$1339,0),COLUMN()-1),"")=0,"",IFERROR(INDEX((COPIA!$DA$3:$DE$1339),MATCH(ROWS(F$10:F209),COPIA!$DF$3:$DF$1339,0),COLUMN()-1),""))</f>
        <v/>
      </c>
    </row>
    <row r="210" spans="1:6" x14ac:dyDescent="0.3">
      <c r="A210" s="60" t="str">
        <f ca="1">COPIA!AC203</f>
        <v>PUBBLICITÀ</v>
      </c>
      <c r="B210" s="10" t="str">
        <f ca="1">IF(IFERROR(INDEX((COPIA!$DA$3:$DE$1339),MATCH(ROWS(B$10:B210),COPIA!$DF$3:$DF$1339,0),COLUMN()-1),"")&gt;=1,IFERROR(INDEX((COPIA!$DA$3:$DE$1339),MATCH(ROWS(B$10:B210),COPIA!$DF$3:$DF$1339,0),COLUMN()-1),""),"")</f>
        <v/>
      </c>
      <c r="C210" s="5" t="str">
        <f ca="1">SUBSTITUTE(IFERROR(INDEX((COPIA!$DA$3:$DE$1339),MATCH(ROWS(C$10:C210),COPIA!$DF$3:$DF$1339,0),COLUMN()-1),""),"MASTRO","")</f>
        <v/>
      </c>
      <c r="D210" s="136" t="str">
        <f ca="1">IF(IFERROR(INDEX((COPIA!$DA$3:$DE$1339),MATCH(ROWS(D$10:D210),COPIA!$DF$3:$DF$1339,0),COLUMN()-1),"")=0,"",IFERROR(INDEX((COPIA!$DA$3:$DE$1339),MATCH(ROWS(D$10:D210),COPIA!$DF$3:$DF$1339,0),COLUMN()-1),""))</f>
        <v/>
      </c>
      <c r="E210" s="9" t="str">
        <f ca="1">IF(IFERROR(INDEX((COPIA!$DA$3:$DE$1339),MATCH(ROWS(E$10:E210),COPIA!$DF$3:$DF$1339,0),COLUMN()-1),"")=0,"",IFERROR(INDEX((COPIA!$DA$3:$DE$1339),MATCH(ROWS(E$10:E210),COPIA!$DF$3:$DF$1339,0),COLUMN()-1),""))</f>
        <v/>
      </c>
      <c r="F210" s="6" t="str">
        <f ca="1">IF(IFERROR(INDEX((COPIA!$DA$3:$DE$1339),MATCH(ROWS(F$10:F210),COPIA!$DF$3:$DF$1339,0),COLUMN()-1),"")=0,"",IFERROR(INDEX((COPIA!$DA$3:$DE$1339),MATCH(ROWS(F$10:F210),COPIA!$DF$3:$DF$1339,0),COLUMN()-1),""))</f>
        <v/>
      </c>
    </row>
    <row r="211" spans="1:6" x14ac:dyDescent="0.3">
      <c r="A211" s="60" t="str">
        <f ca="1">COPIA!AC204</f>
        <v>CONSULENZE</v>
      </c>
      <c r="B211" s="10" t="str">
        <f ca="1">IF(IFERROR(INDEX((COPIA!$DA$3:$DE$1339),MATCH(ROWS(B$10:B211),COPIA!$DF$3:$DF$1339,0),COLUMN()-1),"")&gt;=1,IFERROR(INDEX((COPIA!$DA$3:$DE$1339),MATCH(ROWS(B$10:B211),COPIA!$DF$3:$DF$1339,0),COLUMN()-1),""),"")</f>
        <v/>
      </c>
      <c r="C211" s="5" t="str">
        <f ca="1">SUBSTITUTE(IFERROR(INDEX((COPIA!$DA$3:$DE$1339),MATCH(ROWS(C$10:C211),COPIA!$DF$3:$DF$1339,0),COLUMN()-1),""),"MASTRO","")</f>
        <v/>
      </c>
      <c r="D211" s="136" t="str">
        <f ca="1">IF(IFERROR(INDEX((COPIA!$DA$3:$DE$1339),MATCH(ROWS(D$10:D211),COPIA!$DF$3:$DF$1339,0),COLUMN()-1),"")=0,"",IFERROR(INDEX((COPIA!$DA$3:$DE$1339),MATCH(ROWS(D$10:D211),COPIA!$DF$3:$DF$1339,0),COLUMN()-1),""))</f>
        <v/>
      </c>
      <c r="E211" s="9" t="str">
        <f ca="1">IF(IFERROR(INDEX((COPIA!$DA$3:$DE$1339),MATCH(ROWS(E$10:E211),COPIA!$DF$3:$DF$1339,0),COLUMN()-1),"")=0,"",IFERROR(INDEX((COPIA!$DA$3:$DE$1339),MATCH(ROWS(E$10:E211),COPIA!$DF$3:$DF$1339,0),COLUMN()-1),""))</f>
        <v/>
      </c>
      <c r="F211" s="6" t="str">
        <f ca="1">IF(IFERROR(INDEX((COPIA!$DA$3:$DE$1339),MATCH(ROWS(F$10:F211),COPIA!$DF$3:$DF$1339,0),COLUMN()-1),"")=0,"",IFERROR(INDEX((COPIA!$DA$3:$DE$1339),MATCH(ROWS(F$10:F211),COPIA!$DF$3:$DF$1339,0),COLUMN()-1),""))</f>
        <v/>
      </c>
    </row>
    <row r="212" spans="1:6" x14ac:dyDescent="0.3">
      <c r="A212" s="60" t="str">
        <f ca="1">COPIA!AC205</f>
        <v>COSTI TELEFONICI</v>
      </c>
      <c r="B212" s="10" t="str">
        <f ca="1">IF(IFERROR(INDEX((COPIA!$DA$3:$DE$1339),MATCH(ROWS(B$10:B212),COPIA!$DF$3:$DF$1339,0),COLUMN()-1),"")&gt;=1,IFERROR(INDEX((COPIA!$DA$3:$DE$1339),MATCH(ROWS(B$10:B212),COPIA!$DF$3:$DF$1339,0),COLUMN()-1),""),"")</f>
        <v/>
      </c>
      <c r="C212" s="5" t="str">
        <f ca="1">SUBSTITUTE(IFERROR(INDEX((COPIA!$DA$3:$DE$1339),MATCH(ROWS(C$10:C212),COPIA!$DF$3:$DF$1339,0),COLUMN()-1),""),"MASTRO","")</f>
        <v/>
      </c>
      <c r="D212" s="136" t="str">
        <f ca="1">IF(IFERROR(INDEX((COPIA!$DA$3:$DE$1339),MATCH(ROWS(D$10:D212),COPIA!$DF$3:$DF$1339,0),COLUMN()-1),"")=0,"",IFERROR(INDEX((COPIA!$DA$3:$DE$1339),MATCH(ROWS(D$10:D212),COPIA!$DF$3:$DF$1339,0),COLUMN()-1),""))</f>
        <v/>
      </c>
      <c r="E212" s="9" t="str">
        <f ca="1">IF(IFERROR(INDEX((COPIA!$DA$3:$DE$1339),MATCH(ROWS(E$10:E212),COPIA!$DF$3:$DF$1339,0),COLUMN()-1),"")=0,"",IFERROR(INDEX((COPIA!$DA$3:$DE$1339),MATCH(ROWS(E$10:E212),COPIA!$DF$3:$DF$1339,0),COLUMN()-1),""))</f>
        <v/>
      </c>
      <c r="F212" s="6" t="str">
        <f ca="1">IF(IFERROR(INDEX((COPIA!$DA$3:$DE$1339),MATCH(ROWS(F$10:F212),COPIA!$DF$3:$DF$1339,0),COLUMN()-1),"")=0,"",IFERROR(INDEX((COPIA!$DA$3:$DE$1339),MATCH(ROWS(F$10:F212),COPIA!$DF$3:$DF$1339,0),COLUMN()-1),""))</f>
        <v/>
      </c>
    </row>
    <row r="213" spans="1:6" x14ac:dyDescent="0.3">
      <c r="A213" s="60" t="str">
        <f ca="1">COPIA!AC206</f>
        <v>COSTI DI VIGILANZA</v>
      </c>
      <c r="B213" s="10" t="str">
        <f ca="1">IF(IFERROR(INDEX((COPIA!$DA$3:$DE$1339),MATCH(ROWS(B$10:B213),COPIA!$DF$3:$DF$1339,0),COLUMN()-1),"")&gt;=1,IFERROR(INDEX((COPIA!$DA$3:$DE$1339),MATCH(ROWS(B$10:B213),COPIA!$DF$3:$DF$1339,0),COLUMN()-1),""),"")</f>
        <v/>
      </c>
      <c r="C213" s="5" t="str">
        <f ca="1">SUBSTITUTE(IFERROR(INDEX((COPIA!$DA$3:$DE$1339),MATCH(ROWS(C$10:C213),COPIA!$DF$3:$DF$1339,0),COLUMN()-1),""),"MASTRO","")</f>
        <v/>
      </c>
      <c r="D213" s="136" t="str">
        <f ca="1">IF(IFERROR(INDEX((COPIA!$DA$3:$DE$1339),MATCH(ROWS(D$10:D213),COPIA!$DF$3:$DF$1339,0),COLUMN()-1),"")=0,"",IFERROR(INDEX((COPIA!$DA$3:$DE$1339),MATCH(ROWS(D$10:D213),COPIA!$DF$3:$DF$1339,0),COLUMN()-1),""))</f>
        <v/>
      </c>
      <c r="E213" s="9" t="str">
        <f ca="1">IF(IFERROR(INDEX((COPIA!$DA$3:$DE$1339),MATCH(ROWS(E$10:E213),COPIA!$DF$3:$DF$1339,0),COLUMN()-1),"")=0,"",IFERROR(INDEX((COPIA!$DA$3:$DE$1339),MATCH(ROWS(E$10:E213),COPIA!$DF$3:$DF$1339,0),COLUMN()-1),""))</f>
        <v/>
      </c>
      <c r="F213" s="6" t="str">
        <f ca="1">IF(IFERROR(INDEX((COPIA!$DA$3:$DE$1339),MATCH(ROWS(F$10:F213),COPIA!$DF$3:$DF$1339,0),COLUMN()-1),"")=0,"",IFERROR(INDEX((COPIA!$DA$3:$DE$1339),MATCH(ROWS(F$10:F213),COPIA!$DF$3:$DF$1339,0),COLUMN()-1),""))</f>
        <v/>
      </c>
    </row>
    <row r="214" spans="1:6" x14ac:dyDescent="0.3">
      <c r="A214" s="60" t="str">
        <f ca="1">COPIA!AC207</f>
        <v>COSTI POSTALI</v>
      </c>
      <c r="B214" s="10" t="str">
        <f ca="1">IF(IFERROR(INDEX((COPIA!$DA$3:$DE$1339),MATCH(ROWS(B$10:B214),COPIA!$DF$3:$DF$1339,0),COLUMN()-1),"")&gt;=1,IFERROR(INDEX((COPIA!$DA$3:$DE$1339),MATCH(ROWS(B$10:B214),COPIA!$DF$3:$DF$1339,0),COLUMN()-1),""),"")</f>
        <v/>
      </c>
      <c r="C214" s="5" t="str">
        <f ca="1">SUBSTITUTE(IFERROR(INDEX((COPIA!$DA$3:$DE$1339),MATCH(ROWS(C$10:C214),COPIA!$DF$3:$DF$1339,0),COLUMN()-1),""),"MASTRO","")</f>
        <v/>
      </c>
      <c r="D214" s="136" t="str">
        <f ca="1">IF(IFERROR(INDEX((COPIA!$DA$3:$DE$1339),MATCH(ROWS(D$10:D214),COPIA!$DF$3:$DF$1339,0),COLUMN()-1),"")=0,"",IFERROR(INDEX((COPIA!$DA$3:$DE$1339),MATCH(ROWS(D$10:D214),COPIA!$DF$3:$DF$1339,0),COLUMN()-1),""))</f>
        <v/>
      </c>
      <c r="E214" s="9" t="str">
        <f ca="1">IF(IFERROR(INDEX((COPIA!$DA$3:$DE$1339),MATCH(ROWS(E$10:E214),COPIA!$DF$3:$DF$1339,0),COLUMN()-1),"")=0,"",IFERROR(INDEX((COPIA!$DA$3:$DE$1339),MATCH(ROWS(E$10:E214),COPIA!$DF$3:$DF$1339,0),COLUMN()-1),""))</f>
        <v/>
      </c>
      <c r="F214" s="6" t="str">
        <f ca="1">IF(IFERROR(INDEX((COPIA!$DA$3:$DE$1339),MATCH(ROWS(F$10:F214),COPIA!$DF$3:$DF$1339,0),COLUMN()-1),"")=0,"",IFERROR(INDEX((COPIA!$DA$3:$DE$1339),MATCH(ROWS(F$10:F214),COPIA!$DF$3:$DF$1339,0),COLUMN()-1),""))</f>
        <v/>
      </c>
    </row>
    <row r="215" spans="1:6" x14ac:dyDescent="0.3">
      <c r="A215" s="60" t="str">
        <f ca="1">COPIA!AC208</f>
        <v>ASSICURAZIONI</v>
      </c>
      <c r="B215" s="10" t="str">
        <f ca="1">IF(IFERROR(INDEX((COPIA!$DA$3:$DE$1339),MATCH(ROWS(B$10:B215),COPIA!$DF$3:$DF$1339,0),COLUMN()-1),"")&gt;=1,IFERROR(INDEX((COPIA!$DA$3:$DE$1339),MATCH(ROWS(B$10:B215),COPIA!$DF$3:$DF$1339,0),COLUMN()-1),""),"")</f>
        <v/>
      </c>
      <c r="C215" s="5" t="str">
        <f ca="1">SUBSTITUTE(IFERROR(INDEX((COPIA!$DA$3:$DE$1339),MATCH(ROWS(C$10:C215),COPIA!$DF$3:$DF$1339,0),COLUMN()-1),""),"MASTRO","")</f>
        <v/>
      </c>
      <c r="D215" s="136" t="str">
        <f ca="1">IF(IFERROR(INDEX((COPIA!$DA$3:$DE$1339),MATCH(ROWS(D$10:D215),COPIA!$DF$3:$DF$1339,0),COLUMN()-1),"")=0,"",IFERROR(INDEX((COPIA!$DA$3:$DE$1339),MATCH(ROWS(D$10:D215),COPIA!$DF$3:$DF$1339,0),COLUMN()-1),""))</f>
        <v/>
      </c>
      <c r="E215" s="9" t="str">
        <f ca="1">IF(IFERROR(INDEX((COPIA!$DA$3:$DE$1339),MATCH(ROWS(E$10:E215),COPIA!$DF$3:$DF$1339,0),COLUMN()-1),"")=0,"",IFERROR(INDEX((COPIA!$DA$3:$DE$1339),MATCH(ROWS(E$10:E215),COPIA!$DF$3:$DF$1339,0),COLUMN()-1),""))</f>
        <v/>
      </c>
      <c r="F215" s="6" t="str">
        <f ca="1">IF(IFERROR(INDEX((COPIA!$DA$3:$DE$1339),MATCH(ROWS(F$10:F215),COPIA!$DF$3:$DF$1339,0),COLUMN()-1),"")=0,"",IFERROR(INDEX((COPIA!$DA$3:$DE$1339),MATCH(ROWS(F$10:F215),COPIA!$DF$3:$DF$1339,0),COLUMN()-1),""))</f>
        <v/>
      </c>
    </row>
    <row r="216" spans="1:6" x14ac:dyDescent="0.3">
      <c r="A216" s="60" t="str">
        <f ca="1">COPIA!AC209</f>
        <v>COSTI PER I LOCALI</v>
      </c>
      <c r="B216" s="10" t="str">
        <f ca="1">IF(IFERROR(INDEX((COPIA!$DA$3:$DE$1339),MATCH(ROWS(B$10:B216),COPIA!$DF$3:$DF$1339,0),COLUMN()-1),"")&gt;=1,IFERROR(INDEX((COPIA!$DA$3:$DE$1339),MATCH(ROWS(B$10:B216),COPIA!$DF$3:$DF$1339,0),COLUMN()-1),""),"")</f>
        <v/>
      </c>
      <c r="C216" s="5" t="str">
        <f ca="1">SUBSTITUTE(IFERROR(INDEX((COPIA!$DA$3:$DE$1339),MATCH(ROWS(C$10:C216),COPIA!$DF$3:$DF$1339,0),COLUMN()-1),""),"MASTRO","")</f>
        <v/>
      </c>
      <c r="D216" s="136" t="str">
        <f ca="1">IF(IFERROR(INDEX((COPIA!$DA$3:$DE$1339),MATCH(ROWS(D$10:D216),COPIA!$DF$3:$DF$1339,0),COLUMN()-1),"")=0,"",IFERROR(INDEX((COPIA!$DA$3:$DE$1339),MATCH(ROWS(D$10:D216),COPIA!$DF$3:$DF$1339,0),COLUMN()-1),""))</f>
        <v/>
      </c>
      <c r="E216" s="9" t="str">
        <f ca="1">IF(IFERROR(INDEX((COPIA!$DA$3:$DE$1339),MATCH(ROWS(E$10:E216),COPIA!$DF$3:$DF$1339,0),COLUMN()-1),"")=0,"",IFERROR(INDEX((COPIA!$DA$3:$DE$1339),MATCH(ROWS(E$10:E216),COPIA!$DF$3:$DF$1339,0),COLUMN()-1),""))</f>
        <v/>
      </c>
      <c r="F216" s="6" t="str">
        <f ca="1">IF(IFERROR(INDEX((COPIA!$DA$3:$DE$1339),MATCH(ROWS(F$10:F216),COPIA!$DF$3:$DF$1339,0),COLUMN()-1),"")=0,"",IFERROR(INDEX((COPIA!$DA$3:$DE$1339),MATCH(ROWS(F$10:F216),COPIA!$DF$3:$DF$1339,0),COLUMN()-1),""))</f>
        <v/>
      </c>
    </row>
    <row r="217" spans="1:6" x14ac:dyDescent="0.3">
      <c r="A217" s="60" t="str">
        <f ca="1">COPIA!AC210</f>
        <v>MANUTENZIONI E RIPARAZIONI</v>
      </c>
      <c r="B217" s="10" t="str">
        <f ca="1">IF(IFERROR(INDEX((COPIA!$DA$3:$DE$1339),MATCH(ROWS(B$10:B217),COPIA!$DF$3:$DF$1339,0),COLUMN()-1),"")&gt;=1,IFERROR(INDEX((COPIA!$DA$3:$DE$1339),MATCH(ROWS(B$10:B217),COPIA!$DF$3:$DF$1339,0),COLUMN()-1),""),"")</f>
        <v/>
      </c>
      <c r="C217" s="5" t="str">
        <f ca="1">SUBSTITUTE(IFERROR(INDEX((COPIA!$DA$3:$DE$1339),MATCH(ROWS(C$10:C217),COPIA!$DF$3:$DF$1339,0),COLUMN()-1),""),"MASTRO","")</f>
        <v/>
      </c>
      <c r="D217" s="136" t="str">
        <f ca="1">IF(IFERROR(INDEX((COPIA!$DA$3:$DE$1339),MATCH(ROWS(D$10:D217),COPIA!$DF$3:$DF$1339,0),COLUMN()-1),"")=0,"",IFERROR(INDEX((COPIA!$DA$3:$DE$1339),MATCH(ROWS(D$10:D217),COPIA!$DF$3:$DF$1339,0),COLUMN()-1),""))</f>
        <v/>
      </c>
      <c r="E217" s="9" t="str">
        <f ca="1">IF(IFERROR(INDEX((COPIA!$DA$3:$DE$1339),MATCH(ROWS(E$10:E217),COPIA!$DF$3:$DF$1339,0),COLUMN()-1),"")=0,"",IFERROR(INDEX((COPIA!$DA$3:$DE$1339),MATCH(ROWS(E$10:E217),COPIA!$DF$3:$DF$1339,0),COLUMN()-1),""))</f>
        <v/>
      </c>
      <c r="F217" s="6" t="str">
        <f ca="1">IF(IFERROR(INDEX((COPIA!$DA$3:$DE$1339),MATCH(ROWS(F$10:F217),COPIA!$DF$3:$DF$1339,0),COLUMN()-1),"")=0,"",IFERROR(INDEX((COPIA!$DA$3:$DE$1339),MATCH(ROWS(F$10:F217),COPIA!$DF$3:$DF$1339,0),COLUMN()-1),""))</f>
        <v/>
      </c>
    </row>
    <row r="218" spans="1:6" x14ac:dyDescent="0.3">
      <c r="A218" s="60" t="str">
        <f ca="1">COPIA!AC211</f>
        <v>COSTI DI ETICHETTATURA</v>
      </c>
      <c r="B218" s="10" t="str">
        <f ca="1">IF(IFERROR(INDEX((COPIA!$DA$3:$DE$1339),MATCH(ROWS(B$10:B218),COPIA!$DF$3:$DF$1339,0),COLUMN()-1),"")&gt;=1,IFERROR(INDEX((COPIA!$DA$3:$DE$1339),MATCH(ROWS(B$10:B218),COPIA!$DF$3:$DF$1339,0),COLUMN()-1),""),"")</f>
        <v/>
      </c>
      <c r="C218" s="5" t="str">
        <f ca="1">SUBSTITUTE(IFERROR(INDEX((COPIA!$DA$3:$DE$1339),MATCH(ROWS(C$10:C218),COPIA!$DF$3:$DF$1339,0),COLUMN()-1),""),"MASTRO","")</f>
        <v/>
      </c>
      <c r="D218" s="136" t="str">
        <f ca="1">IF(IFERROR(INDEX((COPIA!$DA$3:$DE$1339),MATCH(ROWS(D$10:D218),COPIA!$DF$3:$DF$1339,0),COLUMN()-1),"")=0,"",IFERROR(INDEX((COPIA!$DA$3:$DE$1339),MATCH(ROWS(D$10:D218),COPIA!$DF$3:$DF$1339,0),COLUMN()-1),""))</f>
        <v/>
      </c>
      <c r="E218" s="9" t="str">
        <f ca="1">IF(IFERROR(INDEX((COPIA!$DA$3:$DE$1339),MATCH(ROWS(E$10:E218),COPIA!$DF$3:$DF$1339,0),COLUMN()-1),"")=0,"",IFERROR(INDEX((COPIA!$DA$3:$DE$1339),MATCH(ROWS(E$10:E218),COPIA!$DF$3:$DF$1339,0),COLUMN()-1),""))</f>
        <v/>
      </c>
      <c r="F218" s="6" t="str">
        <f ca="1">IF(IFERROR(INDEX((COPIA!$DA$3:$DE$1339),MATCH(ROWS(F$10:F218),COPIA!$DF$3:$DF$1339,0),COLUMN()-1),"")=0,"",IFERROR(INDEX((COPIA!$DA$3:$DE$1339),MATCH(ROWS(F$10:F218),COPIA!$DF$3:$DF$1339,0),COLUMN()-1),""))</f>
        <v/>
      </c>
    </row>
    <row r="219" spans="1:6" x14ac:dyDescent="0.3">
      <c r="A219" s="60" t="str">
        <f ca="1">COPIA!AC212</f>
        <v>LAVORAZIONI PRESSO TERZI</v>
      </c>
      <c r="B219" s="10" t="str">
        <f ca="1">IF(IFERROR(INDEX((COPIA!$DA$3:$DE$1339),MATCH(ROWS(B$10:B219),COPIA!$DF$3:$DF$1339,0),COLUMN()-1),"")&gt;=1,IFERROR(INDEX((COPIA!$DA$3:$DE$1339),MATCH(ROWS(B$10:B219),COPIA!$DF$3:$DF$1339,0),COLUMN()-1),""),"")</f>
        <v/>
      </c>
      <c r="C219" s="5" t="str">
        <f ca="1">SUBSTITUTE(IFERROR(INDEX((COPIA!$DA$3:$DE$1339),MATCH(ROWS(C$10:C219),COPIA!$DF$3:$DF$1339,0),COLUMN()-1),""),"MASTRO","")</f>
        <v/>
      </c>
      <c r="D219" s="136" t="str">
        <f ca="1">IF(IFERROR(INDEX((COPIA!$DA$3:$DE$1339),MATCH(ROWS(D$10:D219),COPIA!$DF$3:$DF$1339,0),COLUMN()-1),"")=0,"",IFERROR(INDEX((COPIA!$DA$3:$DE$1339),MATCH(ROWS(D$10:D219),COPIA!$DF$3:$DF$1339,0),COLUMN()-1),""))</f>
        <v/>
      </c>
      <c r="E219" s="9" t="str">
        <f ca="1">IF(IFERROR(INDEX((COPIA!$DA$3:$DE$1339),MATCH(ROWS(E$10:E219),COPIA!$DF$3:$DF$1339,0),COLUMN()-1),"")=0,"",IFERROR(INDEX((COPIA!$DA$3:$DE$1339),MATCH(ROWS(E$10:E219),COPIA!$DF$3:$DF$1339,0),COLUMN()-1),""))</f>
        <v/>
      </c>
      <c r="F219" s="6" t="str">
        <f ca="1">IF(IFERROR(INDEX((COPIA!$DA$3:$DE$1339),MATCH(ROWS(F$10:F219),COPIA!$DF$3:$DF$1339,0),COLUMN()-1),"")=0,"",IFERROR(INDEX((COPIA!$DA$3:$DE$1339),MATCH(ROWS(F$10:F219),COPIA!$DF$3:$DF$1339,0),COLUMN()-1),""))</f>
        <v/>
      </c>
    </row>
    <row r="220" spans="1:6" x14ac:dyDescent="0.3">
      <c r="A220" s="60" t="str">
        <f ca="1">COPIA!AC213</f>
        <v>PROVVIGIONI PASSIVE</v>
      </c>
      <c r="B220" s="10" t="str">
        <f ca="1">IF(IFERROR(INDEX((COPIA!$DA$3:$DE$1339),MATCH(ROWS(B$10:B220),COPIA!$DF$3:$DF$1339,0),COLUMN()-1),"")&gt;=1,IFERROR(INDEX((COPIA!$DA$3:$DE$1339),MATCH(ROWS(B$10:B220),COPIA!$DF$3:$DF$1339,0),COLUMN()-1),""),"")</f>
        <v/>
      </c>
      <c r="C220" s="5" t="str">
        <f ca="1">SUBSTITUTE(IFERROR(INDEX((COPIA!$DA$3:$DE$1339),MATCH(ROWS(C$10:C220),COPIA!$DF$3:$DF$1339,0),COLUMN()-1),""),"MASTRO","")</f>
        <v/>
      </c>
      <c r="D220" s="136" t="str">
        <f ca="1">IF(IFERROR(INDEX((COPIA!$DA$3:$DE$1339),MATCH(ROWS(D$10:D220),COPIA!$DF$3:$DF$1339,0),COLUMN()-1),"")=0,"",IFERROR(INDEX((COPIA!$DA$3:$DE$1339),MATCH(ROWS(D$10:D220),COPIA!$DF$3:$DF$1339,0),COLUMN()-1),""))</f>
        <v/>
      </c>
      <c r="E220" s="9" t="str">
        <f ca="1">IF(IFERROR(INDEX((COPIA!$DA$3:$DE$1339),MATCH(ROWS(E$10:E220),COPIA!$DF$3:$DF$1339,0),COLUMN()-1),"")=0,"",IFERROR(INDEX((COPIA!$DA$3:$DE$1339),MATCH(ROWS(E$10:E220),COPIA!$DF$3:$DF$1339,0),COLUMN()-1),""))</f>
        <v/>
      </c>
      <c r="F220" s="6" t="str">
        <f ca="1">IF(IFERROR(INDEX((COPIA!$DA$3:$DE$1339),MATCH(ROWS(F$10:F220),COPIA!$DF$3:$DF$1339,0),COLUMN()-1),"")=0,"",IFERROR(INDEX((COPIA!$DA$3:$DE$1339),MATCH(ROWS(F$10:F220),COPIA!$DF$3:$DF$1339,0),COLUMN()-1),""))</f>
        <v/>
      </c>
    </row>
    <row r="221" spans="1:6" x14ac:dyDescent="0.3">
      <c r="A221" s="60" t="str">
        <f ca="1">COPIA!AC214</f>
        <v>COSTI DI INCASSO</v>
      </c>
      <c r="B221" s="10" t="str">
        <f ca="1">IF(IFERROR(INDEX((COPIA!$DA$3:$DE$1339),MATCH(ROWS(B$10:B221),COPIA!$DF$3:$DF$1339,0),COLUMN()-1),"")&gt;=1,IFERROR(INDEX((COPIA!$DA$3:$DE$1339),MATCH(ROWS(B$10:B221),COPIA!$DF$3:$DF$1339,0),COLUMN()-1),""),"")</f>
        <v/>
      </c>
      <c r="C221" s="5" t="str">
        <f ca="1">SUBSTITUTE(IFERROR(INDEX((COPIA!$DA$3:$DE$1339),MATCH(ROWS(C$10:C221),COPIA!$DF$3:$DF$1339,0),COLUMN()-1),""),"MASTRO","")</f>
        <v/>
      </c>
      <c r="D221" s="136" t="str">
        <f ca="1">IF(IFERROR(INDEX((COPIA!$DA$3:$DE$1339),MATCH(ROWS(D$10:D221),COPIA!$DF$3:$DF$1339,0),COLUMN()-1),"")=0,"",IFERROR(INDEX((COPIA!$DA$3:$DE$1339),MATCH(ROWS(D$10:D221),COPIA!$DF$3:$DF$1339,0),COLUMN()-1),""))</f>
        <v/>
      </c>
      <c r="E221" s="9" t="str">
        <f ca="1">IF(IFERROR(INDEX((COPIA!$DA$3:$DE$1339),MATCH(ROWS(E$10:E221),COPIA!$DF$3:$DF$1339,0),COLUMN()-1),"")=0,"",IFERROR(INDEX((COPIA!$DA$3:$DE$1339),MATCH(ROWS(E$10:E221),COPIA!$DF$3:$DF$1339,0),COLUMN()-1),""))</f>
        <v/>
      </c>
      <c r="F221" s="6" t="str">
        <f ca="1">IF(IFERROR(INDEX((COPIA!$DA$3:$DE$1339),MATCH(ROWS(F$10:F221),COPIA!$DF$3:$DF$1339,0),COLUMN()-1),"")=0,"",IFERROR(INDEX((COPIA!$DA$3:$DE$1339),MATCH(ROWS(F$10:F221),COPIA!$DF$3:$DF$1339,0),COLUMN()-1),""))</f>
        <v/>
      </c>
    </row>
    <row r="222" spans="1:6" x14ac:dyDescent="0.3">
      <c r="A222" s="60" t="str">
        <f ca="1">COPIA!AC215</f>
        <v>COMMISSIONI BANCARIE</v>
      </c>
      <c r="B222" s="10" t="str">
        <f ca="1">IF(IFERROR(INDEX((COPIA!$DA$3:$DE$1339),MATCH(ROWS(B$10:B222),COPIA!$DF$3:$DF$1339,0),COLUMN()-1),"")&gt;=1,IFERROR(INDEX((COPIA!$DA$3:$DE$1339),MATCH(ROWS(B$10:B222),COPIA!$DF$3:$DF$1339,0),COLUMN()-1),""),"")</f>
        <v/>
      </c>
      <c r="C222" s="5" t="str">
        <f ca="1">SUBSTITUTE(IFERROR(INDEX((COPIA!$DA$3:$DE$1339),MATCH(ROWS(C$10:C222),COPIA!$DF$3:$DF$1339,0),COLUMN()-1),""),"MASTRO","")</f>
        <v/>
      </c>
      <c r="D222" s="136" t="str">
        <f ca="1">IF(IFERROR(INDEX((COPIA!$DA$3:$DE$1339),MATCH(ROWS(D$10:D222),COPIA!$DF$3:$DF$1339,0),COLUMN()-1),"")=0,"",IFERROR(INDEX((COPIA!$DA$3:$DE$1339),MATCH(ROWS(D$10:D222),COPIA!$DF$3:$DF$1339,0),COLUMN()-1),""))</f>
        <v/>
      </c>
      <c r="E222" s="9" t="str">
        <f ca="1">IF(IFERROR(INDEX((COPIA!$DA$3:$DE$1339),MATCH(ROWS(E$10:E222),COPIA!$DF$3:$DF$1339,0),COLUMN()-1),"")=0,"",IFERROR(INDEX((COPIA!$DA$3:$DE$1339),MATCH(ROWS(E$10:E222),COPIA!$DF$3:$DF$1339,0),COLUMN()-1),""))</f>
        <v/>
      </c>
      <c r="F222" s="6" t="str">
        <f ca="1">IF(IFERROR(INDEX((COPIA!$DA$3:$DE$1339),MATCH(ROWS(F$10:F222),COPIA!$DF$3:$DF$1339,0),COLUMN()-1),"")=0,"",IFERROR(INDEX((COPIA!$DA$3:$DE$1339),MATCH(ROWS(F$10:F222),COPIA!$DF$3:$DF$1339,0),COLUMN()-1),""))</f>
        <v/>
      </c>
    </row>
    <row r="223" spans="1:6" x14ac:dyDescent="0.3">
      <c r="A223" s="60" t="str">
        <f ca="1">COPIA!AC216</f>
        <v>COSTI DI TENUTA C/C</v>
      </c>
      <c r="B223" s="10" t="str">
        <f ca="1">IF(IFERROR(INDEX((COPIA!$DA$3:$DE$1339),MATCH(ROWS(B$10:B223),COPIA!$DF$3:$DF$1339,0),COLUMN()-1),"")&gt;=1,IFERROR(INDEX((COPIA!$DA$3:$DE$1339),MATCH(ROWS(B$10:B223),COPIA!$DF$3:$DF$1339,0),COLUMN()-1),""),"")</f>
        <v/>
      </c>
      <c r="C223" s="5" t="str">
        <f ca="1">SUBSTITUTE(IFERROR(INDEX((COPIA!$DA$3:$DE$1339),MATCH(ROWS(C$10:C223),COPIA!$DF$3:$DF$1339,0),COLUMN()-1),""),"MASTRO","")</f>
        <v/>
      </c>
      <c r="D223" s="136" t="str">
        <f ca="1">IF(IFERROR(INDEX((COPIA!$DA$3:$DE$1339),MATCH(ROWS(D$10:D223),COPIA!$DF$3:$DF$1339,0),COLUMN()-1),"")=0,"",IFERROR(INDEX((COPIA!$DA$3:$DE$1339),MATCH(ROWS(D$10:D223),COPIA!$DF$3:$DF$1339,0),COLUMN()-1),""))</f>
        <v/>
      </c>
      <c r="E223" s="9" t="str">
        <f ca="1">IF(IFERROR(INDEX((COPIA!$DA$3:$DE$1339),MATCH(ROWS(E$10:E223),COPIA!$DF$3:$DF$1339,0),COLUMN()-1),"")=0,"",IFERROR(INDEX((COPIA!$DA$3:$DE$1339),MATCH(ROWS(E$10:E223),COPIA!$DF$3:$DF$1339,0),COLUMN()-1),""))</f>
        <v/>
      </c>
      <c r="F223" s="6" t="str">
        <f ca="1">IF(IFERROR(INDEX((COPIA!$DA$3:$DE$1339),MATCH(ROWS(F$10:F223),COPIA!$DF$3:$DF$1339,0),COLUMN()-1),"")=0,"",IFERROR(INDEX((COPIA!$DA$3:$DE$1339),MATCH(ROWS(F$10:F223),COPIA!$DF$3:$DF$1339,0),COLUMN()-1),""))</f>
        <v/>
      </c>
    </row>
    <row r="224" spans="1:6" x14ac:dyDescent="0.3">
      <c r="A224" s="60" t="str">
        <f ca="1">COPIA!AC217</f>
        <v>ONERI DI FACTORING</v>
      </c>
      <c r="B224" s="10" t="str">
        <f ca="1">IF(IFERROR(INDEX((COPIA!$DA$3:$DE$1339),MATCH(ROWS(B$10:B224),COPIA!$DF$3:$DF$1339,0),COLUMN()-1),"")&gt;=1,IFERROR(INDEX((COPIA!$DA$3:$DE$1339),MATCH(ROWS(B$10:B224),COPIA!$DF$3:$DF$1339,0),COLUMN()-1),""),"")</f>
        <v/>
      </c>
      <c r="C224" s="5" t="str">
        <f ca="1">SUBSTITUTE(IFERROR(INDEX((COPIA!$DA$3:$DE$1339),MATCH(ROWS(C$10:C224),COPIA!$DF$3:$DF$1339,0),COLUMN()-1),""),"MASTRO","")</f>
        <v/>
      </c>
      <c r="D224" s="136" t="str">
        <f ca="1">IF(IFERROR(INDEX((COPIA!$DA$3:$DE$1339),MATCH(ROWS(D$10:D224),COPIA!$DF$3:$DF$1339,0),COLUMN()-1),"")=0,"",IFERROR(INDEX((COPIA!$DA$3:$DE$1339),MATCH(ROWS(D$10:D224),COPIA!$DF$3:$DF$1339,0),COLUMN()-1),""))</f>
        <v/>
      </c>
      <c r="E224" s="9" t="str">
        <f ca="1">IF(IFERROR(INDEX((COPIA!$DA$3:$DE$1339),MATCH(ROWS(E$10:E224),COPIA!$DF$3:$DF$1339,0),COLUMN()-1),"")=0,"",IFERROR(INDEX((COPIA!$DA$3:$DE$1339),MATCH(ROWS(E$10:E224),COPIA!$DF$3:$DF$1339,0),COLUMN()-1),""))</f>
        <v/>
      </c>
      <c r="F224" s="6" t="str">
        <f ca="1">IF(IFERROR(INDEX((COPIA!$DA$3:$DE$1339),MATCH(ROWS(F$10:F224),COPIA!$DF$3:$DF$1339,0),COLUMN()-1),"")=0,"",IFERROR(INDEX((COPIA!$DA$3:$DE$1339),MATCH(ROWS(F$10:F224),COPIA!$DF$3:$DF$1339,0),COLUMN()-1),""))</f>
        <v/>
      </c>
    </row>
    <row r="225" spans="1:6" x14ac:dyDescent="0.3">
      <c r="A225" s="60" t="str">
        <f ca="1">COPIA!AC218</f>
        <v>COMPETENZE AMMINISTRATORI</v>
      </c>
      <c r="B225" s="10" t="str">
        <f ca="1">IF(IFERROR(INDEX((COPIA!$DA$3:$DE$1339),MATCH(ROWS(B$10:B225),COPIA!$DF$3:$DF$1339,0),COLUMN()-1),"")&gt;=1,IFERROR(INDEX((COPIA!$DA$3:$DE$1339),MATCH(ROWS(B$10:B225),COPIA!$DF$3:$DF$1339,0),COLUMN()-1),""),"")</f>
        <v/>
      </c>
      <c r="C225" s="5" t="str">
        <f ca="1">SUBSTITUTE(IFERROR(INDEX((COPIA!$DA$3:$DE$1339),MATCH(ROWS(C$10:C225),COPIA!$DF$3:$DF$1339,0),COLUMN()-1),""),"MASTRO","")</f>
        <v/>
      </c>
      <c r="D225" s="136" t="str">
        <f ca="1">IF(IFERROR(INDEX((COPIA!$DA$3:$DE$1339),MATCH(ROWS(D$10:D225),COPIA!$DF$3:$DF$1339,0),COLUMN()-1),"")=0,"",IFERROR(INDEX((COPIA!$DA$3:$DE$1339),MATCH(ROWS(D$10:D225),COPIA!$DF$3:$DF$1339,0),COLUMN()-1),""))</f>
        <v/>
      </c>
      <c r="E225" s="9" t="str">
        <f ca="1">IF(IFERROR(INDEX((COPIA!$DA$3:$DE$1339),MATCH(ROWS(E$10:E225),COPIA!$DF$3:$DF$1339,0),COLUMN()-1),"")=0,"",IFERROR(INDEX((COPIA!$DA$3:$DE$1339),MATCH(ROWS(E$10:E225),COPIA!$DF$3:$DF$1339,0),COLUMN()-1),""))</f>
        <v/>
      </c>
      <c r="F225" s="6" t="str">
        <f ca="1">IF(IFERROR(INDEX((COPIA!$DA$3:$DE$1339),MATCH(ROWS(F$10:F225),COPIA!$DF$3:$DF$1339,0),COLUMN()-1),"")=0,"",IFERROR(INDEX((COPIA!$DA$3:$DE$1339),MATCH(ROWS(F$10:F225),COPIA!$DF$3:$DF$1339,0),COLUMN()-1),""))</f>
        <v/>
      </c>
    </row>
    <row r="226" spans="1:6" x14ac:dyDescent="0.3">
      <c r="A226" s="60" t="str">
        <f ca="1">COPIA!AC219</f>
        <v>COMPETENZE SINDACI</v>
      </c>
      <c r="B226" s="10" t="str">
        <f ca="1">IF(IFERROR(INDEX((COPIA!$DA$3:$DE$1339),MATCH(ROWS(B$10:B226),COPIA!$DF$3:$DF$1339,0),COLUMN()-1),"")&gt;=1,IFERROR(INDEX((COPIA!$DA$3:$DE$1339),MATCH(ROWS(B$10:B226),COPIA!$DF$3:$DF$1339,0),COLUMN()-1),""),"")</f>
        <v/>
      </c>
      <c r="C226" s="5" t="str">
        <f ca="1">SUBSTITUTE(IFERROR(INDEX((COPIA!$DA$3:$DE$1339),MATCH(ROWS(C$10:C226),COPIA!$DF$3:$DF$1339,0),COLUMN()-1),""),"MASTRO","")</f>
        <v/>
      </c>
      <c r="D226" s="136" t="str">
        <f ca="1">IF(IFERROR(INDEX((COPIA!$DA$3:$DE$1339),MATCH(ROWS(D$10:D226),COPIA!$DF$3:$DF$1339,0),COLUMN()-1),"")=0,"",IFERROR(INDEX((COPIA!$DA$3:$DE$1339),MATCH(ROWS(D$10:D226),COPIA!$DF$3:$DF$1339,0),COLUMN()-1),""))</f>
        <v/>
      </c>
      <c r="E226" s="9" t="str">
        <f ca="1">IF(IFERROR(INDEX((COPIA!$DA$3:$DE$1339),MATCH(ROWS(E$10:E226),COPIA!$DF$3:$DF$1339,0),COLUMN()-1),"")=0,"",IFERROR(INDEX((COPIA!$DA$3:$DE$1339),MATCH(ROWS(E$10:E226),COPIA!$DF$3:$DF$1339,0),COLUMN()-1),""))</f>
        <v/>
      </c>
      <c r="F226" s="6" t="str">
        <f ca="1">IF(IFERROR(INDEX((COPIA!$DA$3:$DE$1339),MATCH(ROWS(F$10:F226),COPIA!$DF$3:$DF$1339,0),COLUMN()-1),"")=0,"",IFERROR(INDEX((COPIA!$DA$3:$DE$1339),MATCH(ROWS(F$10:F226),COPIA!$DF$3:$DF$1339,0),COLUMN()-1),""))</f>
        <v/>
      </c>
    </row>
    <row r="227" spans="1:6" x14ac:dyDescent="0.3">
      <c r="A227" s="60" t="str">
        <f ca="1">COPIA!AC220</f>
        <v>COSTI PER SERVIZI</v>
      </c>
      <c r="B227" s="10" t="str">
        <f ca="1">IF(IFERROR(INDEX((COPIA!$DA$3:$DE$1339),MATCH(ROWS(B$10:B227),COPIA!$DF$3:$DF$1339,0),COLUMN()-1),"")&gt;=1,IFERROR(INDEX((COPIA!$DA$3:$DE$1339),MATCH(ROWS(B$10:B227),COPIA!$DF$3:$DF$1339,0),COLUMN()-1),""),"")</f>
        <v/>
      </c>
      <c r="C227" s="5" t="str">
        <f ca="1">SUBSTITUTE(IFERROR(INDEX((COPIA!$DA$3:$DE$1339),MATCH(ROWS(C$10:C227),COPIA!$DF$3:$DF$1339,0),COLUMN()-1),""),"MASTRO","")</f>
        <v/>
      </c>
      <c r="D227" s="136" t="str">
        <f ca="1">IF(IFERROR(INDEX((COPIA!$DA$3:$DE$1339),MATCH(ROWS(D$10:D227),COPIA!$DF$3:$DF$1339,0),COLUMN()-1),"")=0,"",IFERROR(INDEX((COPIA!$DA$3:$DE$1339),MATCH(ROWS(D$10:D227),COPIA!$DF$3:$DF$1339,0),COLUMN()-1),""))</f>
        <v/>
      </c>
      <c r="E227" s="9" t="str">
        <f ca="1">IF(IFERROR(INDEX((COPIA!$DA$3:$DE$1339),MATCH(ROWS(E$10:E227),COPIA!$DF$3:$DF$1339,0),COLUMN()-1),"")=0,"",IFERROR(INDEX((COPIA!$DA$3:$DE$1339),MATCH(ROWS(E$10:E227),COPIA!$DF$3:$DF$1339,0),COLUMN()-1),""))</f>
        <v/>
      </c>
      <c r="F227" s="6" t="str">
        <f ca="1">IF(IFERROR(INDEX((COPIA!$DA$3:$DE$1339),MATCH(ROWS(F$10:F227),COPIA!$DF$3:$DF$1339,0),COLUMN()-1),"")=0,"",IFERROR(INDEX((COPIA!$DA$3:$DE$1339),MATCH(ROWS(F$10:F227),COPIA!$DF$3:$DF$1339,0),COLUMN()-1),""))</f>
        <v/>
      </c>
    </row>
    <row r="228" spans="1:6" x14ac:dyDescent="0.3">
      <c r="A228" s="60" t="str">
        <f ca="1">COPIA!AC221</f>
        <v>FITTI PASSIVI</v>
      </c>
      <c r="B228" s="10" t="str">
        <f ca="1">IF(IFERROR(INDEX((COPIA!$DA$3:$DE$1339),MATCH(ROWS(B$10:B228),COPIA!$DF$3:$DF$1339,0),COLUMN()-1),"")&gt;=1,IFERROR(INDEX((COPIA!$DA$3:$DE$1339),MATCH(ROWS(B$10:B228),COPIA!$DF$3:$DF$1339,0),COLUMN()-1),""),"")</f>
        <v/>
      </c>
      <c r="C228" s="5" t="str">
        <f ca="1">SUBSTITUTE(IFERROR(INDEX((COPIA!$DA$3:$DE$1339),MATCH(ROWS(C$10:C228),COPIA!$DF$3:$DF$1339,0),COLUMN()-1),""),"MASTRO","")</f>
        <v/>
      </c>
      <c r="D228" s="136" t="str">
        <f ca="1">IF(IFERROR(INDEX((COPIA!$DA$3:$DE$1339),MATCH(ROWS(D$10:D228),COPIA!$DF$3:$DF$1339,0),COLUMN()-1),"")=0,"",IFERROR(INDEX((COPIA!$DA$3:$DE$1339),MATCH(ROWS(D$10:D228),COPIA!$DF$3:$DF$1339,0),COLUMN()-1),""))</f>
        <v/>
      </c>
      <c r="E228" s="9" t="str">
        <f ca="1">IF(IFERROR(INDEX((COPIA!$DA$3:$DE$1339),MATCH(ROWS(E$10:E228),COPIA!$DF$3:$DF$1339,0),COLUMN()-1),"")=0,"",IFERROR(INDEX((COPIA!$DA$3:$DE$1339),MATCH(ROWS(E$10:E228),COPIA!$DF$3:$DF$1339,0),COLUMN()-1),""))</f>
        <v/>
      </c>
      <c r="F228" s="6" t="str">
        <f ca="1">IF(IFERROR(INDEX((COPIA!$DA$3:$DE$1339),MATCH(ROWS(F$10:F228),COPIA!$DF$3:$DF$1339,0),COLUMN()-1),"")=0,"",IFERROR(INDEX((COPIA!$DA$3:$DE$1339),MATCH(ROWS(F$10:F228),COPIA!$DF$3:$DF$1339,0),COLUMN()-1),""))</f>
        <v/>
      </c>
    </row>
    <row r="229" spans="1:6" x14ac:dyDescent="0.3">
      <c r="A229" s="60" t="str">
        <f ca="1">COPIA!AC222</f>
        <v>CANONI DI LEASING</v>
      </c>
      <c r="B229" s="10" t="str">
        <f ca="1">IF(IFERROR(INDEX((COPIA!$DA$3:$DE$1339),MATCH(ROWS(B$10:B229),COPIA!$DF$3:$DF$1339,0),COLUMN()-1),"")&gt;=1,IFERROR(INDEX((COPIA!$DA$3:$DE$1339),MATCH(ROWS(B$10:B229),COPIA!$DF$3:$DF$1339,0),COLUMN()-1),""),"")</f>
        <v/>
      </c>
      <c r="C229" s="5" t="str">
        <f ca="1">SUBSTITUTE(IFERROR(INDEX((COPIA!$DA$3:$DE$1339),MATCH(ROWS(C$10:C229),COPIA!$DF$3:$DF$1339,0),COLUMN()-1),""),"MASTRO","")</f>
        <v/>
      </c>
      <c r="D229" s="136" t="str">
        <f ca="1">IF(IFERROR(INDEX((COPIA!$DA$3:$DE$1339),MATCH(ROWS(D$10:D229),COPIA!$DF$3:$DF$1339,0),COLUMN()-1),"")=0,"",IFERROR(INDEX((COPIA!$DA$3:$DE$1339),MATCH(ROWS(D$10:D229),COPIA!$DF$3:$DF$1339,0),COLUMN()-1),""))</f>
        <v/>
      </c>
      <c r="E229" s="9" t="str">
        <f ca="1">IF(IFERROR(INDEX((COPIA!$DA$3:$DE$1339),MATCH(ROWS(E$10:E229),COPIA!$DF$3:$DF$1339,0),COLUMN()-1),"")=0,"",IFERROR(INDEX((COPIA!$DA$3:$DE$1339),MATCH(ROWS(E$10:E229),COPIA!$DF$3:$DF$1339,0),COLUMN()-1),""))</f>
        <v/>
      </c>
      <c r="F229" s="6" t="str">
        <f ca="1">IF(IFERROR(INDEX((COPIA!$DA$3:$DE$1339),MATCH(ROWS(F$10:F229),COPIA!$DF$3:$DF$1339,0),COLUMN()-1),"")=0,"",IFERROR(INDEX((COPIA!$DA$3:$DE$1339),MATCH(ROWS(F$10:F229),COPIA!$DF$3:$DF$1339,0),COLUMN()-1),""))</f>
        <v/>
      </c>
    </row>
    <row r="230" spans="1:6" x14ac:dyDescent="0.3">
      <c r="A230" s="60" t="str">
        <f ca="1">COPIA!AC223</f>
        <v>SALARI E STIPENDI</v>
      </c>
      <c r="B230" s="10" t="str">
        <f ca="1">IF(IFERROR(INDEX((COPIA!$DA$3:$DE$1339),MATCH(ROWS(B$10:B230),COPIA!$DF$3:$DF$1339,0),COLUMN()-1),"")&gt;=1,IFERROR(INDEX((COPIA!$DA$3:$DE$1339),MATCH(ROWS(B$10:B230),COPIA!$DF$3:$DF$1339,0),COLUMN()-1),""),"")</f>
        <v/>
      </c>
      <c r="C230" s="5" t="str">
        <f ca="1">SUBSTITUTE(IFERROR(INDEX((COPIA!$DA$3:$DE$1339),MATCH(ROWS(C$10:C230),COPIA!$DF$3:$DF$1339,0),COLUMN()-1),""),"MASTRO","")</f>
        <v/>
      </c>
      <c r="D230" s="136" t="str">
        <f ca="1">IF(IFERROR(INDEX((COPIA!$DA$3:$DE$1339),MATCH(ROWS(D$10:D230),COPIA!$DF$3:$DF$1339,0),COLUMN()-1),"")=0,"",IFERROR(INDEX((COPIA!$DA$3:$DE$1339),MATCH(ROWS(D$10:D230),COPIA!$DF$3:$DF$1339,0),COLUMN()-1),""))</f>
        <v/>
      </c>
      <c r="E230" s="9" t="str">
        <f ca="1">IF(IFERROR(INDEX((COPIA!$DA$3:$DE$1339),MATCH(ROWS(E$10:E230),COPIA!$DF$3:$DF$1339,0),COLUMN()-1),"")=0,"",IFERROR(INDEX((COPIA!$DA$3:$DE$1339),MATCH(ROWS(E$10:E230),COPIA!$DF$3:$DF$1339,0),COLUMN()-1),""))</f>
        <v/>
      </c>
      <c r="F230" s="6" t="str">
        <f ca="1">IF(IFERROR(INDEX((COPIA!$DA$3:$DE$1339),MATCH(ROWS(F$10:F230),COPIA!$DF$3:$DF$1339,0),COLUMN()-1),"")=0,"",IFERROR(INDEX((COPIA!$DA$3:$DE$1339),MATCH(ROWS(F$10:F230),COPIA!$DF$3:$DF$1339,0),COLUMN()-1),""))</f>
        <v/>
      </c>
    </row>
    <row r="231" spans="1:6" x14ac:dyDescent="0.3">
      <c r="A231" s="60" t="str">
        <f ca="1">COPIA!AC224</f>
        <v>ONERI SOCIALI</v>
      </c>
      <c r="B231" s="10" t="str">
        <f ca="1">IF(IFERROR(INDEX((COPIA!$DA$3:$DE$1339),MATCH(ROWS(B$10:B231),COPIA!$DF$3:$DF$1339,0),COLUMN()-1),"")&gt;=1,IFERROR(INDEX((COPIA!$DA$3:$DE$1339),MATCH(ROWS(B$10:B231),COPIA!$DF$3:$DF$1339,0),COLUMN()-1),""),"")</f>
        <v/>
      </c>
      <c r="C231" s="5" t="str">
        <f ca="1">SUBSTITUTE(IFERROR(INDEX((COPIA!$DA$3:$DE$1339),MATCH(ROWS(C$10:C231),COPIA!$DF$3:$DF$1339,0),COLUMN()-1),""),"MASTRO","")</f>
        <v/>
      </c>
      <c r="D231" s="136" t="str">
        <f ca="1">IF(IFERROR(INDEX((COPIA!$DA$3:$DE$1339),MATCH(ROWS(D$10:D231),COPIA!$DF$3:$DF$1339,0),COLUMN()-1),"")=0,"",IFERROR(INDEX((COPIA!$DA$3:$DE$1339),MATCH(ROWS(D$10:D231),COPIA!$DF$3:$DF$1339,0),COLUMN()-1),""))</f>
        <v/>
      </c>
      <c r="E231" s="9" t="str">
        <f ca="1">IF(IFERROR(INDEX((COPIA!$DA$3:$DE$1339),MATCH(ROWS(E$10:E231),COPIA!$DF$3:$DF$1339,0),COLUMN()-1),"")=0,"",IFERROR(INDEX((COPIA!$DA$3:$DE$1339),MATCH(ROWS(E$10:E231),COPIA!$DF$3:$DF$1339,0),COLUMN()-1),""))</f>
        <v/>
      </c>
      <c r="F231" s="6" t="str">
        <f ca="1">IF(IFERROR(INDEX((COPIA!$DA$3:$DE$1339),MATCH(ROWS(F$10:F231),COPIA!$DF$3:$DF$1339,0),COLUMN()-1),"")=0,"",IFERROR(INDEX((COPIA!$DA$3:$DE$1339),MATCH(ROWS(F$10:F231),COPIA!$DF$3:$DF$1339,0),COLUMN()-1),""))</f>
        <v/>
      </c>
    </row>
    <row r="232" spans="1:6" x14ac:dyDescent="0.3">
      <c r="A232" s="60" t="str">
        <f ca="1">COPIA!AC225</f>
        <v>TFR</v>
      </c>
      <c r="B232" s="10" t="str">
        <f ca="1">IF(IFERROR(INDEX((COPIA!$DA$3:$DE$1339),MATCH(ROWS(B$10:B232),COPIA!$DF$3:$DF$1339,0),COLUMN()-1),"")&gt;=1,IFERROR(INDEX((COPIA!$DA$3:$DE$1339),MATCH(ROWS(B$10:B232),COPIA!$DF$3:$DF$1339,0),COLUMN()-1),""),"")</f>
        <v/>
      </c>
      <c r="C232" s="5" t="str">
        <f ca="1">SUBSTITUTE(IFERROR(INDEX((COPIA!$DA$3:$DE$1339),MATCH(ROWS(C$10:C232),COPIA!$DF$3:$DF$1339,0),COLUMN()-1),""),"MASTRO","")</f>
        <v/>
      </c>
      <c r="D232" s="136" t="str">
        <f ca="1">IF(IFERROR(INDEX((COPIA!$DA$3:$DE$1339),MATCH(ROWS(D$10:D232),COPIA!$DF$3:$DF$1339,0),COLUMN()-1),"")=0,"",IFERROR(INDEX((COPIA!$DA$3:$DE$1339),MATCH(ROWS(D$10:D232),COPIA!$DF$3:$DF$1339,0),COLUMN()-1),""))</f>
        <v/>
      </c>
      <c r="E232" s="9" t="str">
        <f ca="1">IF(IFERROR(INDEX((COPIA!$DA$3:$DE$1339),MATCH(ROWS(E$10:E232),COPIA!$DF$3:$DF$1339,0),COLUMN()-1),"")=0,"",IFERROR(INDEX((COPIA!$DA$3:$DE$1339),MATCH(ROWS(E$10:E232),COPIA!$DF$3:$DF$1339,0),COLUMN()-1),""))</f>
        <v/>
      </c>
      <c r="F232" s="6" t="str">
        <f ca="1">IF(IFERROR(INDEX((COPIA!$DA$3:$DE$1339),MATCH(ROWS(F$10:F232),COPIA!$DF$3:$DF$1339,0),COLUMN()-1),"")=0,"",IFERROR(INDEX((COPIA!$DA$3:$DE$1339),MATCH(ROWS(F$10:F232),COPIA!$DF$3:$DF$1339,0),COLUMN()-1),""))</f>
        <v/>
      </c>
    </row>
    <row r="233" spans="1:6" x14ac:dyDescent="0.3">
      <c r="A233" s="60" t="str">
        <f ca="1">COPIA!AC226</f>
        <v>ALTRI COSTI PER IL PERSONALE</v>
      </c>
      <c r="B233" s="10" t="str">
        <f ca="1">IF(IFERROR(INDEX((COPIA!$DA$3:$DE$1339),MATCH(ROWS(B$10:B233),COPIA!$DF$3:$DF$1339,0),COLUMN()-1),"")&gt;=1,IFERROR(INDEX((COPIA!$DA$3:$DE$1339),MATCH(ROWS(B$10:B233),COPIA!$DF$3:$DF$1339,0),COLUMN()-1),""),"")</f>
        <v/>
      </c>
      <c r="C233" s="5" t="str">
        <f ca="1">SUBSTITUTE(IFERROR(INDEX((COPIA!$DA$3:$DE$1339),MATCH(ROWS(C$10:C233),COPIA!$DF$3:$DF$1339,0),COLUMN()-1),""),"MASTRO","")</f>
        <v/>
      </c>
      <c r="D233" s="136" t="str">
        <f ca="1">IF(IFERROR(INDEX((COPIA!$DA$3:$DE$1339),MATCH(ROWS(D$10:D233),COPIA!$DF$3:$DF$1339,0),COLUMN()-1),"")=0,"",IFERROR(INDEX((COPIA!$DA$3:$DE$1339),MATCH(ROWS(D$10:D233),COPIA!$DF$3:$DF$1339,0),COLUMN()-1),""))</f>
        <v/>
      </c>
      <c r="E233" s="9" t="str">
        <f ca="1">IF(IFERROR(INDEX((COPIA!$DA$3:$DE$1339),MATCH(ROWS(E$10:E233),COPIA!$DF$3:$DF$1339,0),COLUMN()-1),"")=0,"",IFERROR(INDEX((COPIA!$DA$3:$DE$1339),MATCH(ROWS(E$10:E233),COPIA!$DF$3:$DF$1339,0),COLUMN()-1),""))</f>
        <v/>
      </c>
      <c r="F233" s="6" t="str">
        <f ca="1">IF(IFERROR(INDEX((COPIA!$DA$3:$DE$1339),MATCH(ROWS(F$10:F233),COPIA!$DF$3:$DF$1339,0),COLUMN()-1),"")=0,"",IFERROR(INDEX((COPIA!$DA$3:$DE$1339),MATCH(ROWS(F$10:F233),COPIA!$DF$3:$DF$1339,0),COLUMN()-1),""))</f>
        <v/>
      </c>
    </row>
    <row r="234" spans="1:6" x14ac:dyDescent="0.3">
      <c r="A234" s="60" t="str">
        <f ca="1">COPIA!AC227</f>
        <v>AMMORTAMENTO COSTI DI IMPIANTO</v>
      </c>
      <c r="B234" s="10" t="str">
        <f ca="1">IF(IFERROR(INDEX((COPIA!$DA$3:$DE$1339),MATCH(ROWS(B$10:B234),COPIA!$DF$3:$DF$1339,0),COLUMN()-1),"")&gt;=1,IFERROR(INDEX((COPIA!$DA$3:$DE$1339),MATCH(ROWS(B$10:B234),COPIA!$DF$3:$DF$1339,0),COLUMN()-1),""),"")</f>
        <v/>
      </c>
      <c r="C234" s="5" t="str">
        <f ca="1">SUBSTITUTE(IFERROR(INDEX((COPIA!$DA$3:$DE$1339),MATCH(ROWS(C$10:C234),COPIA!$DF$3:$DF$1339,0),COLUMN()-1),""),"MASTRO","")</f>
        <v/>
      </c>
      <c r="D234" s="136" t="str">
        <f ca="1">IF(IFERROR(INDEX((COPIA!$DA$3:$DE$1339),MATCH(ROWS(D$10:D234),COPIA!$DF$3:$DF$1339,0),COLUMN()-1),"")=0,"",IFERROR(INDEX((COPIA!$DA$3:$DE$1339),MATCH(ROWS(D$10:D234),COPIA!$DF$3:$DF$1339,0),COLUMN()-1),""))</f>
        <v/>
      </c>
      <c r="E234" s="9" t="str">
        <f ca="1">IF(IFERROR(INDEX((COPIA!$DA$3:$DE$1339),MATCH(ROWS(E$10:E234),COPIA!$DF$3:$DF$1339,0),COLUMN()-1),"")=0,"",IFERROR(INDEX((COPIA!$DA$3:$DE$1339),MATCH(ROWS(E$10:E234),COPIA!$DF$3:$DF$1339,0),COLUMN()-1),""))</f>
        <v/>
      </c>
      <c r="F234" s="6" t="str">
        <f ca="1">IF(IFERROR(INDEX((COPIA!$DA$3:$DE$1339),MATCH(ROWS(F$10:F234),COPIA!$DF$3:$DF$1339,0),COLUMN()-1),"")=0,"",IFERROR(INDEX((COPIA!$DA$3:$DE$1339),MATCH(ROWS(F$10:F234),COPIA!$DF$3:$DF$1339,0),COLUMN()-1),""))</f>
        <v/>
      </c>
    </row>
    <row r="235" spans="1:6" x14ac:dyDescent="0.3">
      <c r="A235" s="60" t="str">
        <f ca="1">COPIA!AC228</f>
        <v>AMMORTAMENTO COSTI DI AMPLIAMENTO</v>
      </c>
      <c r="B235" s="10" t="str">
        <f ca="1">IF(IFERROR(INDEX((COPIA!$DA$3:$DE$1339),MATCH(ROWS(B$10:B235),COPIA!$DF$3:$DF$1339,0),COLUMN()-1),"")&gt;=1,IFERROR(INDEX((COPIA!$DA$3:$DE$1339),MATCH(ROWS(B$10:B235),COPIA!$DF$3:$DF$1339,0),COLUMN()-1),""),"")</f>
        <v/>
      </c>
      <c r="C235" s="5" t="str">
        <f ca="1">SUBSTITUTE(IFERROR(INDEX((COPIA!$DA$3:$DE$1339),MATCH(ROWS(C$10:C235),COPIA!$DF$3:$DF$1339,0),COLUMN()-1),""),"MASTRO","")</f>
        <v/>
      </c>
      <c r="D235" s="136" t="str">
        <f ca="1">IF(IFERROR(INDEX((COPIA!$DA$3:$DE$1339),MATCH(ROWS(D$10:D235),COPIA!$DF$3:$DF$1339,0),COLUMN()-1),"")=0,"",IFERROR(INDEX((COPIA!$DA$3:$DE$1339),MATCH(ROWS(D$10:D235),COPIA!$DF$3:$DF$1339,0),COLUMN()-1),""))</f>
        <v/>
      </c>
      <c r="E235" s="9" t="str">
        <f ca="1">IF(IFERROR(INDEX((COPIA!$DA$3:$DE$1339),MATCH(ROWS(E$10:E235),COPIA!$DF$3:$DF$1339,0),COLUMN()-1),"")=0,"",IFERROR(INDEX((COPIA!$DA$3:$DE$1339),MATCH(ROWS(E$10:E235),COPIA!$DF$3:$DF$1339,0),COLUMN()-1),""))</f>
        <v/>
      </c>
      <c r="F235" s="6" t="str">
        <f ca="1">IF(IFERROR(INDEX((COPIA!$DA$3:$DE$1339),MATCH(ROWS(F$10:F235),COPIA!$DF$3:$DF$1339,0),COLUMN()-1),"")=0,"",IFERROR(INDEX((COPIA!$DA$3:$DE$1339),MATCH(ROWS(F$10:F235),COPIA!$DF$3:$DF$1339,0),COLUMN()-1),""))</f>
        <v/>
      </c>
    </row>
    <row r="236" spans="1:6" x14ac:dyDescent="0.3">
      <c r="A236" s="60" t="str">
        <f ca="1">COPIA!AC229</f>
        <v>AMMORTAMENTO COSTI DI SVILUPPO</v>
      </c>
      <c r="B236" s="10" t="str">
        <f ca="1">IF(IFERROR(INDEX((COPIA!$DA$3:$DE$1339),MATCH(ROWS(B$10:B236),COPIA!$DF$3:$DF$1339,0),COLUMN()-1),"")&gt;=1,IFERROR(INDEX((COPIA!$DA$3:$DE$1339),MATCH(ROWS(B$10:B236),COPIA!$DF$3:$DF$1339,0),COLUMN()-1),""),"")</f>
        <v/>
      </c>
      <c r="C236" s="5" t="str">
        <f ca="1">SUBSTITUTE(IFERROR(INDEX((COPIA!$DA$3:$DE$1339),MATCH(ROWS(C$10:C236),COPIA!$DF$3:$DF$1339,0),COLUMN()-1),""),"MASTRO","")</f>
        <v/>
      </c>
      <c r="D236" s="136" t="str">
        <f ca="1">IF(IFERROR(INDEX((COPIA!$DA$3:$DE$1339),MATCH(ROWS(D$10:D236),COPIA!$DF$3:$DF$1339,0),COLUMN()-1),"")=0,"",IFERROR(INDEX((COPIA!$DA$3:$DE$1339),MATCH(ROWS(D$10:D236),COPIA!$DF$3:$DF$1339,0),COLUMN()-1),""))</f>
        <v/>
      </c>
      <c r="E236" s="9" t="str">
        <f ca="1">IF(IFERROR(INDEX((COPIA!$DA$3:$DE$1339),MATCH(ROWS(E$10:E236),COPIA!$DF$3:$DF$1339,0),COLUMN()-1),"")=0,"",IFERROR(INDEX((COPIA!$DA$3:$DE$1339),MATCH(ROWS(E$10:E236),COPIA!$DF$3:$DF$1339,0),COLUMN()-1),""))</f>
        <v/>
      </c>
      <c r="F236" s="6" t="str">
        <f ca="1">IF(IFERROR(INDEX((COPIA!$DA$3:$DE$1339),MATCH(ROWS(F$10:F236),COPIA!$DF$3:$DF$1339,0),COLUMN()-1),"")=0,"",IFERROR(INDEX((COPIA!$DA$3:$DE$1339),MATCH(ROWS(F$10:F236),COPIA!$DF$3:$DF$1339,0),COLUMN()-1),""))</f>
        <v/>
      </c>
    </row>
    <row r="237" spans="1:6" x14ac:dyDescent="0.3">
      <c r="A237" s="60" t="str">
        <f ca="1">COPIA!AC230</f>
        <v>AMMORTAMENTO BREVETTI</v>
      </c>
      <c r="B237" s="10" t="str">
        <f ca="1">IF(IFERROR(INDEX((COPIA!$DA$3:$DE$1339),MATCH(ROWS(B$10:B237),COPIA!$DF$3:$DF$1339,0),COLUMN()-1),"")&gt;=1,IFERROR(INDEX((COPIA!$DA$3:$DE$1339),MATCH(ROWS(B$10:B237),COPIA!$DF$3:$DF$1339,0),COLUMN()-1),""),"")</f>
        <v/>
      </c>
      <c r="C237" s="5" t="str">
        <f ca="1">SUBSTITUTE(IFERROR(INDEX((COPIA!$DA$3:$DE$1339),MATCH(ROWS(C$10:C237),COPIA!$DF$3:$DF$1339,0),COLUMN()-1),""),"MASTRO","")</f>
        <v/>
      </c>
      <c r="D237" s="136" t="str">
        <f ca="1">IF(IFERROR(INDEX((COPIA!$DA$3:$DE$1339),MATCH(ROWS(D$10:D237),COPIA!$DF$3:$DF$1339,0),COLUMN()-1),"")=0,"",IFERROR(INDEX((COPIA!$DA$3:$DE$1339),MATCH(ROWS(D$10:D237),COPIA!$DF$3:$DF$1339,0),COLUMN()-1),""))</f>
        <v/>
      </c>
      <c r="E237" s="9" t="str">
        <f ca="1">IF(IFERROR(INDEX((COPIA!$DA$3:$DE$1339),MATCH(ROWS(E$10:E237),COPIA!$DF$3:$DF$1339,0),COLUMN()-1),"")=0,"",IFERROR(INDEX((COPIA!$DA$3:$DE$1339),MATCH(ROWS(E$10:E237),COPIA!$DF$3:$DF$1339,0),COLUMN()-1),""))</f>
        <v/>
      </c>
      <c r="F237" s="6" t="str">
        <f ca="1">IF(IFERROR(INDEX((COPIA!$DA$3:$DE$1339),MATCH(ROWS(F$10:F237),COPIA!$DF$3:$DF$1339,0),COLUMN()-1),"")=0,"",IFERROR(INDEX((COPIA!$DA$3:$DE$1339),MATCH(ROWS(F$10:F237),COPIA!$DF$3:$DF$1339,0),COLUMN()-1),""))</f>
        <v/>
      </c>
    </row>
    <row r="238" spans="1:6" x14ac:dyDescent="0.3">
      <c r="A238" s="60" t="str">
        <f ca="1">COPIA!AC231</f>
        <v>AMMORTAMENTO SOFTWARE</v>
      </c>
      <c r="B238" s="10" t="str">
        <f ca="1">IF(IFERROR(INDEX((COPIA!$DA$3:$DE$1339),MATCH(ROWS(B$10:B238),COPIA!$DF$3:$DF$1339,0),COLUMN()-1),"")&gt;=1,IFERROR(INDEX((COPIA!$DA$3:$DE$1339),MATCH(ROWS(B$10:B238),COPIA!$DF$3:$DF$1339,0),COLUMN()-1),""),"")</f>
        <v/>
      </c>
      <c r="C238" s="5" t="str">
        <f ca="1">SUBSTITUTE(IFERROR(INDEX((COPIA!$DA$3:$DE$1339),MATCH(ROWS(C$10:C238),COPIA!$DF$3:$DF$1339,0),COLUMN()-1),""),"MASTRO","")</f>
        <v/>
      </c>
      <c r="D238" s="136" t="str">
        <f ca="1">IF(IFERROR(INDEX((COPIA!$DA$3:$DE$1339),MATCH(ROWS(D$10:D238),COPIA!$DF$3:$DF$1339,0),COLUMN()-1),"")=0,"",IFERROR(INDEX((COPIA!$DA$3:$DE$1339),MATCH(ROWS(D$10:D238),COPIA!$DF$3:$DF$1339,0),COLUMN()-1),""))</f>
        <v/>
      </c>
      <c r="E238" s="9" t="str">
        <f ca="1">IF(IFERROR(INDEX((COPIA!$DA$3:$DE$1339),MATCH(ROWS(E$10:E238),COPIA!$DF$3:$DF$1339,0),COLUMN()-1),"")=0,"",IFERROR(INDEX((COPIA!$DA$3:$DE$1339),MATCH(ROWS(E$10:E238),COPIA!$DF$3:$DF$1339,0),COLUMN()-1),""))</f>
        <v/>
      </c>
      <c r="F238" s="6" t="str">
        <f ca="1">IF(IFERROR(INDEX((COPIA!$DA$3:$DE$1339),MATCH(ROWS(F$10:F238),COPIA!$DF$3:$DF$1339,0),COLUMN()-1),"")=0,"",IFERROR(INDEX((COPIA!$DA$3:$DE$1339),MATCH(ROWS(F$10:F238),COPIA!$DF$3:$DF$1339,0),COLUMN()-1),""))</f>
        <v/>
      </c>
    </row>
    <row r="239" spans="1:6" x14ac:dyDescent="0.3">
      <c r="A239" s="60" t="str">
        <f ca="1">COPIA!AC232</f>
        <v>AMMORTAMENTO AVVIAMENTO</v>
      </c>
      <c r="B239" s="10" t="str">
        <f ca="1">IF(IFERROR(INDEX((COPIA!$DA$3:$DE$1339),MATCH(ROWS(B$10:B239),COPIA!$DF$3:$DF$1339,0),COLUMN()-1),"")&gt;=1,IFERROR(INDEX((COPIA!$DA$3:$DE$1339),MATCH(ROWS(B$10:B239),COPIA!$DF$3:$DF$1339,0),COLUMN()-1),""),"")</f>
        <v/>
      </c>
      <c r="C239" s="5" t="str">
        <f ca="1">SUBSTITUTE(IFERROR(INDEX((COPIA!$DA$3:$DE$1339),MATCH(ROWS(C$10:C239),COPIA!$DF$3:$DF$1339,0),COLUMN()-1),""),"MASTRO","")</f>
        <v/>
      </c>
      <c r="D239" s="136" t="str">
        <f ca="1">IF(IFERROR(INDEX((COPIA!$DA$3:$DE$1339),MATCH(ROWS(D$10:D239),COPIA!$DF$3:$DF$1339,0),COLUMN()-1),"")=0,"",IFERROR(INDEX((COPIA!$DA$3:$DE$1339),MATCH(ROWS(D$10:D239),COPIA!$DF$3:$DF$1339,0),COLUMN()-1),""))</f>
        <v/>
      </c>
      <c r="E239" s="9" t="str">
        <f ca="1">IF(IFERROR(INDEX((COPIA!$DA$3:$DE$1339),MATCH(ROWS(E$10:E239),COPIA!$DF$3:$DF$1339,0),COLUMN()-1),"")=0,"",IFERROR(INDEX((COPIA!$DA$3:$DE$1339),MATCH(ROWS(E$10:E239),COPIA!$DF$3:$DF$1339,0),COLUMN()-1),""))</f>
        <v/>
      </c>
      <c r="F239" s="6" t="str">
        <f ca="1">IF(IFERROR(INDEX((COPIA!$DA$3:$DE$1339),MATCH(ROWS(F$10:F239),COPIA!$DF$3:$DF$1339,0),COLUMN()-1),"")=0,"",IFERROR(INDEX((COPIA!$DA$3:$DE$1339),MATCH(ROWS(F$10:F239),COPIA!$DF$3:$DF$1339,0),COLUMN()-1),""))</f>
        <v/>
      </c>
    </row>
    <row r="240" spans="1:6" x14ac:dyDescent="0.3">
      <c r="A240" s="60" t="str">
        <f ca="1">COPIA!AC233</f>
        <v>AMMORTAMENTO FABBRICATI</v>
      </c>
      <c r="B240" s="10" t="str">
        <f ca="1">IF(IFERROR(INDEX((COPIA!$DA$3:$DE$1339),MATCH(ROWS(B$10:B240),COPIA!$DF$3:$DF$1339,0),COLUMN()-1),"")&gt;=1,IFERROR(INDEX((COPIA!$DA$3:$DE$1339),MATCH(ROWS(B$10:B240),COPIA!$DF$3:$DF$1339,0),COLUMN()-1),""),"")</f>
        <v/>
      </c>
      <c r="C240" s="5" t="str">
        <f ca="1">SUBSTITUTE(IFERROR(INDEX((COPIA!$DA$3:$DE$1339),MATCH(ROWS(C$10:C240),COPIA!$DF$3:$DF$1339,0),COLUMN()-1),""),"MASTRO","")</f>
        <v/>
      </c>
      <c r="D240" s="136" t="str">
        <f ca="1">IF(IFERROR(INDEX((COPIA!$DA$3:$DE$1339),MATCH(ROWS(D$10:D240),COPIA!$DF$3:$DF$1339,0),COLUMN()-1),"")=0,"",IFERROR(INDEX((COPIA!$DA$3:$DE$1339),MATCH(ROWS(D$10:D240),COPIA!$DF$3:$DF$1339,0),COLUMN()-1),""))</f>
        <v/>
      </c>
      <c r="E240" s="9" t="str">
        <f ca="1">IF(IFERROR(INDEX((COPIA!$DA$3:$DE$1339),MATCH(ROWS(E$10:E240),COPIA!$DF$3:$DF$1339,0),COLUMN()-1),"")=0,"",IFERROR(INDEX((COPIA!$DA$3:$DE$1339),MATCH(ROWS(E$10:E240),COPIA!$DF$3:$DF$1339,0),COLUMN()-1),""))</f>
        <v/>
      </c>
      <c r="F240" s="6" t="str">
        <f ca="1">IF(IFERROR(INDEX((COPIA!$DA$3:$DE$1339),MATCH(ROWS(F$10:F240),COPIA!$DF$3:$DF$1339,0),COLUMN()-1),"")=0,"",IFERROR(INDEX((COPIA!$DA$3:$DE$1339),MATCH(ROWS(F$10:F240),COPIA!$DF$3:$DF$1339,0),COLUMN()-1),""))</f>
        <v/>
      </c>
    </row>
    <row r="241" spans="1:6" x14ac:dyDescent="0.3">
      <c r="A241" s="60" t="str">
        <f ca="1">COPIA!AC234</f>
        <v>AMMORTAMENTO IMPIANTI E MACCHINARI</v>
      </c>
      <c r="B241" s="10" t="str">
        <f ca="1">IF(IFERROR(INDEX((COPIA!$DA$3:$DE$1339),MATCH(ROWS(B$10:B241),COPIA!$DF$3:$DF$1339,0),COLUMN()-1),"")&gt;=1,IFERROR(INDEX((COPIA!$DA$3:$DE$1339),MATCH(ROWS(B$10:B241),COPIA!$DF$3:$DF$1339,0),COLUMN()-1),""),"")</f>
        <v/>
      </c>
      <c r="C241" s="5" t="str">
        <f ca="1">SUBSTITUTE(IFERROR(INDEX((COPIA!$DA$3:$DE$1339),MATCH(ROWS(C$10:C241),COPIA!$DF$3:$DF$1339,0),COLUMN()-1),""),"MASTRO","")</f>
        <v/>
      </c>
      <c r="D241" s="136" t="str">
        <f ca="1">IF(IFERROR(INDEX((COPIA!$DA$3:$DE$1339),MATCH(ROWS(D$10:D241),COPIA!$DF$3:$DF$1339,0),COLUMN()-1),"")=0,"",IFERROR(INDEX((COPIA!$DA$3:$DE$1339),MATCH(ROWS(D$10:D241),COPIA!$DF$3:$DF$1339,0),COLUMN()-1),""))</f>
        <v/>
      </c>
      <c r="E241" s="9" t="str">
        <f ca="1">IF(IFERROR(INDEX((COPIA!$DA$3:$DE$1339),MATCH(ROWS(E$10:E241),COPIA!$DF$3:$DF$1339,0),COLUMN()-1),"")=0,"",IFERROR(INDEX((COPIA!$DA$3:$DE$1339),MATCH(ROWS(E$10:E241),COPIA!$DF$3:$DF$1339,0),COLUMN()-1),""))</f>
        <v/>
      </c>
      <c r="F241" s="6" t="str">
        <f ca="1">IF(IFERROR(INDEX((COPIA!$DA$3:$DE$1339),MATCH(ROWS(F$10:F241),COPIA!$DF$3:$DF$1339,0),COLUMN()-1),"")=0,"",IFERROR(INDEX((COPIA!$DA$3:$DE$1339),MATCH(ROWS(F$10:F241),COPIA!$DF$3:$DF$1339,0),COLUMN()-1),""))</f>
        <v/>
      </c>
    </row>
    <row r="242" spans="1:6" x14ac:dyDescent="0.3">
      <c r="A242" s="60" t="str">
        <f ca="1">COPIA!AC235</f>
        <v>AMMORTAMENTO ATTREZZATURE INDUSTRIALI</v>
      </c>
      <c r="B242" s="10" t="str">
        <f ca="1">IF(IFERROR(INDEX((COPIA!$DA$3:$DE$1339),MATCH(ROWS(B$10:B242),COPIA!$DF$3:$DF$1339,0),COLUMN()-1),"")&gt;=1,IFERROR(INDEX((COPIA!$DA$3:$DE$1339),MATCH(ROWS(B$10:B242),COPIA!$DF$3:$DF$1339,0),COLUMN()-1),""),"")</f>
        <v/>
      </c>
      <c r="C242" s="5" t="str">
        <f ca="1">SUBSTITUTE(IFERROR(INDEX((COPIA!$DA$3:$DE$1339),MATCH(ROWS(C$10:C242),COPIA!$DF$3:$DF$1339,0),COLUMN()-1),""),"MASTRO","")</f>
        <v/>
      </c>
      <c r="D242" s="136" t="str">
        <f ca="1">IF(IFERROR(INDEX((COPIA!$DA$3:$DE$1339),MATCH(ROWS(D$10:D242),COPIA!$DF$3:$DF$1339,0),COLUMN()-1),"")=0,"",IFERROR(INDEX((COPIA!$DA$3:$DE$1339),MATCH(ROWS(D$10:D242),COPIA!$DF$3:$DF$1339,0),COLUMN()-1),""))</f>
        <v/>
      </c>
      <c r="E242" s="9" t="str">
        <f ca="1">IF(IFERROR(INDEX((COPIA!$DA$3:$DE$1339),MATCH(ROWS(E$10:E242),COPIA!$DF$3:$DF$1339,0),COLUMN()-1),"")=0,"",IFERROR(INDEX((COPIA!$DA$3:$DE$1339),MATCH(ROWS(E$10:E242),COPIA!$DF$3:$DF$1339,0),COLUMN()-1),""))</f>
        <v/>
      </c>
      <c r="F242" s="6" t="str">
        <f ca="1">IF(IFERROR(INDEX((COPIA!$DA$3:$DE$1339),MATCH(ROWS(F$10:F242),COPIA!$DF$3:$DF$1339,0),COLUMN()-1),"")=0,"",IFERROR(INDEX((COPIA!$DA$3:$DE$1339),MATCH(ROWS(F$10:F242),COPIA!$DF$3:$DF$1339,0),COLUMN()-1),""))</f>
        <v/>
      </c>
    </row>
    <row r="243" spans="1:6" x14ac:dyDescent="0.3">
      <c r="A243" s="60" t="str">
        <f ca="1">COPIA!AC236</f>
        <v>AMMORTAMENTO ATTREZZATURE COMMERCIALI</v>
      </c>
      <c r="B243" s="10" t="str">
        <f ca="1">IF(IFERROR(INDEX((COPIA!$DA$3:$DE$1339),MATCH(ROWS(B$10:B243),COPIA!$DF$3:$DF$1339,0),COLUMN()-1),"")&gt;=1,IFERROR(INDEX((COPIA!$DA$3:$DE$1339),MATCH(ROWS(B$10:B243),COPIA!$DF$3:$DF$1339,0),COLUMN()-1),""),"")</f>
        <v/>
      </c>
      <c r="C243" s="5" t="str">
        <f ca="1">SUBSTITUTE(IFERROR(INDEX((COPIA!$DA$3:$DE$1339),MATCH(ROWS(C$10:C243),COPIA!$DF$3:$DF$1339,0),COLUMN()-1),""),"MASTRO","")</f>
        <v/>
      </c>
      <c r="D243" s="136" t="str">
        <f ca="1">IF(IFERROR(INDEX((COPIA!$DA$3:$DE$1339),MATCH(ROWS(D$10:D243),COPIA!$DF$3:$DF$1339,0),COLUMN()-1),"")=0,"",IFERROR(INDEX((COPIA!$DA$3:$DE$1339),MATCH(ROWS(D$10:D243),COPIA!$DF$3:$DF$1339,0),COLUMN()-1),""))</f>
        <v/>
      </c>
      <c r="E243" s="9" t="str">
        <f ca="1">IF(IFERROR(INDEX((COPIA!$DA$3:$DE$1339),MATCH(ROWS(E$10:E243),COPIA!$DF$3:$DF$1339,0),COLUMN()-1),"")=0,"",IFERROR(INDEX((COPIA!$DA$3:$DE$1339),MATCH(ROWS(E$10:E243),COPIA!$DF$3:$DF$1339,0),COLUMN()-1),""))</f>
        <v/>
      </c>
      <c r="F243" s="6" t="str">
        <f ca="1">IF(IFERROR(INDEX((COPIA!$DA$3:$DE$1339),MATCH(ROWS(F$10:F243),COPIA!$DF$3:$DF$1339,0),COLUMN()-1),"")=0,"",IFERROR(INDEX((COPIA!$DA$3:$DE$1339),MATCH(ROWS(F$10:F243),COPIA!$DF$3:$DF$1339,0),COLUMN()-1),""))</f>
        <v/>
      </c>
    </row>
    <row r="244" spans="1:6" x14ac:dyDescent="0.3">
      <c r="A244" s="60" t="str">
        <f ca="1">COPIA!AC237</f>
        <v>AMMORTAMENTO MACCHINE D'UFFICIO</v>
      </c>
      <c r="B244" s="10" t="str">
        <f ca="1">IF(IFERROR(INDEX((COPIA!$DA$3:$DE$1339),MATCH(ROWS(B$10:B244),COPIA!$DF$3:$DF$1339,0),COLUMN()-1),"")&gt;=1,IFERROR(INDEX((COPIA!$DA$3:$DE$1339),MATCH(ROWS(B$10:B244),COPIA!$DF$3:$DF$1339,0),COLUMN()-1),""),"")</f>
        <v/>
      </c>
      <c r="C244" s="5" t="str">
        <f ca="1">SUBSTITUTE(IFERROR(INDEX((COPIA!$DA$3:$DE$1339),MATCH(ROWS(C$10:C244),COPIA!$DF$3:$DF$1339,0),COLUMN()-1),""),"MASTRO","")</f>
        <v/>
      </c>
      <c r="D244" s="136" t="str">
        <f ca="1">IF(IFERROR(INDEX((COPIA!$DA$3:$DE$1339),MATCH(ROWS(D$10:D244),COPIA!$DF$3:$DF$1339,0),COLUMN()-1),"")=0,"",IFERROR(INDEX((COPIA!$DA$3:$DE$1339),MATCH(ROWS(D$10:D244),COPIA!$DF$3:$DF$1339,0),COLUMN()-1),""))</f>
        <v/>
      </c>
      <c r="E244" s="9" t="str">
        <f ca="1">IF(IFERROR(INDEX((COPIA!$DA$3:$DE$1339),MATCH(ROWS(E$10:E244),COPIA!$DF$3:$DF$1339,0),COLUMN()-1),"")=0,"",IFERROR(INDEX((COPIA!$DA$3:$DE$1339),MATCH(ROWS(E$10:E244),COPIA!$DF$3:$DF$1339,0),COLUMN()-1),""))</f>
        <v/>
      </c>
      <c r="F244" s="6" t="str">
        <f ca="1">IF(IFERROR(INDEX((COPIA!$DA$3:$DE$1339),MATCH(ROWS(F$10:F244),COPIA!$DF$3:$DF$1339,0),COLUMN()-1),"")=0,"",IFERROR(INDEX((COPIA!$DA$3:$DE$1339),MATCH(ROWS(F$10:F244),COPIA!$DF$3:$DF$1339,0),COLUMN()-1),""))</f>
        <v/>
      </c>
    </row>
    <row r="245" spans="1:6" x14ac:dyDescent="0.3">
      <c r="A245" s="60" t="str">
        <f ca="1">COPIA!AC238</f>
        <v>AMMORTAMENTO ARREDAMENTO</v>
      </c>
      <c r="B245" s="10" t="str">
        <f ca="1">IF(IFERROR(INDEX((COPIA!$DA$3:$DE$1339),MATCH(ROWS(B$10:B245),COPIA!$DF$3:$DF$1339,0),COLUMN()-1),"")&gt;=1,IFERROR(INDEX((COPIA!$DA$3:$DE$1339),MATCH(ROWS(B$10:B245),COPIA!$DF$3:$DF$1339,0),COLUMN()-1),""),"")</f>
        <v/>
      </c>
      <c r="C245" s="5" t="str">
        <f ca="1">SUBSTITUTE(IFERROR(INDEX((COPIA!$DA$3:$DE$1339),MATCH(ROWS(C$10:C245),COPIA!$DF$3:$DF$1339,0),COLUMN()-1),""),"MASTRO","")</f>
        <v/>
      </c>
      <c r="D245" s="136" t="str">
        <f ca="1">IF(IFERROR(INDEX((COPIA!$DA$3:$DE$1339),MATCH(ROWS(D$10:D245),COPIA!$DF$3:$DF$1339,0),COLUMN()-1),"")=0,"",IFERROR(INDEX((COPIA!$DA$3:$DE$1339),MATCH(ROWS(D$10:D245),COPIA!$DF$3:$DF$1339,0),COLUMN()-1),""))</f>
        <v/>
      </c>
      <c r="E245" s="9" t="str">
        <f ca="1">IF(IFERROR(INDEX((COPIA!$DA$3:$DE$1339),MATCH(ROWS(E$10:E245),COPIA!$DF$3:$DF$1339,0),COLUMN()-1),"")=0,"",IFERROR(INDEX((COPIA!$DA$3:$DE$1339),MATCH(ROWS(E$10:E245),COPIA!$DF$3:$DF$1339,0),COLUMN()-1),""))</f>
        <v/>
      </c>
      <c r="F245" s="6" t="str">
        <f ca="1">IF(IFERROR(INDEX((COPIA!$DA$3:$DE$1339),MATCH(ROWS(F$10:F245),COPIA!$DF$3:$DF$1339,0),COLUMN()-1),"")=0,"",IFERROR(INDEX((COPIA!$DA$3:$DE$1339),MATCH(ROWS(F$10:F245),COPIA!$DF$3:$DF$1339,0),COLUMN()-1),""))</f>
        <v/>
      </c>
    </row>
    <row r="246" spans="1:6" x14ac:dyDescent="0.3">
      <c r="A246" s="60" t="str">
        <f ca="1">COPIA!AC239</f>
        <v>AMMORTAMENTO AUTOMEZZI</v>
      </c>
      <c r="B246" s="10" t="str">
        <f ca="1">IF(IFERROR(INDEX((COPIA!$DA$3:$DE$1339),MATCH(ROWS(B$10:B246),COPIA!$DF$3:$DF$1339,0),COLUMN()-1),"")&gt;=1,IFERROR(INDEX((COPIA!$DA$3:$DE$1339),MATCH(ROWS(B$10:B246),COPIA!$DF$3:$DF$1339,0),COLUMN()-1),""),"")</f>
        <v/>
      </c>
      <c r="C246" s="5" t="str">
        <f ca="1">SUBSTITUTE(IFERROR(INDEX((COPIA!$DA$3:$DE$1339),MATCH(ROWS(C$10:C246),COPIA!$DF$3:$DF$1339,0),COLUMN()-1),""),"MASTRO","")</f>
        <v/>
      </c>
      <c r="D246" s="136" t="str">
        <f ca="1">IF(IFERROR(INDEX((COPIA!$DA$3:$DE$1339),MATCH(ROWS(D$10:D246),COPIA!$DF$3:$DF$1339,0),COLUMN()-1),"")=0,"",IFERROR(INDEX((COPIA!$DA$3:$DE$1339),MATCH(ROWS(D$10:D246),COPIA!$DF$3:$DF$1339,0),COLUMN()-1),""))</f>
        <v/>
      </c>
      <c r="E246" s="9" t="str">
        <f ca="1">IF(IFERROR(INDEX((COPIA!$DA$3:$DE$1339),MATCH(ROWS(E$10:E246),COPIA!$DF$3:$DF$1339,0),COLUMN()-1),"")=0,"",IFERROR(INDEX((COPIA!$DA$3:$DE$1339),MATCH(ROWS(E$10:E246),COPIA!$DF$3:$DF$1339,0),COLUMN()-1),""))</f>
        <v/>
      </c>
      <c r="F246" s="6" t="str">
        <f ca="1">IF(IFERROR(INDEX((COPIA!$DA$3:$DE$1339),MATCH(ROWS(F$10:F246),COPIA!$DF$3:$DF$1339,0),COLUMN()-1),"")=0,"",IFERROR(INDEX((COPIA!$DA$3:$DE$1339),MATCH(ROWS(F$10:F246),COPIA!$DF$3:$DF$1339,0),COLUMN()-1),""))</f>
        <v/>
      </c>
    </row>
    <row r="247" spans="1:6" x14ac:dyDescent="0.3">
      <c r="A247" s="60" t="str">
        <f ca="1">COPIA!AC240</f>
        <v>AMMORTAMENTO IMBALLAGGI DUREVOLI</v>
      </c>
      <c r="B247" s="10" t="str">
        <f ca="1">IF(IFERROR(INDEX((COPIA!$DA$3:$DE$1339),MATCH(ROWS(B$10:B247),COPIA!$DF$3:$DF$1339,0),COLUMN()-1),"")&gt;=1,IFERROR(INDEX((COPIA!$DA$3:$DE$1339),MATCH(ROWS(B$10:B247),COPIA!$DF$3:$DF$1339,0),COLUMN()-1),""),"")</f>
        <v/>
      </c>
      <c r="C247" s="5" t="str">
        <f ca="1">SUBSTITUTE(IFERROR(INDEX((COPIA!$DA$3:$DE$1339),MATCH(ROWS(C$10:C247),COPIA!$DF$3:$DF$1339,0),COLUMN()-1),""),"MASTRO","")</f>
        <v/>
      </c>
      <c r="D247" s="136" t="str">
        <f ca="1">IF(IFERROR(INDEX((COPIA!$DA$3:$DE$1339),MATCH(ROWS(D$10:D247),COPIA!$DF$3:$DF$1339,0),COLUMN()-1),"")=0,"",IFERROR(INDEX((COPIA!$DA$3:$DE$1339),MATCH(ROWS(D$10:D247),COPIA!$DF$3:$DF$1339,0),COLUMN()-1),""))</f>
        <v/>
      </c>
      <c r="E247" s="9" t="str">
        <f ca="1">IF(IFERROR(INDEX((COPIA!$DA$3:$DE$1339),MATCH(ROWS(E$10:E247),COPIA!$DF$3:$DF$1339,0),COLUMN()-1),"")=0,"",IFERROR(INDEX((COPIA!$DA$3:$DE$1339),MATCH(ROWS(E$10:E247),COPIA!$DF$3:$DF$1339,0),COLUMN()-1),""))</f>
        <v/>
      </c>
      <c r="F247" s="6" t="str">
        <f ca="1">IF(IFERROR(INDEX((COPIA!$DA$3:$DE$1339),MATCH(ROWS(F$10:F247),COPIA!$DF$3:$DF$1339,0),COLUMN()-1),"")=0,"",IFERROR(INDEX((COPIA!$DA$3:$DE$1339),MATCH(ROWS(F$10:F247),COPIA!$DF$3:$DF$1339,0),COLUMN()-1),""))</f>
        <v/>
      </c>
    </row>
    <row r="248" spans="1:6" x14ac:dyDescent="0.3">
      <c r="A248" s="60" t="str">
        <f ca="1">COPIA!AC241</f>
        <v>SVALUTAZIONE TERRENI E FABBRICATI</v>
      </c>
      <c r="B248" s="10" t="str">
        <f ca="1">IF(IFERROR(INDEX((COPIA!$DA$3:$DE$1339),MATCH(ROWS(B$10:B248),COPIA!$DF$3:$DF$1339,0),COLUMN()-1),"")&gt;=1,IFERROR(INDEX((COPIA!$DA$3:$DE$1339),MATCH(ROWS(B$10:B248),COPIA!$DF$3:$DF$1339,0),COLUMN()-1),""),"")</f>
        <v/>
      </c>
      <c r="C248" s="5" t="str">
        <f ca="1">SUBSTITUTE(IFERROR(INDEX((COPIA!$DA$3:$DE$1339),MATCH(ROWS(C$10:C248),COPIA!$DF$3:$DF$1339,0),COLUMN()-1),""),"MASTRO","")</f>
        <v/>
      </c>
      <c r="D248" s="136" t="str">
        <f ca="1">IF(IFERROR(INDEX((COPIA!$DA$3:$DE$1339),MATCH(ROWS(D$10:D248),COPIA!$DF$3:$DF$1339,0),COLUMN()-1),"")=0,"",IFERROR(INDEX((COPIA!$DA$3:$DE$1339),MATCH(ROWS(D$10:D248),COPIA!$DF$3:$DF$1339,0),COLUMN()-1),""))</f>
        <v/>
      </c>
      <c r="E248" s="9" t="str">
        <f ca="1">IF(IFERROR(INDEX((COPIA!$DA$3:$DE$1339),MATCH(ROWS(E$10:E248),COPIA!$DF$3:$DF$1339,0),COLUMN()-1),"")=0,"",IFERROR(INDEX((COPIA!$DA$3:$DE$1339),MATCH(ROWS(E$10:E248),COPIA!$DF$3:$DF$1339,0),COLUMN()-1),""))</f>
        <v/>
      </c>
      <c r="F248" s="6" t="str">
        <f ca="1">IF(IFERROR(INDEX((COPIA!$DA$3:$DE$1339),MATCH(ROWS(F$10:F248),COPIA!$DF$3:$DF$1339,0),COLUMN()-1),"")=0,"",IFERROR(INDEX((COPIA!$DA$3:$DE$1339),MATCH(ROWS(F$10:F248),COPIA!$DF$3:$DF$1339,0),COLUMN()-1),""))</f>
        <v/>
      </c>
    </row>
    <row r="249" spans="1:6" x14ac:dyDescent="0.3">
      <c r="A249" s="60" t="str">
        <f ca="1">COPIA!AC242</f>
        <v>SVALUTAZIONE IMPIANTI E MACCHINARI</v>
      </c>
      <c r="B249" s="10" t="str">
        <f ca="1">IF(IFERROR(INDEX((COPIA!$DA$3:$DE$1339),MATCH(ROWS(B$10:B249),COPIA!$DF$3:$DF$1339,0),COLUMN()-1),"")&gt;=1,IFERROR(INDEX((COPIA!$DA$3:$DE$1339),MATCH(ROWS(B$10:B249),COPIA!$DF$3:$DF$1339,0),COLUMN()-1),""),"")</f>
        <v/>
      </c>
      <c r="C249" s="5" t="str">
        <f ca="1">SUBSTITUTE(IFERROR(INDEX((COPIA!$DA$3:$DE$1339),MATCH(ROWS(C$10:C249),COPIA!$DF$3:$DF$1339,0),COLUMN()-1),""),"MASTRO","")</f>
        <v/>
      </c>
      <c r="D249" s="136" t="str">
        <f ca="1">IF(IFERROR(INDEX((COPIA!$DA$3:$DE$1339),MATCH(ROWS(D$10:D249),COPIA!$DF$3:$DF$1339,0),COLUMN()-1),"")=0,"",IFERROR(INDEX((COPIA!$DA$3:$DE$1339),MATCH(ROWS(D$10:D249),COPIA!$DF$3:$DF$1339,0),COLUMN()-1),""))</f>
        <v/>
      </c>
      <c r="E249" s="9" t="str">
        <f ca="1">IF(IFERROR(INDEX((COPIA!$DA$3:$DE$1339),MATCH(ROWS(E$10:E249),COPIA!$DF$3:$DF$1339,0),COLUMN()-1),"")=0,"",IFERROR(INDEX((COPIA!$DA$3:$DE$1339),MATCH(ROWS(E$10:E249),COPIA!$DF$3:$DF$1339,0),COLUMN()-1),""))</f>
        <v/>
      </c>
      <c r="F249" s="6" t="str">
        <f ca="1">IF(IFERROR(INDEX((COPIA!$DA$3:$DE$1339),MATCH(ROWS(F$10:F249),COPIA!$DF$3:$DF$1339,0),COLUMN()-1),"")=0,"",IFERROR(INDEX((COPIA!$DA$3:$DE$1339),MATCH(ROWS(F$10:F249),COPIA!$DF$3:$DF$1339,0),COLUMN()-1),""))</f>
        <v/>
      </c>
    </row>
    <row r="250" spans="1:6" x14ac:dyDescent="0.3">
      <c r="A250" s="60" t="str">
        <f ca="1">COPIA!AC243</f>
        <v>SVALUTAZIONE CREDITI</v>
      </c>
      <c r="B250" s="10" t="str">
        <f ca="1">IF(IFERROR(INDEX((COPIA!$DA$3:$DE$1339),MATCH(ROWS(B$10:B250),COPIA!$DF$3:$DF$1339,0),COLUMN()-1),"")&gt;=1,IFERROR(INDEX((COPIA!$DA$3:$DE$1339),MATCH(ROWS(B$10:B250),COPIA!$DF$3:$DF$1339,0),COLUMN()-1),""),"")</f>
        <v/>
      </c>
      <c r="C250" s="5" t="str">
        <f ca="1">SUBSTITUTE(IFERROR(INDEX((COPIA!$DA$3:$DE$1339),MATCH(ROWS(C$10:C250),COPIA!$DF$3:$DF$1339,0),COLUMN()-1),""),"MASTRO","")</f>
        <v/>
      </c>
      <c r="D250" s="136" t="str">
        <f ca="1">IF(IFERROR(INDEX((COPIA!$DA$3:$DE$1339),MATCH(ROWS(D$10:D250),COPIA!$DF$3:$DF$1339,0),COLUMN()-1),"")=0,"",IFERROR(INDEX((COPIA!$DA$3:$DE$1339),MATCH(ROWS(D$10:D250),COPIA!$DF$3:$DF$1339,0),COLUMN()-1),""))</f>
        <v/>
      </c>
      <c r="E250" s="9" t="str">
        <f ca="1">IF(IFERROR(INDEX((COPIA!$DA$3:$DE$1339),MATCH(ROWS(E$10:E250),COPIA!$DF$3:$DF$1339,0),COLUMN()-1),"")=0,"",IFERROR(INDEX((COPIA!$DA$3:$DE$1339),MATCH(ROWS(E$10:E250),COPIA!$DF$3:$DF$1339,0),COLUMN()-1),""))</f>
        <v/>
      </c>
      <c r="F250" s="6" t="str">
        <f ca="1">IF(IFERROR(INDEX((COPIA!$DA$3:$DE$1339),MATCH(ROWS(F$10:F250),COPIA!$DF$3:$DF$1339,0),COLUMN()-1),"")=0,"",IFERROR(INDEX((COPIA!$DA$3:$DE$1339),MATCH(ROWS(F$10:F250),COPIA!$DF$3:$DF$1339,0),COLUMN()-1),""))</f>
        <v/>
      </c>
    </row>
    <row r="251" spans="1:6" x14ac:dyDescent="0.3">
      <c r="A251" s="60" t="str">
        <f ca="1">COPIA!AC244</f>
        <v>MATERIE PRIME C/ESISTENZE INIZIALI</v>
      </c>
      <c r="B251" s="10" t="str">
        <f ca="1">IF(IFERROR(INDEX((COPIA!$DA$3:$DE$1339),MATCH(ROWS(B$10:B251),COPIA!$DF$3:$DF$1339,0),COLUMN()-1),"")&gt;=1,IFERROR(INDEX((COPIA!$DA$3:$DE$1339),MATCH(ROWS(B$10:B251),COPIA!$DF$3:$DF$1339,0),COLUMN()-1),""),"")</f>
        <v/>
      </c>
      <c r="C251" s="5" t="str">
        <f ca="1">SUBSTITUTE(IFERROR(INDEX((COPIA!$DA$3:$DE$1339),MATCH(ROWS(C$10:C251),COPIA!$DF$3:$DF$1339,0),COLUMN()-1),""),"MASTRO","")</f>
        <v/>
      </c>
      <c r="D251" s="136" t="str">
        <f ca="1">IF(IFERROR(INDEX((COPIA!$DA$3:$DE$1339),MATCH(ROWS(D$10:D251),COPIA!$DF$3:$DF$1339,0),COLUMN()-1),"")=0,"",IFERROR(INDEX((COPIA!$DA$3:$DE$1339),MATCH(ROWS(D$10:D251),COPIA!$DF$3:$DF$1339,0),COLUMN()-1),""))</f>
        <v/>
      </c>
      <c r="E251" s="9" t="str">
        <f ca="1">IF(IFERROR(INDEX((COPIA!$DA$3:$DE$1339),MATCH(ROWS(E$10:E251),COPIA!$DF$3:$DF$1339,0),COLUMN()-1),"")=0,"",IFERROR(INDEX((COPIA!$DA$3:$DE$1339),MATCH(ROWS(E$10:E251),COPIA!$DF$3:$DF$1339,0),COLUMN()-1),""))</f>
        <v/>
      </c>
      <c r="F251" s="6" t="str">
        <f ca="1">IF(IFERROR(INDEX((COPIA!$DA$3:$DE$1339),MATCH(ROWS(F$10:F251),COPIA!$DF$3:$DF$1339,0),COLUMN()-1),"")=0,"",IFERROR(INDEX((COPIA!$DA$3:$DE$1339),MATCH(ROWS(F$10:F251),COPIA!$DF$3:$DF$1339,0),COLUMN()-1),""))</f>
        <v/>
      </c>
    </row>
    <row r="252" spans="1:6" x14ac:dyDescent="0.3">
      <c r="A252" s="60" t="str">
        <f ca="1">COPIA!AC245</f>
        <v>MATERIE SUSSIDIARIE C/ESISTENZE INIZIALI</v>
      </c>
      <c r="B252" s="10" t="str">
        <f ca="1">IF(IFERROR(INDEX((COPIA!$DA$3:$DE$1339),MATCH(ROWS(B$10:B252),COPIA!$DF$3:$DF$1339,0),COLUMN()-1),"")&gt;=1,IFERROR(INDEX((COPIA!$DA$3:$DE$1339),MATCH(ROWS(B$10:B252),COPIA!$DF$3:$DF$1339,0),COLUMN()-1),""),"")</f>
        <v/>
      </c>
      <c r="C252" s="5" t="str">
        <f ca="1">SUBSTITUTE(IFERROR(INDEX((COPIA!$DA$3:$DE$1339),MATCH(ROWS(C$10:C252),COPIA!$DF$3:$DF$1339,0),COLUMN()-1),""),"MASTRO","")</f>
        <v/>
      </c>
      <c r="D252" s="136" t="str">
        <f ca="1">IF(IFERROR(INDEX((COPIA!$DA$3:$DE$1339),MATCH(ROWS(D$10:D252),COPIA!$DF$3:$DF$1339,0),COLUMN()-1),"")=0,"",IFERROR(INDEX((COPIA!$DA$3:$DE$1339),MATCH(ROWS(D$10:D252),COPIA!$DF$3:$DF$1339,0),COLUMN()-1),""))</f>
        <v/>
      </c>
      <c r="E252" s="9" t="str">
        <f ca="1">IF(IFERROR(INDEX((COPIA!$DA$3:$DE$1339),MATCH(ROWS(E$10:E252),COPIA!$DF$3:$DF$1339,0),COLUMN()-1),"")=0,"",IFERROR(INDEX((COPIA!$DA$3:$DE$1339),MATCH(ROWS(E$10:E252),COPIA!$DF$3:$DF$1339,0),COLUMN()-1),""))</f>
        <v/>
      </c>
      <c r="F252" s="6" t="str">
        <f ca="1">IF(IFERROR(INDEX((COPIA!$DA$3:$DE$1339),MATCH(ROWS(F$10:F252),COPIA!$DF$3:$DF$1339,0),COLUMN()-1),"")=0,"",IFERROR(INDEX((COPIA!$DA$3:$DE$1339),MATCH(ROWS(F$10:F252),COPIA!$DF$3:$DF$1339,0),COLUMN()-1),""))</f>
        <v/>
      </c>
    </row>
    <row r="253" spans="1:6" x14ac:dyDescent="0.3">
      <c r="A253" s="60" t="str">
        <f ca="1">COPIA!AC246</f>
        <v>MATERIE DI CONSUMO C/ESISTENZE INIZIALI</v>
      </c>
      <c r="B253" s="10" t="str">
        <f ca="1">IF(IFERROR(INDEX((COPIA!$DA$3:$DE$1339),MATCH(ROWS(B$10:B253),COPIA!$DF$3:$DF$1339,0),COLUMN()-1),"")&gt;=1,IFERROR(INDEX((COPIA!$DA$3:$DE$1339),MATCH(ROWS(B$10:B253),COPIA!$DF$3:$DF$1339,0),COLUMN()-1),""),"")</f>
        <v/>
      </c>
      <c r="C253" s="5" t="str">
        <f ca="1">SUBSTITUTE(IFERROR(INDEX((COPIA!$DA$3:$DE$1339),MATCH(ROWS(C$10:C253),COPIA!$DF$3:$DF$1339,0),COLUMN()-1),""),"MASTRO","")</f>
        <v/>
      </c>
      <c r="D253" s="136" t="str">
        <f ca="1">IF(IFERROR(INDEX((COPIA!$DA$3:$DE$1339),MATCH(ROWS(D$10:D253),COPIA!$DF$3:$DF$1339,0),COLUMN()-1),"")=0,"",IFERROR(INDEX((COPIA!$DA$3:$DE$1339),MATCH(ROWS(D$10:D253),COPIA!$DF$3:$DF$1339,0),COLUMN()-1),""))</f>
        <v/>
      </c>
      <c r="E253" s="9" t="str">
        <f ca="1">IF(IFERROR(INDEX((COPIA!$DA$3:$DE$1339),MATCH(ROWS(E$10:E253),COPIA!$DF$3:$DF$1339,0),COLUMN()-1),"")=0,"",IFERROR(INDEX((COPIA!$DA$3:$DE$1339),MATCH(ROWS(E$10:E253),COPIA!$DF$3:$DF$1339,0),COLUMN()-1),""))</f>
        <v/>
      </c>
      <c r="F253" s="6" t="str">
        <f ca="1">IF(IFERROR(INDEX((COPIA!$DA$3:$DE$1339),MATCH(ROWS(F$10:F253),COPIA!$DF$3:$DF$1339,0),COLUMN()-1),"")=0,"",IFERROR(INDEX((COPIA!$DA$3:$DE$1339),MATCH(ROWS(F$10:F253),COPIA!$DF$3:$DF$1339,0),COLUMN()-1),""))</f>
        <v/>
      </c>
    </row>
    <row r="254" spans="1:6" x14ac:dyDescent="0.3">
      <c r="A254" s="60" t="str">
        <f ca="1">COPIA!AC247</f>
        <v>MATERIE PRIME C/RIMANENZE FINALI</v>
      </c>
      <c r="B254" s="10" t="str">
        <f ca="1">IF(IFERROR(INDEX((COPIA!$DA$3:$DE$1339),MATCH(ROWS(B$10:B254),COPIA!$DF$3:$DF$1339,0),COLUMN()-1),"")&gt;=1,IFERROR(INDEX((COPIA!$DA$3:$DE$1339),MATCH(ROWS(B$10:B254),COPIA!$DF$3:$DF$1339,0),COLUMN()-1),""),"")</f>
        <v/>
      </c>
      <c r="C254" s="5" t="str">
        <f ca="1">SUBSTITUTE(IFERROR(INDEX((COPIA!$DA$3:$DE$1339),MATCH(ROWS(C$10:C254),COPIA!$DF$3:$DF$1339,0),COLUMN()-1),""),"MASTRO","")</f>
        <v/>
      </c>
      <c r="D254" s="136" t="str">
        <f ca="1">IF(IFERROR(INDEX((COPIA!$DA$3:$DE$1339),MATCH(ROWS(D$10:D254),COPIA!$DF$3:$DF$1339,0),COLUMN()-1),"")=0,"",IFERROR(INDEX((COPIA!$DA$3:$DE$1339),MATCH(ROWS(D$10:D254),COPIA!$DF$3:$DF$1339,0),COLUMN()-1),""))</f>
        <v/>
      </c>
      <c r="E254" s="9" t="str">
        <f ca="1">IF(IFERROR(INDEX((COPIA!$DA$3:$DE$1339),MATCH(ROWS(E$10:E254),COPIA!$DF$3:$DF$1339,0),COLUMN()-1),"")=0,"",IFERROR(INDEX((COPIA!$DA$3:$DE$1339),MATCH(ROWS(E$10:E254),COPIA!$DF$3:$DF$1339,0),COLUMN()-1),""))</f>
        <v/>
      </c>
      <c r="F254" s="6" t="str">
        <f ca="1">IF(IFERROR(INDEX((COPIA!$DA$3:$DE$1339),MATCH(ROWS(F$10:F254),COPIA!$DF$3:$DF$1339,0),COLUMN()-1),"")=0,"",IFERROR(INDEX((COPIA!$DA$3:$DE$1339),MATCH(ROWS(F$10:F254),COPIA!$DF$3:$DF$1339,0),COLUMN()-1),""))</f>
        <v/>
      </c>
    </row>
    <row r="255" spans="1:6" x14ac:dyDescent="0.3">
      <c r="A255" s="60" t="str">
        <f ca="1">COPIA!AC248</f>
        <v>MATERIE SUSSIDIARIE C/RIMANENZE FINALI</v>
      </c>
      <c r="B255" s="10" t="str">
        <f ca="1">IF(IFERROR(INDEX((COPIA!$DA$3:$DE$1339),MATCH(ROWS(B$10:B255),COPIA!$DF$3:$DF$1339,0),COLUMN()-1),"")&gt;=1,IFERROR(INDEX((COPIA!$DA$3:$DE$1339),MATCH(ROWS(B$10:B255),COPIA!$DF$3:$DF$1339,0),COLUMN()-1),""),"")</f>
        <v/>
      </c>
      <c r="C255" s="5" t="str">
        <f ca="1">SUBSTITUTE(IFERROR(INDEX((COPIA!$DA$3:$DE$1339),MATCH(ROWS(C$10:C255),COPIA!$DF$3:$DF$1339,0),COLUMN()-1),""),"MASTRO","")</f>
        <v/>
      </c>
      <c r="D255" s="136" t="str">
        <f ca="1">IF(IFERROR(INDEX((COPIA!$DA$3:$DE$1339),MATCH(ROWS(D$10:D255),COPIA!$DF$3:$DF$1339,0),COLUMN()-1),"")=0,"",IFERROR(INDEX((COPIA!$DA$3:$DE$1339),MATCH(ROWS(D$10:D255),COPIA!$DF$3:$DF$1339,0),COLUMN()-1),""))</f>
        <v/>
      </c>
      <c r="E255" s="9" t="str">
        <f ca="1">IF(IFERROR(INDEX((COPIA!$DA$3:$DE$1339),MATCH(ROWS(E$10:E255),COPIA!$DF$3:$DF$1339,0),COLUMN()-1),"")=0,"",IFERROR(INDEX((COPIA!$DA$3:$DE$1339),MATCH(ROWS(E$10:E255),COPIA!$DF$3:$DF$1339,0),COLUMN()-1),""))</f>
        <v/>
      </c>
      <c r="F255" s="6" t="str">
        <f ca="1">IF(IFERROR(INDEX((COPIA!$DA$3:$DE$1339),MATCH(ROWS(F$10:F255),COPIA!$DF$3:$DF$1339,0),COLUMN()-1),"")=0,"",IFERROR(INDEX((COPIA!$DA$3:$DE$1339),MATCH(ROWS(F$10:F255),COPIA!$DF$3:$DF$1339,0),COLUMN()-1),""))</f>
        <v/>
      </c>
    </row>
    <row r="256" spans="1:6" x14ac:dyDescent="0.3">
      <c r="A256" s="60" t="str">
        <f ca="1">COPIA!AC249</f>
        <v>MATERIE DI CONSUMO C/RIMANENZE FINALI</v>
      </c>
      <c r="B256" s="10" t="str">
        <f ca="1">IF(IFERROR(INDEX((COPIA!$DA$3:$DE$1339),MATCH(ROWS(B$10:B256),COPIA!$DF$3:$DF$1339,0),COLUMN()-1),"")&gt;=1,IFERROR(INDEX((COPIA!$DA$3:$DE$1339),MATCH(ROWS(B$10:B256),COPIA!$DF$3:$DF$1339,0),COLUMN()-1),""),"")</f>
        <v/>
      </c>
      <c r="C256" s="5" t="str">
        <f ca="1">SUBSTITUTE(IFERROR(INDEX((COPIA!$DA$3:$DE$1339),MATCH(ROWS(C$10:C256),COPIA!$DF$3:$DF$1339,0),COLUMN()-1),""),"MASTRO","")</f>
        <v/>
      </c>
      <c r="D256" s="136" t="str">
        <f ca="1">IF(IFERROR(INDEX((COPIA!$DA$3:$DE$1339),MATCH(ROWS(D$10:D256),COPIA!$DF$3:$DF$1339,0),COLUMN()-1),"")=0,"",IFERROR(INDEX((COPIA!$DA$3:$DE$1339),MATCH(ROWS(D$10:D256),COPIA!$DF$3:$DF$1339,0),COLUMN()-1),""))</f>
        <v/>
      </c>
      <c r="E256" s="9" t="str">
        <f ca="1">IF(IFERROR(INDEX((COPIA!$DA$3:$DE$1339),MATCH(ROWS(E$10:E256),COPIA!$DF$3:$DF$1339,0),COLUMN()-1),"")=0,"",IFERROR(INDEX((COPIA!$DA$3:$DE$1339),MATCH(ROWS(E$10:E256),COPIA!$DF$3:$DF$1339,0),COLUMN()-1),""))</f>
        <v/>
      </c>
      <c r="F256" s="6" t="str">
        <f ca="1">IF(IFERROR(INDEX((COPIA!$DA$3:$DE$1339),MATCH(ROWS(F$10:F256),COPIA!$DF$3:$DF$1339,0),COLUMN()-1),"")=0,"",IFERROR(INDEX((COPIA!$DA$3:$DE$1339),MATCH(ROWS(F$10:F256),COPIA!$DF$3:$DF$1339,0),COLUMN()-1),""))</f>
        <v/>
      </c>
    </row>
    <row r="257" spans="1:6" x14ac:dyDescent="0.3">
      <c r="A257" s="60" t="str">
        <f ca="1">COPIA!AC250</f>
        <v>ACCANTONAMENTO PER RESPONSABILITÀ CIVILE</v>
      </c>
      <c r="B257" s="10" t="str">
        <f ca="1">IF(IFERROR(INDEX((COPIA!$DA$3:$DE$1339),MATCH(ROWS(B$10:B257),COPIA!$DF$3:$DF$1339,0),COLUMN()-1),"")&gt;=1,IFERROR(INDEX((COPIA!$DA$3:$DE$1339),MATCH(ROWS(B$10:B257),COPIA!$DF$3:$DF$1339,0),COLUMN()-1),""),"")</f>
        <v/>
      </c>
      <c r="C257" s="5" t="str">
        <f ca="1">SUBSTITUTE(IFERROR(INDEX((COPIA!$DA$3:$DE$1339),MATCH(ROWS(C$10:C257),COPIA!$DF$3:$DF$1339,0),COLUMN()-1),""),"MASTRO","")</f>
        <v/>
      </c>
      <c r="D257" s="136" t="str">
        <f ca="1">IF(IFERROR(INDEX((COPIA!$DA$3:$DE$1339),MATCH(ROWS(D$10:D257),COPIA!$DF$3:$DF$1339,0),COLUMN()-1),"")=0,"",IFERROR(INDEX((COPIA!$DA$3:$DE$1339),MATCH(ROWS(D$10:D257),COPIA!$DF$3:$DF$1339,0),COLUMN()-1),""))</f>
        <v/>
      </c>
      <c r="E257" s="9" t="str">
        <f ca="1">IF(IFERROR(INDEX((COPIA!$DA$3:$DE$1339),MATCH(ROWS(E$10:E257),COPIA!$DF$3:$DF$1339,0),COLUMN()-1),"")=0,"",IFERROR(INDEX((COPIA!$DA$3:$DE$1339),MATCH(ROWS(E$10:E257),COPIA!$DF$3:$DF$1339,0),COLUMN()-1),""))</f>
        <v/>
      </c>
      <c r="F257" s="6" t="str">
        <f ca="1">IF(IFERROR(INDEX((COPIA!$DA$3:$DE$1339),MATCH(ROWS(F$10:F257),COPIA!$DF$3:$DF$1339,0),COLUMN()-1),"")=0,"",IFERROR(INDEX((COPIA!$DA$3:$DE$1339),MATCH(ROWS(F$10:F257),COPIA!$DF$3:$DF$1339,0),COLUMN()-1),""))</f>
        <v/>
      </c>
    </row>
    <row r="258" spans="1:6" x14ac:dyDescent="0.3">
      <c r="A258" s="60" t="str">
        <f ca="1">COPIA!AC251</f>
        <v>ACCANTONAMENTO PER MANUTENZIONI PROGRAMMATE</v>
      </c>
      <c r="B258" s="10" t="str">
        <f ca="1">IF(IFERROR(INDEX((COPIA!$DA$3:$DE$1339),MATCH(ROWS(B$10:B258),COPIA!$DF$3:$DF$1339,0),COLUMN()-1),"")&gt;=1,IFERROR(INDEX((COPIA!$DA$3:$DE$1339),MATCH(ROWS(B$10:B258),COPIA!$DF$3:$DF$1339,0),COLUMN()-1),""),"")</f>
        <v/>
      </c>
      <c r="C258" s="5" t="str">
        <f ca="1">SUBSTITUTE(IFERROR(INDEX((COPIA!$DA$3:$DE$1339),MATCH(ROWS(C$10:C258),COPIA!$DF$3:$DF$1339,0),COLUMN()-1),""),"MASTRO","")</f>
        <v/>
      </c>
      <c r="D258" s="136" t="str">
        <f ca="1">IF(IFERROR(INDEX((COPIA!$DA$3:$DE$1339),MATCH(ROWS(D$10:D258),COPIA!$DF$3:$DF$1339,0),COLUMN()-1),"")=0,"",IFERROR(INDEX((COPIA!$DA$3:$DE$1339),MATCH(ROWS(D$10:D258),COPIA!$DF$3:$DF$1339,0),COLUMN()-1),""))</f>
        <v/>
      </c>
      <c r="E258" s="9" t="str">
        <f ca="1">IF(IFERROR(INDEX((COPIA!$DA$3:$DE$1339),MATCH(ROWS(E$10:E258),COPIA!$DF$3:$DF$1339,0),COLUMN()-1),"")=0,"",IFERROR(INDEX((COPIA!$DA$3:$DE$1339),MATCH(ROWS(E$10:E258),COPIA!$DF$3:$DF$1339,0),COLUMN()-1),""))</f>
        <v/>
      </c>
      <c r="F258" s="6" t="str">
        <f ca="1">IF(IFERROR(INDEX((COPIA!$DA$3:$DE$1339),MATCH(ROWS(F$10:F258),COPIA!$DF$3:$DF$1339,0),COLUMN()-1),"")=0,"",IFERROR(INDEX((COPIA!$DA$3:$DE$1339),MATCH(ROWS(F$10:F258),COPIA!$DF$3:$DF$1339,0),COLUMN()-1),""))</f>
        <v/>
      </c>
    </row>
    <row r="259" spans="1:6" x14ac:dyDescent="0.3">
      <c r="A259" s="60" t="str">
        <f ca="1">COPIA!AC252</f>
        <v>ACCANTONAMENTO PER GARANZIA PRODOTTI</v>
      </c>
      <c r="B259" s="10" t="str">
        <f ca="1">IF(IFERROR(INDEX((COPIA!$DA$3:$DE$1339),MATCH(ROWS(B$10:B259),COPIA!$DF$3:$DF$1339,0),COLUMN()-1),"")&gt;=1,IFERROR(INDEX((COPIA!$DA$3:$DE$1339),MATCH(ROWS(B$10:B259),COPIA!$DF$3:$DF$1339,0),COLUMN()-1),""),"")</f>
        <v/>
      </c>
      <c r="C259" s="5" t="str">
        <f ca="1">SUBSTITUTE(IFERROR(INDEX((COPIA!$DA$3:$DE$1339),MATCH(ROWS(C$10:C259),COPIA!$DF$3:$DF$1339,0),COLUMN()-1),""),"MASTRO","")</f>
        <v/>
      </c>
      <c r="D259" s="136" t="str">
        <f ca="1">IF(IFERROR(INDEX((COPIA!$DA$3:$DE$1339),MATCH(ROWS(D$10:D259),COPIA!$DF$3:$DF$1339,0),COLUMN()-1),"")=0,"",IFERROR(INDEX((COPIA!$DA$3:$DE$1339),MATCH(ROWS(D$10:D259),COPIA!$DF$3:$DF$1339,0),COLUMN()-1),""))</f>
        <v/>
      </c>
      <c r="E259" s="9" t="str">
        <f ca="1">IF(IFERROR(INDEX((COPIA!$DA$3:$DE$1339),MATCH(ROWS(E$10:E259),COPIA!$DF$3:$DF$1339,0),COLUMN()-1),"")=0,"",IFERROR(INDEX((COPIA!$DA$3:$DE$1339),MATCH(ROWS(E$10:E259),COPIA!$DF$3:$DF$1339,0),COLUMN()-1),""))</f>
        <v/>
      </c>
      <c r="F259" s="6" t="str">
        <f ca="1">IF(IFERROR(INDEX((COPIA!$DA$3:$DE$1339),MATCH(ROWS(F$10:F259),COPIA!$DF$3:$DF$1339,0),COLUMN()-1),"")=0,"",IFERROR(INDEX((COPIA!$DA$3:$DE$1339),MATCH(ROWS(F$10:F259),COPIA!$DF$3:$DF$1339,0),COLUMN()-1),""))</f>
        <v/>
      </c>
    </row>
    <row r="260" spans="1:6" x14ac:dyDescent="0.3">
      <c r="A260" s="60" t="str">
        <f ca="1">COPIA!AC253</f>
        <v>ARROTONDAMENTI PASSIVI</v>
      </c>
      <c r="B260" s="10" t="str">
        <f ca="1">IF(IFERROR(INDEX((COPIA!$DA$3:$DE$1339),MATCH(ROWS(B$10:B260),COPIA!$DF$3:$DF$1339,0),COLUMN()-1),"")&gt;=1,IFERROR(INDEX((COPIA!$DA$3:$DE$1339),MATCH(ROWS(B$10:B260),COPIA!$DF$3:$DF$1339,0),COLUMN()-1),""),"")</f>
        <v/>
      </c>
      <c r="C260" s="5" t="str">
        <f ca="1">SUBSTITUTE(IFERROR(INDEX((COPIA!$DA$3:$DE$1339),MATCH(ROWS(C$10:C260),COPIA!$DF$3:$DF$1339,0),COLUMN()-1),""),"MASTRO","")</f>
        <v/>
      </c>
      <c r="D260" s="136" t="str">
        <f ca="1">IF(IFERROR(INDEX((COPIA!$DA$3:$DE$1339),MATCH(ROWS(D$10:D260),COPIA!$DF$3:$DF$1339,0),COLUMN()-1),"")=0,"",IFERROR(INDEX((COPIA!$DA$3:$DE$1339),MATCH(ROWS(D$10:D260),COPIA!$DF$3:$DF$1339,0),COLUMN()-1),""))</f>
        <v/>
      </c>
      <c r="E260" s="9" t="str">
        <f ca="1">IF(IFERROR(INDEX((COPIA!$DA$3:$DE$1339),MATCH(ROWS(E$10:E260),COPIA!$DF$3:$DF$1339,0),COLUMN()-1),"")=0,"",IFERROR(INDEX((COPIA!$DA$3:$DE$1339),MATCH(ROWS(E$10:E260),COPIA!$DF$3:$DF$1339,0),COLUMN()-1),""))</f>
        <v/>
      </c>
      <c r="F260" s="6" t="str">
        <f ca="1">IF(IFERROR(INDEX((COPIA!$DA$3:$DE$1339),MATCH(ROWS(F$10:F260),COPIA!$DF$3:$DF$1339,0),COLUMN()-1),"")=0,"",IFERROR(INDEX((COPIA!$DA$3:$DE$1339),MATCH(ROWS(F$10:F260),COPIA!$DF$3:$DF$1339,0),COLUMN()-1),""))</f>
        <v/>
      </c>
    </row>
    <row r="261" spans="1:6" x14ac:dyDescent="0.3">
      <c r="A261" s="60" t="str">
        <f ca="1">COPIA!AC254</f>
        <v>ONERI FISCALI DIVERSI</v>
      </c>
      <c r="B261" s="10" t="str">
        <f ca="1">IF(IFERROR(INDEX((COPIA!$DA$3:$DE$1339),MATCH(ROWS(B$10:B261),COPIA!$DF$3:$DF$1339,0),COLUMN()-1),"")&gt;=1,IFERROR(INDEX((COPIA!$DA$3:$DE$1339),MATCH(ROWS(B$10:B261),COPIA!$DF$3:$DF$1339,0),COLUMN()-1),""),"")</f>
        <v/>
      </c>
      <c r="C261" s="5" t="str">
        <f ca="1">SUBSTITUTE(IFERROR(INDEX((COPIA!$DA$3:$DE$1339),MATCH(ROWS(C$10:C261),COPIA!$DF$3:$DF$1339,0),COLUMN()-1),""),"MASTRO","")</f>
        <v/>
      </c>
      <c r="D261" s="136" t="str">
        <f ca="1">IF(IFERROR(INDEX((COPIA!$DA$3:$DE$1339),MATCH(ROWS(D$10:D261),COPIA!$DF$3:$DF$1339,0),COLUMN()-1),"")=0,"",IFERROR(INDEX((COPIA!$DA$3:$DE$1339),MATCH(ROWS(D$10:D261),COPIA!$DF$3:$DF$1339,0),COLUMN()-1),""))</f>
        <v/>
      </c>
      <c r="E261" s="9" t="str">
        <f ca="1">IF(IFERROR(INDEX((COPIA!$DA$3:$DE$1339),MATCH(ROWS(E$10:E261),COPIA!$DF$3:$DF$1339,0),COLUMN()-1),"")=0,"",IFERROR(INDEX((COPIA!$DA$3:$DE$1339),MATCH(ROWS(E$10:E261),COPIA!$DF$3:$DF$1339,0),COLUMN()-1),""))</f>
        <v/>
      </c>
      <c r="F261" s="6" t="str">
        <f ca="1">IF(IFERROR(INDEX((COPIA!$DA$3:$DE$1339),MATCH(ROWS(F$10:F261),COPIA!$DF$3:$DF$1339,0),COLUMN()-1),"")=0,"",IFERROR(INDEX((COPIA!$DA$3:$DE$1339),MATCH(ROWS(F$10:F261),COPIA!$DF$3:$DF$1339,0),COLUMN()-1),""))</f>
        <v/>
      </c>
    </row>
    <row r="262" spans="1:6" x14ac:dyDescent="0.3">
      <c r="A262" s="60" t="str">
        <f ca="1">COPIA!AC255</f>
        <v>ACCANTONAMENTO PER IMPOSTE INDIRETTE</v>
      </c>
      <c r="B262" s="10" t="str">
        <f ca="1">IF(IFERROR(INDEX((COPIA!$DA$3:$DE$1339),MATCH(ROWS(B$10:B262),COPIA!$DF$3:$DF$1339,0),COLUMN()-1),"")&gt;=1,IFERROR(INDEX((COPIA!$DA$3:$DE$1339),MATCH(ROWS(B$10:B262),COPIA!$DF$3:$DF$1339,0),COLUMN()-1),""),"")</f>
        <v/>
      </c>
      <c r="C262" s="5" t="str">
        <f ca="1">SUBSTITUTE(IFERROR(INDEX((COPIA!$DA$3:$DE$1339),MATCH(ROWS(C$10:C262),COPIA!$DF$3:$DF$1339,0),COLUMN()-1),""),"MASTRO","")</f>
        <v/>
      </c>
      <c r="D262" s="136" t="str">
        <f ca="1">IF(IFERROR(INDEX((COPIA!$DA$3:$DE$1339),MATCH(ROWS(D$10:D262),COPIA!$DF$3:$DF$1339,0),COLUMN()-1),"")=0,"",IFERROR(INDEX((COPIA!$DA$3:$DE$1339),MATCH(ROWS(D$10:D262),COPIA!$DF$3:$DF$1339,0),COLUMN()-1),""))</f>
        <v/>
      </c>
      <c r="E262" s="9" t="str">
        <f ca="1">IF(IFERROR(INDEX((COPIA!$DA$3:$DE$1339),MATCH(ROWS(E$10:E262),COPIA!$DF$3:$DF$1339,0),COLUMN()-1),"")=0,"",IFERROR(INDEX((COPIA!$DA$3:$DE$1339),MATCH(ROWS(E$10:E262),COPIA!$DF$3:$DF$1339,0),COLUMN()-1),""))</f>
        <v/>
      </c>
      <c r="F262" s="6" t="str">
        <f ca="1">IF(IFERROR(INDEX((COPIA!$DA$3:$DE$1339),MATCH(ROWS(F$10:F262),COPIA!$DF$3:$DF$1339,0),COLUMN()-1),"")=0,"",IFERROR(INDEX((COPIA!$DA$3:$DE$1339),MATCH(ROWS(F$10:F262),COPIA!$DF$3:$DF$1339,0),COLUMN()-1),""))</f>
        <v/>
      </c>
    </row>
    <row r="263" spans="1:6" x14ac:dyDescent="0.3">
      <c r="A263" s="60" t="str">
        <f ca="1">COPIA!AC256</f>
        <v>PERDITE SU CREDITI</v>
      </c>
      <c r="B263" s="10" t="str">
        <f ca="1">IF(IFERROR(INDEX((COPIA!$DA$3:$DE$1339),MATCH(ROWS(B$10:B263),COPIA!$DF$3:$DF$1339,0),COLUMN()-1),"")&gt;=1,IFERROR(INDEX((COPIA!$DA$3:$DE$1339),MATCH(ROWS(B$10:B263),COPIA!$DF$3:$DF$1339,0),COLUMN()-1),""),"")</f>
        <v/>
      </c>
      <c r="C263" s="5" t="str">
        <f ca="1">SUBSTITUTE(IFERROR(INDEX((COPIA!$DA$3:$DE$1339),MATCH(ROWS(C$10:C263),COPIA!$DF$3:$DF$1339,0),COLUMN()-1),""),"MASTRO","")</f>
        <v/>
      </c>
      <c r="D263" s="136" t="str">
        <f ca="1">IF(IFERROR(INDEX((COPIA!$DA$3:$DE$1339),MATCH(ROWS(D$10:D263),COPIA!$DF$3:$DF$1339,0),COLUMN()-1),"")=0,"",IFERROR(INDEX((COPIA!$DA$3:$DE$1339),MATCH(ROWS(D$10:D263),COPIA!$DF$3:$DF$1339,0),COLUMN()-1),""))</f>
        <v/>
      </c>
      <c r="E263" s="9" t="str">
        <f ca="1">IF(IFERROR(INDEX((COPIA!$DA$3:$DE$1339),MATCH(ROWS(E$10:E263),COPIA!$DF$3:$DF$1339,0),COLUMN()-1),"")=0,"",IFERROR(INDEX((COPIA!$DA$3:$DE$1339),MATCH(ROWS(E$10:E263),COPIA!$DF$3:$DF$1339,0),COLUMN()-1),""))</f>
        <v/>
      </c>
      <c r="F263" s="6" t="str">
        <f ca="1">IF(IFERROR(INDEX((COPIA!$DA$3:$DE$1339),MATCH(ROWS(F$10:F263),COPIA!$DF$3:$DF$1339,0),COLUMN()-1),"")=0,"",IFERROR(INDEX((COPIA!$DA$3:$DE$1339),MATCH(ROWS(F$10:F263),COPIA!$DF$3:$DF$1339,0),COLUMN()-1),""))</f>
        <v/>
      </c>
    </row>
    <row r="264" spans="1:6" x14ac:dyDescent="0.3">
      <c r="A264" s="60" t="str">
        <f ca="1">COPIA!AC257</f>
        <v>MINUSVALENZE</v>
      </c>
      <c r="B264" s="10" t="str">
        <f ca="1">IF(IFERROR(INDEX((COPIA!$DA$3:$DE$1339),MATCH(ROWS(B$10:B264),COPIA!$DF$3:$DF$1339,0),COLUMN()-1),"")&gt;=1,IFERROR(INDEX((COPIA!$DA$3:$DE$1339),MATCH(ROWS(B$10:B264),COPIA!$DF$3:$DF$1339,0),COLUMN()-1),""),"")</f>
        <v/>
      </c>
      <c r="C264" s="5" t="str">
        <f ca="1">SUBSTITUTE(IFERROR(INDEX((COPIA!$DA$3:$DE$1339),MATCH(ROWS(C$10:C264),COPIA!$DF$3:$DF$1339,0),COLUMN()-1),""),"MASTRO","")</f>
        <v/>
      </c>
      <c r="D264" s="136" t="str">
        <f ca="1">IF(IFERROR(INDEX((COPIA!$DA$3:$DE$1339),MATCH(ROWS(D$10:D264),COPIA!$DF$3:$DF$1339,0),COLUMN()-1),"")=0,"",IFERROR(INDEX((COPIA!$DA$3:$DE$1339),MATCH(ROWS(D$10:D264),COPIA!$DF$3:$DF$1339,0),COLUMN()-1),""))</f>
        <v/>
      </c>
      <c r="E264" s="9" t="str">
        <f ca="1">IF(IFERROR(INDEX((COPIA!$DA$3:$DE$1339),MATCH(ROWS(E$10:E264),COPIA!$DF$3:$DF$1339,0),COLUMN()-1),"")=0,"",IFERROR(INDEX((COPIA!$DA$3:$DE$1339),MATCH(ROWS(E$10:E264),COPIA!$DF$3:$DF$1339,0),COLUMN()-1),""))</f>
        <v/>
      </c>
      <c r="F264" s="6" t="str">
        <f ca="1">IF(IFERROR(INDEX((COPIA!$DA$3:$DE$1339),MATCH(ROWS(F$10:F264),COPIA!$DF$3:$DF$1339,0),COLUMN()-1),"")=0,"",IFERROR(INDEX((COPIA!$DA$3:$DE$1339),MATCH(ROWS(F$10:F264),COPIA!$DF$3:$DF$1339,0),COLUMN()-1),""))</f>
        <v/>
      </c>
    </row>
    <row r="265" spans="1:6" x14ac:dyDescent="0.3">
      <c r="A265" s="60" t="str">
        <f ca="1">COPIA!AC258</f>
        <v>SOPRAVVENIENZE PASSIVE</v>
      </c>
      <c r="B265" s="10" t="str">
        <f ca="1">IF(IFERROR(INDEX((COPIA!$DA$3:$DE$1339),MATCH(ROWS(B$10:B265),COPIA!$DF$3:$DF$1339,0),COLUMN()-1),"")&gt;=1,IFERROR(INDEX((COPIA!$DA$3:$DE$1339),MATCH(ROWS(B$10:B265),COPIA!$DF$3:$DF$1339,0),COLUMN()-1),""),"")</f>
        <v/>
      </c>
      <c r="C265" s="5" t="str">
        <f ca="1">SUBSTITUTE(IFERROR(INDEX((COPIA!$DA$3:$DE$1339),MATCH(ROWS(C$10:C265),COPIA!$DF$3:$DF$1339,0),COLUMN()-1),""),"MASTRO","")</f>
        <v/>
      </c>
      <c r="D265" s="136" t="str">
        <f ca="1">IF(IFERROR(INDEX((COPIA!$DA$3:$DE$1339),MATCH(ROWS(D$10:D265),COPIA!$DF$3:$DF$1339,0),COLUMN()-1),"")=0,"",IFERROR(INDEX((COPIA!$DA$3:$DE$1339),MATCH(ROWS(D$10:D265),COPIA!$DF$3:$DF$1339,0),COLUMN()-1),""))</f>
        <v/>
      </c>
      <c r="E265" s="9" t="str">
        <f ca="1">IF(IFERROR(INDEX((COPIA!$DA$3:$DE$1339),MATCH(ROWS(E$10:E265),COPIA!$DF$3:$DF$1339,0),COLUMN()-1),"")=0,"",IFERROR(INDEX((COPIA!$DA$3:$DE$1339),MATCH(ROWS(E$10:E265),COPIA!$DF$3:$DF$1339,0),COLUMN()-1),""))</f>
        <v/>
      </c>
      <c r="F265" s="6" t="str">
        <f ca="1">IF(IFERROR(INDEX((COPIA!$DA$3:$DE$1339),MATCH(ROWS(F$10:F265),COPIA!$DF$3:$DF$1339,0),COLUMN()-1),"")=0,"",IFERROR(INDEX((COPIA!$DA$3:$DE$1339),MATCH(ROWS(F$10:F265),COPIA!$DF$3:$DF$1339,0),COLUMN()-1),""))</f>
        <v/>
      </c>
    </row>
    <row r="266" spans="1:6" x14ac:dyDescent="0.3">
      <c r="A266" s="60" t="str">
        <f ca="1">COPIA!AC259</f>
        <v>INSUSSISTENZE PASSIVE</v>
      </c>
      <c r="B266" s="10" t="str">
        <f ca="1">IF(IFERROR(INDEX((COPIA!$DA$3:$DE$1339),MATCH(ROWS(B$10:B266),COPIA!$DF$3:$DF$1339,0),COLUMN()-1),"")&gt;=1,IFERROR(INDEX((COPIA!$DA$3:$DE$1339),MATCH(ROWS(B$10:B266),COPIA!$DF$3:$DF$1339,0),COLUMN()-1),""),"")</f>
        <v/>
      </c>
      <c r="C266" s="5" t="str">
        <f ca="1">SUBSTITUTE(IFERROR(INDEX((COPIA!$DA$3:$DE$1339),MATCH(ROWS(C$10:C266),COPIA!$DF$3:$DF$1339,0),COLUMN()-1),""),"MASTRO","")</f>
        <v/>
      </c>
      <c r="D266" s="136" t="str">
        <f ca="1">IF(IFERROR(INDEX((COPIA!$DA$3:$DE$1339),MATCH(ROWS(D$10:D266),COPIA!$DF$3:$DF$1339,0),COLUMN()-1),"")=0,"",IFERROR(INDEX((COPIA!$DA$3:$DE$1339),MATCH(ROWS(D$10:D266),COPIA!$DF$3:$DF$1339,0),COLUMN()-1),""))</f>
        <v/>
      </c>
      <c r="E266" s="9" t="str">
        <f ca="1">IF(IFERROR(INDEX((COPIA!$DA$3:$DE$1339),MATCH(ROWS(E$10:E266),COPIA!$DF$3:$DF$1339,0),COLUMN()-1),"")=0,"",IFERROR(INDEX((COPIA!$DA$3:$DE$1339),MATCH(ROWS(E$10:E266),COPIA!$DF$3:$DF$1339,0),COLUMN()-1),""))</f>
        <v/>
      </c>
      <c r="F266" s="6" t="str">
        <f ca="1">IF(IFERROR(INDEX((COPIA!$DA$3:$DE$1339),MATCH(ROWS(F$10:F266),COPIA!$DF$3:$DF$1339,0),COLUMN()-1),"")=0,"",IFERROR(INDEX((COPIA!$DA$3:$DE$1339),MATCH(ROWS(F$10:F266),COPIA!$DF$3:$DF$1339,0),COLUMN()-1),""))</f>
        <v/>
      </c>
    </row>
    <row r="267" spans="1:6" x14ac:dyDescent="0.3">
      <c r="A267" s="60" t="str">
        <f ca="1">COPIA!AC260</f>
        <v>PROVENTI DA PARTECIPAZIONI</v>
      </c>
      <c r="B267" s="10" t="str">
        <f ca="1">IF(IFERROR(INDEX((COPIA!$DA$3:$DE$1339),MATCH(ROWS(B$10:B267),COPIA!$DF$3:$DF$1339,0),COLUMN()-1),"")&gt;=1,IFERROR(INDEX((COPIA!$DA$3:$DE$1339),MATCH(ROWS(B$10:B267),COPIA!$DF$3:$DF$1339,0),COLUMN()-1),""),"")</f>
        <v/>
      </c>
      <c r="C267" s="5" t="str">
        <f ca="1">SUBSTITUTE(IFERROR(INDEX((COPIA!$DA$3:$DE$1339),MATCH(ROWS(C$10:C267),COPIA!$DF$3:$DF$1339,0),COLUMN()-1),""),"MASTRO","")</f>
        <v/>
      </c>
      <c r="D267" s="136" t="str">
        <f ca="1">IF(IFERROR(INDEX((COPIA!$DA$3:$DE$1339),MATCH(ROWS(D$10:D267),COPIA!$DF$3:$DF$1339,0),COLUMN()-1),"")=0,"",IFERROR(INDEX((COPIA!$DA$3:$DE$1339),MATCH(ROWS(D$10:D267),COPIA!$DF$3:$DF$1339,0),COLUMN()-1),""))</f>
        <v/>
      </c>
      <c r="E267" s="9" t="str">
        <f ca="1">IF(IFERROR(INDEX((COPIA!$DA$3:$DE$1339),MATCH(ROWS(E$10:E267),COPIA!$DF$3:$DF$1339,0),COLUMN()-1),"")=0,"",IFERROR(INDEX((COPIA!$DA$3:$DE$1339),MATCH(ROWS(E$10:E267),COPIA!$DF$3:$DF$1339,0),COLUMN()-1),""))</f>
        <v/>
      </c>
      <c r="F267" s="6" t="str">
        <f ca="1">IF(IFERROR(INDEX((COPIA!$DA$3:$DE$1339),MATCH(ROWS(F$10:F267),COPIA!$DF$3:$DF$1339,0),COLUMN()-1),"")=0,"",IFERROR(INDEX((COPIA!$DA$3:$DE$1339),MATCH(ROWS(F$10:F267),COPIA!$DF$3:$DF$1339,0),COLUMN()-1),""))</f>
        <v/>
      </c>
    </row>
    <row r="268" spans="1:6" x14ac:dyDescent="0.3">
      <c r="A268" s="60" t="str">
        <f ca="1">COPIA!AC261</f>
        <v>PLUSVALENZE DA PARTECIPAZIONI</v>
      </c>
      <c r="B268" s="10" t="str">
        <f ca="1">IF(IFERROR(INDEX((COPIA!$DA$3:$DE$1339),MATCH(ROWS(B$10:B268),COPIA!$DF$3:$DF$1339,0),COLUMN()-1),"")&gt;=1,IFERROR(INDEX((COPIA!$DA$3:$DE$1339),MATCH(ROWS(B$10:B268),COPIA!$DF$3:$DF$1339,0),COLUMN()-1),""),"")</f>
        <v/>
      </c>
      <c r="C268" s="5" t="str">
        <f ca="1">SUBSTITUTE(IFERROR(INDEX((COPIA!$DA$3:$DE$1339),MATCH(ROWS(C$10:C268),COPIA!$DF$3:$DF$1339,0),COLUMN()-1),""),"MASTRO","")</f>
        <v/>
      </c>
      <c r="D268" s="136" t="str">
        <f ca="1">IF(IFERROR(INDEX((COPIA!$DA$3:$DE$1339),MATCH(ROWS(D$10:D268),COPIA!$DF$3:$DF$1339,0),COLUMN()-1),"")=0,"",IFERROR(INDEX((COPIA!$DA$3:$DE$1339),MATCH(ROWS(D$10:D268),COPIA!$DF$3:$DF$1339,0),COLUMN()-1),""))</f>
        <v/>
      </c>
      <c r="E268" s="9" t="str">
        <f ca="1">IF(IFERROR(INDEX((COPIA!$DA$3:$DE$1339),MATCH(ROWS(E$10:E268),COPIA!$DF$3:$DF$1339,0),COLUMN()-1),"")=0,"",IFERROR(INDEX((COPIA!$DA$3:$DE$1339),MATCH(ROWS(E$10:E268),COPIA!$DF$3:$DF$1339,0),COLUMN()-1),""))</f>
        <v/>
      </c>
      <c r="F268" s="6" t="str">
        <f ca="1">IF(IFERROR(INDEX((COPIA!$DA$3:$DE$1339),MATCH(ROWS(F$10:F268),COPIA!$DF$3:$DF$1339,0),COLUMN()-1),"")=0,"",IFERROR(INDEX((COPIA!$DA$3:$DE$1339),MATCH(ROWS(F$10:F268),COPIA!$DF$3:$DF$1339,0),COLUMN()-1),""))</f>
        <v/>
      </c>
    </row>
    <row r="269" spans="1:6" x14ac:dyDescent="0.3">
      <c r="A269" s="60" t="str">
        <f ca="1">COPIA!AC262</f>
        <v>INTERESSI ATTIVI DA CONTROLLATE</v>
      </c>
      <c r="B269" s="10" t="str">
        <f ca="1">IF(IFERROR(INDEX((COPIA!$DA$3:$DE$1339),MATCH(ROWS(B$10:B269),COPIA!$DF$3:$DF$1339,0),COLUMN()-1),"")&gt;=1,IFERROR(INDEX((COPIA!$DA$3:$DE$1339),MATCH(ROWS(B$10:B269),COPIA!$DF$3:$DF$1339,0),COLUMN()-1),""),"")</f>
        <v/>
      </c>
      <c r="C269" s="5" t="str">
        <f ca="1">SUBSTITUTE(IFERROR(INDEX((COPIA!$DA$3:$DE$1339),MATCH(ROWS(C$10:C269),COPIA!$DF$3:$DF$1339,0),COLUMN()-1),""),"MASTRO","")</f>
        <v/>
      </c>
      <c r="D269" s="136" t="str">
        <f ca="1">IF(IFERROR(INDEX((COPIA!$DA$3:$DE$1339),MATCH(ROWS(D$10:D269),COPIA!$DF$3:$DF$1339,0),COLUMN()-1),"")=0,"",IFERROR(INDEX((COPIA!$DA$3:$DE$1339),MATCH(ROWS(D$10:D269),COPIA!$DF$3:$DF$1339,0),COLUMN()-1),""))</f>
        <v/>
      </c>
      <c r="E269" s="9" t="str">
        <f ca="1">IF(IFERROR(INDEX((COPIA!$DA$3:$DE$1339),MATCH(ROWS(E$10:E269),COPIA!$DF$3:$DF$1339,0),COLUMN()-1),"")=0,"",IFERROR(INDEX((COPIA!$DA$3:$DE$1339),MATCH(ROWS(E$10:E269),COPIA!$DF$3:$DF$1339,0),COLUMN()-1),""))</f>
        <v/>
      </c>
      <c r="F269" s="6" t="str">
        <f ca="1">IF(IFERROR(INDEX((COPIA!$DA$3:$DE$1339),MATCH(ROWS(F$10:F269),COPIA!$DF$3:$DF$1339,0),COLUMN()-1),"")=0,"",IFERROR(INDEX((COPIA!$DA$3:$DE$1339),MATCH(ROWS(F$10:F269),COPIA!$DF$3:$DF$1339,0),COLUMN()-1),""))</f>
        <v/>
      </c>
    </row>
    <row r="270" spans="1:6" x14ac:dyDescent="0.3">
      <c r="A270" s="60" t="str">
        <f ca="1">COPIA!AC263</f>
        <v>INTERESSI ATTIVI DA COLLEGATE</v>
      </c>
      <c r="B270" s="10" t="str">
        <f ca="1">IF(IFERROR(INDEX((COPIA!$DA$3:$DE$1339),MATCH(ROWS(B$10:B270),COPIA!$DF$3:$DF$1339,0),COLUMN()-1),"")&gt;=1,IFERROR(INDEX((COPIA!$DA$3:$DE$1339),MATCH(ROWS(B$10:B270),COPIA!$DF$3:$DF$1339,0),COLUMN()-1),""),"")</f>
        <v/>
      </c>
      <c r="C270" s="5" t="str">
        <f ca="1">SUBSTITUTE(IFERROR(INDEX((COPIA!$DA$3:$DE$1339),MATCH(ROWS(C$10:C270),COPIA!$DF$3:$DF$1339,0),COLUMN()-1),""),"MASTRO","")</f>
        <v/>
      </c>
      <c r="D270" s="136" t="str">
        <f ca="1">IF(IFERROR(INDEX((COPIA!$DA$3:$DE$1339),MATCH(ROWS(D$10:D270),COPIA!$DF$3:$DF$1339,0),COLUMN()-1),"")=0,"",IFERROR(INDEX((COPIA!$DA$3:$DE$1339),MATCH(ROWS(D$10:D270),COPIA!$DF$3:$DF$1339,0),COLUMN()-1),""))</f>
        <v/>
      </c>
      <c r="E270" s="9" t="str">
        <f ca="1">IF(IFERROR(INDEX((COPIA!$DA$3:$DE$1339),MATCH(ROWS(E$10:E270),COPIA!$DF$3:$DF$1339,0),COLUMN()-1),"")=0,"",IFERROR(INDEX((COPIA!$DA$3:$DE$1339),MATCH(ROWS(E$10:E270),COPIA!$DF$3:$DF$1339,0),COLUMN()-1),""))</f>
        <v/>
      </c>
      <c r="F270" s="6" t="str">
        <f ca="1">IF(IFERROR(INDEX((COPIA!$DA$3:$DE$1339),MATCH(ROWS(F$10:F270),COPIA!$DF$3:$DF$1339,0),COLUMN()-1),"")=0,"",IFERROR(INDEX((COPIA!$DA$3:$DE$1339),MATCH(ROWS(F$10:F270),COPIA!$DF$3:$DF$1339,0),COLUMN()-1),""))</f>
        <v/>
      </c>
    </row>
    <row r="271" spans="1:6" x14ac:dyDescent="0.3">
      <c r="A271" s="60" t="str">
        <f ca="1">COPIA!AC264</f>
        <v>INTERESSI ATTIVI DA CONTROLLANTE</v>
      </c>
      <c r="B271" s="10" t="str">
        <f ca="1">IF(IFERROR(INDEX((COPIA!$DA$3:$DE$1339),MATCH(ROWS(B$10:B271),COPIA!$DF$3:$DF$1339,0),COLUMN()-1),"")&gt;=1,IFERROR(INDEX((COPIA!$DA$3:$DE$1339),MATCH(ROWS(B$10:B271),COPIA!$DF$3:$DF$1339,0),COLUMN()-1),""),"")</f>
        <v/>
      </c>
      <c r="C271" s="5" t="str">
        <f ca="1">SUBSTITUTE(IFERROR(INDEX((COPIA!$DA$3:$DE$1339),MATCH(ROWS(C$10:C271),COPIA!$DF$3:$DF$1339,0),COLUMN()-1),""),"MASTRO","")</f>
        <v/>
      </c>
      <c r="D271" s="136" t="str">
        <f ca="1">IF(IFERROR(INDEX((COPIA!$DA$3:$DE$1339),MATCH(ROWS(D$10:D271),COPIA!$DF$3:$DF$1339,0),COLUMN()-1),"")=0,"",IFERROR(INDEX((COPIA!$DA$3:$DE$1339),MATCH(ROWS(D$10:D271),COPIA!$DF$3:$DF$1339,0),COLUMN()-1),""))</f>
        <v/>
      </c>
      <c r="E271" s="9" t="str">
        <f ca="1">IF(IFERROR(INDEX((COPIA!$DA$3:$DE$1339),MATCH(ROWS(E$10:E271),COPIA!$DF$3:$DF$1339,0),COLUMN()-1),"")=0,"",IFERROR(INDEX((COPIA!$DA$3:$DE$1339),MATCH(ROWS(E$10:E271),COPIA!$DF$3:$DF$1339,0),COLUMN()-1),""))</f>
        <v/>
      </c>
      <c r="F271" s="6" t="str">
        <f ca="1">IF(IFERROR(INDEX((COPIA!$DA$3:$DE$1339),MATCH(ROWS(F$10:F271),COPIA!$DF$3:$DF$1339,0),COLUMN()-1),"")=0,"",IFERROR(INDEX((COPIA!$DA$3:$DE$1339),MATCH(ROWS(F$10:F271),COPIA!$DF$3:$DF$1339,0),COLUMN()-1),""))</f>
        <v/>
      </c>
    </row>
    <row r="272" spans="1:6" x14ac:dyDescent="0.3">
      <c r="A272" s="60" t="str">
        <f ca="1">COPIA!AC265</f>
        <v>INTERESSI SU TITOLI</v>
      </c>
      <c r="B272" s="10" t="str">
        <f ca="1">IF(IFERROR(INDEX((COPIA!$DA$3:$DE$1339),MATCH(ROWS(B$10:B272),COPIA!$DF$3:$DF$1339,0),COLUMN()-1),"")&gt;=1,IFERROR(INDEX((COPIA!$DA$3:$DE$1339),MATCH(ROWS(B$10:B272),COPIA!$DF$3:$DF$1339,0),COLUMN()-1),""),"")</f>
        <v/>
      </c>
      <c r="C272" s="5" t="str">
        <f ca="1">SUBSTITUTE(IFERROR(INDEX((COPIA!$DA$3:$DE$1339),MATCH(ROWS(C$10:C272),COPIA!$DF$3:$DF$1339,0),COLUMN()-1),""),"MASTRO","")</f>
        <v/>
      </c>
      <c r="D272" s="136" t="str">
        <f ca="1">IF(IFERROR(INDEX((COPIA!$DA$3:$DE$1339),MATCH(ROWS(D$10:D272),COPIA!$DF$3:$DF$1339,0),COLUMN()-1),"")=0,"",IFERROR(INDEX((COPIA!$DA$3:$DE$1339),MATCH(ROWS(D$10:D272),COPIA!$DF$3:$DF$1339,0),COLUMN()-1),""))</f>
        <v/>
      </c>
      <c r="E272" s="9" t="str">
        <f ca="1">IF(IFERROR(INDEX((COPIA!$DA$3:$DE$1339),MATCH(ROWS(E$10:E272),COPIA!$DF$3:$DF$1339,0),COLUMN()-1),"")=0,"",IFERROR(INDEX((COPIA!$DA$3:$DE$1339),MATCH(ROWS(E$10:E272),COPIA!$DF$3:$DF$1339,0),COLUMN()-1),""))</f>
        <v/>
      </c>
      <c r="F272" s="6" t="str">
        <f ca="1">IF(IFERROR(INDEX((COPIA!$DA$3:$DE$1339),MATCH(ROWS(F$10:F272),COPIA!$DF$3:$DF$1339,0),COLUMN()-1),"")=0,"",IFERROR(INDEX((COPIA!$DA$3:$DE$1339),MATCH(ROWS(F$10:F272),COPIA!$DF$3:$DF$1339,0),COLUMN()-1),""))</f>
        <v/>
      </c>
    </row>
    <row r="273" spans="1:6" x14ac:dyDescent="0.3">
      <c r="A273" s="60" t="str">
        <f ca="1">COPIA!AC266</f>
        <v>UTILE SU TITOLI</v>
      </c>
      <c r="B273" s="10" t="str">
        <f ca="1">IF(IFERROR(INDEX((COPIA!$DA$3:$DE$1339),MATCH(ROWS(B$10:B273),COPIA!$DF$3:$DF$1339,0),COLUMN()-1),"")&gt;=1,IFERROR(INDEX((COPIA!$DA$3:$DE$1339),MATCH(ROWS(B$10:B273),COPIA!$DF$3:$DF$1339,0),COLUMN()-1),""),"")</f>
        <v/>
      </c>
      <c r="C273" s="5" t="str">
        <f ca="1">SUBSTITUTE(IFERROR(INDEX((COPIA!$DA$3:$DE$1339),MATCH(ROWS(C$10:C273),COPIA!$DF$3:$DF$1339,0),COLUMN()-1),""),"MASTRO","")</f>
        <v/>
      </c>
      <c r="D273" s="136" t="str">
        <f ca="1">IF(IFERROR(INDEX((COPIA!$DA$3:$DE$1339),MATCH(ROWS(D$10:D273),COPIA!$DF$3:$DF$1339,0),COLUMN()-1),"")=0,"",IFERROR(INDEX((COPIA!$DA$3:$DE$1339),MATCH(ROWS(D$10:D273),COPIA!$DF$3:$DF$1339,0),COLUMN()-1),""))</f>
        <v/>
      </c>
      <c r="E273" s="9" t="str">
        <f ca="1">IF(IFERROR(INDEX((COPIA!$DA$3:$DE$1339),MATCH(ROWS(E$10:E273),COPIA!$DF$3:$DF$1339,0),COLUMN()-1),"")=0,"",IFERROR(INDEX((COPIA!$DA$3:$DE$1339),MATCH(ROWS(E$10:E273),COPIA!$DF$3:$DF$1339,0),COLUMN()-1),""))</f>
        <v/>
      </c>
      <c r="F273" s="6" t="str">
        <f ca="1">IF(IFERROR(INDEX((COPIA!$DA$3:$DE$1339),MATCH(ROWS(F$10:F273),COPIA!$DF$3:$DF$1339,0),COLUMN()-1),"")=0,"",IFERROR(INDEX((COPIA!$DA$3:$DE$1339),MATCH(ROWS(F$10:F273),COPIA!$DF$3:$DF$1339,0),COLUMN()-1),""))</f>
        <v/>
      </c>
    </row>
    <row r="274" spans="1:6" x14ac:dyDescent="0.3">
      <c r="A274" s="60" t="str">
        <f ca="1">COPIA!AC267</f>
        <v>INTERESSI ATTIVI DA CLIENTI</v>
      </c>
      <c r="B274" s="10" t="str">
        <f ca="1">IF(IFERROR(INDEX((COPIA!$DA$3:$DE$1339),MATCH(ROWS(B$10:B274),COPIA!$DF$3:$DF$1339,0),COLUMN()-1),"")&gt;=1,IFERROR(INDEX((COPIA!$DA$3:$DE$1339),MATCH(ROWS(B$10:B274),COPIA!$DF$3:$DF$1339,0),COLUMN()-1),""),"")</f>
        <v/>
      </c>
      <c r="C274" s="5" t="str">
        <f ca="1">SUBSTITUTE(IFERROR(INDEX((COPIA!$DA$3:$DE$1339),MATCH(ROWS(C$10:C274),COPIA!$DF$3:$DF$1339,0),COLUMN()-1),""),"MASTRO","")</f>
        <v/>
      </c>
      <c r="D274" s="136" t="str">
        <f ca="1">IF(IFERROR(INDEX((COPIA!$DA$3:$DE$1339),MATCH(ROWS(D$10:D274),COPIA!$DF$3:$DF$1339,0),COLUMN()-1),"")=0,"",IFERROR(INDEX((COPIA!$DA$3:$DE$1339),MATCH(ROWS(D$10:D274),COPIA!$DF$3:$DF$1339,0),COLUMN()-1),""))</f>
        <v/>
      </c>
      <c r="E274" s="9" t="str">
        <f ca="1">IF(IFERROR(INDEX((COPIA!$DA$3:$DE$1339),MATCH(ROWS(E$10:E274),COPIA!$DF$3:$DF$1339,0),COLUMN()-1),"")=0,"",IFERROR(INDEX((COPIA!$DA$3:$DE$1339),MATCH(ROWS(E$10:E274),COPIA!$DF$3:$DF$1339,0),COLUMN()-1),""))</f>
        <v/>
      </c>
      <c r="F274" s="6" t="str">
        <f ca="1">IF(IFERROR(INDEX((COPIA!$DA$3:$DE$1339),MATCH(ROWS(F$10:F274),COPIA!$DF$3:$DF$1339,0),COLUMN()-1),"")=0,"",IFERROR(INDEX((COPIA!$DA$3:$DE$1339),MATCH(ROWS(F$10:F274),COPIA!$DF$3:$DF$1339,0),COLUMN()-1),""))</f>
        <v/>
      </c>
    </row>
    <row r="275" spans="1:6" x14ac:dyDescent="0.3">
      <c r="A275" s="60" t="str">
        <f ca="1">COPIA!AC268</f>
        <v>INTERESSI ATTIVI BANCARI</v>
      </c>
      <c r="B275" s="10" t="str">
        <f ca="1">IF(IFERROR(INDEX((COPIA!$DA$3:$DE$1339),MATCH(ROWS(B$10:B275),COPIA!$DF$3:$DF$1339,0),COLUMN()-1),"")&gt;=1,IFERROR(INDEX((COPIA!$DA$3:$DE$1339),MATCH(ROWS(B$10:B275),COPIA!$DF$3:$DF$1339,0),COLUMN()-1),""),"")</f>
        <v/>
      </c>
      <c r="C275" s="5" t="str">
        <f ca="1">SUBSTITUTE(IFERROR(INDEX((COPIA!$DA$3:$DE$1339),MATCH(ROWS(C$10:C275),COPIA!$DF$3:$DF$1339,0),COLUMN()-1),""),"MASTRO","")</f>
        <v/>
      </c>
      <c r="D275" s="136" t="str">
        <f ca="1">IF(IFERROR(INDEX((COPIA!$DA$3:$DE$1339),MATCH(ROWS(D$10:D275),COPIA!$DF$3:$DF$1339,0),COLUMN()-1),"")=0,"",IFERROR(INDEX((COPIA!$DA$3:$DE$1339),MATCH(ROWS(D$10:D275),COPIA!$DF$3:$DF$1339,0),COLUMN()-1),""))</f>
        <v/>
      </c>
      <c r="E275" s="9" t="str">
        <f ca="1">IF(IFERROR(INDEX((COPIA!$DA$3:$DE$1339),MATCH(ROWS(E$10:E275),COPIA!$DF$3:$DF$1339,0),COLUMN()-1),"")=0,"",IFERROR(INDEX((COPIA!$DA$3:$DE$1339),MATCH(ROWS(E$10:E275),COPIA!$DF$3:$DF$1339,0),COLUMN()-1),""))</f>
        <v/>
      </c>
      <c r="F275" s="6" t="str">
        <f ca="1">IF(IFERROR(INDEX((COPIA!$DA$3:$DE$1339),MATCH(ROWS(F$10:F275),COPIA!$DF$3:$DF$1339,0),COLUMN()-1),"")=0,"",IFERROR(INDEX((COPIA!$DA$3:$DE$1339),MATCH(ROWS(F$10:F275),COPIA!$DF$3:$DF$1339,0),COLUMN()-1),""))</f>
        <v/>
      </c>
    </row>
    <row r="276" spans="1:6" x14ac:dyDescent="0.3">
      <c r="A276" s="60" t="str">
        <f ca="1">COPIA!AC269</f>
        <v>INTERESSI ATTIVI POSTALI</v>
      </c>
      <c r="B276" s="10" t="str">
        <f ca="1">IF(IFERROR(INDEX((COPIA!$DA$3:$DE$1339),MATCH(ROWS(B$10:B276),COPIA!$DF$3:$DF$1339,0),COLUMN()-1),"")&gt;=1,IFERROR(INDEX((COPIA!$DA$3:$DE$1339),MATCH(ROWS(B$10:B276),COPIA!$DF$3:$DF$1339,0),COLUMN()-1),""),"")</f>
        <v/>
      </c>
      <c r="C276" s="5" t="str">
        <f ca="1">SUBSTITUTE(IFERROR(INDEX((COPIA!$DA$3:$DE$1339),MATCH(ROWS(C$10:C276),COPIA!$DF$3:$DF$1339,0),COLUMN()-1),""),"MASTRO","")</f>
        <v/>
      </c>
      <c r="D276" s="136" t="str">
        <f ca="1">IF(IFERROR(INDEX((COPIA!$DA$3:$DE$1339),MATCH(ROWS(D$10:D276),COPIA!$DF$3:$DF$1339,0),COLUMN()-1),"")=0,"",IFERROR(INDEX((COPIA!$DA$3:$DE$1339),MATCH(ROWS(D$10:D276),COPIA!$DF$3:$DF$1339,0),COLUMN()-1),""))</f>
        <v/>
      </c>
      <c r="E276" s="9" t="str">
        <f ca="1">IF(IFERROR(INDEX((COPIA!$DA$3:$DE$1339),MATCH(ROWS(E$10:E276),COPIA!$DF$3:$DF$1339,0),COLUMN()-1),"")=0,"",IFERROR(INDEX((COPIA!$DA$3:$DE$1339),MATCH(ROWS(E$10:E276),COPIA!$DF$3:$DF$1339,0),COLUMN()-1),""))</f>
        <v/>
      </c>
      <c r="F276" s="6" t="str">
        <f ca="1">IF(IFERROR(INDEX((COPIA!$DA$3:$DE$1339),MATCH(ROWS(F$10:F276),COPIA!$DF$3:$DF$1339,0),COLUMN()-1),"")=0,"",IFERROR(INDEX((COPIA!$DA$3:$DE$1339),MATCH(ROWS(F$10:F276),COPIA!$DF$3:$DF$1339,0),COLUMN()-1),""))</f>
        <v/>
      </c>
    </row>
    <row r="277" spans="1:6" x14ac:dyDescent="0.3">
      <c r="A277" s="60" t="str">
        <f ca="1">COPIA!AC270</f>
        <v>INTERESSI ATTIVI DA SOCI</v>
      </c>
      <c r="B277" s="10" t="str">
        <f ca="1">IF(IFERROR(INDEX((COPIA!$DA$3:$DE$1339),MATCH(ROWS(B$10:B277),COPIA!$DF$3:$DF$1339,0),COLUMN()-1),"")&gt;=1,IFERROR(INDEX((COPIA!$DA$3:$DE$1339),MATCH(ROWS(B$10:B277),COPIA!$DF$3:$DF$1339,0),COLUMN()-1),""),"")</f>
        <v/>
      </c>
      <c r="C277" s="5" t="str">
        <f ca="1">SUBSTITUTE(IFERROR(INDEX((COPIA!$DA$3:$DE$1339),MATCH(ROWS(C$10:C277),COPIA!$DF$3:$DF$1339,0),COLUMN()-1),""),"MASTRO","")</f>
        <v/>
      </c>
      <c r="D277" s="136" t="str">
        <f ca="1">IF(IFERROR(INDEX((COPIA!$DA$3:$DE$1339),MATCH(ROWS(D$10:D277),COPIA!$DF$3:$DF$1339,0),COLUMN()-1),"")=0,"",IFERROR(INDEX((COPIA!$DA$3:$DE$1339),MATCH(ROWS(D$10:D277),COPIA!$DF$3:$DF$1339,0),COLUMN()-1),""))</f>
        <v/>
      </c>
      <c r="E277" s="9" t="str">
        <f ca="1">IF(IFERROR(INDEX((COPIA!$DA$3:$DE$1339),MATCH(ROWS(E$10:E277),COPIA!$DF$3:$DF$1339,0),COLUMN()-1),"")=0,"",IFERROR(INDEX((COPIA!$DA$3:$DE$1339),MATCH(ROWS(E$10:E277),COPIA!$DF$3:$DF$1339,0),COLUMN()-1),""))</f>
        <v/>
      </c>
      <c r="F277" s="6" t="str">
        <f ca="1">IF(IFERROR(INDEX((COPIA!$DA$3:$DE$1339),MATCH(ROWS(F$10:F277),COPIA!$DF$3:$DF$1339,0),COLUMN()-1),"")=0,"",IFERROR(INDEX((COPIA!$DA$3:$DE$1339),MATCH(ROWS(F$10:F277),COPIA!$DF$3:$DF$1339,0),COLUMN()-1),""))</f>
        <v/>
      </c>
    </row>
    <row r="278" spans="1:6" x14ac:dyDescent="0.3">
      <c r="A278" s="60" t="str">
        <f ca="1">COPIA!AC271</f>
        <v>PROVENTI FINANZIARI DIVERSI</v>
      </c>
      <c r="B278" s="10" t="str">
        <f ca="1">IF(IFERROR(INDEX((COPIA!$DA$3:$DE$1339),MATCH(ROWS(B$10:B278),COPIA!$DF$3:$DF$1339,0),COLUMN()-1),"")&gt;=1,IFERROR(INDEX((COPIA!$DA$3:$DE$1339),MATCH(ROWS(B$10:B278),COPIA!$DF$3:$DF$1339,0),COLUMN()-1),""),"")</f>
        <v/>
      </c>
      <c r="C278" s="5" t="str">
        <f ca="1">SUBSTITUTE(IFERROR(INDEX((COPIA!$DA$3:$DE$1339),MATCH(ROWS(C$10:C278),COPIA!$DF$3:$DF$1339,0),COLUMN()-1),""),"MASTRO","")</f>
        <v/>
      </c>
      <c r="D278" s="136" t="str">
        <f ca="1">IF(IFERROR(INDEX((COPIA!$DA$3:$DE$1339),MATCH(ROWS(D$10:D278),COPIA!$DF$3:$DF$1339,0),COLUMN()-1),"")=0,"",IFERROR(INDEX((COPIA!$DA$3:$DE$1339),MATCH(ROWS(D$10:D278),COPIA!$DF$3:$DF$1339,0),COLUMN()-1),""))</f>
        <v/>
      </c>
      <c r="E278" s="9" t="str">
        <f ca="1">IF(IFERROR(INDEX((COPIA!$DA$3:$DE$1339),MATCH(ROWS(E$10:E278),COPIA!$DF$3:$DF$1339,0),COLUMN()-1),"")=0,"",IFERROR(INDEX((COPIA!$DA$3:$DE$1339),MATCH(ROWS(E$10:E278),COPIA!$DF$3:$DF$1339,0),COLUMN()-1),""))</f>
        <v/>
      </c>
      <c r="F278" s="6" t="str">
        <f ca="1">IF(IFERROR(INDEX((COPIA!$DA$3:$DE$1339),MATCH(ROWS(F$10:F278),COPIA!$DF$3:$DF$1339,0),COLUMN()-1),"")=0,"",IFERROR(INDEX((COPIA!$DA$3:$DE$1339),MATCH(ROWS(F$10:F278),COPIA!$DF$3:$DF$1339,0),COLUMN()-1),""))</f>
        <v/>
      </c>
    </row>
    <row r="279" spans="1:6" x14ac:dyDescent="0.3">
      <c r="A279" s="60" t="str">
        <f ca="1">COPIA!AC272</f>
        <v>AGGIO SU PRESTITI</v>
      </c>
      <c r="B279" s="10" t="str">
        <f ca="1">IF(IFERROR(INDEX((COPIA!$DA$3:$DE$1339),MATCH(ROWS(B$10:B279),COPIA!$DF$3:$DF$1339,0),COLUMN()-1),"")&gt;=1,IFERROR(INDEX((COPIA!$DA$3:$DE$1339),MATCH(ROWS(B$10:B279),COPIA!$DF$3:$DF$1339,0),COLUMN()-1),""),"")</f>
        <v/>
      </c>
      <c r="C279" s="5" t="str">
        <f ca="1">SUBSTITUTE(IFERROR(INDEX((COPIA!$DA$3:$DE$1339),MATCH(ROWS(C$10:C279),COPIA!$DF$3:$DF$1339,0),COLUMN()-1),""),"MASTRO","")</f>
        <v/>
      </c>
      <c r="D279" s="136" t="str">
        <f ca="1">IF(IFERROR(INDEX((COPIA!$DA$3:$DE$1339),MATCH(ROWS(D$10:D279),COPIA!$DF$3:$DF$1339,0),COLUMN()-1),"")=0,"",IFERROR(INDEX((COPIA!$DA$3:$DE$1339),MATCH(ROWS(D$10:D279),COPIA!$DF$3:$DF$1339,0),COLUMN()-1),""))</f>
        <v/>
      </c>
      <c r="E279" s="9" t="str">
        <f ca="1">IF(IFERROR(INDEX((COPIA!$DA$3:$DE$1339),MATCH(ROWS(E$10:E279),COPIA!$DF$3:$DF$1339,0),COLUMN()-1),"")=0,"",IFERROR(INDEX((COPIA!$DA$3:$DE$1339),MATCH(ROWS(E$10:E279),COPIA!$DF$3:$DF$1339,0),COLUMN()-1),""))</f>
        <v/>
      </c>
      <c r="F279" s="6" t="str">
        <f ca="1">IF(IFERROR(INDEX((COPIA!$DA$3:$DE$1339),MATCH(ROWS(F$10:F279),COPIA!$DF$3:$DF$1339,0),COLUMN()-1),"")=0,"",IFERROR(INDEX((COPIA!$DA$3:$DE$1339),MATCH(ROWS(F$10:F279),COPIA!$DF$3:$DF$1339,0),COLUMN()-1),""))</f>
        <v/>
      </c>
    </row>
    <row r="280" spans="1:6" x14ac:dyDescent="0.3">
      <c r="A280" s="60" t="str">
        <f ca="1">COPIA!AC273</f>
        <v>INTERESSI PASSIVI A FORNITORI</v>
      </c>
      <c r="B280" s="10" t="str">
        <f ca="1">IF(IFERROR(INDEX((COPIA!$DA$3:$DE$1339),MATCH(ROWS(B$10:B280),COPIA!$DF$3:$DF$1339,0),COLUMN()-1),"")&gt;=1,IFERROR(INDEX((COPIA!$DA$3:$DE$1339),MATCH(ROWS(B$10:B280),COPIA!$DF$3:$DF$1339,0),COLUMN()-1),""),"")</f>
        <v/>
      </c>
      <c r="C280" s="5" t="str">
        <f ca="1">SUBSTITUTE(IFERROR(INDEX((COPIA!$DA$3:$DE$1339),MATCH(ROWS(C$10:C280),COPIA!$DF$3:$DF$1339,0),COLUMN()-1),""),"MASTRO","")</f>
        <v/>
      </c>
      <c r="D280" s="136" t="str">
        <f ca="1">IF(IFERROR(INDEX((COPIA!$DA$3:$DE$1339),MATCH(ROWS(D$10:D280),COPIA!$DF$3:$DF$1339,0),COLUMN()-1),"")=0,"",IFERROR(INDEX((COPIA!$DA$3:$DE$1339),MATCH(ROWS(D$10:D280),COPIA!$DF$3:$DF$1339,0),COLUMN()-1),""))</f>
        <v/>
      </c>
      <c r="E280" s="9" t="str">
        <f ca="1">IF(IFERROR(INDEX((COPIA!$DA$3:$DE$1339),MATCH(ROWS(E$10:E280),COPIA!$DF$3:$DF$1339,0),COLUMN()-1),"")=0,"",IFERROR(INDEX((COPIA!$DA$3:$DE$1339),MATCH(ROWS(E$10:E280),COPIA!$DF$3:$DF$1339,0),COLUMN()-1),""))</f>
        <v/>
      </c>
      <c r="F280" s="6" t="str">
        <f ca="1">IF(IFERROR(INDEX((COPIA!$DA$3:$DE$1339),MATCH(ROWS(F$10:F280),COPIA!$DF$3:$DF$1339,0),COLUMN()-1),"")=0,"",IFERROR(INDEX((COPIA!$DA$3:$DE$1339),MATCH(ROWS(F$10:F280),COPIA!$DF$3:$DF$1339,0),COLUMN()-1),""))</f>
        <v/>
      </c>
    </row>
    <row r="281" spans="1:6" x14ac:dyDescent="0.3">
      <c r="A281" s="60" t="str">
        <f ca="1">COPIA!AC274</f>
        <v>INTERESSI PASSIVI BANCARI</v>
      </c>
      <c r="B281" s="10" t="str">
        <f ca="1">IF(IFERROR(INDEX((COPIA!$DA$3:$DE$1339),MATCH(ROWS(B$10:B281),COPIA!$DF$3:$DF$1339,0),COLUMN()-1),"")&gt;=1,IFERROR(INDEX((COPIA!$DA$3:$DE$1339),MATCH(ROWS(B$10:B281),COPIA!$DF$3:$DF$1339,0),COLUMN()-1),""),"")</f>
        <v/>
      </c>
      <c r="C281" s="5" t="str">
        <f ca="1">SUBSTITUTE(IFERROR(INDEX((COPIA!$DA$3:$DE$1339),MATCH(ROWS(C$10:C281),COPIA!$DF$3:$DF$1339,0),COLUMN()-1),""),"MASTRO","")</f>
        <v/>
      </c>
      <c r="D281" s="136" t="str">
        <f ca="1">IF(IFERROR(INDEX((COPIA!$DA$3:$DE$1339),MATCH(ROWS(D$10:D281),COPIA!$DF$3:$DF$1339,0),COLUMN()-1),"")=0,"",IFERROR(INDEX((COPIA!$DA$3:$DE$1339),MATCH(ROWS(D$10:D281),COPIA!$DF$3:$DF$1339,0),COLUMN()-1),""))</f>
        <v/>
      </c>
      <c r="E281" s="9" t="str">
        <f ca="1">IF(IFERROR(INDEX((COPIA!$DA$3:$DE$1339),MATCH(ROWS(E$10:E281),COPIA!$DF$3:$DF$1339,0),COLUMN()-1),"")=0,"",IFERROR(INDEX((COPIA!$DA$3:$DE$1339),MATCH(ROWS(E$10:E281),COPIA!$DF$3:$DF$1339,0),COLUMN()-1),""))</f>
        <v/>
      </c>
      <c r="F281" s="6" t="str">
        <f ca="1">IF(IFERROR(INDEX((COPIA!$DA$3:$DE$1339),MATCH(ROWS(F$10:F281),COPIA!$DF$3:$DF$1339,0),COLUMN()-1),"")=0,"",IFERROR(INDEX((COPIA!$DA$3:$DE$1339),MATCH(ROWS(F$10:F281),COPIA!$DF$3:$DF$1339,0),COLUMN()-1),""))</f>
        <v/>
      </c>
    </row>
    <row r="282" spans="1:6" x14ac:dyDescent="0.3">
      <c r="A282" s="60" t="str">
        <f ca="1">COPIA!AC275</f>
        <v>SCONTI PASSIVI BANCARI</v>
      </c>
      <c r="B282" s="10" t="str">
        <f ca="1">IF(IFERROR(INDEX((COPIA!$DA$3:$DE$1339),MATCH(ROWS(B$10:B282),COPIA!$DF$3:$DF$1339,0),COLUMN()-1),"")&gt;=1,IFERROR(INDEX((COPIA!$DA$3:$DE$1339),MATCH(ROWS(B$10:B282),COPIA!$DF$3:$DF$1339,0),COLUMN()-1),""),"")</f>
        <v/>
      </c>
      <c r="C282" s="5" t="str">
        <f ca="1">SUBSTITUTE(IFERROR(INDEX((COPIA!$DA$3:$DE$1339),MATCH(ROWS(C$10:C282),COPIA!$DF$3:$DF$1339,0),COLUMN()-1),""),"MASTRO","")</f>
        <v/>
      </c>
      <c r="D282" s="136" t="str">
        <f ca="1">IF(IFERROR(INDEX((COPIA!$DA$3:$DE$1339),MATCH(ROWS(D$10:D282),COPIA!$DF$3:$DF$1339,0),COLUMN()-1),"")=0,"",IFERROR(INDEX((COPIA!$DA$3:$DE$1339),MATCH(ROWS(D$10:D282),COPIA!$DF$3:$DF$1339,0),COLUMN()-1),""))</f>
        <v/>
      </c>
      <c r="E282" s="9" t="str">
        <f ca="1">IF(IFERROR(INDEX((COPIA!$DA$3:$DE$1339),MATCH(ROWS(E$10:E282),COPIA!$DF$3:$DF$1339,0),COLUMN()-1),"")=0,"",IFERROR(INDEX((COPIA!$DA$3:$DE$1339),MATCH(ROWS(E$10:E282),COPIA!$DF$3:$DF$1339,0),COLUMN()-1),""))</f>
        <v/>
      </c>
      <c r="F282" s="6" t="str">
        <f ca="1">IF(IFERROR(INDEX((COPIA!$DA$3:$DE$1339),MATCH(ROWS(F$10:F282),COPIA!$DF$3:$DF$1339,0),COLUMN()-1),"")=0,"",IFERROR(INDEX((COPIA!$DA$3:$DE$1339),MATCH(ROWS(F$10:F282),COPIA!$DF$3:$DF$1339,0),COLUMN()-1),""))</f>
        <v/>
      </c>
    </row>
    <row r="283" spans="1:6" x14ac:dyDescent="0.3">
      <c r="A283" s="60" t="str">
        <f ca="1">COPIA!AC276</f>
        <v>INTERESSI PASSIVI SU MUTUI</v>
      </c>
      <c r="B283" s="10" t="str">
        <f ca="1">IF(IFERROR(INDEX((COPIA!$DA$3:$DE$1339),MATCH(ROWS(B$10:B283),COPIA!$DF$3:$DF$1339,0),COLUMN()-1),"")&gt;=1,IFERROR(INDEX((COPIA!$DA$3:$DE$1339),MATCH(ROWS(B$10:B283),COPIA!$DF$3:$DF$1339,0),COLUMN()-1),""),"")</f>
        <v/>
      </c>
      <c r="C283" s="5" t="str">
        <f ca="1">SUBSTITUTE(IFERROR(INDEX((COPIA!$DA$3:$DE$1339),MATCH(ROWS(C$10:C283),COPIA!$DF$3:$DF$1339,0),COLUMN()-1),""),"MASTRO","")</f>
        <v/>
      </c>
      <c r="D283" s="136" t="str">
        <f ca="1">IF(IFERROR(INDEX((COPIA!$DA$3:$DE$1339),MATCH(ROWS(D$10:D283),COPIA!$DF$3:$DF$1339,0),COLUMN()-1),"")=0,"",IFERROR(INDEX((COPIA!$DA$3:$DE$1339),MATCH(ROWS(D$10:D283),COPIA!$DF$3:$DF$1339,0),COLUMN()-1),""))</f>
        <v/>
      </c>
      <c r="E283" s="9" t="str">
        <f ca="1">IF(IFERROR(INDEX((COPIA!$DA$3:$DE$1339),MATCH(ROWS(E$10:E283),COPIA!$DF$3:$DF$1339,0),COLUMN()-1),"")=0,"",IFERROR(INDEX((COPIA!$DA$3:$DE$1339),MATCH(ROWS(E$10:E283),COPIA!$DF$3:$DF$1339,0),COLUMN()-1),""))</f>
        <v/>
      </c>
      <c r="F283" s="6" t="str">
        <f ca="1">IF(IFERROR(INDEX((COPIA!$DA$3:$DE$1339),MATCH(ROWS(F$10:F283),COPIA!$DF$3:$DF$1339,0),COLUMN()-1),"")=0,"",IFERROR(INDEX((COPIA!$DA$3:$DE$1339),MATCH(ROWS(F$10:F283),COPIA!$DF$3:$DF$1339,0),COLUMN()-1),""))</f>
        <v/>
      </c>
    </row>
    <row r="284" spans="1:6" x14ac:dyDescent="0.3">
      <c r="A284" s="60" t="str">
        <f ca="1">COPIA!AC277</f>
        <v>DISAGGIO SU PRESTITI</v>
      </c>
      <c r="B284" s="10" t="str">
        <f ca="1">IF(IFERROR(INDEX((COPIA!$DA$3:$DE$1339),MATCH(ROWS(B$10:B284),COPIA!$DF$3:$DF$1339,0),COLUMN()-1),"")&gt;=1,IFERROR(INDEX((COPIA!$DA$3:$DE$1339),MATCH(ROWS(B$10:B284),COPIA!$DF$3:$DF$1339,0),COLUMN()-1),""),"")</f>
        <v/>
      </c>
      <c r="C284" s="5" t="str">
        <f ca="1">SUBSTITUTE(IFERROR(INDEX((COPIA!$DA$3:$DE$1339),MATCH(ROWS(C$10:C284),COPIA!$DF$3:$DF$1339,0),COLUMN()-1),""),"MASTRO","")</f>
        <v/>
      </c>
      <c r="D284" s="136" t="str">
        <f ca="1">IF(IFERROR(INDEX((COPIA!$DA$3:$DE$1339),MATCH(ROWS(D$10:D284),COPIA!$DF$3:$DF$1339,0),COLUMN()-1),"")=0,"",IFERROR(INDEX((COPIA!$DA$3:$DE$1339),MATCH(ROWS(D$10:D284),COPIA!$DF$3:$DF$1339,0),COLUMN()-1),""))</f>
        <v/>
      </c>
      <c r="E284" s="9" t="str">
        <f ca="1">IF(IFERROR(INDEX((COPIA!$DA$3:$DE$1339),MATCH(ROWS(E$10:E284),COPIA!$DF$3:$DF$1339,0),COLUMN()-1),"")=0,"",IFERROR(INDEX((COPIA!$DA$3:$DE$1339),MATCH(ROWS(E$10:E284),COPIA!$DF$3:$DF$1339,0),COLUMN()-1),""))</f>
        <v/>
      </c>
      <c r="F284" s="6" t="str">
        <f ca="1">IF(IFERROR(INDEX((COPIA!$DA$3:$DE$1339),MATCH(ROWS(F$10:F284),COPIA!$DF$3:$DF$1339,0),COLUMN()-1),"")=0,"",IFERROR(INDEX((COPIA!$DA$3:$DE$1339),MATCH(ROWS(F$10:F284),COPIA!$DF$3:$DF$1339,0),COLUMN()-1),""))</f>
        <v/>
      </c>
    </row>
    <row r="285" spans="1:6" x14ac:dyDescent="0.3">
      <c r="A285" s="60" t="str">
        <f ca="1">COPIA!AC278</f>
        <v>INTERESSI SU OBBLIGAZIONI</v>
      </c>
      <c r="B285" s="10" t="str">
        <f ca="1">IF(IFERROR(INDEX((COPIA!$DA$3:$DE$1339),MATCH(ROWS(B$10:B285),COPIA!$DF$3:$DF$1339,0),COLUMN()-1),"")&gt;=1,IFERROR(INDEX((COPIA!$DA$3:$DE$1339),MATCH(ROWS(B$10:B285),COPIA!$DF$3:$DF$1339,0),COLUMN()-1),""),"")</f>
        <v/>
      </c>
      <c r="C285" s="5" t="str">
        <f ca="1">SUBSTITUTE(IFERROR(INDEX((COPIA!$DA$3:$DE$1339),MATCH(ROWS(C$10:C285),COPIA!$DF$3:$DF$1339,0),COLUMN()-1),""),"MASTRO","")</f>
        <v/>
      </c>
      <c r="D285" s="136" t="str">
        <f ca="1">IF(IFERROR(INDEX((COPIA!$DA$3:$DE$1339),MATCH(ROWS(D$10:D285),COPIA!$DF$3:$DF$1339,0),COLUMN()-1),"")=0,"",IFERROR(INDEX((COPIA!$DA$3:$DE$1339),MATCH(ROWS(D$10:D285),COPIA!$DF$3:$DF$1339,0),COLUMN()-1),""))</f>
        <v/>
      </c>
      <c r="E285" s="9" t="str">
        <f ca="1">IF(IFERROR(INDEX((COPIA!$DA$3:$DE$1339),MATCH(ROWS(E$10:E285),COPIA!$DF$3:$DF$1339,0),COLUMN()-1),"")=0,"",IFERROR(INDEX((COPIA!$DA$3:$DE$1339),MATCH(ROWS(E$10:E285),COPIA!$DF$3:$DF$1339,0),COLUMN()-1),""))</f>
        <v/>
      </c>
      <c r="F285" s="6" t="str">
        <f ca="1">IF(IFERROR(INDEX((COPIA!$DA$3:$DE$1339),MATCH(ROWS(F$10:F285),COPIA!$DF$3:$DF$1339,0),COLUMN()-1),"")=0,"",IFERROR(INDEX((COPIA!$DA$3:$DE$1339),MATCH(ROWS(F$10:F285),COPIA!$DF$3:$DF$1339,0),COLUMN()-1),""))</f>
        <v/>
      </c>
    </row>
    <row r="286" spans="1:6" x14ac:dyDescent="0.3">
      <c r="A286" s="60" t="str">
        <f ca="1">COPIA!AC279</f>
        <v>MINUSVALENZE DA PARTECIPAZIONI</v>
      </c>
      <c r="B286" s="10" t="str">
        <f ca="1">IF(IFERROR(INDEX((COPIA!$DA$3:$DE$1339),MATCH(ROWS(B$10:B286),COPIA!$DF$3:$DF$1339,0),COLUMN()-1),"")&gt;=1,IFERROR(INDEX((COPIA!$DA$3:$DE$1339),MATCH(ROWS(B$10:B286),COPIA!$DF$3:$DF$1339,0),COLUMN()-1),""),"")</f>
        <v/>
      </c>
      <c r="C286" s="5" t="str">
        <f ca="1">SUBSTITUTE(IFERROR(INDEX((COPIA!$DA$3:$DE$1339),MATCH(ROWS(C$10:C286),COPIA!$DF$3:$DF$1339,0),COLUMN()-1),""),"MASTRO","")</f>
        <v/>
      </c>
      <c r="D286" s="136" t="str">
        <f ca="1">IF(IFERROR(INDEX((COPIA!$DA$3:$DE$1339),MATCH(ROWS(D$10:D286),COPIA!$DF$3:$DF$1339,0),COLUMN()-1),"")=0,"",IFERROR(INDEX((COPIA!$DA$3:$DE$1339),MATCH(ROWS(D$10:D286),COPIA!$DF$3:$DF$1339,0),COLUMN()-1),""))</f>
        <v/>
      </c>
      <c r="E286" s="9" t="str">
        <f ca="1">IF(IFERROR(INDEX((COPIA!$DA$3:$DE$1339),MATCH(ROWS(E$10:E286),COPIA!$DF$3:$DF$1339,0),COLUMN()-1),"")=0,"",IFERROR(INDEX((COPIA!$DA$3:$DE$1339),MATCH(ROWS(E$10:E286),COPIA!$DF$3:$DF$1339,0),COLUMN()-1),""))</f>
        <v/>
      </c>
      <c r="F286" s="6" t="str">
        <f ca="1">IF(IFERROR(INDEX((COPIA!$DA$3:$DE$1339),MATCH(ROWS(F$10:F286),COPIA!$DF$3:$DF$1339,0),COLUMN()-1),"")=0,"",IFERROR(INDEX((COPIA!$DA$3:$DE$1339),MATCH(ROWS(F$10:F286),COPIA!$DF$3:$DF$1339,0),COLUMN()-1),""))</f>
        <v/>
      </c>
    </row>
    <row r="287" spans="1:6" x14ac:dyDescent="0.3">
      <c r="A287" s="60" t="str">
        <f ca="1">COPIA!AC280</f>
        <v>INTERESSI PASSIVI A CONTROLLATE</v>
      </c>
      <c r="B287" s="10" t="str">
        <f ca="1">IF(IFERROR(INDEX((COPIA!$DA$3:$DE$1339),MATCH(ROWS(B$10:B287),COPIA!$DF$3:$DF$1339,0),COLUMN()-1),"")&gt;=1,IFERROR(INDEX((COPIA!$DA$3:$DE$1339),MATCH(ROWS(B$10:B287),COPIA!$DF$3:$DF$1339,0),COLUMN()-1),""),"")</f>
        <v/>
      </c>
      <c r="C287" s="5" t="str">
        <f ca="1">SUBSTITUTE(IFERROR(INDEX((COPIA!$DA$3:$DE$1339),MATCH(ROWS(C$10:C287),COPIA!$DF$3:$DF$1339,0),COLUMN()-1),""),"MASTRO","")</f>
        <v/>
      </c>
      <c r="D287" s="136" t="str">
        <f ca="1">IF(IFERROR(INDEX((COPIA!$DA$3:$DE$1339),MATCH(ROWS(D$10:D287),COPIA!$DF$3:$DF$1339,0),COLUMN()-1),"")=0,"",IFERROR(INDEX((COPIA!$DA$3:$DE$1339),MATCH(ROWS(D$10:D287),COPIA!$DF$3:$DF$1339,0),COLUMN()-1),""))</f>
        <v/>
      </c>
      <c r="E287" s="9" t="str">
        <f ca="1">IF(IFERROR(INDEX((COPIA!$DA$3:$DE$1339),MATCH(ROWS(E$10:E287),COPIA!$DF$3:$DF$1339,0),COLUMN()-1),"")=0,"",IFERROR(INDEX((COPIA!$DA$3:$DE$1339),MATCH(ROWS(E$10:E287),COPIA!$DF$3:$DF$1339,0),COLUMN()-1),""))</f>
        <v/>
      </c>
      <c r="F287" s="6" t="str">
        <f ca="1">IF(IFERROR(INDEX((COPIA!$DA$3:$DE$1339),MATCH(ROWS(F$10:F287),COPIA!$DF$3:$DF$1339,0),COLUMN()-1),"")=0,"",IFERROR(INDEX((COPIA!$DA$3:$DE$1339),MATCH(ROWS(F$10:F287),COPIA!$DF$3:$DF$1339,0),COLUMN()-1),""))</f>
        <v/>
      </c>
    </row>
    <row r="288" spans="1:6" x14ac:dyDescent="0.3">
      <c r="A288" s="60" t="str">
        <f ca="1">COPIA!AC281</f>
        <v>INTERESSI PASSIVI A COLLEGATE</v>
      </c>
      <c r="B288" s="10" t="str">
        <f ca="1">IF(IFERROR(INDEX((COPIA!$DA$3:$DE$1339),MATCH(ROWS(B$10:B288),COPIA!$DF$3:$DF$1339,0),COLUMN()-1),"")&gt;=1,IFERROR(INDEX((COPIA!$DA$3:$DE$1339),MATCH(ROWS(B$10:B288),COPIA!$DF$3:$DF$1339,0),COLUMN()-1),""),"")</f>
        <v/>
      </c>
      <c r="C288" s="5" t="str">
        <f ca="1">SUBSTITUTE(IFERROR(INDEX((COPIA!$DA$3:$DE$1339),MATCH(ROWS(C$10:C288),COPIA!$DF$3:$DF$1339,0),COLUMN()-1),""),"MASTRO","")</f>
        <v/>
      </c>
      <c r="D288" s="136" t="str">
        <f ca="1">IF(IFERROR(INDEX((COPIA!$DA$3:$DE$1339),MATCH(ROWS(D$10:D288),COPIA!$DF$3:$DF$1339,0),COLUMN()-1),"")=0,"",IFERROR(INDEX((COPIA!$DA$3:$DE$1339),MATCH(ROWS(D$10:D288),COPIA!$DF$3:$DF$1339,0),COLUMN()-1),""))</f>
        <v/>
      </c>
      <c r="E288" s="9" t="str">
        <f ca="1">IF(IFERROR(INDEX((COPIA!$DA$3:$DE$1339),MATCH(ROWS(E$10:E288),COPIA!$DF$3:$DF$1339,0),COLUMN()-1),"")=0,"",IFERROR(INDEX((COPIA!$DA$3:$DE$1339),MATCH(ROWS(E$10:E288),COPIA!$DF$3:$DF$1339,0),COLUMN()-1),""))</f>
        <v/>
      </c>
      <c r="F288" s="6" t="str">
        <f ca="1">IF(IFERROR(INDEX((COPIA!$DA$3:$DE$1339),MATCH(ROWS(F$10:F288),COPIA!$DF$3:$DF$1339,0),COLUMN()-1),"")=0,"",IFERROR(INDEX((COPIA!$DA$3:$DE$1339),MATCH(ROWS(F$10:F288),COPIA!$DF$3:$DF$1339,0),COLUMN()-1),""))</f>
        <v/>
      </c>
    </row>
    <row r="289" spans="1:6" x14ac:dyDescent="0.3">
      <c r="A289" s="60" t="str">
        <f ca="1">COPIA!AC282</f>
        <v>INTERESSI PASSIVI A CONTROLLANTE</v>
      </c>
      <c r="B289" s="10" t="str">
        <f ca="1">IF(IFERROR(INDEX((COPIA!$DA$3:$DE$1339),MATCH(ROWS(B$10:B289),COPIA!$DF$3:$DF$1339,0),COLUMN()-1),"")&gt;=1,IFERROR(INDEX((COPIA!$DA$3:$DE$1339),MATCH(ROWS(B$10:B289),COPIA!$DF$3:$DF$1339,0),COLUMN()-1),""),"")</f>
        <v/>
      </c>
      <c r="C289" s="5" t="str">
        <f ca="1">SUBSTITUTE(IFERROR(INDEX((COPIA!$DA$3:$DE$1339),MATCH(ROWS(C$10:C289),COPIA!$DF$3:$DF$1339,0),COLUMN()-1),""),"MASTRO","")</f>
        <v/>
      </c>
      <c r="D289" s="136" t="str">
        <f ca="1">IF(IFERROR(INDEX((COPIA!$DA$3:$DE$1339),MATCH(ROWS(D$10:D289),COPIA!$DF$3:$DF$1339,0),COLUMN()-1),"")=0,"",IFERROR(INDEX((COPIA!$DA$3:$DE$1339),MATCH(ROWS(D$10:D289),COPIA!$DF$3:$DF$1339,0),COLUMN()-1),""))</f>
        <v/>
      </c>
      <c r="E289" s="9" t="str">
        <f ca="1">IF(IFERROR(INDEX((COPIA!$DA$3:$DE$1339),MATCH(ROWS(E$10:E289),COPIA!$DF$3:$DF$1339,0),COLUMN()-1),"")=0,"",IFERROR(INDEX((COPIA!$DA$3:$DE$1339),MATCH(ROWS(E$10:E289),COPIA!$DF$3:$DF$1339,0),COLUMN()-1),""))</f>
        <v/>
      </c>
      <c r="F289" s="6" t="str">
        <f ca="1">IF(IFERROR(INDEX((COPIA!$DA$3:$DE$1339),MATCH(ROWS(F$10:F289),COPIA!$DF$3:$DF$1339,0),COLUMN()-1),"")=0,"",IFERROR(INDEX((COPIA!$DA$3:$DE$1339),MATCH(ROWS(F$10:F289),COPIA!$DF$3:$DF$1339,0),COLUMN()-1),""))</f>
        <v/>
      </c>
    </row>
    <row r="290" spans="1:6" x14ac:dyDescent="0.3">
      <c r="A290" s="60" t="str">
        <f ca="1">COPIA!AC283</f>
        <v>PERDITA SU TITOLI</v>
      </c>
      <c r="B290" s="10" t="str">
        <f ca="1">IF(IFERROR(INDEX((COPIA!$DA$3:$DE$1339),MATCH(ROWS(B$10:B290),COPIA!$DF$3:$DF$1339,0),COLUMN()-1),"")&gt;=1,IFERROR(INDEX((COPIA!$DA$3:$DE$1339),MATCH(ROWS(B$10:B290),COPIA!$DF$3:$DF$1339,0),COLUMN()-1),""),"")</f>
        <v/>
      </c>
      <c r="C290" s="5" t="str">
        <f ca="1">SUBSTITUTE(IFERROR(INDEX((COPIA!$DA$3:$DE$1339),MATCH(ROWS(C$10:C290),COPIA!$DF$3:$DF$1339,0),COLUMN()-1),""),"MASTRO","")</f>
        <v/>
      </c>
      <c r="D290" s="136" t="str">
        <f ca="1">IF(IFERROR(INDEX((COPIA!$DA$3:$DE$1339),MATCH(ROWS(D$10:D290),COPIA!$DF$3:$DF$1339,0),COLUMN()-1),"")=0,"",IFERROR(INDEX((COPIA!$DA$3:$DE$1339),MATCH(ROWS(D$10:D290),COPIA!$DF$3:$DF$1339,0),COLUMN()-1),""))</f>
        <v/>
      </c>
      <c r="E290" s="9" t="str">
        <f ca="1">IF(IFERROR(INDEX((COPIA!$DA$3:$DE$1339),MATCH(ROWS(E$10:E290),COPIA!$DF$3:$DF$1339,0),COLUMN()-1),"")=0,"",IFERROR(INDEX((COPIA!$DA$3:$DE$1339),MATCH(ROWS(E$10:E290),COPIA!$DF$3:$DF$1339,0),COLUMN()-1),""))</f>
        <v/>
      </c>
      <c r="F290" s="6" t="str">
        <f ca="1">IF(IFERROR(INDEX((COPIA!$DA$3:$DE$1339),MATCH(ROWS(F$10:F290),COPIA!$DF$3:$DF$1339,0),COLUMN()-1),"")=0,"",IFERROR(INDEX((COPIA!$DA$3:$DE$1339),MATCH(ROWS(F$10:F290),COPIA!$DF$3:$DF$1339,0),COLUMN()-1),""))</f>
        <v/>
      </c>
    </row>
    <row r="291" spans="1:6" x14ac:dyDescent="0.3">
      <c r="A291" s="60" t="str">
        <f ca="1">COPIA!AC284</f>
        <v>ONERI FINANZIARI DIVERSI</v>
      </c>
      <c r="B291" s="10" t="str">
        <f ca="1">IF(IFERROR(INDEX((COPIA!$DA$3:$DE$1339),MATCH(ROWS(B$10:B291),COPIA!$DF$3:$DF$1339,0),COLUMN()-1),"")&gt;=1,IFERROR(INDEX((COPIA!$DA$3:$DE$1339),MATCH(ROWS(B$10:B291),COPIA!$DF$3:$DF$1339,0),COLUMN()-1),""),"")</f>
        <v/>
      </c>
      <c r="C291" s="5" t="str">
        <f ca="1">SUBSTITUTE(IFERROR(INDEX((COPIA!$DA$3:$DE$1339),MATCH(ROWS(C$10:C291),COPIA!$DF$3:$DF$1339,0),COLUMN()-1),""),"MASTRO","")</f>
        <v/>
      </c>
      <c r="D291" s="136" t="str">
        <f ca="1">IF(IFERROR(INDEX((COPIA!$DA$3:$DE$1339),MATCH(ROWS(D$10:D291),COPIA!$DF$3:$DF$1339,0),COLUMN()-1),"")=0,"",IFERROR(INDEX((COPIA!$DA$3:$DE$1339),MATCH(ROWS(D$10:D291),COPIA!$DF$3:$DF$1339,0),COLUMN()-1),""))</f>
        <v/>
      </c>
      <c r="E291" s="9" t="str">
        <f ca="1">IF(IFERROR(INDEX((COPIA!$DA$3:$DE$1339),MATCH(ROWS(E$10:E291),COPIA!$DF$3:$DF$1339,0),COLUMN()-1),"")=0,"",IFERROR(INDEX((COPIA!$DA$3:$DE$1339),MATCH(ROWS(E$10:E291),COPIA!$DF$3:$DF$1339,0),COLUMN()-1),""))</f>
        <v/>
      </c>
      <c r="F291" s="6" t="str">
        <f ca="1">IF(IFERROR(INDEX((COPIA!$DA$3:$DE$1339),MATCH(ROWS(F$10:F291),COPIA!$DF$3:$DF$1339,0),COLUMN()-1),"")=0,"",IFERROR(INDEX((COPIA!$DA$3:$DE$1339),MATCH(ROWS(F$10:F291),COPIA!$DF$3:$DF$1339,0),COLUMN()-1),""))</f>
        <v/>
      </c>
    </row>
    <row r="292" spans="1:6" x14ac:dyDescent="0.3">
      <c r="A292" s="60" t="str">
        <f ca="1">COPIA!AC285</f>
        <v>CONTRIBUTI IN C/INTERESSI</v>
      </c>
      <c r="B292" s="10" t="str">
        <f ca="1">IF(IFERROR(INDEX((COPIA!$DA$3:$DE$1339),MATCH(ROWS(B$10:B292),COPIA!$DF$3:$DF$1339,0),COLUMN()-1),"")&gt;=1,IFERROR(INDEX((COPIA!$DA$3:$DE$1339),MATCH(ROWS(B$10:B292),COPIA!$DF$3:$DF$1339,0),COLUMN()-1),""),"")</f>
        <v/>
      </c>
      <c r="C292" s="5" t="str">
        <f ca="1">SUBSTITUTE(IFERROR(INDEX((COPIA!$DA$3:$DE$1339),MATCH(ROWS(C$10:C292),COPIA!$DF$3:$DF$1339,0),COLUMN()-1),""),"MASTRO","")</f>
        <v/>
      </c>
      <c r="D292" s="136" t="str">
        <f ca="1">IF(IFERROR(INDEX((COPIA!$DA$3:$DE$1339),MATCH(ROWS(D$10:D292),COPIA!$DF$3:$DF$1339,0),COLUMN()-1),"")=0,"",IFERROR(INDEX((COPIA!$DA$3:$DE$1339),MATCH(ROWS(D$10:D292),COPIA!$DF$3:$DF$1339,0),COLUMN()-1),""))</f>
        <v/>
      </c>
      <c r="E292" s="9" t="str">
        <f ca="1">IF(IFERROR(INDEX((COPIA!$DA$3:$DE$1339),MATCH(ROWS(E$10:E292),COPIA!$DF$3:$DF$1339,0),COLUMN()-1),"")=0,"",IFERROR(INDEX((COPIA!$DA$3:$DE$1339),MATCH(ROWS(E$10:E292),COPIA!$DF$3:$DF$1339,0),COLUMN()-1),""))</f>
        <v/>
      </c>
      <c r="F292" s="6" t="str">
        <f ca="1">IF(IFERROR(INDEX((COPIA!$DA$3:$DE$1339),MATCH(ROWS(F$10:F292),COPIA!$DF$3:$DF$1339,0),COLUMN()-1),"")=0,"",IFERROR(INDEX((COPIA!$DA$3:$DE$1339),MATCH(ROWS(F$10:F292),COPIA!$DF$3:$DF$1339,0),COLUMN()-1),""))</f>
        <v/>
      </c>
    </row>
    <row r="293" spans="1:6" x14ac:dyDescent="0.3">
      <c r="A293" s="60" t="str">
        <f ca="1">COPIA!AC286</f>
        <v>RIVALUTAZIONE PARTECIPAZIONI</v>
      </c>
      <c r="B293" s="10" t="str">
        <f ca="1">IF(IFERROR(INDEX((COPIA!$DA$3:$DE$1339),MATCH(ROWS(B$10:B293),COPIA!$DF$3:$DF$1339,0),COLUMN()-1),"")&gt;=1,IFERROR(INDEX((COPIA!$DA$3:$DE$1339),MATCH(ROWS(B$10:B293),COPIA!$DF$3:$DF$1339,0),COLUMN()-1),""),"")</f>
        <v/>
      </c>
      <c r="C293" s="5" t="str">
        <f ca="1">SUBSTITUTE(IFERROR(INDEX((COPIA!$DA$3:$DE$1339),MATCH(ROWS(C$10:C293),COPIA!$DF$3:$DF$1339,0),COLUMN()-1),""),"MASTRO","")</f>
        <v/>
      </c>
      <c r="D293" s="136" t="str">
        <f ca="1">IF(IFERROR(INDEX((COPIA!$DA$3:$DE$1339),MATCH(ROWS(D$10:D293),COPIA!$DF$3:$DF$1339,0),COLUMN()-1),"")=0,"",IFERROR(INDEX((COPIA!$DA$3:$DE$1339),MATCH(ROWS(D$10:D293),COPIA!$DF$3:$DF$1339,0),COLUMN()-1),""))</f>
        <v/>
      </c>
      <c r="E293" s="9" t="str">
        <f ca="1">IF(IFERROR(INDEX((COPIA!$DA$3:$DE$1339),MATCH(ROWS(E$10:E293),COPIA!$DF$3:$DF$1339,0),COLUMN()-1),"")=0,"",IFERROR(INDEX((COPIA!$DA$3:$DE$1339),MATCH(ROWS(E$10:E293),COPIA!$DF$3:$DF$1339,0),COLUMN()-1),""))</f>
        <v/>
      </c>
      <c r="F293" s="6" t="str">
        <f ca="1">IF(IFERROR(INDEX((COPIA!$DA$3:$DE$1339),MATCH(ROWS(F$10:F293),COPIA!$DF$3:$DF$1339,0),COLUMN()-1),"")=0,"",IFERROR(INDEX((COPIA!$DA$3:$DE$1339),MATCH(ROWS(F$10:F293),COPIA!$DF$3:$DF$1339,0),COLUMN()-1),""))</f>
        <v/>
      </c>
    </row>
    <row r="294" spans="1:6" x14ac:dyDescent="0.3">
      <c r="A294" s="60" t="str">
        <f ca="1">COPIA!AC287</f>
        <v>RIVALUTAZIONE TITOLI</v>
      </c>
      <c r="B294" s="10" t="str">
        <f ca="1">IF(IFERROR(INDEX((COPIA!$DA$3:$DE$1339),MATCH(ROWS(B$10:B294),COPIA!$DF$3:$DF$1339,0),COLUMN()-1),"")&gt;=1,IFERROR(INDEX((COPIA!$DA$3:$DE$1339),MATCH(ROWS(B$10:B294),COPIA!$DF$3:$DF$1339,0),COLUMN()-1),""),"")</f>
        <v/>
      </c>
      <c r="C294" s="5" t="str">
        <f ca="1">SUBSTITUTE(IFERROR(INDEX((COPIA!$DA$3:$DE$1339),MATCH(ROWS(C$10:C294),COPIA!$DF$3:$DF$1339,0),COLUMN()-1),""),"MASTRO","")</f>
        <v/>
      </c>
      <c r="D294" s="136" t="str">
        <f ca="1">IF(IFERROR(INDEX((COPIA!$DA$3:$DE$1339),MATCH(ROWS(D$10:D294),COPIA!$DF$3:$DF$1339,0),COLUMN()-1),"")=0,"",IFERROR(INDEX((COPIA!$DA$3:$DE$1339),MATCH(ROWS(D$10:D294),COPIA!$DF$3:$DF$1339,0),COLUMN()-1),""))</f>
        <v/>
      </c>
      <c r="E294" s="9" t="str">
        <f ca="1">IF(IFERROR(INDEX((COPIA!$DA$3:$DE$1339),MATCH(ROWS(E$10:E294),COPIA!$DF$3:$DF$1339,0),COLUMN()-1),"")=0,"",IFERROR(INDEX((COPIA!$DA$3:$DE$1339),MATCH(ROWS(E$10:E294),COPIA!$DF$3:$DF$1339,0),COLUMN()-1),""))</f>
        <v/>
      </c>
      <c r="F294" s="6" t="str">
        <f ca="1">IF(IFERROR(INDEX((COPIA!$DA$3:$DE$1339),MATCH(ROWS(F$10:F294),COPIA!$DF$3:$DF$1339,0),COLUMN()-1),"")=0,"",IFERROR(INDEX((COPIA!$DA$3:$DE$1339),MATCH(ROWS(F$10:F294),COPIA!$DF$3:$DF$1339,0),COLUMN()-1),""))</f>
        <v/>
      </c>
    </row>
    <row r="295" spans="1:6" x14ac:dyDescent="0.3">
      <c r="A295" s="60" t="str">
        <f ca="1">COPIA!AC288</f>
        <v>SVALUTAZIONE PARTECIPAZIONI</v>
      </c>
      <c r="B295" s="10" t="str">
        <f ca="1">IF(IFERROR(INDEX((COPIA!$DA$3:$DE$1339),MATCH(ROWS(B$10:B295),COPIA!$DF$3:$DF$1339,0),COLUMN()-1),"")&gt;=1,IFERROR(INDEX((COPIA!$DA$3:$DE$1339),MATCH(ROWS(B$10:B295),COPIA!$DF$3:$DF$1339,0),COLUMN()-1),""),"")</f>
        <v/>
      </c>
      <c r="C295" s="5" t="str">
        <f ca="1">SUBSTITUTE(IFERROR(INDEX((COPIA!$DA$3:$DE$1339),MATCH(ROWS(C$10:C295),COPIA!$DF$3:$DF$1339,0),COLUMN()-1),""),"MASTRO","")</f>
        <v/>
      </c>
      <c r="D295" s="136" t="str">
        <f ca="1">IF(IFERROR(INDEX((COPIA!$DA$3:$DE$1339),MATCH(ROWS(D$10:D295),COPIA!$DF$3:$DF$1339,0),COLUMN()-1),"")=0,"",IFERROR(INDEX((COPIA!$DA$3:$DE$1339),MATCH(ROWS(D$10:D295),COPIA!$DF$3:$DF$1339,0),COLUMN()-1),""))</f>
        <v/>
      </c>
      <c r="E295" s="9" t="str">
        <f ca="1">IF(IFERROR(INDEX((COPIA!$DA$3:$DE$1339),MATCH(ROWS(E$10:E295),COPIA!$DF$3:$DF$1339,0),COLUMN()-1),"")=0,"",IFERROR(INDEX((COPIA!$DA$3:$DE$1339),MATCH(ROWS(E$10:E295),COPIA!$DF$3:$DF$1339,0),COLUMN()-1),""))</f>
        <v/>
      </c>
      <c r="F295" s="6" t="str">
        <f ca="1">IF(IFERROR(INDEX((COPIA!$DA$3:$DE$1339),MATCH(ROWS(F$10:F295),COPIA!$DF$3:$DF$1339,0),COLUMN()-1),"")=0,"",IFERROR(INDEX((COPIA!$DA$3:$DE$1339),MATCH(ROWS(F$10:F295),COPIA!$DF$3:$DF$1339,0),COLUMN()-1),""))</f>
        <v/>
      </c>
    </row>
    <row r="296" spans="1:6" x14ac:dyDescent="0.3">
      <c r="A296" s="60" t="str">
        <f ca="1">COPIA!AC289</f>
        <v>SVALUTAZIONE TITOLI</v>
      </c>
      <c r="B296" s="10" t="str">
        <f ca="1">IF(IFERROR(INDEX((COPIA!$DA$3:$DE$1339),MATCH(ROWS(B$10:B296),COPIA!$DF$3:$DF$1339,0),COLUMN()-1),"")&gt;=1,IFERROR(INDEX((COPIA!$DA$3:$DE$1339),MATCH(ROWS(B$10:B296),COPIA!$DF$3:$DF$1339,0),COLUMN()-1),""),"")</f>
        <v/>
      </c>
      <c r="C296" s="5" t="str">
        <f ca="1">SUBSTITUTE(IFERROR(INDEX((COPIA!$DA$3:$DE$1339),MATCH(ROWS(C$10:C296),COPIA!$DF$3:$DF$1339,0),COLUMN()-1),""),"MASTRO","")</f>
        <v/>
      </c>
      <c r="D296" s="136" t="str">
        <f ca="1">IF(IFERROR(INDEX((COPIA!$DA$3:$DE$1339),MATCH(ROWS(D$10:D296),COPIA!$DF$3:$DF$1339,0),COLUMN()-1),"")=0,"",IFERROR(INDEX((COPIA!$DA$3:$DE$1339),MATCH(ROWS(D$10:D296),COPIA!$DF$3:$DF$1339,0),COLUMN()-1),""))</f>
        <v/>
      </c>
      <c r="E296" s="9" t="str">
        <f ca="1">IF(IFERROR(INDEX((COPIA!$DA$3:$DE$1339),MATCH(ROWS(E$10:E296),COPIA!$DF$3:$DF$1339,0),COLUMN()-1),"")=0,"",IFERROR(INDEX((COPIA!$DA$3:$DE$1339),MATCH(ROWS(E$10:E296),COPIA!$DF$3:$DF$1339,0),COLUMN()-1),""))</f>
        <v/>
      </c>
      <c r="F296" s="6" t="str">
        <f ca="1">IF(IFERROR(INDEX((COPIA!$DA$3:$DE$1339),MATCH(ROWS(F$10:F296),COPIA!$DF$3:$DF$1339,0),COLUMN()-1),"")=0,"",IFERROR(INDEX((COPIA!$DA$3:$DE$1339),MATCH(ROWS(F$10:F296),COPIA!$DF$3:$DF$1339,0),COLUMN()-1),""))</f>
        <v/>
      </c>
    </row>
    <row r="297" spans="1:6" x14ac:dyDescent="0.3">
      <c r="A297" s="60" t="str">
        <f ca="1">COPIA!AC290</f>
        <v>IMPOSTE DELL'ESERCIZIO</v>
      </c>
      <c r="B297" s="10" t="str">
        <f ca="1">IF(IFERROR(INDEX((COPIA!$DA$3:$DE$1339),MATCH(ROWS(B$10:B297),COPIA!$DF$3:$DF$1339,0),COLUMN()-1),"")&gt;=1,IFERROR(INDEX((COPIA!$DA$3:$DE$1339),MATCH(ROWS(B$10:B297),COPIA!$DF$3:$DF$1339,0),COLUMN()-1),""),"")</f>
        <v/>
      </c>
      <c r="C297" s="5" t="str">
        <f ca="1">SUBSTITUTE(IFERROR(INDEX((COPIA!$DA$3:$DE$1339),MATCH(ROWS(C$10:C297),COPIA!$DF$3:$DF$1339,0),COLUMN()-1),""),"MASTRO","")</f>
        <v/>
      </c>
      <c r="D297" s="136" t="str">
        <f ca="1">IF(IFERROR(INDEX((COPIA!$DA$3:$DE$1339),MATCH(ROWS(D$10:D297),COPIA!$DF$3:$DF$1339,0),COLUMN()-1),"")=0,"",IFERROR(INDEX((COPIA!$DA$3:$DE$1339),MATCH(ROWS(D$10:D297),COPIA!$DF$3:$DF$1339,0),COLUMN()-1),""))</f>
        <v/>
      </c>
      <c r="E297" s="9" t="str">
        <f ca="1">IF(IFERROR(INDEX((COPIA!$DA$3:$DE$1339),MATCH(ROWS(E$10:E297),COPIA!$DF$3:$DF$1339,0),COLUMN()-1),"")=0,"",IFERROR(INDEX((COPIA!$DA$3:$DE$1339),MATCH(ROWS(E$10:E297),COPIA!$DF$3:$DF$1339,0),COLUMN()-1),""))</f>
        <v/>
      </c>
      <c r="F297" s="6" t="str">
        <f ca="1">IF(IFERROR(INDEX((COPIA!$DA$3:$DE$1339),MATCH(ROWS(F$10:F297),COPIA!$DF$3:$DF$1339,0),COLUMN()-1),"")=0,"",IFERROR(INDEX((COPIA!$DA$3:$DE$1339),MATCH(ROWS(F$10:F297),COPIA!$DF$3:$DF$1339,0),COLUMN()-1),""))</f>
        <v/>
      </c>
    </row>
    <row r="298" spans="1:6" x14ac:dyDescent="0.3">
      <c r="A298" s="60" t="str">
        <f ca="1">COPIA!AC291</f>
        <v>ACCANTONAMENTO PER IMPOSTE DIRETTE</v>
      </c>
      <c r="B298" s="10" t="str">
        <f ca="1">IF(IFERROR(INDEX((COPIA!$DA$3:$DE$1339),MATCH(ROWS(B$10:B298),COPIA!$DF$3:$DF$1339,0),COLUMN()-1),"")&gt;=1,IFERROR(INDEX((COPIA!$DA$3:$DE$1339),MATCH(ROWS(B$10:B298),COPIA!$DF$3:$DF$1339,0),COLUMN()-1),""),"")</f>
        <v/>
      </c>
      <c r="C298" s="5" t="str">
        <f ca="1">SUBSTITUTE(IFERROR(INDEX((COPIA!$DA$3:$DE$1339),MATCH(ROWS(C$10:C298),COPIA!$DF$3:$DF$1339,0),COLUMN()-1),""),"MASTRO","")</f>
        <v/>
      </c>
      <c r="D298" s="136" t="str">
        <f ca="1">IF(IFERROR(INDEX((COPIA!$DA$3:$DE$1339),MATCH(ROWS(D$10:D298),COPIA!$DF$3:$DF$1339,0),COLUMN()-1),"")=0,"",IFERROR(INDEX((COPIA!$DA$3:$DE$1339),MATCH(ROWS(D$10:D298),COPIA!$DF$3:$DF$1339,0),COLUMN()-1),""))</f>
        <v/>
      </c>
      <c r="E298" s="9" t="str">
        <f ca="1">IF(IFERROR(INDEX((COPIA!$DA$3:$DE$1339),MATCH(ROWS(E$10:E298),COPIA!$DF$3:$DF$1339,0),COLUMN()-1),"")=0,"",IFERROR(INDEX((COPIA!$DA$3:$DE$1339),MATCH(ROWS(E$10:E298),COPIA!$DF$3:$DF$1339,0),COLUMN()-1),""))</f>
        <v/>
      </c>
      <c r="F298" s="6" t="str">
        <f ca="1">IF(IFERROR(INDEX((COPIA!$DA$3:$DE$1339),MATCH(ROWS(F$10:F298),COPIA!$DF$3:$DF$1339,0),COLUMN()-1),"")=0,"",IFERROR(INDEX((COPIA!$DA$3:$DE$1339),MATCH(ROWS(F$10:F298),COPIA!$DF$3:$DF$1339,0),COLUMN()-1),""))</f>
        <v/>
      </c>
    </row>
    <row r="299" spans="1:6" x14ac:dyDescent="0.3">
      <c r="A299" s="60" t="str">
        <f ca="1">COPIA!AC292</f>
        <v>CONTO DI RISULTATO ECONOMICO</v>
      </c>
      <c r="B299" s="10" t="str">
        <f ca="1">IF(IFERROR(INDEX((COPIA!$DA$3:$DE$1339),MATCH(ROWS(B$10:B299),COPIA!$DF$3:$DF$1339,0),COLUMN()-1),"")&gt;=1,IFERROR(INDEX((COPIA!$DA$3:$DE$1339),MATCH(ROWS(B$10:B299),COPIA!$DF$3:$DF$1339,0),COLUMN()-1),""),"")</f>
        <v/>
      </c>
      <c r="C299" s="5" t="str">
        <f ca="1">SUBSTITUTE(IFERROR(INDEX((COPIA!$DA$3:$DE$1339),MATCH(ROWS(C$10:C299),COPIA!$DF$3:$DF$1339,0),COLUMN()-1),""),"MASTRO","")</f>
        <v/>
      </c>
      <c r="D299" s="136" t="str">
        <f ca="1">IF(IFERROR(INDEX((COPIA!$DA$3:$DE$1339),MATCH(ROWS(D$10:D299),COPIA!$DF$3:$DF$1339,0),COLUMN()-1),"")=0,"",IFERROR(INDEX((COPIA!$DA$3:$DE$1339),MATCH(ROWS(D$10:D299),COPIA!$DF$3:$DF$1339,0),COLUMN()-1),""))</f>
        <v/>
      </c>
      <c r="E299" s="9" t="str">
        <f ca="1">IF(IFERROR(INDEX((COPIA!$DA$3:$DE$1339),MATCH(ROWS(E$10:E299),COPIA!$DF$3:$DF$1339,0),COLUMN()-1),"")=0,"",IFERROR(INDEX((COPIA!$DA$3:$DE$1339),MATCH(ROWS(E$10:E299),COPIA!$DF$3:$DF$1339,0),COLUMN()-1),""))</f>
        <v/>
      </c>
      <c r="F299" s="6" t="str">
        <f ca="1">IF(IFERROR(INDEX((COPIA!$DA$3:$DE$1339),MATCH(ROWS(F$10:F299),COPIA!$DF$3:$DF$1339,0),COLUMN()-1),"")=0,"",IFERROR(INDEX((COPIA!$DA$3:$DE$1339),MATCH(ROWS(F$10:F299),COPIA!$DF$3:$DF$1339,0),COLUMN()-1),""))</f>
        <v/>
      </c>
    </row>
    <row r="300" spans="1:6" x14ac:dyDescent="0.3">
      <c r="A300" s="60" t="str">
        <f ca="1">COPIA!AC293</f>
        <v>GESTIONE TITOLI</v>
      </c>
      <c r="B300" s="10" t="str">
        <f ca="1">IF(IFERROR(INDEX((COPIA!$DA$3:$DE$1339),MATCH(ROWS(B$10:B300),COPIA!$DF$3:$DF$1339,0),COLUMN()-1),"")&gt;=1,IFERROR(INDEX((COPIA!$DA$3:$DE$1339),MATCH(ROWS(B$10:B300),COPIA!$DF$3:$DF$1339,0),COLUMN()-1),""),"")</f>
        <v/>
      </c>
      <c r="C300" s="5" t="str">
        <f ca="1">SUBSTITUTE(IFERROR(INDEX((COPIA!$DA$3:$DE$1339),MATCH(ROWS(C$10:C300),COPIA!$DF$3:$DF$1339,0),COLUMN()-1),""),"MASTRO","")</f>
        <v/>
      </c>
      <c r="D300" s="136" t="str">
        <f ca="1">IF(IFERROR(INDEX((COPIA!$DA$3:$DE$1339),MATCH(ROWS(D$10:D300),COPIA!$DF$3:$DF$1339,0),COLUMN()-1),"")=0,"",IFERROR(INDEX((COPIA!$DA$3:$DE$1339),MATCH(ROWS(D$10:D300),COPIA!$DF$3:$DF$1339,0),COLUMN()-1),""))</f>
        <v/>
      </c>
      <c r="E300" s="9" t="str">
        <f ca="1">IF(IFERROR(INDEX((COPIA!$DA$3:$DE$1339),MATCH(ROWS(E$10:E300),COPIA!$DF$3:$DF$1339,0),COLUMN()-1),"")=0,"",IFERROR(INDEX((COPIA!$DA$3:$DE$1339),MATCH(ROWS(E$10:E300),COPIA!$DF$3:$DF$1339,0),COLUMN()-1),""))</f>
        <v/>
      </c>
      <c r="F300" s="6" t="str">
        <f ca="1">IF(IFERROR(INDEX((COPIA!$DA$3:$DE$1339),MATCH(ROWS(F$10:F300),COPIA!$DF$3:$DF$1339,0),COLUMN()-1),"")=0,"",IFERROR(INDEX((COPIA!$DA$3:$DE$1339),MATCH(ROWS(F$10:F300),COPIA!$DF$3:$DF$1339,0),COLUMN()-1),""))</f>
        <v/>
      </c>
    </row>
    <row r="301" spans="1:6" x14ac:dyDescent="0.3">
      <c r="A301" s="60" t="str">
        <f ca="1">COPIA!AC294</f>
        <v/>
      </c>
      <c r="B301" s="10" t="str">
        <f ca="1">IF(IFERROR(INDEX((COPIA!$DA$3:$DE$1339),MATCH(ROWS(B$10:B301),COPIA!$DF$3:$DF$1339,0),COLUMN()-1),"")&gt;=1,IFERROR(INDEX((COPIA!$DA$3:$DE$1339),MATCH(ROWS(B$10:B301),COPIA!$DF$3:$DF$1339,0),COLUMN()-1),""),"")</f>
        <v/>
      </c>
      <c r="C301" s="5" t="str">
        <f ca="1">SUBSTITUTE(IFERROR(INDEX((COPIA!$DA$3:$DE$1339),MATCH(ROWS(C$10:C301),COPIA!$DF$3:$DF$1339,0),COLUMN()-1),""),"MASTRO","")</f>
        <v/>
      </c>
      <c r="D301" s="136" t="str">
        <f ca="1">IF(IFERROR(INDEX((COPIA!$DA$3:$DE$1339),MATCH(ROWS(D$10:D301),COPIA!$DF$3:$DF$1339,0),COLUMN()-1),"")=0,"",IFERROR(INDEX((COPIA!$DA$3:$DE$1339),MATCH(ROWS(D$10:D301),COPIA!$DF$3:$DF$1339,0),COLUMN()-1),""))</f>
        <v/>
      </c>
      <c r="E301" s="9" t="str">
        <f ca="1">IF(IFERROR(INDEX((COPIA!$DA$3:$DE$1339),MATCH(ROWS(E$10:E301),COPIA!$DF$3:$DF$1339,0),COLUMN()-1),"")=0,"",IFERROR(INDEX((COPIA!$DA$3:$DE$1339),MATCH(ROWS(E$10:E301),COPIA!$DF$3:$DF$1339,0),COLUMN()-1),""))</f>
        <v/>
      </c>
      <c r="F301" s="6" t="str">
        <f ca="1">IF(IFERROR(INDEX((COPIA!$DA$3:$DE$1339),MATCH(ROWS(F$10:F301),COPIA!$DF$3:$DF$1339,0),COLUMN()-1),"")=0,"",IFERROR(INDEX((COPIA!$DA$3:$DE$1339),MATCH(ROWS(F$10:F301),COPIA!$DF$3:$DF$1339,0),COLUMN()-1),""))</f>
        <v/>
      </c>
    </row>
    <row r="302" spans="1:6" x14ac:dyDescent="0.3">
      <c r="A302" s="60" t="str">
        <f ca="1">COPIA!AC295</f>
        <v/>
      </c>
      <c r="B302" s="10" t="str">
        <f ca="1">IF(IFERROR(INDEX((COPIA!$DA$3:$DE$1339),MATCH(ROWS(B$10:B302),COPIA!$DF$3:$DF$1339,0),COLUMN()-1),"")&gt;=1,IFERROR(INDEX((COPIA!$DA$3:$DE$1339),MATCH(ROWS(B$10:B302),COPIA!$DF$3:$DF$1339,0),COLUMN()-1),""),"")</f>
        <v/>
      </c>
      <c r="C302" s="5" t="str">
        <f ca="1">SUBSTITUTE(IFERROR(INDEX((COPIA!$DA$3:$DE$1339),MATCH(ROWS(C$10:C302),COPIA!$DF$3:$DF$1339,0),COLUMN()-1),""),"MASTRO","")</f>
        <v/>
      </c>
      <c r="D302" s="136" t="str">
        <f ca="1">IF(IFERROR(INDEX((COPIA!$DA$3:$DE$1339),MATCH(ROWS(D$10:D302),COPIA!$DF$3:$DF$1339,0),COLUMN()-1),"")=0,"",IFERROR(INDEX((COPIA!$DA$3:$DE$1339),MATCH(ROWS(D$10:D302),COPIA!$DF$3:$DF$1339,0),COLUMN()-1),""))</f>
        <v/>
      </c>
      <c r="E302" s="9" t="str">
        <f ca="1">IF(IFERROR(INDEX((COPIA!$DA$3:$DE$1339),MATCH(ROWS(E$10:E302),COPIA!$DF$3:$DF$1339,0),COLUMN()-1),"")=0,"",IFERROR(INDEX((COPIA!$DA$3:$DE$1339),MATCH(ROWS(E$10:E302),COPIA!$DF$3:$DF$1339,0),COLUMN()-1),""))</f>
        <v/>
      </c>
      <c r="F302" s="6" t="str">
        <f ca="1">IF(IFERROR(INDEX((COPIA!$DA$3:$DE$1339),MATCH(ROWS(F$10:F302),COPIA!$DF$3:$DF$1339,0),COLUMN()-1),"")=0,"",IFERROR(INDEX((COPIA!$DA$3:$DE$1339),MATCH(ROWS(F$10:F302),COPIA!$DF$3:$DF$1339,0),COLUMN()-1),""))</f>
        <v/>
      </c>
    </row>
    <row r="303" spans="1:6" x14ac:dyDescent="0.3">
      <c r="A303" s="60" t="str">
        <f ca="1">COPIA!AC296</f>
        <v/>
      </c>
      <c r="B303" s="10" t="str">
        <f ca="1">IF(IFERROR(INDEX((COPIA!$DA$3:$DE$1339),MATCH(ROWS(B$10:B303),COPIA!$DF$3:$DF$1339,0),COLUMN()-1),"")&gt;=1,IFERROR(INDEX((COPIA!$DA$3:$DE$1339),MATCH(ROWS(B$10:B303),COPIA!$DF$3:$DF$1339,0),COLUMN()-1),""),"")</f>
        <v/>
      </c>
      <c r="C303" s="5" t="str">
        <f ca="1">SUBSTITUTE(IFERROR(INDEX((COPIA!$DA$3:$DE$1339),MATCH(ROWS(C$10:C303),COPIA!$DF$3:$DF$1339,0),COLUMN()-1),""),"MASTRO","")</f>
        <v/>
      </c>
      <c r="D303" s="136" t="str">
        <f ca="1">IF(IFERROR(INDEX((COPIA!$DA$3:$DE$1339),MATCH(ROWS(D$10:D303),COPIA!$DF$3:$DF$1339,0),COLUMN()-1),"")=0,"",IFERROR(INDEX((COPIA!$DA$3:$DE$1339),MATCH(ROWS(D$10:D303),COPIA!$DF$3:$DF$1339,0),COLUMN()-1),""))</f>
        <v/>
      </c>
      <c r="E303" s="9" t="str">
        <f ca="1">IF(IFERROR(INDEX((COPIA!$DA$3:$DE$1339),MATCH(ROWS(E$10:E303),COPIA!$DF$3:$DF$1339,0),COLUMN()-1),"")=0,"",IFERROR(INDEX((COPIA!$DA$3:$DE$1339),MATCH(ROWS(E$10:E303),COPIA!$DF$3:$DF$1339,0),COLUMN()-1),""))</f>
        <v/>
      </c>
      <c r="F303" s="6" t="str">
        <f ca="1">IF(IFERROR(INDEX((COPIA!$DA$3:$DE$1339),MATCH(ROWS(F$10:F303),COPIA!$DF$3:$DF$1339,0),COLUMN()-1),"")=0,"",IFERROR(INDEX((COPIA!$DA$3:$DE$1339),MATCH(ROWS(F$10:F303),COPIA!$DF$3:$DF$1339,0),COLUMN()-1),""))</f>
        <v/>
      </c>
    </row>
    <row r="304" spans="1:6" x14ac:dyDescent="0.3">
      <c r="A304" s="60" t="str">
        <f ca="1">COPIA!AC297</f>
        <v/>
      </c>
      <c r="B304" s="10" t="str">
        <f ca="1">IF(IFERROR(INDEX((COPIA!$DA$3:$DE$1339),MATCH(ROWS(B$10:B304),COPIA!$DF$3:$DF$1339,0),COLUMN()-1),"")&gt;=1,IFERROR(INDEX((COPIA!$DA$3:$DE$1339),MATCH(ROWS(B$10:B304),COPIA!$DF$3:$DF$1339,0),COLUMN()-1),""),"")</f>
        <v/>
      </c>
      <c r="C304" s="5" t="str">
        <f ca="1">SUBSTITUTE(IFERROR(INDEX((COPIA!$DA$3:$DE$1339),MATCH(ROWS(C$10:C304),COPIA!$DF$3:$DF$1339,0),COLUMN()-1),""),"MASTRO","")</f>
        <v/>
      </c>
      <c r="D304" s="136" t="str">
        <f ca="1">IF(IFERROR(INDEX((COPIA!$DA$3:$DE$1339),MATCH(ROWS(D$10:D304),COPIA!$DF$3:$DF$1339,0),COLUMN()-1),"")=0,"",IFERROR(INDEX((COPIA!$DA$3:$DE$1339),MATCH(ROWS(D$10:D304),COPIA!$DF$3:$DF$1339,0),COLUMN()-1),""))</f>
        <v/>
      </c>
      <c r="E304" s="9" t="str">
        <f ca="1">IF(IFERROR(INDEX((COPIA!$DA$3:$DE$1339),MATCH(ROWS(E$10:E304),COPIA!$DF$3:$DF$1339,0),COLUMN()-1),"")=0,"",IFERROR(INDEX((COPIA!$DA$3:$DE$1339),MATCH(ROWS(E$10:E304),COPIA!$DF$3:$DF$1339,0),COLUMN()-1),""))</f>
        <v/>
      </c>
      <c r="F304" s="6" t="str">
        <f ca="1">IF(IFERROR(INDEX((COPIA!$DA$3:$DE$1339),MATCH(ROWS(F$10:F304),COPIA!$DF$3:$DF$1339,0),COLUMN()-1),"")=0,"",IFERROR(INDEX((COPIA!$DA$3:$DE$1339),MATCH(ROWS(F$10:F304),COPIA!$DF$3:$DF$1339,0),COLUMN()-1),""))</f>
        <v/>
      </c>
    </row>
    <row r="305" spans="1:6" x14ac:dyDescent="0.3">
      <c r="A305" s="60" t="str">
        <f ca="1">COPIA!AC298</f>
        <v/>
      </c>
      <c r="B305" s="10" t="str">
        <f ca="1">IF(IFERROR(INDEX((COPIA!$DA$3:$DE$1339),MATCH(ROWS(B$10:B305),COPIA!$DF$3:$DF$1339,0),COLUMN()-1),"")&gt;=1,IFERROR(INDEX((COPIA!$DA$3:$DE$1339),MATCH(ROWS(B$10:B305),COPIA!$DF$3:$DF$1339,0),COLUMN()-1),""),"")</f>
        <v/>
      </c>
      <c r="C305" s="5" t="str">
        <f ca="1">SUBSTITUTE(IFERROR(INDEX((COPIA!$DA$3:$DE$1339),MATCH(ROWS(C$10:C305),COPIA!$DF$3:$DF$1339,0),COLUMN()-1),""),"MASTRO","")</f>
        <v/>
      </c>
      <c r="D305" s="136" t="str">
        <f ca="1">IF(IFERROR(INDEX((COPIA!$DA$3:$DE$1339),MATCH(ROWS(D$10:D305),COPIA!$DF$3:$DF$1339,0),COLUMN()-1),"")=0,"",IFERROR(INDEX((COPIA!$DA$3:$DE$1339),MATCH(ROWS(D$10:D305),COPIA!$DF$3:$DF$1339,0),COLUMN()-1),""))</f>
        <v/>
      </c>
      <c r="E305" s="9" t="str">
        <f ca="1">IF(IFERROR(INDEX((COPIA!$DA$3:$DE$1339),MATCH(ROWS(E$10:E305),COPIA!$DF$3:$DF$1339,0),COLUMN()-1),"")=0,"",IFERROR(INDEX((COPIA!$DA$3:$DE$1339),MATCH(ROWS(E$10:E305),COPIA!$DF$3:$DF$1339,0),COLUMN()-1),""))</f>
        <v/>
      </c>
      <c r="F305" s="6" t="str">
        <f ca="1">IF(IFERROR(INDEX((COPIA!$DA$3:$DE$1339),MATCH(ROWS(F$10:F305),COPIA!$DF$3:$DF$1339,0),COLUMN()-1),"")=0,"",IFERROR(INDEX((COPIA!$DA$3:$DE$1339),MATCH(ROWS(F$10:F305),COPIA!$DF$3:$DF$1339,0),COLUMN()-1),""))</f>
        <v/>
      </c>
    </row>
    <row r="306" spans="1:6" x14ac:dyDescent="0.3">
      <c r="A306" s="60" t="str">
        <f ca="1">COPIA!AC299</f>
        <v/>
      </c>
      <c r="B306" s="10" t="str">
        <f ca="1">IF(IFERROR(INDEX((COPIA!$DA$3:$DE$1339),MATCH(ROWS(B$10:B306),COPIA!$DF$3:$DF$1339,0),COLUMN()-1),"")&gt;=1,IFERROR(INDEX((COPIA!$DA$3:$DE$1339),MATCH(ROWS(B$10:B306),COPIA!$DF$3:$DF$1339,0),COLUMN()-1),""),"")</f>
        <v/>
      </c>
      <c r="C306" s="5" t="str">
        <f ca="1">SUBSTITUTE(IFERROR(INDEX((COPIA!$DA$3:$DE$1339),MATCH(ROWS(C$10:C306),COPIA!$DF$3:$DF$1339,0),COLUMN()-1),""),"MASTRO","")</f>
        <v/>
      </c>
      <c r="D306" s="136" t="str">
        <f ca="1">IF(IFERROR(INDEX((COPIA!$DA$3:$DE$1339),MATCH(ROWS(D$10:D306),COPIA!$DF$3:$DF$1339,0),COLUMN()-1),"")=0,"",IFERROR(INDEX((COPIA!$DA$3:$DE$1339),MATCH(ROWS(D$10:D306),COPIA!$DF$3:$DF$1339,0),COLUMN()-1),""))</f>
        <v/>
      </c>
      <c r="E306" s="9" t="str">
        <f ca="1">IF(IFERROR(INDEX((COPIA!$DA$3:$DE$1339),MATCH(ROWS(E$10:E306),COPIA!$DF$3:$DF$1339,0),COLUMN()-1),"")=0,"",IFERROR(INDEX((COPIA!$DA$3:$DE$1339),MATCH(ROWS(E$10:E306),COPIA!$DF$3:$DF$1339,0),COLUMN()-1),""))</f>
        <v/>
      </c>
      <c r="F306" s="6" t="str">
        <f ca="1">IF(IFERROR(INDEX((COPIA!$DA$3:$DE$1339),MATCH(ROWS(F$10:F306),COPIA!$DF$3:$DF$1339,0),COLUMN()-1),"")=0,"",IFERROR(INDEX((COPIA!$DA$3:$DE$1339),MATCH(ROWS(F$10:F306),COPIA!$DF$3:$DF$1339,0),COLUMN()-1),""))</f>
        <v/>
      </c>
    </row>
    <row r="307" spans="1:6" x14ac:dyDescent="0.3">
      <c r="A307" s="60" t="str">
        <f ca="1">COPIA!AC300</f>
        <v/>
      </c>
      <c r="B307" s="10" t="str">
        <f ca="1">IF(IFERROR(INDEX((COPIA!$DA$3:$DE$1339),MATCH(ROWS(B$10:B307),COPIA!$DF$3:$DF$1339,0),COLUMN()-1),"")&gt;=1,IFERROR(INDEX((COPIA!$DA$3:$DE$1339),MATCH(ROWS(B$10:B307),COPIA!$DF$3:$DF$1339,0),COLUMN()-1),""),"")</f>
        <v/>
      </c>
      <c r="C307" s="5" t="str">
        <f ca="1">SUBSTITUTE(IFERROR(INDEX((COPIA!$DA$3:$DE$1339),MATCH(ROWS(C$10:C307),COPIA!$DF$3:$DF$1339,0),COLUMN()-1),""),"MASTRO","")</f>
        <v/>
      </c>
      <c r="D307" s="136" t="str">
        <f ca="1">IF(IFERROR(INDEX((COPIA!$DA$3:$DE$1339),MATCH(ROWS(D$10:D307),COPIA!$DF$3:$DF$1339,0),COLUMN()-1),"")=0,"",IFERROR(INDEX((COPIA!$DA$3:$DE$1339),MATCH(ROWS(D$10:D307),COPIA!$DF$3:$DF$1339,0),COLUMN()-1),""))</f>
        <v/>
      </c>
      <c r="E307" s="9" t="str">
        <f ca="1">IF(IFERROR(INDEX((COPIA!$DA$3:$DE$1339),MATCH(ROWS(E$10:E307),COPIA!$DF$3:$DF$1339,0),COLUMN()-1),"")=0,"",IFERROR(INDEX((COPIA!$DA$3:$DE$1339),MATCH(ROWS(E$10:E307),COPIA!$DF$3:$DF$1339,0),COLUMN()-1),""))</f>
        <v/>
      </c>
      <c r="F307" s="6" t="str">
        <f ca="1">IF(IFERROR(INDEX((COPIA!$DA$3:$DE$1339),MATCH(ROWS(F$10:F307),COPIA!$DF$3:$DF$1339,0),COLUMN()-1),"")=0,"",IFERROR(INDEX((COPIA!$DA$3:$DE$1339),MATCH(ROWS(F$10:F307),COPIA!$DF$3:$DF$1339,0),COLUMN()-1),""))</f>
        <v/>
      </c>
    </row>
    <row r="308" spans="1:6" x14ac:dyDescent="0.3">
      <c r="A308" s="60" t="str">
        <f ca="1">COPIA!AC301</f>
        <v/>
      </c>
      <c r="B308" s="10" t="str">
        <f ca="1">IF(IFERROR(INDEX((COPIA!$DA$3:$DE$1339),MATCH(ROWS(B$10:B308),COPIA!$DF$3:$DF$1339,0),COLUMN()-1),"")&gt;=1,IFERROR(INDEX((COPIA!$DA$3:$DE$1339),MATCH(ROWS(B$10:B308),COPIA!$DF$3:$DF$1339,0),COLUMN()-1),""),"")</f>
        <v/>
      </c>
      <c r="C308" s="5" t="str">
        <f ca="1">SUBSTITUTE(IFERROR(INDEX((COPIA!$DA$3:$DE$1339),MATCH(ROWS(C$10:C308),COPIA!$DF$3:$DF$1339,0),COLUMN()-1),""),"MASTRO","")</f>
        <v/>
      </c>
      <c r="D308" s="136" t="str">
        <f ca="1">IF(IFERROR(INDEX((COPIA!$DA$3:$DE$1339),MATCH(ROWS(D$10:D308),COPIA!$DF$3:$DF$1339,0),COLUMN()-1),"")=0,"",IFERROR(INDEX((COPIA!$DA$3:$DE$1339),MATCH(ROWS(D$10:D308),COPIA!$DF$3:$DF$1339,0),COLUMN()-1),""))</f>
        <v/>
      </c>
      <c r="E308" s="9" t="str">
        <f ca="1">IF(IFERROR(INDEX((COPIA!$DA$3:$DE$1339),MATCH(ROWS(E$10:E308),COPIA!$DF$3:$DF$1339,0),COLUMN()-1),"")=0,"",IFERROR(INDEX((COPIA!$DA$3:$DE$1339),MATCH(ROWS(E$10:E308),COPIA!$DF$3:$DF$1339,0),COLUMN()-1),""))</f>
        <v/>
      </c>
      <c r="F308" s="6" t="str">
        <f ca="1">IF(IFERROR(INDEX((COPIA!$DA$3:$DE$1339),MATCH(ROWS(F$10:F308),COPIA!$DF$3:$DF$1339,0),COLUMN()-1),"")=0,"",IFERROR(INDEX((COPIA!$DA$3:$DE$1339),MATCH(ROWS(F$10:F308),COPIA!$DF$3:$DF$1339,0),COLUMN()-1),""))</f>
        <v/>
      </c>
    </row>
    <row r="309" spans="1:6" x14ac:dyDescent="0.3">
      <c r="A309" s="60" t="str">
        <f ca="1">COPIA!AC302</f>
        <v/>
      </c>
      <c r="B309" s="10" t="str">
        <f ca="1">IF(IFERROR(INDEX((COPIA!$DA$3:$DE$1339),MATCH(ROWS(B$10:B309),COPIA!$DF$3:$DF$1339,0),COLUMN()-1),"")&gt;=1,IFERROR(INDEX((COPIA!$DA$3:$DE$1339),MATCH(ROWS(B$10:B309),COPIA!$DF$3:$DF$1339,0),COLUMN()-1),""),"")</f>
        <v/>
      </c>
      <c r="C309" s="5" t="str">
        <f ca="1">SUBSTITUTE(IFERROR(INDEX((COPIA!$DA$3:$DE$1339),MATCH(ROWS(C$10:C309),COPIA!$DF$3:$DF$1339,0),COLUMN()-1),""),"MASTRO","")</f>
        <v/>
      </c>
      <c r="D309" s="136" t="str">
        <f ca="1">IF(IFERROR(INDEX((COPIA!$DA$3:$DE$1339),MATCH(ROWS(D$10:D309),COPIA!$DF$3:$DF$1339,0),COLUMN()-1),"")=0,"",IFERROR(INDEX((COPIA!$DA$3:$DE$1339),MATCH(ROWS(D$10:D309),COPIA!$DF$3:$DF$1339,0),COLUMN()-1),""))</f>
        <v/>
      </c>
      <c r="E309" s="9" t="str">
        <f ca="1">IF(IFERROR(INDEX((COPIA!$DA$3:$DE$1339),MATCH(ROWS(E$10:E309),COPIA!$DF$3:$DF$1339,0),COLUMN()-1),"")=0,"",IFERROR(INDEX((COPIA!$DA$3:$DE$1339),MATCH(ROWS(E$10:E309),COPIA!$DF$3:$DF$1339,0),COLUMN()-1),""))</f>
        <v/>
      </c>
      <c r="F309" s="6" t="str">
        <f ca="1">IF(IFERROR(INDEX((COPIA!$DA$3:$DE$1339),MATCH(ROWS(F$10:F309),COPIA!$DF$3:$DF$1339,0),COLUMN()-1),"")=0,"",IFERROR(INDEX((COPIA!$DA$3:$DE$1339),MATCH(ROWS(F$10:F309),COPIA!$DF$3:$DF$1339,0),COLUMN()-1),""))</f>
        <v/>
      </c>
    </row>
    <row r="310" spans="1:6" x14ac:dyDescent="0.3">
      <c r="A310" s="60" t="str">
        <f ca="1">COPIA!AC303</f>
        <v/>
      </c>
      <c r="B310" s="10" t="str">
        <f ca="1">IF(IFERROR(INDEX((COPIA!$DA$3:$DE$1339),MATCH(ROWS(B$10:B310),COPIA!$DF$3:$DF$1339,0),COLUMN()-1),"")&gt;=1,IFERROR(INDEX((COPIA!$DA$3:$DE$1339),MATCH(ROWS(B$10:B310),COPIA!$DF$3:$DF$1339,0),COLUMN()-1),""),"")</f>
        <v/>
      </c>
      <c r="C310" s="5" t="str">
        <f ca="1">SUBSTITUTE(IFERROR(INDEX((COPIA!$DA$3:$DE$1339),MATCH(ROWS(C$10:C310),COPIA!$DF$3:$DF$1339,0),COLUMN()-1),""),"MASTRO","")</f>
        <v/>
      </c>
      <c r="D310" s="136" t="str">
        <f ca="1">IF(IFERROR(INDEX((COPIA!$DA$3:$DE$1339),MATCH(ROWS(D$10:D310),COPIA!$DF$3:$DF$1339,0),COLUMN()-1),"")=0,"",IFERROR(INDEX((COPIA!$DA$3:$DE$1339),MATCH(ROWS(D$10:D310),COPIA!$DF$3:$DF$1339,0),COLUMN()-1),""))</f>
        <v/>
      </c>
      <c r="E310" s="9" t="str">
        <f ca="1">IF(IFERROR(INDEX((COPIA!$DA$3:$DE$1339),MATCH(ROWS(E$10:E310),COPIA!$DF$3:$DF$1339,0),COLUMN()-1),"")=0,"",IFERROR(INDEX((COPIA!$DA$3:$DE$1339),MATCH(ROWS(E$10:E310),COPIA!$DF$3:$DF$1339,0),COLUMN()-1),""))</f>
        <v/>
      </c>
      <c r="F310" s="6" t="str">
        <f ca="1">IF(IFERROR(INDEX((COPIA!$DA$3:$DE$1339),MATCH(ROWS(F$10:F310),COPIA!$DF$3:$DF$1339,0),COLUMN()-1),"")=0,"",IFERROR(INDEX((COPIA!$DA$3:$DE$1339),MATCH(ROWS(F$10:F310),COPIA!$DF$3:$DF$1339,0),COLUMN()-1),""))</f>
        <v/>
      </c>
    </row>
    <row r="311" spans="1:6" x14ac:dyDescent="0.3">
      <c r="A311" s="60" t="str">
        <f ca="1">COPIA!AC304</f>
        <v/>
      </c>
      <c r="B311" s="10" t="str">
        <f ca="1">IF(IFERROR(INDEX((COPIA!$DA$3:$DE$1339),MATCH(ROWS(B$10:B311),COPIA!$DF$3:$DF$1339,0),COLUMN()-1),"")&gt;=1,IFERROR(INDEX((COPIA!$DA$3:$DE$1339),MATCH(ROWS(B$10:B311),COPIA!$DF$3:$DF$1339,0),COLUMN()-1),""),"")</f>
        <v/>
      </c>
      <c r="C311" s="5" t="str">
        <f ca="1">SUBSTITUTE(IFERROR(INDEX((COPIA!$DA$3:$DE$1339),MATCH(ROWS(C$10:C311),COPIA!$DF$3:$DF$1339,0),COLUMN()-1),""),"MASTRO","")</f>
        <v/>
      </c>
      <c r="D311" s="136" t="str">
        <f ca="1">IF(IFERROR(INDEX((COPIA!$DA$3:$DE$1339),MATCH(ROWS(D$10:D311),COPIA!$DF$3:$DF$1339,0),COLUMN()-1),"")=0,"",IFERROR(INDEX((COPIA!$DA$3:$DE$1339),MATCH(ROWS(D$10:D311),COPIA!$DF$3:$DF$1339,0),COLUMN()-1),""))</f>
        <v/>
      </c>
      <c r="E311" s="9" t="str">
        <f ca="1">IF(IFERROR(INDEX((COPIA!$DA$3:$DE$1339),MATCH(ROWS(E$10:E311),COPIA!$DF$3:$DF$1339,0),COLUMN()-1),"")=0,"",IFERROR(INDEX((COPIA!$DA$3:$DE$1339),MATCH(ROWS(E$10:E311),COPIA!$DF$3:$DF$1339,0),COLUMN()-1),""))</f>
        <v/>
      </c>
      <c r="F311" s="6" t="str">
        <f ca="1">IF(IFERROR(INDEX((COPIA!$DA$3:$DE$1339),MATCH(ROWS(F$10:F311),COPIA!$DF$3:$DF$1339,0),COLUMN()-1),"")=0,"",IFERROR(INDEX((COPIA!$DA$3:$DE$1339),MATCH(ROWS(F$10:F311),COPIA!$DF$3:$DF$1339,0),COLUMN()-1),""))</f>
        <v/>
      </c>
    </row>
    <row r="312" spans="1:6" x14ac:dyDescent="0.3">
      <c r="A312" s="60" t="str">
        <f ca="1">COPIA!AC305</f>
        <v/>
      </c>
      <c r="B312" s="10" t="str">
        <f ca="1">IF(IFERROR(INDEX((COPIA!$DA$3:$DE$1339),MATCH(ROWS(B$10:B312),COPIA!$DF$3:$DF$1339,0),COLUMN()-1),"")&gt;=1,IFERROR(INDEX((COPIA!$DA$3:$DE$1339),MATCH(ROWS(B$10:B312),COPIA!$DF$3:$DF$1339,0),COLUMN()-1),""),"")</f>
        <v/>
      </c>
      <c r="C312" s="5" t="str">
        <f ca="1">SUBSTITUTE(IFERROR(INDEX((COPIA!$DA$3:$DE$1339),MATCH(ROWS(C$10:C312),COPIA!$DF$3:$DF$1339,0),COLUMN()-1),""),"MASTRO","")</f>
        <v/>
      </c>
      <c r="D312" s="136" t="str">
        <f ca="1">IF(IFERROR(INDEX((COPIA!$DA$3:$DE$1339),MATCH(ROWS(D$10:D312),COPIA!$DF$3:$DF$1339,0),COLUMN()-1),"")=0,"",IFERROR(INDEX((COPIA!$DA$3:$DE$1339),MATCH(ROWS(D$10:D312),COPIA!$DF$3:$DF$1339,0),COLUMN()-1),""))</f>
        <v/>
      </c>
      <c r="E312" s="9" t="str">
        <f ca="1">IF(IFERROR(INDEX((COPIA!$DA$3:$DE$1339),MATCH(ROWS(E$10:E312),COPIA!$DF$3:$DF$1339,0),COLUMN()-1),"")=0,"",IFERROR(INDEX((COPIA!$DA$3:$DE$1339),MATCH(ROWS(E$10:E312),COPIA!$DF$3:$DF$1339,0),COLUMN()-1),""))</f>
        <v/>
      </c>
      <c r="F312" s="6" t="str">
        <f ca="1">IF(IFERROR(INDEX((COPIA!$DA$3:$DE$1339),MATCH(ROWS(F$10:F312),COPIA!$DF$3:$DF$1339,0),COLUMN()-1),"")=0,"",IFERROR(INDEX((COPIA!$DA$3:$DE$1339),MATCH(ROWS(F$10:F312),COPIA!$DF$3:$DF$1339,0),COLUMN()-1),""))</f>
        <v/>
      </c>
    </row>
    <row r="313" spans="1:6" x14ac:dyDescent="0.3">
      <c r="A313" s="60" t="str">
        <f ca="1">COPIA!AC306</f>
        <v/>
      </c>
      <c r="B313" s="10" t="str">
        <f ca="1">IF(IFERROR(INDEX((COPIA!$DA$3:$DE$1339),MATCH(ROWS(B$10:B313),COPIA!$DF$3:$DF$1339,0),COLUMN()-1),"")&gt;=1,IFERROR(INDEX((COPIA!$DA$3:$DE$1339),MATCH(ROWS(B$10:B313),COPIA!$DF$3:$DF$1339,0),COLUMN()-1),""),"")</f>
        <v/>
      </c>
      <c r="C313" s="5" t="str">
        <f ca="1">SUBSTITUTE(IFERROR(INDEX((COPIA!$DA$3:$DE$1339),MATCH(ROWS(C$10:C313),COPIA!$DF$3:$DF$1339,0),COLUMN()-1),""),"MASTRO","")</f>
        <v/>
      </c>
      <c r="D313" s="136" t="str">
        <f ca="1">IF(IFERROR(INDEX((COPIA!$DA$3:$DE$1339),MATCH(ROWS(D$10:D313),COPIA!$DF$3:$DF$1339,0),COLUMN()-1),"")=0,"",IFERROR(INDEX((COPIA!$DA$3:$DE$1339),MATCH(ROWS(D$10:D313),COPIA!$DF$3:$DF$1339,0),COLUMN()-1),""))</f>
        <v/>
      </c>
      <c r="E313" s="9" t="str">
        <f ca="1">IF(IFERROR(INDEX((COPIA!$DA$3:$DE$1339),MATCH(ROWS(E$10:E313),COPIA!$DF$3:$DF$1339,0),COLUMN()-1),"")=0,"",IFERROR(INDEX((COPIA!$DA$3:$DE$1339),MATCH(ROWS(E$10:E313),COPIA!$DF$3:$DF$1339,0),COLUMN()-1),""))</f>
        <v/>
      </c>
      <c r="F313" s="6" t="str">
        <f ca="1">IF(IFERROR(INDEX((COPIA!$DA$3:$DE$1339),MATCH(ROWS(F$10:F313),COPIA!$DF$3:$DF$1339,0),COLUMN()-1),"")=0,"",IFERROR(INDEX((COPIA!$DA$3:$DE$1339),MATCH(ROWS(F$10:F313),COPIA!$DF$3:$DF$1339,0),COLUMN()-1),""))</f>
        <v/>
      </c>
    </row>
    <row r="314" spans="1:6" x14ac:dyDescent="0.3">
      <c r="A314" s="60" t="str">
        <f ca="1">COPIA!AC307</f>
        <v/>
      </c>
      <c r="B314" s="10" t="str">
        <f ca="1">IF(IFERROR(INDEX((COPIA!$DA$3:$DE$1339),MATCH(ROWS(B$10:B314),COPIA!$DF$3:$DF$1339,0),COLUMN()-1),"")&gt;=1,IFERROR(INDEX((COPIA!$DA$3:$DE$1339),MATCH(ROWS(B$10:B314),COPIA!$DF$3:$DF$1339,0),COLUMN()-1),""),"")</f>
        <v/>
      </c>
      <c r="C314" s="5" t="str">
        <f ca="1">SUBSTITUTE(IFERROR(INDEX((COPIA!$DA$3:$DE$1339),MATCH(ROWS(C$10:C314),COPIA!$DF$3:$DF$1339,0),COLUMN()-1),""),"MASTRO","")</f>
        <v/>
      </c>
      <c r="D314" s="136" t="str">
        <f ca="1">IF(IFERROR(INDEX((COPIA!$DA$3:$DE$1339),MATCH(ROWS(D$10:D314),COPIA!$DF$3:$DF$1339,0),COLUMN()-1),"")=0,"",IFERROR(INDEX((COPIA!$DA$3:$DE$1339),MATCH(ROWS(D$10:D314),COPIA!$DF$3:$DF$1339,0),COLUMN()-1),""))</f>
        <v/>
      </c>
      <c r="E314" s="9" t="str">
        <f ca="1">IF(IFERROR(INDEX((COPIA!$DA$3:$DE$1339),MATCH(ROWS(E$10:E314),COPIA!$DF$3:$DF$1339,0),COLUMN()-1),"")=0,"",IFERROR(INDEX((COPIA!$DA$3:$DE$1339),MATCH(ROWS(E$10:E314),COPIA!$DF$3:$DF$1339,0),COLUMN()-1),""))</f>
        <v/>
      </c>
      <c r="F314" s="6" t="str">
        <f ca="1">IF(IFERROR(INDEX((COPIA!$DA$3:$DE$1339),MATCH(ROWS(F$10:F314),COPIA!$DF$3:$DF$1339,0),COLUMN()-1),"")=0,"",IFERROR(INDEX((COPIA!$DA$3:$DE$1339),MATCH(ROWS(F$10:F314),COPIA!$DF$3:$DF$1339,0),COLUMN()-1),""))</f>
        <v/>
      </c>
    </row>
    <row r="315" spans="1:6" x14ac:dyDescent="0.3">
      <c r="A315" s="60" t="str">
        <f ca="1">COPIA!AC308</f>
        <v/>
      </c>
      <c r="B315" s="10" t="str">
        <f ca="1">IF(IFERROR(INDEX((COPIA!$DA$3:$DE$1339),MATCH(ROWS(B$10:B315),COPIA!$DF$3:$DF$1339,0),COLUMN()-1),"")&gt;=1,IFERROR(INDEX((COPIA!$DA$3:$DE$1339),MATCH(ROWS(B$10:B315),COPIA!$DF$3:$DF$1339,0),COLUMN()-1),""),"")</f>
        <v/>
      </c>
      <c r="C315" s="5" t="str">
        <f ca="1">SUBSTITUTE(IFERROR(INDEX((COPIA!$DA$3:$DE$1339),MATCH(ROWS(C$10:C315),COPIA!$DF$3:$DF$1339,0),COLUMN()-1),""),"MASTRO","")</f>
        <v/>
      </c>
      <c r="D315" s="136" t="str">
        <f ca="1">IF(IFERROR(INDEX((COPIA!$DA$3:$DE$1339),MATCH(ROWS(D$10:D315),COPIA!$DF$3:$DF$1339,0),COLUMN()-1),"")=0,"",IFERROR(INDEX((COPIA!$DA$3:$DE$1339),MATCH(ROWS(D$10:D315),COPIA!$DF$3:$DF$1339,0),COLUMN()-1),""))</f>
        <v/>
      </c>
      <c r="E315" s="9" t="str">
        <f ca="1">IF(IFERROR(INDEX((COPIA!$DA$3:$DE$1339),MATCH(ROWS(E$10:E315),COPIA!$DF$3:$DF$1339,0),COLUMN()-1),"")=0,"",IFERROR(INDEX((COPIA!$DA$3:$DE$1339),MATCH(ROWS(E$10:E315),COPIA!$DF$3:$DF$1339,0),COLUMN()-1),""))</f>
        <v/>
      </c>
      <c r="F315" s="6" t="str">
        <f ca="1">IF(IFERROR(INDEX((COPIA!$DA$3:$DE$1339),MATCH(ROWS(F$10:F315),COPIA!$DF$3:$DF$1339,0),COLUMN()-1),"")=0,"",IFERROR(INDEX((COPIA!$DA$3:$DE$1339),MATCH(ROWS(F$10:F315),COPIA!$DF$3:$DF$1339,0),COLUMN()-1),""))</f>
        <v/>
      </c>
    </row>
    <row r="316" spans="1:6" x14ac:dyDescent="0.3">
      <c r="A316" s="60" t="str">
        <f ca="1">COPIA!AC309</f>
        <v/>
      </c>
      <c r="B316" s="10" t="str">
        <f ca="1">IF(IFERROR(INDEX((COPIA!$DA$3:$DE$1339),MATCH(ROWS(B$10:B316),COPIA!$DF$3:$DF$1339,0),COLUMN()-1),"")&gt;=1,IFERROR(INDEX((COPIA!$DA$3:$DE$1339),MATCH(ROWS(B$10:B316),COPIA!$DF$3:$DF$1339,0),COLUMN()-1),""),"")</f>
        <v/>
      </c>
      <c r="C316" s="5" t="str">
        <f ca="1">SUBSTITUTE(IFERROR(INDEX((COPIA!$DA$3:$DE$1339),MATCH(ROWS(C$10:C316),COPIA!$DF$3:$DF$1339,0),COLUMN()-1),""),"MASTRO","")</f>
        <v/>
      </c>
      <c r="D316" s="136" t="str">
        <f ca="1">IF(IFERROR(INDEX((COPIA!$DA$3:$DE$1339),MATCH(ROWS(D$10:D316),COPIA!$DF$3:$DF$1339,0),COLUMN()-1),"")=0,"",IFERROR(INDEX((COPIA!$DA$3:$DE$1339),MATCH(ROWS(D$10:D316),COPIA!$DF$3:$DF$1339,0),COLUMN()-1),""))</f>
        <v/>
      </c>
      <c r="E316" s="9" t="str">
        <f ca="1">IF(IFERROR(INDEX((COPIA!$DA$3:$DE$1339),MATCH(ROWS(E$10:E316),COPIA!$DF$3:$DF$1339,0),COLUMN()-1),"")=0,"",IFERROR(INDEX((COPIA!$DA$3:$DE$1339),MATCH(ROWS(E$10:E316),COPIA!$DF$3:$DF$1339,0),COLUMN()-1),""))</f>
        <v/>
      </c>
      <c r="F316" s="6" t="str">
        <f ca="1">IF(IFERROR(INDEX((COPIA!$DA$3:$DE$1339),MATCH(ROWS(F$10:F316),COPIA!$DF$3:$DF$1339,0),COLUMN()-1),"")=0,"",IFERROR(INDEX((COPIA!$DA$3:$DE$1339),MATCH(ROWS(F$10:F316),COPIA!$DF$3:$DF$1339,0),COLUMN()-1),""))</f>
        <v/>
      </c>
    </row>
    <row r="317" spans="1:6" x14ac:dyDescent="0.3">
      <c r="A317" s="60" t="str">
        <f ca="1">COPIA!AC310</f>
        <v/>
      </c>
      <c r="B317" s="10" t="str">
        <f ca="1">IF(IFERROR(INDEX((COPIA!$DA$3:$DE$1339),MATCH(ROWS(B$10:B317),COPIA!$DF$3:$DF$1339,0),COLUMN()-1),"")&gt;=1,IFERROR(INDEX((COPIA!$DA$3:$DE$1339),MATCH(ROWS(B$10:B317),COPIA!$DF$3:$DF$1339,0),COLUMN()-1),""),"")</f>
        <v/>
      </c>
      <c r="C317" s="5" t="str">
        <f ca="1">SUBSTITUTE(IFERROR(INDEX((COPIA!$DA$3:$DE$1339),MATCH(ROWS(C$10:C317),COPIA!$DF$3:$DF$1339,0),COLUMN()-1),""),"MASTRO","")</f>
        <v/>
      </c>
      <c r="D317" s="136" t="str">
        <f ca="1">IF(IFERROR(INDEX((COPIA!$DA$3:$DE$1339),MATCH(ROWS(D$10:D317),COPIA!$DF$3:$DF$1339,0),COLUMN()-1),"")=0,"",IFERROR(INDEX((COPIA!$DA$3:$DE$1339),MATCH(ROWS(D$10:D317),COPIA!$DF$3:$DF$1339,0),COLUMN()-1),""))</f>
        <v/>
      </c>
      <c r="E317" s="9" t="str">
        <f ca="1">IF(IFERROR(INDEX((COPIA!$DA$3:$DE$1339),MATCH(ROWS(E$10:E317),COPIA!$DF$3:$DF$1339,0),COLUMN()-1),"")=0,"",IFERROR(INDEX((COPIA!$DA$3:$DE$1339),MATCH(ROWS(E$10:E317),COPIA!$DF$3:$DF$1339,0),COLUMN()-1),""))</f>
        <v/>
      </c>
      <c r="F317" s="6" t="str">
        <f ca="1">IF(IFERROR(INDEX((COPIA!$DA$3:$DE$1339),MATCH(ROWS(F$10:F317),COPIA!$DF$3:$DF$1339,0),COLUMN()-1),"")=0,"",IFERROR(INDEX((COPIA!$DA$3:$DE$1339),MATCH(ROWS(F$10:F317),COPIA!$DF$3:$DF$1339,0),COLUMN()-1),""))</f>
        <v/>
      </c>
    </row>
    <row r="318" spans="1:6" x14ac:dyDescent="0.3">
      <c r="A318" s="60" t="str">
        <f ca="1">COPIA!AC311</f>
        <v/>
      </c>
      <c r="B318" s="10" t="str">
        <f ca="1">IF(IFERROR(INDEX((COPIA!$DA$3:$DE$1339),MATCH(ROWS(B$10:B318),COPIA!$DF$3:$DF$1339,0),COLUMN()-1),"")&gt;=1,IFERROR(INDEX((COPIA!$DA$3:$DE$1339),MATCH(ROWS(B$10:B318),COPIA!$DF$3:$DF$1339,0),COLUMN()-1),""),"")</f>
        <v/>
      </c>
      <c r="C318" s="5" t="str">
        <f ca="1">SUBSTITUTE(IFERROR(INDEX((COPIA!$DA$3:$DE$1339),MATCH(ROWS(C$10:C318),COPIA!$DF$3:$DF$1339,0),COLUMN()-1),""),"MASTRO","")</f>
        <v/>
      </c>
      <c r="D318" s="136" t="str">
        <f ca="1">IF(IFERROR(INDEX((COPIA!$DA$3:$DE$1339),MATCH(ROWS(D$10:D318),COPIA!$DF$3:$DF$1339,0),COLUMN()-1),"")=0,"",IFERROR(INDEX((COPIA!$DA$3:$DE$1339),MATCH(ROWS(D$10:D318),COPIA!$DF$3:$DF$1339,0),COLUMN()-1),""))</f>
        <v/>
      </c>
      <c r="E318" s="9" t="str">
        <f ca="1">IF(IFERROR(INDEX((COPIA!$DA$3:$DE$1339),MATCH(ROWS(E$10:E318),COPIA!$DF$3:$DF$1339,0),COLUMN()-1),"")=0,"",IFERROR(INDEX((COPIA!$DA$3:$DE$1339),MATCH(ROWS(E$10:E318),COPIA!$DF$3:$DF$1339,0),COLUMN()-1),""))</f>
        <v/>
      </c>
      <c r="F318" s="6" t="str">
        <f ca="1">IF(IFERROR(INDEX((COPIA!$DA$3:$DE$1339),MATCH(ROWS(F$10:F318),COPIA!$DF$3:$DF$1339,0),COLUMN()-1),"")=0,"",IFERROR(INDEX((COPIA!$DA$3:$DE$1339),MATCH(ROWS(F$10:F318),COPIA!$DF$3:$DF$1339,0),COLUMN()-1),""))</f>
        <v/>
      </c>
    </row>
    <row r="319" spans="1:6" x14ac:dyDescent="0.3">
      <c r="A319" s="60" t="str">
        <f ca="1">COPIA!AC312</f>
        <v/>
      </c>
      <c r="B319" s="10" t="str">
        <f ca="1">IF(IFERROR(INDEX((COPIA!$DA$3:$DE$1339),MATCH(ROWS(B$10:B319),COPIA!$DF$3:$DF$1339,0),COLUMN()-1),"")&gt;=1,IFERROR(INDEX((COPIA!$DA$3:$DE$1339),MATCH(ROWS(B$10:B319),COPIA!$DF$3:$DF$1339,0),COLUMN()-1),""),"")</f>
        <v/>
      </c>
      <c r="C319" s="5" t="str">
        <f ca="1">SUBSTITUTE(IFERROR(INDEX((COPIA!$DA$3:$DE$1339),MATCH(ROWS(C$10:C319),COPIA!$DF$3:$DF$1339,0),COLUMN()-1),""),"MASTRO","")</f>
        <v/>
      </c>
      <c r="D319" s="136" t="str">
        <f ca="1">IF(IFERROR(INDEX((COPIA!$DA$3:$DE$1339),MATCH(ROWS(D$10:D319),COPIA!$DF$3:$DF$1339,0),COLUMN()-1),"")=0,"",IFERROR(INDEX((COPIA!$DA$3:$DE$1339),MATCH(ROWS(D$10:D319),COPIA!$DF$3:$DF$1339,0),COLUMN()-1),""))</f>
        <v/>
      </c>
      <c r="E319" s="9" t="str">
        <f ca="1">IF(IFERROR(INDEX((COPIA!$DA$3:$DE$1339),MATCH(ROWS(E$10:E319),COPIA!$DF$3:$DF$1339,0),COLUMN()-1),"")=0,"",IFERROR(INDEX((COPIA!$DA$3:$DE$1339),MATCH(ROWS(E$10:E319),COPIA!$DF$3:$DF$1339,0),COLUMN()-1),""))</f>
        <v/>
      </c>
      <c r="F319" s="6" t="str">
        <f ca="1">IF(IFERROR(INDEX((COPIA!$DA$3:$DE$1339),MATCH(ROWS(F$10:F319),COPIA!$DF$3:$DF$1339,0),COLUMN()-1),"")=0,"",IFERROR(INDEX((COPIA!$DA$3:$DE$1339),MATCH(ROWS(F$10:F319),COPIA!$DF$3:$DF$1339,0),COLUMN()-1),""))</f>
        <v/>
      </c>
    </row>
    <row r="320" spans="1:6" x14ac:dyDescent="0.3">
      <c r="A320" s="60" t="str">
        <f ca="1">COPIA!AC313</f>
        <v/>
      </c>
      <c r="B320" s="10" t="str">
        <f ca="1">IF(IFERROR(INDEX((COPIA!$DA$3:$DE$1339),MATCH(ROWS(B$10:B320),COPIA!$DF$3:$DF$1339,0),COLUMN()-1),"")&gt;=1,IFERROR(INDEX((COPIA!$DA$3:$DE$1339),MATCH(ROWS(B$10:B320),COPIA!$DF$3:$DF$1339,0),COLUMN()-1),""),"")</f>
        <v/>
      </c>
      <c r="C320" s="5" t="str">
        <f ca="1">SUBSTITUTE(IFERROR(INDEX((COPIA!$DA$3:$DE$1339),MATCH(ROWS(C$10:C320),COPIA!$DF$3:$DF$1339,0),COLUMN()-1),""),"MASTRO","")</f>
        <v/>
      </c>
      <c r="D320" s="136" t="str">
        <f ca="1">IF(IFERROR(INDEX((COPIA!$DA$3:$DE$1339),MATCH(ROWS(D$10:D320),COPIA!$DF$3:$DF$1339,0),COLUMN()-1),"")=0,"",IFERROR(INDEX((COPIA!$DA$3:$DE$1339),MATCH(ROWS(D$10:D320),COPIA!$DF$3:$DF$1339,0),COLUMN()-1),""))</f>
        <v/>
      </c>
      <c r="E320" s="9" t="str">
        <f ca="1">IF(IFERROR(INDEX((COPIA!$DA$3:$DE$1339),MATCH(ROWS(E$10:E320),COPIA!$DF$3:$DF$1339,0),COLUMN()-1),"")=0,"",IFERROR(INDEX((COPIA!$DA$3:$DE$1339),MATCH(ROWS(E$10:E320),COPIA!$DF$3:$DF$1339,0),COLUMN()-1),""))</f>
        <v/>
      </c>
      <c r="F320" s="6" t="str">
        <f ca="1">IF(IFERROR(INDEX((COPIA!$DA$3:$DE$1339),MATCH(ROWS(F$10:F320),COPIA!$DF$3:$DF$1339,0),COLUMN()-1),"")=0,"",IFERROR(INDEX((COPIA!$DA$3:$DE$1339),MATCH(ROWS(F$10:F320),COPIA!$DF$3:$DF$1339,0),COLUMN()-1),""))</f>
        <v/>
      </c>
    </row>
    <row r="321" spans="1:6" x14ac:dyDescent="0.3">
      <c r="A321" s="60" t="str">
        <f ca="1">COPIA!AC314</f>
        <v/>
      </c>
      <c r="B321" s="10" t="str">
        <f ca="1">IF(IFERROR(INDEX((COPIA!$DA$3:$DE$1339),MATCH(ROWS(B$10:B321),COPIA!$DF$3:$DF$1339,0),COLUMN()-1),"")&gt;=1,IFERROR(INDEX((COPIA!$DA$3:$DE$1339),MATCH(ROWS(B$10:B321),COPIA!$DF$3:$DF$1339,0),COLUMN()-1),""),"")</f>
        <v/>
      </c>
      <c r="C321" s="5" t="str">
        <f ca="1">SUBSTITUTE(IFERROR(INDEX((COPIA!$DA$3:$DE$1339),MATCH(ROWS(C$10:C321),COPIA!$DF$3:$DF$1339,0),COLUMN()-1),""),"MASTRO","")</f>
        <v/>
      </c>
      <c r="D321" s="136" t="str">
        <f ca="1">IF(IFERROR(INDEX((COPIA!$DA$3:$DE$1339),MATCH(ROWS(D$10:D321),COPIA!$DF$3:$DF$1339,0),COLUMN()-1),"")=0,"",IFERROR(INDEX((COPIA!$DA$3:$DE$1339),MATCH(ROWS(D$10:D321),COPIA!$DF$3:$DF$1339,0),COLUMN()-1),""))</f>
        <v/>
      </c>
      <c r="E321" s="9" t="str">
        <f ca="1">IF(IFERROR(INDEX((COPIA!$DA$3:$DE$1339),MATCH(ROWS(E$10:E321),COPIA!$DF$3:$DF$1339,0),COLUMN()-1),"")=0,"",IFERROR(INDEX((COPIA!$DA$3:$DE$1339),MATCH(ROWS(E$10:E321),COPIA!$DF$3:$DF$1339,0),COLUMN()-1),""))</f>
        <v/>
      </c>
      <c r="F321" s="6" t="str">
        <f ca="1">IF(IFERROR(INDEX((COPIA!$DA$3:$DE$1339),MATCH(ROWS(F$10:F321),COPIA!$DF$3:$DF$1339,0),COLUMN()-1),"")=0,"",IFERROR(INDEX((COPIA!$DA$3:$DE$1339),MATCH(ROWS(F$10:F321),COPIA!$DF$3:$DF$1339,0),COLUMN()-1),""))</f>
        <v/>
      </c>
    </row>
    <row r="322" spans="1:6" x14ac:dyDescent="0.3">
      <c r="A322" s="60" t="str">
        <f ca="1">COPIA!AC315</f>
        <v/>
      </c>
      <c r="B322" s="10" t="str">
        <f ca="1">IF(IFERROR(INDEX((COPIA!$DA$3:$DE$1339),MATCH(ROWS(B$10:B322),COPIA!$DF$3:$DF$1339,0),COLUMN()-1),"")&gt;=1,IFERROR(INDEX((COPIA!$DA$3:$DE$1339),MATCH(ROWS(B$10:B322),COPIA!$DF$3:$DF$1339,0),COLUMN()-1),""),"")</f>
        <v/>
      </c>
      <c r="C322" s="5" t="str">
        <f ca="1">SUBSTITUTE(IFERROR(INDEX((COPIA!$DA$3:$DE$1339),MATCH(ROWS(C$10:C322),COPIA!$DF$3:$DF$1339,0),COLUMN()-1),""),"MASTRO","")</f>
        <v/>
      </c>
      <c r="D322" s="136" t="str">
        <f ca="1">IF(IFERROR(INDEX((COPIA!$DA$3:$DE$1339),MATCH(ROWS(D$10:D322),COPIA!$DF$3:$DF$1339,0),COLUMN()-1),"")=0,"",IFERROR(INDEX((COPIA!$DA$3:$DE$1339),MATCH(ROWS(D$10:D322),COPIA!$DF$3:$DF$1339,0),COLUMN()-1),""))</f>
        <v/>
      </c>
      <c r="E322" s="9" t="str">
        <f ca="1">IF(IFERROR(INDEX((COPIA!$DA$3:$DE$1339),MATCH(ROWS(E$10:E322),COPIA!$DF$3:$DF$1339,0),COLUMN()-1),"")=0,"",IFERROR(INDEX((COPIA!$DA$3:$DE$1339),MATCH(ROWS(E$10:E322),COPIA!$DF$3:$DF$1339,0),COLUMN()-1),""))</f>
        <v/>
      </c>
      <c r="F322" s="6" t="str">
        <f ca="1">IF(IFERROR(INDEX((COPIA!$DA$3:$DE$1339),MATCH(ROWS(F$10:F322),COPIA!$DF$3:$DF$1339,0),COLUMN()-1),"")=0,"",IFERROR(INDEX((COPIA!$DA$3:$DE$1339),MATCH(ROWS(F$10:F322),COPIA!$DF$3:$DF$1339,0),COLUMN()-1),""))</f>
        <v/>
      </c>
    </row>
    <row r="323" spans="1:6" x14ac:dyDescent="0.3">
      <c r="A323" s="60" t="str">
        <f ca="1">COPIA!AC316</f>
        <v/>
      </c>
      <c r="B323" s="10" t="str">
        <f ca="1">IF(IFERROR(INDEX((COPIA!$DA$3:$DE$1339),MATCH(ROWS(B$10:B323),COPIA!$DF$3:$DF$1339,0),COLUMN()-1),"")&gt;=1,IFERROR(INDEX((COPIA!$DA$3:$DE$1339),MATCH(ROWS(B$10:B323),COPIA!$DF$3:$DF$1339,0),COLUMN()-1),""),"")</f>
        <v/>
      </c>
      <c r="C323" s="5" t="str">
        <f ca="1">SUBSTITUTE(IFERROR(INDEX((COPIA!$DA$3:$DE$1339),MATCH(ROWS(C$10:C323),COPIA!$DF$3:$DF$1339,0),COLUMN()-1),""),"MASTRO","")</f>
        <v/>
      </c>
      <c r="D323" s="136" t="str">
        <f ca="1">IF(IFERROR(INDEX((COPIA!$DA$3:$DE$1339),MATCH(ROWS(D$10:D323),COPIA!$DF$3:$DF$1339,0),COLUMN()-1),"")=0,"",IFERROR(INDEX((COPIA!$DA$3:$DE$1339),MATCH(ROWS(D$10:D323),COPIA!$DF$3:$DF$1339,0),COLUMN()-1),""))</f>
        <v/>
      </c>
      <c r="E323" s="9" t="str">
        <f ca="1">IF(IFERROR(INDEX((COPIA!$DA$3:$DE$1339),MATCH(ROWS(E$10:E323),COPIA!$DF$3:$DF$1339,0),COLUMN()-1),"")=0,"",IFERROR(INDEX((COPIA!$DA$3:$DE$1339),MATCH(ROWS(E$10:E323),COPIA!$DF$3:$DF$1339,0),COLUMN()-1),""))</f>
        <v/>
      </c>
      <c r="F323" s="6" t="str">
        <f ca="1">IF(IFERROR(INDEX((COPIA!$DA$3:$DE$1339),MATCH(ROWS(F$10:F323),COPIA!$DF$3:$DF$1339,0),COLUMN()-1),"")=0,"",IFERROR(INDEX((COPIA!$DA$3:$DE$1339),MATCH(ROWS(F$10:F323),COPIA!$DF$3:$DF$1339,0),COLUMN()-1),""))</f>
        <v/>
      </c>
    </row>
    <row r="324" spans="1:6" x14ac:dyDescent="0.3">
      <c r="A324" s="60" t="str">
        <f ca="1">COPIA!AC317</f>
        <v/>
      </c>
      <c r="B324" s="10" t="str">
        <f ca="1">IF(IFERROR(INDEX((COPIA!$DA$3:$DE$1339),MATCH(ROWS(B$10:B324),COPIA!$DF$3:$DF$1339,0),COLUMN()-1),"")&gt;=1,IFERROR(INDEX((COPIA!$DA$3:$DE$1339),MATCH(ROWS(B$10:B324),COPIA!$DF$3:$DF$1339,0),COLUMN()-1),""),"")</f>
        <v/>
      </c>
      <c r="C324" s="5" t="str">
        <f ca="1">SUBSTITUTE(IFERROR(INDEX((COPIA!$DA$3:$DE$1339),MATCH(ROWS(C$10:C324),COPIA!$DF$3:$DF$1339,0),COLUMN()-1),""),"MASTRO","")</f>
        <v/>
      </c>
      <c r="D324" s="136" t="str">
        <f ca="1">IF(IFERROR(INDEX((COPIA!$DA$3:$DE$1339),MATCH(ROWS(D$10:D324),COPIA!$DF$3:$DF$1339,0),COLUMN()-1),"")=0,"",IFERROR(INDEX((COPIA!$DA$3:$DE$1339),MATCH(ROWS(D$10:D324),COPIA!$DF$3:$DF$1339,0),COLUMN()-1),""))</f>
        <v/>
      </c>
      <c r="E324" s="9" t="str">
        <f ca="1">IF(IFERROR(INDEX((COPIA!$DA$3:$DE$1339),MATCH(ROWS(E$10:E324),COPIA!$DF$3:$DF$1339,0),COLUMN()-1),"")=0,"",IFERROR(INDEX((COPIA!$DA$3:$DE$1339),MATCH(ROWS(E$10:E324),COPIA!$DF$3:$DF$1339,0),COLUMN()-1),""))</f>
        <v/>
      </c>
      <c r="F324" s="6" t="str">
        <f ca="1">IF(IFERROR(INDEX((COPIA!$DA$3:$DE$1339),MATCH(ROWS(F$10:F324),COPIA!$DF$3:$DF$1339,0),COLUMN()-1),"")=0,"",IFERROR(INDEX((COPIA!$DA$3:$DE$1339),MATCH(ROWS(F$10:F324),COPIA!$DF$3:$DF$1339,0),COLUMN()-1),""))</f>
        <v/>
      </c>
    </row>
    <row r="325" spans="1:6" x14ac:dyDescent="0.3">
      <c r="A325" s="60" t="str">
        <f ca="1">COPIA!AC318</f>
        <v/>
      </c>
      <c r="B325" s="10" t="str">
        <f ca="1">IF(IFERROR(INDEX((COPIA!$DA$3:$DE$1339),MATCH(ROWS(B$10:B325),COPIA!$DF$3:$DF$1339,0),COLUMN()-1),"")&gt;=1,IFERROR(INDEX((COPIA!$DA$3:$DE$1339),MATCH(ROWS(B$10:B325),COPIA!$DF$3:$DF$1339,0),COLUMN()-1),""),"")</f>
        <v/>
      </c>
      <c r="C325" s="5" t="str">
        <f ca="1">SUBSTITUTE(IFERROR(INDEX((COPIA!$DA$3:$DE$1339),MATCH(ROWS(C$10:C325),COPIA!$DF$3:$DF$1339,0),COLUMN()-1),""),"MASTRO","")</f>
        <v/>
      </c>
      <c r="D325" s="136" t="str">
        <f ca="1">IF(IFERROR(INDEX((COPIA!$DA$3:$DE$1339),MATCH(ROWS(D$10:D325),COPIA!$DF$3:$DF$1339,0),COLUMN()-1),"")=0,"",IFERROR(INDEX((COPIA!$DA$3:$DE$1339),MATCH(ROWS(D$10:D325),COPIA!$DF$3:$DF$1339,0),COLUMN()-1),""))</f>
        <v/>
      </c>
      <c r="E325" s="9" t="str">
        <f ca="1">IF(IFERROR(INDEX((COPIA!$DA$3:$DE$1339),MATCH(ROWS(E$10:E325),COPIA!$DF$3:$DF$1339,0),COLUMN()-1),"")=0,"",IFERROR(INDEX((COPIA!$DA$3:$DE$1339),MATCH(ROWS(E$10:E325),COPIA!$DF$3:$DF$1339,0),COLUMN()-1),""))</f>
        <v/>
      </c>
      <c r="F325" s="6" t="str">
        <f ca="1">IF(IFERROR(INDEX((COPIA!$DA$3:$DE$1339),MATCH(ROWS(F$10:F325),COPIA!$DF$3:$DF$1339,0),COLUMN()-1),"")=0,"",IFERROR(INDEX((COPIA!$DA$3:$DE$1339),MATCH(ROWS(F$10:F325),COPIA!$DF$3:$DF$1339,0),COLUMN()-1),""))</f>
        <v/>
      </c>
    </row>
    <row r="326" spans="1:6" x14ac:dyDescent="0.3">
      <c r="A326" s="60" t="str">
        <f ca="1">COPIA!AC319</f>
        <v/>
      </c>
      <c r="B326" s="10" t="str">
        <f ca="1">IF(IFERROR(INDEX((COPIA!$DA$3:$DE$1339),MATCH(ROWS(B$10:B326),COPIA!$DF$3:$DF$1339,0),COLUMN()-1),"")&gt;=1,IFERROR(INDEX((COPIA!$DA$3:$DE$1339),MATCH(ROWS(B$10:B326),COPIA!$DF$3:$DF$1339,0),COLUMN()-1),""),"")</f>
        <v/>
      </c>
      <c r="C326" s="5" t="str">
        <f ca="1">SUBSTITUTE(IFERROR(INDEX((COPIA!$DA$3:$DE$1339),MATCH(ROWS(C$10:C326),COPIA!$DF$3:$DF$1339,0),COLUMN()-1),""),"MASTRO","")</f>
        <v/>
      </c>
      <c r="D326" s="136" t="str">
        <f ca="1">IF(IFERROR(INDEX((COPIA!$DA$3:$DE$1339),MATCH(ROWS(D$10:D326),COPIA!$DF$3:$DF$1339,0),COLUMN()-1),"")=0,"",IFERROR(INDEX((COPIA!$DA$3:$DE$1339),MATCH(ROWS(D$10:D326),COPIA!$DF$3:$DF$1339,0),COLUMN()-1),""))</f>
        <v/>
      </c>
      <c r="E326" s="9" t="str">
        <f ca="1">IF(IFERROR(INDEX((COPIA!$DA$3:$DE$1339),MATCH(ROWS(E$10:E326),COPIA!$DF$3:$DF$1339,0),COLUMN()-1),"")=0,"",IFERROR(INDEX((COPIA!$DA$3:$DE$1339),MATCH(ROWS(E$10:E326),COPIA!$DF$3:$DF$1339,0),COLUMN()-1),""))</f>
        <v/>
      </c>
      <c r="F326" s="6" t="str">
        <f ca="1">IF(IFERROR(INDEX((COPIA!$DA$3:$DE$1339),MATCH(ROWS(F$10:F326),COPIA!$DF$3:$DF$1339,0),COLUMN()-1),"")=0,"",IFERROR(INDEX((COPIA!$DA$3:$DE$1339),MATCH(ROWS(F$10:F326),COPIA!$DF$3:$DF$1339,0),COLUMN()-1),""))</f>
        <v/>
      </c>
    </row>
    <row r="327" spans="1:6" x14ac:dyDescent="0.3">
      <c r="A327" s="60" t="str">
        <f ca="1">COPIA!AC320</f>
        <v/>
      </c>
      <c r="B327" s="10" t="str">
        <f ca="1">IF(IFERROR(INDEX((COPIA!$DA$3:$DE$1339),MATCH(ROWS(B$10:B327),COPIA!$DF$3:$DF$1339,0),COLUMN()-1),"")&gt;=1,IFERROR(INDEX((COPIA!$DA$3:$DE$1339),MATCH(ROWS(B$10:B327),COPIA!$DF$3:$DF$1339,0),COLUMN()-1),""),"")</f>
        <v/>
      </c>
      <c r="C327" s="5" t="str">
        <f ca="1">SUBSTITUTE(IFERROR(INDEX((COPIA!$DA$3:$DE$1339),MATCH(ROWS(C$10:C327),COPIA!$DF$3:$DF$1339,0),COLUMN()-1),""),"MASTRO","")</f>
        <v/>
      </c>
      <c r="D327" s="136" t="str">
        <f ca="1">IF(IFERROR(INDEX((COPIA!$DA$3:$DE$1339),MATCH(ROWS(D$10:D327),COPIA!$DF$3:$DF$1339,0),COLUMN()-1),"")=0,"",IFERROR(INDEX((COPIA!$DA$3:$DE$1339),MATCH(ROWS(D$10:D327),COPIA!$DF$3:$DF$1339,0),COLUMN()-1),""))</f>
        <v/>
      </c>
      <c r="E327" s="9" t="str">
        <f ca="1">IF(IFERROR(INDEX((COPIA!$DA$3:$DE$1339),MATCH(ROWS(E$10:E327),COPIA!$DF$3:$DF$1339,0),COLUMN()-1),"")=0,"",IFERROR(INDEX((COPIA!$DA$3:$DE$1339),MATCH(ROWS(E$10:E327),COPIA!$DF$3:$DF$1339,0),COLUMN()-1),""))</f>
        <v/>
      </c>
      <c r="F327" s="6" t="str">
        <f ca="1">IF(IFERROR(INDEX((COPIA!$DA$3:$DE$1339),MATCH(ROWS(F$10:F327),COPIA!$DF$3:$DF$1339,0),COLUMN()-1),"")=0,"",IFERROR(INDEX((COPIA!$DA$3:$DE$1339),MATCH(ROWS(F$10:F327),COPIA!$DF$3:$DF$1339,0),COLUMN()-1),""))</f>
        <v/>
      </c>
    </row>
    <row r="328" spans="1:6" x14ac:dyDescent="0.3">
      <c r="A328" s="60" t="str">
        <f ca="1">COPIA!AC321</f>
        <v/>
      </c>
      <c r="B328" s="10" t="str">
        <f ca="1">IF(IFERROR(INDEX((COPIA!$DA$3:$DE$1339),MATCH(ROWS(B$10:B328),COPIA!$DF$3:$DF$1339,0),COLUMN()-1),"")&gt;=1,IFERROR(INDEX((COPIA!$DA$3:$DE$1339),MATCH(ROWS(B$10:B328),COPIA!$DF$3:$DF$1339,0),COLUMN()-1),""),"")</f>
        <v/>
      </c>
      <c r="C328" s="5" t="str">
        <f ca="1">SUBSTITUTE(IFERROR(INDEX((COPIA!$DA$3:$DE$1339),MATCH(ROWS(C$10:C328),COPIA!$DF$3:$DF$1339,0),COLUMN()-1),""),"MASTRO","")</f>
        <v/>
      </c>
      <c r="D328" s="136" t="str">
        <f ca="1">IF(IFERROR(INDEX((COPIA!$DA$3:$DE$1339),MATCH(ROWS(D$10:D328),COPIA!$DF$3:$DF$1339,0),COLUMN()-1),"")=0,"",IFERROR(INDEX((COPIA!$DA$3:$DE$1339),MATCH(ROWS(D$10:D328),COPIA!$DF$3:$DF$1339,0),COLUMN()-1),""))</f>
        <v/>
      </c>
      <c r="E328" s="9" t="str">
        <f ca="1">IF(IFERROR(INDEX((COPIA!$DA$3:$DE$1339),MATCH(ROWS(E$10:E328),COPIA!$DF$3:$DF$1339,0),COLUMN()-1),"")=0,"",IFERROR(INDEX((COPIA!$DA$3:$DE$1339),MATCH(ROWS(E$10:E328),COPIA!$DF$3:$DF$1339,0),COLUMN()-1),""))</f>
        <v/>
      </c>
      <c r="F328" s="6" t="str">
        <f ca="1">IF(IFERROR(INDEX((COPIA!$DA$3:$DE$1339),MATCH(ROWS(F$10:F328),COPIA!$DF$3:$DF$1339,0),COLUMN()-1),"")=0,"",IFERROR(INDEX((COPIA!$DA$3:$DE$1339),MATCH(ROWS(F$10:F328),COPIA!$DF$3:$DF$1339,0),COLUMN()-1),""))</f>
        <v/>
      </c>
    </row>
    <row r="329" spans="1:6" x14ac:dyDescent="0.3">
      <c r="A329" s="60" t="str">
        <f ca="1">COPIA!AC322</f>
        <v/>
      </c>
      <c r="B329" s="10" t="str">
        <f ca="1">IF(IFERROR(INDEX((COPIA!$DA$3:$DE$1339),MATCH(ROWS(B$10:B329),COPIA!$DF$3:$DF$1339,0),COLUMN()-1),"")&gt;=1,IFERROR(INDEX((COPIA!$DA$3:$DE$1339),MATCH(ROWS(B$10:B329),COPIA!$DF$3:$DF$1339,0),COLUMN()-1),""),"")</f>
        <v/>
      </c>
      <c r="C329" s="5" t="str">
        <f ca="1">SUBSTITUTE(IFERROR(INDEX((COPIA!$DA$3:$DE$1339),MATCH(ROWS(C$10:C329),COPIA!$DF$3:$DF$1339,0),COLUMN()-1),""),"MASTRO","")</f>
        <v/>
      </c>
      <c r="D329" s="136" t="str">
        <f ca="1">IF(IFERROR(INDEX((COPIA!$DA$3:$DE$1339),MATCH(ROWS(D$10:D329),COPIA!$DF$3:$DF$1339,0),COLUMN()-1),"")=0,"",IFERROR(INDEX((COPIA!$DA$3:$DE$1339),MATCH(ROWS(D$10:D329),COPIA!$DF$3:$DF$1339,0),COLUMN()-1),""))</f>
        <v/>
      </c>
      <c r="E329" s="9" t="str">
        <f ca="1">IF(IFERROR(INDEX((COPIA!$DA$3:$DE$1339),MATCH(ROWS(E$10:E329),COPIA!$DF$3:$DF$1339,0),COLUMN()-1),"")=0,"",IFERROR(INDEX((COPIA!$DA$3:$DE$1339),MATCH(ROWS(E$10:E329),COPIA!$DF$3:$DF$1339,0),COLUMN()-1),""))</f>
        <v/>
      </c>
      <c r="F329" s="6" t="str">
        <f ca="1">IF(IFERROR(INDEX((COPIA!$DA$3:$DE$1339),MATCH(ROWS(F$10:F329),COPIA!$DF$3:$DF$1339,0),COLUMN()-1),"")=0,"",IFERROR(INDEX((COPIA!$DA$3:$DE$1339),MATCH(ROWS(F$10:F329),COPIA!$DF$3:$DF$1339,0),COLUMN()-1),""))</f>
        <v/>
      </c>
    </row>
    <row r="330" spans="1:6" x14ac:dyDescent="0.3">
      <c r="A330" s="60" t="str">
        <f ca="1">COPIA!AC323</f>
        <v/>
      </c>
      <c r="B330" s="10" t="str">
        <f ca="1">IF(IFERROR(INDEX((COPIA!$DA$3:$DE$1339),MATCH(ROWS(B$10:B330),COPIA!$DF$3:$DF$1339,0),COLUMN()-1),"")&gt;=1,IFERROR(INDEX((COPIA!$DA$3:$DE$1339),MATCH(ROWS(B$10:B330),COPIA!$DF$3:$DF$1339,0),COLUMN()-1),""),"")</f>
        <v/>
      </c>
      <c r="C330" s="5" t="str">
        <f ca="1">SUBSTITUTE(IFERROR(INDEX((COPIA!$DA$3:$DE$1339),MATCH(ROWS(C$10:C330),COPIA!$DF$3:$DF$1339,0),COLUMN()-1),""),"MASTRO","")</f>
        <v/>
      </c>
      <c r="D330" s="136" t="str">
        <f ca="1">IF(IFERROR(INDEX((COPIA!$DA$3:$DE$1339),MATCH(ROWS(D$10:D330),COPIA!$DF$3:$DF$1339,0),COLUMN()-1),"")=0,"",IFERROR(INDEX((COPIA!$DA$3:$DE$1339),MATCH(ROWS(D$10:D330),COPIA!$DF$3:$DF$1339,0),COLUMN()-1),""))</f>
        <v/>
      </c>
      <c r="E330" s="9" t="str">
        <f ca="1">IF(IFERROR(INDEX((COPIA!$DA$3:$DE$1339),MATCH(ROWS(E$10:E330),COPIA!$DF$3:$DF$1339,0),COLUMN()-1),"")=0,"",IFERROR(INDEX((COPIA!$DA$3:$DE$1339),MATCH(ROWS(E$10:E330),COPIA!$DF$3:$DF$1339,0),COLUMN()-1),""))</f>
        <v/>
      </c>
      <c r="F330" s="6" t="str">
        <f ca="1">IF(IFERROR(INDEX((COPIA!$DA$3:$DE$1339),MATCH(ROWS(F$10:F330),COPIA!$DF$3:$DF$1339,0),COLUMN()-1),"")=0,"",IFERROR(INDEX((COPIA!$DA$3:$DE$1339),MATCH(ROWS(F$10:F330),COPIA!$DF$3:$DF$1339,0),COLUMN()-1),""))</f>
        <v/>
      </c>
    </row>
    <row r="331" spans="1:6" x14ac:dyDescent="0.3">
      <c r="A331" s="60" t="str">
        <f ca="1">COPIA!AC324</f>
        <v/>
      </c>
      <c r="B331" s="10" t="str">
        <f ca="1">IF(IFERROR(INDEX((COPIA!$DA$3:$DE$1339),MATCH(ROWS(B$10:B331),COPIA!$DF$3:$DF$1339,0),COLUMN()-1),"")&gt;=1,IFERROR(INDEX((COPIA!$DA$3:$DE$1339),MATCH(ROWS(B$10:B331),COPIA!$DF$3:$DF$1339,0),COLUMN()-1),""),"")</f>
        <v/>
      </c>
      <c r="C331" s="5" t="str">
        <f ca="1">SUBSTITUTE(IFERROR(INDEX((COPIA!$DA$3:$DE$1339),MATCH(ROWS(C$10:C331),COPIA!$DF$3:$DF$1339,0),COLUMN()-1),""),"MASTRO","")</f>
        <v/>
      </c>
      <c r="D331" s="136" t="str">
        <f ca="1">IF(IFERROR(INDEX((COPIA!$DA$3:$DE$1339),MATCH(ROWS(D$10:D331),COPIA!$DF$3:$DF$1339,0),COLUMN()-1),"")=0,"",IFERROR(INDEX((COPIA!$DA$3:$DE$1339),MATCH(ROWS(D$10:D331),COPIA!$DF$3:$DF$1339,0),COLUMN()-1),""))</f>
        <v/>
      </c>
      <c r="E331" s="9" t="str">
        <f ca="1">IF(IFERROR(INDEX((COPIA!$DA$3:$DE$1339),MATCH(ROWS(E$10:E331),COPIA!$DF$3:$DF$1339,0),COLUMN()-1),"")=0,"",IFERROR(INDEX((COPIA!$DA$3:$DE$1339),MATCH(ROWS(E$10:E331),COPIA!$DF$3:$DF$1339,0),COLUMN()-1),""))</f>
        <v/>
      </c>
      <c r="F331" s="6" t="str">
        <f ca="1">IF(IFERROR(INDEX((COPIA!$DA$3:$DE$1339),MATCH(ROWS(F$10:F331),COPIA!$DF$3:$DF$1339,0),COLUMN()-1),"")=0,"",IFERROR(INDEX((COPIA!$DA$3:$DE$1339),MATCH(ROWS(F$10:F331),COPIA!$DF$3:$DF$1339,0),COLUMN()-1),""))</f>
        <v/>
      </c>
    </row>
    <row r="332" spans="1:6" x14ac:dyDescent="0.3">
      <c r="A332" s="60" t="str">
        <f ca="1">COPIA!AC325</f>
        <v/>
      </c>
      <c r="B332" s="10" t="str">
        <f ca="1">IF(IFERROR(INDEX((COPIA!$DA$3:$DE$1339),MATCH(ROWS(B$10:B332),COPIA!$DF$3:$DF$1339,0),COLUMN()-1),"")&gt;=1,IFERROR(INDEX((COPIA!$DA$3:$DE$1339),MATCH(ROWS(B$10:B332),COPIA!$DF$3:$DF$1339,0),COLUMN()-1),""),"")</f>
        <v/>
      </c>
      <c r="C332" s="5" t="str">
        <f ca="1">SUBSTITUTE(IFERROR(INDEX((COPIA!$DA$3:$DE$1339),MATCH(ROWS(C$10:C332),COPIA!$DF$3:$DF$1339,0),COLUMN()-1),""),"MASTRO","")</f>
        <v/>
      </c>
      <c r="D332" s="136" t="str">
        <f ca="1">IF(IFERROR(INDEX((COPIA!$DA$3:$DE$1339),MATCH(ROWS(D$10:D332),COPIA!$DF$3:$DF$1339,0),COLUMN()-1),"")=0,"",IFERROR(INDEX((COPIA!$DA$3:$DE$1339),MATCH(ROWS(D$10:D332),COPIA!$DF$3:$DF$1339,0),COLUMN()-1),""))</f>
        <v/>
      </c>
      <c r="E332" s="9" t="str">
        <f ca="1">IF(IFERROR(INDEX((COPIA!$DA$3:$DE$1339),MATCH(ROWS(E$10:E332),COPIA!$DF$3:$DF$1339,0),COLUMN()-1),"")=0,"",IFERROR(INDEX((COPIA!$DA$3:$DE$1339),MATCH(ROWS(E$10:E332),COPIA!$DF$3:$DF$1339,0),COLUMN()-1),""))</f>
        <v/>
      </c>
      <c r="F332" s="6" t="str">
        <f ca="1">IF(IFERROR(INDEX((COPIA!$DA$3:$DE$1339),MATCH(ROWS(F$10:F332),COPIA!$DF$3:$DF$1339,0),COLUMN()-1),"")=0,"",IFERROR(INDEX((COPIA!$DA$3:$DE$1339),MATCH(ROWS(F$10:F332),COPIA!$DF$3:$DF$1339,0),COLUMN()-1),""))</f>
        <v/>
      </c>
    </row>
    <row r="333" spans="1:6" x14ac:dyDescent="0.3">
      <c r="A333" s="60" t="str">
        <f ca="1">COPIA!AC326</f>
        <v/>
      </c>
      <c r="B333" s="10" t="str">
        <f ca="1">IF(IFERROR(INDEX((COPIA!$DA$3:$DE$1339),MATCH(ROWS(B$10:B333),COPIA!$DF$3:$DF$1339,0),COLUMN()-1),"")&gt;=1,IFERROR(INDEX((COPIA!$DA$3:$DE$1339),MATCH(ROWS(B$10:B333),COPIA!$DF$3:$DF$1339,0),COLUMN()-1),""),"")</f>
        <v/>
      </c>
      <c r="C333" s="5" t="str">
        <f ca="1">SUBSTITUTE(IFERROR(INDEX((COPIA!$DA$3:$DE$1339),MATCH(ROWS(C$10:C333),COPIA!$DF$3:$DF$1339,0),COLUMN()-1),""),"MASTRO","")</f>
        <v/>
      </c>
      <c r="D333" s="136" t="str">
        <f ca="1">IF(IFERROR(INDEX((COPIA!$DA$3:$DE$1339),MATCH(ROWS(D$10:D333),COPIA!$DF$3:$DF$1339,0),COLUMN()-1),"")=0,"",IFERROR(INDEX((COPIA!$DA$3:$DE$1339),MATCH(ROWS(D$10:D333),COPIA!$DF$3:$DF$1339,0),COLUMN()-1),""))</f>
        <v/>
      </c>
      <c r="E333" s="9" t="str">
        <f ca="1">IF(IFERROR(INDEX((COPIA!$DA$3:$DE$1339),MATCH(ROWS(E$10:E333),COPIA!$DF$3:$DF$1339,0),COLUMN()-1),"")=0,"",IFERROR(INDEX((COPIA!$DA$3:$DE$1339),MATCH(ROWS(E$10:E333),COPIA!$DF$3:$DF$1339,0),COLUMN()-1),""))</f>
        <v/>
      </c>
      <c r="F333" s="6" t="str">
        <f ca="1">IF(IFERROR(INDEX((COPIA!$DA$3:$DE$1339),MATCH(ROWS(F$10:F333),COPIA!$DF$3:$DF$1339,0),COLUMN()-1),"")=0,"",IFERROR(INDEX((COPIA!$DA$3:$DE$1339),MATCH(ROWS(F$10:F333),COPIA!$DF$3:$DF$1339,0),COLUMN()-1),""))</f>
        <v/>
      </c>
    </row>
    <row r="334" spans="1:6" x14ac:dyDescent="0.3">
      <c r="A334" s="60" t="str">
        <f ca="1">COPIA!AC327</f>
        <v/>
      </c>
      <c r="B334" s="10" t="str">
        <f ca="1">IF(IFERROR(INDEX((COPIA!$DA$3:$DE$1339),MATCH(ROWS(B$10:B334),COPIA!$DF$3:$DF$1339,0),COLUMN()-1),"")&gt;=1,IFERROR(INDEX((COPIA!$DA$3:$DE$1339),MATCH(ROWS(B$10:B334),COPIA!$DF$3:$DF$1339,0),COLUMN()-1),""),"")</f>
        <v/>
      </c>
      <c r="C334" s="5" t="str">
        <f ca="1">SUBSTITUTE(IFERROR(INDEX((COPIA!$DA$3:$DE$1339),MATCH(ROWS(C$10:C334),COPIA!$DF$3:$DF$1339,0),COLUMN()-1),""),"MASTRO","")</f>
        <v/>
      </c>
      <c r="D334" s="136" t="str">
        <f ca="1">IF(IFERROR(INDEX((COPIA!$DA$3:$DE$1339),MATCH(ROWS(D$10:D334),COPIA!$DF$3:$DF$1339,0),COLUMN()-1),"")=0,"",IFERROR(INDEX((COPIA!$DA$3:$DE$1339),MATCH(ROWS(D$10:D334),COPIA!$DF$3:$DF$1339,0),COLUMN()-1),""))</f>
        <v/>
      </c>
      <c r="E334" s="9" t="str">
        <f ca="1">IF(IFERROR(INDEX((COPIA!$DA$3:$DE$1339),MATCH(ROWS(E$10:E334),COPIA!$DF$3:$DF$1339,0),COLUMN()-1),"")=0,"",IFERROR(INDEX((COPIA!$DA$3:$DE$1339),MATCH(ROWS(E$10:E334),COPIA!$DF$3:$DF$1339,0),COLUMN()-1),""))</f>
        <v/>
      </c>
      <c r="F334" s="6" t="str">
        <f ca="1">IF(IFERROR(INDEX((COPIA!$DA$3:$DE$1339),MATCH(ROWS(F$10:F334),COPIA!$DF$3:$DF$1339,0),COLUMN()-1),"")=0,"",IFERROR(INDEX((COPIA!$DA$3:$DE$1339),MATCH(ROWS(F$10:F334),COPIA!$DF$3:$DF$1339,0),COLUMN()-1),""))</f>
        <v/>
      </c>
    </row>
    <row r="335" spans="1:6" x14ac:dyDescent="0.3">
      <c r="A335" s="60" t="str">
        <f ca="1">COPIA!AC328</f>
        <v/>
      </c>
      <c r="B335" s="10" t="str">
        <f ca="1">IF(IFERROR(INDEX((COPIA!$DA$3:$DE$1339),MATCH(ROWS(B$10:B335),COPIA!$DF$3:$DF$1339,0),COLUMN()-1),"")&gt;=1,IFERROR(INDEX((COPIA!$DA$3:$DE$1339),MATCH(ROWS(B$10:B335),COPIA!$DF$3:$DF$1339,0),COLUMN()-1),""),"")</f>
        <v/>
      </c>
      <c r="C335" s="5" t="str">
        <f ca="1">SUBSTITUTE(IFERROR(INDEX((COPIA!$DA$3:$DE$1339),MATCH(ROWS(C$10:C335),COPIA!$DF$3:$DF$1339,0),COLUMN()-1),""),"MASTRO","")</f>
        <v/>
      </c>
      <c r="D335" s="136" t="str">
        <f ca="1">IF(IFERROR(INDEX((COPIA!$DA$3:$DE$1339),MATCH(ROWS(D$10:D335),COPIA!$DF$3:$DF$1339,0),COLUMN()-1),"")=0,"",IFERROR(INDEX((COPIA!$DA$3:$DE$1339),MATCH(ROWS(D$10:D335),COPIA!$DF$3:$DF$1339,0),COLUMN()-1),""))</f>
        <v/>
      </c>
      <c r="E335" s="9" t="str">
        <f ca="1">IF(IFERROR(INDEX((COPIA!$DA$3:$DE$1339),MATCH(ROWS(E$10:E335),COPIA!$DF$3:$DF$1339,0),COLUMN()-1),"")=0,"",IFERROR(INDEX((COPIA!$DA$3:$DE$1339),MATCH(ROWS(E$10:E335),COPIA!$DF$3:$DF$1339,0),COLUMN()-1),""))</f>
        <v/>
      </c>
      <c r="F335" s="6" t="str">
        <f ca="1">IF(IFERROR(INDEX((COPIA!$DA$3:$DE$1339),MATCH(ROWS(F$10:F335),COPIA!$DF$3:$DF$1339,0),COLUMN()-1),"")=0,"",IFERROR(INDEX((COPIA!$DA$3:$DE$1339),MATCH(ROWS(F$10:F335),COPIA!$DF$3:$DF$1339,0),COLUMN()-1),""))</f>
        <v/>
      </c>
    </row>
    <row r="336" spans="1:6" x14ac:dyDescent="0.3">
      <c r="A336" s="60" t="str">
        <f ca="1">COPIA!AC329</f>
        <v/>
      </c>
      <c r="B336" s="10" t="str">
        <f ca="1">IF(IFERROR(INDEX((COPIA!$DA$3:$DE$1339),MATCH(ROWS(B$10:B336),COPIA!$DF$3:$DF$1339,0),COLUMN()-1),"")&gt;=1,IFERROR(INDEX((COPIA!$DA$3:$DE$1339),MATCH(ROWS(B$10:B336),COPIA!$DF$3:$DF$1339,0),COLUMN()-1),""),"")</f>
        <v/>
      </c>
      <c r="C336" s="5" t="str">
        <f ca="1">SUBSTITUTE(IFERROR(INDEX((COPIA!$DA$3:$DE$1339),MATCH(ROWS(C$10:C336),COPIA!$DF$3:$DF$1339,0),COLUMN()-1),""),"MASTRO","")</f>
        <v/>
      </c>
      <c r="D336" s="136" t="str">
        <f ca="1">IF(IFERROR(INDEX((COPIA!$DA$3:$DE$1339),MATCH(ROWS(D$10:D336),COPIA!$DF$3:$DF$1339,0),COLUMN()-1),"")=0,"",IFERROR(INDEX((COPIA!$DA$3:$DE$1339),MATCH(ROWS(D$10:D336),COPIA!$DF$3:$DF$1339,0),COLUMN()-1),""))</f>
        <v/>
      </c>
      <c r="E336" s="9" t="str">
        <f ca="1">IF(IFERROR(INDEX((COPIA!$DA$3:$DE$1339),MATCH(ROWS(E$10:E336),COPIA!$DF$3:$DF$1339,0),COLUMN()-1),"")=0,"",IFERROR(INDEX((COPIA!$DA$3:$DE$1339),MATCH(ROWS(E$10:E336),COPIA!$DF$3:$DF$1339,0),COLUMN()-1),""))</f>
        <v/>
      </c>
      <c r="F336" s="6" t="str">
        <f ca="1">IF(IFERROR(INDEX((COPIA!$DA$3:$DE$1339),MATCH(ROWS(F$10:F336),COPIA!$DF$3:$DF$1339,0),COLUMN()-1),"")=0,"",IFERROR(INDEX((COPIA!$DA$3:$DE$1339),MATCH(ROWS(F$10:F336),COPIA!$DF$3:$DF$1339,0),COLUMN()-1),""))</f>
        <v/>
      </c>
    </row>
    <row r="337" spans="1:6" x14ac:dyDescent="0.3">
      <c r="A337" s="60" t="str">
        <f ca="1">COPIA!AC330</f>
        <v/>
      </c>
      <c r="B337" s="10" t="str">
        <f ca="1">IF(IFERROR(INDEX((COPIA!$DA$3:$DE$1339),MATCH(ROWS(B$10:B337),COPIA!$DF$3:$DF$1339,0),COLUMN()-1),"")&gt;=1,IFERROR(INDEX((COPIA!$DA$3:$DE$1339),MATCH(ROWS(B$10:B337),COPIA!$DF$3:$DF$1339,0),COLUMN()-1),""),"")</f>
        <v/>
      </c>
      <c r="C337" s="5" t="str">
        <f ca="1">SUBSTITUTE(IFERROR(INDEX((COPIA!$DA$3:$DE$1339),MATCH(ROWS(C$10:C337),COPIA!$DF$3:$DF$1339,0),COLUMN()-1),""),"MASTRO","")</f>
        <v/>
      </c>
      <c r="D337" s="136" t="str">
        <f ca="1">IF(IFERROR(INDEX((COPIA!$DA$3:$DE$1339),MATCH(ROWS(D$10:D337),COPIA!$DF$3:$DF$1339,0),COLUMN()-1),"")=0,"",IFERROR(INDEX((COPIA!$DA$3:$DE$1339),MATCH(ROWS(D$10:D337),COPIA!$DF$3:$DF$1339,0),COLUMN()-1),""))</f>
        <v/>
      </c>
      <c r="E337" s="9" t="str">
        <f ca="1">IF(IFERROR(INDEX((COPIA!$DA$3:$DE$1339),MATCH(ROWS(E$10:E337),COPIA!$DF$3:$DF$1339,0),COLUMN()-1),"")=0,"",IFERROR(INDEX((COPIA!$DA$3:$DE$1339),MATCH(ROWS(E$10:E337),COPIA!$DF$3:$DF$1339,0),COLUMN()-1),""))</f>
        <v/>
      </c>
      <c r="F337" s="6" t="str">
        <f ca="1">IF(IFERROR(INDEX((COPIA!$DA$3:$DE$1339),MATCH(ROWS(F$10:F337),COPIA!$DF$3:$DF$1339,0),COLUMN()-1),"")=0,"",IFERROR(INDEX((COPIA!$DA$3:$DE$1339),MATCH(ROWS(F$10:F337),COPIA!$DF$3:$DF$1339,0),COLUMN()-1),""))</f>
        <v/>
      </c>
    </row>
    <row r="338" spans="1:6" x14ac:dyDescent="0.3">
      <c r="A338" s="60" t="str">
        <f ca="1">COPIA!AC331</f>
        <v/>
      </c>
      <c r="B338" s="10" t="str">
        <f ca="1">IF(IFERROR(INDEX((COPIA!$DA$3:$DE$1339),MATCH(ROWS(B$10:B338),COPIA!$DF$3:$DF$1339,0),COLUMN()-1),"")&gt;=1,IFERROR(INDEX((COPIA!$DA$3:$DE$1339),MATCH(ROWS(B$10:B338),COPIA!$DF$3:$DF$1339,0),COLUMN()-1),""),"")</f>
        <v/>
      </c>
      <c r="C338" s="5" t="str">
        <f ca="1">SUBSTITUTE(IFERROR(INDEX((COPIA!$DA$3:$DE$1339),MATCH(ROWS(C$10:C338),COPIA!$DF$3:$DF$1339,0),COLUMN()-1),""),"MASTRO","")</f>
        <v/>
      </c>
      <c r="D338" s="136" t="str">
        <f ca="1">IF(IFERROR(INDEX((COPIA!$DA$3:$DE$1339),MATCH(ROWS(D$10:D338),COPIA!$DF$3:$DF$1339,0),COLUMN()-1),"")=0,"",IFERROR(INDEX((COPIA!$DA$3:$DE$1339),MATCH(ROWS(D$10:D338),COPIA!$DF$3:$DF$1339,0),COLUMN()-1),""))</f>
        <v/>
      </c>
      <c r="E338" s="9" t="str">
        <f ca="1">IF(IFERROR(INDEX((COPIA!$DA$3:$DE$1339),MATCH(ROWS(E$10:E338),COPIA!$DF$3:$DF$1339,0),COLUMN()-1),"")=0,"",IFERROR(INDEX((COPIA!$DA$3:$DE$1339),MATCH(ROWS(E$10:E338),COPIA!$DF$3:$DF$1339,0),COLUMN()-1),""))</f>
        <v/>
      </c>
      <c r="F338" s="6" t="str">
        <f ca="1">IF(IFERROR(INDEX((COPIA!$DA$3:$DE$1339),MATCH(ROWS(F$10:F338),COPIA!$DF$3:$DF$1339,0),COLUMN()-1),"")=0,"",IFERROR(INDEX((COPIA!$DA$3:$DE$1339),MATCH(ROWS(F$10:F338),COPIA!$DF$3:$DF$1339,0),COLUMN()-1),""))</f>
        <v/>
      </c>
    </row>
    <row r="339" spans="1:6" x14ac:dyDescent="0.3">
      <c r="A339" s="60" t="str">
        <f ca="1">COPIA!AC332</f>
        <v/>
      </c>
      <c r="B339" s="10" t="str">
        <f ca="1">IF(IFERROR(INDEX((COPIA!$DA$3:$DE$1339),MATCH(ROWS(B$10:B339),COPIA!$DF$3:$DF$1339,0),COLUMN()-1),"")&gt;=1,IFERROR(INDEX((COPIA!$DA$3:$DE$1339),MATCH(ROWS(B$10:B339),COPIA!$DF$3:$DF$1339,0),COLUMN()-1),""),"")</f>
        <v/>
      </c>
      <c r="C339" s="5" t="str">
        <f ca="1">SUBSTITUTE(IFERROR(INDEX((COPIA!$DA$3:$DE$1339),MATCH(ROWS(C$10:C339),COPIA!$DF$3:$DF$1339,0),COLUMN()-1),""),"MASTRO","")</f>
        <v/>
      </c>
      <c r="D339" s="136" t="str">
        <f ca="1">IF(IFERROR(INDEX((COPIA!$DA$3:$DE$1339),MATCH(ROWS(D$10:D339),COPIA!$DF$3:$DF$1339,0),COLUMN()-1),"")=0,"",IFERROR(INDEX((COPIA!$DA$3:$DE$1339),MATCH(ROWS(D$10:D339),COPIA!$DF$3:$DF$1339,0),COLUMN()-1),""))</f>
        <v/>
      </c>
      <c r="E339" s="9" t="str">
        <f ca="1">IF(IFERROR(INDEX((COPIA!$DA$3:$DE$1339),MATCH(ROWS(E$10:E339),COPIA!$DF$3:$DF$1339,0),COLUMN()-1),"")=0,"",IFERROR(INDEX((COPIA!$DA$3:$DE$1339),MATCH(ROWS(E$10:E339),COPIA!$DF$3:$DF$1339,0),COLUMN()-1),""))</f>
        <v/>
      </c>
      <c r="F339" s="6" t="str">
        <f ca="1">IF(IFERROR(INDEX((COPIA!$DA$3:$DE$1339),MATCH(ROWS(F$10:F339),COPIA!$DF$3:$DF$1339,0),COLUMN()-1),"")=0,"",IFERROR(INDEX((COPIA!$DA$3:$DE$1339),MATCH(ROWS(F$10:F339),COPIA!$DF$3:$DF$1339,0),COLUMN()-1),""))</f>
        <v/>
      </c>
    </row>
    <row r="340" spans="1:6" x14ac:dyDescent="0.3">
      <c r="A340" s="60" t="str">
        <f ca="1">COPIA!AC333</f>
        <v/>
      </c>
      <c r="B340" s="10" t="str">
        <f ca="1">IF(IFERROR(INDEX((COPIA!$DA$3:$DE$1339),MATCH(ROWS(B$10:B340),COPIA!$DF$3:$DF$1339,0),COLUMN()-1),"")&gt;=1,IFERROR(INDEX((COPIA!$DA$3:$DE$1339),MATCH(ROWS(B$10:B340),COPIA!$DF$3:$DF$1339,0),COLUMN()-1),""),"")</f>
        <v/>
      </c>
      <c r="C340" s="5" t="str">
        <f ca="1">SUBSTITUTE(IFERROR(INDEX((COPIA!$DA$3:$DE$1339),MATCH(ROWS(C$10:C340),COPIA!$DF$3:$DF$1339,0),COLUMN()-1),""),"MASTRO","")</f>
        <v/>
      </c>
      <c r="D340" s="136" t="str">
        <f ca="1">IF(IFERROR(INDEX((COPIA!$DA$3:$DE$1339),MATCH(ROWS(D$10:D340),COPIA!$DF$3:$DF$1339,0),COLUMN()-1),"")=0,"",IFERROR(INDEX((COPIA!$DA$3:$DE$1339),MATCH(ROWS(D$10:D340),COPIA!$DF$3:$DF$1339,0),COLUMN()-1),""))</f>
        <v/>
      </c>
      <c r="E340" s="9" t="str">
        <f ca="1">IF(IFERROR(INDEX((COPIA!$DA$3:$DE$1339),MATCH(ROWS(E$10:E340),COPIA!$DF$3:$DF$1339,0),COLUMN()-1),"")=0,"",IFERROR(INDEX((COPIA!$DA$3:$DE$1339),MATCH(ROWS(E$10:E340),COPIA!$DF$3:$DF$1339,0),COLUMN()-1),""))</f>
        <v/>
      </c>
      <c r="F340" s="6" t="str">
        <f ca="1">IF(IFERROR(INDEX((COPIA!$DA$3:$DE$1339),MATCH(ROWS(F$10:F340),COPIA!$DF$3:$DF$1339,0),COLUMN()-1),"")=0,"",IFERROR(INDEX((COPIA!$DA$3:$DE$1339),MATCH(ROWS(F$10:F340),COPIA!$DF$3:$DF$1339,0),COLUMN()-1),""))</f>
        <v/>
      </c>
    </row>
    <row r="341" spans="1:6" x14ac:dyDescent="0.3">
      <c r="A341" s="60" t="str">
        <f ca="1">COPIA!AC334</f>
        <v/>
      </c>
      <c r="B341" s="10" t="str">
        <f ca="1">IF(IFERROR(INDEX((COPIA!$DA$3:$DE$1339),MATCH(ROWS(B$10:B341),COPIA!$DF$3:$DF$1339,0),COLUMN()-1),"")&gt;=1,IFERROR(INDEX((COPIA!$DA$3:$DE$1339),MATCH(ROWS(B$10:B341),COPIA!$DF$3:$DF$1339,0),COLUMN()-1),""),"")</f>
        <v/>
      </c>
      <c r="C341" s="5" t="str">
        <f ca="1">SUBSTITUTE(IFERROR(INDEX((COPIA!$DA$3:$DE$1339),MATCH(ROWS(C$10:C341),COPIA!$DF$3:$DF$1339,0),COLUMN()-1),""),"MASTRO","")</f>
        <v/>
      </c>
      <c r="D341" s="136" t="str">
        <f ca="1">IF(IFERROR(INDEX((COPIA!$DA$3:$DE$1339),MATCH(ROWS(D$10:D341),COPIA!$DF$3:$DF$1339,0),COLUMN()-1),"")=0,"",IFERROR(INDEX((COPIA!$DA$3:$DE$1339),MATCH(ROWS(D$10:D341),COPIA!$DF$3:$DF$1339,0),COLUMN()-1),""))</f>
        <v/>
      </c>
      <c r="E341" s="9" t="str">
        <f ca="1">IF(IFERROR(INDEX((COPIA!$DA$3:$DE$1339),MATCH(ROWS(E$10:E341),COPIA!$DF$3:$DF$1339,0),COLUMN()-1),"")=0,"",IFERROR(INDEX((COPIA!$DA$3:$DE$1339),MATCH(ROWS(E$10:E341),COPIA!$DF$3:$DF$1339,0),COLUMN()-1),""))</f>
        <v/>
      </c>
      <c r="F341" s="6" t="str">
        <f ca="1">IF(IFERROR(INDEX((COPIA!$DA$3:$DE$1339),MATCH(ROWS(F$10:F341),COPIA!$DF$3:$DF$1339,0),COLUMN()-1),"")=0,"",IFERROR(INDEX((COPIA!$DA$3:$DE$1339),MATCH(ROWS(F$10:F341),COPIA!$DF$3:$DF$1339,0),COLUMN()-1),""))</f>
        <v/>
      </c>
    </row>
    <row r="342" spans="1:6" x14ac:dyDescent="0.3">
      <c r="A342" s="60" t="str">
        <f ca="1">COPIA!AC335</f>
        <v/>
      </c>
      <c r="B342" s="10" t="str">
        <f ca="1">IF(IFERROR(INDEX((COPIA!$DA$3:$DE$1339),MATCH(ROWS(B$10:B342),COPIA!$DF$3:$DF$1339,0),COLUMN()-1),"")&gt;=1,IFERROR(INDEX((COPIA!$DA$3:$DE$1339),MATCH(ROWS(B$10:B342),COPIA!$DF$3:$DF$1339,0),COLUMN()-1),""),"")</f>
        <v/>
      </c>
      <c r="C342" s="5" t="str">
        <f ca="1">SUBSTITUTE(IFERROR(INDEX((COPIA!$DA$3:$DE$1339),MATCH(ROWS(C$10:C342),COPIA!$DF$3:$DF$1339,0),COLUMN()-1),""),"MASTRO","")</f>
        <v/>
      </c>
      <c r="D342" s="136" t="str">
        <f ca="1">IF(IFERROR(INDEX((COPIA!$DA$3:$DE$1339),MATCH(ROWS(D$10:D342),COPIA!$DF$3:$DF$1339,0),COLUMN()-1),"")=0,"",IFERROR(INDEX((COPIA!$DA$3:$DE$1339),MATCH(ROWS(D$10:D342),COPIA!$DF$3:$DF$1339,0),COLUMN()-1),""))</f>
        <v/>
      </c>
      <c r="E342" s="9" t="str">
        <f ca="1">IF(IFERROR(INDEX((COPIA!$DA$3:$DE$1339),MATCH(ROWS(E$10:E342),COPIA!$DF$3:$DF$1339,0),COLUMN()-1),"")=0,"",IFERROR(INDEX((COPIA!$DA$3:$DE$1339),MATCH(ROWS(E$10:E342),COPIA!$DF$3:$DF$1339,0),COLUMN()-1),""))</f>
        <v/>
      </c>
      <c r="F342" s="6" t="str">
        <f ca="1">IF(IFERROR(INDEX((COPIA!$DA$3:$DE$1339),MATCH(ROWS(F$10:F342),COPIA!$DF$3:$DF$1339,0),COLUMN()-1),"")=0,"",IFERROR(INDEX((COPIA!$DA$3:$DE$1339),MATCH(ROWS(F$10:F342),COPIA!$DF$3:$DF$1339,0),COLUMN()-1),""))</f>
        <v/>
      </c>
    </row>
    <row r="343" spans="1:6" x14ac:dyDescent="0.3">
      <c r="A343" s="60" t="str">
        <f ca="1">COPIA!AC336</f>
        <v/>
      </c>
      <c r="B343" s="10" t="str">
        <f ca="1">IF(IFERROR(INDEX((COPIA!$DA$3:$DE$1339),MATCH(ROWS(B$10:B343),COPIA!$DF$3:$DF$1339,0),COLUMN()-1),"")&gt;=1,IFERROR(INDEX((COPIA!$DA$3:$DE$1339),MATCH(ROWS(B$10:B343),COPIA!$DF$3:$DF$1339,0),COLUMN()-1),""),"")</f>
        <v/>
      </c>
      <c r="C343" s="5" t="str">
        <f ca="1">SUBSTITUTE(IFERROR(INDEX((COPIA!$DA$3:$DE$1339),MATCH(ROWS(C$10:C343),COPIA!$DF$3:$DF$1339,0),COLUMN()-1),""),"MASTRO","")</f>
        <v/>
      </c>
      <c r="D343" s="136" t="str">
        <f ca="1">IF(IFERROR(INDEX((COPIA!$DA$3:$DE$1339),MATCH(ROWS(D$10:D343),COPIA!$DF$3:$DF$1339,0),COLUMN()-1),"")=0,"",IFERROR(INDEX((COPIA!$DA$3:$DE$1339),MATCH(ROWS(D$10:D343),COPIA!$DF$3:$DF$1339,0),COLUMN()-1),""))</f>
        <v/>
      </c>
      <c r="E343" s="9" t="str">
        <f ca="1">IF(IFERROR(INDEX((COPIA!$DA$3:$DE$1339),MATCH(ROWS(E$10:E343),COPIA!$DF$3:$DF$1339,0),COLUMN()-1),"")=0,"",IFERROR(INDEX((COPIA!$DA$3:$DE$1339),MATCH(ROWS(E$10:E343),COPIA!$DF$3:$DF$1339,0),COLUMN()-1),""))</f>
        <v/>
      </c>
      <c r="F343" s="6" t="str">
        <f ca="1">IF(IFERROR(INDEX((COPIA!$DA$3:$DE$1339),MATCH(ROWS(F$10:F343),COPIA!$DF$3:$DF$1339,0),COLUMN()-1),"")=0,"",IFERROR(INDEX((COPIA!$DA$3:$DE$1339),MATCH(ROWS(F$10:F343),COPIA!$DF$3:$DF$1339,0),COLUMN()-1),""))</f>
        <v/>
      </c>
    </row>
    <row r="344" spans="1:6" x14ac:dyDescent="0.3">
      <c r="A344" s="60" t="str">
        <f ca="1">COPIA!AC337</f>
        <v/>
      </c>
      <c r="B344" s="10" t="str">
        <f ca="1">IF(IFERROR(INDEX((COPIA!$DA$3:$DE$1339),MATCH(ROWS(B$10:B344),COPIA!$DF$3:$DF$1339,0),COLUMN()-1),"")&gt;=1,IFERROR(INDEX((COPIA!$DA$3:$DE$1339),MATCH(ROWS(B$10:B344),COPIA!$DF$3:$DF$1339,0),COLUMN()-1),""),"")</f>
        <v/>
      </c>
      <c r="C344" s="5" t="str">
        <f ca="1">SUBSTITUTE(IFERROR(INDEX((COPIA!$DA$3:$DE$1339),MATCH(ROWS(C$10:C344),COPIA!$DF$3:$DF$1339,0),COLUMN()-1),""),"MASTRO","")</f>
        <v/>
      </c>
      <c r="D344" s="136" t="str">
        <f ca="1">IF(IFERROR(INDEX((COPIA!$DA$3:$DE$1339),MATCH(ROWS(D$10:D344),COPIA!$DF$3:$DF$1339,0),COLUMN()-1),"")=0,"",IFERROR(INDEX((COPIA!$DA$3:$DE$1339),MATCH(ROWS(D$10:D344),COPIA!$DF$3:$DF$1339,0),COLUMN()-1),""))</f>
        <v/>
      </c>
      <c r="E344" s="9" t="str">
        <f ca="1">IF(IFERROR(INDEX((COPIA!$DA$3:$DE$1339),MATCH(ROWS(E$10:E344),COPIA!$DF$3:$DF$1339,0),COLUMN()-1),"")=0,"",IFERROR(INDEX((COPIA!$DA$3:$DE$1339),MATCH(ROWS(E$10:E344),COPIA!$DF$3:$DF$1339,0),COLUMN()-1),""))</f>
        <v/>
      </c>
      <c r="F344" s="6" t="str">
        <f ca="1">IF(IFERROR(INDEX((COPIA!$DA$3:$DE$1339),MATCH(ROWS(F$10:F344),COPIA!$DF$3:$DF$1339,0),COLUMN()-1),"")=0,"",IFERROR(INDEX((COPIA!$DA$3:$DE$1339),MATCH(ROWS(F$10:F344),COPIA!$DF$3:$DF$1339,0),COLUMN()-1),""))</f>
        <v/>
      </c>
    </row>
    <row r="345" spans="1:6" x14ac:dyDescent="0.3">
      <c r="A345" s="60" t="str">
        <f ca="1">COPIA!AC338</f>
        <v/>
      </c>
      <c r="B345" s="10" t="str">
        <f ca="1">IF(IFERROR(INDEX((COPIA!$DA$3:$DE$1339),MATCH(ROWS(B$10:B345),COPIA!$DF$3:$DF$1339,0),COLUMN()-1),"")&gt;=1,IFERROR(INDEX((COPIA!$DA$3:$DE$1339),MATCH(ROWS(B$10:B345),COPIA!$DF$3:$DF$1339,0),COLUMN()-1),""),"")</f>
        <v/>
      </c>
      <c r="C345" s="5" t="str">
        <f ca="1">SUBSTITUTE(IFERROR(INDEX((COPIA!$DA$3:$DE$1339),MATCH(ROWS(C$10:C345),COPIA!$DF$3:$DF$1339,0),COLUMN()-1),""),"MASTRO","")</f>
        <v/>
      </c>
      <c r="D345" s="136" t="str">
        <f ca="1">IF(IFERROR(INDEX((COPIA!$DA$3:$DE$1339),MATCH(ROWS(D$10:D345),COPIA!$DF$3:$DF$1339,0),COLUMN()-1),"")=0,"",IFERROR(INDEX((COPIA!$DA$3:$DE$1339),MATCH(ROWS(D$10:D345),COPIA!$DF$3:$DF$1339,0),COLUMN()-1),""))</f>
        <v/>
      </c>
      <c r="E345" s="9" t="str">
        <f ca="1">IF(IFERROR(INDEX((COPIA!$DA$3:$DE$1339),MATCH(ROWS(E$10:E345),COPIA!$DF$3:$DF$1339,0),COLUMN()-1),"")=0,"",IFERROR(INDEX((COPIA!$DA$3:$DE$1339),MATCH(ROWS(E$10:E345),COPIA!$DF$3:$DF$1339,0),COLUMN()-1),""))</f>
        <v/>
      </c>
      <c r="F345" s="6" t="str">
        <f ca="1">IF(IFERROR(INDEX((COPIA!$DA$3:$DE$1339),MATCH(ROWS(F$10:F345),COPIA!$DF$3:$DF$1339,0),COLUMN()-1),"")=0,"",IFERROR(INDEX((COPIA!$DA$3:$DE$1339),MATCH(ROWS(F$10:F345),COPIA!$DF$3:$DF$1339,0),COLUMN()-1),""))</f>
        <v/>
      </c>
    </row>
    <row r="346" spans="1:6" x14ac:dyDescent="0.3">
      <c r="A346" s="60" t="str">
        <f ca="1">COPIA!AC339</f>
        <v/>
      </c>
      <c r="B346" s="10" t="str">
        <f ca="1">IF(IFERROR(INDEX((COPIA!$DA$3:$DE$1339),MATCH(ROWS(B$10:B346),COPIA!$DF$3:$DF$1339,0),COLUMN()-1),"")&gt;=1,IFERROR(INDEX((COPIA!$DA$3:$DE$1339),MATCH(ROWS(B$10:B346),COPIA!$DF$3:$DF$1339,0),COLUMN()-1),""),"")</f>
        <v/>
      </c>
      <c r="C346" s="5" t="str">
        <f ca="1">SUBSTITUTE(IFERROR(INDEX((COPIA!$DA$3:$DE$1339),MATCH(ROWS(C$10:C346),COPIA!$DF$3:$DF$1339,0),COLUMN()-1),""),"MASTRO","")</f>
        <v/>
      </c>
      <c r="D346" s="136" t="str">
        <f ca="1">IF(IFERROR(INDEX((COPIA!$DA$3:$DE$1339),MATCH(ROWS(D$10:D346),COPIA!$DF$3:$DF$1339,0),COLUMN()-1),"")=0,"",IFERROR(INDEX((COPIA!$DA$3:$DE$1339),MATCH(ROWS(D$10:D346),COPIA!$DF$3:$DF$1339,0),COLUMN()-1),""))</f>
        <v/>
      </c>
      <c r="E346" s="9" t="str">
        <f ca="1">IF(IFERROR(INDEX((COPIA!$DA$3:$DE$1339),MATCH(ROWS(E$10:E346),COPIA!$DF$3:$DF$1339,0),COLUMN()-1),"")=0,"",IFERROR(INDEX((COPIA!$DA$3:$DE$1339),MATCH(ROWS(E$10:E346),COPIA!$DF$3:$DF$1339,0),COLUMN()-1),""))</f>
        <v/>
      </c>
      <c r="F346" s="6" t="str">
        <f ca="1">IF(IFERROR(INDEX((COPIA!$DA$3:$DE$1339),MATCH(ROWS(F$10:F346),COPIA!$DF$3:$DF$1339,0),COLUMN()-1),"")=0,"",IFERROR(INDEX((COPIA!$DA$3:$DE$1339),MATCH(ROWS(F$10:F346),COPIA!$DF$3:$DF$1339,0),COLUMN()-1),""))</f>
        <v/>
      </c>
    </row>
    <row r="347" spans="1:6" x14ac:dyDescent="0.3">
      <c r="A347" s="60" t="str">
        <f ca="1">COPIA!AC340</f>
        <v/>
      </c>
      <c r="B347" s="10" t="str">
        <f ca="1">IF(IFERROR(INDEX((COPIA!$DA$3:$DE$1339),MATCH(ROWS(B$10:B347),COPIA!$DF$3:$DF$1339,0),COLUMN()-1),"")&gt;=1,IFERROR(INDEX((COPIA!$DA$3:$DE$1339),MATCH(ROWS(B$10:B347),COPIA!$DF$3:$DF$1339,0),COLUMN()-1),""),"")</f>
        <v/>
      </c>
      <c r="C347" s="5" t="str">
        <f ca="1">SUBSTITUTE(IFERROR(INDEX((COPIA!$DA$3:$DE$1339),MATCH(ROWS(C$10:C347),COPIA!$DF$3:$DF$1339,0),COLUMN()-1),""),"MASTRO","")</f>
        <v/>
      </c>
      <c r="D347" s="136" t="str">
        <f ca="1">IF(IFERROR(INDEX((COPIA!$DA$3:$DE$1339),MATCH(ROWS(D$10:D347),COPIA!$DF$3:$DF$1339,0),COLUMN()-1),"")=0,"",IFERROR(INDEX((COPIA!$DA$3:$DE$1339),MATCH(ROWS(D$10:D347),COPIA!$DF$3:$DF$1339,0),COLUMN()-1),""))</f>
        <v/>
      </c>
      <c r="E347" s="9" t="str">
        <f ca="1">IF(IFERROR(INDEX((COPIA!$DA$3:$DE$1339),MATCH(ROWS(E$10:E347),COPIA!$DF$3:$DF$1339,0),COLUMN()-1),"")=0,"",IFERROR(INDEX((COPIA!$DA$3:$DE$1339),MATCH(ROWS(E$10:E347),COPIA!$DF$3:$DF$1339,0),COLUMN()-1),""))</f>
        <v/>
      </c>
      <c r="F347" s="6" t="str">
        <f ca="1">IF(IFERROR(INDEX((COPIA!$DA$3:$DE$1339),MATCH(ROWS(F$10:F347),COPIA!$DF$3:$DF$1339,0),COLUMN()-1),"")=0,"",IFERROR(INDEX((COPIA!$DA$3:$DE$1339),MATCH(ROWS(F$10:F347),COPIA!$DF$3:$DF$1339,0),COLUMN()-1),""))</f>
        <v/>
      </c>
    </row>
    <row r="348" spans="1:6" x14ac:dyDescent="0.3">
      <c r="A348" s="60" t="str">
        <f ca="1">COPIA!AC341</f>
        <v/>
      </c>
      <c r="B348" s="10" t="str">
        <f ca="1">IF(IFERROR(INDEX((COPIA!$DA$3:$DE$1339),MATCH(ROWS(B$10:B348),COPIA!$DF$3:$DF$1339,0),COLUMN()-1),"")&gt;=1,IFERROR(INDEX((COPIA!$DA$3:$DE$1339),MATCH(ROWS(B$10:B348),COPIA!$DF$3:$DF$1339,0),COLUMN()-1),""),"")</f>
        <v/>
      </c>
      <c r="C348" s="5" t="str">
        <f ca="1">SUBSTITUTE(IFERROR(INDEX((COPIA!$DA$3:$DE$1339),MATCH(ROWS(C$10:C348),COPIA!$DF$3:$DF$1339,0),COLUMN()-1),""),"MASTRO","")</f>
        <v/>
      </c>
      <c r="D348" s="136" t="str">
        <f ca="1">IF(IFERROR(INDEX((COPIA!$DA$3:$DE$1339),MATCH(ROWS(D$10:D348),COPIA!$DF$3:$DF$1339,0),COLUMN()-1),"")=0,"",IFERROR(INDEX((COPIA!$DA$3:$DE$1339),MATCH(ROWS(D$10:D348),COPIA!$DF$3:$DF$1339,0),COLUMN()-1),""))</f>
        <v/>
      </c>
      <c r="E348" s="9" t="str">
        <f ca="1">IF(IFERROR(INDEX((COPIA!$DA$3:$DE$1339),MATCH(ROWS(E$10:E348),COPIA!$DF$3:$DF$1339,0),COLUMN()-1),"")=0,"",IFERROR(INDEX((COPIA!$DA$3:$DE$1339),MATCH(ROWS(E$10:E348),COPIA!$DF$3:$DF$1339,0),COLUMN()-1),""))</f>
        <v/>
      </c>
      <c r="F348" s="6" t="str">
        <f ca="1">IF(IFERROR(INDEX((COPIA!$DA$3:$DE$1339),MATCH(ROWS(F$10:F348),COPIA!$DF$3:$DF$1339,0),COLUMN()-1),"")=0,"",IFERROR(INDEX((COPIA!$DA$3:$DE$1339),MATCH(ROWS(F$10:F348),COPIA!$DF$3:$DF$1339,0),COLUMN()-1),""))</f>
        <v/>
      </c>
    </row>
    <row r="349" spans="1:6" x14ac:dyDescent="0.3">
      <c r="A349" s="60" t="str">
        <f ca="1">COPIA!AC342</f>
        <v/>
      </c>
      <c r="B349" s="10" t="str">
        <f ca="1">IF(IFERROR(INDEX((COPIA!$DA$3:$DE$1339),MATCH(ROWS(B$10:B349),COPIA!$DF$3:$DF$1339,0),COLUMN()-1),"")&gt;=1,IFERROR(INDEX((COPIA!$DA$3:$DE$1339),MATCH(ROWS(B$10:B349),COPIA!$DF$3:$DF$1339,0),COLUMN()-1),""),"")</f>
        <v/>
      </c>
      <c r="C349" s="5" t="str">
        <f ca="1">SUBSTITUTE(IFERROR(INDEX((COPIA!$DA$3:$DE$1339),MATCH(ROWS(C$10:C349),COPIA!$DF$3:$DF$1339,0),COLUMN()-1),""),"MASTRO","")</f>
        <v/>
      </c>
      <c r="D349" s="136" t="str">
        <f ca="1">IF(IFERROR(INDEX((COPIA!$DA$3:$DE$1339),MATCH(ROWS(D$10:D349),COPIA!$DF$3:$DF$1339,0),COLUMN()-1),"")=0,"",IFERROR(INDEX((COPIA!$DA$3:$DE$1339),MATCH(ROWS(D$10:D349),COPIA!$DF$3:$DF$1339,0),COLUMN()-1),""))</f>
        <v/>
      </c>
      <c r="E349" s="9" t="str">
        <f ca="1">IF(IFERROR(INDEX((COPIA!$DA$3:$DE$1339),MATCH(ROWS(E$10:E349),COPIA!$DF$3:$DF$1339,0),COLUMN()-1),"")=0,"",IFERROR(INDEX((COPIA!$DA$3:$DE$1339),MATCH(ROWS(E$10:E349),COPIA!$DF$3:$DF$1339,0),COLUMN()-1),""))</f>
        <v/>
      </c>
      <c r="F349" s="6" t="str">
        <f ca="1">IF(IFERROR(INDEX((COPIA!$DA$3:$DE$1339),MATCH(ROWS(F$10:F349),COPIA!$DF$3:$DF$1339,0),COLUMN()-1),"")=0,"",IFERROR(INDEX((COPIA!$DA$3:$DE$1339),MATCH(ROWS(F$10:F349),COPIA!$DF$3:$DF$1339,0),COLUMN()-1),""))</f>
        <v/>
      </c>
    </row>
    <row r="350" spans="1:6" x14ac:dyDescent="0.3">
      <c r="A350" s="60" t="str">
        <f ca="1">COPIA!AC343</f>
        <v/>
      </c>
      <c r="B350" s="10" t="str">
        <f ca="1">IF(IFERROR(INDEX((COPIA!$DA$3:$DE$1339),MATCH(ROWS(B$10:B350),COPIA!$DF$3:$DF$1339,0),COLUMN()-1),"")&gt;=1,IFERROR(INDEX((COPIA!$DA$3:$DE$1339),MATCH(ROWS(B$10:B350),COPIA!$DF$3:$DF$1339,0),COLUMN()-1),""),"")</f>
        <v/>
      </c>
      <c r="C350" s="5" t="str">
        <f ca="1">SUBSTITUTE(IFERROR(INDEX((COPIA!$DA$3:$DE$1339),MATCH(ROWS(C$10:C350),COPIA!$DF$3:$DF$1339,0),COLUMN()-1),""),"MASTRO","")</f>
        <v/>
      </c>
      <c r="D350" s="136" t="str">
        <f ca="1">IF(IFERROR(INDEX((COPIA!$DA$3:$DE$1339),MATCH(ROWS(D$10:D350),COPIA!$DF$3:$DF$1339,0),COLUMN()-1),"")=0,"",IFERROR(INDEX((COPIA!$DA$3:$DE$1339),MATCH(ROWS(D$10:D350),COPIA!$DF$3:$DF$1339,0),COLUMN()-1),""))</f>
        <v/>
      </c>
      <c r="E350" s="9" t="str">
        <f ca="1">IF(IFERROR(INDEX((COPIA!$DA$3:$DE$1339),MATCH(ROWS(E$10:E350),COPIA!$DF$3:$DF$1339,0),COLUMN()-1),"")=0,"",IFERROR(INDEX((COPIA!$DA$3:$DE$1339),MATCH(ROWS(E$10:E350),COPIA!$DF$3:$DF$1339,0),COLUMN()-1),""))</f>
        <v/>
      </c>
      <c r="F350" s="6" t="str">
        <f ca="1">IF(IFERROR(INDEX((COPIA!$DA$3:$DE$1339),MATCH(ROWS(F$10:F350),COPIA!$DF$3:$DF$1339,0),COLUMN()-1),"")=0,"",IFERROR(INDEX((COPIA!$DA$3:$DE$1339),MATCH(ROWS(F$10:F350),COPIA!$DF$3:$DF$1339,0),COLUMN()-1),""))</f>
        <v/>
      </c>
    </row>
    <row r="351" spans="1:6" x14ac:dyDescent="0.3">
      <c r="A351" s="60" t="str">
        <f ca="1">COPIA!AC344</f>
        <v/>
      </c>
      <c r="B351" s="10" t="str">
        <f ca="1">IF(IFERROR(INDEX((COPIA!$DA$3:$DE$1339),MATCH(ROWS(B$10:B351),COPIA!$DF$3:$DF$1339,0),COLUMN()-1),"")&gt;=1,IFERROR(INDEX((COPIA!$DA$3:$DE$1339),MATCH(ROWS(B$10:B351),COPIA!$DF$3:$DF$1339,0),COLUMN()-1),""),"")</f>
        <v/>
      </c>
      <c r="C351" s="5" t="str">
        <f ca="1">SUBSTITUTE(IFERROR(INDEX((COPIA!$DA$3:$DE$1339),MATCH(ROWS(C$10:C351),COPIA!$DF$3:$DF$1339,0),COLUMN()-1),""),"MASTRO","")</f>
        <v/>
      </c>
      <c r="D351" s="136" t="str">
        <f ca="1">IF(IFERROR(INDEX((COPIA!$DA$3:$DE$1339),MATCH(ROWS(D$10:D351),COPIA!$DF$3:$DF$1339,0),COLUMN()-1),"")=0,"",IFERROR(INDEX((COPIA!$DA$3:$DE$1339),MATCH(ROWS(D$10:D351),COPIA!$DF$3:$DF$1339,0),COLUMN()-1),""))</f>
        <v/>
      </c>
      <c r="E351" s="9" t="str">
        <f ca="1">IF(IFERROR(INDEX((COPIA!$DA$3:$DE$1339),MATCH(ROWS(E$10:E351),COPIA!$DF$3:$DF$1339,0),COLUMN()-1),"")=0,"",IFERROR(INDEX((COPIA!$DA$3:$DE$1339),MATCH(ROWS(E$10:E351),COPIA!$DF$3:$DF$1339,0),COLUMN()-1),""))</f>
        <v/>
      </c>
      <c r="F351" s="6" t="str">
        <f ca="1">IF(IFERROR(INDEX((COPIA!$DA$3:$DE$1339),MATCH(ROWS(F$10:F351),COPIA!$DF$3:$DF$1339,0),COLUMN()-1),"")=0,"",IFERROR(INDEX((COPIA!$DA$3:$DE$1339),MATCH(ROWS(F$10:F351),COPIA!$DF$3:$DF$1339,0),COLUMN()-1),""))</f>
        <v/>
      </c>
    </row>
    <row r="352" spans="1:6" x14ac:dyDescent="0.3">
      <c r="A352" s="60" t="str">
        <f ca="1">COPIA!AC345</f>
        <v/>
      </c>
      <c r="B352" s="10" t="str">
        <f ca="1">IF(IFERROR(INDEX((COPIA!$DA$3:$DE$1339),MATCH(ROWS(B$10:B352),COPIA!$DF$3:$DF$1339,0),COLUMN()-1),"")&gt;=1,IFERROR(INDEX((COPIA!$DA$3:$DE$1339),MATCH(ROWS(B$10:B352),COPIA!$DF$3:$DF$1339,0),COLUMN()-1),""),"")</f>
        <v/>
      </c>
      <c r="C352" s="5" t="str">
        <f ca="1">SUBSTITUTE(IFERROR(INDEX((COPIA!$DA$3:$DE$1339),MATCH(ROWS(C$10:C352),COPIA!$DF$3:$DF$1339,0),COLUMN()-1),""),"MASTRO","")</f>
        <v/>
      </c>
      <c r="D352" s="136" t="str">
        <f ca="1">IF(IFERROR(INDEX((COPIA!$DA$3:$DE$1339),MATCH(ROWS(D$10:D352),COPIA!$DF$3:$DF$1339,0),COLUMN()-1),"")=0,"",IFERROR(INDEX((COPIA!$DA$3:$DE$1339),MATCH(ROWS(D$10:D352),COPIA!$DF$3:$DF$1339,0),COLUMN()-1),""))</f>
        <v/>
      </c>
      <c r="E352" s="9" t="str">
        <f ca="1">IF(IFERROR(INDEX((COPIA!$DA$3:$DE$1339),MATCH(ROWS(E$10:E352),COPIA!$DF$3:$DF$1339,0),COLUMN()-1),"")=0,"",IFERROR(INDEX((COPIA!$DA$3:$DE$1339),MATCH(ROWS(E$10:E352),COPIA!$DF$3:$DF$1339,0),COLUMN()-1),""))</f>
        <v/>
      </c>
      <c r="F352" s="6" t="str">
        <f ca="1">IF(IFERROR(INDEX((COPIA!$DA$3:$DE$1339),MATCH(ROWS(F$10:F352),COPIA!$DF$3:$DF$1339,0),COLUMN()-1),"")=0,"",IFERROR(INDEX((COPIA!$DA$3:$DE$1339),MATCH(ROWS(F$10:F352),COPIA!$DF$3:$DF$1339,0),COLUMN()-1),""))</f>
        <v/>
      </c>
    </row>
    <row r="353" spans="1:6" x14ac:dyDescent="0.3">
      <c r="A353" s="60" t="str">
        <f ca="1">COPIA!AC346</f>
        <v/>
      </c>
      <c r="B353" s="10" t="str">
        <f ca="1">IF(IFERROR(INDEX((COPIA!$DA$3:$DE$1339),MATCH(ROWS(B$10:B353),COPIA!$DF$3:$DF$1339,0),COLUMN()-1),"")&gt;=1,IFERROR(INDEX((COPIA!$DA$3:$DE$1339),MATCH(ROWS(B$10:B353),COPIA!$DF$3:$DF$1339,0),COLUMN()-1),""),"")</f>
        <v/>
      </c>
      <c r="C353" s="5" t="str">
        <f ca="1">SUBSTITUTE(IFERROR(INDEX((COPIA!$DA$3:$DE$1339),MATCH(ROWS(C$10:C353),COPIA!$DF$3:$DF$1339,0),COLUMN()-1),""),"MASTRO","")</f>
        <v/>
      </c>
      <c r="D353" s="136" t="str">
        <f ca="1">IF(IFERROR(INDEX((COPIA!$DA$3:$DE$1339),MATCH(ROWS(D$10:D353),COPIA!$DF$3:$DF$1339,0),COLUMN()-1),"")=0,"",IFERROR(INDEX((COPIA!$DA$3:$DE$1339),MATCH(ROWS(D$10:D353),COPIA!$DF$3:$DF$1339,0),COLUMN()-1),""))</f>
        <v/>
      </c>
      <c r="E353" s="9" t="str">
        <f ca="1">IF(IFERROR(INDEX((COPIA!$DA$3:$DE$1339),MATCH(ROWS(E$10:E353),COPIA!$DF$3:$DF$1339,0),COLUMN()-1),"")=0,"",IFERROR(INDEX((COPIA!$DA$3:$DE$1339),MATCH(ROWS(E$10:E353),COPIA!$DF$3:$DF$1339,0),COLUMN()-1),""))</f>
        <v/>
      </c>
      <c r="F353" s="6" t="str">
        <f ca="1">IF(IFERROR(INDEX((COPIA!$DA$3:$DE$1339),MATCH(ROWS(F$10:F353),COPIA!$DF$3:$DF$1339,0),COLUMN()-1),"")=0,"",IFERROR(INDEX((COPIA!$DA$3:$DE$1339),MATCH(ROWS(F$10:F353),COPIA!$DF$3:$DF$1339,0),COLUMN()-1),""))</f>
        <v/>
      </c>
    </row>
    <row r="354" spans="1:6" x14ac:dyDescent="0.3">
      <c r="A354" s="60" t="str">
        <f ca="1">COPIA!AC347</f>
        <v/>
      </c>
      <c r="B354" s="10" t="str">
        <f ca="1">IF(IFERROR(INDEX((COPIA!$DA$3:$DE$1339),MATCH(ROWS(B$10:B354),COPIA!$DF$3:$DF$1339,0),COLUMN()-1),"")&gt;=1,IFERROR(INDEX((COPIA!$DA$3:$DE$1339),MATCH(ROWS(B$10:B354),COPIA!$DF$3:$DF$1339,0),COLUMN()-1),""),"")</f>
        <v/>
      </c>
      <c r="C354" s="5" t="str">
        <f ca="1">SUBSTITUTE(IFERROR(INDEX((COPIA!$DA$3:$DE$1339),MATCH(ROWS(C$10:C354),COPIA!$DF$3:$DF$1339,0),COLUMN()-1),""),"MASTRO","")</f>
        <v/>
      </c>
      <c r="D354" s="136" t="str">
        <f ca="1">IF(IFERROR(INDEX((COPIA!$DA$3:$DE$1339),MATCH(ROWS(D$10:D354),COPIA!$DF$3:$DF$1339,0),COLUMN()-1),"")=0,"",IFERROR(INDEX((COPIA!$DA$3:$DE$1339),MATCH(ROWS(D$10:D354),COPIA!$DF$3:$DF$1339,0),COLUMN()-1),""))</f>
        <v/>
      </c>
      <c r="E354" s="9" t="str">
        <f ca="1">IF(IFERROR(INDEX((COPIA!$DA$3:$DE$1339),MATCH(ROWS(E$10:E354),COPIA!$DF$3:$DF$1339,0),COLUMN()-1),"")=0,"",IFERROR(INDEX((COPIA!$DA$3:$DE$1339),MATCH(ROWS(E$10:E354),COPIA!$DF$3:$DF$1339,0),COLUMN()-1),""))</f>
        <v/>
      </c>
      <c r="F354" s="6" t="str">
        <f ca="1">IF(IFERROR(INDEX((COPIA!$DA$3:$DE$1339),MATCH(ROWS(F$10:F354),COPIA!$DF$3:$DF$1339,0),COLUMN()-1),"")=0,"",IFERROR(INDEX((COPIA!$DA$3:$DE$1339),MATCH(ROWS(F$10:F354),COPIA!$DF$3:$DF$1339,0),COLUMN()-1),""))</f>
        <v/>
      </c>
    </row>
    <row r="355" spans="1:6" x14ac:dyDescent="0.3">
      <c r="A355" s="60" t="str">
        <f ca="1">COPIA!AC348</f>
        <v/>
      </c>
      <c r="B355" s="10" t="str">
        <f ca="1">IF(IFERROR(INDEX((COPIA!$DA$3:$DE$1339),MATCH(ROWS(B$10:B355),COPIA!$DF$3:$DF$1339,0),COLUMN()-1),"")&gt;=1,IFERROR(INDEX((COPIA!$DA$3:$DE$1339),MATCH(ROWS(B$10:B355),COPIA!$DF$3:$DF$1339,0),COLUMN()-1),""),"")</f>
        <v/>
      </c>
      <c r="C355" s="5" t="str">
        <f ca="1">SUBSTITUTE(IFERROR(INDEX((COPIA!$DA$3:$DE$1339),MATCH(ROWS(C$10:C355),COPIA!$DF$3:$DF$1339,0),COLUMN()-1),""),"MASTRO","")</f>
        <v/>
      </c>
      <c r="D355" s="136" t="str">
        <f ca="1">IF(IFERROR(INDEX((COPIA!$DA$3:$DE$1339),MATCH(ROWS(D$10:D355),COPIA!$DF$3:$DF$1339,0),COLUMN()-1),"")=0,"",IFERROR(INDEX((COPIA!$DA$3:$DE$1339),MATCH(ROWS(D$10:D355),COPIA!$DF$3:$DF$1339,0),COLUMN()-1),""))</f>
        <v/>
      </c>
      <c r="E355" s="9" t="str">
        <f ca="1">IF(IFERROR(INDEX((COPIA!$DA$3:$DE$1339),MATCH(ROWS(E$10:E355),COPIA!$DF$3:$DF$1339,0),COLUMN()-1),"")=0,"",IFERROR(INDEX((COPIA!$DA$3:$DE$1339),MATCH(ROWS(E$10:E355),COPIA!$DF$3:$DF$1339,0),COLUMN()-1),""))</f>
        <v/>
      </c>
      <c r="F355" s="6" t="str">
        <f ca="1">IF(IFERROR(INDEX((COPIA!$DA$3:$DE$1339),MATCH(ROWS(F$10:F355),COPIA!$DF$3:$DF$1339,0),COLUMN()-1),"")=0,"",IFERROR(INDEX((COPIA!$DA$3:$DE$1339),MATCH(ROWS(F$10:F355),COPIA!$DF$3:$DF$1339,0),COLUMN()-1),""))</f>
        <v/>
      </c>
    </row>
    <row r="356" spans="1:6" x14ac:dyDescent="0.3">
      <c r="A356" s="60" t="str">
        <f ca="1">COPIA!AC349</f>
        <v/>
      </c>
      <c r="B356" s="10" t="str">
        <f ca="1">IF(IFERROR(INDEX((COPIA!$DA$3:$DE$1339),MATCH(ROWS(B$10:B356),COPIA!$DF$3:$DF$1339,0),COLUMN()-1),"")&gt;=1,IFERROR(INDEX((COPIA!$DA$3:$DE$1339),MATCH(ROWS(B$10:B356),COPIA!$DF$3:$DF$1339,0),COLUMN()-1),""),"")</f>
        <v/>
      </c>
      <c r="C356" s="5" t="str">
        <f ca="1">SUBSTITUTE(IFERROR(INDEX((COPIA!$DA$3:$DE$1339),MATCH(ROWS(C$10:C356),COPIA!$DF$3:$DF$1339,0),COLUMN()-1),""),"MASTRO","")</f>
        <v/>
      </c>
      <c r="D356" s="136" t="str">
        <f ca="1">IF(IFERROR(INDEX((COPIA!$DA$3:$DE$1339),MATCH(ROWS(D$10:D356),COPIA!$DF$3:$DF$1339,0),COLUMN()-1),"")=0,"",IFERROR(INDEX((COPIA!$DA$3:$DE$1339),MATCH(ROWS(D$10:D356),COPIA!$DF$3:$DF$1339,0),COLUMN()-1),""))</f>
        <v/>
      </c>
      <c r="E356" s="9" t="str">
        <f ca="1">IF(IFERROR(INDEX((COPIA!$DA$3:$DE$1339),MATCH(ROWS(E$10:E356),COPIA!$DF$3:$DF$1339,0),COLUMN()-1),"")=0,"",IFERROR(INDEX((COPIA!$DA$3:$DE$1339),MATCH(ROWS(E$10:E356),COPIA!$DF$3:$DF$1339,0),COLUMN()-1),""))</f>
        <v/>
      </c>
      <c r="F356" s="6" t="str">
        <f ca="1">IF(IFERROR(INDEX((COPIA!$DA$3:$DE$1339),MATCH(ROWS(F$10:F356),COPIA!$DF$3:$DF$1339,0),COLUMN()-1),"")=0,"",IFERROR(INDEX((COPIA!$DA$3:$DE$1339),MATCH(ROWS(F$10:F356),COPIA!$DF$3:$DF$1339,0),COLUMN()-1),""))</f>
        <v/>
      </c>
    </row>
    <row r="357" spans="1:6" x14ac:dyDescent="0.3">
      <c r="A357" s="60" t="str">
        <f ca="1">COPIA!AC350</f>
        <v/>
      </c>
      <c r="B357" s="10" t="str">
        <f ca="1">IF(IFERROR(INDEX((COPIA!$DA$3:$DE$1339),MATCH(ROWS(B$10:B357),COPIA!$DF$3:$DF$1339,0),COLUMN()-1),"")&gt;=1,IFERROR(INDEX((COPIA!$DA$3:$DE$1339),MATCH(ROWS(B$10:B357),COPIA!$DF$3:$DF$1339,0),COLUMN()-1),""),"")</f>
        <v/>
      </c>
      <c r="C357" s="5" t="str">
        <f ca="1">SUBSTITUTE(IFERROR(INDEX((COPIA!$DA$3:$DE$1339),MATCH(ROWS(C$10:C357),COPIA!$DF$3:$DF$1339,0),COLUMN()-1),""),"MASTRO","")</f>
        <v/>
      </c>
      <c r="D357" s="136" t="str">
        <f ca="1">IF(IFERROR(INDEX((COPIA!$DA$3:$DE$1339),MATCH(ROWS(D$10:D357),COPIA!$DF$3:$DF$1339,0),COLUMN()-1),"")=0,"",IFERROR(INDEX((COPIA!$DA$3:$DE$1339),MATCH(ROWS(D$10:D357),COPIA!$DF$3:$DF$1339,0),COLUMN()-1),""))</f>
        <v/>
      </c>
      <c r="E357" s="9" t="str">
        <f ca="1">IF(IFERROR(INDEX((COPIA!$DA$3:$DE$1339),MATCH(ROWS(E$10:E357),COPIA!$DF$3:$DF$1339,0),COLUMN()-1),"")=0,"",IFERROR(INDEX((COPIA!$DA$3:$DE$1339),MATCH(ROWS(E$10:E357),COPIA!$DF$3:$DF$1339,0),COLUMN()-1),""))</f>
        <v/>
      </c>
      <c r="F357" s="6" t="str">
        <f ca="1">IF(IFERROR(INDEX((COPIA!$DA$3:$DE$1339),MATCH(ROWS(F$10:F357),COPIA!$DF$3:$DF$1339,0),COLUMN()-1),"")=0,"",IFERROR(INDEX((COPIA!$DA$3:$DE$1339),MATCH(ROWS(F$10:F357),COPIA!$DF$3:$DF$1339,0),COLUMN()-1),""))</f>
        <v/>
      </c>
    </row>
    <row r="358" spans="1:6" x14ac:dyDescent="0.3">
      <c r="A358" s="60" t="str">
        <f ca="1">COPIA!AC351</f>
        <v/>
      </c>
      <c r="B358" s="10" t="str">
        <f ca="1">IF(IFERROR(INDEX((COPIA!$DA$3:$DE$1339),MATCH(ROWS(B$10:B358),COPIA!$DF$3:$DF$1339,0),COLUMN()-1),"")&gt;=1,IFERROR(INDEX((COPIA!$DA$3:$DE$1339),MATCH(ROWS(B$10:B358),COPIA!$DF$3:$DF$1339,0),COLUMN()-1),""),"")</f>
        <v/>
      </c>
      <c r="C358" s="5" t="str">
        <f ca="1">SUBSTITUTE(IFERROR(INDEX((COPIA!$DA$3:$DE$1339),MATCH(ROWS(C$10:C358),COPIA!$DF$3:$DF$1339,0),COLUMN()-1),""),"MASTRO","")</f>
        <v/>
      </c>
      <c r="D358" s="136" t="str">
        <f ca="1">IF(IFERROR(INDEX((COPIA!$DA$3:$DE$1339),MATCH(ROWS(D$10:D358),COPIA!$DF$3:$DF$1339,0),COLUMN()-1),"")=0,"",IFERROR(INDEX((COPIA!$DA$3:$DE$1339),MATCH(ROWS(D$10:D358),COPIA!$DF$3:$DF$1339,0),COLUMN()-1),""))</f>
        <v/>
      </c>
      <c r="E358" s="9" t="str">
        <f ca="1">IF(IFERROR(INDEX((COPIA!$DA$3:$DE$1339),MATCH(ROWS(E$10:E358),COPIA!$DF$3:$DF$1339,0),COLUMN()-1),"")=0,"",IFERROR(INDEX((COPIA!$DA$3:$DE$1339),MATCH(ROWS(E$10:E358),COPIA!$DF$3:$DF$1339,0),COLUMN()-1),""))</f>
        <v/>
      </c>
      <c r="F358" s="6" t="str">
        <f ca="1">IF(IFERROR(INDEX((COPIA!$DA$3:$DE$1339),MATCH(ROWS(F$10:F358),COPIA!$DF$3:$DF$1339,0),COLUMN()-1),"")=0,"",IFERROR(INDEX((COPIA!$DA$3:$DE$1339),MATCH(ROWS(F$10:F358),COPIA!$DF$3:$DF$1339,0),COLUMN()-1),""))</f>
        <v/>
      </c>
    </row>
    <row r="359" spans="1:6" x14ac:dyDescent="0.3">
      <c r="A359" s="60" t="str">
        <f ca="1">COPIA!AC352</f>
        <v/>
      </c>
      <c r="B359" s="10" t="str">
        <f ca="1">IF(IFERROR(INDEX((COPIA!$DA$3:$DE$1339),MATCH(ROWS(B$10:B359),COPIA!$DF$3:$DF$1339,0),COLUMN()-1),"")&gt;=1,IFERROR(INDEX((COPIA!$DA$3:$DE$1339),MATCH(ROWS(B$10:B359),COPIA!$DF$3:$DF$1339,0),COLUMN()-1),""),"")</f>
        <v/>
      </c>
      <c r="C359" s="5" t="str">
        <f ca="1">SUBSTITUTE(IFERROR(INDEX((COPIA!$DA$3:$DE$1339),MATCH(ROWS(C$10:C359),COPIA!$DF$3:$DF$1339,0),COLUMN()-1),""),"MASTRO","")</f>
        <v/>
      </c>
      <c r="D359" s="136" t="str">
        <f ca="1">IF(IFERROR(INDEX((COPIA!$DA$3:$DE$1339),MATCH(ROWS(D$10:D359),COPIA!$DF$3:$DF$1339,0),COLUMN()-1),"")=0,"",IFERROR(INDEX((COPIA!$DA$3:$DE$1339),MATCH(ROWS(D$10:D359),COPIA!$DF$3:$DF$1339,0),COLUMN()-1),""))</f>
        <v/>
      </c>
      <c r="E359" s="9" t="str">
        <f ca="1">IF(IFERROR(INDEX((COPIA!$DA$3:$DE$1339),MATCH(ROWS(E$10:E359),COPIA!$DF$3:$DF$1339,0),COLUMN()-1),"")=0,"",IFERROR(INDEX((COPIA!$DA$3:$DE$1339),MATCH(ROWS(E$10:E359),COPIA!$DF$3:$DF$1339,0),COLUMN()-1),""))</f>
        <v/>
      </c>
      <c r="F359" s="6" t="str">
        <f ca="1">IF(IFERROR(INDEX((COPIA!$DA$3:$DE$1339),MATCH(ROWS(F$10:F359),COPIA!$DF$3:$DF$1339,0),COLUMN()-1),"")=0,"",IFERROR(INDEX((COPIA!$DA$3:$DE$1339),MATCH(ROWS(F$10:F359),COPIA!$DF$3:$DF$1339,0),COLUMN()-1),""))</f>
        <v/>
      </c>
    </row>
    <row r="360" spans="1:6" x14ac:dyDescent="0.3">
      <c r="A360" s="60" t="str">
        <f ca="1">COPIA!AC353</f>
        <v/>
      </c>
      <c r="B360" s="10" t="str">
        <f ca="1">IF(IFERROR(INDEX((COPIA!$DA$3:$DE$1339),MATCH(ROWS(B$10:B360),COPIA!$DF$3:$DF$1339,0),COLUMN()-1),"")&gt;=1,IFERROR(INDEX((COPIA!$DA$3:$DE$1339),MATCH(ROWS(B$10:B360),COPIA!$DF$3:$DF$1339,0),COLUMN()-1),""),"")</f>
        <v/>
      </c>
      <c r="C360" s="5" t="str">
        <f ca="1">SUBSTITUTE(IFERROR(INDEX((COPIA!$DA$3:$DE$1339),MATCH(ROWS(C$10:C360),COPIA!$DF$3:$DF$1339,0),COLUMN()-1),""),"MASTRO","")</f>
        <v/>
      </c>
      <c r="D360" s="136" t="str">
        <f ca="1">IF(IFERROR(INDEX((COPIA!$DA$3:$DE$1339),MATCH(ROWS(D$10:D360),COPIA!$DF$3:$DF$1339,0),COLUMN()-1),"")=0,"",IFERROR(INDEX((COPIA!$DA$3:$DE$1339),MATCH(ROWS(D$10:D360),COPIA!$DF$3:$DF$1339,0),COLUMN()-1),""))</f>
        <v/>
      </c>
      <c r="E360" s="9" t="str">
        <f ca="1">IF(IFERROR(INDEX((COPIA!$DA$3:$DE$1339),MATCH(ROWS(E$10:E360),COPIA!$DF$3:$DF$1339,0),COLUMN()-1),"")=0,"",IFERROR(INDEX((COPIA!$DA$3:$DE$1339),MATCH(ROWS(E$10:E360),COPIA!$DF$3:$DF$1339,0),COLUMN()-1),""))</f>
        <v/>
      </c>
      <c r="F360" s="6" t="str">
        <f ca="1">IF(IFERROR(INDEX((COPIA!$DA$3:$DE$1339),MATCH(ROWS(F$10:F360),COPIA!$DF$3:$DF$1339,0),COLUMN()-1),"")=0,"",IFERROR(INDEX((COPIA!$DA$3:$DE$1339),MATCH(ROWS(F$10:F360),COPIA!$DF$3:$DF$1339,0),COLUMN()-1),""))</f>
        <v/>
      </c>
    </row>
    <row r="361" spans="1:6" x14ac:dyDescent="0.3">
      <c r="A361" s="60" t="str">
        <f ca="1">COPIA!AC354</f>
        <v/>
      </c>
      <c r="B361" s="10" t="str">
        <f ca="1">IF(IFERROR(INDEX((COPIA!$DA$3:$DE$1339),MATCH(ROWS(B$10:B361),COPIA!$DF$3:$DF$1339,0),COLUMN()-1),"")&gt;=1,IFERROR(INDEX((COPIA!$DA$3:$DE$1339),MATCH(ROWS(B$10:B361),COPIA!$DF$3:$DF$1339,0),COLUMN()-1),""),"")</f>
        <v/>
      </c>
      <c r="C361" s="5" t="str">
        <f ca="1">SUBSTITUTE(IFERROR(INDEX((COPIA!$DA$3:$DE$1339),MATCH(ROWS(C$10:C361),COPIA!$DF$3:$DF$1339,0),COLUMN()-1),""),"MASTRO","")</f>
        <v/>
      </c>
      <c r="D361" s="136" t="str">
        <f ca="1">IF(IFERROR(INDEX((COPIA!$DA$3:$DE$1339),MATCH(ROWS(D$10:D361),COPIA!$DF$3:$DF$1339,0),COLUMN()-1),"")=0,"",IFERROR(INDEX((COPIA!$DA$3:$DE$1339),MATCH(ROWS(D$10:D361),COPIA!$DF$3:$DF$1339,0),COLUMN()-1),""))</f>
        <v/>
      </c>
      <c r="E361" s="9" t="str">
        <f ca="1">IF(IFERROR(INDEX((COPIA!$DA$3:$DE$1339),MATCH(ROWS(E$10:E361),COPIA!$DF$3:$DF$1339,0),COLUMN()-1),"")=0,"",IFERROR(INDEX((COPIA!$DA$3:$DE$1339),MATCH(ROWS(E$10:E361),COPIA!$DF$3:$DF$1339,0),COLUMN()-1),""))</f>
        <v/>
      </c>
      <c r="F361" s="6" t="str">
        <f ca="1">IF(IFERROR(INDEX((COPIA!$DA$3:$DE$1339),MATCH(ROWS(F$10:F361),COPIA!$DF$3:$DF$1339,0),COLUMN()-1),"")=0,"",IFERROR(INDEX((COPIA!$DA$3:$DE$1339),MATCH(ROWS(F$10:F361),COPIA!$DF$3:$DF$1339,0),COLUMN()-1),""))</f>
        <v/>
      </c>
    </row>
    <row r="362" spans="1:6" x14ac:dyDescent="0.3">
      <c r="A362" s="60" t="str">
        <f ca="1">COPIA!AC355</f>
        <v/>
      </c>
      <c r="B362" s="10" t="str">
        <f ca="1">IF(IFERROR(INDEX((COPIA!$DA$3:$DE$1339),MATCH(ROWS(B$10:B362),COPIA!$DF$3:$DF$1339,0),COLUMN()-1),"")&gt;=1,IFERROR(INDEX((COPIA!$DA$3:$DE$1339),MATCH(ROWS(B$10:B362),COPIA!$DF$3:$DF$1339,0),COLUMN()-1),""),"")</f>
        <v/>
      </c>
      <c r="C362" s="5" t="str">
        <f ca="1">SUBSTITUTE(IFERROR(INDEX((COPIA!$DA$3:$DE$1339),MATCH(ROWS(C$10:C362),COPIA!$DF$3:$DF$1339,0),COLUMN()-1),""),"MASTRO","")</f>
        <v/>
      </c>
      <c r="D362" s="136" t="str">
        <f ca="1">IF(IFERROR(INDEX((COPIA!$DA$3:$DE$1339),MATCH(ROWS(D$10:D362),COPIA!$DF$3:$DF$1339,0),COLUMN()-1),"")=0,"",IFERROR(INDEX((COPIA!$DA$3:$DE$1339),MATCH(ROWS(D$10:D362),COPIA!$DF$3:$DF$1339,0),COLUMN()-1),""))</f>
        <v/>
      </c>
      <c r="E362" s="9" t="str">
        <f ca="1">IF(IFERROR(INDEX((COPIA!$DA$3:$DE$1339),MATCH(ROWS(E$10:E362),COPIA!$DF$3:$DF$1339,0),COLUMN()-1),"")=0,"",IFERROR(INDEX((COPIA!$DA$3:$DE$1339),MATCH(ROWS(E$10:E362),COPIA!$DF$3:$DF$1339,0),COLUMN()-1),""))</f>
        <v/>
      </c>
      <c r="F362" s="6" t="str">
        <f ca="1">IF(IFERROR(INDEX((COPIA!$DA$3:$DE$1339),MATCH(ROWS(F$10:F362),COPIA!$DF$3:$DF$1339,0),COLUMN()-1),"")=0,"",IFERROR(INDEX((COPIA!$DA$3:$DE$1339),MATCH(ROWS(F$10:F362),COPIA!$DF$3:$DF$1339,0),COLUMN()-1),""))</f>
        <v/>
      </c>
    </row>
    <row r="363" spans="1:6" x14ac:dyDescent="0.3">
      <c r="A363" s="60" t="str">
        <f ca="1">COPIA!AC356</f>
        <v/>
      </c>
      <c r="B363" s="10" t="str">
        <f ca="1">IF(IFERROR(INDEX((COPIA!$DA$3:$DE$1339),MATCH(ROWS(B$10:B363),COPIA!$DF$3:$DF$1339,0),COLUMN()-1),"")&gt;=1,IFERROR(INDEX((COPIA!$DA$3:$DE$1339),MATCH(ROWS(B$10:B363),COPIA!$DF$3:$DF$1339,0),COLUMN()-1),""),"")</f>
        <v/>
      </c>
      <c r="C363" s="5" t="str">
        <f ca="1">SUBSTITUTE(IFERROR(INDEX((COPIA!$DA$3:$DE$1339),MATCH(ROWS(C$10:C363),COPIA!$DF$3:$DF$1339,0),COLUMN()-1),""),"MASTRO","")</f>
        <v/>
      </c>
      <c r="D363" s="136" t="str">
        <f ca="1">IF(IFERROR(INDEX((COPIA!$DA$3:$DE$1339),MATCH(ROWS(D$10:D363),COPIA!$DF$3:$DF$1339,0),COLUMN()-1),"")=0,"",IFERROR(INDEX((COPIA!$DA$3:$DE$1339),MATCH(ROWS(D$10:D363),COPIA!$DF$3:$DF$1339,0),COLUMN()-1),""))</f>
        <v/>
      </c>
      <c r="E363" s="9" t="str">
        <f ca="1">IF(IFERROR(INDEX((COPIA!$DA$3:$DE$1339),MATCH(ROWS(E$10:E363),COPIA!$DF$3:$DF$1339,0),COLUMN()-1),"")=0,"",IFERROR(INDEX((COPIA!$DA$3:$DE$1339),MATCH(ROWS(E$10:E363),COPIA!$DF$3:$DF$1339,0),COLUMN()-1),""))</f>
        <v/>
      </c>
      <c r="F363" s="6" t="str">
        <f ca="1">IF(IFERROR(INDEX((COPIA!$DA$3:$DE$1339),MATCH(ROWS(F$10:F363),COPIA!$DF$3:$DF$1339,0),COLUMN()-1),"")=0,"",IFERROR(INDEX((COPIA!$DA$3:$DE$1339),MATCH(ROWS(F$10:F363),COPIA!$DF$3:$DF$1339,0),COLUMN()-1),""))</f>
        <v/>
      </c>
    </row>
    <row r="364" spans="1:6" x14ac:dyDescent="0.3">
      <c r="A364" s="60" t="str">
        <f ca="1">COPIA!AC357</f>
        <v/>
      </c>
      <c r="B364" s="10" t="str">
        <f ca="1">IF(IFERROR(INDEX((COPIA!$DA$3:$DE$1339),MATCH(ROWS(B$10:B364),COPIA!$DF$3:$DF$1339,0),COLUMN()-1),"")&gt;=1,IFERROR(INDEX((COPIA!$DA$3:$DE$1339),MATCH(ROWS(B$10:B364),COPIA!$DF$3:$DF$1339,0),COLUMN()-1),""),"")</f>
        <v/>
      </c>
      <c r="C364" s="5" t="str">
        <f ca="1">SUBSTITUTE(IFERROR(INDEX((COPIA!$DA$3:$DE$1339),MATCH(ROWS(C$10:C364),COPIA!$DF$3:$DF$1339,0),COLUMN()-1),""),"MASTRO","")</f>
        <v/>
      </c>
      <c r="D364" s="136" t="str">
        <f ca="1">IF(IFERROR(INDEX((COPIA!$DA$3:$DE$1339),MATCH(ROWS(D$10:D364),COPIA!$DF$3:$DF$1339,0),COLUMN()-1),"")=0,"",IFERROR(INDEX((COPIA!$DA$3:$DE$1339),MATCH(ROWS(D$10:D364),COPIA!$DF$3:$DF$1339,0),COLUMN()-1),""))</f>
        <v/>
      </c>
      <c r="E364" s="9" t="str">
        <f ca="1">IF(IFERROR(INDEX((COPIA!$DA$3:$DE$1339),MATCH(ROWS(E$10:E364),COPIA!$DF$3:$DF$1339,0),COLUMN()-1),"")=0,"",IFERROR(INDEX((COPIA!$DA$3:$DE$1339),MATCH(ROWS(E$10:E364),COPIA!$DF$3:$DF$1339,0),COLUMN()-1),""))</f>
        <v/>
      </c>
      <c r="F364" s="6" t="str">
        <f ca="1">IF(IFERROR(INDEX((COPIA!$DA$3:$DE$1339),MATCH(ROWS(F$10:F364),COPIA!$DF$3:$DF$1339,0),COLUMN()-1),"")=0,"",IFERROR(INDEX((COPIA!$DA$3:$DE$1339),MATCH(ROWS(F$10:F364),COPIA!$DF$3:$DF$1339,0),COLUMN()-1),""))</f>
        <v/>
      </c>
    </row>
    <row r="365" spans="1:6" x14ac:dyDescent="0.3">
      <c r="A365" s="60" t="str">
        <f ca="1">COPIA!AC358</f>
        <v/>
      </c>
      <c r="B365" s="10" t="str">
        <f ca="1">IF(IFERROR(INDEX((COPIA!$DA$3:$DE$1339),MATCH(ROWS(B$10:B365),COPIA!$DF$3:$DF$1339,0),COLUMN()-1),"")&gt;=1,IFERROR(INDEX((COPIA!$DA$3:$DE$1339),MATCH(ROWS(B$10:B365),COPIA!$DF$3:$DF$1339,0),COLUMN()-1),""),"")</f>
        <v/>
      </c>
      <c r="C365" s="5" t="str">
        <f ca="1">SUBSTITUTE(IFERROR(INDEX((COPIA!$DA$3:$DE$1339),MATCH(ROWS(C$10:C365),COPIA!$DF$3:$DF$1339,0),COLUMN()-1),""),"MASTRO","")</f>
        <v/>
      </c>
      <c r="D365" s="136" t="str">
        <f ca="1">IF(IFERROR(INDEX((COPIA!$DA$3:$DE$1339),MATCH(ROWS(D$10:D365),COPIA!$DF$3:$DF$1339,0),COLUMN()-1),"")=0,"",IFERROR(INDEX((COPIA!$DA$3:$DE$1339),MATCH(ROWS(D$10:D365),COPIA!$DF$3:$DF$1339,0),COLUMN()-1),""))</f>
        <v/>
      </c>
      <c r="E365" s="9" t="str">
        <f ca="1">IF(IFERROR(INDEX((COPIA!$DA$3:$DE$1339),MATCH(ROWS(E$10:E365),COPIA!$DF$3:$DF$1339,0),COLUMN()-1),"")=0,"",IFERROR(INDEX((COPIA!$DA$3:$DE$1339),MATCH(ROWS(E$10:E365),COPIA!$DF$3:$DF$1339,0),COLUMN()-1),""))</f>
        <v/>
      </c>
      <c r="F365" s="6" t="str">
        <f ca="1">IF(IFERROR(INDEX((COPIA!$DA$3:$DE$1339),MATCH(ROWS(F$10:F365),COPIA!$DF$3:$DF$1339,0),COLUMN()-1),"")=0,"",IFERROR(INDEX((COPIA!$DA$3:$DE$1339),MATCH(ROWS(F$10:F365),COPIA!$DF$3:$DF$1339,0),COLUMN()-1),""))</f>
        <v/>
      </c>
    </row>
    <row r="366" spans="1:6" x14ac:dyDescent="0.3">
      <c r="A366" s="60" t="str">
        <f ca="1">COPIA!AC359</f>
        <v/>
      </c>
      <c r="B366" s="10" t="str">
        <f ca="1">IF(IFERROR(INDEX((COPIA!$DA$3:$DE$1339),MATCH(ROWS(B$10:B366),COPIA!$DF$3:$DF$1339,0),COLUMN()-1),"")&gt;=1,IFERROR(INDEX((COPIA!$DA$3:$DE$1339),MATCH(ROWS(B$10:B366),COPIA!$DF$3:$DF$1339,0),COLUMN()-1),""),"")</f>
        <v/>
      </c>
      <c r="C366" s="5" t="str">
        <f ca="1">SUBSTITUTE(IFERROR(INDEX((COPIA!$DA$3:$DE$1339),MATCH(ROWS(C$10:C366),COPIA!$DF$3:$DF$1339,0),COLUMN()-1),""),"MASTRO","")</f>
        <v/>
      </c>
      <c r="D366" s="136" t="str">
        <f ca="1">IF(IFERROR(INDEX((COPIA!$DA$3:$DE$1339),MATCH(ROWS(D$10:D366),COPIA!$DF$3:$DF$1339,0),COLUMN()-1),"")=0,"",IFERROR(INDEX((COPIA!$DA$3:$DE$1339),MATCH(ROWS(D$10:D366),COPIA!$DF$3:$DF$1339,0),COLUMN()-1),""))</f>
        <v/>
      </c>
      <c r="E366" s="9" t="str">
        <f ca="1">IF(IFERROR(INDEX((COPIA!$DA$3:$DE$1339),MATCH(ROWS(E$10:E366),COPIA!$DF$3:$DF$1339,0),COLUMN()-1),"")=0,"",IFERROR(INDEX((COPIA!$DA$3:$DE$1339),MATCH(ROWS(E$10:E366),COPIA!$DF$3:$DF$1339,0),COLUMN()-1),""))</f>
        <v/>
      </c>
      <c r="F366" s="6" t="str">
        <f ca="1">IF(IFERROR(INDEX((COPIA!$DA$3:$DE$1339),MATCH(ROWS(F$10:F366),COPIA!$DF$3:$DF$1339,0),COLUMN()-1),"")=0,"",IFERROR(INDEX((COPIA!$DA$3:$DE$1339),MATCH(ROWS(F$10:F366),COPIA!$DF$3:$DF$1339,0),COLUMN()-1),""))</f>
        <v/>
      </c>
    </row>
    <row r="367" spans="1:6" x14ac:dyDescent="0.3">
      <c r="A367" s="60" t="str">
        <f ca="1">COPIA!AC360</f>
        <v/>
      </c>
      <c r="B367" s="10" t="str">
        <f ca="1">IF(IFERROR(INDEX((COPIA!$DA$3:$DE$1339),MATCH(ROWS(B$10:B367),COPIA!$DF$3:$DF$1339,0),COLUMN()-1),"")&gt;=1,IFERROR(INDEX((COPIA!$DA$3:$DE$1339),MATCH(ROWS(B$10:B367),COPIA!$DF$3:$DF$1339,0),COLUMN()-1),""),"")</f>
        <v/>
      </c>
      <c r="C367" s="5" t="str">
        <f ca="1">SUBSTITUTE(IFERROR(INDEX((COPIA!$DA$3:$DE$1339),MATCH(ROWS(C$10:C367),COPIA!$DF$3:$DF$1339,0),COLUMN()-1),""),"MASTRO","")</f>
        <v/>
      </c>
      <c r="D367" s="136" t="str">
        <f ca="1">IF(IFERROR(INDEX((COPIA!$DA$3:$DE$1339),MATCH(ROWS(D$10:D367),COPIA!$DF$3:$DF$1339,0),COLUMN()-1),"")=0,"",IFERROR(INDEX((COPIA!$DA$3:$DE$1339),MATCH(ROWS(D$10:D367),COPIA!$DF$3:$DF$1339,0),COLUMN()-1),""))</f>
        <v/>
      </c>
      <c r="E367" s="9" t="str">
        <f ca="1">IF(IFERROR(INDEX((COPIA!$DA$3:$DE$1339),MATCH(ROWS(E$10:E367),COPIA!$DF$3:$DF$1339,0),COLUMN()-1),"")=0,"",IFERROR(INDEX((COPIA!$DA$3:$DE$1339),MATCH(ROWS(E$10:E367),COPIA!$DF$3:$DF$1339,0),COLUMN()-1),""))</f>
        <v/>
      </c>
      <c r="F367" s="6" t="str">
        <f ca="1">IF(IFERROR(INDEX((COPIA!$DA$3:$DE$1339),MATCH(ROWS(F$10:F367),COPIA!$DF$3:$DF$1339,0),COLUMN()-1),"")=0,"",IFERROR(INDEX((COPIA!$DA$3:$DE$1339),MATCH(ROWS(F$10:F367),COPIA!$DF$3:$DF$1339,0),COLUMN()-1),""))</f>
        <v/>
      </c>
    </row>
    <row r="368" spans="1:6" x14ac:dyDescent="0.3">
      <c r="A368" s="60" t="str">
        <f ca="1">COPIA!AC361</f>
        <v/>
      </c>
      <c r="B368" s="10" t="str">
        <f ca="1">IF(IFERROR(INDEX((COPIA!$DA$3:$DE$1339),MATCH(ROWS(B$10:B368),COPIA!$DF$3:$DF$1339,0),COLUMN()-1),"")&gt;=1,IFERROR(INDEX((COPIA!$DA$3:$DE$1339),MATCH(ROWS(B$10:B368),COPIA!$DF$3:$DF$1339,0),COLUMN()-1),""),"")</f>
        <v/>
      </c>
      <c r="C368" s="5" t="str">
        <f ca="1">SUBSTITUTE(IFERROR(INDEX((COPIA!$DA$3:$DE$1339),MATCH(ROWS(C$10:C368),COPIA!$DF$3:$DF$1339,0),COLUMN()-1),""),"MASTRO","")</f>
        <v/>
      </c>
      <c r="D368" s="136" t="str">
        <f ca="1">IF(IFERROR(INDEX((COPIA!$DA$3:$DE$1339),MATCH(ROWS(D$10:D368),COPIA!$DF$3:$DF$1339,0),COLUMN()-1),"")=0,"",IFERROR(INDEX((COPIA!$DA$3:$DE$1339),MATCH(ROWS(D$10:D368),COPIA!$DF$3:$DF$1339,0),COLUMN()-1),""))</f>
        <v/>
      </c>
      <c r="E368" s="9" t="str">
        <f ca="1">IF(IFERROR(INDEX((COPIA!$DA$3:$DE$1339),MATCH(ROWS(E$10:E368),COPIA!$DF$3:$DF$1339,0),COLUMN()-1),"")=0,"",IFERROR(INDEX((COPIA!$DA$3:$DE$1339),MATCH(ROWS(E$10:E368),COPIA!$DF$3:$DF$1339,0),COLUMN()-1),""))</f>
        <v/>
      </c>
      <c r="F368" s="6" t="str">
        <f ca="1">IF(IFERROR(INDEX((COPIA!$DA$3:$DE$1339),MATCH(ROWS(F$10:F368),COPIA!$DF$3:$DF$1339,0),COLUMN()-1),"")=0,"",IFERROR(INDEX((COPIA!$DA$3:$DE$1339),MATCH(ROWS(F$10:F368),COPIA!$DF$3:$DF$1339,0),COLUMN()-1),""))</f>
        <v/>
      </c>
    </row>
    <row r="369" spans="1:6" x14ac:dyDescent="0.3">
      <c r="A369" s="60" t="str">
        <f ca="1">COPIA!AC362</f>
        <v/>
      </c>
      <c r="B369" s="10" t="str">
        <f ca="1">IF(IFERROR(INDEX((COPIA!$DA$3:$DE$1339),MATCH(ROWS(B$10:B369),COPIA!$DF$3:$DF$1339,0),COLUMN()-1),"")&gt;=1,IFERROR(INDEX((COPIA!$DA$3:$DE$1339),MATCH(ROWS(B$10:B369),COPIA!$DF$3:$DF$1339,0),COLUMN()-1),""),"")</f>
        <v/>
      </c>
      <c r="C369" s="5" t="str">
        <f ca="1">SUBSTITUTE(IFERROR(INDEX((COPIA!$DA$3:$DE$1339),MATCH(ROWS(C$10:C369),COPIA!$DF$3:$DF$1339,0),COLUMN()-1),""),"MASTRO","")</f>
        <v/>
      </c>
      <c r="D369" s="136" t="str">
        <f ca="1">IF(IFERROR(INDEX((COPIA!$DA$3:$DE$1339),MATCH(ROWS(D$10:D369),COPIA!$DF$3:$DF$1339,0),COLUMN()-1),"")=0,"",IFERROR(INDEX((COPIA!$DA$3:$DE$1339),MATCH(ROWS(D$10:D369),COPIA!$DF$3:$DF$1339,0),COLUMN()-1),""))</f>
        <v/>
      </c>
      <c r="E369" s="9" t="str">
        <f ca="1">IF(IFERROR(INDEX((COPIA!$DA$3:$DE$1339),MATCH(ROWS(E$10:E369),COPIA!$DF$3:$DF$1339,0),COLUMN()-1),"")=0,"",IFERROR(INDEX((COPIA!$DA$3:$DE$1339),MATCH(ROWS(E$10:E369),COPIA!$DF$3:$DF$1339,0),COLUMN()-1),""))</f>
        <v/>
      </c>
      <c r="F369" s="6" t="str">
        <f ca="1">IF(IFERROR(INDEX((COPIA!$DA$3:$DE$1339),MATCH(ROWS(F$10:F369),COPIA!$DF$3:$DF$1339,0),COLUMN()-1),"")=0,"",IFERROR(INDEX((COPIA!$DA$3:$DE$1339),MATCH(ROWS(F$10:F369),COPIA!$DF$3:$DF$1339,0),COLUMN()-1),""))</f>
        <v/>
      </c>
    </row>
    <row r="370" spans="1:6" x14ac:dyDescent="0.3">
      <c r="A370" s="60" t="str">
        <f ca="1">COPIA!AC363</f>
        <v/>
      </c>
      <c r="B370" s="10" t="str">
        <f ca="1">IF(IFERROR(INDEX((COPIA!$DA$3:$DE$1339),MATCH(ROWS(B$10:B370),COPIA!$DF$3:$DF$1339,0),COLUMN()-1),"")&gt;=1,IFERROR(INDEX((COPIA!$DA$3:$DE$1339),MATCH(ROWS(B$10:B370),COPIA!$DF$3:$DF$1339,0),COLUMN()-1),""),"")</f>
        <v/>
      </c>
      <c r="C370" s="5" t="str">
        <f ca="1">SUBSTITUTE(IFERROR(INDEX((COPIA!$DA$3:$DE$1339),MATCH(ROWS(C$10:C370),COPIA!$DF$3:$DF$1339,0),COLUMN()-1),""),"MASTRO","")</f>
        <v/>
      </c>
      <c r="D370" s="136" t="str">
        <f ca="1">IF(IFERROR(INDEX((COPIA!$DA$3:$DE$1339),MATCH(ROWS(D$10:D370),COPIA!$DF$3:$DF$1339,0),COLUMN()-1),"")=0,"",IFERROR(INDEX((COPIA!$DA$3:$DE$1339),MATCH(ROWS(D$10:D370),COPIA!$DF$3:$DF$1339,0),COLUMN()-1),""))</f>
        <v/>
      </c>
      <c r="E370" s="9" t="str">
        <f ca="1">IF(IFERROR(INDEX((COPIA!$DA$3:$DE$1339),MATCH(ROWS(E$10:E370),COPIA!$DF$3:$DF$1339,0),COLUMN()-1),"")=0,"",IFERROR(INDEX((COPIA!$DA$3:$DE$1339),MATCH(ROWS(E$10:E370),COPIA!$DF$3:$DF$1339,0),COLUMN()-1),""))</f>
        <v/>
      </c>
      <c r="F370" s="6" t="str">
        <f ca="1">IF(IFERROR(INDEX((COPIA!$DA$3:$DE$1339),MATCH(ROWS(F$10:F370),COPIA!$DF$3:$DF$1339,0),COLUMN()-1),"")=0,"",IFERROR(INDEX((COPIA!$DA$3:$DE$1339),MATCH(ROWS(F$10:F370),COPIA!$DF$3:$DF$1339,0),COLUMN()-1),""))</f>
        <v/>
      </c>
    </row>
    <row r="371" spans="1:6" x14ac:dyDescent="0.3">
      <c r="A371" s="60" t="str">
        <f ca="1">COPIA!AC364</f>
        <v/>
      </c>
      <c r="B371" s="10" t="str">
        <f ca="1">IF(IFERROR(INDEX((COPIA!$DA$3:$DE$1339),MATCH(ROWS(B$10:B371),COPIA!$DF$3:$DF$1339,0),COLUMN()-1),"")&gt;=1,IFERROR(INDEX((COPIA!$DA$3:$DE$1339),MATCH(ROWS(B$10:B371),COPIA!$DF$3:$DF$1339,0),COLUMN()-1),""),"")</f>
        <v/>
      </c>
      <c r="C371" s="5" t="str">
        <f ca="1">SUBSTITUTE(IFERROR(INDEX((COPIA!$DA$3:$DE$1339),MATCH(ROWS(C$10:C371),COPIA!$DF$3:$DF$1339,0),COLUMN()-1),""),"MASTRO","")</f>
        <v/>
      </c>
      <c r="D371" s="136" t="str">
        <f ca="1">IF(IFERROR(INDEX((COPIA!$DA$3:$DE$1339),MATCH(ROWS(D$10:D371),COPIA!$DF$3:$DF$1339,0),COLUMN()-1),"")=0,"",IFERROR(INDEX((COPIA!$DA$3:$DE$1339),MATCH(ROWS(D$10:D371),COPIA!$DF$3:$DF$1339,0),COLUMN()-1),""))</f>
        <v/>
      </c>
      <c r="E371" s="9" t="str">
        <f ca="1">IF(IFERROR(INDEX((COPIA!$DA$3:$DE$1339),MATCH(ROWS(E$10:E371),COPIA!$DF$3:$DF$1339,0),COLUMN()-1),"")=0,"",IFERROR(INDEX((COPIA!$DA$3:$DE$1339),MATCH(ROWS(E$10:E371),COPIA!$DF$3:$DF$1339,0),COLUMN()-1),""))</f>
        <v/>
      </c>
      <c r="F371" s="6" t="str">
        <f ca="1">IF(IFERROR(INDEX((COPIA!$DA$3:$DE$1339),MATCH(ROWS(F$10:F371),COPIA!$DF$3:$DF$1339,0),COLUMN()-1),"")=0,"",IFERROR(INDEX((COPIA!$DA$3:$DE$1339),MATCH(ROWS(F$10:F371),COPIA!$DF$3:$DF$1339,0),COLUMN()-1),""))</f>
        <v/>
      </c>
    </row>
    <row r="372" spans="1:6" x14ac:dyDescent="0.3">
      <c r="A372" s="60" t="str">
        <f ca="1">COPIA!AC365</f>
        <v/>
      </c>
      <c r="B372" s="10" t="str">
        <f ca="1">IF(IFERROR(INDEX((COPIA!$DA$3:$DE$1339),MATCH(ROWS(B$10:B372),COPIA!$DF$3:$DF$1339,0),COLUMN()-1),"")&gt;=1,IFERROR(INDEX((COPIA!$DA$3:$DE$1339),MATCH(ROWS(B$10:B372),COPIA!$DF$3:$DF$1339,0),COLUMN()-1),""),"")</f>
        <v/>
      </c>
      <c r="C372" s="5" t="str">
        <f ca="1">SUBSTITUTE(IFERROR(INDEX((COPIA!$DA$3:$DE$1339),MATCH(ROWS(C$10:C372),COPIA!$DF$3:$DF$1339,0),COLUMN()-1),""),"MASTRO","")</f>
        <v/>
      </c>
      <c r="D372" s="136" t="str">
        <f ca="1">IF(IFERROR(INDEX((COPIA!$DA$3:$DE$1339),MATCH(ROWS(D$10:D372),COPIA!$DF$3:$DF$1339,0),COLUMN()-1),"")=0,"",IFERROR(INDEX((COPIA!$DA$3:$DE$1339),MATCH(ROWS(D$10:D372),COPIA!$DF$3:$DF$1339,0),COLUMN()-1),""))</f>
        <v/>
      </c>
      <c r="E372" s="9" t="str">
        <f ca="1">IF(IFERROR(INDEX((COPIA!$DA$3:$DE$1339),MATCH(ROWS(E$10:E372),COPIA!$DF$3:$DF$1339,0),COLUMN()-1),"")=0,"",IFERROR(INDEX((COPIA!$DA$3:$DE$1339),MATCH(ROWS(E$10:E372),COPIA!$DF$3:$DF$1339,0),COLUMN()-1),""))</f>
        <v/>
      </c>
      <c r="F372" s="6" t="str">
        <f ca="1">IF(IFERROR(INDEX((COPIA!$DA$3:$DE$1339),MATCH(ROWS(F$10:F372),COPIA!$DF$3:$DF$1339,0),COLUMN()-1),"")=0,"",IFERROR(INDEX((COPIA!$DA$3:$DE$1339),MATCH(ROWS(F$10:F372),COPIA!$DF$3:$DF$1339,0),COLUMN()-1),""))</f>
        <v/>
      </c>
    </row>
    <row r="373" spans="1:6" x14ac:dyDescent="0.3">
      <c r="A373" s="60" t="str">
        <f ca="1">COPIA!AC366</f>
        <v/>
      </c>
      <c r="B373" s="10" t="str">
        <f ca="1">IF(IFERROR(INDEX((COPIA!$DA$3:$DE$1339),MATCH(ROWS(B$10:B373),COPIA!$DF$3:$DF$1339,0),COLUMN()-1),"")&gt;=1,IFERROR(INDEX((COPIA!$DA$3:$DE$1339),MATCH(ROWS(B$10:B373),COPIA!$DF$3:$DF$1339,0),COLUMN()-1),""),"")</f>
        <v/>
      </c>
      <c r="C373" s="5" t="str">
        <f ca="1">SUBSTITUTE(IFERROR(INDEX((COPIA!$DA$3:$DE$1339),MATCH(ROWS(C$10:C373),COPIA!$DF$3:$DF$1339,0),COLUMN()-1),""),"MASTRO","")</f>
        <v/>
      </c>
      <c r="D373" s="136" t="str">
        <f ca="1">IF(IFERROR(INDEX((COPIA!$DA$3:$DE$1339),MATCH(ROWS(D$10:D373),COPIA!$DF$3:$DF$1339,0),COLUMN()-1),"")=0,"",IFERROR(INDEX((COPIA!$DA$3:$DE$1339),MATCH(ROWS(D$10:D373),COPIA!$DF$3:$DF$1339,0),COLUMN()-1),""))</f>
        <v/>
      </c>
      <c r="E373" s="9" t="str">
        <f ca="1">IF(IFERROR(INDEX((COPIA!$DA$3:$DE$1339),MATCH(ROWS(E$10:E373),COPIA!$DF$3:$DF$1339,0),COLUMN()-1),"")=0,"",IFERROR(INDEX((COPIA!$DA$3:$DE$1339),MATCH(ROWS(E$10:E373),COPIA!$DF$3:$DF$1339,0),COLUMN()-1),""))</f>
        <v/>
      </c>
      <c r="F373" s="6" t="str">
        <f ca="1">IF(IFERROR(INDEX((COPIA!$DA$3:$DE$1339),MATCH(ROWS(F$10:F373),COPIA!$DF$3:$DF$1339,0),COLUMN()-1),"")=0,"",IFERROR(INDEX((COPIA!$DA$3:$DE$1339),MATCH(ROWS(F$10:F373),COPIA!$DF$3:$DF$1339,0),COLUMN()-1),""))</f>
        <v/>
      </c>
    </row>
    <row r="374" spans="1:6" x14ac:dyDescent="0.3">
      <c r="A374" s="60" t="str">
        <f ca="1">COPIA!AC367</f>
        <v/>
      </c>
      <c r="B374" s="10" t="str">
        <f ca="1">IF(IFERROR(INDEX((COPIA!$DA$3:$DE$1339),MATCH(ROWS(B$10:B374),COPIA!$DF$3:$DF$1339,0),COLUMN()-1),"")&gt;=1,IFERROR(INDEX((COPIA!$DA$3:$DE$1339),MATCH(ROWS(B$10:B374),COPIA!$DF$3:$DF$1339,0),COLUMN()-1),""),"")</f>
        <v/>
      </c>
      <c r="C374" s="5" t="str">
        <f ca="1">SUBSTITUTE(IFERROR(INDEX((COPIA!$DA$3:$DE$1339),MATCH(ROWS(C$10:C374),COPIA!$DF$3:$DF$1339,0),COLUMN()-1),""),"MASTRO","")</f>
        <v/>
      </c>
      <c r="D374" s="136" t="str">
        <f ca="1">IF(IFERROR(INDEX((COPIA!$DA$3:$DE$1339),MATCH(ROWS(D$10:D374),COPIA!$DF$3:$DF$1339,0),COLUMN()-1),"")=0,"",IFERROR(INDEX((COPIA!$DA$3:$DE$1339),MATCH(ROWS(D$10:D374),COPIA!$DF$3:$DF$1339,0),COLUMN()-1),""))</f>
        <v/>
      </c>
      <c r="E374" s="9" t="str">
        <f ca="1">IF(IFERROR(INDEX((COPIA!$DA$3:$DE$1339),MATCH(ROWS(E$10:E374),COPIA!$DF$3:$DF$1339,0),COLUMN()-1),"")=0,"",IFERROR(INDEX((COPIA!$DA$3:$DE$1339),MATCH(ROWS(E$10:E374),COPIA!$DF$3:$DF$1339,0),COLUMN()-1),""))</f>
        <v/>
      </c>
      <c r="F374" s="6" t="str">
        <f ca="1">IF(IFERROR(INDEX((COPIA!$DA$3:$DE$1339),MATCH(ROWS(F$10:F374),COPIA!$DF$3:$DF$1339,0),COLUMN()-1),"")=0,"",IFERROR(INDEX((COPIA!$DA$3:$DE$1339),MATCH(ROWS(F$10:F374),COPIA!$DF$3:$DF$1339,0),COLUMN()-1),""))</f>
        <v/>
      </c>
    </row>
    <row r="375" spans="1:6" x14ac:dyDescent="0.3">
      <c r="A375" s="60" t="str">
        <f ca="1">COPIA!AC368</f>
        <v/>
      </c>
      <c r="B375" s="10" t="str">
        <f ca="1">IF(IFERROR(INDEX((COPIA!$DA$3:$DE$1339),MATCH(ROWS(B$10:B375),COPIA!$DF$3:$DF$1339,0),COLUMN()-1),"")&gt;=1,IFERROR(INDEX((COPIA!$DA$3:$DE$1339),MATCH(ROWS(B$10:B375),COPIA!$DF$3:$DF$1339,0),COLUMN()-1),""),"")</f>
        <v/>
      </c>
      <c r="C375" s="5" t="str">
        <f ca="1">SUBSTITUTE(IFERROR(INDEX((COPIA!$DA$3:$DE$1339),MATCH(ROWS(C$10:C375),COPIA!$DF$3:$DF$1339,0),COLUMN()-1),""),"MASTRO","")</f>
        <v/>
      </c>
      <c r="D375" s="136" t="str">
        <f ca="1">IF(IFERROR(INDEX((COPIA!$DA$3:$DE$1339),MATCH(ROWS(D$10:D375),COPIA!$DF$3:$DF$1339,0),COLUMN()-1),"")=0,"",IFERROR(INDEX((COPIA!$DA$3:$DE$1339),MATCH(ROWS(D$10:D375),COPIA!$DF$3:$DF$1339,0),COLUMN()-1),""))</f>
        <v/>
      </c>
      <c r="E375" s="9" t="str">
        <f ca="1">IF(IFERROR(INDEX((COPIA!$DA$3:$DE$1339),MATCH(ROWS(E$10:E375),COPIA!$DF$3:$DF$1339,0),COLUMN()-1),"")=0,"",IFERROR(INDEX((COPIA!$DA$3:$DE$1339),MATCH(ROWS(E$10:E375),COPIA!$DF$3:$DF$1339,0),COLUMN()-1),""))</f>
        <v/>
      </c>
      <c r="F375" s="6" t="str">
        <f ca="1">IF(IFERROR(INDEX((COPIA!$DA$3:$DE$1339),MATCH(ROWS(F$10:F375),COPIA!$DF$3:$DF$1339,0),COLUMN()-1),"")=0,"",IFERROR(INDEX((COPIA!$DA$3:$DE$1339),MATCH(ROWS(F$10:F375),COPIA!$DF$3:$DF$1339,0),COLUMN()-1),""))</f>
        <v/>
      </c>
    </row>
    <row r="376" spans="1:6" x14ac:dyDescent="0.3">
      <c r="A376" s="60" t="str">
        <f ca="1">COPIA!AC369</f>
        <v/>
      </c>
      <c r="B376" s="10" t="str">
        <f ca="1">IF(IFERROR(INDEX((COPIA!$DA$3:$DE$1339),MATCH(ROWS(B$10:B376),COPIA!$DF$3:$DF$1339,0),COLUMN()-1),"")&gt;=1,IFERROR(INDEX((COPIA!$DA$3:$DE$1339),MATCH(ROWS(B$10:B376),COPIA!$DF$3:$DF$1339,0),COLUMN()-1),""),"")</f>
        <v/>
      </c>
      <c r="C376" s="5" t="str">
        <f ca="1">SUBSTITUTE(IFERROR(INDEX((COPIA!$DA$3:$DE$1339),MATCH(ROWS(C$10:C376),COPIA!$DF$3:$DF$1339,0),COLUMN()-1),""),"MASTRO","")</f>
        <v/>
      </c>
      <c r="D376" s="136" t="str">
        <f ca="1">IF(IFERROR(INDEX((COPIA!$DA$3:$DE$1339),MATCH(ROWS(D$10:D376),COPIA!$DF$3:$DF$1339,0),COLUMN()-1),"")=0,"",IFERROR(INDEX((COPIA!$DA$3:$DE$1339),MATCH(ROWS(D$10:D376),COPIA!$DF$3:$DF$1339,0),COLUMN()-1),""))</f>
        <v/>
      </c>
      <c r="E376" s="9" t="str">
        <f ca="1">IF(IFERROR(INDEX((COPIA!$DA$3:$DE$1339),MATCH(ROWS(E$10:E376),COPIA!$DF$3:$DF$1339,0),COLUMN()-1),"")=0,"",IFERROR(INDEX((COPIA!$DA$3:$DE$1339),MATCH(ROWS(E$10:E376),COPIA!$DF$3:$DF$1339,0),COLUMN()-1),""))</f>
        <v/>
      </c>
      <c r="F376" s="6" t="str">
        <f ca="1">IF(IFERROR(INDEX((COPIA!$DA$3:$DE$1339),MATCH(ROWS(F$10:F376),COPIA!$DF$3:$DF$1339,0),COLUMN()-1),"")=0,"",IFERROR(INDEX((COPIA!$DA$3:$DE$1339),MATCH(ROWS(F$10:F376),COPIA!$DF$3:$DF$1339,0),COLUMN()-1),""))</f>
        <v/>
      </c>
    </row>
    <row r="377" spans="1:6" x14ac:dyDescent="0.3">
      <c r="A377" s="60" t="str">
        <f ca="1">COPIA!AC370</f>
        <v/>
      </c>
      <c r="B377" s="10" t="str">
        <f ca="1">IF(IFERROR(INDEX((COPIA!$DA$3:$DE$1339),MATCH(ROWS(B$10:B377),COPIA!$DF$3:$DF$1339,0),COLUMN()-1),"")&gt;=1,IFERROR(INDEX((COPIA!$DA$3:$DE$1339),MATCH(ROWS(B$10:B377),COPIA!$DF$3:$DF$1339,0),COLUMN()-1),""),"")</f>
        <v/>
      </c>
      <c r="C377" s="5" t="str">
        <f ca="1">SUBSTITUTE(IFERROR(INDEX((COPIA!$DA$3:$DE$1339),MATCH(ROWS(C$10:C377),COPIA!$DF$3:$DF$1339,0),COLUMN()-1),""),"MASTRO","")</f>
        <v/>
      </c>
      <c r="D377" s="136" t="str">
        <f ca="1">IF(IFERROR(INDEX((COPIA!$DA$3:$DE$1339),MATCH(ROWS(D$10:D377),COPIA!$DF$3:$DF$1339,0),COLUMN()-1),"")=0,"",IFERROR(INDEX((COPIA!$DA$3:$DE$1339),MATCH(ROWS(D$10:D377),COPIA!$DF$3:$DF$1339,0),COLUMN()-1),""))</f>
        <v/>
      </c>
      <c r="E377" s="9" t="str">
        <f ca="1">IF(IFERROR(INDEX((COPIA!$DA$3:$DE$1339),MATCH(ROWS(E$10:E377),COPIA!$DF$3:$DF$1339,0),COLUMN()-1),"")=0,"",IFERROR(INDEX((COPIA!$DA$3:$DE$1339),MATCH(ROWS(E$10:E377),COPIA!$DF$3:$DF$1339,0),COLUMN()-1),""))</f>
        <v/>
      </c>
      <c r="F377" s="6" t="str">
        <f ca="1">IF(IFERROR(INDEX((COPIA!$DA$3:$DE$1339),MATCH(ROWS(F$10:F377),COPIA!$DF$3:$DF$1339,0),COLUMN()-1),"")=0,"",IFERROR(INDEX((COPIA!$DA$3:$DE$1339),MATCH(ROWS(F$10:F377),COPIA!$DF$3:$DF$1339,0),COLUMN()-1),""))</f>
        <v/>
      </c>
    </row>
    <row r="378" spans="1:6" x14ac:dyDescent="0.3">
      <c r="A378" s="60" t="str">
        <f ca="1">COPIA!AC371</f>
        <v/>
      </c>
      <c r="B378" s="10" t="str">
        <f ca="1">IF(IFERROR(INDEX((COPIA!$DA$3:$DE$1339),MATCH(ROWS(B$10:B378),COPIA!$DF$3:$DF$1339,0),COLUMN()-1),"")&gt;=1,IFERROR(INDEX((COPIA!$DA$3:$DE$1339),MATCH(ROWS(B$10:B378),COPIA!$DF$3:$DF$1339,0),COLUMN()-1),""),"")</f>
        <v/>
      </c>
      <c r="C378" s="5" t="str">
        <f ca="1">SUBSTITUTE(IFERROR(INDEX((COPIA!$DA$3:$DE$1339),MATCH(ROWS(C$10:C378),COPIA!$DF$3:$DF$1339,0),COLUMN()-1),""),"MASTRO","")</f>
        <v/>
      </c>
      <c r="D378" s="136" t="str">
        <f ca="1">IF(IFERROR(INDEX((COPIA!$DA$3:$DE$1339),MATCH(ROWS(D$10:D378),COPIA!$DF$3:$DF$1339,0),COLUMN()-1),"")=0,"",IFERROR(INDEX((COPIA!$DA$3:$DE$1339),MATCH(ROWS(D$10:D378),COPIA!$DF$3:$DF$1339,0),COLUMN()-1),""))</f>
        <v/>
      </c>
      <c r="E378" s="9" t="str">
        <f ca="1">IF(IFERROR(INDEX((COPIA!$DA$3:$DE$1339),MATCH(ROWS(E$10:E378),COPIA!$DF$3:$DF$1339,0),COLUMN()-1),"")=0,"",IFERROR(INDEX((COPIA!$DA$3:$DE$1339),MATCH(ROWS(E$10:E378),COPIA!$DF$3:$DF$1339,0),COLUMN()-1),""))</f>
        <v/>
      </c>
      <c r="F378" s="6" t="str">
        <f ca="1">IF(IFERROR(INDEX((COPIA!$DA$3:$DE$1339),MATCH(ROWS(F$10:F378),COPIA!$DF$3:$DF$1339,0),COLUMN()-1),"")=0,"",IFERROR(INDEX((COPIA!$DA$3:$DE$1339),MATCH(ROWS(F$10:F378),COPIA!$DF$3:$DF$1339,0),COLUMN()-1),""))</f>
        <v/>
      </c>
    </row>
    <row r="379" spans="1:6" x14ac:dyDescent="0.3">
      <c r="A379" s="60" t="str">
        <f ca="1">COPIA!AC372</f>
        <v/>
      </c>
      <c r="B379" s="10" t="str">
        <f ca="1">IF(IFERROR(INDEX((COPIA!$DA$3:$DE$1339),MATCH(ROWS(B$10:B379),COPIA!$DF$3:$DF$1339,0),COLUMN()-1),"")&gt;=1,IFERROR(INDEX((COPIA!$DA$3:$DE$1339),MATCH(ROWS(B$10:B379),COPIA!$DF$3:$DF$1339,0),COLUMN()-1),""),"")</f>
        <v/>
      </c>
      <c r="C379" s="5" t="str">
        <f ca="1">SUBSTITUTE(IFERROR(INDEX((COPIA!$DA$3:$DE$1339),MATCH(ROWS(C$10:C379),COPIA!$DF$3:$DF$1339,0),COLUMN()-1),""),"MASTRO","")</f>
        <v/>
      </c>
      <c r="D379" s="136" t="str">
        <f ca="1">IF(IFERROR(INDEX((COPIA!$DA$3:$DE$1339),MATCH(ROWS(D$10:D379),COPIA!$DF$3:$DF$1339,0),COLUMN()-1),"")=0,"",IFERROR(INDEX((COPIA!$DA$3:$DE$1339),MATCH(ROWS(D$10:D379),COPIA!$DF$3:$DF$1339,0),COLUMN()-1),""))</f>
        <v/>
      </c>
      <c r="E379" s="9" t="str">
        <f ca="1">IF(IFERROR(INDEX((COPIA!$DA$3:$DE$1339),MATCH(ROWS(E$10:E379),COPIA!$DF$3:$DF$1339,0),COLUMN()-1),"")=0,"",IFERROR(INDEX((COPIA!$DA$3:$DE$1339),MATCH(ROWS(E$10:E379),COPIA!$DF$3:$DF$1339,0),COLUMN()-1),""))</f>
        <v/>
      </c>
      <c r="F379" s="6" t="str">
        <f ca="1">IF(IFERROR(INDEX((COPIA!$DA$3:$DE$1339),MATCH(ROWS(F$10:F379),COPIA!$DF$3:$DF$1339,0),COLUMN()-1),"")=0,"",IFERROR(INDEX((COPIA!$DA$3:$DE$1339),MATCH(ROWS(F$10:F379),COPIA!$DF$3:$DF$1339,0),COLUMN()-1),""))</f>
        <v/>
      </c>
    </row>
    <row r="380" spans="1:6" x14ac:dyDescent="0.3">
      <c r="A380" s="60" t="str">
        <f ca="1">COPIA!AC373</f>
        <v/>
      </c>
      <c r="B380" s="10" t="str">
        <f ca="1">IF(IFERROR(INDEX((COPIA!$DA$3:$DE$1339),MATCH(ROWS(B$10:B380),COPIA!$DF$3:$DF$1339,0),COLUMN()-1),"")&gt;=1,IFERROR(INDEX((COPIA!$DA$3:$DE$1339),MATCH(ROWS(B$10:B380),COPIA!$DF$3:$DF$1339,0),COLUMN()-1),""),"")</f>
        <v/>
      </c>
      <c r="C380" s="5" t="str">
        <f ca="1">SUBSTITUTE(IFERROR(INDEX((COPIA!$DA$3:$DE$1339),MATCH(ROWS(C$10:C380),COPIA!$DF$3:$DF$1339,0),COLUMN()-1),""),"MASTRO","")</f>
        <v/>
      </c>
      <c r="D380" s="136" t="str">
        <f ca="1">IF(IFERROR(INDEX((COPIA!$DA$3:$DE$1339),MATCH(ROWS(D$10:D380),COPIA!$DF$3:$DF$1339,0),COLUMN()-1),"")=0,"",IFERROR(INDEX((COPIA!$DA$3:$DE$1339),MATCH(ROWS(D$10:D380),COPIA!$DF$3:$DF$1339,0),COLUMN()-1),""))</f>
        <v/>
      </c>
      <c r="E380" s="9" t="str">
        <f ca="1">IF(IFERROR(INDEX((COPIA!$DA$3:$DE$1339),MATCH(ROWS(E$10:E380),COPIA!$DF$3:$DF$1339,0),COLUMN()-1),"")=0,"",IFERROR(INDEX((COPIA!$DA$3:$DE$1339),MATCH(ROWS(E$10:E380),COPIA!$DF$3:$DF$1339,0),COLUMN()-1),""))</f>
        <v/>
      </c>
      <c r="F380" s="6" t="str">
        <f ca="1">IF(IFERROR(INDEX((COPIA!$DA$3:$DE$1339),MATCH(ROWS(F$10:F380),COPIA!$DF$3:$DF$1339,0),COLUMN()-1),"")=0,"",IFERROR(INDEX((COPIA!$DA$3:$DE$1339),MATCH(ROWS(F$10:F380),COPIA!$DF$3:$DF$1339,0),COLUMN()-1),""))</f>
        <v/>
      </c>
    </row>
    <row r="381" spans="1:6" x14ac:dyDescent="0.3">
      <c r="A381" s="60" t="str">
        <f ca="1">COPIA!AC374</f>
        <v/>
      </c>
      <c r="B381" s="10" t="str">
        <f ca="1">IF(IFERROR(INDEX((COPIA!$DA$3:$DE$1339),MATCH(ROWS(B$10:B381),COPIA!$DF$3:$DF$1339,0),COLUMN()-1),"")&gt;=1,IFERROR(INDEX((COPIA!$DA$3:$DE$1339),MATCH(ROWS(B$10:B381),COPIA!$DF$3:$DF$1339,0),COLUMN()-1),""),"")</f>
        <v/>
      </c>
      <c r="C381" s="5" t="str">
        <f ca="1">SUBSTITUTE(IFERROR(INDEX((COPIA!$DA$3:$DE$1339),MATCH(ROWS(C$10:C381),COPIA!$DF$3:$DF$1339,0),COLUMN()-1),""),"MASTRO","")</f>
        <v/>
      </c>
      <c r="D381" s="136" t="str">
        <f ca="1">IF(IFERROR(INDEX((COPIA!$DA$3:$DE$1339),MATCH(ROWS(D$10:D381),COPIA!$DF$3:$DF$1339,0),COLUMN()-1),"")=0,"",IFERROR(INDEX((COPIA!$DA$3:$DE$1339),MATCH(ROWS(D$10:D381),COPIA!$DF$3:$DF$1339,0),COLUMN()-1),""))</f>
        <v/>
      </c>
      <c r="E381" s="9" t="str">
        <f ca="1">IF(IFERROR(INDEX((COPIA!$DA$3:$DE$1339),MATCH(ROWS(E$10:E381),COPIA!$DF$3:$DF$1339,0),COLUMN()-1),"")=0,"",IFERROR(INDEX((COPIA!$DA$3:$DE$1339),MATCH(ROWS(E$10:E381),COPIA!$DF$3:$DF$1339,0),COLUMN()-1),""))</f>
        <v/>
      </c>
      <c r="F381" s="6" t="str">
        <f ca="1">IF(IFERROR(INDEX((COPIA!$DA$3:$DE$1339),MATCH(ROWS(F$10:F381),COPIA!$DF$3:$DF$1339,0),COLUMN()-1),"")=0,"",IFERROR(INDEX((COPIA!$DA$3:$DE$1339),MATCH(ROWS(F$10:F381),COPIA!$DF$3:$DF$1339,0),COLUMN()-1),""))</f>
        <v/>
      </c>
    </row>
    <row r="382" spans="1:6" x14ac:dyDescent="0.3">
      <c r="A382" s="60" t="str">
        <f ca="1">COPIA!AC375</f>
        <v/>
      </c>
      <c r="B382" s="10" t="str">
        <f ca="1">IF(IFERROR(INDEX((COPIA!$DA$3:$DE$1339),MATCH(ROWS(B$10:B382),COPIA!$DF$3:$DF$1339,0),COLUMN()-1),"")&gt;=1,IFERROR(INDEX((COPIA!$DA$3:$DE$1339),MATCH(ROWS(B$10:B382),COPIA!$DF$3:$DF$1339,0),COLUMN()-1),""),"")</f>
        <v/>
      </c>
      <c r="C382" s="5" t="str">
        <f ca="1">SUBSTITUTE(IFERROR(INDEX((COPIA!$DA$3:$DE$1339),MATCH(ROWS(C$10:C382),COPIA!$DF$3:$DF$1339,0),COLUMN()-1),""),"MASTRO","")</f>
        <v/>
      </c>
      <c r="D382" s="136" t="str">
        <f ca="1">IF(IFERROR(INDEX((COPIA!$DA$3:$DE$1339),MATCH(ROWS(D$10:D382),COPIA!$DF$3:$DF$1339,0),COLUMN()-1),"")=0,"",IFERROR(INDEX((COPIA!$DA$3:$DE$1339),MATCH(ROWS(D$10:D382),COPIA!$DF$3:$DF$1339,0),COLUMN()-1),""))</f>
        <v/>
      </c>
      <c r="E382" s="9" t="str">
        <f ca="1">IF(IFERROR(INDEX((COPIA!$DA$3:$DE$1339),MATCH(ROWS(E$10:E382),COPIA!$DF$3:$DF$1339,0),COLUMN()-1),"")=0,"",IFERROR(INDEX((COPIA!$DA$3:$DE$1339),MATCH(ROWS(E$10:E382),COPIA!$DF$3:$DF$1339,0),COLUMN()-1),""))</f>
        <v/>
      </c>
      <c r="F382" s="6" t="str">
        <f ca="1">IF(IFERROR(INDEX((COPIA!$DA$3:$DE$1339),MATCH(ROWS(F$10:F382),COPIA!$DF$3:$DF$1339,0),COLUMN()-1),"")=0,"",IFERROR(INDEX((COPIA!$DA$3:$DE$1339),MATCH(ROWS(F$10:F382),COPIA!$DF$3:$DF$1339,0),COLUMN()-1),""))</f>
        <v/>
      </c>
    </row>
    <row r="383" spans="1:6" x14ac:dyDescent="0.3">
      <c r="A383" s="60" t="str">
        <f ca="1">COPIA!AC376</f>
        <v/>
      </c>
      <c r="B383" s="10" t="str">
        <f ca="1">IF(IFERROR(INDEX((COPIA!$DA$3:$DE$1339),MATCH(ROWS(B$10:B383),COPIA!$DF$3:$DF$1339,0),COLUMN()-1),"")&gt;=1,IFERROR(INDEX((COPIA!$DA$3:$DE$1339),MATCH(ROWS(B$10:B383),COPIA!$DF$3:$DF$1339,0),COLUMN()-1),""),"")</f>
        <v/>
      </c>
      <c r="C383" s="5" t="str">
        <f ca="1">SUBSTITUTE(IFERROR(INDEX((COPIA!$DA$3:$DE$1339),MATCH(ROWS(C$10:C383),COPIA!$DF$3:$DF$1339,0),COLUMN()-1),""),"MASTRO","")</f>
        <v/>
      </c>
      <c r="D383" s="136" t="str">
        <f ca="1">IF(IFERROR(INDEX((COPIA!$DA$3:$DE$1339),MATCH(ROWS(D$10:D383),COPIA!$DF$3:$DF$1339,0),COLUMN()-1),"")=0,"",IFERROR(INDEX((COPIA!$DA$3:$DE$1339),MATCH(ROWS(D$10:D383),COPIA!$DF$3:$DF$1339,0),COLUMN()-1),""))</f>
        <v/>
      </c>
      <c r="E383" s="9" t="str">
        <f ca="1">IF(IFERROR(INDEX((COPIA!$DA$3:$DE$1339),MATCH(ROWS(E$10:E383),COPIA!$DF$3:$DF$1339,0),COLUMN()-1),"")=0,"",IFERROR(INDEX((COPIA!$DA$3:$DE$1339),MATCH(ROWS(E$10:E383),COPIA!$DF$3:$DF$1339,0),COLUMN()-1),""))</f>
        <v/>
      </c>
      <c r="F383" s="6" t="str">
        <f ca="1">IF(IFERROR(INDEX((COPIA!$DA$3:$DE$1339),MATCH(ROWS(F$10:F383),COPIA!$DF$3:$DF$1339,0),COLUMN()-1),"")=0,"",IFERROR(INDEX((COPIA!$DA$3:$DE$1339),MATCH(ROWS(F$10:F383),COPIA!$DF$3:$DF$1339,0),COLUMN()-1),""))</f>
        <v/>
      </c>
    </row>
    <row r="384" spans="1:6" x14ac:dyDescent="0.3">
      <c r="A384" s="60" t="str">
        <f ca="1">COPIA!AC377</f>
        <v/>
      </c>
      <c r="B384" s="10" t="str">
        <f ca="1">IF(IFERROR(INDEX((COPIA!$DA$3:$DE$1339),MATCH(ROWS(B$10:B384),COPIA!$DF$3:$DF$1339,0),COLUMN()-1),"")&gt;=1,IFERROR(INDEX((COPIA!$DA$3:$DE$1339),MATCH(ROWS(B$10:B384),COPIA!$DF$3:$DF$1339,0),COLUMN()-1),""),"")</f>
        <v/>
      </c>
      <c r="C384" s="5" t="str">
        <f ca="1">SUBSTITUTE(IFERROR(INDEX((COPIA!$DA$3:$DE$1339),MATCH(ROWS(C$10:C384),COPIA!$DF$3:$DF$1339,0),COLUMN()-1),""),"MASTRO","")</f>
        <v/>
      </c>
      <c r="D384" s="136" t="str">
        <f ca="1">IF(IFERROR(INDEX((COPIA!$DA$3:$DE$1339),MATCH(ROWS(D$10:D384),COPIA!$DF$3:$DF$1339,0),COLUMN()-1),"")=0,"",IFERROR(INDEX((COPIA!$DA$3:$DE$1339),MATCH(ROWS(D$10:D384),COPIA!$DF$3:$DF$1339,0),COLUMN()-1),""))</f>
        <v/>
      </c>
      <c r="E384" s="9" t="str">
        <f ca="1">IF(IFERROR(INDEX((COPIA!$DA$3:$DE$1339),MATCH(ROWS(E$10:E384),COPIA!$DF$3:$DF$1339,0),COLUMN()-1),"")=0,"",IFERROR(INDEX((COPIA!$DA$3:$DE$1339),MATCH(ROWS(E$10:E384),COPIA!$DF$3:$DF$1339,0),COLUMN()-1),""))</f>
        <v/>
      </c>
      <c r="F384" s="6" t="str">
        <f ca="1">IF(IFERROR(INDEX((COPIA!$DA$3:$DE$1339),MATCH(ROWS(F$10:F384),COPIA!$DF$3:$DF$1339,0),COLUMN()-1),"")=0,"",IFERROR(INDEX((COPIA!$DA$3:$DE$1339),MATCH(ROWS(F$10:F384),COPIA!$DF$3:$DF$1339,0),COLUMN()-1),""))</f>
        <v/>
      </c>
    </row>
    <row r="385" spans="1:6" x14ac:dyDescent="0.3">
      <c r="A385" s="60" t="str">
        <f ca="1">COPIA!AC378</f>
        <v/>
      </c>
      <c r="B385" s="10" t="str">
        <f ca="1">IF(IFERROR(INDEX((COPIA!$DA$3:$DE$1339),MATCH(ROWS(B$10:B385),COPIA!$DF$3:$DF$1339,0),COLUMN()-1),"")&gt;=1,IFERROR(INDEX((COPIA!$DA$3:$DE$1339),MATCH(ROWS(B$10:B385),COPIA!$DF$3:$DF$1339,0),COLUMN()-1),""),"")</f>
        <v/>
      </c>
      <c r="C385" s="5" t="str">
        <f ca="1">SUBSTITUTE(IFERROR(INDEX((COPIA!$DA$3:$DE$1339),MATCH(ROWS(C$10:C385),COPIA!$DF$3:$DF$1339,0),COLUMN()-1),""),"MASTRO","")</f>
        <v/>
      </c>
      <c r="D385" s="136" t="str">
        <f ca="1">IF(IFERROR(INDEX((COPIA!$DA$3:$DE$1339),MATCH(ROWS(D$10:D385),COPIA!$DF$3:$DF$1339,0),COLUMN()-1),"")=0,"",IFERROR(INDEX((COPIA!$DA$3:$DE$1339),MATCH(ROWS(D$10:D385),COPIA!$DF$3:$DF$1339,0),COLUMN()-1),""))</f>
        <v/>
      </c>
      <c r="E385" s="9" t="str">
        <f ca="1">IF(IFERROR(INDEX((COPIA!$DA$3:$DE$1339),MATCH(ROWS(E$10:E385),COPIA!$DF$3:$DF$1339,0),COLUMN()-1),"")=0,"",IFERROR(INDEX((COPIA!$DA$3:$DE$1339),MATCH(ROWS(E$10:E385),COPIA!$DF$3:$DF$1339,0),COLUMN()-1),""))</f>
        <v/>
      </c>
      <c r="F385" s="6" t="str">
        <f ca="1">IF(IFERROR(INDEX((COPIA!$DA$3:$DE$1339),MATCH(ROWS(F$10:F385),COPIA!$DF$3:$DF$1339,0),COLUMN()-1),"")=0,"",IFERROR(INDEX((COPIA!$DA$3:$DE$1339),MATCH(ROWS(F$10:F385),COPIA!$DF$3:$DF$1339,0),COLUMN()-1),""))</f>
        <v/>
      </c>
    </row>
    <row r="386" spans="1:6" x14ac:dyDescent="0.3">
      <c r="A386" s="60" t="str">
        <f ca="1">COPIA!AC379</f>
        <v/>
      </c>
      <c r="B386" s="10" t="str">
        <f ca="1">IF(IFERROR(INDEX((COPIA!$DA$3:$DE$1339),MATCH(ROWS(B$10:B386),COPIA!$DF$3:$DF$1339,0),COLUMN()-1),"")&gt;=1,IFERROR(INDEX((COPIA!$DA$3:$DE$1339),MATCH(ROWS(B$10:B386),COPIA!$DF$3:$DF$1339,0),COLUMN()-1),""),"")</f>
        <v/>
      </c>
      <c r="C386" s="5" t="str">
        <f ca="1">SUBSTITUTE(IFERROR(INDEX((COPIA!$DA$3:$DE$1339),MATCH(ROWS(C$10:C386),COPIA!$DF$3:$DF$1339,0),COLUMN()-1),""),"MASTRO","")</f>
        <v/>
      </c>
      <c r="D386" s="136" t="str">
        <f ca="1">IF(IFERROR(INDEX((COPIA!$DA$3:$DE$1339),MATCH(ROWS(D$10:D386),COPIA!$DF$3:$DF$1339,0),COLUMN()-1),"")=0,"",IFERROR(INDEX((COPIA!$DA$3:$DE$1339),MATCH(ROWS(D$10:D386),COPIA!$DF$3:$DF$1339,0),COLUMN()-1),""))</f>
        <v/>
      </c>
      <c r="E386" s="9" t="str">
        <f ca="1">IF(IFERROR(INDEX((COPIA!$DA$3:$DE$1339),MATCH(ROWS(E$10:E386),COPIA!$DF$3:$DF$1339,0),COLUMN()-1),"")=0,"",IFERROR(INDEX((COPIA!$DA$3:$DE$1339),MATCH(ROWS(E$10:E386),COPIA!$DF$3:$DF$1339,0),COLUMN()-1),""))</f>
        <v/>
      </c>
      <c r="F386" s="6" t="str">
        <f ca="1">IF(IFERROR(INDEX((COPIA!$DA$3:$DE$1339),MATCH(ROWS(F$10:F386),COPIA!$DF$3:$DF$1339,0),COLUMN()-1),"")=0,"",IFERROR(INDEX((COPIA!$DA$3:$DE$1339),MATCH(ROWS(F$10:F386),COPIA!$DF$3:$DF$1339,0),COLUMN()-1),""))</f>
        <v/>
      </c>
    </row>
    <row r="387" spans="1:6" x14ac:dyDescent="0.3">
      <c r="A387" s="60" t="str">
        <f ca="1">COPIA!AC380</f>
        <v/>
      </c>
      <c r="B387" s="10" t="str">
        <f ca="1">IF(IFERROR(INDEX((COPIA!$DA$3:$DE$1339),MATCH(ROWS(B$10:B387),COPIA!$DF$3:$DF$1339,0),COLUMN()-1),"")&gt;=1,IFERROR(INDEX((COPIA!$DA$3:$DE$1339),MATCH(ROWS(B$10:B387),COPIA!$DF$3:$DF$1339,0),COLUMN()-1),""),"")</f>
        <v/>
      </c>
      <c r="C387" s="5" t="str">
        <f ca="1">SUBSTITUTE(IFERROR(INDEX((COPIA!$DA$3:$DE$1339),MATCH(ROWS(C$10:C387),COPIA!$DF$3:$DF$1339,0),COLUMN()-1),""),"MASTRO","")</f>
        <v/>
      </c>
      <c r="D387" s="136" t="str">
        <f ca="1">IF(IFERROR(INDEX((COPIA!$DA$3:$DE$1339),MATCH(ROWS(D$10:D387),COPIA!$DF$3:$DF$1339,0),COLUMN()-1),"")=0,"",IFERROR(INDEX((COPIA!$DA$3:$DE$1339),MATCH(ROWS(D$10:D387),COPIA!$DF$3:$DF$1339,0),COLUMN()-1),""))</f>
        <v/>
      </c>
      <c r="E387" s="9" t="str">
        <f ca="1">IF(IFERROR(INDEX((COPIA!$DA$3:$DE$1339),MATCH(ROWS(E$10:E387),COPIA!$DF$3:$DF$1339,0),COLUMN()-1),"")=0,"",IFERROR(INDEX((COPIA!$DA$3:$DE$1339),MATCH(ROWS(E$10:E387),COPIA!$DF$3:$DF$1339,0),COLUMN()-1),""))</f>
        <v/>
      </c>
      <c r="F387" s="6" t="str">
        <f ca="1">IF(IFERROR(INDEX((COPIA!$DA$3:$DE$1339),MATCH(ROWS(F$10:F387),COPIA!$DF$3:$DF$1339,0),COLUMN()-1),"")=0,"",IFERROR(INDEX((COPIA!$DA$3:$DE$1339),MATCH(ROWS(F$10:F387),COPIA!$DF$3:$DF$1339,0),COLUMN()-1),""))</f>
        <v/>
      </c>
    </row>
    <row r="388" spans="1:6" x14ac:dyDescent="0.3">
      <c r="A388" s="60" t="str">
        <f ca="1">COPIA!AC381</f>
        <v/>
      </c>
      <c r="B388" s="10" t="str">
        <f ca="1">IF(IFERROR(INDEX((COPIA!$DA$3:$DE$1339),MATCH(ROWS(B$10:B388),COPIA!$DF$3:$DF$1339,0),COLUMN()-1),"")&gt;=1,IFERROR(INDEX((COPIA!$DA$3:$DE$1339),MATCH(ROWS(B$10:B388),COPIA!$DF$3:$DF$1339,0),COLUMN()-1),""),"")</f>
        <v/>
      </c>
      <c r="C388" s="5" t="str">
        <f ca="1">SUBSTITUTE(IFERROR(INDEX((COPIA!$DA$3:$DE$1339),MATCH(ROWS(C$10:C388),COPIA!$DF$3:$DF$1339,0),COLUMN()-1),""),"MASTRO","")</f>
        <v/>
      </c>
      <c r="D388" s="136" t="str">
        <f ca="1">IF(IFERROR(INDEX((COPIA!$DA$3:$DE$1339),MATCH(ROWS(D$10:D388),COPIA!$DF$3:$DF$1339,0),COLUMN()-1),"")=0,"",IFERROR(INDEX((COPIA!$DA$3:$DE$1339),MATCH(ROWS(D$10:D388),COPIA!$DF$3:$DF$1339,0),COLUMN()-1),""))</f>
        <v/>
      </c>
      <c r="E388" s="9" t="str">
        <f ca="1">IF(IFERROR(INDEX((COPIA!$DA$3:$DE$1339),MATCH(ROWS(E$10:E388),COPIA!$DF$3:$DF$1339,0),COLUMN()-1),"")=0,"",IFERROR(INDEX((COPIA!$DA$3:$DE$1339),MATCH(ROWS(E$10:E388),COPIA!$DF$3:$DF$1339,0),COLUMN()-1),""))</f>
        <v/>
      </c>
      <c r="F388" s="6" t="str">
        <f ca="1">IF(IFERROR(INDEX((COPIA!$DA$3:$DE$1339),MATCH(ROWS(F$10:F388),COPIA!$DF$3:$DF$1339,0),COLUMN()-1),"")=0,"",IFERROR(INDEX((COPIA!$DA$3:$DE$1339),MATCH(ROWS(F$10:F388),COPIA!$DF$3:$DF$1339,0),COLUMN()-1),""))</f>
        <v/>
      </c>
    </row>
    <row r="389" spans="1:6" x14ac:dyDescent="0.3">
      <c r="A389" s="60" t="str">
        <f ca="1">COPIA!AC382</f>
        <v/>
      </c>
      <c r="B389" s="10" t="str">
        <f ca="1">IF(IFERROR(INDEX((COPIA!$DA$3:$DE$1339),MATCH(ROWS(B$10:B389),COPIA!$DF$3:$DF$1339,0),COLUMN()-1),"")&gt;=1,IFERROR(INDEX((COPIA!$DA$3:$DE$1339),MATCH(ROWS(B$10:B389),COPIA!$DF$3:$DF$1339,0),COLUMN()-1),""),"")</f>
        <v/>
      </c>
      <c r="C389" s="5" t="str">
        <f ca="1">SUBSTITUTE(IFERROR(INDEX((COPIA!$DA$3:$DE$1339),MATCH(ROWS(C$10:C389),COPIA!$DF$3:$DF$1339,0),COLUMN()-1),""),"MASTRO","")</f>
        <v/>
      </c>
      <c r="D389" s="136" t="str">
        <f ca="1">IF(IFERROR(INDEX((COPIA!$DA$3:$DE$1339),MATCH(ROWS(D$10:D389),COPIA!$DF$3:$DF$1339,0),COLUMN()-1),"")=0,"",IFERROR(INDEX((COPIA!$DA$3:$DE$1339),MATCH(ROWS(D$10:D389),COPIA!$DF$3:$DF$1339,0),COLUMN()-1),""))</f>
        <v/>
      </c>
      <c r="E389" s="9" t="str">
        <f ca="1">IF(IFERROR(INDEX((COPIA!$DA$3:$DE$1339),MATCH(ROWS(E$10:E389),COPIA!$DF$3:$DF$1339,0),COLUMN()-1),"")=0,"",IFERROR(INDEX((COPIA!$DA$3:$DE$1339),MATCH(ROWS(E$10:E389),COPIA!$DF$3:$DF$1339,0),COLUMN()-1),""))</f>
        <v/>
      </c>
      <c r="F389" s="6" t="str">
        <f ca="1">IF(IFERROR(INDEX((COPIA!$DA$3:$DE$1339),MATCH(ROWS(F$10:F389),COPIA!$DF$3:$DF$1339,0),COLUMN()-1),"")=0,"",IFERROR(INDEX((COPIA!$DA$3:$DE$1339),MATCH(ROWS(F$10:F389),COPIA!$DF$3:$DF$1339,0),COLUMN()-1),""))</f>
        <v/>
      </c>
    </row>
    <row r="390" spans="1:6" x14ac:dyDescent="0.3">
      <c r="A390" s="60" t="str">
        <f ca="1">COPIA!AC383</f>
        <v/>
      </c>
      <c r="B390" s="10" t="str">
        <f ca="1">IF(IFERROR(INDEX((COPIA!$DA$3:$DE$1339),MATCH(ROWS(B$10:B390),COPIA!$DF$3:$DF$1339,0),COLUMN()-1),"")&gt;=1,IFERROR(INDEX((COPIA!$DA$3:$DE$1339),MATCH(ROWS(B$10:B390),COPIA!$DF$3:$DF$1339,0),COLUMN()-1),""),"")</f>
        <v/>
      </c>
      <c r="C390" s="5" t="str">
        <f ca="1">SUBSTITUTE(IFERROR(INDEX((COPIA!$DA$3:$DE$1339),MATCH(ROWS(C$10:C390),COPIA!$DF$3:$DF$1339,0),COLUMN()-1),""),"MASTRO","")</f>
        <v/>
      </c>
      <c r="D390" s="136" t="str">
        <f ca="1">IF(IFERROR(INDEX((COPIA!$DA$3:$DE$1339),MATCH(ROWS(D$10:D390),COPIA!$DF$3:$DF$1339,0),COLUMN()-1),"")=0,"",IFERROR(INDEX((COPIA!$DA$3:$DE$1339),MATCH(ROWS(D$10:D390),COPIA!$DF$3:$DF$1339,0),COLUMN()-1),""))</f>
        <v/>
      </c>
      <c r="E390" s="9" t="str">
        <f ca="1">IF(IFERROR(INDEX((COPIA!$DA$3:$DE$1339),MATCH(ROWS(E$10:E390),COPIA!$DF$3:$DF$1339,0),COLUMN()-1),"")=0,"",IFERROR(INDEX((COPIA!$DA$3:$DE$1339),MATCH(ROWS(E$10:E390),COPIA!$DF$3:$DF$1339,0),COLUMN()-1),""))</f>
        <v/>
      </c>
      <c r="F390" s="6" t="str">
        <f ca="1">IF(IFERROR(INDEX((COPIA!$DA$3:$DE$1339),MATCH(ROWS(F$10:F390),COPIA!$DF$3:$DF$1339,0),COLUMN()-1),"")=0,"",IFERROR(INDEX((COPIA!$DA$3:$DE$1339),MATCH(ROWS(F$10:F390),COPIA!$DF$3:$DF$1339,0),COLUMN()-1),""))</f>
        <v/>
      </c>
    </row>
    <row r="391" spans="1:6" x14ac:dyDescent="0.3">
      <c r="A391" s="60" t="str">
        <f ca="1">COPIA!AC384</f>
        <v/>
      </c>
      <c r="B391" s="10" t="str">
        <f ca="1">IF(IFERROR(INDEX((COPIA!$DA$3:$DE$1339),MATCH(ROWS(B$10:B391),COPIA!$DF$3:$DF$1339,0),COLUMN()-1),"")&gt;=1,IFERROR(INDEX((COPIA!$DA$3:$DE$1339),MATCH(ROWS(B$10:B391),COPIA!$DF$3:$DF$1339,0),COLUMN()-1),""),"")</f>
        <v/>
      </c>
      <c r="C391" s="5" t="str">
        <f ca="1">SUBSTITUTE(IFERROR(INDEX((COPIA!$DA$3:$DE$1339),MATCH(ROWS(C$10:C391),COPIA!$DF$3:$DF$1339,0),COLUMN()-1),""),"MASTRO","")</f>
        <v/>
      </c>
      <c r="D391" s="136" t="str">
        <f ca="1">IF(IFERROR(INDEX((COPIA!$DA$3:$DE$1339),MATCH(ROWS(D$10:D391),COPIA!$DF$3:$DF$1339,0),COLUMN()-1),"")=0,"",IFERROR(INDEX((COPIA!$DA$3:$DE$1339),MATCH(ROWS(D$10:D391),COPIA!$DF$3:$DF$1339,0),COLUMN()-1),""))</f>
        <v/>
      </c>
      <c r="E391" s="9" t="str">
        <f ca="1">IF(IFERROR(INDEX((COPIA!$DA$3:$DE$1339),MATCH(ROWS(E$10:E391),COPIA!$DF$3:$DF$1339,0),COLUMN()-1),"")=0,"",IFERROR(INDEX((COPIA!$DA$3:$DE$1339),MATCH(ROWS(E$10:E391),COPIA!$DF$3:$DF$1339,0),COLUMN()-1),""))</f>
        <v/>
      </c>
      <c r="F391" s="6" t="str">
        <f ca="1">IF(IFERROR(INDEX((COPIA!$DA$3:$DE$1339),MATCH(ROWS(F$10:F391),COPIA!$DF$3:$DF$1339,0),COLUMN()-1),"")=0,"",IFERROR(INDEX((COPIA!$DA$3:$DE$1339),MATCH(ROWS(F$10:F391),COPIA!$DF$3:$DF$1339,0),COLUMN()-1),""))</f>
        <v/>
      </c>
    </row>
    <row r="392" spans="1:6" x14ac:dyDescent="0.3">
      <c r="A392" s="60" t="str">
        <f ca="1">COPIA!AC385</f>
        <v/>
      </c>
      <c r="B392" s="10" t="str">
        <f ca="1">IF(IFERROR(INDEX((COPIA!$DA$3:$DE$1339),MATCH(ROWS(B$10:B392),COPIA!$DF$3:$DF$1339,0),COLUMN()-1),"")&gt;=1,IFERROR(INDEX((COPIA!$DA$3:$DE$1339),MATCH(ROWS(B$10:B392),COPIA!$DF$3:$DF$1339,0),COLUMN()-1),""),"")</f>
        <v/>
      </c>
      <c r="C392" s="5" t="str">
        <f ca="1">SUBSTITUTE(IFERROR(INDEX((COPIA!$DA$3:$DE$1339),MATCH(ROWS(C$10:C392),COPIA!$DF$3:$DF$1339,0),COLUMN()-1),""),"MASTRO","")</f>
        <v/>
      </c>
      <c r="D392" s="136" t="str">
        <f ca="1">IF(IFERROR(INDEX((COPIA!$DA$3:$DE$1339),MATCH(ROWS(D$10:D392),COPIA!$DF$3:$DF$1339,0),COLUMN()-1),"")=0,"",IFERROR(INDEX((COPIA!$DA$3:$DE$1339),MATCH(ROWS(D$10:D392),COPIA!$DF$3:$DF$1339,0),COLUMN()-1),""))</f>
        <v/>
      </c>
      <c r="E392" s="9" t="str">
        <f ca="1">IF(IFERROR(INDEX((COPIA!$DA$3:$DE$1339),MATCH(ROWS(E$10:E392),COPIA!$DF$3:$DF$1339,0),COLUMN()-1),"")=0,"",IFERROR(INDEX((COPIA!$DA$3:$DE$1339),MATCH(ROWS(E$10:E392),COPIA!$DF$3:$DF$1339,0),COLUMN()-1),""))</f>
        <v/>
      </c>
      <c r="F392" s="6" t="str">
        <f ca="1">IF(IFERROR(INDEX((COPIA!$DA$3:$DE$1339),MATCH(ROWS(F$10:F392),COPIA!$DF$3:$DF$1339,0),COLUMN()-1),"")=0,"",IFERROR(INDEX((COPIA!$DA$3:$DE$1339),MATCH(ROWS(F$10:F392),COPIA!$DF$3:$DF$1339,0),COLUMN()-1),""))</f>
        <v/>
      </c>
    </row>
    <row r="393" spans="1:6" x14ac:dyDescent="0.3">
      <c r="A393" s="60" t="str">
        <f ca="1">COPIA!AC386</f>
        <v/>
      </c>
      <c r="B393" s="10" t="str">
        <f ca="1">IF(IFERROR(INDEX((COPIA!$DA$3:$DE$1339),MATCH(ROWS(B$10:B393),COPIA!$DF$3:$DF$1339,0),COLUMN()-1),"")&gt;=1,IFERROR(INDEX((COPIA!$DA$3:$DE$1339),MATCH(ROWS(B$10:B393),COPIA!$DF$3:$DF$1339,0),COLUMN()-1),""),"")</f>
        <v/>
      </c>
      <c r="C393" s="5" t="str">
        <f ca="1">SUBSTITUTE(IFERROR(INDEX((COPIA!$DA$3:$DE$1339),MATCH(ROWS(C$10:C393),COPIA!$DF$3:$DF$1339,0),COLUMN()-1),""),"MASTRO","")</f>
        <v/>
      </c>
      <c r="D393" s="136" t="str">
        <f ca="1">IF(IFERROR(INDEX((COPIA!$DA$3:$DE$1339),MATCH(ROWS(D$10:D393),COPIA!$DF$3:$DF$1339,0),COLUMN()-1),"")=0,"",IFERROR(INDEX((COPIA!$DA$3:$DE$1339),MATCH(ROWS(D$10:D393),COPIA!$DF$3:$DF$1339,0),COLUMN()-1),""))</f>
        <v/>
      </c>
      <c r="E393" s="9" t="str">
        <f ca="1">IF(IFERROR(INDEX((COPIA!$DA$3:$DE$1339),MATCH(ROWS(E$10:E393),COPIA!$DF$3:$DF$1339,0),COLUMN()-1),"")=0,"",IFERROR(INDEX((COPIA!$DA$3:$DE$1339),MATCH(ROWS(E$10:E393),COPIA!$DF$3:$DF$1339,0),COLUMN()-1),""))</f>
        <v/>
      </c>
      <c r="F393" s="6" t="str">
        <f ca="1">IF(IFERROR(INDEX((COPIA!$DA$3:$DE$1339),MATCH(ROWS(F$10:F393),COPIA!$DF$3:$DF$1339,0),COLUMN()-1),"")=0,"",IFERROR(INDEX((COPIA!$DA$3:$DE$1339),MATCH(ROWS(F$10:F393),COPIA!$DF$3:$DF$1339,0),COLUMN()-1),""))</f>
        <v/>
      </c>
    </row>
    <row r="394" spans="1:6" x14ac:dyDescent="0.3">
      <c r="A394" s="60" t="str">
        <f ca="1">COPIA!AC387</f>
        <v/>
      </c>
      <c r="B394" s="10" t="str">
        <f ca="1">IF(IFERROR(INDEX((COPIA!$DA$3:$DE$1339),MATCH(ROWS(B$10:B394),COPIA!$DF$3:$DF$1339,0),COLUMN()-1),"")&gt;=1,IFERROR(INDEX((COPIA!$DA$3:$DE$1339),MATCH(ROWS(B$10:B394),COPIA!$DF$3:$DF$1339,0),COLUMN()-1),""),"")</f>
        <v/>
      </c>
      <c r="C394" s="5" t="str">
        <f ca="1">SUBSTITUTE(IFERROR(INDEX((COPIA!$DA$3:$DE$1339),MATCH(ROWS(C$10:C394),COPIA!$DF$3:$DF$1339,0),COLUMN()-1),""),"MASTRO","")</f>
        <v/>
      </c>
      <c r="D394" s="136" t="str">
        <f ca="1">IF(IFERROR(INDEX((COPIA!$DA$3:$DE$1339),MATCH(ROWS(D$10:D394),COPIA!$DF$3:$DF$1339,0),COLUMN()-1),"")=0,"",IFERROR(INDEX((COPIA!$DA$3:$DE$1339),MATCH(ROWS(D$10:D394),COPIA!$DF$3:$DF$1339,0),COLUMN()-1),""))</f>
        <v/>
      </c>
      <c r="E394" s="9" t="str">
        <f ca="1">IF(IFERROR(INDEX((COPIA!$DA$3:$DE$1339),MATCH(ROWS(E$10:E394),COPIA!$DF$3:$DF$1339,0),COLUMN()-1),"")=0,"",IFERROR(INDEX((COPIA!$DA$3:$DE$1339),MATCH(ROWS(E$10:E394),COPIA!$DF$3:$DF$1339,0),COLUMN()-1),""))</f>
        <v/>
      </c>
      <c r="F394" s="6" t="str">
        <f ca="1">IF(IFERROR(INDEX((COPIA!$DA$3:$DE$1339),MATCH(ROWS(F$10:F394),COPIA!$DF$3:$DF$1339,0),COLUMN()-1),"")=0,"",IFERROR(INDEX((COPIA!$DA$3:$DE$1339),MATCH(ROWS(F$10:F394),COPIA!$DF$3:$DF$1339,0),COLUMN()-1),""))</f>
        <v/>
      </c>
    </row>
    <row r="395" spans="1:6" x14ac:dyDescent="0.3">
      <c r="A395" s="60" t="str">
        <f ca="1">COPIA!AC388</f>
        <v/>
      </c>
      <c r="B395" s="10" t="str">
        <f ca="1">IF(IFERROR(INDEX((COPIA!$DA$3:$DE$1339),MATCH(ROWS(B$10:B395),COPIA!$DF$3:$DF$1339,0),COLUMN()-1),"")&gt;=1,IFERROR(INDEX((COPIA!$DA$3:$DE$1339),MATCH(ROWS(B$10:B395),COPIA!$DF$3:$DF$1339,0),COLUMN()-1),""),"")</f>
        <v/>
      </c>
      <c r="C395" s="5" t="str">
        <f ca="1">SUBSTITUTE(IFERROR(INDEX((COPIA!$DA$3:$DE$1339),MATCH(ROWS(C$10:C395),COPIA!$DF$3:$DF$1339,0),COLUMN()-1),""),"MASTRO","")</f>
        <v/>
      </c>
      <c r="D395" s="136" t="str">
        <f ca="1">IF(IFERROR(INDEX((COPIA!$DA$3:$DE$1339),MATCH(ROWS(D$10:D395),COPIA!$DF$3:$DF$1339,0),COLUMN()-1),"")=0,"",IFERROR(INDEX((COPIA!$DA$3:$DE$1339),MATCH(ROWS(D$10:D395),COPIA!$DF$3:$DF$1339,0),COLUMN()-1),""))</f>
        <v/>
      </c>
      <c r="E395" s="9" t="str">
        <f ca="1">IF(IFERROR(INDEX((COPIA!$DA$3:$DE$1339),MATCH(ROWS(E$10:E395),COPIA!$DF$3:$DF$1339,0),COLUMN()-1),"")=0,"",IFERROR(INDEX((COPIA!$DA$3:$DE$1339),MATCH(ROWS(E$10:E395),COPIA!$DF$3:$DF$1339,0),COLUMN()-1),""))</f>
        <v/>
      </c>
      <c r="F395" s="6" t="str">
        <f ca="1">IF(IFERROR(INDEX((COPIA!$DA$3:$DE$1339),MATCH(ROWS(F$10:F395),COPIA!$DF$3:$DF$1339,0),COLUMN()-1),"")=0,"",IFERROR(INDEX((COPIA!$DA$3:$DE$1339),MATCH(ROWS(F$10:F395),COPIA!$DF$3:$DF$1339,0),COLUMN()-1),""))</f>
        <v/>
      </c>
    </row>
    <row r="396" spans="1:6" x14ac:dyDescent="0.3">
      <c r="A396" s="60" t="str">
        <f ca="1">COPIA!AC389</f>
        <v/>
      </c>
      <c r="B396" s="10" t="str">
        <f ca="1">IF(IFERROR(INDEX((COPIA!$DA$3:$DE$1339),MATCH(ROWS(B$10:B396),COPIA!$DF$3:$DF$1339,0),COLUMN()-1),"")&gt;=1,IFERROR(INDEX((COPIA!$DA$3:$DE$1339),MATCH(ROWS(B$10:B396),COPIA!$DF$3:$DF$1339,0),COLUMN()-1),""),"")</f>
        <v/>
      </c>
      <c r="C396" s="5" t="str">
        <f ca="1">SUBSTITUTE(IFERROR(INDEX((COPIA!$DA$3:$DE$1339),MATCH(ROWS(C$10:C396),COPIA!$DF$3:$DF$1339,0),COLUMN()-1),""),"MASTRO","")</f>
        <v/>
      </c>
      <c r="D396" s="136" t="str">
        <f ca="1">IF(IFERROR(INDEX((COPIA!$DA$3:$DE$1339),MATCH(ROWS(D$10:D396),COPIA!$DF$3:$DF$1339,0),COLUMN()-1),"")=0,"",IFERROR(INDEX((COPIA!$DA$3:$DE$1339),MATCH(ROWS(D$10:D396),COPIA!$DF$3:$DF$1339,0),COLUMN()-1),""))</f>
        <v/>
      </c>
      <c r="E396" s="9" t="str">
        <f ca="1">IF(IFERROR(INDEX((COPIA!$DA$3:$DE$1339),MATCH(ROWS(E$10:E396),COPIA!$DF$3:$DF$1339,0),COLUMN()-1),"")=0,"",IFERROR(INDEX((COPIA!$DA$3:$DE$1339),MATCH(ROWS(E$10:E396),COPIA!$DF$3:$DF$1339,0),COLUMN()-1),""))</f>
        <v/>
      </c>
      <c r="F396" s="6" t="str">
        <f ca="1">IF(IFERROR(INDEX((COPIA!$DA$3:$DE$1339),MATCH(ROWS(F$10:F396),COPIA!$DF$3:$DF$1339,0),COLUMN()-1),"")=0,"",IFERROR(INDEX((COPIA!$DA$3:$DE$1339),MATCH(ROWS(F$10:F396),COPIA!$DF$3:$DF$1339,0),COLUMN()-1),""))</f>
        <v/>
      </c>
    </row>
    <row r="397" spans="1:6" x14ac:dyDescent="0.3">
      <c r="A397" s="60" t="str">
        <f ca="1">COPIA!AC390</f>
        <v/>
      </c>
      <c r="B397" s="10" t="str">
        <f ca="1">IF(IFERROR(INDEX((COPIA!$DA$3:$DE$1339),MATCH(ROWS(B$10:B397),COPIA!$DF$3:$DF$1339,0),COLUMN()-1),"")&gt;=1,IFERROR(INDEX((COPIA!$DA$3:$DE$1339),MATCH(ROWS(B$10:B397),COPIA!$DF$3:$DF$1339,0),COLUMN()-1),""),"")</f>
        <v/>
      </c>
      <c r="C397" s="5" t="str">
        <f ca="1">SUBSTITUTE(IFERROR(INDEX((COPIA!$DA$3:$DE$1339),MATCH(ROWS(C$10:C397),COPIA!$DF$3:$DF$1339,0),COLUMN()-1),""),"MASTRO","")</f>
        <v/>
      </c>
      <c r="D397" s="136" t="str">
        <f ca="1">IF(IFERROR(INDEX((COPIA!$DA$3:$DE$1339),MATCH(ROWS(D$10:D397),COPIA!$DF$3:$DF$1339,0),COLUMN()-1),"")=0,"",IFERROR(INDEX((COPIA!$DA$3:$DE$1339),MATCH(ROWS(D$10:D397),COPIA!$DF$3:$DF$1339,0),COLUMN()-1),""))</f>
        <v/>
      </c>
      <c r="E397" s="9" t="str">
        <f ca="1">IF(IFERROR(INDEX((COPIA!$DA$3:$DE$1339),MATCH(ROWS(E$10:E397),COPIA!$DF$3:$DF$1339,0),COLUMN()-1),"")=0,"",IFERROR(INDEX((COPIA!$DA$3:$DE$1339),MATCH(ROWS(E$10:E397),COPIA!$DF$3:$DF$1339,0),COLUMN()-1),""))</f>
        <v/>
      </c>
      <c r="F397" s="6" t="str">
        <f ca="1">IF(IFERROR(INDEX((COPIA!$DA$3:$DE$1339),MATCH(ROWS(F$10:F397),COPIA!$DF$3:$DF$1339,0),COLUMN()-1),"")=0,"",IFERROR(INDEX((COPIA!$DA$3:$DE$1339),MATCH(ROWS(F$10:F397),COPIA!$DF$3:$DF$1339,0),COLUMN()-1),""))</f>
        <v/>
      </c>
    </row>
    <row r="398" spans="1:6" x14ac:dyDescent="0.3">
      <c r="A398" s="60" t="str">
        <f ca="1">COPIA!AC391</f>
        <v/>
      </c>
      <c r="B398" s="10" t="str">
        <f ca="1">IF(IFERROR(INDEX((COPIA!$DA$3:$DE$1339),MATCH(ROWS(B$10:B398),COPIA!$DF$3:$DF$1339,0),COLUMN()-1),"")&gt;=1,IFERROR(INDEX((COPIA!$DA$3:$DE$1339),MATCH(ROWS(B$10:B398),COPIA!$DF$3:$DF$1339,0),COLUMN()-1),""),"")</f>
        <v/>
      </c>
      <c r="C398" s="5" t="str">
        <f ca="1">SUBSTITUTE(IFERROR(INDEX((COPIA!$DA$3:$DE$1339),MATCH(ROWS(C$10:C398),COPIA!$DF$3:$DF$1339,0),COLUMN()-1),""),"MASTRO","")</f>
        <v/>
      </c>
      <c r="D398" s="136" t="str">
        <f ca="1">IF(IFERROR(INDEX((COPIA!$DA$3:$DE$1339),MATCH(ROWS(D$10:D398),COPIA!$DF$3:$DF$1339,0),COLUMN()-1),"")=0,"",IFERROR(INDEX((COPIA!$DA$3:$DE$1339),MATCH(ROWS(D$10:D398),COPIA!$DF$3:$DF$1339,0),COLUMN()-1),""))</f>
        <v/>
      </c>
      <c r="E398" s="9" t="str">
        <f ca="1">IF(IFERROR(INDEX((COPIA!$DA$3:$DE$1339),MATCH(ROWS(E$10:E398),COPIA!$DF$3:$DF$1339,0),COLUMN()-1),"")=0,"",IFERROR(INDEX((COPIA!$DA$3:$DE$1339),MATCH(ROWS(E$10:E398),COPIA!$DF$3:$DF$1339,0),COLUMN()-1),""))</f>
        <v/>
      </c>
      <c r="F398" s="6" t="str">
        <f ca="1">IF(IFERROR(INDEX((COPIA!$DA$3:$DE$1339),MATCH(ROWS(F$10:F398),COPIA!$DF$3:$DF$1339,0),COLUMN()-1),"")=0,"",IFERROR(INDEX((COPIA!$DA$3:$DE$1339),MATCH(ROWS(F$10:F398),COPIA!$DF$3:$DF$1339,0),COLUMN()-1),""))</f>
        <v/>
      </c>
    </row>
    <row r="399" spans="1:6" x14ac:dyDescent="0.3">
      <c r="A399" s="60" t="str">
        <f ca="1">COPIA!AC392</f>
        <v/>
      </c>
      <c r="B399" s="10" t="str">
        <f ca="1">IF(IFERROR(INDEX((COPIA!$DA$3:$DE$1339),MATCH(ROWS(B$10:B399),COPIA!$DF$3:$DF$1339,0),COLUMN()-1),"")&gt;=1,IFERROR(INDEX((COPIA!$DA$3:$DE$1339),MATCH(ROWS(B$10:B399),COPIA!$DF$3:$DF$1339,0),COLUMN()-1),""),"")</f>
        <v/>
      </c>
      <c r="C399" s="5" t="str">
        <f ca="1">SUBSTITUTE(IFERROR(INDEX((COPIA!$DA$3:$DE$1339),MATCH(ROWS(C$10:C399),COPIA!$DF$3:$DF$1339,0),COLUMN()-1),""),"MASTRO","")</f>
        <v/>
      </c>
      <c r="D399" s="136" t="str">
        <f ca="1">IF(IFERROR(INDEX((COPIA!$DA$3:$DE$1339),MATCH(ROWS(D$10:D399),COPIA!$DF$3:$DF$1339,0),COLUMN()-1),"")=0,"",IFERROR(INDEX((COPIA!$DA$3:$DE$1339),MATCH(ROWS(D$10:D399),COPIA!$DF$3:$DF$1339,0),COLUMN()-1),""))</f>
        <v/>
      </c>
      <c r="E399" s="9" t="str">
        <f ca="1">IF(IFERROR(INDEX((COPIA!$DA$3:$DE$1339),MATCH(ROWS(E$10:E399),COPIA!$DF$3:$DF$1339,0),COLUMN()-1),"")=0,"",IFERROR(INDEX((COPIA!$DA$3:$DE$1339),MATCH(ROWS(E$10:E399),COPIA!$DF$3:$DF$1339,0),COLUMN()-1),""))</f>
        <v/>
      </c>
      <c r="F399" s="6" t="str">
        <f ca="1">IF(IFERROR(INDEX((COPIA!$DA$3:$DE$1339),MATCH(ROWS(F$10:F399),COPIA!$DF$3:$DF$1339,0),COLUMN()-1),"")=0,"",IFERROR(INDEX((COPIA!$DA$3:$DE$1339),MATCH(ROWS(F$10:F399),COPIA!$DF$3:$DF$1339,0),COLUMN()-1),""))</f>
        <v/>
      </c>
    </row>
    <row r="400" spans="1:6" x14ac:dyDescent="0.3">
      <c r="A400" s="60" t="str">
        <f ca="1">COPIA!AC393</f>
        <v/>
      </c>
      <c r="B400" s="10" t="str">
        <f ca="1">IF(IFERROR(INDEX((COPIA!$DA$3:$DE$1339),MATCH(ROWS(B$10:B400),COPIA!$DF$3:$DF$1339,0),COLUMN()-1),"")&gt;=1,IFERROR(INDEX((COPIA!$DA$3:$DE$1339),MATCH(ROWS(B$10:B400),COPIA!$DF$3:$DF$1339,0),COLUMN()-1),""),"")</f>
        <v/>
      </c>
      <c r="C400" s="5" t="str">
        <f ca="1">SUBSTITUTE(IFERROR(INDEX((COPIA!$DA$3:$DE$1339),MATCH(ROWS(C$10:C400),COPIA!$DF$3:$DF$1339,0),COLUMN()-1),""),"MASTRO","")</f>
        <v/>
      </c>
      <c r="D400" s="136" t="str">
        <f ca="1">IF(IFERROR(INDEX((COPIA!$DA$3:$DE$1339),MATCH(ROWS(D$10:D400),COPIA!$DF$3:$DF$1339,0),COLUMN()-1),"")=0,"",IFERROR(INDEX((COPIA!$DA$3:$DE$1339),MATCH(ROWS(D$10:D400),COPIA!$DF$3:$DF$1339,0),COLUMN()-1),""))</f>
        <v/>
      </c>
      <c r="E400" s="9" t="str">
        <f ca="1">IF(IFERROR(INDEX((COPIA!$DA$3:$DE$1339),MATCH(ROWS(E$10:E400),COPIA!$DF$3:$DF$1339,0),COLUMN()-1),"")=0,"",IFERROR(INDEX((COPIA!$DA$3:$DE$1339),MATCH(ROWS(E$10:E400),COPIA!$DF$3:$DF$1339,0),COLUMN()-1),""))</f>
        <v/>
      </c>
      <c r="F400" s="6" t="str">
        <f ca="1">IF(IFERROR(INDEX((COPIA!$DA$3:$DE$1339),MATCH(ROWS(F$10:F400),COPIA!$DF$3:$DF$1339,0),COLUMN()-1),"")=0,"",IFERROR(INDEX((COPIA!$DA$3:$DE$1339),MATCH(ROWS(F$10:F400),COPIA!$DF$3:$DF$1339,0),COLUMN()-1),""))</f>
        <v/>
      </c>
    </row>
    <row r="401" spans="1:6" x14ac:dyDescent="0.3">
      <c r="A401" s="60" t="str">
        <f ca="1">COPIA!AC394</f>
        <v/>
      </c>
      <c r="B401" s="10" t="str">
        <f ca="1">IF(IFERROR(INDEX((COPIA!$DA$3:$DE$1339),MATCH(ROWS(B$10:B401),COPIA!$DF$3:$DF$1339,0),COLUMN()-1),"")&gt;=1,IFERROR(INDEX((COPIA!$DA$3:$DE$1339),MATCH(ROWS(B$10:B401),COPIA!$DF$3:$DF$1339,0),COLUMN()-1),""),"")</f>
        <v/>
      </c>
      <c r="C401" s="5" t="str">
        <f ca="1">SUBSTITUTE(IFERROR(INDEX((COPIA!$DA$3:$DE$1339),MATCH(ROWS(C$10:C401),COPIA!$DF$3:$DF$1339,0),COLUMN()-1),""),"MASTRO","")</f>
        <v/>
      </c>
      <c r="D401" s="136" t="str">
        <f ca="1">IF(IFERROR(INDEX((COPIA!$DA$3:$DE$1339),MATCH(ROWS(D$10:D401),COPIA!$DF$3:$DF$1339,0),COLUMN()-1),"")=0,"",IFERROR(INDEX((COPIA!$DA$3:$DE$1339),MATCH(ROWS(D$10:D401),COPIA!$DF$3:$DF$1339,0),COLUMN()-1),""))</f>
        <v/>
      </c>
      <c r="E401" s="9" t="str">
        <f ca="1">IF(IFERROR(INDEX((COPIA!$DA$3:$DE$1339),MATCH(ROWS(E$10:E401),COPIA!$DF$3:$DF$1339,0),COLUMN()-1),"")=0,"",IFERROR(INDEX((COPIA!$DA$3:$DE$1339),MATCH(ROWS(E$10:E401),COPIA!$DF$3:$DF$1339,0),COLUMN()-1),""))</f>
        <v/>
      </c>
      <c r="F401" s="6" t="str">
        <f ca="1">IF(IFERROR(INDEX((COPIA!$DA$3:$DE$1339),MATCH(ROWS(F$10:F401),COPIA!$DF$3:$DF$1339,0),COLUMN()-1),"")=0,"",IFERROR(INDEX((COPIA!$DA$3:$DE$1339),MATCH(ROWS(F$10:F401),COPIA!$DF$3:$DF$1339,0),COLUMN()-1),""))</f>
        <v/>
      </c>
    </row>
    <row r="402" spans="1:6" x14ac:dyDescent="0.3">
      <c r="A402" s="60" t="str">
        <f ca="1">COPIA!AC395</f>
        <v/>
      </c>
      <c r="B402" s="10" t="str">
        <f ca="1">IF(IFERROR(INDEX((COPIA!$DA$3:$DE$1339),MATCH(ROWS(B$10:B402),COPIA!$DF$3:$DF$1339,0),COLUMN()-1),"")&gt;=1,IFERROR(INDEX((COPIA!$DA$3:$DE$1339),MATCH(ROWS(B$10:B402),COPIA!$DF$3:$DF$1339,0),COLUMN()-1),""),"")</f>
        <v/>
      </c>
      <c r="C402" s="5" t="str">
        <f ca="1">SUBSTITUTE(IFERROR(INDEX((COPIA!$DA$3:$DE$1339),MATCH(ROWS(C$10:C402),COPIA!$DF$3:$DF$1339,0),COLUMN()-1),""),"MASTRO","")</f>
        <v/>
      </c>
      <c r="D402" s="136" t="str">
        <f ca="1">IF(IFERROR(INDEX((COPIA!$DA$3:$DE$1339),MATCH(ROWS(D$10:D402),COPIA!$DF$3:$DF$1339,0),COLUMN()-1),"")=0,"",IFERROR(INDEX((COPIA!$DA$3:$DE$1339),MATCH(ROWS(D$10:D402),COPIA!$DF$3:$DF$1339,0),COLUMN()-1),""))</f>
        <v/>
      </c>
      <c r="E402" s="9" t="str">
        <f ca="1">IF(IFERROR(INDEX((COPIA!$DA$3:$DE$1339),MATCH(ROWS(E$10:E402),COPIA!$DF$3:$DF$1339,0),COLUMN()-1),"")=0,"",IFERROR(INDEX((COPIA!$DA$3:$DE$1339),MATCH(ROWS(E$10:E402),COPIA!$DF$3:$DF$1339,0),COLUMN()-1),""))</f>
        <v/>
      </c>
      <c r="F402" s="6" t="str">
        <f ca="1">IF(IFERROR(INDEX((COPIA!$DA$3:$DE$1339),MATCH(ROWS(F$10:F402),COPIA!$DF$3:$DF$1339,0),COLUMN()-1),"")=0,"",IFERROR(INDEX((COPIA!$DA$3:$DE$1339),MATCH(ROWS(F$10:F402),COPIA!$DF$3:$DF$1339,0),COLUMN()-1),""))</f>
        <v/>
      </c>
    </row>
    <row r="403" spans="1:6" x14ac:dyDescent="0.3">
      <c r="A403" s="60" t="str">
        <f ca="1">COPIA!AC396</f>
        <v/>
      </c>
      <c r="B403" s="10" t="str">
        <f ca="1">IF(IFERROR(INDEX((COPIA!$DA$3:$DE$1339),MATCH(ROWS(B$10:B403),COPIA!$DF$3:$DF$1339,0),COLUMN()-1),"")&gt;=1,IFERROR(INDEX((COPIA!$DA$3:$DE$1339),MATCH(ROWS(B$10:B403),COPIA!$DF$3:$DF$1339,0),COLUMN()-1),""),"")</f>
        <v/>
      </c>
      <c r="C403" s="5" t="str">
        <f ca="1">SUBSTITUTE(IFERROR(INDEX((COPIA!$DA$3:$DE$1339),MATCH(ROWS(C$10:C403),COPIA!$DF$3:$DF$1339,0),COLUMN()-1),""),"MASTRO","")</f>
        <v/>
      </c>
      <c r="D403" s="136" t="str">
        <f ca="1">IF(IFERROR(INDEX((COPIA!$DA$3:$DE$1339),MATCH(ROWS(D$10:D403),COPIA!$DF$3:$DF$1339,0),COLUMN()-1),"")=0,"",IFERROR(INDEX((COPIA!$DA$3:$DE$1339),MATCH(ROWS(D$10:D403),COPIA!$DF$3:$DF$1339,0),COLUMN()-1),""))</f>
        <v/>
      </c>
      <c r="E403" s="9" t="str">
        <f ca="1">IF(IFERROR(INDEX((COPIA!$DA$3:$DE$1339),MATCH(ROWS(E$10:E403),COPIA!$DF$3:$DF$1339,0),COLUMN()-1),"")=0,"",IFERROR(INDEX((COPIA!$DA$3:$DE$1339),MATCH(ROWS(E$10:E403),COPIA!$DF$3:$DF$1339,0),COLUMN()-1),""))</f>
        <v/>
      </c>
      <c r="F403" s="6" t="str">
        <f ca="1">IF(IFERROR(INDEX((COPIA!$DA$3:$DE$1339),MATCH(ROWS(F$10:F403),COPIA!$DF$3:$DF$1339,0),COLUMN()-1),"")=0,"",IFERROR(INDEX((COPIA!$DA$3:$DE$1339),MATCH(ROWS(F$10:F403),COPIA!$DF$3:$DF$1339,0),COLUMN()-1),""))</f>
        <v/>
      </c>
    </row>
    <row r="404" spans="1:6" x14ac:dyDescent="0.3">
      <c r="A404" s="60" t="str">
        <f ca="1">COPIA!AC397</f>
        <v/>
      </c>
      <c r="B404" s="10" t="str">
        <f ca="1">IF(IFERROR(INDEX((COPIA!$DA$3:$DE$1339),MATCH(ROWS(B$10:B404),COPIA!$DF$3:$DF$1339,0),COLUMN()-1),"")&gt;=1,IFERROR(INDEX((COPIA!$DA$3:$DE$1339),MATCH(ROWS(B$10:B404),COPIA!$DF$3:$DF$1339,0),COLUMN()-1),""),"")</f>
        <v/>
      </c>
      <c r="C404" s="5" t="str">
        <f ca="1">SUBSTITUTE(IFERROR(INDEX((COPIA!$DA$3:$DE$1339),MATCH(ROWS(C$10:C404),COPIA!$DF$3:$DF$1339,0),COLUMN()-1),""),"MASTRO","")</f>
        <v/>
      </c>
      <c r="D404" s="136" t="str">
        <f ca="1">IF(IFERROR(INDEX((COPIA!$DA$3:$DE$1339),MATCH(ROWS(D$10:D404),COPIA!$DF$3:$DF$1339,0),COLUMN()-1),"")=0,"",IFERROR(INDEX((COPIA!$DA$3:$DE$1339),MATCH(ROWS(D$10:D404),COPIA!$DF$3:$DF$1339,0),COLUMN()-1),""))</f>
        <v/>
      </c>
      <c r="E404" s="9" t="str">
        <f ca="1">IF(IFERROR(INDEX((COPIA!$DA$3:$DE$1339),MATCH(ROWS(E$10:E404),COPIA!$DF$3:$DF$1339,0),COLUMN()-1),"")=0,"",IFERROR(INDEX((COPIA!$DA$3:$DE$1339),MATCH(ROWS(E$10:E404),COPIA!$DF$3:$DF$1339,0),COLUMN()-1),""))</f>
        <v/>
      </c>
      <c r="F404" s="6" t="str">
        <f ca="1">IF(IFERROR(INDEX((COPIA!$DA$3:$DE$1339),MATCH(ROWS(F$10:F404),COPIA!$DF$3:$DF$1339,0),COLUMN()-1),"")=0,"",IFERROR(INDEX((COPIA!$DA$3:$DE$1339),MATCH(ROWS(F$10:F404),COPIA!$DF$3:$DF$1339,0),COLUMN()-1),""))</f>
        <v/>
      </c>
    </row>
    <row r="405" spans="1:6" x14ac:dyDescent="0.3">
      <c r="A405" s="60" t="str">
        <f ca="1">COPIA!AC398</f>
        <v/>
      </c>
      <c r="B405" s="10" t="str">
        <f ca="1">IF(IFERROR(INDEX((COPIA!$DA$3:$DE$1339),MATCH(ROWS(B$10:B405),COPIA!$DF$3:$DF$1339,0),COLUMN()-1),"")&gt;=1,IFERROR(INDEX((COPIA!$DA$3:$DE$1339),MATCH(ROWS(B$10:B405),COPIA!$DF$3:$DF$1339,0),COLUMN()-1),""),"")</f>
        <v/>
      </c>
      <c r="C405" s="5" t="str">
        <f ca="1">SUBSTITUTE(IFERROR(INDEX((COPIA!$DA$3:$DE$1339),MATCH(ROWS(C$10:C405),COPIA!$DF$3:$DF$1339,0),COLUMN()-1),""),"MASTRO","")</f>
        <v/>
      </c>
      <c r="D405" s="136" t="str">
        <f ca="1">IF(IFERROR(INDEX((COPIA!$DA$3:$DE$1339),MATCH(ROWS(D$10:D405),COPIA!$DF$3:$DF$1339,0),COLUMN()-1),"")=0,"",IFERROR(INDEX((COPIA!$DA$3:$DE$1339),MATCH(ROWS(D$10:D405),COPIA!$DF$3:$DF$1339,0),COLUMN()-1),""))</f>
        <v/>
      </c>
      <c r="E405" s="9" t="str">
        <f ca="1">IF(IFERROR(INDEX((COPIA!$DA$3:$DE$1339),MATCH(ROWS(E$10:E405),COPIA!$DF$3:$DF$1339,0),COLUMN()-1),"")=0,"",IFERROR(INDEX((COPIA!$DA$3:$DE$1339),MATCH(ROWS(E$10:E405),COPIA!$DF$3:$DF$1339,0),COLUMN()-1),""))</f>
        <v/>
      </c>
      <c r="F405" s="6" t="str">
        <f ca="1">IF(IFERROR(INDEX((COPIA!$DA$3:$DE$1339),MATCH(ROWS(F$10:F405),COPIA!$DF$3:$DF$1339,0),COLUMN()-1),"")=0,"",IFERROR(INDEX((COPIA!$DA$3:$DE$1339),MATCH(ROWS(F$10:F405),COPIA!$DF$3:$DF$1339,0),COLUMN()-1),""))</f>
        <v/>
      </c>
    </row>
    <row r="406" spans="1:6" x14ac:dyDescent="0.3">
      <c r="A406" s="60" t="str">
        <f ca="1">COPIA!AC399</f>
        <v/>
      </c>
      <c r="B406" s="10" t="str">
        <f ca="1">IF(IFERROR(INDEX((COPIA!$DA$3:$DE$1339),MATCH(ROWS(B$10:B406),COPIA!$DF$3:$DF$1339,0),COLUMN()-1),"")&gt;=1,IFERROR(INDEX((COPIA!$DA$3:$DE$1339),MATCH(ROWS(B$10:B406),COPIA!$DF$3:$DF$1339,0),COLUMN()-1),""),"")</f>
        <v/>
      </c>
      <c r="C406" s="5" t="str">
        <f ca="1">SUBSTITUTE(IFERROR(INDEX((COPIA!$DA$3:$DE$1339),MATCH(ROWS(C$10:C406),COPIA!$DF$3:$DF$1339,0),COLUMN()-1),""),"MASTRO","")</f>
        <v/>
      </c>
      <c r="D406" s="136" t="str">
        <f ca="1">IF(IFERROR(INDEX((COPIA!$DA$3:$DE$1339),MATCH(ROWS(D$10:D406),COPIA!$DF$3:$DF$1339,0),COLUMN()-1),"")=0,"",IFERROR(INDEX((COPIA!$DA$3:$DE$1339),MATCH(ROWS(D$10:D406),COPIA!$DF$3:$DF$1339,0),COLUMN()-1),""))</f>
        <v/>
      </c>
      <c r="E406" s="9" t="str">
        <f ca="1">IF(IFERROR(INDEX((COPIA!$DA$3:$DE$1339),MATCH(ROWS(E$10:E406),COPIA!$DF$3:$DF$1339,0),COLUMN()-1),"")=0,"",IFERROR(INDEX((COPIA!$DA$3:$DE$1339),MATCH(ROWS(E$10:E406),COPIA!$DF$3:$DF$1339,0),COLUMN()-1),""))</f>
        <v/>
      </c>
      <c r="F406" s="6" t="str">
        <f ca="1">IF(IFERROR(INDEX((COPIA!$DA$3:$DE$1339),MATCH(ROWS(F$10:F406),COPIA!$DF$3:$DF$1339,0),COLUMN()-1),"")=0,"",IFERROR(INDEX((COPIA!$DA$3:$DE$1339),MATCH(ROWS(F$10:F406),COPIA!$DF$3:$DF$1339,0),COLUMN()-1),""))</f>
        <v/>
      </c>
    </row>
    <row r="407" spans="1:6" x14ac:dyDescent="0.3">
      <c r="A407" s="60" t="str">
        <f ca="1">COPIA!AC400</f>
        <v/>
      </c>
      <c r="B407" s="10" t="str">
        <f ca="1">IF(IFERROR(INDEX((COPIA!$DA$3:$DE$1339),MATCH(ROWS(B$10:B407),COPIA!$DF$3:$DF$1339,0),COLUMN()-1),"")&gt;=1,IFERROR(INDEX((COPIA!$DA$3:$DE$1339),MATCH(ROWS(B$10:B407),COPIA!$DF$3:$DF$1339,0),COLUMN()-1),""),"")</f>
        <v/>
      </c>
      <c r="C407" s="5" t="str">
        <f ca="1">SUBSTITUTE(IFERROR(INDEX((COPIA!$DA$3:$DE$1339),MATCH(ROWS(C$10:C407),COPIA!$DF$3:$DF$1339,0),COLUMN()-1),""),"MASTRO","")</f>
        <v/>
      </c>
      <c r="D407" s="136" t="str">
        <f ca="1">IF(IFERROR(INDEX((COPIA!$DA$3:$DE$1339),MATCH(ROWS(D$10:D407),COPIA!$DF$3:$DF$1339,0),COLUMN()-1),"")=0,"",IFERROR(INDEX((COPIA!$DA$3:$DE$1339),MATCH(ROWS(D$10:D407),COPIA!$DF$3:$DF$1339,0),COLUMN()-1),""))</f>
        <v/>
      </c>
      <c r="E407" s="9" t="str">
        <f ca="1">IF(IFERROR(INDEX((COPIA!$DA$3:$DE$1339),MATCH(ROWS(E$10:E407),COPIA!$DF$3:$DF$1339,0),COLUMN()-1),"")=0,"",IFERROR(INDEX((COPIA!$DA$3:$DE$1339),MATCH(ROWS(E$10:E407),COPIA!$DF$3:$DF$1339,0),COLUMN()-1),""))</f>
        <v/>
      </c>
      <c r="F407" s="6" t="str">
        <f ca="1">IF(IFERROR(INDEX((COPIA!$DA$3:$DE$1339),MATCH(ROWS(F$10:F407),COPIA!$DF$3:$DF$1339,0),COLUMN()-1),"")=0,"",IFERROR(INDEX((COPIA!$DA$3:$DE$1339),MATCH(ROWS(F$10:F407),COPIA!$DF$3:$DF$1339,0),COLUMN()-1),""))</f>
        <v/>
      </c>
    </row>
    <row r="408" spans="1:6" x14ac:dyDescent="0.3">
      <c r="B408" s="10" t="str">
        <f ca="1">IF(IFERROR(INDEX((COPIA!$DA$3:$DE$1339),MATCH(ROWS(B$10:B408),COPIA!$DF$3:$DF$1339,0),COLUMN()-1),"")&gt;=1,IFERROR(INDEX((COPIA!$DA$3:$DE$1339),MATCH(ROWS(B$10:B408),COPIA!$DF$3:$DF$1339,0),COLUMN()-1),""),"")</f>
        <v/>
      </c>
      <c r="C408" s="5" t="str">
        <f ca="1">SUBSTITUTE(IFERROR(INDEX((COPIA!$DA$3:$DE$1339),MATCH(ROWS(C$10:C408),COPIA!$DF$3:$DF$1339,0),COLUMN()-1),""),"MASTRO","")</f>
        <v/>
      </c>
      <c r="D408" s="136" t="str">
        <f ca="1">IF(IFERROR(INDEX((COPIA!$DA$3:$DE$1339),MATCH(ROWS(D$10:D408),COPIA!$DF$3:$DF$1339,0),COLUMN()-1),"")=0,"",IFERROR(INDEX((COPIA!$DA$3:$DE$1339),MATCH(ROWS(D$10:D408),COPIA!$DF$3:$DF$1339,0),COLUMN()-1),""))</f>
        <v/>
      </c>
      <c r="E408" s="9" t="str">
        <f ca="1">IF(IFERROR(INDEX((COPIA!$DA$3:$DE$1339),MATCH(ROWS(E$10:E408),COPIA!$DF$3:$DF$1339,0),COLUMN()-1),"")=0,"",IFERROR(INDEX((COPIA!$DA$3:$DE$1339),MATCH(ROWS(E$10:E408),COPIA!$DF$3:$DF$1339,0),COLUMN()-1),""))</f>
        <v/>
      </c>
      <c r="F408" s="6" t="str">
        <f ca="1">IF(IFERROR(INDEX((COPIA!$DA$3:$DE$1339),MATCH(ROWS(F$10:F408),COPIA!$DF$3:$DF$1339,0),COLUMN()-1),"")=0,"",IFERROR(INDEX((COPIA!$DA$3:$DE$1339),MATCH(ROWS(F$10:F408),COPIA!$DF$3:$DF$1339,0),COLUMN()-1),""))</f>
        <v/>
      </c>
    </row>
    <row r="409" spans="1:6" x14ac:dyDescent="0.3">
      <c r="B409" s="10" t="str">
        <f ca="1">IF(IFERROR(INDEX((COPIA!$DA$3:$DE$1339),MATCH(ROWS(B$10:B409),COPIA!$DF$3:$DF$1339,0),COLUMN()-1),"")&gt;=1,IFERROR(INDEX((COPIA!$DA$3:$DE$1339),MATCH(ROWS(B$10:B409),COPIA!$DF$3:$DF$1339,0),COLUMN()-1),""),"")</f>
        <v/>
      </c>
      <c r="C409" s="5" t="str">
        <f ca="1">SUBSTITUTE(IFERROR(INDEX((COPIA!$DA$3:$DE$1339),MATCH(ROWS(C$10:C409),COPIA!$DF$3:$DF$1339,0),COLUMN()-1),""),"MASTRO","")</f>
        <v/>
      </c>
      <c r="D409" s="136" t="str">
        <f ca="1">IF(IFERROR(INDEX((COPIA!$DA$3:$DE$1339),MATCH(ROWS(D$10:D409),COPIA!$DF$3:$DF$1339,0),COLUMN()-1),"")=0,"",IFERROR(INDEX((COPIA!$DA$3:$DE$1339),MATCH(ROWS(D$10:D409),COPIA!$DF$3:$DF$1339,0),COLUMN()-1),""))</f>
        <v/>
      </c>
      <c r="E409" s="9" t="str">
        <f ca="1">IF(IFERROR(INDEX((COPIA!$DA$3:$DE$1339),MATCH(ROWS(E$10:E409),COPIA!$DF$3:$DF$1339,0),COLUMN()-1),"")=0,"",IFERROR(INDEX((COPIA!$DA$3:$DE$1339),MATCH(ROWS(E$10:E409),COPIA!$DF$3:$DF$1339,0),COLUMN()-1),""))</f>
        <v/>
      </c>
      <c r="F409" s="6" t="str">
        <f ca="1">IF(IFERROR(INDEX((COPIA!$DA$3:$DE$1339),MATCH(ROWS(F$10:F409),COPIA!$DF$3:$DF$1339,0),COLUMN()-1),"")=0,"",IFERROR(INDEX((COPIA!$DA$3:$DE$1339),MATCH(ROWS(F$10:F409),COPIA!$DF$3:$DF$1339,0),COLUMN()-1),""))</f>
        <v/>
      </c>
    </row>
    <row r="410" spans="1:6" x14ac:dyDescent="0.3">
      <c r="B410" s="10" t="str">
        <f ca="1">IF(IFERROR(INDEX((COPIA!$DA$3:$DE$1339),MATCH(ROWS(B$10:B410),COPIA!$DF$3:$DF$1339,0),COLUMN()-1),"")&gt;=1,IFERROR(INDEX((COPIA!$DA$3:$DE$1339),MATCH(ROWS(B$10:B410),COPIA!$DF$3:$DF$1339,0),COLUMN()-1),""),"")</f>
        <v/>
      </c>
      <c r="C410" s="5" t="str">
        <f ca="1">SUBSTITUTE(IFERROR(INDEX((COPIA!$DA$3:$DE$1339),MATCH(ROWS(C$10:C410),COPIA!$DF$3:$DF$1339,0),COLUMN()-1),""),"MASTRO","")</f>
        <v/>
      </c>
      <c r="D410" s="136" t="str">
        <f ca="1">IF(IFERROR(INDEX((COPIA!$DA$3:$DE$1339),MATCH(ROWS(D$10:D410),COPIA!$DF$3:$DF$1339,0),COLUMN()-1),"")=0,"",IFERROR(INDEX((COPIA!$DA$3:$DE$1339),MATCH(ROWS(D$10:D410),COPIA!$DF$3:$DF$1339,0),COLUMN()-1),""))</f>
        <v/>
      </c>
      <c r="E410" s="9" t="str">
        <f ca="1">IF(IFERROR(INDEX((COPIA!$DA$3:$DE$1339),MATCH(ROWS(E$10:E410),COPIA!$DF$3:$DF$1339,0),COLUMN()-1),"")=0,"",IFERROR(INDEX((COPIA!$DA$3:$DE$1339),MATCH(ROWS(E$10:E410),COPIA!$DF$3:$DF$1339,0),COLUMN()-1),""))</f>
        <v/>
      </c>
      <c r="F410" s="6" t="str">
        <f ca="1">IF(IFERROR(INDEX((COPIA!$DA$3:$DE$1339),MATCH(ROWS(F$10:F410),COPIA!$DF$3:$DF$1339,0),COLUMN()-1),"")=0,"",IFERROR(INDEX((COPIA!$DA$3:$DE$1339),MATCH(ROWS(F$10:F410),COPIA!$DF$3:$DF$1339,0),COLUMN()-1),""))</f>
        <v/>
      </c>
    </row>
    <row r="411" spans="1:6" x14ac:dyDescent="0.3">
      <c r="B411" s="10" t="str">
        <f ca="1">IF(IFERROR(INDEX((COPIA!$DA$3:$DE$1339),MATCH(ROWS(B$10:B411),COPIA!$DF$3:$DF$1339,0),COLUMN()-1),"")&gt;=1,IFERROR(INDEX((COPIA!$DA$3:$DE$1339),MATCH(ROWS(B$10:B411),COPIA!$DF$3:$DF$1339,0),COLUMN()-1),""),"")</f>
        <v/>
      </c>
      <c r="C411" s="5" t="str">
        <f ca="1">SUBSTITUTE(IFERROR(INDEX((COPIA!$DA$3:$DE$1339),MATCH(ROWS(C$10:C411),COPIA!$DF$3:$DF$1339,0),COLUMN()-1),""),"MASTRO","")</f>
        <v/>
      </c>
      <c r="D411" s="136" t="str">
        <f ca="1">IF(IFERROR(INDEX((COPIA!$DA$3:$DE$1339),MATCH(ROWS(D$10:D411),COPIA!$DF$3:$DF$1339,0),COLUMN()-1),"")=0,"",IFERROR(INDEX((COPIA!$DA$3:$DE$1339),MATCH(ROWS(D$10:D411),COPIA!$DF$3:$DF$1339,0),COLUMN()-1),""))</f>
        <v/>
      </c>
      <c r="E411" s="9" t="str">
        <f ca="1">IF(IFERROR(INDEX((COPIA!$DA$3:$DE$1339),MATCH(ROWS(E$10:E411),COPIA!$DF$3:$DF$1339,0),COLUMN()-1),"")=0,"",IFERROR(INDEX((COPIA!$DA$3:$DE$1339),MATCH(ROWS(E$10:E411),COPIA!$DF$3:$DF$1339,0),COLUMN()-1),""))</f>
        <v/>
      </c>
      <c r="F411" s="6" t="str">
        <f ca="1">IF(IFERROR(INDEX((COPIA!$DA$3:$DE$1339),MATCH(ROWS(F$10:F411),COPIA!$DF$3:$DF$1339,0),COLUMN()-1),"")=0,"",IFERROR(INDEX((COPIA!$DA$3:$DE$1339),MATCH(ROWS(F$10:F411),COPIA!$DF$3:$DF$1339,0),COLUMN()-1),""))</f>
        <v/>
      </c>
    </row>
    <row r="412" spans="1:6" x14ac:dyDescent="0.3">
      <c r="B412" s="10" t="str">
        <f ca="1">IF(IFERROR(INDEX((COPIA!$DA$3:$DE$1339),MATCH(ROWS(B$10:B412),COPIA!$DF$3:$DF$1339,0),COLUMN()-1),"")&gt;=1,IFERROR(INDEX((COPIA!$DA$3:$DE$1339),MATCH(ROWS(B$10:B412),COPIA!$DF$3:$DF$1339,0),COLUMN()-1),""),"")</f>
        <v/>
      </c>
      <c r="C412" s="5" t="str">
        <f ca="1">SUBSTITUTE(IFERROR(INDEX((COPIA!$DA$3:$DE$1339),MATCH(ROWS(C$10:C412),COPIA!$DF$3:$DF$1339,0),COLUMN()-1),""),"MASTRO","")</f>
        <v/>
      </c>
      <c r="D412" s="136" t="str">
        <f ca="1">IF(IFERROR(INDEX((COPIA!$DA$3:$DE$1339),MATCH(ROWS(D$10:D412),COPIA!$DF$3:$DF$1339,0),COLUMN()-1),"")=0,"",IFERROR(INDEX((COPIA!$DA$3:$DE$1339),MATCH(ROWS(D$10:D412),COPIA!$DF$3:$DF$1339,0),COLUMN()-1),""))</f>
        <v/>
      </c>
      <c r="E412" s="9" t="str">
        <f ca="1">IF(IFERROR(INDEX((COPIA!$DA$3:$DE$1339),MATCH(ROWS(E$10:E412),COPIA!$DF$3:$DF$1339,0),COLUMN()-1),"")=0,"",IFERROR(INDEX((COPIA!$DA$3:$DE$1339),MATCH(ROWS(E$10:E412),COPIA!$DF$3:$DF$1339,0),COLUMN()-1),""))</f>
        <v/>
      </c>
      <c r="F412" s="6" t="str">
        <f ca="1">IF(IFERROR(INDEX((COPIA!$DA$3:$DE$1339),MATCH(ROWS(F$10:F412),COPIA!$DF$3:$DF$1339,0),COLUMN()-1),"")=0,"",IFERROR(INDEX((COPIA!$DA$3:$DE$1339),MATCH(ROWS(F$10:F412),COPIA!$DF$3:$DF$1339,0),COLUMN()-1),""))</f>
        <v/>
      </c>
    </row>
    <row r="413" spans="1:6" x14ac:dyDescent="0.3">
      <c r="B413" s="10" t="str">
        <f ca="1">IF(IFERROR(INDEX((COPIA!$DA$3:$DE$1339),MATCH(ROWS(B$10:B413),COPIA!$DF$3:$DF$1339,0),COLUMN()-1),"")&gt;=1,IFERROR(INDEX((COPIA!$DA$3:$DE$1339),MATCH(ROWS(B$10:B413),COPIA!$DF$3:$DF$1339,0),COLUMN()-1),""),"")</f>
        <v/>
      </c>
      <c r="C413" s="5" t="str">
        <f ca="1">SUBSTITUTE(IFERROR(INDEX((COPIA!$DA$3:$DE$1339),MATCH(ROWS(C$10:C413),COPIA!$DF$3:$DF$1339,0),COLUMN()-1),""),"MASTRO","")</f>
        <v/>
      </c>
      <c r="D413" s="136" t="str">
        <f ca="1">IF(IFERROR(INDEX((COPIA!$DA$3:$DE$1339),MATCH(ROWS(D$10:D413),COPIA!$DF$3:$DF$1339,0),COLUMN()-1),"")=0,"",IFERROR(INDEX((COPIA!$DA$3:$DE$1339),MATCH(ROWS(D$10:D413),COPIA!$DF$3:$DF$1339,0),COLUMN()-1),""))</f>
        <v/>
      </c>
      <c r="E413" s="9" t="str">
        <f ca="1">IF(IFERROR(INDEX((COPIA!$DA$3:$DE$1339),MATCH(ROWS(E$10:E413),COPIA!$DF$3:$DF$1339,0),COLUMN()-1),"")=0,"",IFERROR(INDEX((COPIA!$DA$3:$DE$1339),MATCH(ROWS(E$10:E413),COPIA!$DF$3:$DF$1339,0),COLUMN()-1),""))</f>
        <v/>
      </c>
      <c r="F413" s="6" t="str">
        <f ca="1">IF(IFERROR(INDEX((COPIA!$DA$3:$DE$1339),MATCH(ROWS(F$10:F413),COPIA!$DF$3:$DF$1339,0),COLUMN()-1),"")=0,"",IFERROR(INDEX((COPIA!$DA$3:$DE$1339),MATCH(ROWS(F$10:F413),COPIA!$DF$3:$DF$1339,0),COLUMN()-1),""))</f>
        <v/>
      </c>
    </row>
    <row r="414" spans="1:6" x14ac:dyDescent="0.3">
      <c r="B414" s="10" t="str">
        <f ca="1">IF(IFERROR(INDEX((COPIA!$DA$3:$DE$1339),MATCH(ROWS(B$10:B414),COPIA!$DF$3:$DF$1339,0),COLUMN()-1),"")&gt;=1,IFERROR(INDEX((COPIA!$DA$3:$DE$1339),MATCH(ROWS(B$10:B414),COPIA!$DF$3:$DF$1339,0),COLUMN()-1),""),"")</f>
        <v/>
      </c>
      <c r="C414" s="5" t="str">
        <f ca="1">SUBSTITUTE(IFERROR(INDEX((COPIA!$DA$3:$DE$1339),MATCH(ROWS(C$10:C414),COPIA!$DF$3:$DF$1339,0),COLUMN()-1),""),"MASTRO","")</f>
        <v/>
      </c>
      <c r="D414" s="136" t="str">
        <f ca="1">IF(IFERROR(INDEX((COPIA!$DA$3:$DE$1339),MATCH(ROWS(D$10:D414),COPIA!$DF$3:$DF$1339,0),COLUMN()-1),"")=0,"",IFERROR(INDEX((COPIA!$DA$3:$DE$1339),MATCH(ROWS(D$10:D414),COPIA!$DF$3:$DF$1339,0),COLUMN()-1),""))</f>
        <v/>
      </c>
      <c r="E414" s="9" t="str">
        <f ca="1">IF(IFERROR(INDEX((COPIA!$DA$3:$DE$1339),MATCH(ROWS(E$10:E414),COPIA!$DF$3:$DF$1339,0),COLUMN()-1),"")=0,"",IFERROR(INDEX((COPIA!$DA$3:$DE$1339),MATCH(ROWS(E$10:E414),COPIA!$DF$3:$DF$1339,0),COLUMN()-1),""))</f>
        <v/>
      </c>
      <c r="F414" s="6" t="str">
        <f ca="1">IF(IFERROR(INDEX((COPIA!$DA$3:$DE$1339),MATCH(ROWS(F$10:F414),COPIA!$DF$3:$DF$1339,0),COLUMN()-1),"")=0,"",IFERROR(INDEX((COPIA!$DA$3:$DE$1339),MATCH(ROWS(F$10:F414),COPIA!$DF$3:$DF$1339,0),COLUMN()-1),""))</f>
        <v/>
      </c>
    </row>
    <row r="415" spans="1:6" x14ac:dyDescent="0.3">
      <c r="B415" s="10" t="str">
        <f ca="1">IF(IFERROR(INDEX((COPIA!$DA$3:$DE$1339),MATCH(ROWS(B$10:B415),COPIA!$DF$3:$DF$1339,0),COLUMN()-1),"")&gt;=1,IFERROR(INDEX((COPIA!$DA$3:$DE$1339),MATCH(ROWS(B$10:B415),COPIA!$DF$3:$DF$1339,0),COLUMN()-1),""),"")</f>
        <v/>
      </c>
      <c r="C415" s="5" t="str">
        <f ca="1">SUBSTITUTE(IFERROR(INDEX((COPIA!$DA$3:$DE$1339),MATCH(ROWS(C$10:C415),COPIA!$DF$3:$DF$1339,0),COLUMN()-1),""),"MASTRO","")</f>
        <v/>
      </c>
      <c r="D415" s="136" t="str">
        <f ca="1">IF(IFERROR(INDEX((COPIA!$DA$3:$DE$1339),MATCH(ROWS(D$10:D415),COPIA!$DF$3:$DF$1339,0),COLUMN()-1),"")=0,"",IFERROR(INDEX((COPIA!$DA$3:$DE$1339),MATCH(ROWS(D$10:D415),COPIA!$DF$3:$DF$1339,0),COLUMN()-1),""))</f>
        <v/>
      </c>
      <c r="E415" s="9" t="str">
        <f ca="1">IF(IFERROR(INDEX((COPIA!$DA$3:$DE$1339),MATCH(ROWS(E$10:E415),COPIA!$DF$3:$DF$1339,0),COLUMN()-1),"")=0,"",IFERROR(INDEX((COPIA!$DA$3:$DE$1339),MATCH(ROWS(E$10:E415),COPIA!$DF$3:$DF$1339,0),COLUMN()-1),""))</f>
        <v/>
      </c>
      <c r="F415" s="6" t="str">
        <f ca="1">IF(IFERROR(INDEX((COPIA!$DA$3:$DE$1339),MATCH(ROWS(F$10:F415),COPIA!$DF$3:$DF$1339,0),COLUMN()-1),"")=0,"",IFERROR(INDEX((COPIA!$DA$3:$DE$1339),MATCH(ROWS(F$10:F415),COPIA!$DF$3:$DF$1339,0),COLUMN()-1),""))</f>
        <v/>
      </c>
    </row>
    <row r="416" spans="1:6" x14ac:dyDescent="0.3">
      <c r="B416" s="10" t="str">
        <f ca="1">IF(IFERROR(INDEX((COPIA!$DA$3:$DE$1339),MATCH(ROWS(B$10:B416),COPIA!$DF$3:$DF$1339,0),COLUMN()-1),"")&gt;=1,IFERROR(INDEX((COPIA!$DA$3:$DE$1339),MATCH(ROWS(B$10:B416),COPIA!$DF$3:$DF$1339,0),COLUMN()-1),""),"")</f>
        <v/>
      </c>
      <c r="C416" s="5" t="str">
        <f ca="1">SUBSTITUTE(IFERROR(INDEX((COPIA!$DA$3:$DE$1339),MATCH(ROWS(C$10:C416),COPIA!$DF$3:$DF$1339,0),COLUMN()-1),""),"MASTRO","")</f>
        <v/>
      </c>
      <c r="D416" s="136" t="str">
        <f ca="1">IF(IFERROR(INDEX((COPIA!$DA$3:$DE$1339),MATCH(ROWS(D$10:D416),COPIA!$DF$3:$DF$1339,0),COLUMN()-1),"")=0,"",IFERROR(INDEX((COPIA!$DA$3:$DE$1339),MATCH(ROWS(D$10:D416),COPIA!$DF$3:$DF$1339,0),COLUMN()-1),""))</f>
        <v/>
      </c>
      <c r="E416" s="9" t="str">
        <f ca="1">IF(IFERROR(INDEX((COPIA!$DA$3:$DE$1339),MATCH(ROWS(E$10:E416),COPIA!$DF$3:$DF$1339,0),COLUMN()-1),"")=0,"",IFERROR(INDEX((COPIA!$DA$3:$DE$1339),MATCH(ROWS(E$10:E416),COPIA!$DF$3:$DF$1339,0),COLUMN()-1),""))</f>
        <v/>
      </c>
      <c r="F416" s="6" t="str">
        <f ca="1">IF(IFERROR(INDEX((COPIA!$DA$3:$DE$1339),MATCH(ROWS(F$10:F416),COPIA!$DF$3:$DF$1339,0),COLUMN()-1),"")=0,"",IFERROR(INDEX((COPIA!$DA$3:$DE$1339),MATCH(ROWS(F$10:F416),COPIA!$DF$3:$DF$1339,0),COLUMN()-1),""))</f>
        <v/>
      </c>
    </row>
    <row r="417" spans="2:6" x14ac:dyDescent="0.3">
      <c r="B417" s="10" t="str">
        <f ca="1">IF(IFERROR(INDEX((COPIA!$DA$3:$DE$1339),MATCH(ROWS(B$10:B417),COPIA!$DF$3:$DF$1339,0),COLUMN()-1),"")&gt;=1,IFERROR(INDEX((COPIA!$DA$3:$DE$1339),MATCH(ROWS(B$10:B417),COPIA!$DF$3:$DF$1339,0),COLUMN()-1),""),"")</f>
        <v/>
      </c>
      <c r="C417" s="5" t="str">
        <f ca="1">SUBSTITUTE(IFERROR(INDEX((COPIA!$DA$3:$DE$1339),MATCH(ROWS(C$10:C417),COPIA!$DF$3:$DF$1339,0),COLUMN()-1),""),"MASTRO","")</f>
        <v/>
      </c>
      <c r="D417" s="136" t="str">
        <f ca="1">IF(IFERROR(INDEX((COPIA!$DA$3:$DE$1339),MATCH(ROWS(D$10:D417),COPIA!$DF$3:$DF$1339,0),COLUMN()-1),"")=0,"",IFERROR(INDEX((COPIA!$DA$3:$DE$1339),MATCH(ROWS(D$10:D417),COPIA!$DF$3:$DF$1339,0),COLUMN()-1),""))</f>
        <v/>
      </c>
      <c r="E417" s="9" t="str">
        <f ca="1">IF(IFERROR(INDEX((COPIA!$DA$3:$DE$1339),MATCH(ROWS(E$10:E417),COPIA!$DF$3:$DF$1339,0),COLUMN()-1),"")=0,"",IFERROR(INDEX((COPIA!$DA$3:$DE$1339),MATCH(ROWS(E$10:E417),COPIA!$DF$3:$DF$1339,0),COLUMN()-1),""))</f>
        <v/>
      </c>
      <c r="F417" s="6" t="str">
        <f ca="1">IF(IFERROR(INDEX((COPIA!$DA$3:$DE$1339),MATCH(ROWS(F$10:F417),COPIA!$DF$3:$DF$1339,0),COLUMN()-1),"")=0,"",IFERROR(INDEX((COPIA!$DA$3:$DE$1339),MATCH(ROWS(F$10:F417),COPIA!$DF$3:$DF$1339,0),COLUMN()-1),""))</f>
        <v/>
      </c>
    </row>
    <row r="418" spans="2:6" x14ac:dyDescent="0.3">
      <c r="B418" s="10" t="str">
        <f ca="1">IF(IFERROR(INDEX((COPIA!$DA$3:$DE$1339),MATCH(ROWS(B$10:B418),COPIA!$DF$3:$DF$1339,0),COLUMN()-1),"")&gt;=1,IFERROR(INDEX((COPIA!$DA$3:$DE$1339),MATCH(ROWS(B$10:B418),COPIA!$DF$3:$DF$1339,0),COLUMN()-1),""),"")</f>
        <v/>
      </c>
      <c r="C418" s="5" t="str">
        <f ca="1">SUBSTITUTE(IFERROR(INDEX((COPIA!$DA$3:$DE$1339),MATCH(ROWS(C$10:C418),COPIA!$DF$3:$DF$1339,0),COLUMN()-1),""),"MASTRO","")</f>
        <v/>
      </c>
      <c r="D418" s="136" t="str">
        <f ca="1">IF(IFERROR(INDEX((COPIA!$DA$3:$DE$1339),MATCH(ROWS(D$10:D418),COPIA!$DF$3:$DF$1339,0),COLUMN()-1),"")=0,"",IFERROR(INDEX((COPIA!$DA$3:$DE$1339),MATCH(ROWS(D$10:D418),COPIA!$DF$3:$DF$1339,0),COLUMN()-1),""))</f>
        <v/>
      </c>
      <c r="E418" s="9" t="str">
        <f ca="1">IF(IFERROR(INDEX((COPIA!$DA$3:$DE$1339),MATCH(ROWS(E$10:E418),COPIA!$DF$3:$DF$1339,0),COLUMN()-1),"")=0,"",IFERROR(INDEX((COPIA!$DA$3:$DE$1339),MATCH(ROWS(E$10:E418),COPIA!$DF$3:$DF$1339,0),COLUMN()-1),""))</f>
        <v/>
      </c>
      <c r="F418" s="6" t="str">
        <f ca="1">IF(IFERROR(INDEX((COPIA!$DA$3:$DE$1339),MATCH(ROWS(F$10:F418),COPIA!$DF$3:$DF$1339,0),COLUMN()-1),"")=0,"",IFERROR(INDEX((COPIA!$DA$3:$DE$1339),MATCH(ROWS(F$10:F418),COPIA!$DF$3:$DF$1339,0),COLUMN()-1),""))</f>
        <v/>
      </c>
    </row>
    <row r="419" spans="2:6" x14ac:dyDescent="0.3">
      <c r="B419" s="10" t="str">
        <f ca="1">IF(IFERROR(INDEX((COPIA!$DA$3:$DE$1339),MATCH(ROWS(B$10:B419),COPIA!$DF$3:$DF$1339,0),COLUMN()-1),"")&gt;=1,IFERROR(INDEX((COPIA!$DA$3:$DE$1339),MATCH(ROWS(B$10:B419),COPIA!$DF$3:$DF$1339,0),COLUMN()-1),""),"")</f>
        <v/>
      </c>
      <c r="C419" s="5" t="str">
        <f ca="1">SUBSTITUTE(IFERROR(INDEX((COPIA!$DA$3:$DE$1339),MATCH(ROWS(C$10:C419),COPIA!$DF$3:$DF$1339,0),COLUMN()-1),""),"MASTRO","")</f>
        <v/>
      </c>
      <c r="D419" s="136" t="str">
        <f ca="1">IF(IFERROR(INDEX((COPIA!$DA$3:$DE$1339),MATCH(ROWS(D$10:D419),COPIA!$DF$3:$DF$1339,0),COLUMN()-1),"")=0,"",IFERROR(INDEX((COPIA!$DA$3:$DE$1339),MATCH(ROWS(D$10:D419),COPIA!$DF$3:$DF$1339,0),COLUMN()-1),""))</f>
        <v/>
      </c>
      <c r="E419" s="9" t="str">
        <f ca="1">IF(IFERROR(INDEX((COPIA!$DA$3:$DE$1339),MATCH(ROWS(E$10:E419),COPIA!$DF$3:$DF$1339,0),COLUMN()-1),"")=0,"",IFERROR(INDEX((COPIA!$DA$3:$DE$1339),MATCH(ROWS(E$10:E419),COPIA!$DF$3:$DF$1339,0),COLUMN()-1),""))</f>
        <v/>
      </c>
      <c r="F419" s="6" t="str">
        <f ca="1">IF(IFERROR(INDEX((COPIA!$DA$3:$DE$1339),MATCH(ROWS(F$10:F419),COPIA!$DF$3:$DF$1339,0),COLUMN()-1),"")=0,"",IFERROR(INDEX((COPIA!$DA$3:$DE$1339),MATCH(ROWS(F$10:F419),COPIA!$DF$3:$DF$1339,0),COLUMN()-1),""))</f>
        <v/>
      </c>
    </row>
    <row r="420" spans="2:6" x14ac:dyDescent="0.3">
      <c r="B420" s="10" t="str">
        <f ca="1">IF(IFERROR(INDEX((COPIA!$DA$3:$DE$1339),MATCH(ROWS(B$10:B420),COPIA!$DF$3:$DF$1339,0),COLUMN()-1),"")&gt;=1,IFERROR(INDEX((COPIA!$DA$3:$DE$1339),MATCH(ROWS(B$10:B420),COPIA!$DF$3:$DF$1339,0),COLUMN()-1),""),"")</f>
        <v/>
      </c>
      <c r="C420" s="5" t="str">
        <f ca="1">SUBSTITUTE(IFERROR(INDEX((COPIA!$DA$3:$DE$1339),MATCH(ROWS(C$10:C420),COPIA!$DF$3:$DF$1339,0),COLUMN()-1),""),"MASTRO","")</f>
        <v/>
      </c>
      <c r="D420" s="136" t="str">
        <f ca="1">IF(IFERROR(INDEX((COPIA!$DA$3:$DE$1339),MATCH(ROWS(D$10:D420),COPIA!$DF$3:$DF$1339,0),COLUMN()-1),"")=0,"",IFERROR(INDEX((COPIA!$DA$3:$DE$1339),MATCH(ROWS(D$10:D420),COPIA!$DF$3:$DF$1339,0),COLUMN()-1),""))</f>
        <v/>
      </c>
      <c r="E420" s="9" t="str">
        <f ca="1">IF(IFERROR(INDEX((COPIA!$DA$3:$DE$1339),MATCH(ROWS(E$10:E420),COPIA!$DF$3:$DF$1339,0),COLUMN()-1),"")=0,"",IFERROR(INDEX((COPIA!$DA$3:$DE$1339),MATCH(ROWS(E$10:E420),COPIA!$DF$3:$DF$1339,0),COLUMN()-1),""))</f>
        <v/>
      </c>
      <c r="F420" s="6" t="str">
        <f ca="1">IF(IFERROR(INDEX((COPIA!$DA$3:$DE$1339),MATCH(ROWS(F$10:F420),COPIA!$DF$3:$DF$1339,0),COLUMN()-1),"")=0,"",IFERROR(INDEX((COPIA!$DA$3:$DE$1339),MATCH(ROWS(F$10:F420),COPIA!$DF$3:$DF$1339,0),COLUMN()-1),""))</f>
        <v/>
      </c>
    </row>
    <row r="421" spans="2:6" x14ac:dyDescent="0.3">
      <c r="B421" s="10" t="str">
        <f ca="1">IF(IFERROR(INDEX((COPIA!$DA$3:$DE$1339),MATCH(ROWS(B$10:B421),COPIA!$DF$3:$DF$1339,0),COLUMN()-1),"")&gt;=1,IFERROR(INDEX((COPIA!$DA$3:$DE$1339),MATCH(ROWS(B$10:B421),COPIA!$DF$3:$DF$1339,0),COLUMN()-1),""),"")</f>
        <v/>
      </c>
      <c r="C421" s="5" t="str">
        <f ca="1">SUBSTITUTE(IFERROR(INDEX((COPIA!$DA$3:$DE$1339),MATCH(ROWS(C$10:C421),COPIA!$DF$3:$DF$1339,0),COLUMN()-1),""),"MASTRO","")</f>
        <v/>
      </c>
      <c r="D421" s="136" t="str">
        <f ca="1">IF(IFERROR(INDEX((COPIA!$DA$3:$DE$1339),MATCH(ROWS(D$10:D421),COPIA!$DF$3:$DF$1339,0),COLUMN()-1),"")=0,"",IFERROR(INDEX((COPIA!$DA$3:$DE$1339),MATCH(ROWS(D$10:D421),COPIA!$DF$3:$DF$1339,0),COLUMN()-1),""))</f>
        <v/>
      </c>
      <c r="E421" s="9" t="str">
        <f ca="1">IF(IFERROR(INDEX((COPIA!$DA$3:$DE$1339),MATCH(ROWS(E$10:E421),COPIA!$DF$3:$DF$1339,0),COLUMN()-1),"")=0,"",IFERROR(INDEX((COPIA!$DA$3:$DE$1339),MATCH(ROWS(E$10:E421),COPIA!$DF$3:$DF$1339,0),COLUMN()-1),""))</f>
        <v/>
      </c>
      <c r="F421" s="6" t="str">
        <f ca="1">IF(IFERROR(INDEX((COPIA!$DA$3:$DE$1339),MATCH(ROWS(F$10:F421),COPIA!$DF$3:$DF$1339,0),COLUMN()-1),"")=0,"",IFERROR(INDEX((COPIA!$DA$3:$DE$1339),MATCH(ROWS(F$10:F421),COPIA!$DF$3:$DF$1339,0),COLUMN()-1),""))</f>
        <v/>
      </c>
    </row>
    <row r="422" spans="2:6" x14ac:dyDescent="0.3">
      <c r="B422" s="10" t="str">
        <f ca="1">IF(IFERROR(INDEX((COPIA!$DA$3:$DE$1339),MATCH(ROWS(B$10:B422),COPIA!$DF$3:$DF$1339,0),COLUMN()-1),"")&gt;=1,IFERROR(INDEX((COPIA!$DA$3:$DE$1339),MATCH(ROWS(B$10:B422),COPIA!$DF$3:$DF$1339,0),COLUMN()-1),""),"")</f>
        <v/>
      </c>
      <c r="C422" s="5" t="str">
        <f ca="1">SUBSTITUTE(IFERROR(INDEX((COPIA!$DA$3:$DE$1339),MATCH(ROWS(C$10:C422),COPIA!$DF$3:$DF$1339,0),COLUMN()-1),""),"MASTRO","")</f>
        <v/>
      </c>
      <c r="D422" s="136" t="str">
        <f ca="1">IF(IFERROR(INDEX((COPIA!$DA$3:$DE$1339),MATCH(ROWS(D$10:D422),COPIA!$DF$3:$DF$1339,0),COLUMN()-1),"")=0,"",IFERROR(INDEX((COPIA!$DA$3:$DE$1339),MATCH(ROWS(D$10:D422),COPIA!$DF$3:$DF$1339,0),COLUMN()-1),""))</f>
        <v/>
      </c>
      <c r="E422" s="9" t="str">
        <f ca="1">IF(IFERROR(INDEX((COPIA!$DA$3:$DE$1339),MATCH(ROWS(E$10:E422),COPIA!$DF$3:$DF$1339,0),COLUMN()-1),"")=0,"",IFERROR(INDEX((COPIA!$DA$3:$DE$1339),MATCH(ROWS(E$10:E422),COPIA!$DF$3:$DF$1339,0),COLUMN()-1),""))</f>
        <v/>
      </c>
      <c r="F422" s="6" t="str">
        <f ca="1">IF(IFERROR(INDEX((COPIA!$DA$3:$DE$1339),MATCH(ROWS(F$10:F422),COPIA!$DF$3:$DF$1339,0),COLUMN()-1),"")=0,"",IFERROR(INDEX((COPIA!$DA$3:$DE$1339),MATCH(ROWS(F$10:F422),COPIA!$DF$3:$DF$1339,0),COLUMN()-1),""))</f>
        <v/>
      </c>
    </row>
    <row r="423" spans="2:6" x14ac:dyDescent="0.3">
      <c r="B423" s="10" t="str">
        <f ca="1">IF(IFERROR(INDEX((COPIA!$DA$3:$DE$1339),MATCH(ROWS(B$10:B423),COPIA!$DF$3:$DF$1339,0),COLUMN()-1),"")&gt;=1,IFERROR(INDEX((COPIA!$DA$3:$DE$1339),MATCH(ROWS(B$10:B423),COPIA!$DF$3:$DF$1339,0),COLUMN()-1),""),"")</f>
        <v/>
      </c>
      <c r="C423" s="5" t="str">
        <f ca="1">SUBSTITUTE(IFERROR(INDEX((COPIA!$DA$3:$DE$1339),MATCH(ROWS(C$10:C423),COPIA!$DF$3:$DF$1339,0),COLUMN()-1),""),"MASTRO","")</f>
        <v/>
      </c>
      <c r="D423" s="136" t="str">
        <f ca="1">IF(IFERROR(INDEX((COPIA!$DA$3:$DE$1339),MATCH(ROWS(D$10:D423),COPIA!$DF$3:$DF$1339,0),COLUMN()-1),"")=0,"",IFERROR(INDEX((COPIA!$DA$3:$DE$1339),MATCH(ROWS(D$10:D423),COPIA!$DF$3:$DF$1339,0),COLUMN()-1),""))</f>
        <v/>
      </c>
      <c r="E423" s="9" t="str">
        <f ca="1">IF(IFERROR(INDEX((COPIA!$DA$3:$DE$1339),MATCH(ROWS(E$10:E423),COPIA!$DF$3:$DF$1339,0),COLUMN()-1),"")=0,"",IFERROR(INDEX((COPIA!$DA$3:$DE$1339),MATCH(ROWS(E$10:E423),COPIA!$DF$3:$DF$1339,0),COLUMN()-1),""))</f>
        <v/>
      </c>
      <c r="F423" s="6" t="str">
        <f ca="1">IF(IFERROR(INDEX((COPIA!$DA$3:$DE$1339),MATCH(ROWS(F$10:F423),COPIA!$DF$3:$DF$1339,0),COLUMN()-1),"")=0,"",IFERROR(INDEX((COPIA!$DA$3:$DE$1339),MATCH(ROWS(F$10:F423),COPIA!$DF$3:$DF$1339,0),COLUMN()-1),""))</f>
        <v/>
      </c>
    </row>
    <row r="424" spans="2:6" x14ac:dyDescent="0.3">
      <c r="B424" s="10" t="str">
        <f ca="1">IF(IFERROR(INDEX((COPIA!$DA$3:$DE$1339),MATCH(ROWS(B$10:B424),COPIA!$DF$3:$DF$1339,0),COLUMN()-1),"")&gt;=1,IFERROR(INDEX((COPIA!$DA$3:$DE$1339),MATCH(ROWS(B$10:B424),COPIA!$DF$3:$DF$1339,0),COLUMN()-1),""),"")</f>
        <v/>
      </c>
      <c r="C424" s="5" t="str">
        <f ca="1">SUBSTITUTE(IFERROR(INDEX((COPIA!$DA$3:$DE$1339),MATCH(ROWS(C$10:C424),COPIA!$DF$3:$DF$1339,0),COLUMN()-1),""),"MASTRO","")</f>
        <v/>
      </c>
      <c r="D424" s="136" t="str">
        <f ca="1">IF(IFERROR(INDEX((COPIA!$DA$3:$DE$1339),MATCH(ROWS(D$10:D424),COPIA!$DF$3:$DF$1339,0),COLUMN()-1),"")=0,"",IFERROR(INDEX((COPIA!$DA$3:$DE$1339),MATCH(ROWS(D$10:D424),COPIA!$DF$3:$DF$1339,0),COLUMN()-1),""))</f>
        <v/>
      </c>
      <c r="E424" s="9" t="str">
        <f ca="1">IF(IFERROR(INDEX((COPIA!$DA$3:$DE$1339),MATCH(ROWS(E$10:E424),COPIA!$DF$3:$DF$1339,0),COLUMN()-1),"")=0,"",IFERROR(INDEX((COPIA!$DA$3:$DE$1339),MATCH(ROWS(E$10:E424),COPIA!$DF$3:$DF$1339,0),COLUMN()-1),""))</f>
        <v/>
      </c>
      <c r="F424" s="6" t="str">
        <f ca="1">IF(IFERROR(INDEX((COPIA!$DA$3:$DE$1339),MATCH(ROWS(F$10:F424),COPIA!$DF$3:$DF$1339,0),COLUMN()-1),"")=0,"",IFERROR(INDEX((COPIA!$DA$3:$DE$1339),MATCH(ROWS(F$10:F424),COPIA!$DF$3:$DF$1339,0),COLUMN()-1),""))</f>
        <v/>
      </c>
    </row>
    <row r="425" spans="2:6" x14ac:dyDescent="0.3">
      <c r="B425" s="10" t="str">
        <f ca="1">IF(IFERROR(INDEX((COPIA!$DA$3:$DE$1339),MATCH(ROWS(B$10:B425),COPIA!$DF$3:$DF$1339,0),COLUMN()-1),"")&gt;=1,IFERROR(INDEX((COPIA!$DA$3:$DE$1339),MATCH(ROWS(B$10:B425),COPIA!$DF$3:$DF$1339,0),COLUMN()-1),""),"")</f>
        <v/>
      </c>
      <c r="C425" s="5" t="str">
        <f ca="1">SUBSTITUTE(IFERROR(INDEX((COPIA!$DA$3:$DE$1339),MATCH(ROWS(C$10:C425),COPIA!$DF$3:$DF$1339,0),COLUMN()-1),""),"MASTRO","")</f>
        <v/>
      </c>
      <c r="D425" s="136" t="str">
        <f ca="1">IF(IFERROR(INDEX((COPIA!$DA$3:$DE$1339),MATCH(ROWS(D$10:D425),COPIA!$DF$3:$DF$1339,0),COLUMN()-1),"")=0,"",IFERROR(INDEX((COPIA!$DA$3:$DE$1339),MATCH(ROWS(D$10:D425),COPIA!$DF$3:$DF$1339,0),COLUMN()-1),""))</f>
        <v/>
      </c>
      <c r="E425" s="9" t="str">
        <f ca="1">IF(IFERROR(INDEX((COPIA!$DA$3:$DE$1339),MATCH(ROWS(E$10:E425),COPIA!$DF$3:$DF$1339,0),COLUMN()-1),"")=0,"",IFERROR(INDEX((COPIA!$DA$3:$DE$1339),MATCH(ROWS(E$10:E425),COPIA!$DF$3:$DF$1339,0),COLUMN()-1),""))</f>
        <v/>
      </c>
      <c r="F425" s="6" t="str">
        <f ca="1">IF(IFERROR(INDEX((COPIA!$DA$3:$DE$1339),MATCH(ROWS(F$10:F425),COPIA!$DF$3:$DF$1339,0),COLUMN()-1),"")=0,"",IFERROR(INDEX((COPIA!$DA$3:$DE$1339),MATCH(ROWS(F$10:F425),COPIA!$DF$3:$DF$1339,0),COLUMN()-1),""))</f>
        <v/>
      </c>
    </row>
    <row r="426" spans="2:6" x14ac:dyDescent="0.3">
      <c r="B426" s="10" t="str">
        <f ca="1">IF(IFERROR(INDEX((COPIA!$DA$3:$DE$1339),MATCH(ROWS(B$10:B426),COPIA!$DF$3:$DF$1339,0),COLUMN()-1),"")&gt;=1,IFERROR(INDEX((COPIA!$DA$3:$DE$1339),MATCH(ROWS(B$10:B426),COPIA!$DF$3:$DF$1339,0),COLUMN()-1),""),"")</f>
        <v/>
      </c>
      <c r="C426" s="5" t="str">
        <f ca="1">SUBSTITUTE(IFERROR(INDEX((COPIA!$DA$3:$DE$1339),MATCH(ROWS(C$10:C426),COPIA!$DF$3:$DF$1339,0),COLUMN()-1),""),"MASTRO","")</f>
        <v/>
      </c>
      <c r="D426" s="136" t="str">
        <f ca="1">IF(IFERROR(INDEX((COPIA!$DA$3:$DE$1339),MATCH(ROWS(D$10:D426),COPIA!$DF$3:$DF$1339,0),COLUMN()-1),"")=0,"",IFERROR(INDEX((COPIA!$DA$3:$DE$1339),MATCH(ROWS(D$10:D426),COPIA!$DF$3:$DF$1339,0),COLUMN()-1),""))</f>
        <v/>
      </c>
      <c r="E426" s="9" t="str">
        <f ca="1">IF(IFERROR(INDEX((COPIA!$DA$3:$DE$1339),MATCH(ROWS(E$10:E426),COPIA!$DF$3:$DF$1339,0),COLUMN()-1),"")=0,"",IFERROR(INDEX((COPIA!$DA$3:$DE$1339),MATCH(ROWS(E$10:E426),COPIA!$DF$3:$DF$1339,0),COLUMN()-1),""))</f>
        <v/>
      </c>
      <c r="F426" s="6" t="str">
        <f ca="1">IF(IFERROR(INDEX((COPIA!$DA$3:$DE$1339),MATCH(ROWS(F$10:F426),COPIA!$DF$3:$DF$1339,0),COLUMN()-1),"")=0,"",IFERROR(INDEX((COPIA!$DA$3:$DE$1339),MATCH(ROWS(F$10:F426),COPIA!$DF$3:$DF$1339,0),COLUMN()-1),""))</f>
        <v/>
      </c>
    </row>
    <row r="427" spans="2:6" x14ac:dyDescent="0.3">
      <c r="B427" s="10" t="str">
        <f ca="1">IF(IFERROR(INDEX((COPIA!$DA$3:$DE$1339),MATCH(ROWS(B$10:B427),COPIA!$DF$3:$DF$1339,0),COLUMN()-1),"")&gt;=1,IFERROR(INDEX((COPIA!$DA$3:$DE$1339),MATCH(ROWS(B$10:B427),COPIA!$DF$3:$DF$1339,0),COLUMN()-1),""),"")</f>
        <v/>
      </c>
      <c r="C427" s="5" t="str">
        <f ca="1">SUBSTITUTE(IFERROR(INDEX((COPIA!$DA$3:$DE$1339),MATCH(ROWS(C$10:C427),COPIA!$DF$3:$DF$1339,0),COLUMN()-1),""),"MASTRO","")</f>
        <v/>
      </c>
      <c r="D427" s="136" t="str">
        <f ca="1">IF(IFERROR(INDEX((COPIA!$DA$3:$DE$1339),MATCH(ROWS(D$10:D427),COPIA!$DF$3:$DF$1339,0),COLUMN()-1),"")=0,"",IFERROR(INDEX((COPIA!$DA$3:$DE$1339),MATCH(ROWS(D$10:D427),COPIA!$DF$3:$DF$1339,0),COLUMN()-1),""))</f>
        <v/>
      </c>
      <c r="E427" s="9" t="str">
        <f ca="1">IF(IFERROR(INDEX((COPIA!$DA$3:$DE$1339),MATCH(ROWS(E$10:E427),COPIA!$DF$3:$DF$1339,0),COLUMN()-1),"")=0,"",IFERROR(INDEX((COPIA!$DA$3:$DE$1339),MATCH(ROWS(E$10:E427),COPIA!$DF$3:$DF$1339,0),COLUMN()-1),""))</f>
        <v/>
      </c>
      <c r="F427" s="6" t="str">
        <f ca="1">IF(IFERROR(INDEX((COPIA!$DA$3:$DE$1339),MATCH(ROWS(F$10:F427),COPIA!$DF$3:$DF$1339,0),COLUMN()-1),"")=0,"",IFERROR(INDEX((COPIA!$DA$3:$DE$1339),MATCH(ROWS(F$10:F427),COPIA!$DF$3:$DF$1339,0),COLUMN()-1),""))</f>
        <v/>
      </c>
    </row>
    <row r="428" spans="2:6" x14ac:dyDescent="0.3">
      <c r="B428" s="10" t="str">
        <f ca="1">IF(IFERROR(INDEX((COPIA!$DA$3:$DE$1339),MATCH(ROWS(B$10:B428),COPIA!$DF$3:$DF$1339,0),COLUMN()-1),"")&gt;=1,IFERROR(INDEX((COPIA!$DA$3:$DE$1339),MATCH(ROWS(B$10:B428),COPIA!$DF$3:$DF$1339,0),COLUMN()-1),""),"")</f>
        <v/>
      </c>
      <c r="C428" s="5" t="str">
        <f ca="1">SUBSTITUTE(IFERROR(INDEX((COPIA!$DA$3:$DE$1339),MATCH(ROWS(C$10:C428),COPIA!$DF$3:$DF$1339,0),COLUMN()-1),""),"MASTRO","")</f>
        <v/>
      </c>
      <c r="D428" s="136" t="str">
        <f ca="1">IF(IFERROR(INDEX((COPIA!$DA$3:$DE$1339),MATCH(ROWS(D$10:D428),COPIA!$DF$3:$DF$1339,0),COLUMN()-1),"")=0,"",IFERROR(INDEX((COPIA!$DA$3:$DE$1339),MATCH(ROWS(D$10:D428),COPIA!$DF$3:$DF$1339,0),COLUMN()-1),""))</f>
        <v/>
      </c>
      <c r="E428" s="9" t="str">
        <f ca="1">IF(IFERROR(INDEX((COPIA!$DA$3:$DE$1339),MATCH(ROWS(E$10:E428),COPIA!$DF$3:$DF$1339,0),COLUMN()-1),"")=0,"",IFERROR(INDEX((COPIA!$DA$3:$DE$1339),MATCH(ROWS(E$10:E428),COPIA!$DF$3:$DF$1339,0),COLUMN()-1),""))</f>
        <v/>
      </c>
      <c r="F428" s="6" t="str">
        <f ca="1">IF(IFERROR(INDEX((COPIA!$DA$3:$DE$1339),MATCH(ROWS(F$10:F428),COPIA!$DF$3:$DF$1339,0),COLUMN()-1),"")=0,"",IFERROR(INDEX((COPIA!$DA$3:$DE$1339),MATCH(ROWS(F$10:F428),COPIA!$DF$3:$DF$1339,0),COLUMN()-1),""))</f>
        <v/>
      </c>
    </row>
    <row r="429" spans="2:6" x14ac:dyDescent="0.3">
      <c r="B429" s="10" t="str">
        <f ca="1">IF(IFERROR(INDEX((COPIA!$DA$3:$DE$1339),MATCH(ROWS(B$10:B429),COPIA!$DF$3:$DF$1339,0),COLUMN()-1),"")&gt;=1,IFERROR(INDEX((COPIA!$DA$3:$DE$1339),MATCH(ROWS(B$10:B429),COPIA!$DF$3:$DF$1339,0),COLUMN()-1),""),"")</f>
        <v/>
      </c>
      <c r="C429" s="5" t="str">
        <f ca="1">SUBSTITUTE(IFERROR(INDEX((COPIA!$DA$3:$DE$1339),MATCH(ROWS(C$10:C429),COPIA!$DF$3:$DF$1339,0),COLUMN()-1),""),"MASTRO","")</f>
        <v/>
      </c>
      <c r="D429" s="136" t="str">
        <f ca="1">IF(IFERROR(INDEX((COPIA!$DA$3:$DE$1339),MATCH(ROWS(D$10:D429),COPIA!$DF$3:$DF$1339,0),COLUMN()-1),"")=0,"",IFERROR(INDEX((COPIA!$DA$3:$DE$1339),MATCH(ROWS(D$10:D429),COPIA!$DF$3:$DF$1339,0),COLUMN()-1),""))</f>
        <v/>
      </c>
      <c r="E429" s="9" t="str">
        <f ca="1">IF(IFERROR(INDEX((COPIA!$DA$3:$DE$1339),MATCH(ROWS(E$10:E429),COPIA!$DF$3:$DF$1339,0),COLUMN()-1),"")=0,"",IFERROR(INDEX((COPIA!$DA$3:$DE$1339),MATCH(ROWS(E$10:E429),COPIA!$DF$3:$DF$1339,0),COLUMN()-1),""))</f>
        <v/>
      </c>
      <c r="F429" s="6" t="str">
        <f ca="1">IF(IFERROR(INDEX((COPIA!$DA$3:$DE$1339),MATCH(ROWS(F$10:F429),COPIA!$DF$3:$DF$1339,0),COLUMN()-1),"")=0,"",IFERROR(INDEX((COPIA!$DA$3:$DE$1339),MATCH(ROWS(F$10:F429),COPIA!$DF$3:$DF$1339,0),COLUMN()-1),""))</f>
        <v/>
      </c>
    </row>
    <row r="430" spans="2:6" x14ac:dyDescent="0.3">
      <c r="B430" s="10" t="str">
        <f ca="1">IF(IFERROR(INDEX((COPIA!$DA$3:$DE$1339),MATCH(ROWS(B$10:B430),COPIA!$DF$3:$DF$1339,0),COLUMN()-1),"")&gt;=1,IFERROR(INDEX((COPIA!$DA$3:$DE$1339),MATCH(ROWS(B$10:B430),COPIA!$DF$3:$DF$1339,0),COLUMN()-1),""),"")</f>
        <v/>
      </c>
      <c r="C430" s="5" t="str">
        <f ca="1">SUBSTITUTE(IFERROR(INDEX((COPIA!$DA$3:$DE$1339),MATCH(ROWS(C$10:C430),COPIA!$DF$3:$DF$1339,0),COLUMN()-1),""),"MASTRO","")</f>
        <v/>
      </c>
      <c r="D430" s="136" t="str">
        <f ca="1">IF(IFERROR(INDEX((COPIA!$DA$3:$DE$1339),MATCH(ROWS(D$10:D430),COPIA!$DF$3:$DF$1339,0),COLUMN()-1),"")=0,"",IFERROR(INDEX((COPIA!$DA$3:$DE$1339),MATCH(ROWS(D$10:D430),COPIA!$DF$3:$DF$1339,0),COLUMN()-1),""))</f>
        <v/>
      </c>
      <c r="E430" s="9" t="str">
        <f ca="1">IF(IFERROR(INDEX((COPIA!$DA$3:$DE$1339),MATCH(ROWS(E$10:E430),COPIA!$DF$3:$DF$1339,0),COLUMN()-1),"")=0,"",IFERROR(INDEX((COPIA!$DA$3:$DE$1339),MATCH(ROWS(E$10:E430),COPIA!$DF$3:$DF$1339,0),COLUMN()-1),""))</f>
        <v/>
      </c>
      <c r="F430" s="6" t="str">
        <f ca="1">IF(IFERROR(INDEX((COPIA!$DA$3:$DE$1339),MATCH(ROWS(F$10:F430),COPIA!$DF$3:$DF$1339,0),COLUMN()-1),"")=0,"",IFERROR(INDEX((COPIA!$DA$3:$DE$1339),MATCH(ROWS(F$10:F430),COPIA!$DF$3:$DF$1339,0),COLUMN()-1),""))</f>
        <v/>
      </c>
    </row>
    <row r="431" spans="2:6" x14ac:dyDescent="0.3">
      <c r="B431" s="10" t="str">
        <f ca="1">IF(IFERROR(INDEX((COPIA!$DA$3:$DE$1339),MATCH(ROWS(B$10:B431),COPIA!$DF$3:$DF$1339,0),COLUMN()-1),"")&gt;=1,IFERROR(INDEX((COPIA!$DA$3:$DE$1339),MATCH(ROWS(B$10:B431),COPIA!$DF$3:$DF$1339,0),COLUMN()-1),""),"")</f>
        <v/>
      </c>
      <c r="C431" s="5" t="str">
        <f ca="1">SUBSTITUTE(IFERROR(INDEX((COPIA!$DA$3:$DE$1339),MATCH(ROWS(C$10:C431),COPIA!$DF$3:$DF$1339,0),COLUMN()-1),""),"MASTRO","")</f>
        <v/>
      </c>
      <c r="D431" s="136" t="str">
        <f ca="1">IF(IFERROR(INDEX((COPIA!$DA$3:$DE$1339),MATCH(ROWS(D$10:D431),COPIA!$DF$3:$DF$1339,0),COLUMN()-1),"")=0,"",IFERROR(INDEX((COPIA!$DA$3:$DE$1339),MATCH(ROWS(D$10:D431),COPIA!$DF$3:$DF$1339,0),COLUMN()-1),""))</f>
        <v/>
      </c>
      <c r="E431" s="9" t="str">
        <f ca="1">IF(IFERROR(INDEX((COPIA!$DA$3:$DE$1339),MATCH(ROWS(E$10:E431),COPIA!$DF$3:$DF$1339,0),COLUMN()-1),"")=0,"",IFERROR(INDEX((COPIA!$DA$3:$DE$1339),MATCH(ROWS(E$10:E431),COPIA!$DF$3:$DF$1339,0),COLUMN()-1),""))</f>
        <v/>
      </c>
      <c r="F431" s="6" t="str">
        <f ca="1">IF(IFERROR(INDEX((COPIA!$DA$3:$DE$1339),MATCH(ROWS(F$10:F431),COPIA!$DF$3:$DF$1339,0),COLUMN()-1),"")=0,"",IFERROR(INDEX((COPIA!$DA$3:$DE$1339),MATCH(ROWS(F$10:F431),COPIA!$DF$3:$DF$1339,0),COLUMN()-1),""))</f>
        <v/>
      </c>
    </row>
    <row r="432" spans="2:6" x14ac:dyDescent="0.3">
      <c r="B432" s="10" t="str">
        <f ca="1">IF(IFERROR(INDEX((COPIA!$DA$3:$DE$1339),MATCH(ROWS(B$10:B432),COPIA!$DF$3:$DF$1339,0),COLUMN()-1),"")&gt;=1,IFERROR(INDEX((COPIA!$DA$3:$DE$1339),MATCH(ROWS(B$10:B432),COPIA!$DF$3:$DF$1339,0),COLUMN()-1),""),"")</f>
        <v/>
      </c>
      <c r="C432" s="5" t="str">
        <f ca="1">SUBSTITUTE(IFERROR(INDEX((COPIA!$DA$3:$DE$1339),MATCH(ROWS(C$10:C432),COPIA!$DF$3:$DF$1339,0),COLUMN()-1),""),"MASTRO","")</f>
        <v/>
      </c>
      <c r="D432" s="136" t="str">
        <f ca="1">IF(IFERROR(INDEX((COPIA!$DA$3:$DE$1339),MATCH(ROWS(D$10:D432),COPIA!$DF$3:$DF$1339,0),COLUMN()-1),"")=0,"",IFERROR(INDEX((COPIA!$DA$3:$DE$1339),MATCH(ROWS(D$10:D432),COPIA!$DF$3:$DF$1339,0),COLUMN()-1),""))</f>
        <v/>
      </c>
      <c r="E432" s="9" t="str">
        <f ca="1">IF(IFERROR(INDEX((COPIA!$DA$3:$DE$1339),MATCH(ROWS(E$10:E432),COPIA!$DF$3:$DF$1339,0),COLUMN()-1),"")=0,"",IFERROR(INDEX((COPIA!$DA$3:$DE$1339),MATCH(ROWS(E$10:E432),COPIA!$DF$3:$DF$1339,0),COLUMN()-1),""))</f>
        <v/>
      </c>
      <c r="F432" s="6" t="str">
        <f ca="1">IF(IFERROR(INDEX((COPIA!$DA$3:$DE$1339),MATCH(ROWS(F$10:F432),COPIA!$DF$3:$DF$1339,0),COLUMN()-1),"")=0,"",IFERROR(INDEX((COPIA!$DA$3:$DE$1339),MATCH(ROWS(F$10:F432),COPIA!$DF$3:$DF$1339,0),COLUMN()-1),""))</f>
        <v/>
      </c>
    </row>
    <row r="433" spans="2:6" x14ac:dyDescent="0.3">
      <c r="B433" s="10" t="str">
        <f ca="1">IF(IFERROR(INDEX((COPIA!$DA$3:$DE$1339),MATCH(ROWS(B$10:B433),COPIA!$DF$3:$DF$1339,0),COLUMN()-1),"")&gt;=1,IFERROR(INDEX((COPIA!$DA$3:$DE$1339),MATCH(ROWS(B$10:B433),COPIA!$DF$3:$DF$1339,0),COLUMN()-1),""),"")</f>
        <v/>
      </c>
      <c r="C433" s="5" t="str">
        <f ca="1">SUBSTITUTE(IFERROR(INDEX((COPIA!$DA$3:$DE$1339),MATCH(ROWS(C$10:C433),COPIA!$DF$3:$DF$1339,0),COLUMN()-1),""),"MASTRO","")</f>
        <v/>
      </c>
      <c r="D433" s="136" t="str">
        <f ca="1">IF(IFERROR(INDEX((COPIA!$DA$3:$DE$1339),MATCH(ROWS(D$10:D433),COPIA!$DF$3:$DF$1339,0),COLUMN()-1),"")=0,"",IFERROR(INDEX((COPIA!$DA$3:$DE$1339),MATCH(ROWS(D$10:D433),COPIA!$DF$3:$DF$1339,0),COLUMN()-1),""))</f>
        <v/>
      </c>
      <c r="E433" s="9" t="str">
        <f ca="1">IF(IFERROR(INDEX((COPIA!$DA$3:$DE$1339),MATCH(ROWS(E$10:E433),COPIA!$DF$3:$DF$1339,0),COLUMN()-1),"")=0,"",IFERROR(INDEX((COPIA!$DA$3:$DE$1339),MATCH(ROWS(E$10:E433),COPIA!$DF$3:$DF$1339,0),COLUMN()-1),""))</f>
        <v/>
      </c>
      <c r="F433" s="6" t="str">
        <f ca="1">IF(IFERROR(INDEX((COPIA!$DA$3:$DE$1339),MATCH(ROWS(F$10:F433),COPIA!$DF$3:$DF$1339,0),COLUMN()-1),"")=0,"",IFERROR(INDEX((COPIA!$DA$3:$DE$1339),MATCH(ROWS(F$10:F433),COPIA!$DF$3:$DF$1339,0),COLUMN()-1),""))</f>
        <v/>
      </c>
    </row>
    <row r="434" spans="2:6" x14ac:dyDescent="0.3">
      <c r="B434" s="10" t="str">
        <f ca="1">IF(IFERROR(INDEX((COPIA!$DA$3:$DE$1339),MATCH(ROWS(B$10:B434),COPIA!$DF$3:$DF$1339,0),COLUMN()-1),"")&gt;=1,IFERROR(INDEX((COPIA!$DA$3:$DE$1339),MATCH(ROWS(B$10:B434),COPIA!$DF$3:$DF$1339,0),COLUMN()-1),""),"")</f>
        <v/>
      </c>
      <c r="C434" s="5" t="str">
        <f ca="1">SUBSTITUTE(IFERROR(INDEX((COPIA!$DA$3:$DE$1339),MATCH(ROWS(C$10:C434),COPIA!$DF$3:$DF$1339,0),COLUMN()-1),""),"MASTRO","")</f>
        <v/>
      </c>
      <c r="D434" s="136" t="str">
        <f ca="1">IF(IFERROR(INDEX((COPIA!$DA$3:$DE$1339),MATCH(ROWS(D$10:D434),COPIA!$DF$3:$DF$1339,0),COLUMN()-1),"")=0,"",IFERROR(INDEX((COPIA!$DA$3:$DE$1339),MATCH(ROWS(D$10:D434),COPIA!$DF$3:$DF$1339,0),COLUMN()-1),""))</f>
        <v/>
      </c>
      <c r="E434" s="9" t="str">
        <f ca="1">IF(IFERROR(INDEX((COPIA!$DA$3:$DE$1339),MATCH(ROWS(E$10:E434),COPIA!$DF$3:$DF$1339,0),COLUMN()-1),"")=0,"",IFERROR(INDEX((COPIA!$DA$3:$DE$1339),MATCH(ROWS(E$10:E434),COPIA!$DF$3:$DF$1339,0),COLUMN()-1),""))</f>
        <v/>
      </c>
      <c r="F434" s="6" t="str">
        <f ca="1">IF(IFERROR(INDEX((COPIA!$DA$3:$DE$1339),MATCH(ROWS(F$10:F434),COPIA!$DF$3:$DF$1339,0),COLUMN()-1),"")=0,"",IFERROR(INDEX((COPIA!$DA$3:$DE$1339),MATCH(ROWS(F$10:F434),COPIA!$DF$3:$DF$1339,0),COLUMN()-1),""))</f>
        <v/>
      </c>
    </row>
    <row r="435" spans="2:6" x14ac:dyDescent="0.3">
      <c r="B435" s="10" t="str">
        <f ca="1">IF(IFERROR(INDEX((COPIA!$DA$3:$DE$1339),MATCH(ROWS(B$10:B435),COPIA!$DF$3:$DF$1339,0),COLUMN()-1),"")&gt;=1,IFERROR(INDEX((COPIA!$DA$3:$DE$1339),MATCH(ROWS(B$10:B435),COPIA!$DF$3:$DF$1339,0),COLUMN()-1),""),"")</f>
        <v/>
      </c>
      <c r="C435" s="5" t="str">
        <f ca="1">SUBSTITUTE(IFERROR(INDEX((COPIA!$DA$3:$DE$1339),MATCH(ROWS(C$10:C435),COPIA!$DF$3:$DF$1339,0),COLUMN()-1),""),"MASTRO","")</f>
        <v/>
      </c>
      <c r="D435" s="136" t="str">
        <f ca="1">IF(IFERROR(INDEX((COPIA!$DA$3:$DE$1339),MATCH(ROWS(D$10:D435),COPIA!$DF$3:$DF$1339,0),COLUMN()-1),"")=0,"",IFERROR(INDEX((COPIA!$DA$3:$DE$1339),MATCH(ROWS(D$10:D435),COPIA!$DF$3:$DF$1339,0),COLUMN()-1),""))</f>
        <v/>
      </c>
      <c r="E435" s="9" t="str">
        <f ca="1">IF(IFERROR(INDEX((COPIA!$DA$3:$DE$1339),MATCH(ROWS(E$10:E435),COPIA!$DF$3:$DF$1339,0),COLUMN()-1),"")=0,"",IFERROR(INDEX((COPIA!$DA$3:$DE$1339),MATCH(ROWS(E$10:E435),COPIA!$DF$3:$DF$1339,0),COLUMN()-1),""))</f>
        <v/>
      </c>
      <c r="F435" s="6" t="str">
        <f ca="1">IF(IFERROR(INDEX((COPIA!$DA$3:$DE$1339),MATCH(ROWS(F$10:F435),COPIA!$DF$3:$DF$1339,0),COLUMN()-1),"")=0,"",IFERROR(INDEX((COPIA!$DA$3:$DE$1339),MATCH(ROWS(F$10:F435),COPIA!$DF$3:$DF$1339,0),COLUMN()-1),""))</f>
        <v/>
      </c>
    </row>
    <row r="436" spans="2:6" x14ac:dyDescent="0.3">
      <c r="B436" s="10" t="str">
        <f ca="1">IF(IFERROR(INDEX((COPIA!$DA$3:$DE$1339),MATCH(ROWS(B$10:B436),COPIA!$DF$3:$DF$1339,0),COLUMN()-1),"")&gt;=1,IFERROR(INDEX((COPIA!$DA$3:$DE$1339),MATCH(ROWS(B$10:B436),COPIA!$DF$3:$DF$1339,0),COLUMN()-1),""),"")</f>
        <v/>
      </c>
      <c r="C436" s="5" t="str">
        <f ca="1">SUBSTITUTE(IFERROR(INDEX((COPIA!$DA$3:$DE$1339),MATCH(ROWS(C$10:C436),COPIA!$DF$3:$DF$1339,0),COLUMN()-1),""),"MASTRO","")</f>
        <v/>
      </c>
      <c r="D436" s="136" t="str">
        <f ca="1">IF(IFERROR(INDEX((COPIA!$DA$3:$DE$1339),MATCH(ROWS(D$10:D436),COPIA!$DF$3:$DF$1339,0),COLUMN()-1),"")=0,"",IFERROR(INDEX((COPIA!$DA$3:$DE$1339),MATCH(ROWS(D$10:D436),COPIA!$DF$3:$DF$1339,0),COLUMN()-1),""))</f>
        <v/>
      </c>
      <c r="E436" s="9" t="str">
        <f ca="1">IF(IFERROR(INDEX((COPIA!$DA$3:$DE$1339),MATCH(ROWS(E$10:E436),COPIA!$DF$3:$DF$1339,0),COLUMN()-1),"")=0,"",IFERROR(INDEX((COPIA!$DA$3:$DE$1339),MATCH(ROWS(E$10:E436),COPIA!$DF$3:$DF$1339,0),COLUMN()-1),""))</f>
        <v/>
      </c>
      <c r="F436" s="6" t="str">
        <f ca="1">IF(IFERROR(INDEX((COPIA!$DA$3:$DE$1339),MATCH(ROWS(F$10:F436),COPIA!$DF$3:$DF$1339,0),COLUMN()-1),"")=0,"",IFERROR(INDEX((COPIA!$DA$3:$DE$1339),MATCH(ROWS(F$10:F436),COPIA!$DF$3:$DF$1339,0),COLUMN()-1),""))</f>
        <v/>
      </c>
    </row>
    <row r="437" spans="2:6" x14ac:dyDescent="0.3">
      <c r="B437" s="10" t="str">
        <f ca="1">IF(IFERROR(INDEX((COPIA!$DA$3:$DE$1339),MATCH(ROWS(B$10:B437),COPIA!$DF$3:$DF$1339,0),COLUMN()-1),"")&gt;=1,IFERROR(INDEX((COPIA!$DA$3:$DE$1339),MATCH(ROWS(B$10:B437),COPIA!$DF$3:$DF$1339,0),COLUMN()-1),""),"")</f>
        <v/>
      </c>
      <c r="C437" s="5" t="str">
        <f ca="1">SUBSTITUTE(IFERROR(INDEX((COPIA!$DA$3:$DE$1339),MATCH(ROWS(C$10:C437),COPIA!$DF$3:$DF$1339,0),COLUMN()-1),""),"MASTRO","")</f>
        <v/>
      </c>
      <c r="D437" s="136" t="str">
        <f ca="1">IF(IFERROR(INDEX((COPIA!$DA$3:$DE$1339),MATCH(ROWS(D$10:D437),COPIA!$DF$3:$DF$1339,0),COLUMN()-1),"")=0,"",IFERROR(INDEX((COPIA!$DA$3:$DE$1339),MATCH(ROWS(D$10:D437),COPIA!$DF$3:$DF$1339,0),COLUMN()-1),""))</f>
        <v/>
      </c>
      <c r="E437" s="9" t="str">
        <f ca="1">IF(IFERROR(INDEX((COPIA!$DA$3:$DE$1339),MATCH(ROWS(E$10:E437),COPIA!$DF$3:$DF$1339,0),COLUMN()-1),"")=0,"",IFERROR(INDEX((COPIA!$DA$3:$DE$1339),MATCH(ROWS(E$10:E437),COPIA!$DF$3:$DF$1339,0),COLUMN()-1),""))</f>
        <v/>
      </c>
      <c r="F437" s="6" t="str">
        <f ca="1">IF(IFERROR(INDEX((COPIA!$DA$3:$DE$1339),MATCH(ROWS(F$10:F437),COPIA!$DF$3:$DF$1339,0),COLUMN()-1),"")=0,"",IFERROR(INDEX((COPIA!$DA$3:$DE$1339),MATCH(ROWS(F$10:F437),COPIA!$DF$3:$DF$1339,0),COLUMN()-1),""))</f>
        <v/>
      </c>
    </row>
    <row r="438" spans="2:6" x14ac:dyDescent="0.3">
      <c r="B438" s="10" t="str">
        <f ca="1">IF(IFERROR(INDEX((COPIA!$DA$3:$DE$1339),MATCH(ROWS(B$10:B438),COPIA!$DF$3:$DF$1339,0),COLUMN()-1),"")&gt;=1,IFERROR(INDEX((COPIA!$DA$3:$DE$1339),MATCH(ROWS(B$10:B438),COPIA!$DF$3:$DF$1339,0),COLUMN()-1),""),"")</f>
        <v/>
      </c>
      <c r="C438" s="5" t="str">
        <f ca="1">SUBSTITUTE(IFERROR(INDEX((COPIA!$DA$3:$DE$1339),MATCH(ROWS(C$10:C438),COPIA!$DF$3:$DF$1339,0),COLUMN()-1),""),"MASTRO","")</f>
        <v/>
      </c>
      <c r="D438" s="136" t="str">
        <f ca="1">IF(IFERROR(INDEX((COPIA!$DA$3:$DE$1339),MATCH(ROWS(D$10:D438),COPIA!$DF$3:$DF$1339,0),COLUMN()-1),"")=0,"",IFERROR(INDEX((COPIA!$DA$3:$DE$1339),MATCH(ROWS(D$10:D438),COPIA!$DF$3:$DF$1339,0),COLUMN()-1),""))</f>
        <v/>
      </c>
      <c r="E438" s="9" t="str">
        <f ca="1">IF(IFERROR(INDEX((COPIA!$DA$3:$DE$1339),MATCH(ROWS(E$10:E438),COPIA!$DF$3:$DF$1339,0),COLUMN()-1),"")=0,"",IFERROR(INDEX((COPIA!$DA$3:$DE$1339),MATCH(ROWS(E$10:E438),COPIA!$DF$3:$DF$1339,0),COLUMN()-1),""))</f>
        <v/>
      </c>
      <c r="F438" s="6" t="str">
        <f ca="1">IF(IFERROR(INDEX((COPIA!$DA$3:$DE$1339),MATCH(ROWS(F$10:F438),COPIA!$DF$3:$DF$1339,0),COLUMN()-1),"")=0,"",IFERROR(INDEX((COPIA!$DA$3:$DE$1339),MATCH(ROWS(F$10:F438),COPIA!$DF$3:$DF$1339,0),COLUMN()-1),""))</f>
        <v/>
      </c>
    </row>
    <row r="439" spans="2:6" x14ac:dyDescent="0.3">
      <c r="B439" s="10" t="str">
        <f ca="1">IF(IFERROR(INDEX((COPIA!$DA$3:$DE$1339),MATCH(ROWS(B$10:B439),COPIA!$DF$3:$DF$1339,0),COLUMN()-1),"")&gt;=1,IFERROR(INDEX((COPIA!$DA$3:$DE$1339),MATCH(ROWS(B$10:B439),COPIA!$DF$3:$DF$1339,0),COLUMN()-1),""),"")</f>
        <v/>
      </c>
      <c r="C439" s="5" t="str">
        <f ca="1">SUBSTITUTE(IFERROR(INDEX((COPIA!$DA$3:$DE$1339),MATCH(ROWS(C$10:C439),COPIA!$DF$3:$DF$1339,0),COLUMN()-1),""),"MASTRO","")</f>
        <v/>
      </c>
      <c r="D439" s="136" t="str">
        <f ca="1">IF(IFERROR(INDEX((COPIA!$DA$3:$DE$1339),MATCH(ROWS(D$10:D439),COPIA!$DF$3:$DF$1339,0),COLUMN()-1),"")=0,"",IFERROR(INDEX((COPIA!$DA$3:$DE$1339),MATCH(ROWS(D$10:D439),COPIA!$DF$3:$DF$1339,0),COLUMN()-1),""))</f>
        <v/>
      </c>
      <c r="E439" s="9" t="str">
        <f ca="1">IF(IFERROR(INDEX((COPIA!$DA$3:$DE$1339),MATCH(ROWS(E$10:E439),COPIA!$DF$3:$DF$1339,0),COLUMN()-1),"")=0,"",IFERROR(INDEX((COPIA!$DA$3:$DE$1339),MATCH(ROWS(E$10:E439),COPIA!$DF$3:$DF$1339,0),COLUMN()-1),""))</f>
        <v/>
      </c>
      <c r="F439" s="6" t="str">
        <f ca="1">IF(IFERROR(INDEX((COPIA!$DA$3:$DE$1339),MATCH(ROWS(F$10:F439),COPIA!$DF$3:$DF$1339,0),COLUMN()-1),"")=0,"",IFERROR(INDEX((COPIA!$DA$3:$DE$1339),MATCH(ROWS(F$10:F439),COPIA!$DF$3:$DF$1339,0),COLUMN()-1),""))</f>
        <v/>
      </c>
    </row>
    <row r="440" spans="2:6" x14ac:dyDescent="0.3">
      <c r="B440" s="10" t="str">
        <f ca="1">IF(IFERROR(INDEX((COPIA!$DA$3:$DE$1339),MATCH(ROWS(B$10:B440),COPIA!$DF$3:$DF$1339,0),COLUMN()-1),"")&gt;=1,IFERROR(INDEX((COPIA!$DA$3:$DE$1339),MATCH(ROWS(B$10:B440),COPIA!$DF$3:$DF$1339,0),COLUMN()-1),""),"")</f>
        <v/>
      </c>
      <c r="C440" s="5" t="str">
        <f ca="1">SUBSTITUTE(IFERROR(INDEX((COPIA!$DA$3:$DE$1339),MATCH(ROWS(C$10:C440),COPIA!$DF$3:$DF$1339,0),COLUMN()-1),""),"MASTRO","")</f>
        <v/>
      </c>
      <c r="D440" s="136" t="str">
        <f ca="1">IF(IFERROR(INDEX((COPIA!$DA$3:$DE$1339),MATCH(ROWS(D$10:D440),COPIA!$DF$3:$DF$1339,0),COLUMN()-1),"")=0,"",IFERROR(INDEX((COPIA!$DA$3:$DE$1339),MATCH(ROWS(D$10:D440),COPIA!$DF$3:$DF$1339,0),COLUMN()-1),""))</f>
        <v/>
      </c>
      <c r="E440" s="9" t="str">
        <f ca="1">IF(IFERROR(INDEX((COPIA!$DA$3:$DE$1339),MATCH(ROWS(E$10:E440),COPIA!$DF$3:$DF$1339,0),COLUMN()-1),"")=0,"",IFERROR(INDEX((COPIA!$DA$3:$DE$1339),MATCH(ROWS(E$10:E440),COPIA!$DF$3:$DF$1339,0),COLUMN()-1),""))</f>
        <v/>
      </c>
      <c r="F440" s="6" t="str">
        <f ca="1">IF(IFERROR(INDEX((COPIA!$DA$3:$DE$1339),MATCH(ROWS(F$10:F440),COPIA!$DF$3:$DF$1339,0),COLUMN()-1),"")=0,"",IFERROR(INDEX((COPIA!$DA$3:$DE$1339),MATCH(ROWS(F$10:F440),COPIA!$DF$3:$DF$1339,0),COLUMN()-1),""))</f>
        <v/>
      </c>
    </row>
    <row r="441" spans="2:6" x14ac:dyDescent="0.3">
      <c r="B441" s="10" t="str">
        <f ca="1">IF(IFERROR(INDEX((COPIA!$DA$3:$DE$1339),MATCH(ROWS(B$10:B441),COPIA!$DF$3:$DF$1339,0),COLUMN()-1),"")&gt;=1,IFERROR(INDEX((COPIA!$DA$3:$DE$1339),MATCH(ROWS(B$10:B441),COPIA!$DF$3:$DF$1339,0),COLUMN()-1),""),"")</f>
        <v/>
      </c>
      <c r="C441" s="5" t="str">
        <f ca="1">SUBSTITUTE(IFERROR(INDEX((COPIA!$DA$3:$DE$1339),MATCH(ROWS(C$10:C441),COPIA!$DF$3:$DF$1339,0),COLUMN()-1),""),"MASTRO","")</f>
        <v/>
      </c>
      <c r="D441" s="136" t="str">
        <f ca="1">IF(IFERROR(INDEX((COPIA!$DA$3:$DE$1339),MATCH(ROWS(D$10:D441),COPIA!$DF$3:$DF$1339,0),COLUMN()-1),"")=0,"",IFERROR(INDEX((COPIA!$DA$3:$DE$1339),MATCH(ROWS(D$10:D441),COPIA!$DF$3:$DF$1339,0),COLUMN()-1),""))</f>
        <v/>
      </c>
      <c r="E441" s="9" t="str">
        <f ca="1">IF(IFERROR(INDEX((COPIA!$DA$3:$DE$1339),MATCH(ROWS(E$10:E441),COPIA!$DF$3:$DF$1339,0),COLUMN()-1),"")=0,"",IFERROR(INDEX((COPIA!$DA$3:$DE$1339),MATCH(ROWS(E$10:E441),COPIA!$DF$3:$DF$1339,0),COLUMN()-1),""))</f>
        <v/>
      </c>
      <c r="F441" s="6" t="str">
        <f ca="1">IF(IFERROR(INDEX((COPIA!$DA$3:$DE$1339),MATCH(ROWS(F$10:F441),COPIA!$DF$3:$DF$1339,0),COLUMN()-1),"")=0,"",IFERROR(INDEX((COPIA!$DA$3:$DE$1339),MATCH(ROWS(F$10:F441),COPIA!$DF$3:$DF$1339,0),COLUMN()-1),""))</f>
        <v/>
      </c>
    </row>
    <row r="442" spans="2:6" x14ac:dyDescent="0.3">
      <c r="B442" s="10" t="str">
        <f ca="1">IF(IFERROR(INDEX((COPIA!$DA$3:$DE$1339),MATCH(ROWS(B$10:B442),COPIA!$DF$3:$DF$1339,0),COLUMN()-1),"")&gt;=1,IFERROR(INDEX((COPIA!$DA$3:$DE$1339),MATCH(ROWS(B$10:B442),COPIA!$DF$3:$DF$1339,0),COLUMN()-1),""),"")</f>
        <v/>
      </c>
      <c r="C442" s="5" t="str">
        <f ca="1">SUBSTITUTE(IFERROR(INDEX((COPIA!$DA$3:$DE$1339),MATCH(ROWS(C$10:C442),COPIA!$DF$3:$DF$1339,0),COLUMN()-1),""),"MASTRO","")</f>
        <v/>
      </c>
      <c r="D442" s="136" t="str">
        <f ca="1">IF(IFERROR(INDEX((COPIA!$DA$3:$DE$1339),MATCH(ROWS(D$10:D442),COPIA!$DF$3:$DF$1339,0),COLUMN()-1),"")=0,"",IFERROR(INDEX((COPIA!$DA$3:$DE$1339),MATCH(ROWS(D$10:D442),COPIA!$DF$3:$DF$1339,0),COLUMN()-1),""))</f>
        <v/>
      </c>
      <c r="E442" s="9" t="str">
        <f ca="1">IF(IFERROR(INDEX((COPIA!$DA$3:$DE$1339),MATCH(ROWS(E$10:E442),COPIA!$DF$3:$DF$1339,0),COLUMN()-1),"")=0,"",IFERROR(INDEX((COPIA!$DA$3:$DE$1339),MATCH(ROWS(E$10:E442),COPIA!$DF$3:$DF$1339,0),COLUMN()-1),""))</f>
        <v/>
      </c>
      <c r="F442" s="6" t="str">
        <f ca="1">IF(IFERROR(INDEX((COPIA!$DA$3:$DE$1339),MATCH(ROWS(F$10:F442),COPIA!$DF$3:$DF$1339,0),COLUMN()-1),"")=0,"",IFERROR(INDEX((COPIA!$DA$3:$DE$1339),MATCH(ROWS(F$10:F442),COPIA!$DF$3:$DF$1339,0),COLUMN()-1),""))</f>
        <v/>
      </c>
    </row>
    <row r="443" spans="2:6" x14ac:dyDescent="0.3">
      <c r="B443" s="10" t="str">
        <f ca="1">IF(IFERROR(INDEX((COPIA!$DA$3:$DE$1339),MATCH(ROWS(B$10:B443),COPIA!$DF$3:$DF$1339,0),COLUMN()-1),"")&gt;=1,IFERROR(INDEX((COPIA!$DA$3:$DE$1339),MATCH(ROWS(B$10:B443),COPIA!$DF$3:$DF$1339,0),COLUMN()-1),""),"")</f>
        <v/>
      </c>
      <c r="C443" s="5" t="str">
        <f ca="1">SUBSTITUTE(IFERROR(INDEX((COPIA!$DA$3:$DE$1339),MATCH(ROWS(C$10:C443),COPIA!$DF$3:$DF$1339,0),COLUMN()-1),""),"MASTRO","")</f>
        <v/>
      </c>
      <c r="D443" s="136" t="str">
        <f ca="1">IF(IFERROR(INDEX((COPIA!$DA$3:$DE$1339),MATCH(ROWS(D$10:D443),COPIA!$DF$3:$DF$1339,0),COLUMN()-1),"")=0,"",IFERROR(INDEX((COPIA!$DA$3:$DE$1339),MATCH(ROWS(D$10:D443),COPIA!$DF$3:$DF$1339,0),COLUMN()-1),""))</f>
        <v/>
      </c>
      <c r="E443" s="9" t="str">
        <f ca="1">IF(IFERROR(INDEX((COPIA!$DA$3:$DE$1339),MATCH(ROWS(E$10:E443),COPIA!$DF$3:$DF$1339,0),COLUMN()-1),"")=0,"",IFERROR(INDEX((COPIA!$DA$3:$DE$1339),MATCH(ROWS(E$10:E443),COPIA!$DF$3:$DF$1339,0),COLUMN()-1),""))</f>
        <v/>
      </c>
      <c r="F443" s="6" t="str">
        <f ca="1">IF(IFERROR(INDEX((COPIA!$DA$3:$DE$1339),MATCH(ROWS(F$10:F443),COPIA!$DF$3:$DF$1339,0),COLUMN()-1),"")=0,"",IFERROR(INDEX((COPIA!$DA$3:$DE$1339),MATCH(ROWS(F$10:F443),COPIA!$DF$3:$DF$1339,0),COLUMN()-1),""))</f>
        <v/>
      </c>
    </row>
    <row r="444" spans="2:6" x14ac:dyDescent="0.3">
      <c r="B444" s="10" t="str">
        <f ca="1">IF(IFERROR(INDEX((COPIA!$DA$3:$DE$1339),MATCH(ROWS(B$10:B444),COPIA!$DF$3:$DF$1339,0),COLUMN()-1),"")&gt;=1,IFERROR(INDEX((COPIA!$DA$3:$DE$1339),MATCH(ROWS(B$10:B444),COPIA!$DF$3:$DF$1339,0),COLUMN()-1),""),"")</f>
        <v/>
      </c>
      <c r="C444" s="5" t="str">
        <f ca="1">SUBSTITUTE(IFERROR(INDEX((COPIA!$DA$3:$DE$1339),MATCH(ROWS(C$10:C444),COPIA!$DF$3:$DF$1339,0),COLUMN()-1),""),"MASTRO","")</f>
        <v/>
      </c>
      <c r="D444" s="136" t="str">
        <f ca="1">IF(IFERROR(INDEX((COPIA!$DA$3:$DE$1339),MATCH(ROWS(D$10:D444),COPIA!$DF$3:$DF$1339,0),COLUMN()-1),"")=0,"",IFERROR(INDEX((COPIA!$DA$3:$DE$1339),MATCH(ROWS(D$10:D444),COPIA!$DF$3:$DF$1339,0),COLUMN()-1),""))</f>
        <v/>
      </c>
      <c r="E444" s="9" t="str">
        <f ca="1">IF(IFERROR(INDEX((COPIA!$DA$3:$DE$1339),MATCH(ROWS(E$10:E444),COPIA!$DF$3:$DF$1339,0),COLUMN()-1),"")=0,"",IFERROR(INDEX((COPIA!$DA$3:$DE$1339),MATCH(ROWS(E$10:E444),COPIA!$DF$3:$DF$1339,0),COLUMN()-1),""))</f>
        <v/>
      </c>
      <c r="F444" s="6" t="str">
        <f ca="1">IF(IFERROR(INDEX((COPIA!$DA$3:$DE$1339),MATCH(ROWS(F$10:F444),COPIA!$DF$3:$DF$1339,0),COLUMN()-1),"")=0,"",IFERROR(INDEX((COPIA!$DA$3:$DE$1339),MATCH(ROWS(F$10:F444),COPIA!$DF$3:$DF$1339,0),COLUMN()-1),""))</f>
        <v/>
      </c>
    </row>
    <row r="445" spans="2:6" x14ac:dyDescent="0.3">
      <c r="B445" s="10" t="str">
        <f ca="1">IF(IFERROR(INDEX((COPIA!$DA$3:$DE$1339),MATCH(ROWS(B$10:B445),COPIA!$DF$3:$DF$1339,0),COLUMN()-1),"")&gt;=1,IFERROR(INDEX((COPIA!$DA$3:$DE$1339),MATCH(ROWS(B$10:B445),COPIA!$DF$3:$DF$1339,0),COLUMN()-1),""),"")</f>
        <v/>
      </c>
      <c r="C445" s="5" t="str">
        <f ca="1">SUBSTITUTE(IFERROR(INDEX((COPIA!$DA$3:$DE$1339),MATCH(ROWS(C$10:C445),COPIA!$DF$3:$DF$1339,0),COLUMN()-1),""),"MASTRO","")</f>
        <v/>
      </c>
      <c r="D445" s="136" t="str">
        <f ca="1">IF(IFERROR(INDEX((COPIA!$DA$3:$DE$1339),MATCH(ROWS(D$10:D445),COPIA!$DF$3:$DF$1339,0),COLUMN()-1),"")=0,"",IFERROR(INDEX((COPIA!$DA$3:$DE$1339),MATCH(ROWS(D$10:D445),COPIA!$DF$3:$DF$1339,0),COLUMN()-1),""))</f>
        <v/>
      </c>
      <c r="E445" s="9" t="str">
        <f ca="1">IF(IFERROR(INDEX((COPIA!$DA$3:$DE$1339),MATCH(ROWS(E$10:E445),COPIA!$DF$3:$DF$1339,0),COLUMN()-1),"")=0,"",IFERROR(INDEX((COPIA!$DA$3:$DE$1339),MATCH(ROWS(E$10:E445),COPIA!$DF$3:$DF$1339,0),COLUMN()-1),""))</f>
        <v/>
      </c>
      <c r="F445" s="6" t="str">
        <f ca="1">IF(IFERROR(INDEX((COPIA!$DA$3:$DE$1339),MATCH(ROWS(F$10:F445),COPIA!$DF$3:$DF$1339,0),COLUMN()-1),"")=0,"",IFERROR(INDEX((COPIA!$DA$3:$DE$1339),MATCH(ROWS(F$10:F445),COPIA!$DF$3:$DF$1339,0),COLUMN()-1),""))</f>
        <v/>
      </c>
    </row>
    <row r="446" spans="2:6" x14ac:dyDescent="0.3">
      <c r="B446" s="10" t="str">
        <f ca="1">IF(IFERROR(INDEX((COPIA!$DA$3:$DE$1339),MATCH(ROWS(B$10:B446),COPIA!$DF$3:$DF$1339,0),COLUMN()-1),"")&gt;=1,IFERROR(INDEX((COPIA!$DA$3:$DE$1339),MATCH(ROWS(B$10:B446),COPIA!$DF$3:$DF$1339,0),COLUMN()-1),""),"")</f>
        <v/>
      </c>
      <c r="C446" s="5" t="str">
        <f ca="1">SUBSTITUTE(IFERROR(INDEX((COPIA!$DA$3:$DE$1339),MATCH(ROWS(C$10:C446),COPIA!$DF$3:$DF$1339,0),COLUMN()-1),""),"MASTRO","")</f>
        <v/>
      </c>
      <c r="D446" s="136" t="str">
        <f ca="1">IF(IFERROR(INDEX((COPIA!$DA$3:$DE$1339),MATCH(ROWS(D$10:D446),COPIA!$DF$3:$DF$1339,0),COLUMN()-1),"")=0,"",IFERROR(INDEX((COPIA!$DA$3:$DE$1339),MATCH(ROWS(D$10:D446),COPIA!$DF$3:$DF$1339,0),COLUMN()-1),""))</f>
        <v/>
      </c>
      <c r="E446" s="9" t="str">
        <f ca="1">IF(IFERROR(INDEX((COPIA!$DA$3:$DE$1339),MATCH(ROWS(E$10:E446),COPIA!$DF$3:$DF$1339,0),COLUMN()-1),"")=0,"",IFERROR(INDEX((COPIA!$DA$3:$DE$1339),MATCH(ROWS(E$10:E446),COPIA!$DF$3:$DF$1339,0),COLUMN()-1),""))</f>
        <v/>
      </c>
      <c r="F446" s="6" t="str">
        <f ca="1">IF(IFERROR(INDEX((COPIA!$DA$3:$DE$1339),MATCH(ROWS(F$10:F446),COPIA!$DF$3:$DF$1339,0),COLUMN()-1),"")=0,"",IFERROR(INDEX((COPIA!$DA$3:$DE$1339),MATCH(ROWS(F$10:F446),COPIA!$DF$3:$DF$1339,0),COLUMN()-1),""))</f>
        <v/>
      </c>
    </row>
    <row r="447" spans="2:6" x14ac:dyDescent="0.3">
      <c r="B447" s="10" t="str">
        <f ca="1">IF(IFERROR(INDEX((COPIA!$DA$3:$DE$1339),MATCH(ROWS(B$10:B447),COPIA!$DF$3:$DF$1339,0),COLUMN()-1),"")&gt;=1,IFERROR(INDEX((COPIA!$DA$3:$DE$1339),MATCH(ROWS(B$10:B447),COPIA!$DF$3:$DF$1339,0),COLUMN()-1),""),"")</f>
        <v/>
      </c>
      <c r="C447" s="5" t="str">
        <f ca="1">SUBSTITUTE(IFERROR(INDEX((COPIA!$DA$3:$DE$1339),MATCH(ROWS(C$10:C447),COPIA!$DF$3:$DF$1339,0),COLUMN()-1),""),"MASTRO","")</f>
        <v/>
      </c>
      <c r="D447" s="136" t="str">
        <f ca="1">IF(IFERROR(INDEX((COPIA!$DA$3:$DE$1339),MATCH(ROWS(D$10:D447),COPIA!$DF$3:$DF$1339,0),COLUMN()-1),"")=0,"",IFERROR(INDEX((COPIA!$DA$3:$DE$1339),MATCH(ROWS(D$10:D447),COPIA!$DF$3:$DF$1339,0),COLUMN()-1),""))</f>
        <v/>
      </c>
      <c r="E447" s="9" t="str">
        <f ca="1">IF(IFERROR(INDEX((COPIA!$DA$3:$DE$1339),MATCH(ROWS(E$10:E447),COPIA!$DF$3:$DF$1339,0),COLUMN()-1),"")=0,"",IFERROR(INDEX((COPIA!$DA$3:$DE$1339),MATCH(ROWS(E$10:E447),COPIA!$DF$3:$DF$1339,0),COLUMN()-1),""))</f>
        <v/>
      </c>
      <c r="F447" s="6" t="str">
        <f ca="1">IF(IFERROR(INDEX((COPIA!$DA$3:$DE$1339),MATCH(ROWS(F$10:F447),COPIA!$DF$3:$DF$1339,0),COLUMN()-1),"")=0,"",IFERROR(INDEX((COPIA!$DA$3:$DE$1339),MATCH(ROWS(F$10:F447),COPIA!$DF$3:$DF$1339,0),COLUMN()-1),""))</f>
        <v/>
      </c>
    </row>
    <row r="448" spans="2:6" x14ac:dyDescent="0.3">
      <c r="B448" s="10" t="str">
        <f ca="1">IF(IFERROR(INDEX((COPIA!$DA$3:$DE$1339),MATCH(ROWS(B$10:B448),COPIA!$DF$3:$DF$1339,0),COLUMN()-1),"")&gt;=1,IFERROR(INDEX((COPIA!$DA$3:$DE$1339),MATCH(ROWS(B$10:B448),COPIA!$DF$3:$DF$1339,0),COLUMN()-1),""),"")</f>
        <v/>
      </c>
      <c r="C448" s="5" t="str">
        <f ca="1">SUBSTITUTE(IFERROR(INDEX((COPIA!$DA$3:$DE$1339),MATCH(ROWS(C$10:C448),COPIA!$DF$3:$DF$1339,0),COLUMN()-1),""),"MASTRO","")</f>
        <v/>
      </c>
      <c r="D448" s="136" t="str">
        <f ca="1">IF(IFERROR(INDEX((COPIA!$DA$3:$DE$1339),MATCH(ROWS(D$10:D448),COPIA!$DF$3:$DF$1339,0),COLUMN()-1),"")=0,"",IFERROR(INDEX((COPIA!$DA$3:$DE$1339),MATCH(ROWS(D$10:D448),COPIA!$DF$3:$DF$1339,0),COLUMN()-1),""))</f>
        <v/>
      </c>
      <c r="E448" s="9" t="str">
        <f ca="1">IF(IFERROR(INDEX((COPIA!$DA$3:$DE$1339),MATCH(ROWS(E$10:E448),COPIA!$DF$3:$DF$1339,0),COLUMN()-1),"")=0,"",IFERROR(INDEX((COPIA!$DA$3:$DE$1339),MATCH(ROWS(E$10:E448),COPIA!$DF$3:$DF$1339,0),COLUMN()-1),""))</f>
        <v/>
      </c>
      <c r="F448" s="6" t="str">
        <f ca="1">IF(IFERROR(INDEX((COPIA!$DA$3:$DE$1339),MATCH(ROWS(F$10:F448),COPIA!$DF$3:$DF$1339,0),COLUMN()-1),"")=0,"",IFERROR(INDEX((COPIA!$DA$3:$DE$1339),MATCH(ROWS(F$10:F448),COPIA!$DF$3:$DF$1339,0),COLUMN()-1),""))</f>
        <v/>
      </c>
    </row>
    <row r="449" spans="2:6" x14ac:dyDescent="0.3">
      <c r="B449" s="10" t="str">
        <f ca="1">IF(IFERROR(INDEX((COPIA!$DA$3:$DE$1339),MATCH(ROWS(B$10:B449),COPIA!$DF$3:$DF$1339,0),COLUMN()-1),"")&gt;=1,IFERROR(INDEX((COPIA!$DA$3:$DE$1339),MATCH(ROWS(B$10:B449),COPIA!$DF$3:$DF$1339,0),COLUMN()-1),""),"")</f>
        <v/>
      </c>
      <c r="C449" s="5" t="str">
        <f ca="1">SUBSTITUTE(IFERROR(INDEX((COPIA!$DA$3:$DE$1339),MATCH(ROWS(C$10:C449),COPIA!$DF$3:$DF$1339,0),COLUMN()-1),""),"MASTRO","")</f>
        <v/>
      </c>
      <c r="D449" s="136" t="str">
        <f ca="1">IF(IFERROR(INDEX((COPIA!$DA$3:$DE$1339),MATCH(ROWS(D$10:D449),COPIA!$DF$3:$DF$1339,0),COLUMN()-1),"")=0,"",IFERROR(INDEX((COPIA!$DA$3:$DE$1339),MATCH(ROWS(D$10:D449),COPIA!$DF$3:$DF$1339,0),COLUMN()-1),""))</f>
        <v/>
      </c>
      <c r="E449" s="9" t="str">
        <f ca="1">IF(IFERROR(INDEX((COPIA!$DA$3:$DE$1339),MATCH(ROWS(E$10:E449),COPIA!$DF$3:$DF$1339,0),COLUMN()-1),"")=0,"",IFERROR(INDEX((COPIA!$DA$3:$DE$1339),MATCH(ROWS(E$10:E449),COPIA!$DF$3:$DF$1339,0),COLUMN()-1),""))</f>
        <v/>
      </c>
      <c r="F449" s="6" t="str">
        <f ca="1">IF(IFERROR(INDEX((COPIA!$DA$3:$DE$1339),MATCH(ROWS(F$10:F449),COPIA!$DF$3:$DF$1339,0),COLUMN()-1),"")=0,"",IFERROR(INDEX((COPIA!$DA$3:$DE$1339),MATCH(ROWS(F$10:F449),COPIA!$DF$3:$DF$1339,0),COLUMN()-1),""))</f>
        <v/>
      </c>
    </row>
    <row r="450" spans="2:6" x14ac:dyDescent="0.3">
      <c r="B450" s="10" t="str">
        <f ca="1">IF(IFERROR(INDEX((COPIA!$DA$3:$DE$1339),MATCH(ROWS(B$10:B450),COPIA!$DF$3:$DF$1339,0),COLUMN()-1),"")&gt;=1,IFERROR(INDEX((COPIA!$DA$3:$DE$1339),MATCH(ROWS(B$10:B450),COPIA!$DF$3:$DF$1339,0),COLUMN()-1),""),"")</f>
        <v/>
      </c>
      <c r="C450" s="5" t="str">
        <f ca="1">SUBSTITUTE(IFERROR(INDEX((COPIA!$DA$3:$DE$1339),MATCH(ROWS(C$10:C450),COPIA!$DF$3:$DF$1339,0),COLUMN()-1),""),"MASTRO","")</f>
        <v/>
      </c>
      <c r="D450" s="136" t="str">
        <f ca="1">IF(IFERROR(INDEX((COPIA!$DA$3:$DE$1339),MATCH(ROWS(D$10:D450),COPIA!$DF$3:$DF$1339,0),COLUMN()-1),"")=0,"",IFERROR(INDEX((COPIA!$DA$3:$DE$1339),MATCH(ROWS(D$10:D450),COPIA!$DF$3:$DF$1339,0),COLUMN()-1),""))</f>
        <v/>
      </c>
      <c r="E450" s="9" t="str">
        <f ca="1">IF(IFERROR(INDEX((COPIA!$DA$3:$DE$1339),MATCH(ROWS(E$10:E450),COPIA!$DF$3:$DF$1339,0),COLUMN()-1),"")=0,"",IFERROR(INDEX((COPIA!$DA$3:$DE$1339),MATCH(ROWS(E$10:E450),COPIA!$DF$3:$DF$1339,0),COLUMN()-1),""))</f>
        <v/>
      </c>
      <c r="F450" s="6" t="str">
        <f ca="1">IF(IFERROR(INDEX((COPIA!$DA$3:$DE$1339),MATCH(ROWS(F$10:F450),COPIA!$DF$3:$DF$1339,0),COLUMN()-1),"")=0,"",IFERROR(INDEX((COPIA!$DA$3:$DE$1339),MATCH(ROWS(F$10:F450),COPIA!$DF$3:$DF$1339,0),COLUMN()-1),""))</f>
        <v/>
      </c>
    </row>
    <row r="451" spans="2:6" x14ac:dyDescent="0.3">
      <c r="B451" s="10" t="str">
        <f ca="1">IF(IFERROR(INDEX((COPIA!$DA$3:$DE$1339),MATCH(ROWS(B$10:B451),COPIA!$DF$3:$DF$1339,0),COLUMN()-1),"")&gt;=1,IFERROR(INDEX((COPIA!$DA$3:$DE$1339),MATCH(ROWS(B$10:B451),COPIA!$DF$3:$DF$1339,0),COLUMN()-1),""),"")</f>
        <v/>
      </c>
      <c r="C451" s="5" t="str">
        <f ca="1">SUBSTITUTE(IFERROR(INDEX((COPIA!$DA$3:$DE$1339),MATCH(ROWS(C$10:C451),COPIA!$DF$3:$DF$1339,0),COLUMN()-1),""),"MASTRO","")</f>
        <v/>
      </c>
      <c r="D451" s="136" t="str">
        <f ca="1">IF(IFERROR(INDEX((COPIA!$DA$3:$DE$1339),MATCH(ROWS(D$10:D451),COPIA!$DF$3:$DF$1339,0),COLUMN()-1),"")=0,"",IFERROR(INDEX((COPIA!$DA$3:$DE$1339),MATCH(ROWS(D$10:D451),COPIA!$DF$3:$DF$1339,0),COLUMN()-1),""))</f>
        <v/>
      </c>
      <c r="E451" s="9" t="str">
        <f ca="1">IF(IFERROR(INDEX((COPIA!$DA$3:$DE$1339),MATCH(ROWS(E$10:E451),COPIA!$DF$3:$DF$1339,0),COLUMN()-1),"")=0,"",IFERROR(INDEX((COPIA!$DA$3:$DE$1339),MATCH(ROWS(E$10:E451),COPIA!$DF$3:$DF$1339,0),COLUMN()-1),""))</f>
        <v/>
      </c>
      <c r="F451" s="6" t="str">
        <f ca="1">IF(IFERROR(INDEX((COPIA!$DA$3:$DE$1339),MATCH(ROWS(F$10:F451),COPIA!$DF$3:$DF$1339,0),COLUMN()-1),"")=0,"",IFERROR(INDEX((COPIA!$DA$3:$DE$1339),MATCH(ROWS(F$10:F451),COPIA!$DF$3:$DF$1339,0),COLUMN()-1),""))</f>
        <v/>
      </c>
    </row>
    <row r="452" spans="2:6" x14ac:dyDescent="0.3">
      <c r="B452" s="10" t="str">
        <f ca="1">IF(IFERROR(INDEX((COPIA!$DA$3:$DE$1339),MATCH(ROWS(B$10:B452),COPIA!$DF$3:$DF$1339,0),COLUMN()-1),"")&gt;=1,IFERROR(INDEX((COPIA!$DA$3:$DE$1339),MATCH(ROWS(B$10:B452),COPIA!$DF$3:$DF$1339,0),COLUMN()-1),""),"")</f>
        <v/>
      </c>
      <c r="C452" s="5" t="str">
        <f ca="1">SUBSTITUTE(IFERROR(INDEX((COPIA!$DA$3:$DE$1339),MATCH(ROWS(C$10:C452),COPIA!$DF$3:$DF$1339,0),COLUMN()-1),""),"MASTRO","")</f>
        <v/>
      </c>
      <c r="D452" s="136" t="str">
        <f ca="1">IF(IFERROR(INDEX((COPIA!$DA$3:$DE$1339),MATCH(ROWS(D$10:D452),COPIA!$DF$3:$DF$1339,0),COLUMN()-1),"")=0,"",IFERROR(INDEX((COPIA!$DA$3:$DE$1339),MATCH(ROWS(D$10:D452),COPIA!$DF$3:$DF$1339,0),COLUMN()-1),""))</f>
        <v/>
      </c>
      <c r="E452" s="9" t="str">
        <f ca="1">IF(IFERROR(INDEX((COPIA!$DA$3:$DE$1339),MATCH(ROWS(E$10:E452),COPIA!$DF$3:$DF$1339,0),COLUMN()-1),"")=0,"",IFERROR(INDEX((COPIA!$DA$3:$DE$1339),MATCH(ROWS(E$10:E452),COPIA!$DF$3:$DF$1339,0),COLUMN()-1),""))</f>
        <v/>
      </c>
      <c r="F452" s="6" t="str">
        <f ca="1">IF(IFERROR(INDEX((COPIA!$DA$3:$DE$1339),MATCH(ROWS(F$10:F452),COPIA!$DF$3:$DF$1339,0),COLUMN()-1),"")=0,"",IFERROR(INDEX((COPIA!$DA$3:$DE$1339),MATCH(ROWS(F$10:F452),COPIA!$DF$3:$DF$1339,0),COLUMN()-1),""))</f>
        <v/>
      </c>
    </row>
    <row r="453" spans="2:6" x14ac:dyDescent="0.3">
      <c r="B453" s="10" t="str">
        <f ca="1">IF(IFERROR(INDEX((COPIA!$DA$3:$DE$1339),MATCH(ROWS(B$10:B453),COPIA!$DF$3:$DF$1339,0),COLUMN()-1),"")&gt;=1,IFERROR(INDEX((COPIA!$DA$3:$DE$1339),MATCH(ROWS(B$10:B453),COPIA!$DF$3:$DF$1339,0),COLUMN()-1),""),"")</f>
        <v/>
      </c>
      <c r="C453" s="5" t="str">
        <f ca="1">SUBSTITUTE(IFERROR(INDEX((COPIA!$DA$3:$DE$1339),MATCH(ROWS(C$10:C453),COPIA!$DF$3:$DF$1339,0),COLUMN()-1),""),"MASTRO","")</f>
        <v/>
      </c>
      <c r="D453" s="136" t="str">
        <f ca="1">IF(IFERROR(INDEX((COPIA!$DA$3:$DE$1339),MATCH(ROWS(D$10:D453),COPIA!$DF$3:$DF$1339,0),COLUMN()-1),"")=0,"",IFERROR(INDEX((COPIA!$DA$3:$DE$1339),MATCH(ROWS(D$10:D453),COPIA!$DF$3:$DF$1339,0),COLUMN()-1),""))</f>
        <v/>
      </c>
      <c r="E453" s="9" t="str">
        <f ca="1">IF(IFERROR(INDEX((COPIA!$DA$3:$DE$1339),MATCH(ROWS(E$10:E453),COPIA!$DF$3:$DF$1339,0),COLUMN()-1),"")=0,"",IFERROR(INDEX((COPIA!$DA$3:$DE$1339),MATCH(ROWS(E$10:E453),COPIA!$DF$3:$DF$1339,0),COLUMN()-1),""))</f>
        <v/>
      </c>
      <c r="F453" s="6" t="str">
        <f ca="1">IF(IFERROR(INDEX((COPIA!$DA$3:$DE$1339),MATCH(ROWS(F$10:F453),COPIA!$DF$3:$DF$1339,0),COLUMN()-1),"")=0,"",IFERROR(INDEX((COPIA!$DA$3:$DE$1339),MATCH(ROWS(F$10:F453),COPIA!$DF$3:$DF$1339,0),COLUMN()-1),""))</f>
        <v/>
      </c>
    </row>
    <row r="454" spans="2:6" x14ac:dyDescent="0.3">
      <c r="B454" s="10" t="str">
        <f ca="1">IF(IFERROR(INDEX((COPIA!$DA$3:$DE$1339),MATCH(ROWS(B$10:B454),COPIA!$DF$3:$DF$1339,0),COLUMN()-1),"")&gt;=1,IFERROR(INDEX((COPIA!$DA$3:$DE$1339),MATCH(ROWS(B$10:B454),COPIA!$DF$3:$DF$1339,0),COLUMN()-1),""),"")</f>
        <v/>
      </c>
      <c r="C454" s="5" t="str">
        <f ca="1">SUBSTITUTE(IFERROR(INDEX((COPIA!$DA$3:$DE$1339),MATCH(ROWS(C$10:C454),COPIA!$DF$3:$DF$1339,0),COLUMN()-1),""),"MASTRO","")</f>
        <v/>
      </c>
      <c r="D454" s="136" t="str">
        <f ca="1">IF(IFERROR(INDEX((COPIA!$DA$3:$DE$1339),MATCH(ROWS(D$10:D454),COPIA!$DF$3:$DF$1339,0),COLUMN()-1),"")=0,"",IFERROR(INDEX((COPIA!$DA$3:$DE$1339),MATCH(ROWS(D$10:D454),COPIA!$DF$3:$DF$1339,0),COLUMN()-1),""))</f>
        <v/>
      </c>
      <c r="E454" s="9" t="str">
        <f ca="1">IF(IFERROR(INDEX((COPIA!$DA$3:$DE$1339),MATCH(ROWS(E$10:E454),COPIA!$DF$3:$DF$1339,0),COLUMN()-1),"")=0,"",IFERROR(INDEX((COPIA!$DA$3:$DE$1339),MATCH(ROWS(E$10:E454),COPIA!$DF$3:$DF$1339,0),COLUMN()-1),""))</f>
        <v/>
      </c>
      <c r="F454" s="6" t="str">
        <f ca="1">IF(IFERROR(INDEX((COPIA!$DA$3:$DE$1339),MATCH(ROWS(F$10:F454),COPIA!$DF$3:$DF$1339,0),COLUMN()-1),"")=0,"",IFERROR(INDEX((COPIA!$DA$3:$DE$1339),MATCH(ROWS(F$10:F454),COPIA!$DF$3:$DF$1339,0),COLUMN()-1),""))</f>
        <v/>
      </c>
    </row>
    <row r="455" spans="2:6" x14ac:dyDescent="0.3">
      <c r="B455" s="10" t="str">
        <f ca="1">IF(IFERROR(INDEX((COPIA!$DA$3:$DE$1339),MATCH(ROWS(B$10:B455),COPIA!$DF$3:$DF$1339,0),COLUMN()-1),"")&gt;=1,IFERROR(INDEX((COPIA!$DA$3:$DE$1339),MATCH(ROWS(B$10:B455),COPIA!$DF$3:$DF$1339,0),COLUMN()-1),""),"")</f>
        <v/>
      </c>
      <c r="C455" s="5" t="str">
        <f ca="1">SUBSTITUTE(IFERROR(INDEX((COPIA!$DA$3:$DE$1339),MATCH(ROWS(C$10:C455),COPIA!$DF$3:$DF$1339,0),COLUMN()-1),""),"MASTRO","")</f>
        <v/>
      </c>
      <c r="D455" s="136" t="str">
        <f ca="1">IF(IFERROR(INDEX((COPIA!$DA$3:$DE$1339),MATCH(ROWS(D$10:D455),COPIA!$DF$3:$DF$1339,0),COLUMN()-1),"")=0,"",IFERROR(INDEX((COPIA!$DA$3:$DE$1339),MATCH(ROWS(D$10:D455),COPIA!$DF$3:$DF$1339,0),COLUMN()-1),""))</f>
        <v/>
      </c>
      <c r="E455" s="9" t="str">
        <f ca="1">IF(IFERROR(INDEX((COPIA!$DA$3:$DE$1339),MATCH(ROWS(E$10:E455),COPIA!$DF$3:$DF$1339,0),COLUMN()-1),"")=0,"",IFERROR(INDEX((COPIA!$DA$3:$DE$1339),MATCH(ROWS(E$10:E455),COPIA!$DF$3:$DF$1339,0),COLUMN()-1),""))</f>
        <v/>
      </c>
      <c r="F455" s="6" t="str">
        <f ca="1">IF(IFERROR(INDEX((COPIA!$DA$3:$DE$1339),MATCH(ROWS(F$10:F455),COPIA!$DF$3:$DF$1339,0),COLUMN()-1),"")=0,"",IFERROR(INDEX((COPIA!$DA$3:$DE$1339),MATCH(ROWS(F$10:F455),COPIA!$DF$3:$DF$1339,0),COLUMN()-1),""))</f>
        <v/>
      </c>
    </row>
    <row r="456" spans="2:6" x14ac:dyDescent="0.3">
      <c r="B456" s="10" t="str">
        <f ca="1">IF(IFERROR(INDEX((COPIA!$DA$3:$DE$1339),MATCH(ROWS(B$10:B456),COPIA!$DF$3:$DF$1339,0),COLUMN()-1),"")&gt;=1,IFERROR(INDEX((COPIA!$DA$3:$DE$1339),MATCH(ROWS(B$10:B456),COPIA!$DF$3:$DF$1339,0),COLUMN()-1),""),"")</f>
        <v/>
      </c>
      <c r="C456" s="5" t="str">
        <f ca="1">SUBSTITUTE(IFERROR(INDEX((COPIA!$DA$3:$DE$1339),MATCH(ROWS(C$10:C456),COPIA!$DF$3:$DF$1339,0),COLUMN()-1),""),"MASTRO","")</f>
        <v/>
      </c>
      <c r="D456" s="136" t="str">
        <f ca="1">IF(IFERROR(INDEX((COPIA!$DA$3:$DE$1339),MATCH(ROWS(D$10:D456),COPIA!$DF$3:$DF$1339,0),COLUMN()-1),"")=0,"",IFERROR(INDEX((COPIA!$DA$3:$DE$1339),MATCH(ROWS(D$10:D456),COPIA!$DF$3:$DF$1339,0),COLUMN()-1),""))</f>
        <v/>
      </c>
      <c r="E456" s="9" t="str">
        <f ca="1">IF(IFERROR(INDEX((COPIA!$DA$3:$DE$1339),MATCH(ROWS(E$10:E456),COPIA!$DF$3:$DF$1339,0),COLUMN()-1),"")=0,"",IFERROR(INDEX((COPIA!$DA$3:$DE$1339),MATCH(ROWS(E$10:E456),COPIA!$DF$3:$DF$1339,0),COLUMN()-1),""))</f>
        <v/>
      </c>
      <c r="F456" s="6" t="str">
        <f ca="1">IF(IFERROR(INDEX((COPIA!$DA$3:$DE$1339),MATCH(ROWS(F$10:F456),COPIA!$DF$3:$DF$1339,0),COLUMN()-1),"")=0,"",IFERROR(INDEX((COPIA!$DA$3:$DE$1339),MATCH(ROWS(F$10:F456),COPIA!$DF$3:$DF$1339,0),COLUMN()-1),""))</f>
        <v/>
      </c>
    </row>
    <row r="457" spans="2:6" x14ac:dyDescent="0.3">
      <c r="B457" s="10" t="str">
        <f ca="1">IF(IFERROR(INDEX((COPIA!$DA$3:$DE$1339),MATCH(ROWS(B$10:B457),COPIA!$DF$3:$DF$1339,0),COLUMN()-1),"")&gt;=1,IFERROR(INDEX((COPIA!$DA$3:$DE$1339),MATCH(ROWS(B$10:B457),COPIA!$DF$3:$DF$1339,0),COLUMN()-1),""),"")</f>
        <v/>
      </c>
      <c r="C457" s="5" t="str">
        <f ca="1">SUBSTITUTE(IFERROR(INDEX((COPIA!$DA$3:$DE$1339),MATCH(ROWS(C$10:C457),COPIA!$DF$3:$DF$1339,0),COLUMN()-1),""),"MASTRO","")</f>
        <v/>
      </c>
      <c r="D457" s="136" t="str">
        <f ca="1">IF(IFERROR(INDEX((COPIA!$DA$3:$DE$1339),MATCH(ROWS(D$10:D457),COPIA!$DF$3:$DF$1339,0),COLUMN()-1),"")=0,"",IFERROR(INDEX((COPIA!$DA$3:$DE$1339),MATCH(ROWS(D$10:D457),COPIA!$DF$3:$DF$1339,0),COLUMN()-1),""))</f>
        <v/>
      </c>
      <c r="E457" s="9" t="str">
        <f ca="1">IF(IFERROR(INDEX((COPIA!$DA$3:$DE$1339),MATCH(ROWS(E$10:E457),COPIA!$DF$3:$DF$1339,0),COLUMN()-1),"")=0,"",IFERROR(INDEX((COPIA!$DA$3:$DE$1339),MATCH(ROWS(E$10:E457),COPIA!$DF$3:$DF$1339,0),COLUMN()-1),""))</f>
        <v/>
      </c>
      <c r="F457" s="6" t="str">
        <f ca="1">IF(IFERROR(INDEX((COPIA!$DA$3:$DE$1339),MATCH(ROWS(F$10:F457),COPIA!$DF$3:$DF$1339,0),COLUMN()-1),"")=0,"",IFERROR(INDEX((COPIA!$DA$3:$DE$1339),MATCH(ROWS(F$10:F457),COPIA!$DF$3:$DF$1339,0),COLUMN()-1),""))</f>
        <v/>
      </c>
    </row>
    <row r="458" spans="2:6" x14ac:dyDescent="0.3">
      <c r="B458" s="10" t="str">
        <f ca="1">IF(IFERROR(INDEX((COPIA!$DA$3:$DE$1339),MATCH(ROWS(B$10:B458),COPIA!$DF$3:$DF$1339,0),COLUMN()-1),"")&gt;=1,IFERROR(INDEX((COPIA!$DA$3:$DE$1339),MATCH(ROWS(B$10:B458),COPIA!$DF$3:$DF$1339,0),COLUMN()-1),""),"")</f>
        <v/>
      </c>
      <c r="C458" s="5" t="str">
        <f ca="1">SUBSTITUTE(IFERROR(INDEX((COPIA!$DA$3:$DE$1339),MATCH(ROWS(C$10:C458),COPIA!$DF$3:$DF$1339,0),COLUMN()-1),""),"MASTRO","")</f>
        <v/>
      </c>
      <c r="D458" s="136" t="str">
        <f ca="1">IF(IFERROR(INDEX((COPIA!$DA$3:$DE$1339),MATCH(ROWS(D$10:D458),COPIA!$DF$3:$DF$1339,0),COLUMN()-1),"")=0,"",IFERROR(INDEX((COPIA!$DA$3:$DE$1339),MATCH(ROWS(D$10:D458),COPIA!$DF$3:$DF$1339,0),COLUMN()-1),""))</f>
        <v/>
      </c>
      <c r="E458" s="9" t="str">
        <f ca="1">IF(IFERROR(INDEX((COPIA!$DA$3:$DE$1339),MATCH(ROWS(E$10:E458),COPIA!$DF$3:$DF$1339,0),COLUMN()-1),"")=0,"",IFERROR(INDEX((COPIA!$DA$3:$DE$1339),MATCH(ROWS(E$10:E458),COPIA!$DF$3:$DF$1339,0),COLUMN()-1),""))</f>
        <v/>
      </c>
      <c r="F458" s="6" t="str">
        <f ca="1">IF(IFERROR(INDEX((COPIA!$DA$3:$DE$1339),MATCH(ROWS(F$10:F458),COPIA!$DF$3:$DF$1339,0),COLUMN()-1),"")=0,"",IFERROR(INDEX((COPIA!$DA$3:$DE$1339),MATCH(ROWS(F$10:F458),COPIA!$DF$3:$DF$1339,0),COLUMN()-1),""))</f>
        <v/>
      </c>
    </row>
    <row r="459" spans="2:6" x14ac:dyDescent="0.3">
      <c r="B459" s="10" t="str">
        <f ca="1">IF(IFERROR(INDEX((COPIA!$DA$3:$DE$1339),MATCH(ROWS(B$10:B459),COPIA!$DF$3:$DF$1339,0),COLUMN()-1),"")&gt;=1,IFERROR(INDEX((COPIA!$DA$3:$DE$1339),MATCH(ROWS(B$10:B459),COPIA!$DF$3:$DF$1339,0),COLUMN()-1),""),"")</f>
        <v/>
      </c>
      <c r="C459" s="5" t="str">
        <f ca="1">SUBSTITUTE(IFERROR(INDEX((COPIA!$DA$3:$DE$1339),MATCH(ROWS(C$10:C459),COPIA!$DF$3:$DF$1339,0),COLUMN()-1),""),"MASTRO","")</f>
        <v/>
      </c>
      <c r="D459" s="136" t="str">
        <f ca="1">IF(IFERROR(INDEX((COPIA!$DA$3:$DE$1339),MATCH(ROWS(D$10:D459),COPIA!$DF$3:$DF$1339,0),COLUMN()-1),"")=0,"",IFERROR(INDEX((COPIA!$DA$3:$DE$1339),MATCH(ROWS(D$10:D459),COPIA!$DF$3:$DF$1339,0),COLUMN()-1),""))</f>
        <v/>
      </c>
      <c r="E459" s="9" t="str">
        <f ca="1">IF(IFERROR(INDEX((COPIA!$DA$3:$DE$1339),MATCH(ROWS(E$10:E459),COPIA!$DF$3:$DF$1339,0),COLUMN()-1),"")=0,"",IFERROR(INDEX((COPIA!$DA$3:$DE$1339),MATCH(ROWS(E$10:E459),COPIA!$DF$3:$DF$1339,0),COLUMN()-1),""))</f>
        <v/>
      </c>
      <c r="F459" s="6" t="str">
        <f ca="1">IF(IFERROR(INDEX((COPIA!$DA$3:$DE$1339),MATCH(ROWS(F$10:F459),COPIA!$DF$3:$DF$1339,0),COLUMN()-1),"")=0,"",IFERROR(INDEX((COPIA!$DA$3:$DE$1339),MATCH(ROWS(F$10:F459),COPIA!$DF$3:$DF$1339,0),COLUMN()-1),""))</f>
        <v/>
      </c>
    </row>
    <row r="460" spans="2:6" x14ac:dyDescent="0.3">
      <c r="B460" s="10" t="str">
        <f ca="1">IF(IFERROR(INDEX((COPIA!$DA$3:$DE$1339),MATCH(ROWS(B$10:B460),COPIA!$DF$3:$DF$1339,0),COLUMN()-1),"")&gt;=1,IFERROR(INDEX((COPIA!$DA$3:$DE$1339),MATCH(ROWS(B$10:B460),COPIA!$DF$3:$DF$1339,0),COLUMN()-1),""),"")</f>
        <v/>
      </c>
      <c r="C460" s="5" t="str">
        <f ca="1">SUBSTITUTE(IFERROR(INDEX((COPIA!$DA$3:$DE$1339),MATCH(ROWS(C$10:C460),COPIA!$DF$3:$DF$1339,0),COLUMN()-1),""),"MASTRO","")</f>
        <v/>
      </c>
      <c r="D460" s="136" t="str">
        <f ca="1">IF(IFERROR(INDEX((COPIA!$DA$3:$DE$1339),MATCH(ROWS(D$10:D460),COPIA!$DF$3:$DF$1339,0),COLUMN()-1),"")=0,"",IFERROR(INDEX((COPIA!$DA$3:$DE$1339),MATCH(ROWS(D$10:D460),COPIA!$DF$3:$DF$1339,0),COLUMN()-1),""))</f>
        <v/>
      </c>
      <c r="E460" s="9" t="str">
        <f ca="1">IF(IFERROR(INDEX((COPIA!$DA$3:$DE$1339),MATCH(ROWS(E$10:E460),COPIA!$DF$3:$DF$1339,0),COLUMN()-1),"")=0,"",IFERROR(INDEX((COPIA!$DA$3:$DE$1339),MATCH(ROWS(E$10:E460),COPIA!$DF$3:$DF$1339,0),COLUMN()-1),""))</f>
        <v/>
      </c>
      <c r="F460" s="6" t="str">
        <f ca="1">IF(IFERROR(INDEX((COPIA!$DA$3:$DE$1339),MATCH(ROWS(F$10:F460),COPIA!$DF$3:$DF$1339,0),COLUMN()-1),"")=0,"",IFERROR(INDEX((COPIA!$DA$3:$DE$1339),MATCH(ROWS(F$10:F460),COPIA!$DF$3:$DF$1339,0),COLUMN()-1),""))</f>
        <v/>
      </c>
    </row>
    <row r="461" spans="2:6" x14ac:dyDescent="0.3">
      <c r="B461" s="10" t="str">
        <f ca="1">IF(IFERROR(INDEX((COPIA!$DA$3:$DE$1339),MATCH(ROWS(B$10:B461),COPIA!$DF$3:$DF$1339,0),COLUMN()-1),"")&gt;=1,IFERROR(INDEX((COPIA!$DA$3:$DE$1339),MATCH(ROWS(B$10:B461),COPIA!$DF$3:$DF$1339,0),COLUMN()-1),""),"")</f>
        <v/>
      </c>
      <c r="C461" s="5" t="str">
        <f ca="1">SUBSTITUTE(IFERROR(INDEX((COPIA!$DA$3:$DE$1339),MATCH(ROWS(C$10:C461),COPIA!$DF$3:$DF$1339,0),COLUMN()-1),""),"MASTRO","")</f>
        <v/>
      </c>
      <c r="D461" s="136" t="str">
        <f ca="1">IF(IFERROR(INDEX((COPIA!$DA$3:$DE$1339),MATCH(ROWS(D$10:D461),COPIA!$DF$3:$DF$1339,0),COLUMN()-1),"")=0,"",IFERROR(INDEX((COPIA!$DA$3:$DE$1339),MATCH(ROWS(D$10:D461),COPIA!$DF$3:$DF$1339,0),COLUMN()-1),""))</f>
        <v/>
      </c>
      <c r="E461" s="9" t="str">
        <f ca="1">IF(IFERROR(INDEX((COPIA!$DA$3:$DE$1339),MATCH(ROWS(E$10:E461),COPIA!$DF$3:$DF$1339,0),COLUMN()-1),"")=0,"",IFERROR(INDEX((COPIA!$DA$3:$DE$1339),MATCH(ROWS(E$10:E461),COPIA!$DF$3:$DF$1339,0),COLUMN()-1),""))</f>
        <v/>
      </c>
      <c r="F461" s="6" t="str">
        <f ca="1">IF(IFERROR(INDEX((COPIA!$DA$3:$DE$1339),MATCH(ROWS(F$10:F461),COPIA!$DF$3:$DF$1339,0),COLUMN()-1),"")=0,"",IFERROR(INDEX((COPIA!$DA$3:$DE$1339),MATCH(ROWS(F$10:F461),COPIA!$DF$3:$DF$1339,0),COLUMN()-1),""))</f>
        <v/>
      </c>
    </row>
    <row r="462" spans="2:6" x14ac:dyDescent="0.3">
      <c r="B462" s="10" t="str">
        <f ca="1">IF(IFERROR(INDEX((COPIA!$DA$3:$DE$1339),MATCH(ROWS(B$10:B462),COPIA!$DF$3:$DF$1339,0),COLUMN()-1),"")&gt;=1,IFERROR(INDEX((COPIA!$DA$3:$DE$1339),MATCH(ROWS(B$10:B462),COPIA!$DF$3:$DF$1339,0),COLUMN()-1),""),"")</f>
        <v/>
      </c>
      <c r="C462" s="5" t="str">
        <f ca="1">SUBSTITUTE(IFERROR(INDEX((COPIA!$DA$3:$DE$1339),MATCH(ROWS(C$10:C462),COPIA!$DF$3:$DF$1339,0),COLUMN()-1),""),"MASTRO","")</f>
        <v/>
      </c>
      <c r="D462" s="136" t="str">
        <f ca="1">IF(IFERROR(INDEX((COPIA!$DA$3:$DE$1339),MATCH(ROWS(D$10:D462),COPIA!$DF$3:$DF$1339,0),COLUMN()-1),"")=0,"",IFERROR(INDEX((COPIA!$DA$3:$DE$1339),MATCH(ROWS(D$10:D462),COPIA!$DF$3:$DF$1339,0),COLUMN()-1),""))</f>
        <v/>
      </c>
      <c r="E462" s="9" t="str">
        <f ca="1">IF(IFERROR(INDEX((COPIA!$DA$3:$DE$1339),MATCH(ROWS(E$10:E462),COPIA!$DF$3:$DF$1339,0),COLUMN()-1),"")=0,"",IFERROR(INDEX((COPIA!$DA$3:$DE$1339),MATCH(ROWS(E$10:E462),COPIA!$DF$3:$DF$1339,0),COLUMN()-1),""))</f>
        <v/>
      </c>
      <c r="F462" s="6" t="str">
        <f ca="1">IF(IFERROR(INDEX((COPIA!$DA$3:$DE$1339),MATCH(ROWS(F$10:F462),COPIA!$DF$3:$DF$1339,0),COLUMN()-1),"")=0,"",IFERROR(INDEX((COPIA!$DA$3:$DE$1339),MATCH(ROWS(F$10:F462),COPIA!$DF$3:$DF$1339,0),COLUMN()-1),""))</f>
        <v/>
      </c>
    </row>
    <row r="463" spans="2:6" x14ac:dyDescent="0.3">
      <c r="B463" s="10" t="str">
        <f ca="1">IF(IFERROR(INDEX((COPIA!$DA$3:$DE$1339),MATCH(ROWS(B$10:B463),COPIA!$DF$3:$DF$1339,0),COLUMN()-1),"")&gt;=1,IFERROR(INDEX((COPIA!$DA$3:$DE$1339),MATCH(ROWS(B$10:B463),COPIA!$DF$3:$DF$1339,0),COLUMN()-1),""),"")</f>
        <v/>
      </c>
      <c r="C463" s="5" t="str">
        <f ca="1">SUBSTITUTE(IFERROR(INDEX((COPIA!$DA$3:$DE$1339),MATCH(ROWS(C$10:C463),COPIA!$DF$3:$DF$1339,0),COLUMN()-1),""),"MASTRO","")</f>
        <v/>
      </c>
      <c r="D463" s="136" t="str">
        <f ca="1">IF(IFERROR(INDEX((COPIA!$DA$3:$DE$1339),MATCH(ROWS(D$10:D463),COPIA!$DF$3:$DF$1339,0),COLUMN()-1),"")=0,"",IFERROR(INDEX((COPIA!$DA$3:$DE$1339),MATCH(ROWS(D$10:D463),COPIA!$DF$3:$DF$1339,0),COLUMN()-1),""))</f>
        <v/>
      </c>
      <c r="E463" s="9" t="str">
        <f ca="1">IF(IFERROR(INDEX((COPIA!$DA$3:$DE$1339),MATCH(ROWS(E$10:E463),COPIA!$DF$3:$DF$1339,0),COLUMN()-1),"")=0,"",IFERROR(INDEX((COPIA!$DA$3:$DE$1339),MATCH(ROWS(E$10:E463),COPIA!$DF$3:$DF$1339,0),COLUMN()-1),""))</f>
        <v/>
      </c>
      <c r="F463" s="6" t="str">
        <f ca="1">IF(IFERROR(INDEX((COPIA!$DA$3:$DE$1339),MATCH(ROWS(F$10:F463),COPIA!$DF$3:$DF$1339,0),COLUMN()-1),"")=0,"",IFERROR(INDEX((COPIA!$DA$3:$DE$1339),MATCH(ROWS(F$10:F463),COPIA!$DF$3:$DF$1339,0),COLUMN()-1),""))</f>
        <v/>
      </c>
    </row>
    <row r="464" spans="2:6" x14ac:dyDescent="0.3">
      <c r="B464" s="10" t="str">
        <f ca="1">IF(IFERROR(INDEX((COPIA!$DA$3:$DE$1339),MATCH(ROWS(B$10:B464),COPIA!$DF$3:$DF$1339,0),COLUMN()-1),"")&gt;=1,IFERROR(INDEX((COPIA!$DA$3:$DE$1339),MATCH(ROWS(B$10:B464),COPIA!$DF$3:$DF$1339,0),COLUMN()-1),""),"")</f>
        <v/>
      </c>
      <c r="C464" s="5" t="str">
        <f ca="1">SUBSTITUTE(IFERROR(INDEX((COPIA!$DA$3:$DE$1339),MATCH(ROWS(C$10:C464),COPIA!$DF$3:$DF$1339,0),COLUMN()-1),""),"MASTRO","")</f>
        <v/>
      </c>
      <c r="D464" s="136" t="str">
        <f ca="1">IF(IFERROR(INDEX((COPIA!$DA$3:$DE$1339),MATCH(ROWS(D$10:D464),COPIA!$DF$3:$DF$1339,0),COLUMN()-1),"")=0,"",IFERROR(INDEX((COPIA!$DA$3:$DE$1339),MATCH(ROWS(D$10:D464),COPIA!$DF$3:$DF$1339,0),COLUMN()-1),""))</f>
        <v/>
      </c>
      <c r="E464" s="9" t="str">
        <f ca="1">IF(IFERROR(INDEX((COPIA!$DA$3:$DE$1339),MATCH(ROWS(E$10:E464),COPIA!$DF$3:$DF$1339,0),COLUMN()-1),"")=0,"",IFERROR(INDEX((COPIA!$DA$3:$DE$1339),MATCH(ROWS(E$10:E464),COPIA!$DF$3:$DF$1339,0),COLUMN()-1),""))</f>
        <v/>
      </c>
      <c r="F464" s="6" t="str">
        <f ca="1">IF(IFERROR(INDEX((COPIA!$DA$3:$DE$1339),MATCH(ROWS(F$10:F464),COPIA!$DF$3:$DF$1339,0),COLUMN()-1),"")=0,"",IFERROR(INDEX((COPIA!$DA$3:$DE$1339),MATCH(ROWS(F$10:F464),COPIA!$DF$3:$DF$1339,0),COLUMN()-1),""))</f>
        <v/>
      </c>
    </row>
    <row r="465" spans="2:6" x14ac:dyDescent="0.3">
      <c r="B465" s="10" t="str">
        <f ca="1">IF(IFERROR(INDEX((COPIA!$DA$3:$DE$1339),MATCH(ROWS(B$10:B465),COPIA!$DF$3:$DF$1339,0),COLUMN()-1),"")&gt;=1,IFERROR(INDEX((COPIA!$DA$3:$DE$1339),MATCH(ROWS(B$10:B465),COPIA!$DF$3:$DF$1339,0),COLUMN()-1),""),"")</f>
        <v/>
      </c>
      <c r="C465" s="5" t="str">
        <f ca="1">SUBSTITUTE(IFERROR(INDEX((COPIA!$DA$3:$DE$1339),MATCH(ROWS(C$10:C465),COPIA!$DF$3:$DF$1339,0),COLUMN()-1),""),"MASTRO","")</f>
        <v/>
      </c>
      <c r="D465" s="136" t="str">
        <f ca="1">IF(IFERROR(INDEX((COPIA!$DA$3:$DE$1339),MATCH(ROWS(D$10:D465),COPIA!$DF$3:$DF$1339,0),COLUMN()-1),"")=0,"",IFERROR(INDEX((COPIA!$DA$3:$DE$1339),MATCH(ROWS(D$10:D465),COPIA!$DF$3:$DF$1339,0),COLUMN()-1),""))</f>
        <v/>
      </c>
      <c r="E465" s="9" t="str">
        <f ca="1">IF(IFERROR(INDEX((COPIA!$DA$3:$DE$1339),MATCH(ROWS(E$10:E465),COPIA!$DF$3:$DF$1339,0),COLUMN()-1),"")=0,"",IFERROR(INDEX((COPIA!$DA$3:$DE$1339),MATCH(ROWS(E$10:E465),COPIA!$DF$3:$DF$1339,0),COLUMN()-1),""))</f>
        <v/>
      </c>
      <c r="F465" s="6" t="str">
        <f ca="1">IF(IFERROR(INDEX((COPIA!$DA$3:$DE$1339),MATCH(ROWS(F$10:F465),COPIA!$DF$3:$DF$1339,0),COLUMN()-1),"")=0,"",IFERROR(INDEX((COPIA!$DA$3:$DE$1339),MATCH(ROWS(F$10:F465),COPIA!$DF$3:$DF$1339,0),COLUMN()-1),""))</f>
        <v/>
      </c>
    </row>
    <row r="466" spans="2:6" x14ac:dyDescent="0.3">
      <c r="B466" s="10" t="str">
        <f ca="1">IF(IFERROR(INDEX((COPIA!$DA$3:$DE$1339),MATCH(ROWS(B$10:B466),COPIA!$DF$3:$DF$1339,0),COLUMN()-1),"")&gt;=1,IFERROR(INDEX((COPIA!$DA$3:$DE$1339),MATCH(ROWS(B$10:B466),COPIA!$DF$3:$DF$1339,0),COLUMN()-1),""),"")</f>
        <v/>
      </c>
      <c r="C466" s="5" t="str">
        <f ca="1">SUBSTITUTE(IFERROR(INDEX((COPIA!$DA$3:$DE$1339),MATCH(ROWS(C$10:C466),COPIA!$DF$3:$DF$1339,0),COLUMN()-1),""),"MASTRO","")</f>
        <v/>
      </c>
      <c r="D466" s="136" t="str">
        <f ca="1">IF(IFERROR(INDEX((COPIA!$DA$3:$DE$1339),MATCH(ROWS(D$10:D466),COPIA!$DF$3:$DF$1339,0),COLUMN()-1),"")=0,"",IFERROR(INDEX((COPIA!$DA$3:$DE$1339),MATCH(ROWS(D$10:D466),COPIA!$DF$3:$DF$1339,0),COLUMN()-1),""))</f>
        <v/>
      </c>
      <c r="E466" s="9" t="str">
        <f ca="1">IF(IFERROR(INDEX((COPIA!$DA$3:$DE$1339),MATCH(ROWS(E$10:E466),COPIA!$DF$3:$DF$1339,0),COLUMN()-1),"")=0,"",IFERROR(INDEX((COPIA!$DA$3:$DE$1339),MATCH(ROWS(E$10:E466),COPIA!$DF$3:$DF$1339,0),COLUMN()-1),""))</f>
        <v/>
      </c>
      <c r="F466" s="6" t="str">
        <f ca="1">IF(IFERROR(INDEX((COPIA!$DA$3:$DE$1339),MATCH(ROWS(F$10:F466),COPIA!$DF$3:$DF$1339,0),COLUMN()-1),"")=0,"",IFERROR(INDEX((COPIA!$DA$3:$DE$1339),MATCH(ROWS(F$10:F466),COPIA!$DF$3:$DF$1339,0),COLUMN()-1),""))</f>
        <v/>
      </c>
    </row>
    <row r="467" spans="2:6" x14ac:dyDescent="0.3">
      <c r="B467" s="10" t="str">
        <f ca="1">IF(IFERROR(INDEX((COPIA!$DA$3:$DE$1339),MATCH(ROWS(B$10:B467),COPIA!$DF$3:$DF$1339,0),COLUMN()-1),"")&gt;=1,IFERROR(INDEX((COPIA!$DA$3:$DE$1339),MATCH(ROWS(B$10:B467),COPIA!$DF$3:$DF$1339,0),COLUMN()-1),""),"")</f>
        <v/>
      </c>
      <c r="C467" s="5" t="str">
        <f ca="1">SUBSTITUTE(IFERROR(INDEX((COPIA!$DA$3:$DE$1339),MATCH(ROWS(C$10:C467),COPIA!$DF$3:$DF$1339,0),COLUMN()-1),""),"MASTRO","")</f>
        <v/>
      </c>
      <c r="D467" s="136" t="str">
        <f ca="1">IF(IFERROR(INDEX((COPIA!$DA$3:$DE$1339),MATCH(ROWS(D$10:D467),COPIA!$DF$3:$DF$1339,0),COLUMN()-1),"")=0,"",IFERROR(INDEX((COPIA!$DA$3:$DE$1339),MATCH(ROWS(D$10:D467),COPIA!$DF$3:$DF$1339,0),COLUMN()-1),""))</f>
        <v/>
      </c>
      <c r="E467" s="9" t="str">
        <f ca="1">IF(IFERROR(INDEX((COPIA!$DA$3:$DE$1339),MATCH(ROWS(E$10:E467),COPIA!$DF$3:$DF$1339,0),COLUMN()-1),"")=0,"",IFERROR(INDEX((COPIA!$DA$3:$DE$1339),MATCH(ROWS(E$10:E467),COPIA!$DF$3:$DF$1339,0),COLUMN()-1),""))</f>
        <v/>
      </c>
      <c r="F467" s="6" t="str">
        <f ca="1">IF(IFERROR(INDEX((COPIA!$DA$3:$DE$1339),MATCH(ROWS(F$10:F467),COPIA!$DF$3:$DF$1339,0),COLUMN()-1),"")=0,"",IFERROR(INDEX((COPIA!$DA$3:$DE$1339),MATCH(ROWS(F$10:F467),COPIA!$DF$3:$DF$1339,0),COLUMN()-1),""))</f>
        <v/>
      </c>
    </row>
    <row r="468" spans="2:6" x14ac:dyDescent="0.3">
      <c r="B468" s="10" t="str">
        <f ca="1">IF(IFERROR(INDEX((COPIA!$DA$3:$DE$1339),MATCH(ROWS(B$10:B468),COPIA!$DF$3:$DF$1339,0),COLUMN()-1),"")&gt;=1,IFERROR(INDEX((COPIA!$DA$3:$DE$1339),MATCH(ROWS(B$10:B468),COPIA!$DF$3:$DF$1339,0),COLUMN()-1),""),"")</f>
        <v/>
      </c>
      <c r="C468" s="5" t="str">
        <f ca="1">SUBSTITUTE(IFERROR(INDEX((COPIA!$DA$3:$DE$1339),MATCH(ROWS(C$10:C468),COPIA!$DF$3:$DF$1339,0),COLUMN()-1),""),"MASTRO","")</f>
        <v/>
      </c>
      <c r="D468" s="136" t="str">
        <f ca="1">IF(IFERROR(INDEX((COPIA!$DA$3:$DE$1339),MATCH(ROWS(D$10:D468),COPIA!$DF$3:$DF$1339,0),COLUMN()-1),"")=0,"",IFERROR(INDEX((COPIA!$DA$3:$DE$1339),MATCH(ROWS(D$10:D468),COPIA!$DF$3:$DF$1339,0),COLUMN()-1),""))</f>
        <v/>
      </c>
      <c r="E468" s="9" t="str">
        <f ca="1">IF(IFERROR(INDEX((COPIA!$DA$3:$DE$1339),MATCH(ROWS(E$10:E468),COPIA!$DF$3:$DF$1339,0),COLUMN()-1),"")=0,"",IFERROR(INDEX((COPIA!$DA$3:$DE$1339),MATCH(ROWS(E$10:E468),COPIA!$DF$3:$DF$1339,0),COLUMN()-1),""))</f>
        <v/>
      </c>
      <c r="F468" s="6" t="str">
        <f ca="1">IF(IFERROR(INDEX((COPIA!$DA$3:$DE$1339),MATCH(ROWS(F$10:F468),COPIA!$DF$3:$DF$1339,0),COLUMN()-1),"")=0,"",IFERROR(INDEX((COPIA!$DA$3:$DE$1339),MATCH(ROWS(F$10:F468),COPIA!$DF$3:$DF$1339,0),COLUMN()-1),""))</f>
        <v/>
      </c>
    </row>
    <row r="469" spans="2:6" x14ac:dyDescent="0.3">
      <c r="B469" s="10" t="str">
        <f ca="1">IF(IFERROR(INDEX((COPIA!$DA$3:$DE$1339),MATCH(ROWS(B$10:B469),COPIA!$DF$3:$DF$1339,0),COLUMN()-1),"")&gt;=1,IFERROR(INDEX((COPIA!$DA$3:$DE$1339),MATCH(ROWS(B$10:B469),COPIA!$DF$3:$DF$1339,0),COLUMN()-1),""),"")</f>
        <v/>
      </c>
      <c r="C469" s="5" t="str">
        <f ca="1">SUBSTITUTE(IFERROR(INDEX((COPIA!$DA$3:$DE$1339),MATCH(ROWS(C$10:C469),COPIA!$DF$3:$DF$1339,0),COLUMN()-1),""),"MASTRO","")</f>
        <v/>
      </c>
      <c r="D469" s="136" t="str">
        <f ca="1">IF(IFERROR(INDEX((COPIA!$DA$3:$DE$1339),MATCH(ROWS(D$10:D469),COPIA!$DF$3:$DF$1339,0),COLUMN()-1),"")=0,"",IFERROR(INDEX((COPIA!$DA$3:$DE$1339),MATCH(ROWS(D$10:D469),COPIA!$DF$3:$DF$1339,0),COLUMN()-1),""))</f>
        <v/>
      </c>
      <c r="E469" s="9" t="str">
        <f ca="1">IF(IFERROR(INDEX((COPIA!$DA$3:$DE$1339),MATCH(ROWS(E$10:E469),COPIA!$DF$3:$DF$1339,0),COLUMN()-1),"")=0,"",IFERROR(INDEX((COPIA!$DA$3:$DE$1339),MATCH(ROWS(E$10:E469),COPIA!$DF$3:$DF$1339,0),COLUMN()-1),""))</f>
        <v/>
      </c>
      <c r="F469" s="6" t="str">
        <f ca="1">IF(IFERROR(INDEX((COPIA!$DA$3:$DE$1339),MATCH(ROWS(F$10:F469),COPIA!$DF$3:$DF$1339,0),COLUMN()-1),"")=0,"",IFERROR(INDEX((COPIA!$DA$3:$DE$1339),MATCH(ROWS(F$10:F469),COPIA!$DF$3:$DF$1339,0),COLUMN()-1),""))</f>
        <v/>
      </c>
    </row>
    <row r="470" spans="2:6" x14ac:dyDescent="0.3">
      <c r="B470" s="10" t="str">
        <f ca="1">IF(IFERROR(INDEX((COPIA!$DA$3:$DE$1339),MATCH(ROWS(B$10:B470),COPIA!$DF$3:$DF$1339,0),COLUMN()-1),"")&gt;=1,IFERROR(INDEX((COPIA!$DA$3:$DE$1339),MATCH(ROWS(B$10:B470),COPIA!$DF$3:$DF$1339,0),COLUMN()-1),""),"")</f>
        <v/>
      </c>
      <c r="C470" s="5" t="str">
        <f ca="1">SUBSTITUTE(IFERROR(INDEX((COPIA!$DA$3:$DE$1339),MATCH(ROWS(C$10:C470),COPIA!$DF$3:$DF$1339,0),COLUMN()-1),""),"MASTRO","")</f>
        <v/>
      </c>
      <c r="D470" s="136" t="str">
        <f ca="1">IF(IFERROR(INDEX((COPIA!$DA$3:$DE$1339),MATCH(ROWS(D$10:D470),COPIA!$DF$3:$DF$1339,0),COLUMN()-1),"")=0,"",IFERROR(INDEX((COPIA!$DA$3:$DE$1339),MATCH(ROWS(D$10:D470),COPIA!$DF$3:$DF$1339,0),COLUMN()-1),""))</f>
        <v/>
      </c>
      <c r="E470" s="9" t="str">
        <f ca="1">IF(IFERROR(INDEX((COPIA!$DA$3:$DE$1339),MATCH(ROWS(E$10:E470),COPIA!$DF$3:$DF$1339,0),COLUMN()-1),"")=0,"",IFERROR(INDEX((COPIA!$DA$3:$DE$1339),MATCH(ROWS(E$10:E470),COPIA!$DF$3:$DF$1339,0),COLUMN()-1),""))</f>
        <v/>
      </c>
      <c r="F470" s="6" t="str">
        <f ca="1">IF(IFERROR(INDEX((COPIA!$DA$3:$DE$1339),MATCH(ROWS(F$10:F470),COPIA!$DF$3:$DF$1339,0),COLUMN()-1),"")=0,"",IFERROR(INDEX((COPIA!$DA$3:$DE$1339),MATCH(ROWS(F$10:F470),COPIA!$DF$3:$DF$1339,0),COLUMN()-1),""))</f>
        <v/>
      </c>
    </row>
    <row r="471" spans="2:6" x14ac:dyDescent="0.3">
      <c r="B471" s="10" t="str">
        <f ca="1">IF(IFERROR(INDEX((COPIA!$DA$3:$DE$1339),MATCH(ROWS(B$10:B471),COPIA!$DF$3:$DF$1339,0),COLUMN()-1),"")&gt;=1,IFERROR(INDEX((COPIA!$DA$3:$DE$1339),MATCH(ROWS(B$10:B471),COPIA!$DF$3:$DF$1339,0),COLUMN()-1),""),"")</f>
        <v/>
      </c>
      <c r="C471" s="5" t="str">
        <f ca="1">SUBSTITUTE(IFERROR(INDEX((COPIA!$DA$3:$DE$1339),MATCH(ROWS(C$10:C471),COPIA!$DF$3:$DF$1339,0),COLUMN()-1),""),"MASTRO","")</f>
        <v/>
      </c>
      <c r="D471" s="136" t="str">
        <f ca="1">IF(IFERROR(INDEX((COPIA!$DA$3:$DE$1339),MATCH(ROWS(D$10:D471),COPIA!$DF$3:$DF$1339,0),COLUMN()-1),"")=0,"",IFERROR(INDEX((COPIA!$DA$3:$DE$1339),MATCH(ROWS(D$10:D471),COPIA!$DF$3:$DF$1339,0),COLUMN()-1),""))</f>
        <v/>
      </c>
      <c r="E471" s="9" t="str">
        <f ca="1">IF(IFERROR(INDEX((COPIA!$DA$3:$DE$1339),MATCH(ROWS(E$10:E471),COPIA!$DF$3:$DF$1339,0),COLUMN()-1),"")=0,"",IFERROR(INDEX((COPIA!$DA$3:$DE$1339),MATCH(ROWS(E$10:E471),COPIA!$DF$3:$DF$1339,0),COLUMN()-1),""))</f>
        <v/>
      </c>
      <c r="F471" s="6" t="str">
        <f ca="1">IF(IFERROR(INDEX((COPIA!$DA$3:$DE$1339),MATCH(ROWS(F$10:F471),COPIA!$DF$3:$DF$1339,0),COLUMN()-1),"")=0,"",IFERROR(INDEX((COPIA!$DA$3:$DE$1339),MATCH(ROWS(F$10:F471),COPIA!$DF$3:$DF$1339,0),COLUMN()-1),""))</f>
        <v/>
      </c>
    </row>
    <row r="472" spans="2:6" x14ac:dyDescent="0.3">
      <c r="B472" s="10" t="str">
        <f ca="1">IF(IFERROR(INDEX((COPIA!$DA$3:$DE$1339),MATCH(ROWS(B$10:B472),COPIA!$DF$3:$DF$1339,0),COLUMN()-1),"")&gt;=1,IFERROR(INDEX((COPIA!$DA$3:$DE$1339),MATCH(ROWS(B$10:B472),COPIA!$DF$3:$DF$1339,0),COLUMN()-1),""),"")</f>
        <v/>
      </c>
      <c r="C472" s="5" t="str">
        <f ca="1">SUBSTITUTE(IFERROR(INDEX((COPIA!$DA$3:$DE$1339),MATCH(ROWS(C$10:C472),COPIA!$DF$3:$DF$1339,0),COLUMN()-1),""),"MASTRO","")</f>
        <v/>
      </c>
      <c r="D472" s="136" t="str">
        <f ca="1">IF(IFERROR(INDEX((COPIA!$DA$3:$DE$1339),MATCH(ROWS(D$10:D472),COPIA!$DF$3:$DF$1339,0),COLUMN()-1),"")=0,"",IFERROR(INDEX((COPIA!$DA$3:$DE$1339),MATCH(ROWS(D$10:D472),COPIA!$DF$3:$DF$1339,0),COLUMN()-1),""))</f>
        <v/>
      </c>
      <c r="E472" s="9" t="str">
        <f ca="1">IF(IFERROR(INDEX((COPIA!$DA$3:$DE$1339),MATCH(ROWS(E$10:E472),COPIA!$DF$3:$DF$1339,0),COLUMN()-1),"")=0,"",IFERROR(INDEX((COPIA!$DA$3:$DE$1339),MATCH(ROWS(E$10:E472),COPIA!$DF$3:$DF$1339,0),COLUMN()-1),""))</f>
        <v/>
      </c>
      <c r="F472" s="6" t="str">
        <f ca="1">IF(IFERROR(INDEX((COPIA!$DA$3:$DE$1339),MATCH(ROWS(F$10:F472),COPIA!$DF$3:$DF$1339,0),COLUMN()-1),"")=0,"",IFERROR(INDEX((COPIA!$DA$3:$DE$1339),MATCH(ROWS(F$10:F472),COPIA!$DF$3:$DF$1339,0),COLUMN()-1),""))</f>
        <v/>
      </c>
    </row>
    <row r="473" spans="2:6" x14ac:dyDescent="0.3">
      <c r="B473" s="10" t="str">
        <f ca="1">IF(IFERROR(INDEX((COPIA!$DA$3:$DE$1339),MATCH(ROWS(B$10:B473),COPIA!$DF$3:$DF$1339,0),COLUMN()-1),"")&gt;=1,IFERROR(INDEX((COPIA!$DA$3:$DE$1339),MATCH(ROWS(B$10:B473),COPIA!$DF$3:$DF$1339,0),COLUMN()-1),""),"")</f>
        <v/>
      </c>
      <c r="C473" s="5" t="str">
        <f ca="1">SUBSTITUTE(IFERROR(INDEX((COPIA!$DA$3:$DE$1339),MATCH(ROWS(C$10:C473),COPIA!$DF$3:$DF$1339,0),COLUMN()-1),""),"MASTRO","")</f>
        <v/>
      </c>
      <c r="D473" s="136" t="str">
        <f ca="1">IF(IFERROR(INDEX((COPIA!$DA$3:$DE$1339),MATCH(ROWS(D$10:D473),COPIA!$DF$3:$DF$1339,0),COLUMN()-1),"")=0,"",IFERROR(INDEX((COPIA!$DA$3:$DE$1339),MATCH(ROWS(D$10:D473),COPIA!$DF$3:$DF$1339,0),COLUMN()-1),""))</f>
        <v/>
      </c>
      <c r="E473" s="9" t="str">
        <f ca="1">IF(IFERROR(INDEX((COPIA!$DA$3:$DE$1339),MATCH(ROWS(E$10:E473),COPIA!$DF$3:$DF$1339,0),COLUMN()-1),"")=0,"",IFERROR(INDEX((COPIA!$DA$3:$DE$1339),MATCH(ROWS(E$10:E473),COPIA!$DF$3:$DF$1339,0),COLUMN()-1),""))</f>
        <v/>
      </c>
      <c r="F473" s="6" t="str">
        <f ca="1">IF(IFERROR(INDEX((COPIA!$DA$3:$DE$1339),MATCH(ROWS(F$10:F473),COPIA!$DF$3:$DF$1339,0),COLUMN()-1),"")=0,"",IFERROR(INDEX((COPIA!$DA$3:$DE$1339),MATCH(ROWS(F$10:F473),COPIA!$DF$3:$DF$1339,0),COLUMN()-1),""))</f>
        <v/>
      </c>
    </row>
    <row r="474" spans="2:6" x14ac:dyDescent="0.3">
      <c r="B474" s="10" t="str">
        <f ca="1">IF(IFERROR(INDEX((COPIA!$DA$3:$DE$1339),MATCH(ROWS(B$10:B474),COPIA!$DF$3:$DF$1339,0),COLUMN()-1),"")&gt;=1,IFERROR(INDEX((COPIA!$DA$3:$DE$1339),MATCH(ROWS(B$10:B474),COPIA!$DF$3:$DF$1339,0),COLUMN()-1),""),"")</f>
        <v/>
      </c>
      <c r="C474" s="5" t="str">
        <f ca="1">SUBSTITUTE(IFERROR(INDEX((COPIA!$DA$3:$DE$1339),MATCH(ROWS(C$10:C474),COPIA!$DF$3:$DF$1339,0),COLUMN()-1),""),"MASTRO","")</f>
        <v/>
      </c>
      <c r="D474" s="136" t="str">
        <f ca="1">IF(IFERROR(INDEX((COPIA!$DA$3:$DE$1339),MATCH(ROWS(D$10:D474),COPIA!$DF$3:$DF$1339,0),COLUMN()-1),"")=0,"",IFERROR(INDEX((COPIA!$DA$3:$DE$1339),MATCH(ROWS(D$10:D474),COPIA!$DF$3:$DF$1339,0),COLUMN()-1),""))</f>
        <v/>
      </c>
      <c r="E474" s="9" t="str">
        <f ca="1">IF(IFERROR(INDEX((COPIA!$DA$3:$DE$1339),MATCH(ROWS(E$10:E474),COPIA!$DF$3:$DF$1339,0),COLUMN()-1),"")=0,"",IFERROR(INDEX((COPIA!$DA$3:$DE$1339),MATCH(ROWS(E$10:E474),COPIA!$DF$3:$DF$1339,0),COLUMN()-1),""))</f>
        <v/>
      </c>
      <c r="F474" s="6" t="str">
        <f ca="1">IF(IFERROR(INDEX((COPIA!$DA$3:$DE$1339),MATCH(ROWS(F$10:F474),COPIA!$DF$3:$DF$1339,0),COLUMN()-1),"")=0,"",IFERROR(INDEX((COPIA!$DA$3:$DE$1339),MATCH(ROWS(F$10:F474),COPIA!$DF$3:$DF$1339,0),COLUMN()-1),""))</f>
        <v/>
      </c>
    </row>
    <row r="475" spans="2:6" x14ac:dyDescent="0.3">
      <c r="B475" s="10" t="str">
        <f ca="1">IF(IFERROR(INDEX((COPIA!$DA$3:$DE$1339),MATCH(ROWS(B$10:B475),COPIA!$DF$3:$DF$1339,0),COLUMN()-1),"")&gt;=1,IFERROR(INDEX((COPIA!$DA$3:$DE$1339),MATCH(ROWS(B$10:B475),COPIA!$DF$3:$DF$1339,0),COLUMN()-1),""),"")</f>
        <v/>
      </c>
      <c r="C475" s="5" t="str">
        <f ca="1">SUBSTITUTE(IFERROR(INDEX((COPIA!$DA$3:$DE$1339),MATCH(ROWS(C$10:C475),COPIA!$DF$3:$DF$1339,0),COLUMN()-1),""),"MASTRO","")</f>
        <v/>
      </c>
      <c r="D475" s="136" t="str">
        <f ca="1">IF(IFERROR(INDEX((COPIA!$DA$3:$DE$1339),MATCH(ROWS(D$10:D475),COPIA!$DF$3:$DF$1339,0),COLUMN()-1),"")=0,"",IFERROR(INDEX((COPIA!$DA$3:$DE$1339),MATCH(ROWS(D$10:D475),COPIA!$DF$3:$DF$1339,0),COLUMN()-1),""))</f>
        <v/>
      </c>
      <c r="E475" s="9" t="str">
        <f ca="1">IF(IFERROR(INDEX((COPIA!$DA$3:$DE$1339),MATCH(ROWS(E$10:E475),COPIA!$DF$3:$DF$1339,0),COLUMN()-1),"")=0,"",IFERROR(INDEX((COPIA!$DA$3:$DE$1339),MATCH(ROWS(E$10:E475),COPIA!$DF$3:$DF$1339,0),COLUMN()-1),""))</f>
        <v/>
      </c>
      <c r="F475" s="6" t="str">
        <f ca="1">IF(IFERROR(INDEX((COPIA!$DA$3:$DE$1339),MATCH(ROWS(F$10:F475),COPIA!$DF$3:$DF$1339,0),COLUMN()-1),"")=0,"",IFERROR(INDEX((COPIA!$DA$3:$DE$1339),MATCH(ROWS(F$10:F475),COPIA!$DF$3:$DF$1339,0),COLUMN()-1),""))</f>
        <v/>
      </c>
    </row>
    <row r="476" spans="2:6" x14ac:dyDescent="0.3">
      <c r="B476" s="10" t="str">
        <f ca="1">IF(IFERROR(INDEX((COPIA!$DA$3:$DE$1339),MATCH(ROWS(B$10:B476),COPIA!$DF$3:$DF$1339,0),COLUMN()-1),"")&gt;=1,IFERROR(INDEX((COPIA!$DA$3:$DE$1339),MATCH(ROWS(B$10:B476),COPIA!$DF$3:$DF$1339,0),COLUMN()-1),""),"")</f>
        <v/>
      </c>
      <c r="C476" s="5" t="str">
        <f ca="1">SUBSTITUTE(IFERROR(INDEX((COPIA!$DA$3:$DE$1339),MATCH(ROWS(C$10:C476),COPIA!$DF$3:$DF$1339,0),COLUMN()-1),""),"MASTRO","")</f>
        <v/>
      </c>
      <c r="D476" s="136" t="str">
        <f ca="1">IF(IFERROR(INDEX((COPIA!$DA$3:$DE$1339),MATCH(ROWS(D$10:D476),COPIA!$DF$3:$DF$1339,0),COLUMN()-1),"")=0,"",IFERROR(INDEX((COPIA!$DA$3:$DE$1339),MATCH(ROWS(D$10:D476),COPIA!$DF$3:$DF$1339,0),COLUMN()-1),""))</f>
        <v/>
      </c>
      <c r="E476" s="9" t="str">
        <f ca="1">IF(IFERROR(INDEX((COPIA!$DA$3:$DE$1339),MATCH(ROWS(E$10:E476),COPIA!$DF$3:$DF$1339,0),COLUMN()-1),"")=0,"",IFERROR(INDEX((COPIA!$DA$3:$DE$1339),MATCH(ROWS(E$10:E476),COPIA!$DF$3:$DF$1339,0),COLUMN()-1),""))</f>
        <v/>
      </c>
      <c r="F476" s="6" t="str">
        <f ca="1">IF(IFERROR(INDEX((COPIA!$DA$3:$DE$1339),MATCH(ROWS(F$10:F476),COPIA!$DF$3:$DF$1339,0),COLUMN()-1),"")=0,"",IFERROR(INDEX((COPIA!$DA$3:$DE$1339),MATCH(ROWS(F$10:F476),COPIA!$DF$3:$DF$1339,0),COLUMN()-1),""))</f>
        <v/>
      </c>
    </row>
    <row r="477" spans="2:6" x14ac:dyDescent="0.3">
      <c r="B477" s="10" t="str">
        <f ca="1">IF(IFERROR(INDEX((COPIA!$DA$3:$DE$1339),MATCH(ROWS(B$10:B477),COPIA!$DF$3:$DF$1339,0),COLUMN()-1),"")&gt;=1,IFERROR(INDEX((COPIA!$DA$3:$DE$1339),MATCH(ROWS(B$10:B477),COPIA!$DF$3:$DF$1339,0),COLUMN()-1),""),"")</f>
        <v/>
      </c>
      <c r="C477" s="5" t="str">
        <f ca="1">SUBSTITUTE(IFERROR(INDEX((COPIA!$DA$3:$DE$1339),MATCH(ROWS(C$10:C477),COPIA!$DF$3:$DF$1339,0),COLUMN()-1),""),"MASTRO","")</f>
        <v/>
      </c>
      <c r="D477" s="136" t="str">
        <f ca="1">IF(IFERROR(INDEX((COPIA!$DA$3:$DE$1339),MATCH(ROWS(D$10:D477),COPIA!$DF$3:$DF$1339,0),COLUMN()-1),"")=0,"",IFERROR(INDEX((COPIA!$DA$3:$DE$1339),MATCH(ROWS(D$10:D477),COPIA!$DF$3:$DF$1339,0),COLUMN()-1),""))</f>
        <v/>
      </c>
      <c r="E477" s="9" t="str">
        <f ca="1">IF(IFERROR(INDEX((COPIA!$DA$3:$DE$1339),MATCH(ROWS(E$10:E477),COPIA!$DF$3:$DF$1339,0),COLUMN()-1),"")=0,"",IFERROR(INDEX((COPIA!$DA$3:$DE$1339),MATCH(ROWS(E$10:E477),COPIA!$DF$3:$DF$1339,0),COLUMN()-1),""))</f>
        <v/>
      </c>
      <c r="F477" s="6" t="str">
        <f ca="1">IF(IFERROR(INDEX((COPIA!$DA$3:$DE$1339),MATCH(ROWS(F$10:F477),COPIA!$DF$3:$DF$1339,0),COLUMN()-1),"")=0,"",IFERROR(INDEX((COPIA!$DA$3:$DE$1339),MATCH(ROWS(F$10:F477),COPIA!$DF$3:$DF$1339,0),COLUMN()-1),""))</f>
        <v/>
      </c>
    </row>
    <row r="478" spans="2:6" x14ac:dyDescent="0.3">
      <c r="B478" s="10" t="str">
        <f ca="1">IF(IFERROR(INDEX((COPIA!$DA$3:$DE$1339),MATCH(ROWS(B$10:B478),COPIA!$DF$3:$DF$1339,0),COLUMN()-1),"")&gt;=1,IFERROR(INDEX((COPIA!$DA$3:$DE$1339),MATCH(ROWS(B$10:B478),COPIA!$DF$3:$DF$1339,0),COLUMN()-1),""),"")</f>
        <v/>
      </c>
      <c r="C478" s="5" t="str">
        <f ca="1">SUBSTITUTE(IFERROR(INDEX((COPIA!$DA$3:$DE$1339),MATCH(ROWS(C$10:C478),COPIA!$DF$3:$DF$1339,0),COLUMN()-1),""),"MASTRO","")</f>
        <v/>
      </c>
      <c r="D478" s="136" t="str">
        <f ca="1">IF(IFERROR(INDEX((COPIA!$DA$3:$DE$1339),MATCH(ROWS(D$10:D478),COPIA!$DF$3:$DF$1339,0),COLUMN()-1),"")=0,"",IFERROR(INDEX((COPIA!$DA$3:$DE$1339),MATCH(ROWS(D$10:D478),COPIA!$DF$3:$DF$1339,0),COLUMN()-1),""))</f>
        <v/>
      </c>
      <c r="E478" s="9" t="str">
        <f ca="1">IF(IFERROR(INDEX((COPIA!$DA$3:$DE$1339),MATCH(ROWS(E$10:E478),COPIA!$DF$3:$DF$1339,0),COLUMN()-1),"")=0,"",IFERROR(INDEX((COPIA!$DA$3:$DE$1339),MATCH(ROWS(E$10:E478),COPIA!$DF$3:$DF$1339,0),COLUMN()-1),""))</f>
        <v/>
      </c>
      <c r="F478" s="6" t="str">
        <f ca="1">IF(IFERROR(INDEX((COPIA!$DA$3:$DE$1339),MATCH(ROWS(F$10:F478),COPIA!$DF$3:$DF$1339,0),COLUMN()-1),"")=0,"",IFERROR(INDEX((COPIA!$DA$3:$DE$1339),MATCH(ROWS(F$10:F478),COPIA!$DF$3:$DF$1339,0),COLUMN()-1),""))</f>
        <v/>
      </c>
    </row>
    <row r="479" spans="2:6" x14ac:dyDescent="0.3">
      <c r="B479" s="10" t="str">
        <f ca="1">IF(IFERROR(INDEX((COPIA!$DA$3:$DE$1339),MATCH(ROWS(B$10:B479),COPIA!$DF$3:$DF$1339,0),COLUMN()-1),"")&gt;=1,IFERROR(INDEX((COPIA!$DA$3:$DE$1339),MATCH(ROWS(B$10:B479),COPIA!$DF$3:$DF$1339,0),COLUMN()-1),""),"")</f>
        <v/>
      </c>
      <c r="C479" s="5" t="str">
        <f ca="1">SUBSTITUTE(IFERROR(INDEX((COPIA!$DA$3:$DE$1339),MATCH(ROWS(C$10:C479),COPIA!$DF$3:$DF$1339,0),COLUMN()-1),""),"MASTRO","")</f>
        <v/>
      </c>
      <c r="D479" s="136" t="str">
        <f ca="1">IF(IFERROR(INDEX((COPIA!$DA$3:$DE$1339),MATCH(ROWS(D$10:D479),COPIA!$DF$3:$DF$1339,0),COLUMN()-1),"")=0,"",IFERROR(INDEX((COPIA!$DA$3:$DE$1339),MATCH(ROWS(D$10:D479),COPIA!$DF$3:$DF$1339,0),COLUMN()-1),""))</f>
        <v/>
      </c>
      <c r="E479" s="9" t="str">
        <f ca="1">IF(IFERROR(INDEX((COPIA!$DA$3:$DE$1339),MATCH(ROWS(E$10:E479),COPIA!$DF$3:$DF$1339,0),COLUMN()-1),"")=0,"",IFERROR(INDEX((COPIA!$DA$3:$DE$1339),MATCH(ROWS(E$10:E479),COPIA!$DF$3:$DF$1339,0),COLUMN()-1),""))</f>
        <v/>
      </c>
      <c r="F479" s="6" t="str">
        <f ca="1">IF(IFERROR(INDEX((COPIA!$DA$3:$DE$1339),MATCH(ROWS(F$10:F479),COPIA!$DF$3:$DF$1339,0),COLUMN()-1),"")=0,"",IFERROR(INDEX((COPIA!$DA$3:$DE$1339),MATCH(ROWS(F$10:F479),COPIA!$DF$3:$DF$1339,0),COLUMN()-1),""))</f>
        <v/>
      </c>
    </row>
    <row r="480" spans="2:6" x14ac:dyDescent="0.3">
      <c r="B480" s="10" t="str">
        <f ca="1">IF(IFERROR(INDEX((COPIA!$DA$3:$DE$1339),MATCH(ROWS(B$10:B480),COPIA!$DF$3:$DF$1339,0),COLUMN()-1),"")&gt;=1,IFERROR(INDEX((COPIA!$DA$3:$DE$1339),MATCH(ROWS(B$10:B480),COPIA!$DF$3:$DF$1339,0),COLUMN()-1),""),"")</f>
        <v/>
      </c>
      <c r="C480" s="5" t="str">
        <f ca="1">SUBSTITUTE(IFERROR(INDEX((COPIA!$DA$3:$DE$1339),MATCH(ROWS(C$10:C480),COPIA!$DF$3:$DF$1339,0),COLUMN()-1),""),"MASTRO","")</f>
        <v/>
      </c>
      <c r="D480" s="136" t="str">
        <f ca="1">IF(IFERROR(INDEX((COPIA!$DA$3:$DE$1339),MATCH(ROWS(D$10:D480),COPIA!$DF$3:$DF$1339,0),COLUMN()-1),"")=0,"",IFERROR(INDEX((COPIA!$DA$3:$DE$1339),MATCH(ROWS(D$10:D480),COPIA!$DF$3:$DF$1339,0),COLUMN()-1),""))</f>
        <v/>
      </c>
      <c r="E480" s="9" t="str">
        <f ca="1">IF(IFERROR(INDEX((COPIA!$DA$3:$DE$1339),MATCH(ROWS(E$10:E480),COPIA!$DF$3:$DF$1339,0),COLUMN()-1),"")=0,"",IFERROR(INDEX((COPIA!$DA$3:$DE$1339),MATCH(ROWS(E$10:E480),COPIA!$DF$3:$DF$1339,0),COLUMN()-1),""))</f>
        <v/>
      </c>
      <c r="F480" s="6" t="str">
        <f ca="1">IF(IFERROR(INDEX((COPIA!$DA$3:$DE$1339),MATCH(ROWS(F$10:F480),COPIA!$DF$3:$DF$1339,0),COLUMN()-1),"")=0,"",IFERROR(INDEX((COPIA!$DA$3:$DE$1339),MATCH(ROWS(F$10:F480),COPIA!$DF$3:$DF$1339,0),COLUMN()-1),""))</f>
        <v/>
      </c>
    </row>
    <row r="481" spans="2:6" x14ac:dyDescent="0.3">
      <c r="B481" s="10" t="str">
        <f ca="1">IF(IFERROR(INDEX((COPIA!$DA$3:$DE$1339),MATCH(ROWS(B$10:B481),COPIA!$DF$3:$DF$1339,0),COLUMN()-1),"")&gt;=1,IFERROR(INDEX((COPIA!$DA$3:$DE$1339),MATCH(ROWS(B$10:B481),COPIA!$DF$3:$DF$1339,0),COLUMN()-1),""),"")</f>
        <v/>
      </c>
      <c r="C481" s="5" t="str">
        <f ca="1">SUBSTITUTE(IFERROR(INDEX((COPIA!$DA$3:$DE$1339),MATCH(ROWS(C$10:C481),COPIA!$DF$3:$DF$1339,0),COLUMN()-1),""),"MASTRO","")</f>
        <v/>
      </c>
      <c r="D481" s="136" t="str">
        <f ca="1">IF(IFERROR(INDEX((COPIA!$DA$3:$DE$1339),MATCH(ROWS(D$10:D481),COPIA!$DF$3:$DF$1339,0),COLUMN()-1),"")=0,"",IFERROR(INDEX((COPIA!$DA$3:$DE$1339),MATCH(ROWS(D$10:D481),COPIA!$DF$3:$DF$1339,0),COLUMN()-1),""))</f>
        <v/>
      </c>
      <c r="E481" s="9" t="str">
        <f ca="1">IF(IFERROR(INDEX((COPIA!$DA$3:$DE$1339),MATCH(ROWS(E$10:E481),COPIA!$DF$3:$DF$1339,0),COLUMN()-1),"")=0,"",IFERROR(INDEX((COPIA!$DA$3:$DE$1339),MATCH(ROWS(E$10:E481),COPIA!$DF$3:$DF$1339,0),COLUMN()-1),""))</f>
        <v/>
      </c>
      <c r="F481" s="6" t="str">
        <f ca="1">IF(IFERROR(INDEX((COPIA!$DA$3:$DE$1339),MATCH(ROWS(F$10:F481),COPIA!$DF$3:$DF$1339,0),COLUMN()-1),"")=0,"",IFERROR(INDEX((COPIA!$DA$3:$DE$1339),MATCH(ROWS(F$10:F481),COPIA!$DF$3:$DF$1339,0),COLUMN()-1),""))</f>
        <v/>
      </c>
    </row>
    <row r="482" spans="2:6" x14ac:dyDescent="0.3">
      <c r="B482" s="10" t="str">
        <f ca="1">IF(IFERROR(INDEX((COPIA!$DA$3:$DE$1339),MATCH(ROWS(B$10:B482),COPIA!$DF$3:$DF$1339,0),COLUMN()-1),"")&gt;=1,IFERROR(INDEX((COPIA!$DA$3:$DE$1339),MATCH(ROWS(B$10:B482),COPIA!$DF$3:$DF$1339,0),COLUMN()-1),""),"")</f>
        <v/>
      </c>
      <c r="C482" s="5" t="str">
        <f ca="1">SUBSTITUTE(IFERROR(INDEX((COPIA!$DA$3:$DE$1339),MATCH(ROWS(C$10:C482),COPIA!$DF$3:$DF$1339,0),COLUMN()-1),""),"MASTRO","")</f>
        <v/>
      </c>
      <c r="D482" s="136" t="str">
        <f ca="1">IF(IFERROR(INDEX((COPIA!$DA$3:$DE$1339),MATCH(ROWS(D$10:D482),COPIA!$DF$3:$DF$1339,0),COLUMN()-1),"")=0,"",IFERROR(INDEX((COPIA!$DA$3:$DE$1339),MATCH(ROWS(D$10:D482),COPIA!$DF$3:$DF$1339,0),COLUMN()-1),""))</f>
        <v/>
      </c>
      <c r="E482" s="9" t="str">
        <f ca="1">IF(IFERROR(INDEX((COPIA!$DA$3:$DE$1339),MATCH(ROWS(E$10:E482),COPIA!$DF$3:$DF$1339,0),COLUMN()-1),"")=0,"",IFERROR(INDEX((COPIA!$DA$3:$DE$1339),MATCH(ROWS(E$10:E482),COPIA!$DF$3:$DF$1339,0),COLUMN()-1),""))</f>
        <v/>
      </c>
      <c r="F482" s="6" t="str">
        <f ca="1">IF(IFERROR(INDEX((COPIA!$DA$3:$DE$1339),MATCH(ROWS(F$10:F482),COPIA!$DF$3:$DF$1339,0),COLUMN()-1),"")=0,"",IFERROR(INDEX((COPIA!$DA$3:$DE$1339),MATCH(ROWS(F$10:F482),COPIA!$DF$3:$DF$1339,0),COLUMN()-1),""))</f>
        <v/>
      </c>
    </row>
    <row r="483" spans="2:6" x14ac:dyDescent="0.3">
      <c r="B483" s="10" t="str">
        <f ca="1">IF(IFERROR(INDEX((COPIA!$DA$3:$DE$1339),MATCH(ROWS(B$10:B483),COPIA!$DF$3:$DF$1339,0),COLUMN()-1),"")&gt;=1,IFERROR(INDEX((COPIA!$DA$3:$DE$1339),MATCH(ROWS(B$10:B483),COPIA!$DF$3:$DF$1339,0),COLUMN()-1),""),"")</f>
        <v/>
      </c>
      <c r="C483" s="5" t="str">
        <f ca="1">SUBSTITUTE(IFERROR(INDEX((COPIA!$DA$3:$DE$1339),MATCH(ROWS(C$10:C483),COPIA!$DF$3:$DF$1339,0),COLUMN()-1),""),"MASTRO","")</f>
        <v/>
      </c>
      <c r="D483" s="136" t="str">
        <f ca="1">IF(IFERROR(INDEX((COPIA!$DA$3:$DE$1339),MATCH(ROWS(D$10:D483),COPIA!$DF$3:$DF$1339,0),COLUMN()-1),"")=0,"",IFERROR(INDEX((COPIA!$DA$3:$DE$1339),MATCH(ROWS(D$10:D483),COPIA!$DF$3:$DF$1339,0),COLUMN()-1),""))</f>
        <v/>
      </c>
      <c r="E483" s="9" t="str">
        <f ca="1">IF(IFERROR(INDEX((COPIA!$DA$3:$DE$1339),MATCH(ROWS(E$10:E483),COPIA!$DF$3:$DF$1339,0),COLUMN()-1),"")=0,"",IFERROR(INDEX((COPIA!$DA$3:$DE$1339),MATCH(ROWS(E$10:E483),COPIA!$DF$3:$DF$1339,0),COLUMN()-1),""))</f>
        <v/>
      </c>
      <c r="F483" s="6" t="str">
        <f ca="1">IF(IFERROR(INDEX((COPIA!$DA$3:$DE$1339),MATCH(ROWS(F$10:F483),COPIA!$DF$3:$DF$1339,0),COLUMN()-1),"")=0,"",IFERROR(INDEX((COPIA!$DA$3:$DE$1339),MATCH(ROWS(F$10:F483),COPIA!$DF$3:$DF$1339,0),COLUMN()-1),""))</f>
        <v/>
      </c>
    </row>
    <row r="484" spans="2:6" x14ac:dyDescent="0.3">
      <c r="B484" s="10" t="str">
        <f ca="1">IF(IFERROR(INDEX((COPIA!$DA$3:$DE$1339),MATCH(ROWS(B$10:B484),COPIA!$DF$3:$DF$1339,0),COLUMN()-1),"")&gt;=1,IFERROR(INDEX((COPIA!$DA$3:$DE$1339),MATCH(ROWS(B$10:B484),COPIA!$DF$3:$DF$1339,0),COLUMN()-1),""),"")</f>
        <v/>
      </c>
      <c r="C484" s="5" t="str">
        <f ca="1">SUBSTITUTE(IFERROR(INDEX((COPIA!$DA$3:$DE$1339),MATCH(ROWS(C$10:C484),COPIA!$DF$3:$DF$1339,0),COLUMN()-1),""),"MASTRO","")</f>
        <v/>
      </c>
      <c r="D484" s="136" t="str">
        <f ca="1">IF(IFERROR(INDEX((COPIA!$DA$3:$DE$1339),MATCH(ROWS(D$10:D484),COPIA!$DF$3:$DF$1339,0),COLUMN()-1),"")=0,"",IFERROR(INDEX((COPIA!$DA$3:$DE$1339),MATCH(ROWS(D$10:D484),COPIA!$DF$3:$DF$1339,0),COLUMN()-1),""))</f>
        <v/>
      </c>
      <c r="E484" s="9" t="str">
        <f ca="1">IF(IFERROR(INDEX((COPIA!$DA$3:$DE$1339),MATCH(ROWS(E$10:E484),COPIA!$DF$3:$DF$1339,0),COLUMN()-1),"")=0,"",IFERROR(INDEX((COPIA!$DA$3:$DE$1339),MATCH(ROWS(E$10:E484),COPIA!$DF$3:$DF$1339,0),COLUMN()-1),""))</f>
        <v/>
      </c>
      <c r="F484" s="6" t="str">
        <f ca="1">IF(IFERROR(INDEX((COPIA!$DA$3:$DE$1339),MATCH(ROWS(F$10:F484),COPIA!$DF$3:$DF$1339,0),COLUMN()-1),"")=0,"",IFERROR(INDEX((COPIA!$DA$3:$DE$1339),MATCH(ROWS(F$10:F484),COPIA!$DF$3:$DF$1339,0),COLUMN()-1),""))</f>
        <v/>
      </c>
    </row>
    <row r="485" spans="2:6" x14ac:dyDescent="0.3">
      <c r="B485" s="10" t="str">
        <f ca="1">IF(IFERROR(INDEX((COPIA!$DA$3:$DE$1339),MATCH(ROWS(B$10:B485),COPIA!$DF$3:$DF$1339,0),COLUMN()-1),"")&gt;=1,IFERROR(INDEX((COPIA!$DA$3:$DE$1339),MATCH(ROWS(B$10:B485),COPIA!$DF$3:$DF$1339,0),COLUMN()-1),""),"")</f>
        <v/>
      </c>
      <c r="C485" s="5" t="str">
        <f ca="1">SUBSTITUTE(IFERROR(INDEX((COPIA!$DA$3:$DE$1339),MATCH(ROWS(C$10:C485),COPIA!$DF$3:$DF$1339,0),COLUMN()-1),""),"MASTRO","")</f>
        <v/>
      </c>
      <c r="D485" s="136" t="str">
        <f ca="1">IF(IFERROR(INDEX((COPIA!$DA$3:$DE$1339),MATCH(ROWS(D$10:D485),COPIA!$DF$3:$DF$1339,0),COLUMN()-1),"")=0,"",IFERROR(INDEX((COPIA!$DA$3:$DE$1339),MATCH(ROWS(D$10:D485),COPIA!$DF$3:$DF$1339,0),COLUMN()-1),""))</f>
        <v/>
      </c>
      <c r="E485" s="9" t="str">
        <f ca="1">IF(IFERROR(INDEX((COPIA!$DA$3:$DE$1339),MATCH(ROWS(E$10:E485),COPIA!$DF$3:$DF$1339,0),COLUMN()-1),"")=0,"",IFERROR(INDEX((COPIA!$DA$3:$DE$1339),MATCH(ROWS(E$10:E485),COPIA!$DF$3:$DF$1339,0),COLUMN()-1),""))</f>
        <v/>
      </c>
      <c r="F485" s="6" t="str">
        <f ca="1">IF(IFERROR(INDEX((COPIA!$DA$3:$DE$1339),MATCH(ROWS(F$10:F485),COPIA!$DF$3:$DF$1339,0),COLUMN()-1),"")=0,"",IFERROR(INDEX((COPIA!$DA$3:$DE$1339),MATCH(ROWS(F$10:F485),COPIA!$DF$3:$DF$1339,0),COLUMN()-1),""))</f>
        <v/>
      </c>
    </row>
    <row r="486" spans="2:6" x14ac:dyDescent="0.3">
      <c r="B486" s="10" t="str">
        <f ca="1">IF(IFERROR(INDEX((COPIA!$DA$3:$DE$1339),MATCH(ROWS(B$10:B486),COPIA!$DF$3:$DF$1339,0),COLUMN()-1),"")&gt;=1,IFERROR(INDEX((COPIA!$DA$3:$DE$1339),MATCH(ROWS(B$10:B486),COPIA!$DF$3:$DF$1339,0),COLUMN()-1),""),"")</f>
        <v/>
      </c>
      <c r="C486" s="5" t="str">
        <f ca="1">SUBSTITUTE(IFERROR(INDEX((COPIA!$DA$3:$DE$1339),MATCH(ROWS(C$10:C486),COPIA!$DF$3:$DF$1339,0),COLUMN()-1),""),"MASTRO","")</f>
        <v/>
      </c>
      <c r="D486" s="136" t="str">
        <f ca="1">IF(IFERROR(INDEX((COPIA!$DA$3:$DE$1339),MATCH(ROWS(D$10:D486),COPIA!$DF$3:$DF$1339,0),COLUMN()-1),"")=0,"",IFERROR(INDEX((COPIA!$DA$3:$DE$1339),MATCH(ROWS(D$10:D486),COPIA!$DF$3:$DF$1339,0),COLUMN()-1),""))</f>
        <v/>
      </c>
      <c r="E486" s="9" t="str">
        <f ca="1">IF(IFERROR(INDEX((COPIA!$DA$3:$DE$1339),MATCH(ROWS(E$10:E486),COPIA!$DF$3:$DF$1339,0),COLUMN()-1),"")=0,"",IFERROR(INDEX((COPIA!$DA$3:$DE$1339),MATCH(ROWS(E$10:E486),COPIA!$DF$3:$DF$1339,0),COLUMN()-1),""))</f>
        <v/>
      </c>
      <c r="F486" s="6" t="str">
        <f ca="1">IF(IFERROR(INDEX((COPIA!$DA$3:$DE$1339),MATCH(ROWS(F$10:F486),COPIA!$DF$3:$DF$1339,0),COLUMN()-1),"")=0,"",IFERROR(INDEX((COPIA!$DA$3:$DE$1339),MATCH(ROWS(F$10:F486),COPIA!$DF$3:$DF$1339,0),COLUMN()-1),""))</f>
        <v/>
      </c>
    </row>
    <row r="487" spans="2:6" x14ac:dyDescent="0.3">
      <c r="B487" s="10" t="str">
        <f ca="1">IF(IFERROR(INDEX((COPIA!$DA$3:$DE$1339),MATCH(ROWS(B$10:B487),COPIA!$DF$3:$DF$1339,0),COLUMN()-1),"")&gt;=1,IFERROR(INDEX((COPIA!$DA$3:$DE$1339),MATCH(ROWS(B$10:B487),COPIA!$DF$3:$DF$1339,0),COLUMN()-1),""),"")</f>
        <v/>
      </c>
      <c r="C487" s="5" t="str">
        <f ca="1">SUBSTITUTE(IFERROR(INDEX((COPIA!$DA$3:$DE$1339),MATCH(ROWS(C$10:C487),COPIA!$DF$3:$DF$1339,0),COLUMN()-1),""),"MASTRO","")</f>
        <v/>
      </c>
      <c r="D487" s="136" t="str">
        <f ca="1">IF(IFERROR(INDEX((COPIA!$DA$3:$DE$1339),MATCH(ROWS(D$10:D487),COPIA!$DF$3:$DF$1339,0),COLUMN()-1),"")=0,"",IFERROR(INDEX((COPIA!$DA$3:$DE$1339),MATCH(ROWS(D$10:D487),COPIA!$DF$3:$DF$1339,0),COLUMN()-1),""))</f>
        <v/>
      </c>
      <c r="E487" s="9" t="str">
        <f ca="1">IF(IFERROR(INDEX((COPIA!$DA$3:$DE$1339),MATCH(ROWS(E$10:E487),COPIA!$DF$3:$DF$1339,0),COLUMN()-1),"")=0,"",IFERROR(INDEX((COPIA!$DA$3:$DE$1339),MATCH(ROWS(E$10:E487),COPIA!$DF$3:$DF$1339,0),COLUMN()-1),""))</f>
        <v/>
      </c>
      <c r="F487" s="6" t="str">
        <f ca="1">IF(IFERROR(INDEX((COPIA!$DA$3:$DE$1339),MATCH(ROWS(F$10:F487),COPIA!$DF$3:$DF$1339,0),COLUMN()-1),"")=0,"",IFERROR(INDEX((COPIA!$DA$3:$DE$1339),MATCH(ROWS(F$10:F487),COPIA!$DF$3:$DF$1339,0),COLUMN()-1),""))</f>
        <v/>
      </c>
    </row>
    <row r="488" spans="2:6" x14ac:dyDescent="0.3">
      <c r="B488" s="10" t="str">
        <f ca="1">IF(IFERROR(INDEX((COPIA!$DA$3:$DE$1339),MATCH(ROWS(B$10:B488),COPIA!$DF$3:$DF$1339,0),COLUMN()-1),"")&gt;=1,IFERROR(INDEX((COPIA!$DA$3:$DE$1339),MATCH(ROWS(B$10:B488),COPIA!$DF$3:$DF$1339,0),COLUMN()-1),""),"")</f>
        <v/>
      </c>
      <c r="C488" s="5" t="str">
        <f ca="1">SUBSTITUTE(IFERROR(INDEX((COPIA!$DA$3:$DE$1339),MATCH(ROWS(C$10:C488),COPIA!$DF$3:$DF$1339,0),COLUMN()-1),""),"MASTRO","")</f>
        <v/>
      </c>
      <c r="D488" s="136" t="str">
        <f ca="1">IF(IFERROR(INDEX((COPIA!$DA$3:$DE$1339),MATCH(ROWS(D$10:D488),COPIA!$DF$3:$DF$1339,0),COLUMN()-1),"")=0,"",IFERROR(INDEX((COPIA!$DA$3:$DE$1339),MATCH(ROWS(D$10:D488),COPIA!$DF$3:$DF$1339,0),COLUMN()-1),""))</f>
        <v/>
      </c>
      <c r="E488" s="9" t="str">
        <f ca="1">IF(IFERROR(INDEX((COPIA!$DA$3:$DE$1339),MATCH(ROWS(E$10:E488),COPIA!$DF$3:$DF$1339,0),COLUMN()-1),"")=0,"",IFERROR(INDEX((COPIA!$DA$3:$DE$1339),MATCH(ROWS(E$10:E488),COPIA!$DF$3:$DF$1339,0),COLUMN()-1),""))</f>
        <v/>
      </c>
      <c r="F488" s="6" t="str">
        <f ca="1">IF(IFERROR(INDEX((COPIA!$DA$3:$DE$1339),MATCH(ROWS(F$10:F488),COPIA!$DF$3:$DF$1339,0),COLUMN()-1),"")=0,"",IFERROR(INDEX((COPIA!$DA$3:$DE$1339),MATCH(ROWS(F$10:F488),COPIA!$DF$3:$DF$1339,0),COLUMN()-1),""))</f>
        <v/>
      </c>
    </row>
    <row r="489" spans="2:6" x14ac:dyDescent="0.3">
      <c r="B489" s="10" t="str">
        <f ca="1">IF(IFERROR(INDEX((COPIA!$DA$3:$DE$1339),MATCH(ROWS(B$10:B489),COPIA!$DF$3:$DF$1339,0),COLUMN()-1),"")&gt;=1,IFERROR(INDEX((COPIA!$DA$3:$DE$1339),MATCH(ROWS(B$10:B489),COPIA!$DF$3:$DF$1339,0),COLUMN()-1),""),"")</f>
        <v/>
      </c>
      <c r="C489" s="5" t="str">
        <f ca="1">SUBSTITUTE(IFERROR(INDEX((COPIA!$DA$3:$DE$1339),MATCH(ROWS(C$10:C489),COPIA!$DF$3:$DF$1339,0),COLUMN()-1),""),"MASTRO","")</f>
        <v/>
      </c>
      <c r="D489" s="136" t="str">
        <f ca="1">IF(IFERROR(INDEX((COPIA!$DA$3:$DE$1339),MATCH(ROWS(D$10:D489),COPIA!$DF$3:$DF$1339,0),COLUMN()-1),"")=0,"",IFERROR(INDEX((COPIA!$DA$3:$DE$1339),MATCH(ROWS(D$10:D489),COPIA!$DF$3:$DF$1339,0),COLUMN()-1),""))</f>
        <v/>
      </c>
      <c r="E489" s="9" t="str">
        <f ca="1">IF(IFERROR(INDEX((COPIA!$DA$3:$DE$1339),MATCH(ROWS(E$10:E489),COPIA!$DF$3:$DF$1339,0),COLUMN()-1),"")=0,"",IFERROR(INDEX((COPIA!$DA$3:$DE$1339),MATCH(ROWS(E$10:E489),COPIA!$DF$3:$DF$1339,0),COLUMN()-1),""))</f>
        <v/>
      </c>
      <c r="F489" s="6" t="str">
        <f ca="1">IF(IFERROR(INDEX((COPIA!$DA$3:$DE$1339),MATCH(ROWS(F$10:F489),COPIA!$DF$3:$DF$1339,0),COLUMN()-1),"")=0,"",IFERROR(INDEX((COPIA!$DA$3:$DE$1339),MATCH(ROWS(F$10:F489),COPIA!$DF$3:$DF$1339,0),COLUMN()-1),""))</f>
        <v/>
      </c>
    </row>
    <row r="490" spans="2:6" x14ac:dyDescent="0.3">
      <c r="B490" s="10" t="str">
        <f ca="1">IF(IFERROR(INDEX((COPIA!$DA$3:$DE$1339),MATCH(ROWS(B$10:B490),COPIA!$DF$3:$DF$1339,0),COLUMN()-1),"")&gt;=1,IFERROR(INDEX((COPIA!$DA$3:$DE$1339),MATCH(ROWS(B$10:B490),COPIA!$DF$3:$DF$1339,0),COLUMN()-1),""),"")</f>
        <v/>
      </c>
      <c r="C490" s="5" t="str">
        <f ca="1">SUBSTITUTE(IFERROR(INDEX((COPIA!$DA$3:$DE$1339),MATCH(ROWS(C$10:C490),COPIA!$DF$3:$DF$1339,0),COLUMN()-1),""),"MASTRO","")</f>
        <v/>
      </c>
      <c r="D490" s="136" t="str">
        <f ca="1">IF(IFERROR(INDEX((COPIA!$DA$3:$DE$1339),MATCH(ROWS(D$10:D490),COPIA!$DF$3:$DF$1339,0),COLUMN()-1),"")=0,"",IFERROR(INDEX((COPIA!$DA$3:$DE$1339),MATCH(ROWS(D$10:D490),COPIA!$DF$3:$DF$1339,0),COLUMN()-1),""))</f>
        <v/>
      </c>
      <c r="E490" s="9" t="str">
        <f ca="1">IF(IFERROR(INDEX((COPIA!$DA$3:$DE$1339),MATCH(ROWS(E$10:E490),COPIA!$DF$3:$DF$1339,0),COLUMN()-1),"")=0,"",IFERROR(INDEX((COPIA!$DA$3:$DE$1339),MATCH(ROWS(E$10:E490),COPIA!$DF$3:$DF$1339,0),COLUMN()-1),""))</f>
        <v/>
      </c>
      <c r="F490" s="6" t="str">
        <f ca="1">IF(IFERROR(INDEX((COPIA!$DA$3:$DE$1339),MATCH(ROWS(F$10:F490),COPIA!$DF$3:$DF$1339,0),COLUMN()-1),"")=0,"",IFERROR(INDEX((COPIA!$DA$3:$DE$1339),MATCH(ROWS(F$10:F490),COPIA!$DF$3:$DF$1339,0),COLUMN()-1),""))</f>
        <v/>
      </c>
    </row>
    <row r="491" spans="2:6" x14ac:dyDescent="0.3">
      <c r="B491" s="10" t="str">
        <f ca="1">IF(IFERROR(INDEX((COPIA!$DA$3:$DE$1339),MATCH(ROWS(B$10:B491),COPIA!$DF$3:$DF$1339,0),COLUMN()-1),"")&gt;=1,IFERROR(INDEX((COPIA!$DA$3:$DE$1339),MATCH(ROWS(B$10:B491),COPIA!$DF$3:$DF$1339,0),COLUMN()-1),""),"")</f>
        <v/>
      </c>
      <c r="C491" s="5" t="str">
        <f ca="1">SUBSTITUTE(IFERROR(INDEX((COPIA!$DA$3:$DE$1339),MATCH(ROWS(C$10:C491),COPIA!$DF$3:$DF$1339,0),COLUMN()-1),""),"MASTRO","")</f>
        <v/>
      </c>
      <c r="D491" s="136" t="str">
        <f ca="1">IF(IFERROR(INDEX((COPIA!$DA$3:$DE$1339),MATCH(ROWS(D$10:D491),COPIA!$DF$3:$DF$1339,0),COLUMN()-1),"")=0,"",IFERROR(INDEX((COPIA!$DA$3:$DE$1339),MATCH(ROWS(D$10:D491),COPIA!$DF$3:$DF$1339,0),COLUMN()-1),""))</f>
        <v/>
      </c>
      <c r="E491" s="9" t="str">
        <f ca="1">IF(IFERROR(INDEX((COPIA!$DA$3:$DE$1339),MATCH(ROWS(E$10:E491),COPIA!$DF$3:$DF$1339,0),COLUMN()-1),"")=0,"",IFERROR(INDEX((COPIA!$DA$3:$DE$1339),MATCH(ROWS(E$10:E491),COPIA!$DF$3:$DF$1339,0),COLUMN()-1),""))</f>
        <v/>
      </c>
      <c r="F491" s="6" t="str">
        <f ca="1">IF(IFERROR(INDEX((COPIA!$DA$3:$DE$1339),MATCH(ROWS(F$10:F491),COPIA!$DF$3:$DF$1339,0),COLUMN()-1),"")=0,"",IFERROR(INDEX((COPIA!$DA$3:$DE$1339),MATCH(ROWS(F$10:F491),COPIA!$DF$3:$DF$1339,0),COLUMN()-1),""))</f>
        <v/>
      </c>
    </row>
    <row r="492" spans="2:6" x14ac:dyDescent="0.3">
      <c r="B492" s="10" t="str">
        <f ca="1">IF(IFERROR(INDEX((COPIA!$DA$3:$DE$1339),MATCH(ROWS(B$10:B492),COPIA!$DF$3:$DF$1339,0),COLUMN()-1),"")&gt;=1,IFERROR(INDEX((COPIA!$DA$3:$DE$1339),MATCH(ROWS(B$10:B492),COPIA!$DF$3:$DF$1339,0),COLUMN()-1),""),"")</f>
        <v/>
      </c>
      <c r="C492" s="5" t="str">
        <f ca="1">SUBSTITUTE(IFERROR(INDEX((COPIA!$DA$3:$DE$1339),MATCH(ROWS(C$10:C492),COPIA!$DF$3:$DF$1339,0),COLUMN()-1),""),"MASTRO","")</f>
        <v/>
      </c>
      <c r="D492" s="136" t="str">
        <f ca="1">IF(IFERROR(INDEX((COPIA!$DA$3:$DE$1339),MATCH(ROWS(D$10:D492),COPIA!$DF$3:$DF$1339,0),COLUMN()-1),"")=0,"",IFERROR(INDEX((COPIA!$DA$3:$DE$1339),MATCH(ROWS(D$10:D492),COPIA!$DF$3:$DF$1339,0),COLUMN()-1),""))</f>
        <v/>
      </c>
      <c r="E492" s="9" t="str">
        <f ca="1">IF(IFERROR(INDEX((COPIA!$DA$3:$DE$1339),MATCH(ROWS(E$10:E492),COPIA!$DF$3:$DF$1339,0),COLUMN()-1),"")=0,"",IFERROR(INDEX((COPIA!$DA$3:$DE$1339),MATCH(ROWS(E$10:E492),COPIA!$DF$3:$DF$1339,0),COLUMN()-1),""))</f>
        <v/>
      </c>
      <c r="F492" s="6" t="str">
        <f ca="1">IF(IFERROR(INDEX((COPIA!$DA$3:$DE$1339),MATCH(ROWS(F$10:F492),COPIA!$DF$3:$DF$1339,0),COLUMN()-1),"")=0,"",IFERROR(INDEX((COPIA!$DA$3:$DE$1339),MATCH(ROWS(F$10:F492),COPIA!$DF$3:$DF$1339,0),COLUMN()-1),""))</f>
        <v/>
      </c>
    </row>
    <row r="493" spans="2:6" x14ac:dyDescent="0.3">
      <c r="B493" s="10" t="str">
        <f ca="1">IF(IFERROR(INDEX((COPIA!$DA$3:$DE$1339),MATCH(ROWS(B$10:B493),COPIA!$DF$3:$DF$1339,0),COLUMN()-1),"")&gt;=1,IFERROR(INDEX((COPIA!$DA$3:$DE$1339),MATCH(ROWS(B$10:B493),COPIA!$DF$3:$DF$1339,0),COLUMN()-1),""),"")</f>
        <v/>
      </c>
      <c r="C493" s="5" t="str">
        <f ca="1">SUBSTITUTE(IFERROR(INDEX((COPIA!$DA$3:$DE$1339),MATCH(ROWS(C$10:C493),COPIA!$DF$3:$DF$1339,0),COLUMN()-1),""),"MASTRO","")</f>
        <v/>
      </c>
      <c r="D493" s="136" t="str">
        <f ca="1">IF(IFERROR(INDEX((COPIA!$DA$3:$DE$1339),MATCH(ROWS(D$10:D493),COPIA!$DF$3:$DF$1339,0),COLUMN()-1),"")=0,"",IFERROR(INDEX((COPIA!$DA$3:$DE$1339),MATCH(ROWS(D$10:D493),COPIA!$DF$3:$DF$1339,0),COLUMN()-1),""))</f>
        <v/>
      </c>
      <c r="E493" s="9" t="str">
        <f ca="1">IF(IFERROR(INDEX((COPIA!$DA$3:$DE$1339),MATCH(ROWS(E$10:E493),COPIA!$DF$3:$DF$1339,0),COLUMN()-1),"")=0,"",IFERROR(INDEX((COPIA!$DA$3:$DE$1339),MATCH(ROWS(E$10:E493),COPIA!$DF$3:$DF$1339,0),COLUMN()-1),""))</f>
        <v/>
      </c>
      <c r="F493" s="6" t="str">
        <f ca="1">IF(IFERROR(INDEX((COPIA!$DA$3:$DE$1339),MATCH(ROWS(F$10:F493),COPIA!$DF$3:$DF$1339,0),COLUMN()-1),"")=0,"",IFERROR(INDEX((COPIA!$DA$3:$DE$1339),MATCH(ROWS(F$10:F493),COPIA!$DF$3:$DF$1339,0),COLUMN()-1),""))</f>
        <v/>
      </c>
    </row>
    <row r="494" spans="2:6" x14ac:dyDescent="0.3">
      <c r="B494" s="10" t="str">
        <f ca="1">IF(IFERROR(INDEX((COPIA!$DA$3:$DE$1339),MATCH(ROWS(B$10:B494),COPIA!$DF$3:$DF$1339,0),COLUMN()-1),"")&gt;=1,IFERROR(INDEX((COPIA!$DA$3:$DE$1339),MATCH(ROWS(B$10:B494),COPIA!$DF$3:$DF$1339,0),COLUMN()-1),""),"")</f>
        <v/>
      </c>
      <c r="C494" s="5" t="str">
        <f ca="1">SUBSTITUTE(IFERROR(INDEX((COPIA!$DA$3:$DE$1339),MATCH(ROWS(C$10:C494),COPIA!$DF$3:$DF$1339,0),COLUMN()-1),""),"MASTRO","")</f>
        <v/>
      </c>
      <c r="D494" s="136" t="str">
        <f ca="1">IF(IFERROR(INDEX((COPIA!$DA$3:$DE$1339),MATCH(ROWS(D$10:D494),COPIA!$DF$3:$DF$1339,0),COLUMN()-1),"")=0,"",IFERROR(INDEX((COPIA!$DA$3:$DE$1339),MATCH(ROWS(D$10:D494),COPIA!$DF$3:$DF$1339,0),COLUMN()-1),""))</f>
        <v/>
      </c>
      <c r="E494" s="9" t="str">
        <f ca="1">IF(IFERROR(INDEX((COPIA!$DA$3:$DE$1339),MATCH(ROWS(E$10:E494),COPIA!$DF$3:$DF$1339,0),COLUMN()-1),"")=0,"",IFERROR(INDEX((COPIA!$DA$3:$DE$1339),MATCH(ROWS(E$10:E494),COPIA!$DF$3:$DF$1339,0),COLUMN()-1),""))</f>
        <v/>
      </c>
      <c r="F494" s="6" t="str">
        <f ca="1">IF(IFERROR(INDEX((COPIA!$DA$3:$DE$1339),MATCH(ROWS(F$10:F494),COPIA!$DF$3:$DF$1339,0),COLUMN()-1),"")=0,"",IFERROR(INDEX((COPIA!$DA$3:$DE$1339),MATCH(ROWS(F$10:F494),COPIA!$DF$3:$DF$1339,0),COLUMN()-1),""))</f>
        <v/>
      </c>
    </row>
    <row r="495" spans="2:6" x14ac:dyDescent="0.3">
      <c r="B495" s="10" t="str">
        <f ca="1">IF(IFERROR(INDEX((COPIA!$DA$3:$DE$1339),MATCH(ROWS(B$10:B495),COPIA!$DF$3:$DF$1339,0),COLUMN()-1),"")&gt;=1,IFERROR(INDEX((COPIA!$DA$3:$DE$1339),MATCH(ROWS(B$10:B495),COPIA!$DF$3:$DF$1339,0),COLUMN()-1),""),"")</f>
        <v/>
      </c>
      <c r="C495" s="5" t="str">
        <f ca="1">SUBSTITUTE(IFERROR(INDEX((COPIA!$DA$3:$DE$1339),MATCH(ROWS(C$10:C495),COPIA!$DF$3:$DF$1339,0),COLUMN()-1),""),"MASTRO","")</f>
        <v/>
      </c>
      <c r="D495" s="136" t="str">
        <f ca="1">IF(IFERROR(INDEX((COPIA!$DA$3:$DE$1339),MATCH(ROWS(D$10:D495),COPIA!$DF$3:$DF$1339,0),COLUMN()-1),"")=0,"",IFERROR(INDEX((COPIA!$DA$3:$DE$1339),MATCH(ROWS(D$10:D495),COPIA!$DF$3:$DF$1339,0),COLUMN()-1),""))</f>
        <v/>
      </c>
      <c r="E495" s="9" t="str">
        <f ca="1">IF(IFERROR(INDEX((COPIA!$DA$3:$DE$1339),MATCH(ROWS(E$10:E495),COPIA!$DF$3:$DF$1339,0),COLUMN()-1),"")=0,"",IFERROR(INDEX((COPIA!$DA$3:$DE$1339),MATCH(ROWS(E$10:E495),COPIA!$DF$3:$DF$1339,0),COLUMN()-1),""))</f>
        <v/>
      </c>
      <c r="F495" s="6" t="str">
        <f ca="1">IF(IFERROR(INDEX((COPIA!$DA$3:$DE$1339),MATCH(ROWS(F$10:F495),COPIA!$DF$3:$DF$1339,0),COLUMN()-1),"")=0,"",IFERROR(INDEX((COPIA!$DA$3:$DE$1339),MATCH(ROWS(F$10:F495),COPIA!$DF$3:$DF$1339,0),COLUMN()-1),""))</f>
        <v/>
      </c>
    </row>
    <row r="496" spans="2:6" x14ac:dyDescent="0.3">
      <c r="B496" s="10" t="str">
        <f ca="1">IF(IFERROR(INDEX((COPIA!$DA$3:$DE$1339),MATCH(ROWS(B$10:B496),COPIA!$DF$3:$DF$1339,0),COLUMN()-1),"")&gt;=1,IFERROR(INDEX((COPIA!$DA$3:$DE$1339),MATCH(ROWS(B$10:B496),COPIA!$DF$3:$DF$1339,0),COLUMN()-1),""),"")</f>
        <v/>
      </c>
      <c r="C496" s="5" t="str">
        <f ca="1">SUBSTITUTE(IFERROR(INDEX((COPIA!$DA$3:$DE$1339),MATCH(ROWS(C$10:C496),COPIA!$DF$3:$DF$1339,0),COLUMN()-1),""),"MASTRO","")</f>
        <v/>
      </c>
      <c r="D496" s="136" t="str">
        <f ca="1">IF(IFERROR(INDEX((COPIA!$DA$3:$DE$1339),MATCH(ROWS(D$10:D496),COPIA!$DF$3:$DF$1339,0),COLUMN()-1),"")=0,"",IFERROR(INDEX((COPIA!$DA$3:$DE$1339),MATCH(ROWS(D$10:D496),COPIA!$DF$3:$DF$1339,0),COLUMN()-1),""))</f>
        <v/>
      </c>
      <c r="E496" s="9" t="str">
        <f ca="1">IF(IFERROR(INDEX((COPIA!$DA$3:$DE$1339),MATCH(ROWS(E$10:E496),COPIA!$DF$3:$DF$1339,0),COLUMN()-1),"")=0,"",IFERROR(INDEX((COPIA!$DA$3:$DE$1339),MATCH(ROWS(E$10:E496),COPIA!$DF$3:$DF$1339,0),COLUMN()-1),""))</f>
        <v/>
      </c>
      <c r="F496" s="6" t="str">
        <f ca="1">IF(IFERROR(INDEX((COPIA!$DA$3:$DE$1339),MATCH(ROWS(F$10:F496),COPIA!$DF$3:$DF$1339,0),COLUMN()-1),"")=0,"",IFERROR(INDEX((COPIA!$DA$3:$DE$1339),MATCH(ROWS(F$10:F496),COPIA!$DF$3:$DF$1339,0),COLUMN()-1),""))</f>
        <v/>
      </c>
    </row>
    <row r="497" spans="2:6" x14ac:dyDescent="0.3">
      <c r="B497" s="10" t="str">
        <f ca="1">IF(IFERROR(INDEX((COPIA!$DA$3:$DE$1339),MATCH(ROWS(B$10:B497),COPIA!$DF$3:$DF$1339,0),COLUMN()-1),"")&gt;=1,IFERROR(INDEX((COPIA!$DA$3:$DE$1339),MATCH(ROWS(B$10:B497),COPIA!$DF$3:$DF$1339,0),COLUMN()-1),""),"")</f>
        <v/>
      </c>
      <c r="C497" s="5" t="str">
        <f ca="1">SUBSTITUTE(IFERROR(INDEX((COPIA!$DA$3:$DE$1339),MATCH(ROWS(C$10:C497),COPIA!$DF$3:$DF$1339,0),COLUMN()-1),""),"MASTRO","")</f>
        <v/>
      </c>
      <c r="D497" s="136" t="str">
        <f ca="1">IF(IFERROR(INDEX((COPIA!$DA$3:$DE$1339),MATCH(ROWS(D$10:D497),COPIA!$DF$3:$DF$1339,0),COLUMN()-1),"")=0,"",IFERROR(INDEX((COPIA!$DA$3:$DE$1339),MATCH(ROWS(D$10:D497),COPIA!$DF$3:$DF$1339,0),COLUMN()-1),""))</f>
        <v/>
      </c>
      <c r="E497" s="9" t="str">
        <f ca="1">IF(IFERROR(INDEX((COPIA!$DA$3:$DE$1339),MATCH(ROWS(E$10:E497),COPIA!$DF$3:$DF$1339,0),COLUMN()-1),"")=0,"",IFERROR(INDEX((COPIA!$DA$3:$DE$1339),MATCH(ROWS(E$10:E497),COPIA!$DF$3:$DF$1339,0),COLUMN()-1),""))</f>
        <v/>
      </c>
      <c r="F497" s="6" t="str">
        <f ca="1">IF(IFERROR(INDEX((COPIA!$DA$3:$DE$1339),MATCH(ROWS(F$10:F497),COPIA!$DF$3:$DF$1339,0),COLUMN()-1),"")=0,"",IFERROR(INDEX((COPIA!$DA$3:$DE$1339),MATCH(ROWS(F$10:F497),COPIA!$DF$3:$DF$1339,0),COLUMN()-1),""))</f>
        <v/>
      </c>
    </row>
    <row r="498" spans="2:6" x14ac:dyDescent="0.3">
      <c r="B498" s="10" t="str">
        <f ca="1">IF(IFERROR(INDEX((COPIA!$DA$3:$DE$1339),MATCH(ROWS(B$10:B498),COPIA!$DF$3:$DF$1339,0),COLUMN()-1),"")&gt;=1,IFERROR(INDEX((COPIA!$DA$3:$DE$1339),MATCH(ROWS(B$10:B498),COPIA!$DF$3:$DF$1339,0),COLUMN()-1),""),"")</f>
        <v/>
      </c>
      <c r="C498" s="5" t="str">
        <f ca="1">SUBSTITUTE(IFERROR(INDEX((COPIA!$DA$3:$DE$1339),MATCH(ROWS(C$10:C498),COPIA!$DF$3:$DF$1339,0),COLUMN()-1),""),"MASTRO","")</f>
        <v/>
      </c>
      <c r="D498" s="136" t="str">
        <f ca="1">IF(IFERROR(INDEX((COPIA!$DA$3:$DE$1339),MATCH(ROWS(D$10:D498),COPIA!$DF$3:$DF$1339,0),COLUMN()-1),"")=0,"",IFERROR(INDEX((COPIA!$DA$3:$DE$1339),MATCH(ROWS(D$10:D498),COPIA!$DF$3:$DF$1339,0),COLUMN()-1),""))</f>
        <v/>
      </c>
      <c r="E498" s="9" t="str">
        <f ca="1">IF(IFERROR(INDEX((COPIA!$DA$3:$DE$1339),MATCH(ROWS(E$10:E498),COPIA!$DF$3:$DF$1339,0),COLUMN()-1),"")=0,"",IFERROR(INDEX((COPIA!$DA$3:$DE$1339),MATCH(ROWS(E$10:E498),COPIA!$DF$3:$DF$1339,0),COLUMN()-1),""))</f>
        <v/>
      </c>
      <c r="F498" s="6" t="str">
        <f ca="1">IF(IFERROR(INDEX((COPIA!$DA$3:$DE$1339),MATCH(ROWS(F$10:F498),COPIA!$DF$3:$DF$1339,0),COLUMN()-1),"")=0,"",IFERROR(INDEX((COPIA!$DA$3:$DE$1339),MATCH(ROWS(F$10:F498),COPIA!$DF$3:$DF$1339,0),COLUMN()-1),""))</f>
        <v/>
      </c>
    </row>
    <row r="499" spans="2:6" x14ac:dyDescent="0.3">
      <c r="B499" s="10" t="str">
        <f ca="1">IF(IFERROR(INDEX((COPIA!$DA$3:$DE$1339),MATCH(ROWS(B$10:B499),COPIA!$DF$3:$DF$1339,0),COLUMN()-1),"")&gt;=1,IFERROR(INDEX((COPIA!$DA$3:$DE$1339),MATCH(ROWS(B$10:B499),COPIA!$DF$3:$DF$1339,0),COLUMN()-1),""),"")</f>
        <v/>
      </c>
      <c r="C499" s="5" t="str">
        <f ca="1">SUBSTITUTE(IFERROR(INDEX((COPIA!$DA$3:$DE$1339),MATCH(ROWS(C$10:C499),COPIA!$DF$3:$DF$1339,0),COLUMN()-1),""),"MASTRO","")</f>
        <v/>
      </c>
      <c r="D499" s="136" t="str">
        <f ca="1">IF(IFERROR(INDEX((COPIA!$DA$3:$DE$1339),MATCH(ROWS(D$10:D499),COPIA!$DF$3:$DF$1339,0),COLUMN()-1),"")=0,"",IFERROR(INDEX((COPIA!$DA$3:$DE$1339),MATCH(ROWS(D$10:D499),COPIA!$DF$3:$DF$1339,0),COLUMN()-1),""))</f>
        <v/>
      </c>
      <c r="E499" s="9" t="str">
        <f ca="1">IF(IFERROR(INDEX((COPIA!$DA$3:$DE$1339),MATCH(ROWS(E$10:E499),COPIA!$DF$3:$DF$1339,0),COLUMN()-1),"")=0,"",IFERROR(INDEX((COPIA!$DA$3:$DE$1339),MATCH(ROWS(E$10:E499),COPIA!$DF$3:$DF$1339,0),COLUMN()-1),""))</f>
        <v/>
      </c>
      <c r="F499" s="6" t="str">
        <f ca="1">IF(IFERROR(INDEX((COPIA!$DA$3:$DE$1339),MATCH(ROWS(F$10:F499),COPIA!$DF$3:$DF$1339,0),COLUMN()-1),"")=0,"",IFERROR(INDEX((COPIA!$DA$3:$DE$1339),MATCH(ROWS(F$10:F499),COPIA!$DF$3:$DF$1339,0),COLUMN()-1),""))</f>
        <v/>
      </c>
    </row>
    <row r="500" spans="2:6" x14ac:dyDescent="0.3">
      <c r="B500" s="10" t="str">
        <f ca="1">IF(IFERROR(INDEX((COPIA!$DA$3:$DE$1339),MATCH(ROWS(B$10:B500),COPIA!$DF$3:$DF$1339,0),COLUMN()-1),"")&gt;=1,IFERROR(INDEX((COPIA!$DA$3:$DE$1339),MATCH(ROWS(B$10:B500),COPIA!$DF$3:$DF$1339,0),COLUMN()-1),""),"")</f>
        <v/>
      </c>
      <c r="C500" s="5" t="str">
        <f ca="1">SUBSTITUTE(IFERROR(INDEX((COPIA!$DA$3:$DE$1339),MATCH(ROWS(C$10:C500),COPIA!$DF$3:$DF$1339,0),COLUMN()-1),""),"MASTRO","")</f>
        <v/>
      </c>
      <c r="D500" s="136" t="str">
        <f ca="1">IF(IFERROR(INDEX((COPIA!$DA$3:$DE$1339),MATCH(ROWS(D$10:D500),COPIA!$DF$3:$DF$1339,0),COLUMN()-1),"")=0,"",IFERROR(INDEX((COPIA!$DA$3:$DE$1339),MATCH(ROWS(D$10:D500),COPIA!$DF$3:$DF$1339,0),COLUMN()-1),""))</f>
        <v/>
      </c>
      <c r="E500" s="9" t="str">
        <f ca="1">IF(IFERROR(INDEX((COPIA!$DA$3:$DE$1339),MATCH(ROWS(E$10:E500),COPIA!$DF$3:$DF$1339,0),COLUMN()-1),"")=0,"",IFERROR(INDEX((COPIA!$DA$3:$DE$1339),MATCH(ROWS(E$10:E500),COPIA!$DF$3:$DF$1339,0),COLUMN()-1),""))</f>
        <v/>
      </c>
      <c r="F500" s="6" t="str">
        <f ca="1">IF(IFERROR(INDEX((COPIA!$DA$3:$DE$1339),MATCH(ROWS(F$10:F500),COPIA!$DF$3:$DF$1339,0),COLUMN()-1),"")=0,"",IFERROR(INDEX((COPIA!$DA$3:$DE$1339),MATCH(ROWS(F$10:F500),COPIA!$DF$3:$DF$1339,0),COLUMN()-1),""))</f>
        <v/>
      </c>
    </row>
    <row r="501" spans="2:6" x14ac:dyDescent="0.3">
      <c r="B501" s="10" t="str">
        <f ca="1">IF(IFERROR(INDEX((COPIA!$DA$3:$DE$1339),MATCH(ROWS(B$10:B501),COPIA!$DF$3:$DF$1339,0),COLUMN()-1),"")&gt;=1,IFERROR(INDEX((COPIA!$DA$3:$DE$1339),MATCH(ROWS(B$10:B501),COPIA!$DF$3:$DF$1339,0),COLUMN()-1),""),"")</f>
        <v/>
      </c>
      <c r="C501" s="5" t="str">
        <f ca="1">SUBSTITUTE(IFERROR(INDEX((COPIA!$DA$3:$DE$1339),MATCH(ROWS(C$10:C501),COPIA!$DF$3:$DF$1339,0),COLUMN()-1),""),"MASTRO","")</f>
        <v/>
      </c>
      <c r="D501" s="136" t="str">
        <f ca="1">IF(IFERROR(INDEX((COPIA!$DA$3:$DE$1339),MATCH(ROWS(D$10:D501),COPIA!$DF$3:$DF$1339,0),COLUMN()-1),"")=0,"",IFERROR(INDEX((COPIA!$DA$3:$DE$1339),MATCH(ROWS(D$10:D501),COPIA!$DF$3:$DF$1339,0),COLUMN()-1),""))</f>
        <v/>
      </c>
      <c r="E501" s="9" t="str">
        <f ca="1">IF(IFERROR(INDEX((COPIA!$DA$3:$DE$1339),MATCH(ROWS(E$10:E501),COPIA!$DF$3:$DF$1339,0),COLUMN()-1),"")=0,"",IFERROR(INDEX((COPIA!$DA$3:$DE$1339),MATCH(ROWS(E$10:E501),COPIA!$DF$3:$DF$1339,0),COLUMN()-1),""))</f>
        <v/>
      </c>
      <c r="F501" s="6" t="str">
        <f ca="1">IF(IFERROR(INDEX((COPIA!$DA$3:$DE$1339),MATCH(ROWS(F$10:F501),COPIA!$DF$3:$DF$1339,0),COLUMN()-1),"")=0,"",IFERROR(INDEX((COPIA!$DA$3:$DE$1339),MATCH(ROWS(F$10:F501),COPIA!$DF$3:$DF$1339,0),COLUMN()-1),""))</f>
        <v/>
      </c>
    </row>
    <row r="502" spans="2:6" x14ac:dyDescent="0.3">
      <c r="B502" s="10" t="str">
        <f ca="1">IF(IFERROR(INDEX((COPIA!$DA$3:$DE$1339),MATCH(ROWS(B$10:B502),COPIA!$DF$3:$DF$1339,0),COLUMN()-1),"")&gt;=1,IFERROR(INDEX((COPIA!$DA$3:$DE$1339),MATCH(ROWS(B$10:B502),COPIA!$DF$3:$DF$1339,0),COLUMN()-1),""),"")</f>
        <v/>
      </c>
      <c r="C502" s="5" t="str">
        <f ca="1">SUBSTITUTE(IFERROR(INDEX((COPIA!$DA$3:$DE$1339),MATCH(ROWS(C$10:C502),COPIA!$DF$3:$DF$1339,0),COLUMN()-1),""),"MASTRO","")</f>
        <v/>
      </c>
      <c r="D502" s="136" t="str">
        <f ca="1">IF(IFERROR(INDEX((COPIA!$DA$3:$DE$1339),MATCH(ROWS(D$10:D502),COPIA!$DF$3:$DF$1339,0),COLUMN()-1),"")=0,"",IFERROR(INDEX((COPIA!$DA$3:$DE$1339),MATCH(ROWS(D$10:D502),COPIA!$DF$3:$DF$1339,0),COLUMN()-1),""))</f>
        <v/>
      </c>
      <c r="E502" s="9" t="str">
        <f ca="1">IF(IFERROR(INDEX((COPIA!$DA$3:$DE$1339),MATCH(ROWS(E$10:E502),COPIA!$DF$3:$DF$1339,0),COLUMN()-1),"")=0,"",IFERROR(INDEX((COPIA!$DA$3:$DE$1339),MATCH(ROWS(E$10:E502),COPIA!$DF$3:$DF$1339,0),COLUMN()-1),""))</f>
        <v/>
      </c>
      <c r="F502" s="6" t="str">
        <f ca="1">IF(IFERROR(INDEX((COPIA!$DA$3:$DE$1339),MATCH(ROWS(F$10:F502),COPIA!$DF$3:$DF$1339,0),COLUMN()-1),"")=0,"",IFERROR(INDEX((COPIA!$DA$3:$DE$1339),MATCH(ROWS(F$10:F502),COPIA!$DF$3:$DF$1339,0),COLUMN()-1),""))</f>
        <v/>
      </c>
    </row>
    <row r="503" spans="2:6" x14ac:dyDescent="0.3">
      <c r="B503" s="10" t="str">
        <f ca="1">IF(IFERROR(INDEX((COPIA!$DA$3:$DE$1339),MATCH(ROWS(B$10:B503),COPIA!$DF$3:$DF$1339,0),COLUMN()-1),"")&gt;=1,IFERROR(INDEX((COPIA!$DA$3:$DE$1339),MATCH(ROWS(B$10:B503),COPIA!$DF$3:$DF$1339,0),COLUMN()-1),""),"")</f>
        <v/>
      </c>
      <c r="C503" s="5" t="str">
        <f ca="1">SUBSTITUTE(IFERROR(INDEX((COPIA!$DA$3:$DE$1339),MATCH(ROWS(C$10:C503),COPIA!$DF$3:$DF$1339,0),COLUMN()-1),""),"MASTRO","")</f>
        <v/>
      </c>
      <c r="D503" s="136" t="str">
        <f ca="1">IF(IFERROR(INDEX((COPIA!$DA$3:$DE$1339),MATCH(ROWS(D$10:D503),COPIA!$DF$3:$DF$1339,0),COLUMN()-1),"")=0,"",IFERROR(INDEX((COPIA!$DA$3:$DE$1339),MATCH(ROWS(D$10:D503),COPIA!$DF$3:$DF$1339,0),COLUMN()-1),""))</f>
        <v/>
      </c>
      <c r="E503" s="9" t="str">
        <f ca="1">IF(IFERROR(INDEX((COPIA!$DA$3:$DE$1339),MATCH(ROWS(E$10:E503),COPIA!$DF$3:$DF$1339,0),COLUMN()-1),"")=0,"",IFERROR(INDEX((COPIA!$DA$3:$DE$1339),MATCH(ROWS(E$10:E503),COPIA!$DF$3:$DF$1339,0),COLUMN()-1),""))</f>
        <v/>
      </c>
      <c r="F503" s="6" t="str">
        <f ca="1">IF(IFERROR(INDEX((COPIA!$DA$3:$DE$1339),MATCH(ROWS(F$10:F503),COPIA!$DF$3:$DF$1339,0),COLUMN()-1),"")=0,"",IFERROR(INDEX((COPIA!$DA$3:$DE$1339),MATCH(ROWS(F$10:F503),COPIA!$DF$3:$DF$1339,0),COLUMN()-1),""))</f>
        <v/>
      </c>
    </row>
    <row r="504" spans="2:6" x14ac:dyDescent="0.3">
      <c r="B504" s="10" t="str">
        <f ca="1">IF(IFERROR(INDEX((COPIA!$DA$3:$DE$1339),MATCH(ROWS(B$10:B504),COPIA!$DF$3:$DF$1339,0),COLUMN()-1),"")&gt;=1,IFERROR(INDEX((COPIA!$DA$3:$DE$1339),MATCH(ROWS(B$10:B504),COPIA!$DF$3:$DF$1339,0),COLUMN()-1),""),"")</f>
        <v/>
      </c>
      <c r="C504" s="5" t="str">
        <f ca="1">SUBSTITUTE(IFERROR(INDEX((COPIA!$DA$3:$DE$1339),MATCH(ROWS(C$10:C504),COPIA!$DF$3:$DF$1339,0),COLUMN()-1),""),"MASTRO","")</f>
        <v/>
      </c>
      <c r="D504" s="136" t="str">
        <f ca="1">IF(IFERROR(INDEX((COPIA!$DA$3:$DE$1339),MATCH(ROWS(D$10:D504),COPIA!$DF$3:$DF$1339,0),COLUMN()-1),"")=0,"",IFERROR(INDEX((COPIA!$DA$3:$DE$1339),MATCH(ROWS(D$10:D504),COPIA!$DF$3:$DF$1339,0),COLUMN()-1),""))</f>
        <v/>
      </c>
      <c r="E504" s="9" t="str">
        <f ca="1">IF(IFERROR(INDEX((COPIA!$DA$3:$DE$1339),MATCH(ROWS(E$10:E504),COPIA!$DF$3:$DF$1339,0),COLUMN()-1),"")=0,"",IFERROR(INDEX((COPIA!$DA$3:$DE$1339),MATCH(ROWS(E$10:E504),COPIA!$DF$3:$DF$1339,0),COLUMN()-1),""))</f>
        <v/>
      </c>
      <c r="F504" s="6" t="str">
        <f ca="1">IF(IFERROR(INDEX((COPIA!$DA$3:$DE$1339),MATCH(ROWS(F$10:F504),COPIA!$DF$3:$DF$1339,0),COLUMN()-1),"")=0,"",IFERROR(INDEX((COPIA!$DA$3:$DE$1339),MATCH(ROWS(F$10:F504),COPIA!$DF$3:$DF$1339,0),COLUMN()-1),""))</f>
        <v/>
      </c>
    </row>
    <row r="505" spans="2:6" x14ac:dyDescent="0.3">
      <c r="B505" s="10" t="str">
        <f ca="1">IF(IFERROR(INDEX((COPIA!$DA$3:$DE$1339),MATCH(ROWS(B$10:B505),COPIA!$DF$3:$DF$1339,0),COLUMN()-1),"")&gt;=1,IFERROR(INDEX((COPIA!$DA$3:$DE$1339),MATCH(ROWS(B$10:B505),COPIA!$DF$3:$DF$1339,0),COLUMN()-1),""),"")</f>
        <v/>
      </c>
      <c r="C505" s="5" t="str">
        <f ca="1">SUBSTITUTE(IFERROR(INDEX((COPIA!$DA$3:$DE$1339),MATCH(ROWS(C$10:C505),COPIA!$DF$3:$DF$1339,0),COLUMN()-1),""),"MASTRO","")</f>
        <v/>
      </c>
      <c r="D505" s="136" t="str">
        <f ca="1">IF(IFERROR(INDEX((COPIA!$DA$3:$DE$1339),MATCH(ROWS(D$10:D505),COPIA!$DF$3:$DF$1339,0),COLUMN()-1),"")=0,"",IFERROR(INDEX((COPIA!$DA$3:$DE$1339),MATCH(ROWS(D$10:D505),COPIA!$DF$3:$DF$1339,0),COLUMN()-1),""))</f>
        <v/>
      </c>
      <c r="E505" s="9" t="str">
        <f ca="1">IF(IFERROR(INDEX((COPIA!$DA$3:$DE$1339),MATCH(ROWS(E$10:E505),COPIA!$DF$3:$DF$1339,0),COLUMN()-1),"")=0,"",IFERROR(INDEX((COPIA!$DA$3:$DE$1339),MATCH(ROWS(E$10:E505),COPIA!$DF$3:$DF$1339,0),COLUMN()-1),""))</f>
        <v/>
      </c>
      <c r="F505" s="6" t="str">
        <f ca="1">IF(IFERROR(INDEX((COPIA!$DA$3:$DE$1339),MATCH(ROWS(F$10:F505),COPIA!$DF$3:$DF$1339,0),COLUMN()-1),"")=0,"",IFERROR(INDEX((COPIA!$DA$3:$DE$1339),MATCH(ROWS(F$10:F505),COPIA!$DF$3:$DF$1339,0),COLUMN()-1),""))</f>
        <v/>
      </c>
    </row>
    <row r="506" spans="2:6" x14ac:dyDescent="0.3">
      <c r="B506" s="10" t="str">
        <f ca="1">IF(IFERROR(INDEX((COPIA!$DA$3:$DE$1339),MATCH(ROWS(B$10:B506),COPIA!$DF$3:$DF$1339,0),COLUMN()-1),"")&gt;=1,IFERROR(INDEX((COPIA!$DA$3:$DE$1339),MATCH(ROWS(B$10:B506),COPIA!$DF$3:$DF$1339,0),COLUMN()-1),""),"")</f>
        <v/>
      </c>
      <c r="C506" s="5" t="str">
        <f ca="1">SUBSTITUTE(IFERROR(INDEX((COPIA!$DA$3:$DE$1339),MATCH(ROWS(C$10:C506),COPIA!$DF$3:$DF$1339,0),COLUMN()-1),""),"MASTRO","")</f>
        <v/>
      </c>
      <c r="D506" s="136" t="str">
        <f ca="1">IF(IFERROR(INDEX((COPIA!$DA$3:$DE$1339),MATCH(ROWS(D$10:D506),COPIA!$DF$3:$DF$1339,0),COLUMN()-1),"")=0,"",IFERROR(INDEX((COPIA!$DA$3:$DE$1339),MATCH(ROWS(D$10:D506),COPIA!$DF$3:$DF$1339,0),COLUMN()-1),""))</f>
        <v/>
      </c>
      <c r="E506" s="9" t="str">
        <f ca="1">IF(IFERROR(INDEX((COPIA!$DA$3:$DE$1339),MATCH(ROWS(E$10:E506),COPIA!$DF$3:$DF$1339,0),COLUMN()-1),"")=0,"",IFERROR(INDEX((COPIA!$DA$3:$DE$1339),MATCH(ROWS(E$10:E506),COPIA!$DF$3:$DF$1339,0),COLUMN()-1),""))</f>
        <v/>
      </c>
      <c r="F506" s="6" t="str">
        <f ca="1">IF(IFERROR(INDEX((COPIA!$DA$3:$DE$1339),MATCH(ROWS(F$10:F506),COPIA!$DF$3:$DF$1339,0),COLUMN()-1),"")=0,"",IFERROR(INDEX((COPIA!$DA$3:$DE$1339),MATCH(ROWS(F$10:F506),COPIA!$DF$3:$DF$1339,0),COLUMN()-1),""))</f>
        <v/>
      </c>
    </row>
    <row r="507" spans="2:6" x14ac:dyDescent="0.3">
      <c r="B507" s="10" t="str">
        <f ca="1">IF(IFERROR(INDEX((COPIA!$DA$3:$DE$1339),MATCH(ROWS(B$10:B507),COPIA!$DF$3:$DF$1339,0),COLUMN()-1),"")&gt;=1,IFERROR(INDEX((COPIA!$DA$3:$DE$1339),MATCH(ROWS(B$10:B507),COPIA!$DF$3:$DF$1339,0),COLUMN()-1),""),"")</f>
        <v/>
      </c>
      <c r="C507" s="5" t="str">
        <f ca="1">SUBSTITUTE(IFERROR(INDEX((COPIA!$DA$3:$DE$1339),MATCH(ROWS(C$10:C507),COPIA!$DF$3:$DF$1339,0),COLUMN()-1),""),"MASTRO","")</f>
        <v/>
      </c>
      <c r="D507" s="136" t="str">
        <f ca="1">IF(IFERROR(INDEX((COPIA!$DA$3:$DE$1339),MATCH(ROWS(D$10:D507),COPIA!$DF$3:$DF$1339,0),COLUMN()-1),"")=0,"",IFERROR(INDEX((COPIA!$DA$3:$DE$1339),MATCH(ROWS(D$10:D507),COPIA!$DF$3:$DF$1339,0),COLUMN()-1),""))</f>
        <v/>
      </c>
      <c r="E507" s="9" t="str">
        <f ca="1">IF(IFERROR(INDEX((COPIA!$DA$3:$DE$1339),MATCH(ROWS(E$10:E507),COPIA!$DF$3:$DF$1339,0),COLUMN()-1),"")=0,"",IFERROR(INDEX((COPIA!$DA$3:$DE$1339),MATCH(ROWS(E$10:E507),COPIA!$DF$3:$DF$1339,0),COLUMN()-1),""))</f>
        <v/>
      </c>
      <c r="F507" s="6" t="str">
        <f ca="1">IF(IFERROR(INDEX((COPIA!$DA$3:$DE$1339),MATCH(ROWS(F$10:F507),COPIA!$DF$3:$DF$1339,0),COLUMN()-1),"")=0,"",IFERROR(INDEX((COPIA!$DA$3:$DE$1339),MATCH(ROWS(F$10:F507),COPIA!$DF$3:$DF$1339,0),COLUMN()-1),""))</f>
        <v/>
      </c>
    </row>
    <row r="508" spans="2:6" x14ac:dyDescent="0.3">
      <c r="B508" s="10" t="str">
        <f ca="1">IF(IFERROR(INDEX((COPIA!$DA$3:$DE$1339),MATCH(ROWS(B$10:B508),COPIA!$DF$3:$DF$1339,0),COLUMN()-1),"")&gt;=1,IFERROR(INDEX((COPIA!$DA$3:$DE$1339),MATCH(ROWS(B$10:B508),COPIA!$DF$3:$DF$1339,0),COLUMN()-1),""),"")</f>
        <v/>
      </c>
      <c r="C508" s="5" t="str">
        <f ca="1">SUBSTITUTE(IFERROR(INDEX((COPIA!$DA$3:$DE$1339),MATCH(ROWS(C$10:C508),COPIA!$DF$3:$DF$1339,0),COLUMN()-1),""),"MASTRO","")</f>
        <v/>
      </c>
      <c r="D508" s="136" t="str">
        <f ca="1">IF(IFERROR(INDEX((COPIA!$DA$3:$DE$1339),MATCH(ROWS(D$10:D508),COPIA!$DF$3:$DF$1339,0),COLUMN()-1),"")=0,"",IFERROR(INDEX((COPIA!$DA$3:$DE$1339),MATCH(ROWS(D$10:D508),COPIA!$DF$3:$DF$1339,0),COLUMN()-1),""))</f>
        <v/>
      </c>
      <c r="E508" s="9" t="str">
        <f ca="1">IF(IFERROR(INDEX((COPIA!$DA$3:$DE$1339),MATCH(ROWS(E$10:E508),COPIA!$DF$3:$DF$1339,0),COLUMN()-1),"")=0,"",IFERROR(INDEX((COPIA!$DA$3:$DE$1339),MATCH(ROWS(E$10:E508),COPIA!$DF$3:$DF$1339,0),COLUMN()-1),""))</f>
        <v/>
      </c>
      <c r="F508" s="6" t="str">
        <f ca="1">IF(IFERROR(INDEX((COPIA!$DA$3:$DE$1339),MATCH(ROWS(F$10:F508),COPIA!$DF$3:$DF$1339,0),COLUMN()-1),"")=0,"",IFERROR(INDEX((COPIA!$DA$3:$DE$1339),MATCH(ROWS(F$10:F508),COPIA!$DF$3:$DF$1339,0),COLUMN()-1),""))</f>
        <v/>
      </c>
    </row>
    <row r="509" spans="2:6" x14ac:dyDescent="0.3">
      <c r="B509" s="10" t="str">
        <f ca="1">IF(IFERROR(INDEX((COPIA!$DA$3:$DE$1339),MATCH(ROWS(B$10:B509),COPIA!$DF$3:$DF$1339,0),COLUMN()-1),"")&gt;=1,IFERROR(INDEX((COPIA!$DA$3:$DE$1339),MATCH(ROWS(B$10:B509),COPIA!$DF$3:$DF$1339,0),COLUMN()-1),""),"")</f>
        <v/>
      </c>
      <c r="C509" s="5" t="str">
        <f ca="1">SUBSTITUTE(IFERROR(INDEX((COPIA!$DA$3:$DE$1339),MATCH(ROWS(C$10:C509),COPIA!$DF$3:$DF$1339,0),COLUMN()-1),""),"MASTRO","")</f>
        <v/>
      </c>
      <c r="D509" s="136" t="str">
        <f ca="1">IF(IFERROR(INDEX((COPIA!$DA$3:$DE$1339),MATCH(ROWS(D$10:D509),COPIA!$DF$3:$DF$1339,0),COLUMN()-1),"")=0,"",IFERROR(INDEX((COPIA!$DA$3:$DE$1339),MATCH(ROWS(D$10:D509),COPIA!$DF$3:$DF$1339,0),COLUMN()-1),""))</f>
        <v/>
      </c>
      <c r="E509" s="9" t="str">
        <f ca="1">IF(IFERROR(INDEX((COPIA!$DA$3:$DE$1339),MATCH(ROWS(E$10:E509),COPIA!$DF$3:$DF$1339,0),COLUMN()-1),"")=0,"",IFERROR(INDEX((COPIA!$DA$3:$DE$1339),MATCH(ROWS(E$10:E509),COPIA!$DF$3:$DF$1339,0),COLUMN()-1),""))</f>
        <v/>
      </c>
      <c r="F509" s="6" t="str">
        <f ca="1">IF(IFERROR(INDEX((COPIA!$DA$3:$DE$1339),MATCH(ROWS(F$10:F509),COPIA!$DF$3:$DF$1339,0),COLUMN()-1),"")=0,"",IFERROR(INDEX((COPIA!$DA$3:$DE$1339),MATCH(ROWS(F$10:F509),COPIA!$DF$3:$DF$1339,0),COLUMN()-1),""))</f>
        <v/>
      </c>
    </row>
    <row r="510" spans="2:6" x14ac:dyDescent="0.3">
      <c r="B510" s="10" t="str">
        <f ca="1">IF(IFERROR(INDEX((COPIA!$DA$3:$DE$1339),MATCH(ROWS(B$10:B510),COPIA!$DF$3:$DF$1339,0),COLUMN()-1),"")&gt;=1,IFERROR(INDEX((COPIA!$DA$3:$DE$1339),MATCH(ROWS(B$10:B510),COPIA!$DF$3:$DF$1339,0),COLUMN()-1),""),"")</f>
        <v/>
      </c>
      <c r="C510" s="5" t="str">
        <f ca="1">SUBSTITUTE(IFERROR(INDEX((COPIA!$DA$3:$DE$1339),MATCH(ROWS(C$10:C510),COPIA!$DF$3:$DF$1339,0),COLUMN()-1),""),"MASTRO","")</f>
        <v/>
      </c>
      <c r="D510" s="136" t="str">
        <f ca="1">IF(IFERROR(INDEX((COPIA!$DA$3:$DE$1339),MATCH(ROWS(D$10:D510),COPIA!$DF$3:$DF$1339,0),COLUMN()-1),"")=0,"",IFERROR(INDEX((COPIA!$DA$3:$DE$1339),MATCH(ROWS(D$10:D510),COPIA!$DF$3:$DF$1339,0),COLUMN()-1),""))</f>
        <v/>
      </c>
      <c r="E510" s="9" t="str">
        <f ca="1">IF(IFERROR(INDEX((COPIA!$DA$3:$DE$1339),MATCH(ROWS(E$10:E510),COPIA!$DF$3:$DF$1339,0),COLUMN()-1),"")=0,"",IFERROR(INDEX((COPIA!$DA$3:$DE$1339),MATCH(ROWS(E$10:E510),COPIA!$DF$3:$DF$1339,0),COLUMN()-1),""))</f>
        <v/>
      </c>
      <c r="F510" s="6" t="str">
        <f ca="1">IF(IFERROR(INDEX((COPIA!$DA$3:$DE$1339),MATCH(ROWS(F$10:F510),COPIA!$DF$3:$DF$1339,0),COLUMN()-1),"")=0,"",IFERROR(INDEX((COPIA!$DA$3:$DE$1339),MATCH(ROWS(F$10:F510),COPIA!$DF$3:$DF$1339,0),COLUMN()-1),""))</f>
        <v/>
      </c>
    </row>
    <row r="511" spans="2:6" x14ac:dyDescent="0.3">
      <c r="B511" s="10" t="str">
        <f ca="1">IF(IFERROR(INDEX((COPIA!$DA$3:$DE$1339),MATCH(ROWS(B$10:B511),COPIA!$DF$3:$DF$1339,0),COLUMN()-1),"")&gt;=1,IFERROR(INDEX((COPIA!$DA$3:$DE$1339),MATCH(ROWS(B$10:B511),COPIA!$DF$3:$DF$1339,0),COLUMN()-1),""),"")</f>
        <v/>
      </c>
      <c r="C511" s="5" t="str">
        <f ca="1">SUBSTITUTE(IFERROR(INDEX((COPIA!$DA$3:$DE$1339),MATCH(ROWS(C$10:C511),COPIA!$DF$3:$DF$1339,0),COLUMN()-1),""),"MASTRO","")</f>
        <v/>
      </c>
      <c r="D511" s="136" t="str">
        <f ca="1">IF(IFERROR(INDEX((COPIA!$DA$3:$DE$1339),MATCH(ROWS(D$10:D511),COPIA!$DF$3:$DF$1339,0),COLUMN()-1),"")=0,"",IFERROR(INDEX((COPIA!$DA$3:$DE$1339),MATCH(ROWS(D$10:D511),COPIA!$DF$3:$DF$1339,0),COLUMN()-1),""))</f>
        <v/>
      </c>
      <c r="E511" s="9" t="str">
        <f ca="1">IF(IFERROR(INDEX((COPIA!$DA$3:$DE$1339),MATCH(ROWS(E$10:E511),COPIA!$DF$3:$DF$1339,0),COLUMN()-1),"")=0,"",IFERROR(INDEX((COPIA!$DA$3:$DE$1339),MATCH(ROWS(E$10:E511),COPIA!$DF$3:$DF$1339,0),COLUMN()-1),""))</f>
        <v/>
      </c>
      <c r="F511" s="6" t="str">
        <f ca="1">IF(IFERROR(INDEX((COPIA!$DA$3:$DE$1339),MATCH(ROWS(F$10:F511),COPIA!$DF$3:$DF$1339,0),COLUMN()-1),"")=0,"",IFERROR(INDEX((COPIA!$DA$3:$DE$1339),MATCH(ROWS(F$10:F511),COPIA!$DF$3:$DF$1339,0),COLUMN()-1),""))</f>
        <v/>
      </c>
    </row>
    <row r="512" spans="2:6" x14ac:dyDescent="0.3">
      <c r="B512" s="10" t="str">
        <f ca="1">IF(IFERROR(INDEX((COPIA!$DA$3:$DE$1339),MATCH(ROWS(B$10:B512),COPIA!$DF$3:$DF$1339,0),COLUMN()-1),"")&gt;=1,IFERROR(INDEX((COPIA!$DA$3:$DE$1339),MATCH(ROWS(B$10:B512),COPIA!$DF$3:$DF$1339,0),COLUMN()-1),""),"")</f>
        <v/>
      </c>
      <c r="C512" s="5" t="str">
        <f ca="1">SUBSTITUTE(IFERROR(INDEX((COPIA!$DA$3:$DE$1339),MATCH(ROWS(C$10:C512),COPIA!$DF$3:$DF$1339,0),COLUMN()-1),""),"MASTRO","")</f>
        <v/>
      </c>
      <c r="D512" s="136" t="str">
        <f ca="1">IF(IFERROR(INDEX((COPIA!$DA$3:$DE$1339),MATCH(ROWS(D$10:D512),COPIA!$DF$3:$DF$1339,0),COLUMN()-1),"")=0,"",IFERROR(INDEX((COPIA!$DA$3:$DE$1339),MATCH(ROWS(D$10:D512),COPIA!$DF$3:$DF$1339,0),COLUMN()-1),""))</f>
        <v/>
      </c>
      <c r="E512" s="9" t="str">
        <f ca="1">IF(IFERROR(INDEX((COPIA!$DA$3:$DE$1339),MATCH(ROWS(E$10:E512),COPIA!$DF$3:$DF$1339,0),COLUMN()-1),"")=0,"",IFERROR(INDEX((COPIA!$DA$3:$DE$1339),MATCH(ROWS(E$10:E512),COPIA!$DF$3:$DF$1339,0),COLUMN()-1),""))</f>
        <v/>
      </c>
      <c r="F512" s="6" t="str">
        <f ca="1">IF(IFERROR(INDEX((COPIA!$DA$3:$DE$1339),MATCH(ROWS(F$10:F512),COPIA!$DF$3:$DF$1339,0),COLUMN()-1),"")=0,"",IFERROR(INDEX((COPIA!$DA$3:$DE$1339),MATCH(ROWS(F$10:F512),COPIA!$DF$3:$DF$1339,0),COLUMN()-1),""))</f>
        <v/>
      </c>
    </row>
    <row r="513" spans="2:6" x14ac:dyDescent="0.3">
      <c r="B513" s="10" t="str">
        <f ca="1">IF(IFERROR(INDEX((COPIA!$DA$3:$DE$1339),MATCH(ROWS(B$10:B513),COPIA!$DF$3:$DF$1339,0),COLUMN()-1),"")&gt;=1,IFERROR(INDEX((COPIA!$DA$3:$DE$1339),MATCH(ROWS(B$10:B513),COPIA!$DF$3:$DF$1339,0),COLUMN()-1),""),"")</f>
        <v/>
      </c>
      <c r="C513" s="5" t="str">
        <f ca="1">SUBSTITUTE(IFERROR(INDEX((COPIA!$DA$3:$DE$1339),MATCH(ROWS(C$10:C513),COPIA!$DF$3:$DF$1339,0),COLUMN()-1),""),"MASTRO","")</f>
        <v/>
      </c>
      <c r="D513" s="136" t="str">
        <f ca="1">IF(IFERROR(INDEX((COPIA!$DA$3:$DE$1339),MATCH(ROWS(D$10:D513),COPIA!$DF$3:$DF$1339,0),COLUMN()-1),"")=0,"",IFERROR(INDEX((COPIA!$DA$3:$DE$1339),MATCH(ROWS(D$10:D513),COPIA!$DF$3:$DF$1339,0),COLUMN()-1),""))</f>
        <v/>
      </c>
      <c r="E513" s="9" t="str">
        <f ca="1">IF(IFERROR(INDEX((COPIA!$DA$3:$DE$1339),MATCH(ROWS(E$10:E513),COPIA!$DF$3:$DF$1339,0),COLUMN()-1),"")=0,"",IFERROR(INDEX((COPIA!$DA$3:$DE$1339),MATCH(ROWS(E$10:E513),COPIA!$DF$3:$DF$1339,0),COLUMN()-1),""))</f>
        <v/>
      </c>
      <c r="F513" s="6" t="str">
        <f ca="1">IF(IFERROR(INDEX((COPIA!$DA$3:$DE$1339),MATCH(ROWS(F$10:F513),COPIA!$DF$3:$DF$1339,0),COLUMN()-1),"")=0,"",IFERROR(INDEX((COPIA!$DA$3:$DE$1339),MATCH(ROWS(F$10:F513),COPIA!$DF$3:$DF$1339,0),COLUMN()-1),""))</f>
        <v/>
      </c>
    </row>
    <row r="514" spans="2:6" x14ac:dyDescent="0.3">
      <c r="B514" s="10" t="str">
        <f ca="1">IF(IFERROR(INDEX((COPIA!$DA$3:$DE$1339),MATCH(ROWS(B$10:B514),COPIA!$DF$3:$DF$1339,0),COLUMN()-1),"")&gt;=1,IFERROR(INDEX((COPIA!$DA$3:$DE$1339),MATCH(ROWS(B$10:B514),COPIA!$DF$3:$DF$1339,0),COLUMN()-1),""),"")</f>
        <v/>
      </c>
      <c r="C514" s="5" t="str">
        <f ca="1">SUBSTITUTE(IFERROR(INDEX((COPIA!$DA$3:$DE$1339),MATCH(ROWS(C$10:C514),COPIA!$DF$3:$DF$1339,0),COLUMN()-1),""),"MASTRO","")</f>
        <v/>
      </c>
      <c r="D514" s="136" t="str">
        <f ca="1">IF(IFERROR(INDEX((COPIA!$DA$3:$DE$1339),MATCH(ROWS(D$10:D514),COPIA!$DF$3:$DF$1339,0),COLUMN()-1),"")=0,"",IFERROR(INDEX((COPIA!$DA$3:$DE$1339),MATCH(ROWS(D$10:D514),COPIA!$DF$3:$DF$1339,0),COLUMN()-1),""))</f>
        <v/>
      </c>
      <c r="E514" s="9" t="str">
        <f ca="1">IF(IFERROR(INDEX((COPIA!$DA$3:$DE$1339),MATCH(ROWS(E$10:E514),COPIA!$DF$3:$DF$1339,0),COLUMN()-1),"")=0,"",IFERROR(INDEX((COPIA!$DA$3:$DE$1339),MATCH(ROWS(E$10:E514),COPIA!$DF$3:$DF$1339,0),COLUMN()-1),""))</f>
        <v/>
      </c>
      <c r="F514" s="6" t="str">
        <f ca="1">IF(IFERROR(INDEX((COPIA!$DA$3:$DE$1339),MATCH(ROWS(F$10:F514),COPIA!$DF$3:$DF$1339,0),COLUMN()-1),"")=0,"",IFERROR(INDEX((COPIA!$DA$3:$DE$1339),MATCH(ROWS(F$10:F514),COPIA!$DF$3:$DF$1339,0),COLUMN()-1),""))</f>
        <v/>
      </c>
    </row>
    <row r="515" spans="2:6" x14ac:dyDescent="0.3">
      <c r="B515" s="10" t="str">
        <f ca="1">IF(IFERROR(INDEX((COPIA!$DA$3:$DE$1339),MATCH(ROWS(B$10:B515),COPIA!$DF$3:$DF$1339,0),COLUMN()-1),"")&gt;=1,IFERROR(INDEX((COPIA!$DA$3:$DE$1339),MATCH(ROWS(B$10:B515),COPIA!$DF$3:$DF$1339,0),COLUMN()-1),""),"")</f>
        <v/>
      </c>
      <c r="C515" s="5" t="str">
        <f ca="1">SUBSTITUTE(IFERROR(INDEX((COPIA!$DA$3:$DE$1339),MATCH(ROWS(C$10:C515),COPIA!$DF$3:$DF$1339,0),COLUMN()-1),""),"MASTRO","")</f>
        <v/>
      </c>
      <c r="D515" s="136" t="str">
        <f ca="1">IF(IFERROR(INDEX((COPIA!$DA$3:$DE$1339),MATCH(ROWS(D$10:D515),COPIA!$DF$3:$DF$1339,0),COLUMN()-1),"")=0,"",IFERROR(INDEX((COPIA!$DA$3:$DE$1339),MATCH(ROWS(D$10:D515),COPIA!$DF$3:$DF$1339,0),COLUMN()-1),""))</f>
        <v/>
      </c>
      <c r="E515" s="9" t="str">
        <f ca="1">IF(IFERROR(INDEX((COPIA!$DA$3:$DE$1339),MATCH(ROWS(E$10:E515),COPIA!$DF$3:$DF$1339,0),COLUMN()-1),"")=0,"",IFERROR(INDEX((COPIA!$DA$3:$DE$1339),MATCH(ROWS(E$10:E515),COPIA!$DF$3:$DF$1339,0),COLUMN()-1),""))</f>
        <v/>
      </c>
      <c r="F515" s="6" t="str">
        <f ca="1">IF(IFERROR(INDEX((COPIA!$DA$3:$DE$1339),MATCH(ROWS(F$10:F515),COPIA!$DF$3:$DF$1339,0),COLUMN()-1),"")=0,"",IFERROR(INDEX((COPIA!$DA$3:$DE$1339),MATCH(ROWS(F$10:F515),COPIA!$DF$3:$DF$1339,0),COLUMN()-1),""))</f>
        <v/>
      </c>
    </row>
    <row r="516" spans="2:6" x14ac:dyDescent="0.3">
      <c r="B516" s="10" t="str">
        <f ca="1">IF(IFERROR(INDEX((COPIA!$DA$3:$DE$1339),MATCH(ROWS(B$10:B516),COPIA!$DF$3:$DF$1339,0),COLUMN()-1),"")&gt;=1,IFERROR(INDEX((COPIA!$DA$3:$DE$1339),MATCH(ROWS(B$10:B516),COPIA!$DF$3:$DF$1339,0),COLUMN()-1),""),"")</f>
        <v/>
      </c>
      <c r="C516" s="5" t="str">
        <f ca="1">SUBSTITUTE(IFERROR(INDEX((COPIA!$DA$3:$DE$1339),MATCH(ROWS(C$10:C516),COPIA!$DF$3:$DF$1339,0),COLUMN()-1),""),"MASTRO","")</f>
        <v/>
      </c>
      <c r="D516" s="136" t="str">
        <f ca="1">IF(IFERROR(INDEX((COPIA!$DA$3:$DE$1339),MATCH(ROWS(D$10:D516),COPIA!$DF$3:$DF$1339,0),COLUMN()-1),"")=0,"",IFERROR(INDEX((COPIA!$DA$3:$DE$1339),MATCH(ROWS(D$10:D516),COPIA!$DF$3:$DF$1339,0),COLUMN()-1),""))</f>
        <v/>
      </c>
      <c r="E516" s="9" t="str">
        <f ca="1">IF(IFERROR(INDEX((COPIA!$DA$3:$DE$1339),MATCH(ROWS(E$10:E516),COPIA!$DF$3:$DF$1339,0),COLUMN()-1),"")=0,"",IFERROR(INDEX((COPIA!$DA$3:$DE$1339),MATCH(ROWS(E$10:E516),COPIA!$DF$3:$DF$1339,0),COLUMN()-1),""))</f>
        <v/>
      </c>
      <c r="F516" s="6" t="str">
        <f ca="1">IF(IFERROR(INDEX((COPIA!$DA$3:$DE$1339),MATCH(ROWS(F$10:F516),COPIA!$DF$3:$DF$1339,0),COLUMN()-1),"")=0,"",IFERROR(INDEX((COPIA!$DA$3:$DE$1339),MATCH(ROWS(F$10:F516),COPIA!$DF$3:$DF$1339,0),COLUMN()-1),""))</f>
        <v/>
      </c>
    </row>
    <row r="517" spans="2:6" x14ac:dyDescent="0.3">
      <c r="B517" s="10" t="str">
        <f ca="1">IF(IFERROR(INDEX((COPIA!$DA$3:$DE$1339),MATCH(ROWS(B$10:B517),COPIA!$DF$3:$DF$1339,0),COLUMN()-1),"")&gt;=1,IFERROR(INDEX((COPIA!$DA$3:$DE$1339),MATCH(ROWS(B$10:B517),COPIA!$DF$3:$DF$1339,0),COLUMN()-1),""),"")</f>
        <v/>
      </c>
      <c r="C517" s="5" t="str">
        <f ca="1">SUBSTITUTE(IFERROR(INDEX((COPIA!$DA$3:$DE$1339),MATCH(ROWS(C$10:C517),COPIA!$DF$3:$DF$1339,0),COLUMN()-1),""),"MASTRO","")</f>
        <v/>
      </c>
      <c r="D517" s="136" t="str">
        <f ca="1">IF(IFERROR(INDEX((COPIA!$DA$3:$DE$1339),MATCH(ROWS(D$10:D517),COPIA!$DF$3:$DF$1339,0),COLUMN()-1),"")=0,"",IFERROR(INDEX((COPIA!$DA$3:$DE$1339),MATCH(ROWS(D$10:D517),COPIA!$DF$3:$DF$1339,0),COLUMN()-1),""))</f>
        <v/>
      </c>
      <c r="E517" s="9" t="str">
        <f ca="1">IF(IFERROR(INDEX((COPIA!$DA$3:$DE$1339),MATCH(ROWS(E$10:E517),COPIA!$DF$3:$DF$1339,0),COLUMN()-1),"")=0,"",IFERROR(INDEX((COPIA!$DA$3:$DE$1339),MATCH(ROWS(E$10:E517),COPIA!$DF$3:$DF$1339,0),COLUMN()-1),""))</f>
        <v/>
      </c>
      <c r="F517" s="6" t="str">
        <f ca="1">IF(IFERROR(INDEX((COPIA!$DA$3:$DE$1339),MATCH(ROWS(F$10:F517),COPIA!$DF$3:$DF$1339,0),COLUMN()-1),"")=0,"",IFERROR(INDEX((COPIA!$DA$3:$DE$1339),MATCH(ROWS(F$10:F517),COPIA!$DF$3:$DF$1339,0),COLUMN()-1),""))</f>
        <v/>
      </c>
    </row>
    <row r="518" spans="2:6" x14ac:dyDescent="0.3">
      <c r="B518" s="10" t="str">
        <f ca="1">IF(IFERROR(INDEX((COPIA!$DA$3:$DE$1339),MATCH(ROWS(B$10:B518),COPIA!$DF$3:$DF$1339,0),COLUMN()-1),"")&gt;=1,IFERROR(INDEX((COPIA!$DA$3:$DE$1339),MATCH(ROWS(B$10:B518),COPIA!$DF$3:$DF$1339,0),COLUMN()-1),""),"")</f>
        <v/>
      </c>
      <c r="C518" s="5" t="str">
        <f ca="1">SUBSTITUTE(IFERROR(INDEX((COPIA!$DA$3:$DE$1339),MATCH(ROWS(C$10:C518),COPIA!$DF$3:$DF$1339,0),COLUMN()-1),""),"MASTRO","")</f>
        <v/>
      </c>
      <c r="D518" s="136" t="str">
        <f ca="1">IF(IFERROR(INDEX((COPIA!$DA$3:$DE$1339),MATCH(ROWS(D$10:D518),COPIA!$DF$3:$DF$1339,0),COLUMN()-1),"")=0,"",IFERROR(INDEX((COPIA!$DA$3:$DE$1339),MATCH(ROWS(D$10:D518),COPIA!$DF$3:$DF$1339,0),COLUMN()-1),""))</f>
        <v/>
      </c>
      <c r="E518" s="9" t="str">
        <f ca="1">IF(IFERROR(INDEX((COPIA!$DA$3:$DE$1339),MATCH(ROWS(E$10:E518),COPIA!$DF$3:$DF$1339,0),COLUMN()-1),"")=0,"",IFERROR(INDEX((COPIA!$DA$3:$DE$1339),MATCH(ROWS(E$10:E518),COPIA!$DF$3:$DF$1339,0),COLUMN()-1),""))</f>
        <v/>
      </c>
      <c r="F518" s="6" t="str">
        <f ca="1">IF(IFERROR(INDEX((COPIA!$DA$3:$DE$1339),MATCH(ROWS(F$10:F518),COPIA!$DF$3:$DF$1339,0),COLUMN()-1),"")=0,"",IFERROR(INDEX((COPIA!$DA$3:$DE$1339),MATCH(ROWS(F$10:F518),COPIA!$DF$3:$DF$1339,0),COLUMN()-1),""))</f>
        <v/>
      </c>
    </row>
    <row r="519" spans="2:6" x14ac:dyDescent="0.3">
      <c r="B519" s="10" t="str">
        <f ca="1">IF(IFERROR(INDEX((COPIA!$DA$3:$DE$1339),MATCH(ROWS(B$10:B519),COPIA!$DF$3:$DF$1339,0),COLUMN()-1),"")&gt;=1,IFERROR(INDEX((COPIA!$DA$3:$DE$1339),MATCH(ROWS(B$10:B519),COPIA!$DF$3:$DF$1339,0),COLUMN()-1),""),"")</f>
        <v/>
      </c>
      <c r="C519" s="5" t="str">
        <f ca="1">SUBSTITUTE(IFERROR(INDEX((COPIA!$DA$3:$DE$1339),MATCH(ROWS(C$10:C519),COPIA!$DF$3:$DF$1339,0),COLUMN()-1),""),"MASTRO","")</f>
        <v/>
      </c>
      <c r="D519" s="136" t="str">
        <f ca="1">IF(IFERROR(INDEX((COPIA!$DA$3:$DE$1339),MATCH(ROWS(D$10:D519),COPIA!$DF$3:$DF$1339,0),COLUMN()-1),"")=0,"",IFERROR(INDEX((COPIA!$DA$3:$DE$1339),MATCH(ROWS(D$10:D519),COPIA!$DF$3:$DF$1339,0),COLUMN()-1),""))</f>
        <v/>
      </c>
      <c r="E519" s="9" t="str">
        <f ca="1">IF(IFERROR(INDEX((COPIA!$DA$3:$DE$1339),MATCH(ROWS(E$10:E519),COPIA!$DF$3:$DF$1339,0),COLUMN()-1),"")=0,"",IFERROR(INDEX((COPIA!$DA$3:$DE$1339),MATCH(ROWS(E$10:E519),COPIA!$DF$3:$DF$1339,0),COLUMN()-1),""))</f>
        <v/>
      </c>
      <c r="F519" s="6" t="str">
        <f ca="1">IF(IFERROR(INDEX((COPIA!$DA$3:$DE$1339),MATCH(ROWS(F$10:F519),COPIA!$DF$3:$DF$1339,0),COLUMN()-1),"")=0,"",IFERROR(INDEX((COPIA!$DA$3:$DE$1339),MATCH(ROWS(F$10:F519),COPIA!$DF$3:$DF$1339,0),COLUMN()-1),""))</f>
        <v/>
      </c>
    </row>
    <row r="520" spans="2:6" x14ac:dyDescent="0.3">
      <c r="B520" s="10" t="str">
        <f ca="1">IF(IFERROR(INDEX((COPIA!$DA$3:$DE$1339),MATCH(ROWS(B$10:B520),COPIA!$DF$3:$DF$1339,0),COLUMN()-1),"")&gt;=1,IFERROR(INDEX((COPIA!$DA$3:$DE$1339),MATCH(ROWS(B$10:B520),COPIA!$DF$3:$DF$1339,0),COLUMN()-1),""),"")</f>
        <v/>
      </c>
      <c r="C520" s="5" t="str">
        <f ca="1">SUBSTITUTE(IFERROR(INDEX((COPIA!$DA$3:$DE$1339),MATCH(ROWS(C$10:C520),COPIA!$DF$3:$DF$1339,0),COLUMN()-1),""),"MASTRO","")</f>
        <v/>
      </c>
      <c r="D520" s="136" t="str">
        <f ca="1">IF(IFERROR(INDEX((COPIA!$DA$3:$DE$1339),MATCH(ROWS(D$10:D520),COPIA!$DF$3:$DF$1339,0),COLUMN()-1),"")=0,"",IFERROR(INDEX((COPIA!$DA$3:$DE$1339),MATCH(ROWS(D$10:D520),COPIA!$DF$3:$DF$1339,0),COLUMN()-1),""))</f>
        <v/>
      </c>
      <c r="E520" s="9" t="str">
        <f ca="1">IF(IFERROR(INDEX((COPIA!$DA$3:$DE$1339),MATCH(ROWS(E$10:E520),COPIA!$DF$3:$DF$1339,0),COLUMN()-1),"")=0,"",IFERROR(INDEX((COPIA!$DA$3:$DE$1339),MATCH(ROWS(E$10:E520),COPIA!$DF$3:$DF$1339,0),COLUMN()-1),""))</f>
        <v/>
      </c>
      <c r="F520" s="6" t="str">
        <f ca="1">IF(IFERROR(INDEX((COPIA!$DA$3:$DE$1339),MATCH(ROWS(F$10:F520),COPIA!$DF$3:$DF$1339,0),COLUMN()-1),"")=0,"",IFERROR(INDEX((COPIA!$DA$3:$DE$1339),MATCH(ROWS(F$10:F520),COPIA!$DF$3:$DF$1339,0),COLUMN()-1),""))</f>
        <v/>
      </c>
    </row>
    <row r="521" spans="2:6" x14ac:dyDescent="0.3">
      <c r="B521" s="10" t="str">
        <f ca="1">IF(IFERROR(INDEX((COPIA!$DA$3:$DE$1339),MATCH(ROWS(B$10:B521),COPIA!$DF$3:$DF$1339,0),COLUMN()-1),"")&gt;=1,IFERROR(INDEX((COPIA!$DA$3:$DE$1339),MATCH(ROWS(B$10:B521),COPIA!$DF$3:$DF$1339,0),COLUMN()-1),""),"")</f>
        <v/>
      </c>
      <c r="C521" s="5" t="str">
        <f ca="1">SUBSTITUTE(IFERROR(INDEX((COPIA!$DA$3:$DE$1339),MATCH(ROWS(C$10:C521),COPIA!$DF$3:$DF$1339,0),COLUMN()-1),""),"MASTRO","")</f>
        <v/>
      </c>
      <c r="D521" s="136" t="str">
        <f ca="1">IF(IFERROR(INDEX((COPIA!$DA$3:$DE$1339),MATCH(ROWS(D$10:D521),COPIA!$DF$3:$DF$1339,0),COLUMN()-1),"")=0,"",IFERROR(INDEX((COPIA!$DA$3:$DE$1339),MATCH(ROWS(D$10:D521),COPIA!$DF$3:$DF$1339,0),COLUMN()-1),""))</f>
        <v/>
      </c>
      <c r="E521" s="9" t="str">
        <f ca="1">IF(IFERROR(INDEX((COPIA!$DA$3:$DE$1339),MATCH(ROWS(E$10:E521),COPIA!$DF$3:$DF$1339,0),COLUMN()-1),"")=0,"",IFERROR(INDEX((COPIA!$DA$3:$DE$1339),MATCH(ROWS(E$10:E521),COPIA!$DF$3:$DF$1339,0),COLUMN()-1),""))</f>
        <v/>
      </c>
      <c r="F521" s="6" t="str">
        <f ca="1">IF(IFERROR(INDEX((COPIA!$DA$3:$DE$1339),MATCH(ROWS(F$10:F521),COPIA!$DF$3:$DF$1339,0),COLUMN()-1),"")=0,"",IFERROR(INDEX((COPIA!$DA$3:$DE$1339),MATCH(ROWS(F$10:F521),COPIA!$DF$3:$DF$1339,0),COLUMN()-1),""))</f>
        <v/>
      </c>
    </row>
    <row r="522" spans="2:6" x14ac:dyDescent="0.3">
      <c r="B522" s="10" t="str">
        <f ca="1">IF(IFERROR(INDEX((COPIA!$DA$3:$DE$1339),MATCH(ROWS(B$10:B522),COPIA!$DF$3:$DF$1339,0),COLUMN()-1),"")&gt;=1,IFERROR(INDEX((COPIA!$DA$3:$DE$1339),MATCH(ROWS(B$10:B522),COPIA!$DF$3:$DF$1339,0),COLUMN()-1),""),"")</f>
        <v/>
      </c>
      <c r="C522" s="5" t="str">
        <f ca="1">SUBSTITUTE(IFERROR(INDEX((COPIA!$DA$3:$DE$1339),MATCH(ROWS(C$10:C522),COPIA!$DF$3:$DF$1339,0),COLUMN()-1),""),"MASTRO","")</f>
        <v/>
      </c>
      <c r="D522" s="136" t="str">
        <f ca="1">IF(IFERROR(INDEX((COPIA!$DA$3:$DE$1339),MATCH(ROWS(D$10:D522),COPIA!$DF$3:$DF$1339,0),COLUMN()-1),"")=0,"",IFERROR(INDEX((COPIA!$DA$3:$DE$1339),MATCH(ROWS(D$10:D522),COPIA!$DF$3:$DF$1339,0),COLUMN()-1),""))</f>
        <v/>
      </c>
      <c r="E522" s="9" t="str">
        <f ca="1">IF(IFERROR(INDEX((COPIA!$DA$3:$DE$1339),MATCH(ROWS(E$10:E522),COPIA!$DF$3:$DF$1339,0),COLUMN()-1),"")=0,"",IFERROR(INDEX((COPIA!$DA$3:$DE$1339),MATCH(ROWS(E$10:E522),COPIA!$DF$3:$DF$1339,0),COLUMN()-1),""))</f>
        <v/>
      </c>
      <c r="F522" s="6" t="str">
        <f ca="1">IF(IFERROR(INDEX((COPIA!$DA$3:$DE$1339),MATCH(ROWS(F$10:F522),COPIA!$DF$3:$DF$1339,0),COLUMN()-1),"")=0,"",IFERROR(INDEX((COPIA!$DA$3:$DE$1339),MATCH(ROWS(F$10:F522),COPIA!$DF$3:$DF$1339,0),COLUMN()-1),""))</f>
        <v/>
      </c>
    </row>
    <row r="523" spans="2:6" x14ac:dyDescent="0.3">
      <c r="B523" s="10" t="str">
        <f ca="1">IF(IFERROR(INDEX((COPIA!$DA$3:$DE$1339),MATCH(ROWS(B$10:B523),COPIA!$DF$3:$DF$1339,0),COLUMN()-1),"")&gt;=1,IFERROR(INDEX((COPIA!$DA$3:$DE$1339),MATCH(ROWS(B$10:B523),COPIA!$DF$3:$DF$1339,0),COLUMN()-1),""),"")</f>
        <v/>
      </c>
      <c r="C523" s="5" t="str">
        <f ca="1">SUBSTITUTE(IFERROR(INDEX((COPIA!$DA$3:$DE$1339),MATCH(ROWS(C$10:C523),COPIA!$DF$3:$DF$1339,0),COLUMN()-1),""),"MASTRO","")</f>
        <v/>
      </c>
      <c r="D523" s="136" t="str">
        <f ca="1">IF(IFERROR(INDEX((COPIA!$DA$3:$DE$1339),MATCH(ROWS(D$10:D523),COPIA!$DF$3:$DF$1339,0),COLUMN()-1),"")=0,"",IFERROR(INDEX((COPIA!$DA$3:$DE$1339),MATCH(ROWS(D$10:D523),COPIA!$DF$3:$DF$1339,0),COLUMN()-1),""))</f>
        <v/>
      </c>
      <c r="E523" s="9" t="str">
        <f ca="1">IF(IFERROR(INDEX((COPIA!$DA$3:$DE$1339),MATCH(ROWS(E$10:E523),COPIA!$DF$3:$DF$1339,0),COLUMN()-1),"")=0,"",IFERROR(INDEX((COPIA!$DA$3:$DE$1339),MATCH(ROWS(E$10:E523),COPIA!$DF$3:$DF$1339,0),COLUMN()-1),""))</f>
        <v/>
      </c>
      <c r="F523" s="6" t="str">
        <f ca="1">IF(IFERROR(INDEX((COPIA!$DA$3:$DE$1339),MATCH(ROWS(F$10:F523),COPIA!$DF$3:$DF$1339,0),COLUMN()-1),"")=0,"",IFERROR(INDEX((COPIA!$DA$3:$DE$1339),MATCH(ROWS(F$10:F523),COPIA!$DF$3:$DF$1339,0),COLUMN()-1),""))</f>
        <v/>
      </c>
    </row>
    <row r="524" spans="2:6" x14ac:dyDescent="0.3">
      <c r="B524" s="10" t="str">
        <f ca="1">IF(IFERROR(INDEX((COPIA!$DA$3:$DE$1339),MATCH(ROWS(B$10:B524),COPIA!$DF$3:$DF$1339,0),COLUMN()-1),"")&gt;=1,IFERROR(INDEX((COPIA!$DA$3:$DE$1339),MATCH(ROWS(B$10:B524),COPIA!$DF$3:$DF$1339,0),COLUMN()-1),""),"")</f>
        <v/>
      </c>
      <c r="C524" s="5" t="str">
        <f ca="1">SUBSTITUTE(IFERROR(INDEX((COPIA!$DA$3:$DE$1339),MATCH(ROWS(C$10:C524),COPIA!$DF$3:$DF$1339,0),COLUMN()-1),""),"MASTRO","")</f>
        <v/>
      </c>
      <c r="D524" s="136" t="str">
        <f ca="1">IF(IFERROR(INDEX((COPIA!$DA$3:$DE$1339),MATCH(ROWS(D$10:D524),COPIA!$DF$3:$DF$1339,0),COLUMN()-1),"")=0,"",IFERROR(INDEX((COPIA!$DA$3:$DE$1339),MATCH(ROWS(D$10:D524),COPIA!$DF$3:$DF$1339,0),COLUMN()-1),""))</f>
        <v/>
      </c>
      <c r="E524" s="9" t="str">
        <f ca="1">IF(IFERROR(INDEX((COPIA!$DA$3:$DE$1339),MATCH(ROWS(E$10:E524),COPIA!$DF$3:$DF$1339,0),COLUMN()-1),"")=0,"",IFERROR(INDEX((COPIA!$DA$3:$DE$1339),MATCH(ROWS(E$10:E524),COPIA!$DF$3:$DF$1339,0),COLUMN()-1),""))</f>
        <v/>
      </c>
      <c r="F524" s="6" t="str">
        <f ca="1">IF(IFERROR(INDEX((COPIA!$DA$3:$DE$1339),MATCH(ROWS(F$10:F524),COPIA!$DF$3:$DF$1339,0),COLUMN()-1),"")=0,"",IFERROR(INDEX((COPIA!$DA$3:$DE$1339),MATCH(ROWS(F$10:F524),COPIA!$DF$3:$DF$1339,0),COLUMN()-1),""))</f>
        <v/>
      </c>
    </row>
    <row r="525" spans="2:6" x14ac:dyDescent="0.3">
      <c r="B525" s="10" t="str">
        <f ca="1">IF(IFERROR(INDEX((COPIA!$DA$3:$DE$1339),MATCH(ROWS(B$10:B525),COPIA!$DF$3:$DF$1339,0),COLUMN()-1),"")&gt;=1,IFERROR(INDEX((COPIA!$DA$3:$DE$1339),MATCH(ROWS(B$10:B525),COPIA!$DF$3:$DF$1339,0),COLUMN()-1),""),"")</f>
        <v/>
      </c>
      <c r="C525" s="5" t="str">
        <f ca="1">SUBSTITUTE(IFERROR(INDEX((COPIA!$DA$3:$DE$1339),MATCH(ROWS(C$10:C525),COPIA!$DF$3:$DF$1339,0),COLUMN()-1),""),"MASTRO","")</f>
        <v/>
      </c>
      <c r="D525" s="136" t="str">
        <f ca="1">IF(IFERROR(INDEX((COPIA!$DA$3:$DE$1339),MATCH(ROWS(D$10:D525),COPIA!$DF$3:$DF$1339,0),COLUMN()-1),"")=0,"",IFERROR(INDEX((COPIA!$DA$3:$DE$1339),MATCH(ROWS(D$10:D525),COPIA!$DF$3:$DF$1339,0),COLUMN()-1),""))</f>
        <v/>
      </c>
      <c r="E525" s="9" t="str">
        <f ca="1">IF(IFERROR(INDEX((COPIA!$DA$3:$DE$1339),MATCH(ROWS(E$10:E525),COPIA!$DF$3:$DF$1339,0),COLUMN()-1),"")=0,"",IFERROR(INDEX((COPIA!$DA$3:$DE$1339),MATCH(ROWS(E$10:E525),COPIA!$DF$3:$DF$1339,0),COLUMN()-1),""))</f>
        <v/>
      </c>
      <c r="F525" s="6" t="str">
        <f ca="1">IF(IFERROR(INDEX((COPIA!$DA$3:$DE$1339),MATCH(ROWS(F$10:F525),COPIA!$DF$3:$DF$1339,0),COLUMN()-1),"")=0,"",IFERROR(INDEX((COPIA!$DA$3:$DE$1339),MATCH(ROWS(F$10:F525),COPIA!$DF$3:$DF$1339,0),COLUMN()-1),""))</f>
        <v/>
      </c>
    </row>
    <row r="526" spans="2:6" x14ac:dyDescent="0.3">
      <c r="B526" s="10" t="str">
        <f ca="1">IF(IFERROR(INDEX((COPIA!$DA$3:$DE$1339),MATCH(ROWS(B$10:B526),COPIA!$DF$3:$DF$1339,0),COLUMN()-1),"")&gt;=1,IFERROR(INDEX((COPIA!$DA$3:$DE$1339),MATCH(ROWS(B$10:B526),COPIA!$DF$3:$DF$1339,0),COLUMN()-1),""),"")</f>
        <v/>
      </c>
      <c r="C526" s="5" t="str">
        <f ca="1">SUBSTITUTE(IFERROR(INDEX((COPIA!$DA$3:$DE$1339),MATCH(ROWS(C$10:C526),COPIA!$DF$3:$DF$1339,0),COLUMN()-1),""),"MASTRO","")</f>
        <v/>
      </c>
      <c r="D526" s="136" t="str">
        <f ca="1">IF(IFERROR(INDEX((COPIA!$DA$3:$DE$1339),MATCH(ROWS(D$10:D526),COPIA!$DF$3:$DF$1339,0),COLUMN()-1),"")=0,"",IFERROR(INDEX((COPIA!$DA$3:$DE$1339),MATCH(ROWS(D$10:D526),COPIA!$DF$3:$DF$1339,0),COLUMN()-1),""))</f>
        <v/>
      </c>
      <c r="E526" s="9" t="str">
        <f ca="1">IF(IFERROR(INDEX((COPIA!$DA$3:$DE$1339),MATCH(ROWS(E$10:E526),COPIA!$DF$3:$DF$1339,0),COLUMN()-1),"")=0,"",IFERROR(INDEX((COPIA!$DA$3:$DE$1339),MATCH(ROWS(E$10:E526),COPIA!$DF$3:$DF$1339,0),COLUMN()-1),""))</f>
        <v/>
      </c>
      <c r="F526" s="6" t="str">
        <f ca="1">IF(IFERROR(INDEX((COPIA!$DA$3:$DE$1339),MATCH(ROWS(F$10:F526),COPIA!$DF$3:$DF$1339,0),COLUMN()-1),"")=0,"",IFERROR(INDEX((COPIA!$DA$3:$DE$1339),MATCH(ROWS(F$10:F526),COPIA!$DF$3:$DF$1339,0),COLUMN()-1),""))</f>
        <v/>
      </c>
    </row>
    <row r="527" spans="2:6" x14ac:dyDescent="0.3">
      <c r="B527" s="10" t="str">
        <f ca="1">IF(IFERROR(INDEX((COPIA!$DA$3:$DE$1339),MATCH(ROWS(B$10:B527),COPIA!$DF$3:$DF$1339,0),COLUMN()-1),"")&gt;=1,IFERROR(INDEX((COPIA!$DA$3:$DE$1339),MATCH(ROWS(B$10:B527),COPIA!$DF$3:$DF$1339,0),COLUMN()-1),""),"")</f>
        <v/>
      </c>
      <c r="C527" s="5" t="str">
        <f ca="1">SUBSTITUTE(IFERROR(INDEX((COPIA!$DA$3:$DE$1339),MATCH(ROWS(C$10:C527),COPIA!$DF$3:$DF$1339,0),COLUMN()-1),""),"MASTRO","")</f>
        <v/>
      </c>
      <c r="D527" s="136" t="str">
        <f ca="1">IF(IFERROR(INDEX((COPIA!$DA$3:$DE$1339),MATCH(ROWS(D$10:D527),COPIA!$DF$3:$DF$1339,0),COLUMN()-1),"")=0,"",IFERROR(INDEX((COPIA!$DA$3:$DE$1339),MATCH(ROWS(D$10:D527),COPIA!$DF$3:$DF$1339,0),COLUMN()-1),""))</f>
        <v/>
      </c>
      <c r="E527" s="9" t="str">
        <f ca="1">IF(IFERROR(INDEX((COPIA!$DA$3:$DE$1339),MATCH(ROWS(E$10:E527),COPIA!$DF$3:$DF$1339,0),COLUMN()-1),"")=0,"",IFERROR(INDEX((COPIA!$DA$3:$DE$1339),MATCH(ROWS(E$10:E527),COPIA!$DF$3:$DF$1339,0),COLUMN()-1),""))</f>
        <v/>
      </c>
      <c r="F527" s="6" t="str">
        <f ca="1">IF(IFERROR(INDEX((COPIA!$DA$3:$DE$1339),MATCH(ROWS(F$10:F527),COPIA!$DF$3:$DF$1339,0),COLUMN()-1),"")=0,"",IFERROR(INDEX((COPIA!$DA$3:$DE$1339),MATCH(ROWS(F$10:F527),COPIA!$DF$3:$DF$1339,0),COLUMN()-1),""))</f>
        <v/>
      </c>
    </row>
    <row r="528" spans="2:6" x14ac:dyDescent="0.3">
      <c r="B528" s="10" t="str">
        <f ca="1">IF(IFERROR(INDEX((COPIA!$DA$3:$DE$1339),MATCH(ROWS(B$10:B528),COPIA!$DF$3:$DF$1339,0),COLUMN()-1),"")&gt;=1,IFERROR(INDEX((COPIA!$DA$3:$DE$1339),MATCH(ROWS(B$10:B528),COPIA!$DF$3:$DF$1339,0),COLUMN()-1),""),"")</f>
        <v/>
      </c>
      <c r="C528" s="5" t="str">
        <f ca="1">SUBSTITUTE(IFERROR(INDEX((COPIA!$DA$3:$DE$1339),MATCH(ROWS(C$10:C528),COPIA!$DF$3:$DF$1339,0),COLUMN()-1),""),"MASTRO","")</f>
        <v/>
      </c>
      <c r="D528" s="136" t="str">
        <f ca="1">IF(IFERROR(INDEX((COPIA!$DA$3:$DE$1339),MATCH(ROWS(D$10:D528),COPIA!$DF$3:$DF$1339,0),COLUMN()-1),"")=0,"",IFERROR(INDEX((COPIA!$DA$3:$DE$1339),MATCH(ROWS(D$10:D528),COPIA!$DF$3:$DF$1339,0),COLUMN()-1),""))</f>
        <v/>
      </c>
      <c r="E528" s="9" t="str">
        <f ca="1">IF(IFERROR(INDEX((COPIA!$DA$3:$DE$1339),MATCH(ROWS(E$10:E528),COPIA!$DF$3:$DF$1339,0),COLUMN()-1),"")=0,"",IFERROR(INDEX((COPIA!$DA$3:$DE$1339),MATCH(ROWS(E$10:E528),COPIA!$DF$3:$DF$1339,0),COLUMN()-1),""))</f>
        <v/>
      </c>
      <c r="F528" s="6" t="str">
        <f ca="1">IF(IFERROR(INDEX((COPIA!$DA$3:$DE$1339),MATCH(ROWS(F$10:F528),COPIA!$DF$3:$DF$1339,0),COLUMN()-1),"")=0,"",IFERROR(INDEX((COPIA!$DA$3:$DE$1339),MATCH(ROWS(F$10:F528),COPIA!$DF$3:$DF$1339,0),COLUMN()-1),""))</f>
        <v/>
      </c>
    </row>
    <row r="529" spans="2:6" x14ac:dyDescent="0.3">
      <c r="B529" s="10" t="str">
        <f ca="1">IF(IFERROR(INDEX((COPIA!$DA$3:$DE$1339),MATCH(ROWS(B$10:B529),COPIA!$DF$3:$DF$1339,0),COLUMN()-1),"")&gt;=1,IFERROR(INDEX((COPIA!$DA$3:$DE$1339),MATCH(ROWS(B$10:B529),COPIA!$DF$3:$DF$1339,0),COLUMN()-1),""),"")</f>
        <v/>
      </c>
      <c r="C529" s="5" t="str">
        <f ca="1">SUBSTITUTE(IFERROR(INDEX((COPIA!$DA$3:$DE$1339),MATCH(ROWS(C$10:C529),COPIA!$DF$3:$DF$1339,0),COLUMN()-1),""),"MASTRO","")</f>
        <v/>
      </c>
      <c r="D529" s="136" t="str">
        <f ca="1">IF(IFERROR(INDEX((COPIA!$DA$3:$DE$1339),MATCH(ROWS(D$10:D529),COPIA!$DF$3:$DF$1339,0),COLUMN()-1),"")=0,"",IFERROR(INDEX((COPIA!$DA$3:$DE$1339),MATCH(ROWS(D$10:D529),COPIA!$DF$3:$DF$1339,0),COLUMN()-1),""))</f>
        <v/>
      </c>
      <c r="E529" s="9" t="str">
        <f ca="1">IF(IFERROR(INDEX((COPIA!$DA$3:$DE$1339),MATCH(ROWS(E$10:E529),COPIA!$DF$3:$DF$1339,0),COLUMN()-1),"")=0,"",IFERROR(INDEX((COPIA!$DA$3:$DE$1339),MATCH(ROWS(E$10:E529),COPIA!$DF$3:$DF$1339,0),COLUMN()-1),""))</f>
        <v/>
      </c>
      <c r="F529" s="6" t="str">
        <f ca="1">IF(IFERROR(INDEX((COPIA!$DA$3:$DE$1339),MATCH(ROWS(F$10:F529),COPIA!$DF$3:$DF$1339,0),COLUMN()-1),"")=0,"",IFERROR(INDEX((COPIA!$DA$3:$DE$1339),MATCH(ROWS(F$10:F529),COPIA!$DF$3:$DF$1339,0),COLUMN()-1),""))</f>
        <v/>
      </c>
    </row>
    <row r="530" spans="2:6" x14ac:dyDescent="0.3">
      <c r="B530" s="10" t="str">
        <f ca="1">IF(IFERROR(INDEX((COPIA!$DA$3:$DE$1339),MATCH(ROWS(B$10:B530),COPIA!$DF$3:$DF$1339,0),COLUMN()-1),"")&gt;=1,IFERROR(INDEX((COPIA!$DA$3:$DE$1339),MATCH(ROWS(B$10:B530),COPIA!$DF$3:$DF$1339,0),COLUMN()-1),""),"")</f>
        <v/>
      </c>
      <c r="C530" s="5" t="str">
        <f ca="1">SUBSTITUTE(IFERROR(INDEX((COPIA!$DA$3:$DE$1339),MATCH(ROWS(C$10:C530),COPIA!$DF$3:$DF$1339,0),COLUMN()-1),""),"MASTRO","")</f>
        <v/>
      </c>
      <c r="D530" s="136" t="str">
        <f ca="1">IF(IFERROR(INDEX((COPIA!$DA$3:$DE$1339),MATCH(ROWS(D$10:D530),COPIA!$DF$3:$DF$1339,0),COLUMN()-1),"")=0,"",IFERROR(INDEX((COPIA!$DA$3:$DE$1339),MATCH(ROWS(D$10:D530),COPIA!$DF$3:$DF$1339,0),COLUMN()-1),""))</f>
        <v/>
      </c>
      <c r="E530" s="9" t="str">
        <f ca="1">IF(IFERROR(INDEX((COPIA!$DA$3:$DE$1339),MATCH(ROWS(E$10:E530),COPIA!$DF$3:$DF$1339,0),COLUMN()-1),"")=0,"",IFERROR(INDEX((COPIA!$DA$3:$DE$1339),MATCH(ROWS(E$10:E530),COPIA!$DF$3:$DF$1339,0),COLUMN()-1),""))</f>
        <v/>
      </c>
      <c r="F530" s="6" t="str">
        <f ca="1">IF(IFERROR(INDEX((COPIA!$DA$3:$DE$1339),MATCH(ROWS(F$10:F530),COPIA!$DF$3:$DF$1339,0),COLUMN()-1),"")=0,"",IFERROR(INDEX((COPIA!$DA$3:$DE$1339),MATCH(ROWS(F$10:F530),COPIA!$DF$3:$DF$1339,0),COLUMN()-1),""))</f>
        <v/>
      </c>
    </row>
    <row r="531" spans="2:6" x14ac:dyDescent="0.3">
      <c r="B531" s="10" t="str">
        <f ca="1">IF(IFERROR(INDEX((COPIA!$DA$3:$DE$1339),MATCH(ROWS(B$10:B531),COPIA!$DF$3:$DF$1339,0),COLUMN()-1),"")&gt;=1,IFERROR(INDEX((COPIA!$DA$3:$DE$1339),MATCH(ROWS(B$10:B531),COPIA!$DF$3:$DF$1339,0),COLUMN()-1),""),"")</f>
        <v/>
      </c>
      <c r="C531" s="5" t="str">
        <f ca="1">SUBSTITUTE(IFERROR(INDEX((COPIA!$DA$3:$DE$1339),MATCH(ROWS(C$10:C531),COPIA!$DF$3:$DF$1339,0),COLUMN()-1),""),"MASTRO","")</f>
        <v/>
      </c>
      <c r="D531" s="136" t="str">
        <f ca="1">IF(IFERROR(INDEX((COPIA!$DA$3:$DE$1339),MATCH(ROWS(D$10:D531),COPIA!$DF$3:$DF$1339,0),COLUMN()-1),"")=0,"",IFERROR(INDEX((COPIA!$DA$3:$DE$1339),MATCH(ROWS(D$10:D531),COPIA!$DF$3:$DF$1339,0),COLUMN()-1),""))</f>
        <v/>
      </c>
      <c r="E531" s="9" t="str">
        <f ca="1">IF(IFERROR(INDEX((COPIA!$DA$3:$DE$1339),MATCH(ROWS(E$10:E531),COPIA!$DF$3:$DF$1339,0),COLUMN()-1),"")=0,"",IFERROR(INDEX((COPIA!$DA$3:$DE$1339),MATCH(ROWS(E$10:E531),COPIA!$DF$3:$DF$1339,0),COLUMN()-1),""))</f>
        <v/>
      </c>
      <c r="F531" s="6" t="str">
        <f ca="1">IF(IFERROR(INDEX((COPIA!$DA$3:$DE$1339),MATCH(ROWS(F$10:F531),COPIA!$DF$3:$DF$1339,0),COLUMN()-1),"")=0,"",IFERROR(INDEX((COPIA!$DA$3:$DE$1339),MATCH(ROWS(F$10:F531),COPIA!$DF$3:$DF$1339,0),COLUMN()-1),""))</f>
        <v/>
      </c>
    </row>
    <row r="532" spans="2:6" x14ac:dyDescent="0.3">
      <c r="B532" s="10" t="str">
        <f ca="1">IF(IFERROR(INDEX((COPIA!$DA$3:$DE$1339),MATCH(ROWS(B$10:B532),COPIA!$DF$3:$DF$1339,0),COLUMN()-1),"")&gt;=1,IFERROR(INDEX((COPIA!$DA$3:$DE$1339),MATCH(ROWS(B$10:B532),COPIA!$DF$3:$DF$1339,0),COLUMN()-1),""),"")</f>
        <v/>
      </c>
      <c r="C532" s="5" t="str">
        <f ca="1">SUBSTITUTE(IFERROR(INDEX((COPIA!$DA$3:$DE$1339),MATCH(ROWS(C$10:C532),COPIA!$DF$3:$DF$1339,0),COLUMN()-1),""),"MASTRO","")</f>
        <v/>
      </c>
      <c r="D532" s="136" t="str">
        <f ca="1">IF(IFERROR(INDEX((COPIA!$DA$3:$DE$1339),MATCH(ROWS(D$10:D532),COPIA!$DF$3:$DF$1339,0),COLUMN()-1),"")=0,"",IFERROR(INDEX((COPIA!$DA$3:$DE$1339),MATCH(ROWS(D$10:D532),COPIA!$DF$3:$DF$1339,0),COLUMN()-1),""))</f>
        <v/>
      </c>
      <c r="E532" s="9" t="str">
        <f ca="1">IF(IFERROR(INDEX((COPIA!$DA$3:$DE$1339),MATCH(ROWS(E$10:E532),COPIA!$DF$3:$DF$1339,0),COLUMN()-1),"")=0,"",IFERROR(INDEX((COPIA!$DA$3:$DE$1339),MATCH(ROWS(E$10:E532),COPIA!$DF$3:$DF$1339,0),COLUMN()-1),""))</f>
        <v/>
      </c>
      <c r="F532" s="6" t="str">
        <f ca="1">IF(IFERROR(INDEX((COPIA!$DA$3:$DE$1339),MATCH(ROWS(F$10:F532),COPIA!$DF$3:$DF$1339,0),COLUMN()-1),"")=0,"",IFERROR(INDEX((COPIA!$DA$3:$DE$1339),MATCH(ROWS(F$10:F532),COPIA!$DF$3:$DF$1339,0),COLUMN()-1),""))</f>
        <v/>
      </c>
    </row>
    <row r="533" spans="2:6" x14ac:dyDescent="0.3">
      <c r="B533" s="10" t="str">
        <f ca="1">IF(IFERROR(INDEX((COPIA!$DA$3:$DE$1339),MATCH(ROWS(B$10:B533),COPIA!$DF$3:$DF$1339,0),COLUMN()-1),"")&gt;=1,IFERROR(INDEX((COPIA!$DA$3:$DE$1339),MATCH(ROWS(B$10:B533),COPIA!$DF$3:$DF$1339,0),COLUMN()-1),""),"")</f>
        <v/>
      </c>
      <c r="C533" s="5" t="str">
        <f ca="1">SUBSTITUTE(IFERROR(INDEX((COPIA!$DA$3:$DE$1339),MATCH(ROWS(C$10:C533),COPIA!$DF$3:$DF$1339,0),COLUMN()-1),""),"MASTRO","")</f>
        <v/>
      </c>
      <c r="D533" s="136" t="str">
        <f ca="1">IF(IFERROR(INDEX((COPIA!$DA$3:$DE$1339),MATCH(ROWS(D$10:D533),COPIA!$DF$3:$DF$1339,0),COLUMN()-1),"")=0,"",IFERROR(INDEX((COPIA!$DA$3:$DE$1339),MATCH(ROWS(D$10:D533),COPIA!$DF$3:$DF$1339,0),COLUMN()-1),""))</f>
        <v/>
      </c>
      <c r="E533" s="9" t="str">
        <f ca="1">IF(IFERROR(INDEX((COPIA!$DA$3:$DE$1339),MATCH(ROWS(E$10:E533),COPIA!$DF$3:$DF$1339,0),COLUMN()-1),"")=0,"",IFERROR(INDEX((COPIA!$DA$3:$DE$1339),MATCH(ROWS(E$10:E533),COPIA!$DF$3:$DF$1339,0),COLUMN()-1),""))</f>
        <v/>
      </c>
      <c r="F533" s="6" t="str">
        <f ca="1">IF(IFERROR(INDEX((COPIA!$DA$3:$DE$1339),MATCH(ROWS(F$10:F533),COPIA!$DF$3:$DF$1339,0),COLUMN()-1),"")=0,"",IFERROR(INDEX((COPIA!$DA$3:$DE$1339),MATCH(ROWS(F$10:F533),COPIA!$DF$3:$DF$1339,0),COLUMN()-1),""))</f>
        <v/>
      </c>
    </row>
    <row r="534" spans="2:6" x14ac:dyDescent="0.3">
      <c r="B534" s="10" t="str">
        <f ca="1">IF(IFERROR(INDEX((COPIA!$DA$3:$DE$1339),MATCH(ROWS(B$10:B534),COPIA!$DF$3:$DF$1339,0),COLUMN()-1),"")&gt;=1,IFERROR(INDEX((COPIA!$DA$3:$DE$1339),MATCH(ROWS(B$10:B534),COPIA!$DF$3:$DF$1339,0),COLUMN()-1),""),"")</f>
        <v/>
      </c>
      <c r="C534" s="5" t="str">
        <f ca="1">SUBSTITUTE(IFERROR(INDEX((COPIA!$DA$3:$DE$1339),MATCH(ROWS(C$10:C534),COPIA!$DF$3:$DF$1339,0),COLUMN()-1),""),"MASTRO","")</f>
        <v/>
      </c>
      <c r="D534" s="136" t="str">
        <f ca="1">IF(IFERROR(INDEX((COPIA!$DA$3:$DE$1339),MATCH(ROWS(D$10:D534),COPIA!$DF$3:$DF$1339,0),COLUMN()-1),"")=0,"",IFERROR(INDEX((COPIA!$DA$3:$DE$1339),MATCH(ROWS(D$10:D534),COPIA!$DF$3:$DF$1339,0),COLUMN()-1),""))</f>
        <v/>
      </c>
      <c r="E534" s="9" t="str">
        <f ca="1">IF(IFERROR(INDEX((COPIA!$DA$3:$DE$1339),MATCH(ROWS(E$10:E534),COPIA!$DF$3:$DF$1339,0),COLUMN()-1),"")=0,"",IFERROR(INDEX((COPIA!$DA$3:$DE$1339),MATCH(ROWS(E$10:E534),COPIA!$DF$3:$DF$1339,0),COLUMN()-1),""))</f>
        <v/>
      </c>
      <c r="F534" s="6" t="str">
        <f ca="1">IF(IFERROR(INDEX((COPIA!$DA$3:$DE$1339),MATCH(ROWS(F$10:F534),COPIA!$DF$3:$DF$1339,0),COLUMN()-1),"")=0,"",IFERROR(INDEX((COPIA!$DA$3:$DE$1339),MATCH(ROWS(F$10:F534),COPIA!$DF$3:$DF$1339,0),COLUMN()-1),""))</f>
        <v/>
      </c>
    </row>
    <row r="535" spans="2:6" x14ac:dyDescent="0.3">
      <c r="B535" s="10" t="str">
        <f ca="1">IF(IFERROR(INDEX((COPIA!$DA$3:$DE$1339),MATCH(ROWS(B$10:B535),COPIA!$DF$3:$DF$1339,0),COLUMN()-1),"")&gt;=1,IFERROR(INDEX((COPIA!$DA$3:$DE$1339),MATCH(ROWS(B$10:B535),COPIA!$DF$3:$DF$1339,0),COLUMN()-1),""),"")</f>
        <v/>
      </c>
      <c r="C535" s="5" t="str">
        <f ca="1">SUBSTITUTE(IFERROR(INDEX((COPIA!$DA$3:$DE$1339),MATCH(ROWS(C$10:C535),COPIA!$DF$3:$DF$1339,0),COLUMN()-1),""),"MASTRO","")</f>
        <v/>
      </c>
      <c r="D535" s="136" t="str">
        <f ca="1">IF(IFERROR(INDEX((COPIA!$DA$3:$DE$1339),MATCH(ROWS(D$10:D535),COPIA!$DF$3:$DF$1339,0),COLUMN()-1),"")=0,"",IFERROR(INDEX((COPIA!$DA$3:$DE$1339),MATCH(ROWS(D$10:D535),COPIA!$DF$3:$DF$1339,0),COLUMN()-1),""))</f>
        <v/>
      </c>
      <c r="E535" s="9" t="str">
        <f ca="1">IF(IFERROR(INDEX((COPIA!$DA$3:$DE$1339),MATCH(ROWS(E$10:E535),COPIA!$DF$3:$DF$1339,0),COLUMN()-1),"")=0,"",IFERROR(INDEX((COPIA!$DA$3:$DE$1339),MATCH(ROWS(E$10:E535),COPIA!$DF$3:$DF$1339,0),COLUMN()-1),""))</f>
        <v/>
      </c>
      <c r="F535" s="6" t="str">
        <f ca="1">IF(IFERROR(INDEX((COPIA!$DA$3:$DE$1339),MATCH(ROWS(F$10:F535),COPIA!$DF$3:$DF$1339,0),COLUMN()-1),"")=0,"",IFERROR(INDEX((COPIA!$DA$3:$DE$1339),MATCH(ROWS(F$10:F535),COPIA!$DF$3:$DF$1339,0),COLUMN()-1),""))</f>
        <v/>
      </c>
    </row>
    <row r="536" spans="2:6" x14ac:dyDescent="0.3">
      <c r="B536" s="10" t="str">
        <f ca="1">IF(IFERROR(INDEX((COPIA!$DA$3:$DE$1339),MATCH(ROWS(B$10:B536),COPIA!$DF$3:$DF$1339,0),COLUMN()-1),"")&gt;=1,IFERROR(INDEX((COPIA!$DA$3:$DE$1339),MATCH(ROWS(B$10:B536),COPIA!$DF$3:$DF$1339,0),COLUMN()-1),""),"")</f>
        <v/>
      </c>
      <c r="C536" s="5" t="str">
        <f ca="1">SUBSTITUTE(IFERROR(INDEX((COPIA!$DA$3:$DE$1339),MATCH(ROWS(C$10:C536),COPIA!$DF$3:$DF$1339,0),COLUMN()-1),""),"MASTRO","")</f>
        <v/>
      </c>
      <c r="D536" s="136" t="str">
        <f ca="1">IF(IFERROR(INDEX((COPIA!$DA$3:$DE$1339),MATCH(ROWS(D$10:D536),COPIA!$DF$3:$DF$1339,0),COLUMN()-1),"")=0,"",IFERROR(INDEX((COPIA!$DA$3:$DE$1339),MATCH(ROWS(D$10:D536),COPIA!$DF$3:$DF$1339,0),COLUMN()-1),""))</f>
        <v/>
      </c>
      <c r="E536" s="9" t="str">
        <f ca="1">IF(IFERROR(INDEX((COPIA!$DA$3:$DE$1339),MATCH(ROWS(E$10:E536),COPIA!$DF$3:$DF$1339,0),COLUMN()-1),"")=0,"",IFERROR(INDEX((COPIA!$DA$3:$DE$1339),MATCH(ROWS(E$10:E536),COPIA!$DF$3:$DF$1339,0),COLUMN()-1),""))</f>
        <v/>
      </c>
      <c r="F536" s="6" t="str">
        <f ca="1">IF(IFERROR(INDEX((COPIA!$DA$3:$DE$1339),MATCH(ROWS(F$10:F536),COPIA!$DF$3:$DF$1339,0),COLUMN()-1),"")=0,"",IFERROR(INDEX((COPIA!$DA$3:$DE$1339),MATCH(ROWS(F$10:F536),COPIA!$DF$3:$DF$1339,0),COLUMN()-1),""))</f>
        <v/>
      </c>
    </row>
    <row r="537" spans="2:6" x14ac:dyDescent="0.3">
      <c r="B537" s="10" t="str">
        <f ca="1">IF(IFERROR(INDEX((COPIA!$DA$3:$DE$1339),MATCH(ROWS(B$10:B537),COPIA!$DF$3:$DF$1339,0),COLUMN()-1),"")&gt;=1,IFERROR(INDEX((COPIA!$DA$3:$DE$1339),MATCH(ROWS(B$10:B537),COPIA!$DF$3:$DF$1339,0),COLUMN()-1),""),"")</f>
        <v/>
      </c>
      <c r="C537" s="5" t="str">
        <f ca="1">SUBSTITUTE(IFERROR(INDEX((COPIA!$DA$3:$DE$1339),MATCH(ROWS(C$10:C537),COPIA!$DF$3:$DF$1339,0),COLUMN()-1),""),"MASTRO","")</f>
        <v/>
      </c>
      <c r="D537" s="136" t="str">
        <f ca="1">IF(IFERROR(INDEX((COPIA!$DA$3:$DE$1339),MATCH(ROWS(D$10:D537),COPIA!$DF$3:$DF$1339,0),COLUMN()-1),"")=0,"",IFERROR(INDEX((COPIA!$DA$3:$DE$1339),MATCH(ROWS(D$10:D537),COPIA!$DF$3:$DF$1339,0),COLUMN()-1),""))</f>
        <v/>
      </c>
      <c r="E537" s="9" t="str">
        <f ca="1">IF(IFERROR(INDEX((COPIA!$DA$3:$DE$1339),MATCH(ROWS(E$10:E537),COPIA!$DF$3:$DF$1339,0),COLUMN()-1),"")=0,"",IFERROR(INDEX((COPIA!$DA$3:$DE$1339),MATCH(ROWS(E$10:E537),COPIA!$DF$3:$DF$1339,0),COLUMN()-1),""))</f>
        <v/>
      </c>
      <c r="F537" s="6" t="str">
        <f ca="1">IF(IFERROR(INDEX((COPIA!$DA$3:$DE$1339),MATCH(ROWS(F$10:F537),COPIA!$DF$3:$DF$1339,0),COLUMN()-1),"")=0,"",IFERROR(INDEX((COPIA!$DA$3:$DE$1339),MATCH(ROWS(F$10:F537),COPIA!$DF$3:$DF$1339,0),COLUMN()-1),""))</f>
        <v/>
      </c>
    </row>
    <row r="538" spans="2:6" x14ac:dyDescent="0.3">
      <c r="B538" s="10" t="str">
        <f ca="1">IF(IFERROR(INDEX((COPIA!$DA$3:$DE$1339),MATCH(ROWS(B$10:B538),COPIA!$DF$3:$DF$1339,0),COLUMN()-1),"")&gt;=1,IFERROR(INDEX((COPIA!$DA$3:$DE$1339),MATCH(ROWS(B$10:B538),COPIA!$DF$3:$DF$1339,0),COLUMN()-1),""),"")</f>
        <v/>
      </c>
      <c r="C538" s="5" t="str">
        <f ca="1">SUBSTITUTE(IFERROR(INDEX((COPIA!$DA$3:$DE$1339),MATCH(ROWS(C$10:C538),COPIA!$DF$3:$DF$1339,0),COLUMN()-1),""),"MASTRO","")</f>
        <v/>
      </c>
      <c r="D538" s="136" t="str">
        <f ca="1">IF(IFERROR(INDEX((COPIA!$DA$3:$DE$1339),MATCH(ROWS(D$10:D538),COPIA!$DF$3:$DF$1339,0),COLUMN()-1),"")=0,"",IFERROR(INDEX((COPIA!$DA$3:$DE$1339),MATCH(ROWS(D$10:D538),COPIA!$DF$3:$DF$1339,0),COLUMN()-1),""))</f>
        <v/>
      </c>
      <c r="E538" s="9" t="str">
        <f ca="1">IF(IFERROR(INDEX((COPIA!$DA$3:$DE$1339),MATCH(ROWS(E$10:E538),COPIA!$DF$3:$DF$1339,0),COLUMN()-1),"")=0,"",IFERROR(INDEX((COPIA!$DA$3:$DE$1339),MATCH(ROWS(E$10:E538),COPIA!$DF$3:$DF$1339,0),COLUMN()-1),""))</f>
        <v/>
      </c>
      <c r="F538" s="6" t="str">
        <f ca="1">IF(IFERROR(INDEX((COPIA!$DA$3:$DE$1339),MATCH(ROWS(F$10:F538),COPIA!$DF$3:$DF$1339,0),COLUMN()-1),"")=0,"",IFERROR(INDEX((COPIA!$DA$3:$DE$1339),MATCH(ROWS(F$10:F538),COPIA!$DF$3:$DF$1339,0),COLUMN()-1),""))</f>
        <v/>
      </c>
    </row>
    <row r="539" spans="2:6" x14ac:dyDescent="0.3">
      <c r="B539" s="10" t="str">
        <f ca="1">IF(IFERROR(INDEX((COPIA!$DA$3:$DE$1339),MATCH(ROWS(B$10:B539),COPIA!$DF$3:$DF$1339,0),COLUMN()-1),"")&gt;=1,IFERROR(INDEX((COPIA!$DA$3:$DE$1339),MATCH(ROWS(B$10:B539),COPIA!$DF$3:$DF$1339,0),COLUMN()-1),""),"")</f>
        <v/>
      </c>
      <c r="C539" s="5" t="str">
        <f ca="1">SUBSTITUTE(IFERROR(INDEX((COPIA!$DA$3:$DE$1339),MATCH(ROWS(C$10:C539),COPIA!$DF$3:$DF$1339,0),COLUMN()-1),""),"MASTRO","")</f>
        <v/>
      </c>
      <c r="D539" s="136" t="str">
        <f ca="1">IF(IFERROR(INDEX((COPIA!$DA$3:$DE$1339),MATCH(ROWS(D$10:D539),COPIA!$DF$3:$DF$1339,0),COLUMN()-1),"")=0,"",IFERROR(INDEX((COPIA!$DA$3:$DE$1339),MATCH(ROWS(D$10:D539),COPIA!$DF$3:$DF$1339,0),COLUMN()-1),""))</f>
        <v/>
      </c>
      <c r="E539" s="9" t="str">
        <f ca="1">IF(IFERROR(INDEX((COPIA!$DA$3:$DE$1339),MATCH(ROWS(E$10:E539),COPIA!$DF$3:$DF$1339,0),COLUMN()-1),"")=0,"",IFERROR(INDEX((COPIA!$DA$3:$DE$1339),MATCH(ROWS(E$10:E539),COPIA!$DF$3:$DF$1339,0),COLUMN()-1),""))</f>
        <v/>
      </c>
      <c r="F539" s="6" t="str">
        <f ca="1">IF(IFERROR(INDEX((COPIA!$DA$3:$DE$1339),MATCH(ROWS(F$10:F539),COPIA!$DF$3:$DF$1339,0),COLUMN()-1),"")=0,"",IFERROR(INDEX((COPIA!$DA$3:$DE$1339),MATCH(ROWS(F$10:F539),COPIA!$DF$3:$DF$1339,0),COLUMN()-1),""))</f>
        <v/>
      </c>
    </row>
    <row r="540" spans="2:6" x14ac:dyDescent="0.3">
      <c r="B540" s="10" t="str">
        <f ca="1">IF(IFERROR(INDEX((COPIA!$DA$3:$DE$1339),MATCH(ROWS(B$10:B540),COPIA!$DF$3:$DF$1339,0),COLUMN()-1),"")&gt;=1,IFERROR(INDEX((COPIA!$DA$3:$DE$1339),MATCH(ROWS(B$10:B540),COPIA!$DF$3:$DF$1339,0),COLUMN()-1),""),"")</f>
        <v/>
      </c>
      <c r="C540" s="5" t="str">
        <f ca="1">SUBSTITUTE(IFERROR(INDEX((COPIA!$DA$3:$DE$1339),MATCH(ROWS(C$10:C540),COPIA!$DF$3:$DF$1339,0),COLUMN()-1),""),"MASTRO","")</f>
        <v/>
      </c>
      <c r="D540" s="136" t="str">
        <f ca="1">IF(IFERROR(INDEX((COPIA!$DA$3:$DE$1339),MATCH(ROWS(D$10:D540),COPIA!$DF$3:$DF$1339,0),COLUMN()-1),"")=0,"",IFERROR(INDEX((COPIA!$DA$3:$DE$1339),MATCH(ROWS(D$10:D540),COPIA!$DF$3:$DF$1339,0),COLUMN()-1),""))</f>
        <v/>
      </c>
      <c r="E540" s="9" t="str">
        <f ca="1">IF(IFERROR(INDEX((COPIA!$DA$3:$DE$1339),MATCH(ROWS(E$10:E540),COPIA!$DF$3:$DF$1339,0),COLUMN()-1),"")=0,"",IFERROR(INDEX((COPIA!$DA$3:$DE$1339),MATCH(ROWS(E$10:E540),COPIA!$DF$3:$DF$1339,0),COLUMN()-1),""))</f>
        <v/>
      </c>
      <c r="F540" s="6" t="str">
        <f ca="1">IF(IFERROR(INDEX((COPIA!$DA$3:$DE$1339),MATCH(ROWS(F$10:F540),COPIA!$DF$3:$DF$1339,0),COLUMN()-1),"")=0,"",IFERROR(INDEX((COPIA!$DA$3:$DE$1339),MATCH(ROWS(F$10:F540),COPIA!$DF$3:$DF$1339,0),COLUMN()-1),""))</f>
        <v/>
      </c>
    </row>
    <row r="541" spans="2:6" x14ac:dyDescent="0.3">
      <c r="B541" s="10" t="str">
        <f ca="1">IF(IFERROR(INDEX((COPIA!$DA$3:$DE$1339),MATCH(ROWS(B$10:B541),COPIA!$DF$3:$DF$1339,0),COLUMN()-1),"")&gt;=1,IFERROR(INDEX((COPIA!$DA$3:$DE$1339),MATCH(ROWS(B$10:B541),COPIA!$DF$3:$DF$1339,0),COLUMN()-1),""),"")</f>
        <v/>
      </c>
      <c r="C541" s="5" t="str">
        <f ca="1">SUBSTITUTE(IFERROR(INDEX((COPIA!$DA$3:$DE$1339),MATCH(ROWS(C$10:C541),COPIA!$DF$3:$DF$1339,0),COLUMN()-1),""),"MASTRO","")</f>
        <v/>
      </c>
      <c r="D541" s="136" t="str">
        <f ca="1">IF(IFERROR(INDEX((COPIA!$DA$3:$DE$1339),MATCH(ROWS(D$10:D541),COPIA!$DF$3:$DF$1339,0),COLUMN()-1),"")=0,"",IFERROR(INDEX((COPIA!$DA$3:$DE$1339),MATCH(ROWS(D$10:D541),COPIA!$DF$3:$DF$1339,0),COLUMN()-1),""))</f>
        <v/>
      </c>
      <c r="E541" s="9" t="str">
        <f ca="1">IF(IFERROR(INDEX((COPIA!$DA$3:$DE$1339),MATCH(ROWS(E$10:E541),COPIA!$DF$3:$DF$1339,0),COLUMN()-1),"")=0,"",IFERROR(INDEX((COPIA!$DA$3:$DE$1339),MATCH(ROWS(E$10:E541),COPIA!$DF$3:$DF$1339,0),COLUMN()-1),""))</f>
        <v/>
      </c>
      <c r="F541" s="6" t="str">
        <f ca="1">IF(IFERROR(INDEX((COPIA!$DA$3:$DE$1339),MATCH(ROWS(F$10:F541),COPIA!$DF$3:$DF$1339,0),COLUMN()-1),"")=0,"",IFERROR(INDEX((COPIA!$DA$3:$DE$1339),MATCH(ROWS(F$10:F541),COPIA!$DF$3:$DF$1339,0),COLUMN()-1),""))</f>
        <v/>
      </c>
    </row>
    <row r="542" spans="2:6" x14ac:dyDescent="0.3">
      <c r="B542" s="10" t="str">
        <f ca="1">IF(IFERROR(INDEX((COPIA!$DA$3:$DE$1339),MATCH(ROWS(B$10:B542),COPIA!$DF$3:$DF$1339,0),COLUMN()-1),"")&gt;=1,IFERROR(INDEX((COPIA!$DA$3:$DE$1339),MATCH(ROWS(B$10:B542),COPIA!$DF$3:$DF$1339,0),COLUMN()-1),""),"")</f>
        <v/>
      </c>
      <c r="C542" s="5" t="str">
        <f ca="1">SUBSTITUTE(IFERROR(INDEX((COPIA!$DA$3:$DE$1339),MATCH(ROWS(C$10:C542),COPIA!$DF$3:$DF$1339,0),COLUMN()-1),""),"MASTRO","")</f>
        <v/>
      </c>
      <c r="D542" s="136" t="str">
        <f ca="1">IF(IFERROR(INDEX((COPIA!$DA$3:$DE$1339),MATCH(ROWS(D$10:D542),COPIA!$DF$3:$DF$1339,0),COLUMN()-1),"")=0,"",IFERROR(INDEX((COPIA!$DA$3:$DE$1339),MATCH(ROWS(D$10:D542),COPIA!$DF$3:$DF$1339,0),COLUMN()-1),""))</f>
        <v/>
      </c>
      <c r="E542" s="9" t="str">
        <f ca="1">IF(IFERROR(INDEX((COPIA!$DA$3:$DE$1339),MATCH(ROWS(E$10:E542),COPIA!$DF$3:$DF$1339,0),COLUMN()-1),"")=0,"",IFERROR(INDEX((COPIA!$DA$3:$DE$1339),MATCH(ROWS(E$10:E542),COPIA!$DF$3:$DF$1339,0),COLUMN()-1),""))</f>
        <v/>
      </c>
      <c r="F542" s="6" t="str">
        <f ca="1">IF(IFERROR(INDEX((COPIA!$DA$3:$DE$1339),MATCH(ROWS(F$10:F542),COPIA!$DF$3:$DF$1339,0),COLUMN()-1),"")=0,"",IFERROR(INDEX((COPIA!$DA$3:$DE$1339),MATCH(ROWS(F$10:F542),COPIA!$DF$3:$DF$1339,0),COLUMN()-1),""))</f>
        <v/>
      </c>
    </row>
    <row r="543" spans="2:6" x14ac:dyDescent="0.3">
      <c r="B543" s="10" t="str">
        <f ca="1">IF(IFERROR(INDEX((COPIA!$DA$3:$DE$1339),MATCH(ROWS(B$10:B543),COPIA!$DF$3:$DF$1339,0),COLUMN()-1),"")&gt;=1,IFERROR(INDEX((COPIA!$DA$3:$DE$1339),MATCH(ROWS(B$10:B543),COPIA!$DF$3:$DF$1339,0),COLUMN()-1),""),"")</f>
        <v/>
      </c>
      <c r="C543" s="5" t="str">
        <f ca="1">SUBSTITUTE(IFERROR(INDEX((COPIA!$DA$3:$DE$1339),MATCH(ROWS(C$10:C543),COPIA!$DF$3:$DF$1339,0),COLUMN()-1),""),"MASTRO","")</f>
        <v/>
      </c>
      <c r="D543" s="136" t="str">
        <f ca="1">IF(IFERROR(INDEX((COPIA!$DA$3:$DE$1339),MATCH(ROWS(D$10:D543),COPIA!$DF$3:$DF$1339,0),COLUMN()-1),"")=0,"",IFERROR(INDEX((COPIA!$DA$3:$DE$1339),MATCH(ROWS(D$10:D543),COPIA!$DF$3:$DF$1339,0),COLUMN()-1),""))</f>
        <v/>
      </c>
      <c r="E543" s="9" t="str">
        <f ca="1">IF(IFERROR(INDEX((COPIA!$DA$3:$DE$1339),MATCH(ROWS(E$10:E543),COPIA!$DF$3:$DF$1339,0),COLUMN()-1),"")=0,"",IFERROR(INDEX((COPIA!$DA$3:$DE$1339),MATCH(ROWS(E$10:E543),COPIA!$DF$3:$DF$1339,0),COLUMN()-1),""))</f>
        <v/>
      </c>
      <c r="F543" s="6" t="str">
        <f ca="1">IF(IFERROR(INDEX((COPIA!$DA$3:$DE$1339),MATCH(ROWS(F$10:F543),COPIA!$DF$3:$DF$1339,0),COLUMN()-1),"")=0,"",IFERROR(INDEX((COPIA!$DA$3:$DE$1339),MATCH(ROWS(F$10:F543),COPIA!$DF$3:$DF$1339,0),COLUMN()-1),""))</f>
        <v/>
      </c>
    </row>
    <row r="544" spans="2:6" x14ac:dyDescent="0.3">
      <c r="B544" s="10" t="str">
        <f ca="1">IF(IFERROR(INDEX((COPIA!$DA$3:$DE$1339),MATCH(ROWS(B$10:B544),COPIA!$DF$3:$DF$1339,0),COLUMN()-1),"")&gt;=1,IFERROR(INDEX((COPIA!$DA$3:$DE$1339),MATCH(ROWS(B$10:B544),COPIA!$DF$3:$DF$1339,0),COLUMN()-1),""),"")</f>
        <v/>
      </c>
      <c r="C544" s="5" t="str">
        <f ca="1">SUBSTITUTE(IFERROR(INDEX((COPIA!$DA$3:$DE$1339),MATCH(ROWS(C$10:C544),COPIA!$DF$3:$DF$1339,0),COLUMN()-1),""),"MASTRO","")</f>
        <v/>
      </c>
      <c r="D544" s="136" t="str">
        <f ca="1">IF(IFERROR(INDEX((COPIA!$DA$3:$DE$1339),MATCH(ROWS(D$10:D544),COPIA!$DF$3:$DF$1339,0),COLUMN()-1),"")=0,"",IFERROR(INDEX((COPIA!$DA$3:$DE$1339),MATCH(ROWS(D$10:D544),COPIA!$DF$3:$DF$1339,0),COLUMN()-1),""))</f>
        <v/>
      </c>
      <c r="E544" s="9" t="str">
        <f ca="1">IF(IFERROR(INDEX((COPIA!$DA$3:$DE$1339),MATCH(ROWS(E$10:E544),COPIA!$DF$3:$DF$1339,0),COLUMN()-1),"")=0,"",IFERROR(INDEX((COPIA!$DA$3:$DE$1339),MATCH(ROWS(E$10:E544),COPIA!$DF$3:$DF$1339,0),COLUMN()-1),""))</f>
        <v/>
      </c>
      <c r="F544" s="6" t="str">
        <f ca="1">IF(IFERROR(INDEX((COPIA!$DA$3:$DE$1339),MATCH(ROWS(F$10:F544),COPIA!$DF$3:$DF$1339,0),COLUMN()-1),"")=0,"",IFERROR(INDEX((COPIA!$DA$3:$DE$1339),MATCH(ROWS(F$10:F544),COPIA!$DF$3:$DF$1339,0),COLUMN()-1),""))</f>
        <v/>
      </c>
    </row>
    <row r="545" spans="2:6" x14ac:dyDescent="0.3">
      <c r="B545" s="10" t="str">
        <f ca="1">IF(IFERROR(INDEX((COPIA!$DA$3:$DE$1339),MATCH(ROWS(B$10:B545),COPIA!$DF$3:$DF$1339,0),COLUMN()-1),"")&gt;=1,IFERROR(INDEX((COPIA!$DA$3:$DE$1339),MATCH(ROWS(B$10:B545),COPIA!$DF$3:$DF$1339,0),COLUMN()-1),""),"")</f>
        <v/>
      </c>
      <c r="C545" s="5" t="str">
        <f ca="1">SUBSTITUTE(IFERROR(INDEX((COPIA!$DA$3:$DE$1339),MATCH(ROWS(C$10:C545),COPIA!$DF$3:$DF$1339,0),COLUMN()-1),""),"MASTRO","")</f>
        <v/>
      </c>
      <c r="D545" s="136" t="str">
        <f ca="1">IF(IFERROR(INDEX((COPIA!$DA$3:$DE$1339),MATCH(ROWS(D$10:D545),COPIA!$DF$3:$DF$1339,0),COLUMN()-1),"")=0,"",IFERROR(INDEX((COPIA!$DA$3:$DE$1339),MATCH(ROWS(D$10:D545),COPIA!$DF$3:$DF$1339,0),COLUMN()-1),""))</f>
        <v/>
      </c>
      <c r="E545" s="9" t="str">
        <f ca="1">IF(IFERROR(INDEX((COPIA!$DA$3:$DE$1339),MATCH(ROWS(E$10:E545),COPIA!$DF$3:$DF$1339,0),COLUMN()-1),"")=0,"",IFERROR(INDEX((COPIA!$DA$3:$DE$1339),MATCH(ROWS(E$10:E545),COPIA!$DF$3:$DF$1339,0),COLUMN()-1),""))</f>
        <v/>
      </c>
      <c r="F545" s="6" t="str">
        <f ca="1">IF(IFERROR(INDEX((COPIA!$DA$3:$DE$1339),MATCH(ROWS(F$10:F545),COPIA!$DF$3:$DF$1339,0),COLUMN()-1),"")=0,"",IFERROR(INDEX((COPIA!$DA$3:$DE$1339),MATCH(ROWS(F$10:F545),COPIA!$DF$3:$DF$1339,0),COLUMN()-1),""))</f>
        <v/>
      </c>
    </row>
    <row r="546" spans="2:6" x14ac:dyDescent="0.3">
      <c r="B546" s="10" t="str">
        <f ca="1">IF(IFERROR(INDEX((COPIA!$DA$3:$DE$1339),MATCH(ROWS(B$10:B546),COPIA!$DF$3:$DF$1339,0),COLUMN()-1),"")&gt;=1,IFERROR(INDEX((COPIA!$DA$3:$DE$1339),MATCH(ROWS(B$10:B546),COPIA!$DF$3:$DF$1339,0),COLUMN()-1),""),"")</f>
        <v/>
      </c>
      <c r="C546" s="5" t="str">
        <f ca="1">SUBSTITUTE(IFERROR(INDEX((COPIA!$DA$3:$DE$1339),MATCH(ROWS(C$10:C546),COPIA!$DF$3:$DF$1339,0),COLUMN()-1),""),"MASTRO","")</f>
        <v/>
      </c>
      <c r="D546" s="136" t="str">
        <f ca="1">IF(IFERROR(INDEX((COPIA!$DA$3:$DE$1339),MATCH(ROWS(D$10:D546),COPIA!$DF$3:$DF$1339,0),COLUMN()-1),"")=0,"",IFERROR(INDEX((COPIA!$DA$3:$DE$1339),MATCH(ROWS(D$10:D546),COPIA!$DF$3:$DF$1339,0),COLUMN()-1),""))</f>
        <v/>
      </c>
      <c r="E546" s="9" t="str">
        <f ca="1">IF(IFERROR(INDEX((COPIA!$DA$3:$DE$1339),MATCH(ROWS(E$10:E546),COPIA!$DF$3:$DF$1339,0),COLUMN()-1),"")=0,"",IFERROR(INDEX((COPIA!$DA$3:$DE$1339),MATCH(ROWS(E$10:E546),COPIA!$DF$3:$DF$1339,0),COLUMN()-1),""))</f>
        <v/>
      </c>
      <c r="F546" s="6" t="str">
        <f ca="1">IF(IFERROR(INDEX((COPIA!$DA$3:$DE$1339),MATCH(ROWS(F$10:F546),COPIA!$DF$3:$DF$1339,0),COLUMN()-1),"")=0,"",IFERROR(INDEX((COPIA!$DA$3:$DE$1339),MATCH(ROWS(F$10:F546),COPIA!$DF$3:$DF$1339,0),COLUMN()-1),""))</f>
        <v/>
      </c>
    </row>
    <row r="547" spans="2:6" x14ac:dyDescent="0.3">
      <c r="B547" s="10" t="str">
        <f ca="1">IF(IFERROR(INDEX((COPIA!$DA$3:$DE$1339),MATCH(ROWS(B$10:B547),COPIA!$DF$3:$DF$1339,0),COLUMN()-1),"")&gt;=1,IFERROR(INDEX((COPIA!$DA$3:$DE$1339),MATCH(ROWS(B$10:B547),COPIA!$DF$3:$DF$1339,0),COLUMN()-1),""),"")</f>
        <v/>
      </c>
      <c r="C547" s="5" t="str">
        <f ca="1">SUBSTITUTE(IFERROR(INDEX((COPIA!$DA$3:$DE$1339),MATCH(ROWS(C$10:C547),COPIA!$DF$3:$DF$1339,0),COLUMN()-1),""),"MASTRO","")</f>
        <v/>
      </c>
      <c r="D547" s="136" t="str">
        <f ca="1">IF(IFERROR(INDEX((COPIA!$DA$3:$DE$1339),MATCH(ROWS(D$10:D547),COPIA!$DF$3:$DF$1339,0),COLUMN()-1),"")=0,"",IFERROR(INDEX((COPIA!$DA$3:$DE$1339),MATCH(ROWS(D$10:D547),COPIA!$DF$3:$DF$1339,0),COLUMN()-1),""))</f>
        <v/>
      </c>
      <c r="E547" s="9" t="str">
        <f ca="1">IF(IFERROR(INDEX((COPIA!$DA$3:$DE$1339),MATCH(ROWS(E$10:E547),COPIA!$DF$3:$DF$1339,0),COLUMN()-1),"")=0,"",IFERROR(INDEX((COPIA!$DA$3:$DE$1339),MATCH(ROWS(E$10:E547),COPIA!$DF$3:$DF$1339,0),COLUMN()-1),""))</f>
        <v/>
      </c>
      <c r="F547" s="6" t="str">
        <f ca="1">IF(IFERROR(INDEX((COPIA!$DA$3:$DE$1339),MATCH(ROWS(F$10:F547),COPIA!$DF$3:$DF$1339,0),COLUMN()-1),"")=0,"",IFERROR(INDEX((COPIA!$DA$3:$DE$1339),MATCH(ROWS(F$10:F547),COPIA!$DF$3:$DF$1339,0),COLUMN()-1),""))</f>
        <v/>
      </c>
    </row>
    <row r="548" spans="2:6" x14ac:dyDescent="0.3">
      <c r="B548" s="10" t="str">
        <f ca="1">IF(IFERROR(INDEX((COPIA!$DA$3:$DE$1339),MATCH(ROWS(B$10:B548),COPIA!$DF$3:$DF$1339,0),COLUMN()-1),"")&gt;=1,IFERROR(INDEX((COPIA!$DA$3:$DE$1339),MATCH(ROWS(B$10:B548),COPIA!$DF$3:$DF$1339,0),COLUMN()-1),""),"")</f>
        <v/>
      </c>
      <c r="C548" s="5" t="str">
        <f ca="1">SUBSTITUTE(IFERROR(INDEX((COPIA!$DA$3:$DE$1339),MATCH(ROWS(C$10:C548),COPIA!$DF$3:$DF$1339,0),COLUMN()-1),""),"MASTRO","")</f>
        <v/>
      </c>
      <c r="D548" s="136" t="str">
        <f ca="1">IF(IFERROR(INDEX((COPIA!$DA$3:$DE$1339),MATCH(ROWS(D$10:D548),COPIA!$DF$3:$DF$1339,0),COLUMN()-1),"")=0,"",IFERROR(INDEX((COPIA!$DA$3:$DE$1339),MATCH(ROWS(D$10:D548),COPIA!$DF$3:$DF$1339,0),COLUMN()-1),""))</f>
        <v/>
      </c>
      <c r="E548" s="9" t="str">
        <f ca="1">IF(IFERROR(INDEX((COPIA!$DA$3:$DE$1339),MATCH(ROWS(E$10:E548),COPIA!$DF$3:$DF$1339,0),COLUMN()-1),"")=0,"",IFERROR(INDEX((COPIA!$DA$3:$DE$1339),MATCH(ROWS(E$10:E548),COPIA!$DF$3:$DF$1339,0),COLUMN()-1),""))</f>
        <v/>
      </c>
      <c r="F548" s="6" t="str">
        <f ca="1">IF(IFERROR(INDEX((COPIA!$DA$3:$DE$1339),MATCH(ROWS(F$10:F548),COPIA!$DF$3:$DF$1339,0),COLUMN()-1),"")=0,"",IFERROR(INDEX((COPIA!$DA$3:$DE$1339),MATCH(ROWS(F$10:F548),COPIA!$DF$3:$DF$1339,0),COLUMN()-1),""))</f>
        <v/>
      </c>
    </row>
    <row r="549" spans="2:6" x14ac:dyDescent="0.3">
      <c r="B549" s="10" t="str">
        <f ca="1">IF(IFERROR(INDEX((COPIA!$DA$3:$DE$1339),MATCH(ROWS(B$10:B549),COPIA!$DF$3:$DF$1339,0),COLUMN()-1),"")&gt;=1,IFERROR(INDEX((COPIA!$DA$3:$DE$1339),MATCH(ROWS(B$10:B549),COPIA!$DF$3:$DF$1339,0),COLUMN()-1),""),"")</f>
        <v/>
      </c>
      <c r="C549" s="5" t="str">
        <f ca="1">SUBSTITUTE(IFERROR(INDEX((COPIA!$DA$3:$DE$1339),MATCH(ROWS(C$10:C549),COPIA!$DF$3:$DF$1339,0),COLUMN()-1),""),"MASTRO","")</f>
        <v/>
      </c>
      <c r="D549" s="136" t="str">
        <f ca="1">IF(IFERROR(INDEX((COPIA!$DA$3:$DE$1339),MATCH(ROWS(D$10:D549),COPIA!$DF$3:$DF$1339,0),COLUMN()-1),"")=0,"",IFERROR(INDEX((COPIA!$DA$3:$DE$1339),MATCH(ROWS(D$10:D549),COPIA!$DF$3:$DF$1339,0),COLUMN()-1),""))</f>
        <v/>
      </c>
      <c r="E549" s="9" t="str">
        <f ca="1">IF(IFERROR(INDEX((COPIA!$DA$3:$DE$1339),MATCH(ROWS(E$10:E549),COPIA!$DF$3:$DF$1339,0),COLUMN()-1),"")=0,"",IFERROR(INDEX((COPIA!$DA$3:$DE$1339),MATCH(ROWS(E$10:E549),COPIA!$DF$3:$DF$1339,0),COLUMN()-1),""))</f>
        <v/>
      </c>
      <c r="F549" s="6" t="str">
        <f ca="1">IF(IFERROR(INDEX((COPIA!$DA$3:$DE$1339),MATCH(ROWS(F$10:F549),COPIA!$DF$3:$DF$1339,0),COLUMN()-1),"")=0,"",IFERROR(INDEX((COPIA!$DA$3:$DE$1339),MATCH(ROWS(F$10:F549),COPIA!$DF$3:$DF$1339,0),COLUMN()-1),""))</f>
        <v/>
      </c>
    </row>
    <row r="550" spans="2:6" x14ac:dyDescent="0.3">
      <c r="B550" s="10" t="str">
        <f ca="1">IF(IFERROR(INDEX((COPIA!$DA$3:$DE$1339),MATCH(ROWS(B$10:B550),COPIA!$DF$3:$DF$1339,0),COLUMN()-1),"")&gt;=1,IFERROR(INDEX((COPIA!$DA$3:$DE$1339),MATCH(ROWS(B$10:B550),COPIA!$DF$3:$DF$1339,0),COLUMN()-1),""),"")</f>
        <v/>
      </c>
      <c r="C550" s="5" t="str">
        <f ca="1">SUBSTITUTE(IFERROR(INDEX((COPIA!$DA$3:$DE$1339),MATCH(ROWS(C$10:C550),COPIA!$DF$3:$DF$1339,0),COLUMN()-1),""),"MASTRO","")</f>
        <v/>
      </c>
      <c r="D550" s="136" t="str">
        <f ca="1">IF(IFERROR(INDEX((COPIA!$DA$3:$DE$1339),MATCH(ROWS(D$10:D550),COPIA!$DF$3:$DF$1339,0),COLUMN()-1),"")=0,"",IFERROR(INDEX((COPIA!$DA$3:$DE$1339),MATCH(ROWS(D$10:D550),COPIA!$DF$3:$DF$1339,0),COLUMN()-1),""))</f>
        <v/>
      </c>
      <c r="E550" s="9" t="str">
        <f ca="1">IF(IFERROR(INDEX((COPIA!$DA$3:$DE$1339),MATCH(ROWS(E$10:E550),COPIA!$DF$3:$DF$1339,0),COLUMN()-1),"")=0,"",IFERROR(INDEX((COPIA!$DA$3:$DE$1339),MATCH(ROWS(E$10:E550),COPIA!$DF$3:$DF$1339,0),COLUMN()-1),""))</f>
        <v/>
      </c>
      <c r="F550" s="6" t="str">
        <f ca="1">IF(IFERROR(INDEX((COPIA!$DA$3:$DE$1339),MATCH(ROWS(F$10:F550),COPIA!$DF$3:$DF$1339,0),COLUMN()-1),"")=0,"",IFERROR(INDEX((COPIA!$DA$3:$DE$1339),MATCH(ROWS(F$10:F550),COPIA!$DF$3:$DF$1339,0),COLUMN()-1),""))</f>
        <v/>
      </c>
    </row>
    <row r="551" spans="2:6" x14ac:dyDescent="0.3">
      <c r="B551" s="10" t="str">
        <f ca="1">IF(IFERROR(INDEX((COPIA!$DA$3:$DE$1339),MATCH(ROWS(B$10:B551),COPIA!$DF$3:$DF$1339,0),COLUMN()-1),"")&gt;=1,IFERROR(INDEX((COPIA!$DA$3:$DE$1339),MATCH(ROWS(B$10:B551),COPIA!$DF$3:$DF$1339,0),COLUMN()-1),""),"")</f>
        <v/>
      </c>
      <c r="C551" s="5" t="str">
        <f ca="1">SUBSTITUTE(IFERROR(INDEX((COPIA!$DA$3:$DE$1339),MATCH(ROWS(C$10:C551),COPIA!$DF$3:$DF$1339,0),COLUMN()-1),""),"MASTRO","")</f>
        <v/>
      </c>
      <c r="D551" s="136" t="str">
        <f ca="1">IF(IFERROR(INDEX((COPIA!$DA$3:$DE$1339),MATCH(ROWS(D$10:D551),COPIA!$DF$3:$DF$1339,0),COLUMN()-1),"")=0,"",IFERROR(INDEX((COPIA!$DA$3:$DE$1339),MATCH(ROWS(D$10:D551),COPIA!$DF$3:$DF$1339,0),COLUMN()-1),""))</f>
        <v/>
      </c>
      <c r="E551" s="9" t="str">
        <f ca="1">IF(IFERROR(INDEX((COPIA!$DA$3:$DE$1339),MATCH(ROWS(E$10:E551),COPIA!$DF$3:$DF$1339,0),COLUMN()-1),"")=0,"",IFERROR(INDEX((COPIA!$DA$3:$DE$1339),MATCH(ROWS(E$10:E551),COPIA!$DF$3:$DF$1339,0),COLUMN()-1),""))</f>
        <v/>
      </c>
      <c r="F551" s="6" t="str">
        <f ca="1">IF(IFERROR(INDEX((COPIA!$DA$3:$DE$1339),MATCH(ROWS(F$10:F551),COPIA!$DF$3:$DF$1339,0),COLUMN()-1),"")=0,"",IFERROR(INDEX((COPIA!$DA$3:$DE$1339),MATCH(ROWS(F$10:F551),COPIA!$DF$3:$DF$1339,0),COLUMN()-1),""))</f>
        <v/>
      </c>
    </row>
    <row r="552" spans="2:6" x14ac:dyDescent="0.3">
      <c r="B552" s="10" t="str">
        <f ca="1">IF(IFERROR(INDEX((COPIA!$DA$3:$DE$1339),MATCH(ROWS(B$10:B552),COPIA!$DF$3:$DF$1339,0),COLUMN()-1),"")&gt;=1,IFERROR(INDEX((COPIA!$DA$3:$DE$1339),MATCH(ROWS(B$10:B552),COPIA!$DF$3:$DF$1339,0),COLUMN()-1),""),"")</f>
        <v/>
      </c>
      <c r="C552" s="5" t="str">
        <f ca="1">SUBSTITUTE(IFERROR(INDEX((COPIA!$DA$3:$DE$1339),MATCH(ROWS(C$10:C552),COPIA!$DF$3:$DF$1339,0),COLUMN()-1),""),"MASTRO","")</f>
        <v/>
      </c>
      <c r="D552" s="136" t="str">
        <f ca="1">IF(IFERROR(INDEX((COPIA!$DA$3:$DE$1339),MATCH(ROWS(D$10:D552),COPIA!$DF$3:$DF$1339,0),COLUMN()-1),"")=0,"",IFERROR(INDEX((COPIA!$DA$3:$DE$1339),MATCH(ROWS(D$10:D552),COPIA!$DF$3:$DF$1339,0),COLUMN()-1),""))</f>
        <v/>
      </c>
      <c r="E552" s="9" t="str">
        <f ca="1">IF(IFERROR(INDEX((COPIA!$DA$3:$DE$1339),MATCH(ROWS(E$10:E552),COPIA!$DF$3:$DF$1339,0),COLUMN()-1),"")=0,"",IFERROR(INDEX((COPIA!$DA$3:$DE$1339),MATCH(ROWS(E$10:E552),COPIA!$DF$3:$DF$1339,0),COLUMN()-1),""))</f>
        <v/>
      </c>
      <c r="F552" s="6" t="str">
        <f ca="1">IF(IFERROR(INDEX((COPIA!$DA$3:$DE$1339),MATCH(ROWS(F$10:F552),COPIA!$DF$3:$DF$1339,0),COLUMN()-1),"")=0,"",IFERROR(INDEX((COPIA!$DA$3:$DE$1339),MATCH(ROWS(F$10:F552),COPIA!$DF$3:$DF$1339,0),COLUMN()-1),""))</f>
        <v/>
      </c>
    </row>
    <row r="553" spans="2:6" x14ac:dyDescent="0.3">
      <c r="B553" s="10" t="str">
        <f ca="1">IF(IFERROR(INDEX((COPIA!$DA$3:$DE$1339),MATCH(ROWS(B$10:B553),COPIA!$DF$3:$DF$1339,0),COLUMN()-1),"")&gt;=1,IFERROR(INDEX((COPIA!$DA$3:$DE$1339),MATCH(ROWS(B$10:B553),COPIA!$DF$3:$DF$1339,0),COLUMN()-1),""),"")</f>
        <v/>
      </c>
      <c r="C553" s="5" t="str">
        <f ca="1">SUBSTITUTE(IFERROR(INDEX((COPIA!$DA$3:$DE$1339),MATCH(ROWS(C$10:C553),COPIA!$DF$3:$DF$1339,0),COLUMN()-1),""),"MASTRO","")</f>
        <v/>
      </c>
      <c r="D553" s="136" t="str">
        <f ca="1">IF(IFERROR(INDEX((COPIA!$DA$3:$DE$1339),MATCH(ROWS(D$10:D553),COPIA!$DF$3:$DF$1339,0),COLUMN()-1),"")=0,"",IFERROR(INDEX((COPIA!$DA$3:$DE$1339),MATCH(ROWS(D$10:D553),COPIA!$DF$3:$DF$1339,0),COLUMN()-1),""))</f>
        <v/>
      </c>
      <c r="E553" s="9" t="str">
        <f ca="1">IF(IFERROR(INDEX((COPIA!$DA$3:$DE$1339),MATCH(ROWS(E$10:E553),COPIA!$DF$3:$DF$1339,0),COLUMN()-1),"")=0,"",IFERROR(INDEX((COPIA!$DA$3:$DE$1339),MATCH(ROWS(E$10:E553),COPIA!$DF$3:$DF$1339,0),COLUMN()-1),""))</f>
        <v/>
      </c>
      <c r="F553" s="6" t="str">
        <f ca="1">IF(IFERROR(INDEX((COPIA!$DA$3:$DE$1339),MATCH(ROWS(F$10:F553),COPIA!$DF$3:$DF$1339,0),COLUMN()-1),"")=0,"",IFERROR(INDEX((COPIA!$DA$3:$DE$1339),MATCH(ROWS(F$10:F553),COPIA!$DF$3:$DF$1339,0),COLUMN()-1),""))</f>
        <v/>
      </c>
    </row>
    <row r="554" spans="2:6" x14ac:dyDescent="0.3">
      <c r="B554" s="10" t="str">
        <f ca="1">IF(IFERROR(INDEX((COPIA!$DA$3:$DE$1339),MATCH(ROWS(B$10:B554),COPIA!$DF$3:$DF$1339,0),COLUMN()-1),"")&gt;=1,IFERROR(INDEX((COPIA!$DA$3:$DE$1339),MATCH(ROWS(B$10:B554),COPIA!$DF$3:$DF$1339,0),COLUMN()-1),""),"")</f>
        <v/>
      </c>
      <c r="C554" s="5" t="str">
        <f ca="1">SUBSTITUTE(IFERROR(INDEX((COPIA!$DA$3:$DE$1339),MATCH(ROWS(C$10:C554),COPIA!$DF$3:$DF$1339,0),COLUMN()-1),""),"MASTRO","")</f>
        <v/>
      </c>
      <c r="D554" s="136" t="str">
        <f ca="1">IF(IFERROR(INDEX((COPIA!$DA$3:$DE$1339),MATCH(ROWS(D$10:D554),COPIA!$DF$3:$DF$1339,0),COLUMN()-1),"")=0,"",IFERROR(INDEX((COPIA!$DA$3:$DE$1339),MATCH(ROWS(D$10:D554),COPIA!$DF$3:$DF$1339,0),COLUMN()-1),""))</f>
        <v/>
      </c>
      <c r="E554" s="9" t="str">
        <f ca="1">IF(IFERROR(INDEX((COPIA!$DA$3:$DE$1339),MATCH(ROWS(E$10:E554),COPIA!$DF$3:$DF$1339,0),COLUMN()-1),"")=0,"",IFERROR(INDEX((COPIA!$DA$3:$DE$1339),MATCH(ROWS(E$10:E554),COPIA!$DF$3:$DF$1339,0),COLUMN()-1),""))</f>
        <v/>
      </c>
      <c r="F554" s="6" t="str">
        <f ca="1">IF(IFERROR(INDEX((COPIA!$DA$3:$DE$1339),MATCH(ROWS(F$10:F554),COPIA!$DF$3:$DF$1339,0),COLUMN()-1),"")=0,"",IFERROR(INDEX((COPIA!$DA$3:$DE$1339),MATCH(ROWS(F$10:F554),COPIA!$DF$3:$DF$1339,0),COLUMN()-1),""))</f>
        <v/>
      </c>
    </row>
    <row r="555" spans="2:6" x14ac:dyDescent="0.3">
      <c r="B555" s="10" t="str">
        <f ca="1">IF(IFERROR(INDEX((COPIA!$DA$3:$DE$1339),MATCH(ROWS(B$10:B555),COPIA!$DF$3:$DF$1339,0),COLUMN()-1),"")&gt;=1,IFERROR(INDEX((COPIA!$DA$3:$DE$1339),MATCH(ROWS(B$10:B555),COPIA!$DF$3:$DF$1339,0),COLUMN()-1),""),"")</f>
        <v/>
      </c>
      <c r="C555" s="5" t="str">
        <f ca="1">SUBSTITUTE(IFERROR(INDEX((COPIA!$DA$3:$DE$1339),MATCH(ROWS(C$10:C555),COPIA!$DF$3:$DF$1339,0),COLUMN()-1),""),"MASTRO","")</f>
        <v/>
      </c>
      <c r="D555" s="136" t="str">
        <f ca="1">IF(IFERROR(INDEX((COPIA!$DA$3:$DE$1339),MATCH(ROWS(D$10:D555),COPIA!$DF$3:$DF$1339,0),COLUMN()-1),"")=0,"",IFERROR(INDEX((COPIA!$DA$3:$DE$1339),MATCH(ROWS(D$10:D555),COPIA!$DF$3:$DF$1339,0),COLUMN()-1),""))</f>
        <v/>
      </c>
      <c r="E555" s="9" t="str">
        <f ca="1">IF(IFERROR(INDEX((COPIA!$DA$3:$DE$1339),MATCH(ROWS(E$10:E555),COPIA!$DF$3:$DF$1339,0),COLUMN()-1),"")=0,"",IFERROR(INDEX((COPIA!$DA$3:$DE$1339),MATCH(ROWS(E$10:E555),COPIA!$DF$3:$DF$1339,0),COLUMN()-1),""))</f>
        <v/>
      </c>
      <c r="F555" s="6" t="str">
        <f ca="1">IF(IFERROR(INDEX((COPIA!$DA$3:$DE$1339),MATCH(ROWS(F$10:F555),COPIA!$DF$3:$DF$1339,0),COLUMN()-1),"")=0,"",IFERROR(INDEX((COPIA!$DA$3:$DE$1339),MATCH(ROWS(F$10:F555),COPIA!$DF$3:$DF$1339,0),COLUMN()-1),""))</f>
        <v/>
      </c>
    </row>
    <row r="556" spans="2:6" x14ac:dyDescent="0.3">
      <c r="B556" s="10" t="str">
        <f ca="1">IF(IFERROR(INDEX((COPIA!$DA$3:$DE$1339),MATCH(ROWS(B$10:B556),COPIA!$DF$3:$DF$1339,0),COLUMN()-1),"")&gt;=1,IFERROR(INDEX((COPIA!$DA$3:$DE$1339),MATCH(ROWS(B$10:B556),COPIA!$DF$3:$DF$1339,0),COLUMN()-1),""),"")</f>
        <v/>
      </c>
      <c r="C556" s="5" t="str">
        <f ca="1">SUBSTITUTE(IFERROR(INDEX((COPIA!$DA$3:$DE$1339),MATCH(ROWS(C$10:C556),COPIA!$DF$3:$DF$1339,0),COLUMN()-1),""),"MASTRO","")</f>
        <v/>
      </c>
      <c r="D556" s="136" t="str">
        <f ca="1">IF(IFERROR(INDEX((COPIA!$DA$3:$DE$1339),MATCH(ROWS(D$10:D556),COPIA!$DF$3:$DF$1339,0),COLUMN()-1),"")=0,"",IFERROR(INDEX((COPIA!$DA$3:$DE$1339),MATCH(ROWS(D$10:D556),COPIA!$DF$3:$DF$1339,0),COLUMN()-1),""))</f>
        <v/>
      </c>
      <c r="E556" s="9" t="str">
        <f ca="1">IF(IFERROR(INDEX((COPIA!$DA$3:$DE$1339),MATCH(ROWS(E$10:E556),COPIA!$DF$3:$DF$1339,0),COLUMN()-1),"")=0,"",IFERROR(INDEX((COPIA!$DA$3:$DE$1339),MATCH(ROWS(E$10:E556),COPIA!$DF$3:$DF$1339,0),COLUMN()-1),""))</f>
        <v/>
      </c>
      <c r="F556" s="6" t="str">
        <f ca="1">IF(IFERROR(INDEX((COPIA!$DA$3:$DE$1339),MATCH(ROWS(F$10:F556),COPIA!$DF$3:$DF$1339,0),COLUMN()-1),"")=0,"",IFERROR(INDEX((COPIA!$DA$3:$DE$1339),MATCH(ROWS(F$10:F556),COPIA!$DF$3:$DF$1339,0),COLUMN()-1),""))</f>
        <v/>
      </c>
    </row>
    <row r="557" spans="2:6" x14ac:dyDescent="0.3">
      <c r="B557" s="10" t="str">
        <f ca="1">IF(IFERROR(INDEX((COPIA!$DA$3:$DE$1339),MATCH(ROWS(B$10:B557),COPIA!$DF$3:$DF$1339,0),COLUMN()-1),"")&gt;=1,IFERROR(INDEX((COPIA!$DA$3:$DE$1339),MATCH(ROWS(B$10:B557),COPIA!$DF$3:$DF$1339,0),COLUMN()-1),""),"")</f>
        <v/>
      </c>
      <c r="C557" s="5" t="str">
        <f ca="1">SUBSTITUTE(IFERROR(INDEX((COPIA!$DA$3:$DE$1339),MATCH(ROWS(C$10:C557),COPIA!$DF$3:$DF$1339,0),COLUMN()-1),""),"MASTRO","")</f>
        <v/>
      </c>
      <c r="D557" s="136" t="str">
        <f ca="1">IF(IFERROR(INDEX((COPIA!$DA$3:$DE$1339),MATCH(ROWS(D$10:D557),COPIA!$DF$3:$DF$1339,0),COLUMN()-1),"")=0,"",IFERROR(INDEX((COPIA!$DA$3:$DE$1339),MATCH(ROWS(D$10:D557),COPIA!$DF$3:$DF$1339,0),COLUMN()-1),""))</f>
        <v/>
      </c>
      <c r="E557" s="9" t="str">
        <f ca="1">IF(IFERROR(INDEX((COPIA!$DA$3:$DE$1339),MATCH(ROWS(E$10:E557),COPIA!$DF$3:$DF$1339,0),COLUMN()-1),"")=0,"",IFERROR(INDEX((COPIA!$DA$3:$DE$1339),MATCH(ROWS(E$10:E557),COPIA!$DF$3:$DF$1339,0),COLUMN()-1),""))</f>
        <v/>
      </c>
      <c r="F557" s="6" t="str">
        <f ca="1">IF(IFERROR(INDEX((COPIA!$DA$3:$DE$1339),MATCH(ROWS(F$10:F557),COPIA!$DF$3:$DF$1339,0),COLUMN()-1),"")=0,"",IFERROR(INDEX((COPIA!$DA$3:$DE$1339),MATCH(ROWS(F$10:F557),COPIA!$DF$3:$DF$1339,0),COLUMN()-1),""))</f>
        <v/>
      </c>
    </row>
    <row r="558" spans="2:6" x14ac:dyDescent="0.3">
      <c r="B558" s="10" t="str">
        <f ca="1">IF(IFERROR(INDEX((COPIA!$DA$3:$DE$1339),MATCH(ROWS(B$10:B558),COPIA!$DF$3:$DF$1339,0),COLUMN()-1),"")&gt;=1,IFERROR(INDEX((COPIA!$DA$3:$DE$1339),MATCH(ROWS(B$10:B558),COPIA!$DF$3:$DF$1339,0),COLUMN()-1),""),"")</f>
        <v/>
      </c>
      <c r="C558" s="5" t="str">
        <f ca="1">SUBSTITUTE(IFERROR(INDEX((COPIA!$DA$3:$DE$1339),MATCH(ROWS(C$10:C558),COPIA!$DF$3:$DF$1339,0),COLUMN()-1),""),"MASTRO","")</f>
        <v/>
      </c>
      <c r="D558" s="136" t="str">
        <f ca="1">IF(IFERROR(INDEX((COPIA!$DA$3:$DE$1339),MATCH(ROWS(D$10:D558),COPIA!$DF$3:$DF$1339,0),COLUMN()-1),"")=0,"",IFERROR(INDEX((COPIA!$DA$3:$DE$1339),MATCH(ROWS(D$10:D558),COPIA!$DF$3:$DF$1339,0),COLUMN()-1),""))</f>
        <v/>
      </c>
      <c r="E558" s="9" t="str">
        <f ca="1">IF(IFERROR(INDEX((COPIA!$DA$3:$DE$1339),MATCH(ROWS(E$10:E558),COPIA!$DF$3:$DF$1339,0),COLUMN()-1),"")=0,"",IFERROR(INDEX((COPIA!$DA$3:$DE$1339),MATCH(ROWS(E$10:E558),COPIA!$DF$3:$DF$1339,0),COLUMN()-1),""))</f>
        <v/>
      </c>
      <c r="F558" s="6" t="str">
        <f ca="1">IF(IFERROR(INDEX((COPIA!$DA$3:$DE$1339),MATCH(ROWS(F$10:F558),COPIA!$DF$3:$DF$1339,0),COLUMN()-1),"")=0,"",IFERROR(INDEX((COPIA!$DA$3:$DE$1339),MATCH(ROWS(F$10:F558),COPIA!$DF$3:$DF$1339,0),COLUMN()-1),""))</f>
        <v/>
      </c>
    </row>
    <row r="559" spans="2:6" x14ac:dyDescent="0.3">
      <c r="B559" s="10" t="str">
        <f ca="1">IF(IFERROR(INDEX((COPIA!$DA$3:$DE$1339),MATCH(ROWS(B$10:B559),COPIA!$DF$3:$DF$1339,0),COLUMN()-1),"")&gt;=1,IFERROR(INDEX((COPIA!$DA$3:$DE$1339),MATCH(ROWS(B$10:B559),COPIA!$DF$3:$DF$1339,0),COLUMN()-1),""),"")</f>
        <v/>
      </c>
      <c r="C559" s="5" t="str">
        <f ca="1">SUBSTITUTE(IFERROR(INDEX((COPIA!$DA$3:$DE$1339),MATCH(ROWS(C$10:C559),COPIA!$DF$3:$DF$1339,0),COLUMN()-1),""),"MASTRO","")</f>
        <v/>
      </c>
      <c r="D559" s="136" t="str">
        <f ca="1">IF(IFERROR(INDEX((COPIA!$DA$3:$DE$1339),MATCH(ROWS(D$10:D559),COPIA!$DF$3:$DF$1339,0),COLUMN()-1),"")=0,"",IFERROR(INDEX((COPIA!$DA$3:$DE$1339),MATCH(ROWS(D$10:D559),COPIA!$DF$3:$DF$1339,0),COLUMN()-1),""))</f>
        <v/>
      </c>
      <c r="E559" s="9" t="str">
        <f ca="1">IF(IFERROR(INDEX((COPIA!$DA$3:$DE$1339),MATCH(ROWS(E$10:E559),COPIA!$DF$3:$DF$1339,0),COLUMN()-1),"")=0,"",IFERROR(INDEX((COPIA!$DA$3:$DE$1339),MATCH(ROWS(E$10:E559),COPIA!$DF$3:$DF$1339,0),COLUMN()-1),""))</f>
        <v/>
      </c>
      <c r="F559" s="6" t="str">
        <f ca="1">IF(IFERROR(INDEX((COPIA!$DA$3:$DE$1339),MATCH(ROWS(F$10:F559),COPIA!$DF$3:$DF$1339,0),COLUMN()-1),"")=0,"",IFERROR(INDEX((COPIA!$DA$3:$DE$1339),MATCH(ROWS(F$10:F559),COPIA!$DF$3:$DF$1339,0),COLUMN()-1),""))</f>
        <v/>
      </c>
    </row>
    <row r="560" spans="2:6" x14ac:dyDescent="0.3">
      <c r="B560" s="10" t="str">
        <f ca="1">IF(IFERROR(INDEX((COPIA!$DA$3:$DE$1339),MATCH(ROWS(B$10:B560),COPIA!$DF$3:$DF$1339,0),COLUMN()-1),"")&gt;=1,IFERROR(INDEX((COPIA!$DA$3:$DE$1339),MATCH(ROWS(B$10:B560),COPIA!$DF$3:$DF$1339,0),COLUMN()-1),""),"")</f>
        <v/>
      </c>
      <c r="C560" s="5" t="str">
        <f ca="1">SUBSTITUTE(IFERROR(INDEX((COPIA!$DA$3:$DE$1339),MATCH(ROWS(C$10:C560),COPIA!$DF$3:$DF$1339,0),COLUMN()-1),""),"MASTRO","")</f>
        <v/>
      </c>
      <c r="D560" s="136" t="str">
        <f ca="1">IF(IFERROR(INDEX((COPIA!$DA$3:$DE$1339),MATCH(ROWS(D$10:D560),COPIA!$DF$3:$DF$1339,0),COLUMN()-1),"")=0,"",IFERROR(INDEX((COPIA!$DA$3:$DE$1339),MATCH(ROWS(D$10:D560),COPIA!$DF$3:$DF$1339,0),COLUMN()-1),""))</f>
        <v/>
      </c>
      <c r="E560" s="9" t="str">
        <f ca="1">IF(IFERROR(INDEX((COPIA!$DA$3:$DE$1339),MATCH(ROWS(E$10:E560),COPIA!$DF$3:$DF$1339,0),COLUMN()-1),"")=0,"",IFERROR(INDEX((COPIA!$DA$3:$DE$1339),MATCH(ROWS(E$10:E560),COPIA!$DF$3:$DF$1339,0),COLUMN()-1),""))</f>
        <v/>
      </c>
      <c r="F560" s="6" t="str">
        <f ca="1">IF(IFERROR(INDEX((COPIA!$DA$3:$DE$1339),MATCH(ROWS(F$10:F560),COPIA!$DF$3:$DF$1339,0),COLUMN()-1),"")=0,"",IFERROR(INDEX((COPIA!$DA$3:$DE$1339),MATCH(ROWS(F$10:F560),COPIA!$DF$3:$DF$1339,0),COLUMN()-1),""))</f>
        <v/>
      </c>
    </row>
    <row r="561" spans="2:6" x14ac:dyDescent="0.3">
      <c r="B561" s="10" t="str">
        <f ca="1">IF(IFERROR(INDEX((COPIA!$DA$3:$DE$1339),MATCH(ROWS(B$10:B561),COPIA!$DF$3:$DF$1339,0),COLUMN()-1),"")&gt;=1,IFERROR(INDEX((COPIA!$DA$3:$DE$1339),MATCH(ROWS(B$10:B561),COPIA!$DF$3:$DF$1339,0),COLUMN()-1),""),"")</f>
        <v/>
      </c>
      <c r="C561" s="5" t="str">
        <f ca="1">SUBSTITUTE(IFERROR(INDEX((COPIA!$DA$3:$DE$1339),MATCH(ROWS(C$10:C561),COPIA!$DF$3:$DF$1339,0),COLUMN()-1),""),"MASTRO","")</f>
        <v/>
      </c>
      <c r="D561" s="136" t="str">
        <f ca="1">IF(IFERROR(INDEX((COPIA!$DA$3:$DE$1339),MATCH(ROWS(D$10:D561),COPIA!$DF$3:$DF$1339,0),COLUMN()-1),"")=0,"",IFERROR(INDEX((COPIA!$DA$3:$DE$1339),MATCH(ROWS(D$10:D561),COPIA!$DF$3:$DF$1339,0),COLUMN()-1),""))</f>
        <v/>
      </c>
      <c r="E561" s="9" t="str">
        <f ca="1">IF(IFERROR(INDEX((COPIA!$DA$3:$DE$1339),MATCH(ROWS(E$10:E561),COPIA!$DF$3:$DF$1339,0),COLUMN()-1),"")=0,"",IFERROR(INDEX((COPIA!$DA$3:$DE$1339),MATCH(ROWS(E$10:E561),COPIA!$DF$3:$DF$1339,0),COLUMN()-1),""))</f>
        <v/>
      </c>
      <c r="F561" s="6" t="str">
        <f ca="1">IF(IFERROR(INDEX((COPIA!$DA$3:$DE$1339),MATCH(ROWS(F$10:F561),COPIA!$DF$3:$DF$1339,0),COLUMN()-1),"")=0,"",IFERROR(INDEX((COPIA!$DA$3:$DE$1339),MATCH(ROWS(F$10:F561),COPIA!$DF$3:$DF$1339,0),COLUMN()-1),""))</f>
        <v/>
      </c>
    </row>
    <row r="562" spans="2:6" x14ac:dyDescent="0.3">
      <c r="B562" s="10" t="str">
        <f ca="1">IF(IFERROR(INDEX((COPIA!$DA$3:$DE$1339),MATCH(ROWS(B$10:B562),COPIA!$DF$3:$DF$1339,0),COLUMN()-1),"")&gt;=1,IFERROR(INDEX((COPIA!$DA$3:$DE$1339),MATCH(ROWS(B$10:B562),COPIA!$DF$3:$DF$1339,0),COLUMN()-1),""),"")</f>
        <v/>
      </c>
      <c r="C562" s="5" t="str">
        <f ca="1">SUBSTITUTE(IFERROR(INDEX((COPIA!$DA$3:$DE$1339),MATCH(ROWS(C$10:C562),COPIA!$DF$3:$DF$1339,0),COLUMN()-1),""),"MASTRO","")</f>
        <v/>
      </c>
      <c r="D562" s="136" t="str">
        <f ca="1">IF(IFERROR(INDEX((COPIA!$DA$3:$DE$1339),MATCH(ROWS(D$10:D562),COPIA!$DF$3:$DF$1339,0),COLUMN()-1),"")=0,"",IFERROR(INDEX((COPIA!$DA$3:$DE$1339),MATCH(ROWS(D$10:D562),COPIA!$DF$3:$DF$1339,0),COLUMN()-1),""))</f>
        <v/>
      </c>
      <c r="E562" s="9" t="str">
        <f ca="1">IF(IFERROR(INDEX((COPIA!$DA$3:$DE$1339),MATCH(ROWS(E$10:E562),COPIA!$DF$3:$DF$1339,0),COLUMN()-1),"")=0,"",IFERROR(INDEX((COPIA!$DA$3:$DE$1339),MATCH(ROWS(E$10:E562),COPIA!$DF$3:$DF$1339,0),COLUMN()-1),""))</f>
        <v/>
      </c>
      <c r="F562" s="6" t="str">
        <f ca="1">IF(IFERROR(INDEX((COPIA!$DA$3:$DE$1339),MATCH(ROWS(F$10:F562),COPIA!$DF$3:$DF$1339,0),COLUMN()-1),"")=0,"",IFERROR(INDEX((COPIA!$DA$3:$DE$1339),MATCH(ROWS(F$10:F562),COPIA!$DF$3:$DF$1339,0),COLUMN()-1),""))</f>
        <v/>
      </c>
    </row>
    <row r="563" spans="2:6" x14ac:dyDescent="0.3">
      <c r="B563" s="10" t="str">
        <f ca="1">IF(IFERROR(INDEX((COPIA!$DA$3:$DE$1339),MATCH(ROWS(B$10:B563),COPIA!$DF$3:$DF$1339,0),COLUMN()-1),"")&gt;=1,IFERROR(INDEX((COPIA!$DA$3:$DE$1339),MATCH(ROWS(B$10:B563),COPIA!$DF$3:$DF$1339,0),COLUMN()-1),""),"")</f>
        <v/>
      </c>
      <c r="C563" s="5" t="str">
        <f ca="1">SUBSTITUTE(IFERROR(INDEX((COPIA!$DA$3:$DE$1339),MATCH(ROWS(C$10:C563),COPIA!$DF$3:$DF$1339,0),COLUMN()-1),""),"MASTRO","")</f>
        <v/>
      </c>
      <c r="D563" s="136" t="str">
        <f ca="1">IF(IFERROR(INDEX((COPIA!$DA$3:$DE$1339),MATCH(ROWS(D$10:D563),COPIA!$DF$3:$DF$1339,0),COLUMN()-1),"")=0,"",IFERROR(INDEX((COPIA!$DA$3:$DE$1339),MATCH(ROWS(D$10:D563),COPIA!$DF$3:$DF$1339,0),COLUMN()-1),""))</f>
        <v/>
      </c>
      <c r="E563" s="9" t="str">
        <f ca="1">IF(IFERROR(INDEX((COPIA!$DA$3:$DE$1339),MATCH(ROWS(E$10:E563),COPIA!$DF$3:$DF$1339,0),COLUMN()-1),"")=0,"",IFERROR(INDEX((COPIA!$DA$3:$DE$1339),MATCH(ROWS(E$10:E563),COPIA!$DF$3:$DF$1339,0),COLUMN()-1),""))</f>
        <v/>
      </c>
      <c r="F563" s="6" t="str">
        <f ca="1">IF(IFERROR(INDEX((COPIA!$DA$3:$DE$1339),MATCH(ROWS(F$10:F563),COPIA!$DF$3:$DF$1339,0),COLUMN()-1),"")=0,"",IFERROR(INDEX((COPIA!$DA$3:$DE$1339),MATCH(ROWS(F$10:F563),COPIA!$DF$3:$DF$1339,0),COLUMN()-1),""))</f>
        <v/>
      </c>
    </row>
    <row r="564" spans="2:6" x14ac:dyDescent="0.3">
      <c r="B564" s="10" t="str">
        <f ca="1">IF(IFERROR(INDEX((COPIA!$DA$3:$DE$1339),MATCH(ROWS(B$10:B564),COPIA!$DF$3:$DF$1339,0),COLUMN()-1),"")&gt;=1,IFERROR(INDEX((COPIA!$DA$3:$DE$1339),MATCH(ROWS(B$10:B564),COPIA!$DF$3:$DF$1339,0),COLUMN()-1),""),"")</f>
        <v/>
      </c>
      <c r="C564" s="5" t="str">
        <f ca="1">SUBSTITUTE(IFERROR(INDEX((COPIA!$DA$3:$DE$1339),MATCH(ROWS(C$10:C564),COPIA!$DF$3:$DF$1339,0),COLUMN()-1),""),"MASTRO","")</f>
        <v/>
      </c>
      <c r="D564" s="136" t="str">
        <f ca="1">IF(IFERROR(INDEX((COPIA!$DA$3:$DE$1339),MATCH(ROWS(D$10:D564),COPIA!$DF$3:$DF$1339,0),COLUMN()-1),"")=0,"",IFERROR(INDEX((COPIA!$DA$3:$DE$1339),MATCH(ROWS(D$10:D564),COPIA!$DF$3:$DF$1339,0),COLUMN()-1),""))</f>
        <v/>
      </c>
      <c r="E564" s="9" t="str">
        <f ca="1">IF(IFERROR(INDEX((COPIA!$DA$3:$DE$1339),MATCH(ROWS(E$10:E564),COPIA!$DF$3:$DF$1339,0),COLUMN()-1),"")=0,"",IFERROR(INDEX((COPIA!$DA$3:$DE$1339),MATCH(ROWS(E$10:E564),COPIA!$DF$3:$DF$1339,0),COLUMN()-1),""))</f>
        <v/>
      </c>
      <c r="F564" s="6" t="str">
        <f ca="1">IF(IFERROR(INDEX((COPIA!$DA$3:$DE$1339),MATCH(ROWS(F$10:F564),COPIA!$DF$3:$DF$1339,0),COLUMN()-1),"")=0,"",IFERROR(INDEX((COPIA!$DA$3:$DE$1339),MATCH(ROWS(F$10:F564),COPIA!$DF$3:$DF$1339,0),COLUMN()-1),""))</f>
        <v/>
      </c>
    </row>
    <row r="565" spans="2:6" x14ac:dyDescent="0.3">
      <c r="B565" s="10" t="str">
        <f ca="1">IF(IFERROR(INDEX((COPIA!$DA$3:$DE$1339),MATCH(ROWS(B$10:B565),COPIA!$DF$3:$DF$1339,0),COLUMN()-1),"")&gt;=1,IFERROR(INDEX((COPIA!$DA$3:$DE$1339),MATCH(ROWS(B$10:B565),COPIA!$DF$3:$DF$1339,0),COLUMN()-1),""),"")</f>
        <v/>
      </c>
      <c r="C565" s="5" t="str">
        <f ca="1">SUBSTITUTE(IFERROR(INDEX((COPIA!$DA$3:$DE$1339),MATCH(ROWS(C$10:C565),COPIA!$DF$3:$DF$1339,0),COLUMN()-1),""),"MASTRO","")</f>
        <v/>
      </c>
      <c r="D565" s="136" t="str">
        <f ca="1">IF(IFERROR(INDEX((COPIA!$DA$3:$DE$1339),MATCH(ROWS(D$10:D565),COPIA!$DF$3:$DF$1339,0),COLUMN()-1),"")=0,"",IFERROR(INDEX((COPIA!$DA$3:$DE$1339),MATCH(ROWS(D$10:D565),COPIA!$DF$3:$DF$1339,0),COLUMN()-1),""))</f>
        <v/>
      </c>
      <c r="E565" s="9" t="str">
        <f ca="1">IF(IFERROR(INDEX((COPIA!$DA$3:$DE$1339),MATCH(ROWS(E$10:E565),COPIA!$DF$3:$DF$1339,0),COLUMN()-1),"")=0,"",IFERROR(INDEX((COPIA!$DA$3:$DE$1339),MATCH(ROWS(E$10:E565),COPIA!$DF$3:$DF$1339,0),COLUMN()-1),""))</f>
        <v/>
      </c>
      <c r="F565" s="6" t="str">
        <f ca="1">IF(IFERROR(INDEX((COPIA!$DA$3:$DE$1339),MATCH(ROWS(F$10:F565),COPIA!$DF$3:$DF$1339,0),COLUMN()-1),"")=0,"",IFERROR(INDEX((COPIA!$DA$3:$DE$1339),MATCH(ROWS(F$10:F565),COPIA!$DF$3:$DF$1339,0),COLUMN()-1),""))</f>
        <v/>
      </c>
    </row>
    <row r="566" spans="2:6" x14ac:dyDescent="0.3">
      <c r="B566" s="10" t="str">
        <f ca="1">IF(IFERROR(INDEX((COPIA!$DA$3:$DE$1339),MATCH(ROWS(B$10:B566),COPIA!$DF$3:$DF$1339,0),COLUMN()-1),"")&gt;=1,IFERROR(INDEX((COPIA!$DA$3:$DE$1339),MATCH(ROWS(B$10:B566),COPIA!$DF$3:$DF$1339,0),COLUMN()-1),""),"")</f>
        <v/>
      </c>
      <c r="C566" s="5" t="str">
        <f ca="1">SUBSTITUTE(IFERROR(INDEX((COPIA!$DA$3:$DE$1339),MATCH(ROWS(C$10:C566),COPIA!$DF$3:$DF$1339,0),COLUMN()-1),""),"MASTRO","")</f>
        <v/>
      </c>
      <c r="D566" s="136" t="str">
        <f ca="1">IF(IFERROR(INDEX((COPIA!$DA$3:$DE$1339),MATCH(ROWS(D$10:D566),COPIA!$DF$3:$DF$1339,0),COLUMN()-1),"")=0,"",IFERROR(INDEX((COPIA!$DA$3:$DE$1339),MATCH(ROWS(D$10:D566),COPIA!$DF$3:$DF$1339,0),COLUMN()-1),""))</f>
        <v/>
      </c>
      <c r="E566" s="9" t="str">
        <f ca="1">IF(IFERROR(INDEX((COPIA!$DA$3:$DE$1339),MATCH(ROWS(E$10:E566),COPIA!$DF$3:$DF$1339,0),COLUMN()-1),"")=0,"",IFERROR(INDEX((COPIA!$DA$3:$DE$1339),MATCH(ROWS(E$10:E566),COPIA!$DF$3:$DF$1339,0),COLUMN()-1),""))</f>
        <v/>
      </c>
      <c r="F566" s="6" t="str">
        <f ca="1">IF(IFERROR(INDEX((COPIA!$DA$3:$DE$1339),MATCH(ROWS(F$10:F566),COPIA!$DF$3:$DF$1339,0),COLUMN()-1),"")=0,"",IFERROR(INDEX((COPIA!$DA$3:$DE$1339),MATCH(ROWS(F$10:F566),COPIA!$DF$3:$DF$1339,0),COLUMN()-1),""))</f>
        <v/>
      </c>
    </row>
    <row r="567" spans="2:6" x14ac:dyDescent="0.3">
      <c r="B567" s="10" t="str">
        <f ca="1">IF(IFERROR(INDEX((COPIA!$DA$3:$DE$1339),MATCH(ROWS(B$10:B567),COPIA!$DF$3:$DF$1339,0),COLUMN()-1),"")&gt;=1,IFERROR(INDEX((COPIA!$DA$3:$DE$1339),MATCH(ROWS(B$10:B567),COPIA!$DF$3:$DF$1339,0),COLUMN()-1),""),"")</f>
        <v/>
      </c>
      <c r="C567" s="5" t="str">
        <f ca="1">SUBSTITUTE(IFERROR(INDEX((COPIA!$DA$3:$DE$1339),MATCH(ROWS(C$10:C567),COPIA!$DF$3:$DF$1339,0),COLUMN()-1),""),"MASTRO","")</f>
        <v/>
      </c>
      <c r="D567" s="136" t="str">
        <f ca="1">IF(IFERROR(INDEX((COPIA!$DA$3:$DE$1339),MATCH(ROWS(D$10:D567),COPIA!$DF$3:$DF$1339,0),COLUMN()-1),"")=0,"",IFERROR(INDEX((COPIA!$DA$3:$DE$1339),MATCH(ROWS(D$10:D567),COPIA!$DF$3:$DF$1339,0),COLUMN()-1),""))</f>
        <v/>
      </c>
      <c r="E567" s="9" t="str">
        <f ca="1">IF(IFERROR(INDEX((COPIA!$DA$3:$DE$1339),MATCH(ROWS(E$10:E567),COPIA!$DF$3:$DF$1339,0),COLUMN()-1),"")=0,"",IFERROR(INDEX((COPIA!$DA$3:$DE$1339),MATCH(ROWS(E$10:E567),COPIA!$DF$3:$DF$1339,0),COLUMN()-1),""))</f>
        <v/>
      </c>
      <c r="F567" s="6" t="str">
        <f ca="1">IF(IFERROR(INDEX((COPIA!$DA$3:$DE$1339),MATCH(ROWS(F$10:F567),COPIA!$DF$3:$DF$1339,0),COLUMN()-1),"")=0,"",IFERROR(INDEX((COPIA!$DA$3:$DE$1339),MATCH(ROWS(F$10:F567),COPIA!$DF$3:$DF$1339,0),COLUMN()-1),""))</f>
        <v/>
      </c>
    </row>
    <row r="568" spans="2:6" x14ac:dyDescent="0.3">
      <c r="B568" s="10" t="str">
        <f ca="1">IF(IFERROR(INDEX((COPIA!$DA$3:$DE$1339),MATCH(ROWS(B$10:B568),COPIA!$DF$3:$DF$1339,0),COLUMN()-1),"")&gt;=1,IFERROR(INDEX((COPIA!$DA$3:$DE$1339),MATCH(ROWS(B$10:B568),COPIA!$DF$3:$DF$1339,0),COLUMN()-1),""),"")</f>
        <v/>
      </c>
      <c r="C568" s="5" t="str">
        <f ca="1">SUBSTITUTE(IFERROR(INDEX((COPIA!$DA$3:$DE$1339),MATCH(ROWS(C$10:C568),COPIA!$DF$3:$DF$1339,0),COLUMN()-1),""),"MASTRO","")</f>
        <v/>
      </c>
      <c r="D568" s="136" t="str">
        <f ca="1">IF(IFERROR(INDEX((COPIA!$DA$3:$DE$1339),MATCH(ROWS(D$10:D568),COPIA!$DF$3:$DF$1339,0),COLUMN()-1),"")=0,"",IFERROR(INDEX((COPIA!$DA$3:$DE$1339),MATCH(ROWS(D$10:D568),COPIA!$DF$3:$DF$1339,0),COLUMN()-1),""))</f>
        <v/>
      </c>
      <c r="E568" s="9" t="str">
        <f ca="1">IF(IFERROR(INDEX((COPIA!$DA$3:$DE$1339),MATCH(ROWS(E$10:E568),COPIA!$DF$3:$DF$1339,0),COLUMN()-1),"")=0,"",IFERROR(INDEX((COPIA!$DA$3:$DE$1339),MATCH(ROWS(E$10:E568),COPIA!$DF$3:$DF$1339,0),COLUMN()-1),""))</f>
        <v/>
      </c>
      <c r="F568" s="6" t="str">
        <f ca="1">IF(IFERROR(INDEX((COPIA!$DA$3:$DE$1339),MATCH(ROWS(F$10:F568),COPIA!$DF$3:$DF$1339,0),COLUMN()-1),"")=0,"",IFERROR(INDEX((COPIA!$DA$3:$DE$1339),MATCH(ROWS(F$10:F568),COPIA!$DF$3:$DF$1339,0),COLUMN()-1),""))</f>
        <v/>
      </c>
    </row>
    <row r="569" spans="2:6" x14ac:dyDescent="0.3">
      <c r="B569" s="10" t="str">
        <f ca="1">IF(IFERROR(INDEX((COPIA!$DA$3:$DE$1339),MATCH(ROWS(B$10:B569),COPIA!$DF$3:$DF$1339,0),COLUMN()-1),"")&gt;=1,IFERROR(INDEX((COPIA!$DA$3:$DE$1339),MATCH(ROWS(B$10:B569),COPIA!$DF$3:$DF$1339,0),COLUMN()-1),""),"")</f>
        <v/>
      </c>
      <c r="C569" s="5" t="str">
        <f ca="1">SUBSTITUTE(IFERROR(INDEX((COPIA!$DA$3:$DE$1339),MATCH(ROWS(C$10:C569),COPIA!$DF$3:$DF$1339,0),COLUMN()-1),""),"MASTRO","")</f>
        <v/>
      </c>
      <c r="D569" s="136" t="str">
        <f ca="1">IF(IFERROR(INDEX((COPIA!$DA$3:$DE$1339),MATCH(ROWS(D$10:D569),COPIA!$DF$3:$DF$1339,0),COLUMN()-1),"")=0,"",IFERROR(INDEX((COPIA!$DA$3:$DE$1339),MATCH(ROWS(D$10:D569),COPIA!$DF$3:$DF$1339,0),COLUMN()-1),""))</f>
        <v/>
      </c>
      <c r="E569" s="9" t="str">
        <f ca="1">IF(IFERROR(INDEX((COPIA!$DA$3:$DE$1339),MATCH(ROWS(E$10:E569),COPIA!$DF$3:$DF$1339,0),COLUMN()-1),"")=0,"",IFERROR(INDEX((COPIA!$DA$3:$DE$1339),MATCH(ROWS(E$10:E569),COPIA!$DF$3:$DF$1339,0),COLUMN()-1),""))</f>
        <v/>
      </c>
      <c r="F569" s="6" t="str">
        <f ca="1">IF(IFERROR(INDEX((COPIA!$DA$3:$DE$1339),MATCH(ROWS(F$10:F569),COPIA!$DF$3:$DF$1339,0),COLUMN()-1),"")=0,"",IFERROR(INDEX((COPIA!$DA$3:$DE$1339),MATCH(ROWS(F$10:F569),COPIA!$DF$3:$DF$1339,0),COLUMN()-1),""))</f>
        <v/>
      </c>
    </row>
    <row r="570" spans="2:6" x14ac:dyDescent="0.3">
      <c r="B570" s="10" t="str">
        <f ca="1">IF(IFERROR(INDEX((COPIA!$DA$3:$DE$1339),MATCH(ROWS(B$10:B570),COPIA!$DF$3:$DF$1339,0),COLUMN()-1),"")&gt;=1,IFERROR(INDEX((COPIA!$DA$3:$DE$1339),MATCH(ROWS(B$10:B570),COPIA!$DF$3:$DF$1339,0),COLUMN()-1),""),"")</f>
        <v/>
      </c>
      <c r="C570" s="5" t="str">
        <f ca="1">SUBSTITUTE(IFERROR(INDEX((COPIA!$DA$3:$DE$1339),MATCH(ROWS(C$10:C570),COPIA!$DF$3:$DF$1339,0),COLUMN()-1),""),"MASTRO","")</f>
        <v/>
      </c>
      <c r="D570" s="136" t="str">
        <f ca="1">IF(IFERROR(INDEX((COPIA!$DA$3:$DE$1339),MATCH(ROWS(D$10:D570),COPIA!$DF$3:$DF$1339,0),COLUMN()-1),"")=0,"",IFERROR(INDEX((COPIA!$DA$3:$DE$1339),MATCH(ROWS(D$10:D570),COPIA!$DF$3:$DF$1339,0),COLUMN()-1),""))</f>
        <v/>
      </c>
      <c r="E570" s="9" t="str">
        <f ca="1">IF(IFERROR(INDEX((COPIA!$DA$3:$DE$1339),MATCH(ROWS(E$10:E570),COPIA!$DF$3:$DF$1339,0),COLUMN()-1),"")=0,"",IFERROR(INDEX((COPIA!$DA$3:$DE$1339),MATCH(ROWS(E$10:E570),COPIA!$DF$3:$DF$1339,0),COLUMN()-1),""))</f>
        <v/>
      </c>
      <c r="F570" s="6" t="str">
        <f ca="1">IF(IFERROR(INDEX((COPIA!$DA$3:$DE$1339),MATCH(ROWS(F$10:F570),COPIA!$DF$3:$DF$1339,0),COLUMN()-1),"")=0,"",IFERROR(INDEX((COPIA!$DA$3:$DE$1339),MATCH(ROWS(F$10:F570),COPIA!$DF$3:$DF$1339,0),COLUMN()-1),""))</f>
        <v/>
      </c>
    </row>
    <row r="571" spans="2:6" x14ac:dyDescent="0.3">
      <c r="B571" s="10" t="str">
        <f ca="1">IF(IFERROR(INDEX((COPIA!$DA$3:$DE$1339),MATCH(ROWS(B$10:B571),COPIA!$DF$3:$DF$1339,0),COLUMN()-1),"")&gt;=1,IFERROR(INDEX((COPIA!$DA$3:$DE$1339),MATCH(ROWS(B$10:B571),COPIA!$DF$3:$DF$1339,0),COLUMN()-1),""),"")</f>
        <v/>
      </c>
      <c r="C571" s="5" t="str">
        <f ca="1">SUBSTITUTE(IFERROR(INDEX((COPIA!$DA$3:$DE$1339),MATCH(ROWS(C$10:C571),COPIA!$DF$3:$DF$1339,0),COLUMN()-1),""),"MASTRO","")</f>
        <v/>
      </c>
      <c r="D571" s="136" t="str">
        <f ca="1">IF(IFERROR(INDEX((COPIA!$DA$3:$DE$1339),MATCH(ROWS(D$10:D571),COPIA!$DF$3:$DF$1339,0),COLUMN()-1),"")=0,"",IFERROR(INDEX((COPIA!$DA$3:$DE$1339),MATCH(ROWS(D$10:D571),COPIA!$DF$3:$DF$1339,0),COLUMN()-1),""))</f>
        <v/>
      </c>
      <c r="E571" s="9" t="str">
        <f ca="1">IF(IFERROR(INDEX((COPIA!$DA$3:$DE$1339),MATCH(ROWS(E$10:E571),COPIA!$DF$3:$DF$1339,0),COLUMN()-1),"")=0,"",IFERROR(INDEX((COPIA!$DA$3:$DE$1339),MATCH(ROWS(E$10:E571),COPIA!$DF$3:$DF$1339,0),COLUMN()-1),""))</f>
        <v/>
      </c>
      <c r="F571" s="6" t="str">
        <f ca="1">IF(IFERROR(INDEX((COPIA!$DA$3:$DE$1339),MATCH(ROWS(F$10:F571),COPIA!$DF$3:$DF$1339,0),COLUMN()-1),"")=0,"",IFERROR(INDEX((COPIA!$DA$3:$DE$1339),MATCH(ROWS(F$10:F571),COPIA!$DF$3:$DF$1339,0),COLUMN()-1),""))</f>
        <v/>
      </c>
    </row>
    <row r="572" spans="2:6" x14ac:dyDescent="0.3">
      <c r="B572" s="10" t="str">
        <f ca="1">IF(IFERROR(INDEX((COPIA!$DA$3:$DE$1339),MATCH(ROWS(B$10:B572),COPIA!$DF$3:$DF$1339,0),COLUMN()-1),"")&gt;=1,IFERROR(INDEX((COPIA!$DA$3:$DE$1339),MATCH(ROWS(B$10:B572),COPIA!$DF$3:$DF$1339,0),COLUMN()-1),""),"")</f>
        <v/>
      </c>
      <c r="C572" s="5" t="str">
        <f ca="1">SUBSTITUTE(IFERROR(INDEX((COPIA!$DA$3:$DE$1339),MATCH(ROWS(C$10:C572),COPIA!$DF$3:$DF$1339,0),COLUMN()-1),""),"MASTRO","")</f>
        <v/>
      </c>
      <c r="D572" s="136" t="str">
        <f ca="1">IF(IFERROR(INDEX((COPIA!$DA$3:$DE$1339),MATCH(ROWS(D$10:D572),COPIA!$DF$3:$DF$1339,0),COLUMN()-1),"")=0,"",IFERROR(INDEX((COPIA!$DA$3:$DE$1339),MATCH(ROWS(D$10:D572),COPIA!$DF$3:$DF$1339,0),COLUMN()-1),""))</f>
        <v/>
      </c>
      <c r="E572" s="9" t="str">
        <f ca="1">IF(IFERROR(INDEX((COPIA!$DA$3:$DE$1339),MATCH(ROWS(E$10:E572),COPIA!$DF$3:$DF$1339,0),COLUMN()-1),"")=0,"",IFERROR(INDEX((COPIA!$DA$3:$DE$1339),MATCH(ROWS(E$10:E572),COPIA!$DF$3:$DF$1339,0),COLUMN()-1),""))</f>
        <v/>
      </c>
      <c r="F572" s="6" t="str">
        <f ca="1">IF(IFERROR(INDEX((COPIA!$DA$3:$DE$1339),MATCH(ROWS(F$10:F572),COPIA!$DF$3:$DF$1339,0),COLUMN()-1),"")=0,"",IFERROR(INDEX((COPIA!$DA$3:$DE$1339),MATCH(ROWS(F$10:F572),COPIA!$DF$3:$DF$1339,0),COLUMN()-1),""))</f>
        <v/>
      </c>
    </row>
    <row r="573" spans="2:6" x14ac:dyDescent="0.3">
      <c r="B573" s="10" t="str">
        <f ca="1">IF(IFERROR(INDEX((COPIA!$DA$3:$DE$1339),MATCH(ROWS(B$10:B573),COPIA!$DF$3:$DF$1339,0),COLUMN()-1),"")&gt;=1,IFERROR(INDEX((COPIA!$DA$3:$DE$1339),MATCH(ROWS(B$10:B573),COPIA!$DF$3:$DF$1339,0),COLUMN()-1),""),"")</f>
        <v/>
      </c>
      <c r="C573" s="5" t="str">
        <f ca="1">SUBSTITUTE(IFERROR(INDEX((COPIA!$DA$3:$DE$1339),MATCH(ROWS(C$10:C573),COPIA!$DF$3:$DF$1339,0),COLUMN()-1),""),"MASTRO","")</f>
        <v/>
      </c>
      <c r="D573" s="136" t="str">
        <f ca="1">IF(IFERROR(INDEX((COPIA!$DA$3:$DE$1339),MATCH(ROWS(D$10:D573),COPIA!$DF$3:$DF$1339,0),COLUMN()-1),"")=0,"",IFERROR(INDEX((COPIA!$DA$3:$DE$1339),MATCH(ROWS(D$10:D573),COPIA!$DF$3:$DF$1339,0),COLUMN()-1),""))</f>
        <v/>
      </c>
      <c r="E573" s="9" t="str">
        <f ca="1">IF(IFERROR(INDEX((COPIA!$DA$3:$DE$1339),MATCH(ROWS(E$10:E573),COPIA!$DF$3:$DF$1339,0),COLUMN()-1),"")=0,"",IFERROR(INDEX((COPIA!$DA$3:$DE$1339),MATCH(ROWS(E$10:E573),COPIA!$DF$3:$DF$1339,0),COLUMN()-1),""))</f>
        <v/>
      </c>
      <c r="F573" s="6" t="str">
        <f ca="1">IF(IFERROR(INDEX((COPIA!$DA$3:$DE$1339),MATCH(ROWS(F$10:F573),COPIA!$DF$3:$DF$1339,0),COLUMN()-1),"")=0,"",IFERROR(INDEX((COPIA!$DA$3:$DE$1339),MATCH(ROWS(F$10:F573),COPIA!$DF$3:$DF$1339,0),COLUMN()-1),""))</f>
        <v/>
      </c>
    </row>
    <row r="574" spans="2:6" x14ac:dyDescent="0.3">
      <c r="B574" s="10" t="str">
        <f ca="1">IF(IFERROR(INDEX((COPIA!$DA$3:$DE$1339),MATCH(ROWS(B$10:B574),COPIA!$DF$3:$DF$1339,0),COLUMN()-1),"")&gt;=1,IFERROR(INDEX((COPIA!$DA$3:$DE$1339),MATCH(ROWS(B$10:B574),COPIA!$DF$3:$DF$1339,0),COLUMN()-1),""),"")</f>
        <v/>
      </c>
      <c r="C574" s="5" t="str">
        <f ca="1">SUBSTITUTE(IFERROR(INDEX((COPIA!$DA$3:$DE$1339),MATCH(ROWS(C$10:C574),COPIA!$DF$3:$DF$1339,0),COLUMN()-1),""),"MASTRO","")</f>
        <v/>
      </c>
      <c r="D574" s="136" t="str">
        <f ca="1">IF(IFERROR(INDEX((COPIA!$DA$3:$DE$1339),MATCH(ROWS(D$10:D574),COPIA!$DF$3:$DF$1339,0),COLUMN()-1),"")=0,"",IFERROR(INDEX((COPIA!$DA$3:$DE$1339),MATCH(ROWS(D$10:D574),COPIA!$DF$3:$DF$1339,0),COLUMN()-1),""))</f>
        <v/>
      </c>
      <c r="E574" s="9" t="str">
        <f ca="1">IF(IFERROR(INDEX((COPIA!$DA$3:$DE$1339),MATCH(ROWS(E$10:E574),COPIA!$DF$3:$DF$1339,0),COLUMN()-1),"")=0,"",IFERROR(INDEX((COPIA!$DA$3:$DE$1339),MATCH(ROWS(E$10:E574),COPIA!$DF$3:$DF$1339,0),COLUMN()-1),""))</f>
        <v/>
      </c>
      <c r="F574" s="6" t="str">
        <f ca="1">IF(IFERROR(INDEX((COPIA!$DA$3:$DE$1339),MATCH(ROWS(F$10:F574),COPIA!$DF$3:$DF$1339,0),COLUMN()-1),"")=0,"",IFERROR(INDEX((COPIA!$DA$3:$DE$1339),MATCH(ROWS(F$10:F574),COPIA!$DF$3:$DF$1339,0),COLUMN()-1),""))</f>
        <v/>
      </c>
    </row>
    <row r="575" spans="2:6" x14ac:dyDescent="0.3">
      <c r="B575" s="10" t="str">
        <f ca="1">IF(IFERROR(INDEX((COPIA!$DA$3:$DE$1339),MATCH(ROWS(B$10:B575),COPIA!$DF$3:$DF$1339,0),COLUMN()-1),"")&gt;=1,IFERROR(INDEX((COPIA!$DA$3:$DE$1339),MATCH(ROWS(B$10:B575),COPIA!$DF$3:$DF$1339,0),COLUMN()-1),""),"")</f>
        <v/>
      </c>
      <c r="C575" s="5" t="str">
        <f ca="1">SUBSTITUTE(IFERROR(INDEX((COPIA!$DA$3:$DE$1339),MATCH(ROWS(C$10:C575),COPIA!$DF$3:$DF$1339,0),COLUMN()-1),""),"MASTRO","")</f>
        <v/>
      </c>
      <c r="D575" s="136" t="str">
        <f ca="1">IF(IFERROR(INDEX((COPIA!$DA$3:$DE$1339),MATCH(ROWS(D$10:D575),COPIA!$DF$3:$DF$1339,0),COLUMN()-1),"")=0,"",IFERROR(INDEX((COPIA!$DA$3:$DE$1339),MATCH(ROWS(D$10:D575),COPIA!$DF$3:$DF$1339,0),COLUMN()-1),""))</f>
        <v/>
      </c>
      <c r="E575" s="9" t="str">
        <f ca="1">IF(IFERROR(INDEX((COPIA!$DA$3:$DE$1339),MATCH(ROWS(E$10:E575),COPIA!$DF$3:$DF$1339,0),COLUMN()-1),"")=0,"",IFERROR(INDEX((COPIA!$DA$3:$DE$1339),MATCH(ROWS(E$10:E575),COPIA!$DF$3:$DF$1339,0),COLUMN()-1),""))</f>
        <v/>
      </c>
      <c r="F575" s="6" t="str">
        <f ca="1">IF(IFERROR(INDEX((COPIA!$DA$3:$DE$1339),MATCH(ROWS(F$10:F575),COPIA!$DF$3:$DF$1339,0),COLUMN()-1),"")=0,"",IFERROR(INDEX((COPIA!$DA$3:$DE$1339),MATCH(ROWS(F$10:F575),COPIA!$DF$3:$DF$1339,0),COLUMN()-1),""))</f>
        <v/>
      </c>
    </row>
    <row r="576" spans="2:6" x14ac:dyDescent="0.3">
      <c r="B576" s="10" t="str">
        <f ca="1">IF(IFERROR(INDEX((COPIA!$DA$3:$DE$1339),MATCH(ROWS(B$10:B576),COPIA!$DF$3:$DF$1339,0),COLUMN()-1),"")&gt;=1,IFERROR(INDEX((COPIA!$DA$3:$DE$1339),MATCH(ROWS(B$10:B576),COPIA!$DF$3:$DF$1339,0),COLUMN()-1),""),"")</f>
        <v/>
      </c>
      <c r="C576" s="5" t="str">
        <f ca="1">SUBSTITUTE(IFERROR(INDEX((COPIA!$DA$3:$DE$1339),MATCH(ROWS(C$10:C576),COPIA!$DF$3:$DF$1339,0),COLUMN()-1),""),"MASTRO","")</f>
        <v/>
      </c>
      <c r="D576" s="136" t="str">
        <f ca="1">IF(IFERROR(INDEX((COPIA!$DA$3:$DE$1339),MATCH(ROWS(D$10:D576),COPIA!$DF$3:$DF$1339,0),COLUMN()-1),"")=0,"",IFERROR(INDEX((COPIA!$DA$3:$DE$1339),MATCH(ROWS(D$10:D576),COPIA!$DF$3:$DF$1339,0),COLUMN()-1),""))</f>
        <v/>
      </c>
      <c r="E576" s="9" t="str">
        <f ca="1">IF(IFERROR(INDEX((COPIA!$DA$3:$DE$1339),MATCH(ROWS(E$10:E576),COPIA!$DF$3:$DF$1339,0),COLUMN()-1),"")=0,"",IFERROR(INDEX((COPIA!$DA$3:$DE$1339),MATCH(ROWS(E$10:E576),COPIA!$DF$3:$DF$1339,0),COLUMN()-1),""))</f>
        <v/>
      </c>
      <c r="F576" s="6" t="str">
        <f ca="1">IF(IFERROR(INDEX((COPIA!$DA$3:$DE$1339),MATCH(ROWS(F$10:F576),COPIA!$DF$3:$DF$1339,0),COLUMN()-1),"")=0,"",IFERROR(INDEX((COPIA!$DA$3:$DE$1339),MATCH(ROWS(F$10:F576),COPIA!$DF$3:$DF$1339,0),COLUMN()-1),""))</f>
        <v/>
      </c>
    </row>
    <row r="577" spans="2:6" x14ac:dyDescent="0.3">
      <c r="B577" s="10" t="str">
        <f ca="1">IF(IFERROR(INDEX((COPIA!$DA$3:$DE$1339),MATCH(ROWS(B$10:B577),COPIA!$DF$3:$DF$1339,0),COLUMN()-1),"")&gt;=1,IFERROR(INDEX((COPIA!$DA$3:$DE$1339),MATCH(ROWS(B$10:B577),COPIA!$DF$3:$DF$1339,0),COLUMN()-1),""),"")</f>
        <v/>
      </c>
      <c r="C577" s="5" t="str">
        <f ca="1">SUBSTITUTE(IFERROR(INDEX((COPIA!$DA$3:$DE$1339),MATCH(ROWS(C$10:C577),COPIA!$DF$3:$DF$1339,0),COLUMN()-1),""),"MASTRO","")</f>
        <v/>
      </c>
      <c r="D577" s="136" t="str">
        <f ca="1">IF(IFERROR(INDEX((COPIA!$DA$3:$DE$1339),MATCH(ROWS(D$10:D577),COPIA!$DF$3:$DF$1339,0),COLUMN()-1),"")=0,"",IFERROR(INDEX((COPIA!$DA$3:$DE$1339),MATCH(ROWS(D$10:D577),COPIA!$DF$3:$DF$1339,0),COLUMN()-1),""))</f>
        <v/>
      </c>
      <c r="E577" s="9" t="str">
        <f ca="1">IF(IFERROR(INDEX((COPIA!$DA$3:$DE$1339),MATCH(ROWS(E$10:E577),COPIA!$DF$3:$DF$1339,0),COLUMN()-1),"")=0,"",IFERROR(INDEX((COPIA!$DA$3:$DE$1339),MATCH(ROWS(E$10:E577),COPIA!$DF$3:$DF$1339,0),COLUMN()-1),""))</f>
        <v/>
      </c>
      <c r="F577" s="6" t="str">
        <f ca="1">IF(IFERROR(INDEX((COPIA!$DA$3:$DE$1339),MATCH(ROWS(F$10:F577),COPIA!$DF$3:$DF$1339,0),COLUMN()-1),"")=0,"",IFERROR(INDEX((COPIA!$DA$3:$DE$1339),MATCH(ROWS(F$10:F577),COPIA!$DF$3:$DF$1339,0),COLUMN()-1),""))</f>
        <v/>
      </c>
    </row>
    <row r="578" spans="2:6" x14ac:dyDescent="0.3">
      <c r="B578" s="10" t="str">
        <f ca="1">IF(IFERROR(INDEX((COPIA!$DA$3:$DE$1339),MATCH(ROWS(B$10:B578),COPIA!$DF$3:$DF$1339,0),COLUMN()-1),"")&gt;=1,IFERROR(INDEX((COPIA!$DA$3:$DE$1339),MATCH(ROWS(B$10:B578),COPIA!$DF$3:$DF$1339,0),COLUMN()-1),""),"")</f>
        <v/>
      </c>
      <c r="C578" s="5" t="str">
        <f ca="1">SUBSTITUTE(IFERROR(INDEX((COPIA!$DA$3:$DE$1339),MATCH(ROWS(C$10:C578),COPIA!$DF$3:$DF$1339,0),COLUMN()-1),""),"MASTRO","")</f>
        <v/>
      </c>
      <c r="D578" s="136" t="str">
        <f ca="1">IF(IFERROR(INDEX((COPIA!$DA$3:$DE$1339),MATCH(ROWS(D$10:D578),COPIA!$DF$3:$DF$1339,0),COLUMN()-1),"")=0,"",IFERROR(INDEX((COPIA!$DA$3:$DE$1339),MATCH(ROWS(D$10:D578),COPIA!$DF$3:$DF$1339,0),COLUMN()-1),""))</f>
        <v/>
      </c>
      <c r="E578" s="9" t="str">
        <f ca="1">IF(IFERROR(INDEX((COPIA!$DA$3:$DE$1339),MATCH(ROWS(E$10:E578),COPIA!$DF$3:$DF$1339,0),COLUMN()-1),"")=0,"",IFERROR(INDEX((COPIA!$DA$3:$DE$1339),MATCH(ROWS(E$10:E578),COPIA!$DF$3:$DF$1339,0),COLUMN()-1),""))</f>
        <v/>
      </c>
      <c r="F578" s="6" t="str">
        <f ca="1">IF(IFERROR(INDEX((COPIA!$DA$3:$DE$1339),MATCH(ROWS(F$10:F578),COPIA!$DF$3:$DF$1339,0),COLUMN()-1),"")=0,"",IFERROR(INDEX((COPIA!$DA$3:$DE$1339),MATCH(ROWS(F$10:F578),COPIA!$DF$3:$DF$1339,0),COLUMN()-1),""))</f>
        <v/>
      </c>
    </row>
    <row r="579" spans="2:6" x14ac:dyDescent="0.3">
      <c r="B579" s="10" t="str">
        <f ca="1">IF(IFERROR(INDEX((COPIA!$DA$3:$DE$1339),MATCH(ROWS(B$10:B579),COPIA!$DF$3:$DF$1339,0),COLUMN()-1),"")&gt;=1,IFERROR(INDEX((COPIA!$DA$3:$DE$1339),MATCH(ROWS(B$10:B579),COPIA!$DF$3:$DF$1339,0),COLUMN()-1),""),"")</f>
        <v/>
      </c>
      <c r="C579" s="5" t="str">
        <f ca="1">SUBSTITUTE(IFERROR(INDEX((COPIA!$DA$3:$DE$1339),MATCH(ROWS(C$10:C579),COPIA!$DF$3:$DF$1339,0),COLUMN()-1),""),"MASTRO","")</f>
        <v/>
      </c>
      <c r="D579" s="136" t="str">
        <f ca="1">IF(IFERROR(INDEX((COPIA!$DA$3:$DE$1339),MATCH(ROWS(D$10:D579),COPIA!$DF$3:$DF$1339,0),COLUMN()-1),"")=0,"",IFERROR(INDEX((COPIA!$DA$3:$DE$1339),MATCH(ROWS(D$10:D579),COPIA!$DF$3:$DF$1339,0),COLUMN()-1),""))</f>
        <v/>
      </c>
      <c r="E579" s="9" t="str">
        <f ca="1">IF(IFERROR(INDEX((COPIA!$DA$3:$DE$1339),MATCH(ROWS(E$10:E579),COPIA!$DF$3:$DF$1339,0),COLUMN()-1),"")=0,"",IFERROR(INDEX((COPIA!$DA$3:$DE$1339),MATCH(ROWS(E$10:E579),COPIA!$DF$3:$DF$1339,0),COLUMN()-1),""))</f>
        <v/>
      </c>
      <c r="F579" s="6" t="str">
        <f ca="1">IF(IFERROR(INDEX((COPIA!$DA$3:$DE$1339),MATCH(ROWS(F$10:F579),COPIA!$DF$3:$DF$1339,0),COLUMN()-1),"")=0,"",IFERROR(INDEX((COPIA!$DA$3:$DE$1339),MATCH(ROWS(F$10:F579),COPIA!$DF$3:$DF$1339,0),COLUMN()-1),""))</f>
        <v/>
      </c>
    </row>
    <row r="580" spans="2:6" x14ac:dyDescent="0.3">
      <c r="B580" s="10" t="str">
        <f ca="1">IF(IFERROR(INDEX((COPIA!$DA$3:$DE$1339),MATCH(ROWS(B$10:B580),COPIA!$DF$3:$DF$1339,0),COLUMN()-1),"")&gt;=1,IFERROR(INDEX((COPIA!$DA$3:$DE$1339),MATCH(ROWS(B$10:B580),COPIA!$DF$3:$DF$1339,0),COLUMN()-1),""),"")</f>
        <v/>
      </c>
      <c r="C580" s="5" t="str">
        <f ca="1">SUBSTITUTE(IFERROR(INDEX((COPIA!$DA$3:$DE$1339),MATCH(ROWS(C$10:C580),COPIA!$DF$3:$DF$1339,0),COLUMN()-1),""),"MASTRO","")</f>
        <v/>
      </c>
      <c r="D580" s="136" t="str">
        <f ca="1">IF(IFERROR(INDEX((COPIA!$DA$3:$DE$1339),MATCH(ROWS(D$10:D580),COPIA!$DF$3:$DF$1339,0),COLUMN()-1),"")=0,"",IFERROR(INDEX((COPIA!$DA$3:$DE$1339),MATCH(ROWS(D$10:D580),COPIA!$DF$3:$DF$1339,0),COLUMN()-1),""))</f>
        <v/>
      </c>
      <c r="E580" s="9" t="str">
        <f ca="1">IF(IFERROR(INDEX((COPIA!$DA$3:$DE$1339),MATCH(ROWS(E$10:E580),COPIA!$DF$3:$DF$1339,0),COLUMN()-1),"")=0,"",IFERROR(INDEX((COPIA!$DA$3:$DE$1339),MATCH(ROWS(E$10:E580),COPIA!$DF$3:$DF$1339,0),COLUMN()-1),""))</f>
        <v/>
      </c>
      <c r="F580" s="6" t="str">
        <f ca="1">IF(IFERROR(INDEX((COPIA!$DA$3:$DE$1339),MATCH(ROWS(F$10:F580),COPIA!$DF$3:$DF$1339,0),COLUMN()-1),"")=0,"",IFERROR(INDEX((COPIA!$DA$3:$DE$1339),MATCH(ROWS(F$10:F580),COPIA!$DF$3:$DF$1339,0),COLUMN()-1),""))</f>
        <v/>
      </c>
    </row>
    <row r="581" spans="2:6" x14ac:dyDescent="0.3">
      <c r="B581" s="10" t="str">
        <f ca="1">IF(IFERROR(INDEX((COPIA!$DA$3:$DE$1339),MATCH(ROWS(B$10:B581),COPIA!$DF$3:$DF$1339,0),COLUMN()-1),"")&gt;=1,IFERROR(INDEX((COPIA!$DA$3:$DE$1339),MATCH(ROWS(B$10:B581),COPIA!$DF$3:$DF$1339,0),COLUMN()-1),""),"")</f>
        <v/>
      </c>
      <c r="C581" s="5" t="str">
        <f ca="1">SUBSTITUTE(IFERROR(INDEX((COPIA!$DA$3:$DE$1339),MATCH(ROWS(C$10:C581),COPIA!$DF$3:$DF$1339,0),COLUMN()-1),""),"MASTRO","")</f>
        <v/>
      </c>
      <c r="D581" s="136" t="str">
        <f ca="1">IF(IFERROR(INDEX((COPIA!$DA$3:$DE$1339),MATCH(ROWS(D$10:D581),COPIA!$DF$3:$DF$1339,0),COLUMN()-1),"")=0,"",IFERROR(INDEX((COPIA!$DA$3:$DE$1339),MATCH(ROWS(D$10:D581),COPIA!$DF$3:$DF$1339,0),COLUMN()-1),""))</f>
        <v/>
      </c>
      <c r="E581" s="9" t="str">
        <f ca="1">IF(IFERROR(INDEX((COPIA!$DA$3:$DE$1339),MATCH(ROWS(E$10:E581),COPIA!$DF$3:$DF$1339,0),COLUMN()-1),"")=0,"",IFERROR(INDEX((COPIA!$DA$3:$DE$1339),MATCH(ROWS(E$10:E581),COPIA!$DF$3:$DF$1339,0),COLUMN()-1),""))</f>
        <v/>
      </c>
      <c r="F581" s="6" t="str">
        <f ca="1">IF(IFERROR(INDEX((COPIA!$DA$3:$DE$1339),MATCH(ROWS(F$10:F581),COPIA!$DF$3:$DF$1339,0),COLUMN()-1),"")=0,"",IFERROR(INDEX((COPIA!$DA$3:$DE$1339),MATCH(ROWS(F$10:F581),COPIA!$DF$3:$DF$1339,0),COLUMN()-1),""))</f>
        <v/>
      </c>
    </row>
    <row r="582" spans="2:6" x14ac:dyDescent="0.3">
      <c r="B582" s="10" t="str">
        <f ca="1">IF(IFERROR(INDEX((COPIA!$DA$3:$DE$1339),MATCH(ROWS(B$10:B582),COPIA!$DF$3:$DF$1339,0),COLUMN()-1),"")&gt;=1,IFERROR(INDEX((COPIA!$DA$3:$DE$1339),MATCH(ROWS(B$10:B582),COPIA!$DF$3:$DF$1339,0),COLUMN()-1),""),"")</f>
        <v/>
      </c>
      <c r="C582" s="5" t="str">
        <f ca="1">SUBSTITUTE(IFERROR(INDEX((COPIA!$DA$3:$DE$1339),MATCH(ROWS(C$10:C582),COPIA!$DF$3:$DF$1339,0),COLUMN()-1),""),"MASTRO","")</f>
        <v/>
      </c>
      <c r="D582" s="136" t="str">
        <f ca="1">IF(IFERROR(INDEX((COPIA!$DA$3:$DE$1339),MATCH(ROWS(D$10:D582),COPIA!$DF$3:$DF$1339,0),COLUMN()-1),"")=0,"",IFERROR(INDEX((COPIA!$DA$3:$DE$1339),MATCH(ROWS(D$10:D582),COPIA!$DF$3:$DF$1339,0),COLUMN()-1),""))</f>
        <v/>
      </c>
      <c r="E582" s="9" t="str">
        <f ca="1">IF(IFERROR(INDEX((COPIA!$DA$3:$DE$1339),MATCH(ROWS(E$10:E582),COPIA!$DF$3:$DF$1339,0),COLUMN()-1),"")=0,"",IFERROR(INDEX((COPIA!$DA$3:$DE$1339),MATCH(ROWS(E$10:E582),COPIA!$DF$3:$DF$1339,0),COLUMN()-1),""))</f>
        <v/>
      </c>
      <c r="F582" s="6" t="str">
        <f ca="1">IF(IFERROR(INDEX((COPIA!$DA$3:$DE$1339),MATCH(ROWS(F$10:F582),COPIA!$DF$3:$DF$1339,0),COLUMN()-1),"")=0,"",IFERROR(INDEX((COPIA!$DA$3:$DE$1339),MATCH(ROWS(F$10:F582),COPIA!$DF$3:$DF$1339,0),COLUMN()-1),""))</f>
        <v/>
      </c>
    </row>
    <row r="583" spans="2:6" x14ac:dyDescent="0.3">
      <c r="B583" s="10" t="str">
        <f ca="1">IF(IFERROR(INDEX((COPIA!$DA$3:$DE$1339),MATCH(ROWS(B$10:B583),COPIA!$DF$3:$DF$1339,0),COLUMN()-1),"")&gt;=1,IFERROR(INDEX((COPIA!$DA$3:$DE$1339),MATCH(ROWS(B$10:B583),COPIA!$DF$3:$DF$1339,0),COLUMN()-1),""),"")</f>
        <v/>
      </c>
      <c r="C583" s="5" t="str">
        <f ca="1">SUBSTITUTE(IFERROR(INDEX((COPIA!$DA$3:$DE$1339),MATCH(ROWS(C$10:C583),COPIA!$DF$3:$DF$1339,0),COLUMN()-1),""),"MASTRO","")</f>
        <v/>
      </c>
      <c r="D583" s="136" t="str">
        <f ca="1">IF(IFERROR(INDEX((COPIA!$DA$3:$DE$1339),MATCH(ROWS(D$10:D583),COPIA!$DF$3:$DF$1339,0),COLUMN()-1),"")=0,"",IFERROR(INDEX((COPIA!$DA$3:$DE$1339),MATCH(ROWS(D$10:D583),COPIA!$DF$3:$DF$1339,0),COLUMN()-1),""))</f>
        <v/>
      </c>
      <c r="E583" s="9" t="str">
        <f ca="1">IF(IFERROR(INDEX((COPIA!$DA$3:$DE$1339),MATCH(ROWS(E$10:E583),COPIA!$DF$3:$DF$1339,0),COLUMN()-1),"")=0,"",IFERROR(INDEX((COPIA!$DA$3:$DE$1339),MATCH(ROWS(E$10:E583),COPIA!$DF$3:$DF$1339,0),COLUMN()-1),""))</f>
        <v/>
      </c>
      <c r="F583" s="6" t="str">
        <f ca="1">IF(IFERROR(INDEX((COPIA!$DA$3:$DE$1339),MATCH(ROWS(F$10:F583),COPIA!$DF$3:$DF$1339,0),COLUMN()-1),"")=0,"",IFERROR(INDEX((COPIA!$DA$3:$DE$1339),MATCH(ROWS(F$10:F583),COPIA!$DF$3:$DF$1339,0),COLUMN()-1),""))</f>
        <v/>
      </c>
    </row>
    <row r="584" spans="2:6" x14ac:dyDescent="0.3">
      <c r="B584" s="10" t="str">
        <f ca="1">IF(IFERROR(INDEX((COPIA!$DA$3:$DE$1339),MATCH(ROWS(B$10:B584),COPIA!$DF$3:$DF$1339,0),COLUMN()-1),"")&gt;=1,IFERROR(INDEX((COPIA!$DA$3:$DE$1339),MATCH(ROWS(B$10:B584),COPIA!$DF$3:$DF$1339,0),COLUMN()-1),""),"")</f>
        <v/>
      </c>
      <c r="C584" s="5" t="str">
        <f ca="1">SUBSTITUTE(IFERROR(INDEX((COPIA!$DA$3:$DE$1339),MATCH(ROWS(C$10:C584),COPIA!$DF$3:$DF$1339,0),COLUMN()-1),""),"MASTRO","")</f>
        <v/>
      </c>
      <c r="D584" s="136" t="str">
        <f ca="1">IF(IFERROR(INDEX((COPIA!$DA$3:$DE$1339),MATCH(ROWS(D$10:D584),COPIA!$DF$3:$DF$1339,0),COLUMN()-1),"")=0,"",IFERROR(INDEX((COPIA!$DA$3:$DE$1339),MATCH(ROWS(D$10:D584),COPIA!$DF$3:$DF$1339,0),COLUMN()-1),""))</f>
        <v/>
      </c>
      <c r="E584" s="9" t="str">
        <f ca="1">IF(IFERROR(INDEX((COPIA!$DA$3:$DE$1339),MATCH(ROWS(E$10:E584),COPIA!$DF$3:$DF$1339,0),COLUMN()-1),"")=0,"",IFERROR(INDEX((COPIA!$DA$3:$DE$1339),MATCH(ROWS(E$10:E584),COPIA!$DF$3:$DF$1339,0),COLUMN()-1),""))</f>
        <v/>
      </c>
      <c r="F584" s="6" t="str">
        <f ca="1">IF(IFERROR(INDEX((COPIA!$DA$3:$DE$1339),MATCH(ROWS(F$10:F584),COPIA!$DF$3:$DF$1339,0),COLUMN()-1),"")=0,"",IFERROR(INDEX((COPIA!$DA$3:$DE$1339),MATCH(ROWS(F$10:F584),COPIA!$DF$3:$DF$1339,0),COLUMN()-1),""))</f>
        <v/>
      </c>
    </row>
    <row r="585" spans="2:6" x14ac:dyDescent="0.3">
      <c r="B585" s="10" t="str">
        <f ca="1">IF(IFERROR(INDEX((COPIA!$DA$3:$DE$1339),MATCH(ROWS(B$10:B585),COPIA!$DF$3:$DF$1339,0),COLUMN()-1),"")&gt;=1,IFERROR(INDEX((COPIA!$DA$3:$DE$1339),MATCH(ROWS(B$10:B585),COPIA!$DF$3:$DF$1339,0),COLUMN()-1),""),"")</f>
        <v/>
      </c>
      <c r="C585" s="5" t="str">
        <f ca="1">SUBSTITUTE(IFERROR(INDEX((COPIA!$DA$3:$DE$1339),MATCH(ROWS(C$10:C585),COPIA!$DF$3:$DF$1339,0),COLUMN()-1),""),"MASTRO","")</f>
        <v/>
      </c>
      <c r="D585" s="136" t="str">
        <f ca="1">IF(IFERROR(INDEX((COPIA!$DA$3:$DE$1339),MATCH(ROWS(D$10:D585),COPIA!$DF$3:$DF$1339,0),COLUMN()-1),"")=0,"",IFERROR(INDEX((COPIA!$DA$3:$DE$1339),MATCH(ROWS(D$10:D585),COPIA!$DF$3:$DF$1339,0),COLUMN()-1),""))</f>
        <v/>
      </c>
      <c r="E585" s="9" t="str">
        <f ca="1">IF(IFERROR(INDEX((COPIA!$DA$3:$DE$1339),MATCH(ROWS(E$10:E585),COPIA!$DF$3:$DF$1339,0),COLUMN()-1),"")=0,"",IFERROR(INDEX((COPIA!$DA$3:$DE$1339),MATCH(ROWS(E$10:E585),COPIA!$DF$3:$DF$1339,0),COLUMN()-1),""))</f>
        <v/>
      </c>
      <c r="F585" s="6" t="str">
        <f ca="1">IF(IFERROR(INDEX((COPIA!$DA$3:$DE$1339),MATCH(ROWS(F$10:F585),COPIA!$DF$3:$DF$1339,0),COLUMN()-1),"")=0,"",IFERROR(INDEX((COPIA!$DA$3:$DE$1339),MATCH(ROWS(F$10:F585),COPIA!$DF$3:$DF$1339,0),COLUMN()-1),""))</f>
        <v/>
      </c>
    </row>
    <row r="586" spans="2:6" x14ac:dyDescent="0.3">
      <c r="B586" s="10" t="str">
        <f ca="1">IF(IFERROR(INDEX((COPIA!$DA$3:$DE$1339),MATCH(ROWS(B$10:B586),COPIA!$DF$3:$DF$1339,0),COLUMN()-1),"")&gt;=1,IFERROR(INDEX((COPIA!$DA$3:$DE$1339),MATCH(ROWS(B$10:B586),COPIA!$DF$3:$DF$1339,0),COLUMN()-1),""),"")</f>
        <v/>
      </c>
      <c r="C586" s="5" t="str">
        <f ca="1">SUBSTITUTE(IFERROR(INDEX((COPIA!$DA$3:$DE$1339),MATCH(ROWS(C$10:C586),COPIA!$DF$3:$DF$1339,0),COLUMN()-1),""),"MASTRO","")</f>
        <v/>
      </c>
      <c r="D586" s="136" t="str">
        <f ca="1">IF(IFERROR(INDEX((COPIA!$DA$3:$DE$1339),MATCH(ROWS(D$10:D586),COPIA!$DF$3:$DF$1339,0),COLUMN()-1),"")=0,"",IFERROR(INDEX((COPIA!$DA$3:$DE$1339),MATCH(ROWS(D$10:D586),COPIA!$DF$3:$DF$1339,0),COLUMN()-1),""))</f>
        <v/>
      </c>
      <c r="E586" s="9" t="str">
        <f ca="1">IF(IFERROR(INDEX((COPIA!$DA$3:$DE$1339),MATCH(ROWS(E$10:E586),COPIA!$DF$3:$DF$1339,0),COLUMN()-1),"")=0,"",IFERROR(INDEX((COPIA!$DA$3:$DE$1339),MATCH(ROWS(E$10:E586),COPIA!$DF$3:$DF$1339,0),COLUMN()-1),""))</f>
        <v/>
      </c>
      <c r="F586" s="6" t="str">
        <f ca="1">IF(IFERROR(INDEX((COPIA!$DA$3:$DE$1339),MATCH(ROWS(F$10:F586),COPIA!$DF$3:$DF$1339,0),COLUMN()-1),"")=0,"",IFERROR(INDEX((COPIA!$DA$3:$DE$1339),MATCH(ROWS(F$10:F586),COPIA!$DF$3:$DF$1339,0),COLUMN()-1),""))</f>
        <v/>
      </c>
    </row>
    <row r="587" spans="2:6" x14ac:dyDescent="0.3">
      <c r="B587" s="10" t="str">
        <f ca="1">IF(IFERROR(INDEX((COPIA!$DA$3:$DE$1339),MATCH(ROWS(B$10:B587),COPIA!$DF$3:$DF$1339,0),COLUMN()-1),"")&gt;=1,IFERROR(INDEX((COPIA!$DA$3:$DE$1339),MATCH(ROWS(B$10:B587),COPIA!$DF$3:$DF$1339,0),COLUMN()-1),""),"")</f>
        <v/>
      </c>
      <c r="C587" s="5" t="str">
        <f ca="1">SUBSTITUTE(IFERROR(INDEX((COPIA!$DA$3:$DE$1339),MATCH(ROWS(C$10:C587),COPIA!$DF$3:$DF$1339,0),COLUMN()-1),""),"MASTRO","")</f>
        <v/>
      </c>
      <c r="D587" s="136" t="str">
        <f ca="1">IF(IFERROR(INDEX((COPIA!$DA$3:$DE$1339),MATCH(ROWS(D$10:D587),COPIA!$DF$3:$DF$1339,0),COLUMN()-1),"")=0,"",IFERROR(INDEX((COPIA!$DA$3:$DE$1339),MATCH(ROWS(D$10:D587),COPIA!$DF$3:$DF$1339,0),COLUMN()-1),""))</f>
        <v/>
      </c>
      <c r="E587" s="9" t="str">
        <f ca="1">IF(IFERROR(INDEX((COPIA!$DA$3:$DE$1339),MATCH(ROWS(E$10:E587),COPIA!$DF$3:$DF$1339,0),COLUMN()-1),"")=0,"",IFERROR(INDEX((COPIA!$DA$3:$DE$1339),MATCH(ROWS(E$10:E587),COPIA!$DF$3:$DF$1339,0),COLUMN()-1),""))</f>
        <v/>
      </c>
      <c r="F587" s="6" t="str">
        <f ca="1">IF(IFERROR(INDEX((COPIA!$DA$3:$DE$1339),MATCH(ROWS(F$10:F587),COPIA!$DF$3:$DF$1339,0),COLUMN()-1),"")=0,"",IFERROR(INDEX((COPIA!$DA$3:$DE$1339),MATCH(ROWS(F$10:F587),COPIA!$DF$3:$DF$1339,0),COLUMN()-1),""))</f>
        <v/>
      </c>
    </row>
    <row r="588" spans="2:6" x14ac:dyDescent="0.3">
      <c r="B588" s="10" t="str">
        <f ca="1">IF(IFERROR(INDEX((COPIA!$DA$3:$DE$1339),MATCH(ROWS(B$10:B588),COPIA!$DF$3:$DF$1339,0),COLUMN()-1),"")&gt;=1,IFERROR(INDEX((COPIA!$DA$3:$DE$1339),MATCH(ROWS(B$10:B588),COPIA!$DF$3:$DF$1339,0),COLUMN()-1),""),"")</f>
        <v/>
      </c>
      <c r="C588" s="5" t="str">
        <f ca="1">SUBSTITUTE(IFERROR(INDEX((COPIA!$DA$3:$DE$1339),MATCH(ROWS(C$10:C588),COPIA!$DF$3:$DF$1339,0),COLUMN()-1),""),"MASTRO","")</f>
        <v/>
      </c>
      <c r="D588" s="136" t="str">
        <f ca="1">IF(IFERROR(INDEX((COPIA!$DA$3:$DE$1339),MATCH(ROWS(D$10:D588),COPIA!$DF$3:$DF$1339,0),COLUMN()-1),"")=0,"",IFERROR(INDEX((COPIA!$DA$3:$DE$1339),MATCH(ROWS(D$10:D588),COPIA!$DF$3:$DF$1339,0),COLUMN()-1),""))</f>
        <v/>
      </c>
      <c r="E588" s="9" t="str">
        <f ca="1">IF(IFERROR(INDEX((COPIA!$DA$3:$DE$1339),MATCH(ROWS(E$10:E588),COPIA!$DF$3:$DF$1339,0),COLUMN()-1),"")=0,"",IFERROR(INDEX((COPIA!$DA$3:$DE$1339),MATCH(ROWS(E$10:E588),COPIA!$DF$3:$DF$1339,0),COLUMN()-1),""))</f>
        <v/>
      </c>
      <c r="F588" s="6" t="str">
        <f ca="1">IF(IFERROR(INDEX((COPIA!$DA$3:$DE$1339),MATCH(ROWS(F$10:F588),COPIA!$DF$3:$DF$1339,0),COLUMN()-1),"")=0,"",IFERROR(INDEX((COPIA!$DA$3:$DE$1339),MATCH(ROWS(F$10:F588),COPIA!$DF$3:$DF$1339,0),COLUMN()-1),""))</f>
        <v/>
      </c>
    </row>
    <row r="589" spans="2:6" x14ac:dyDescent="0.3">
      <c r="B589" s="10" t="str">
        <f ca="1">IF(IFERROR(INDEX((COPIA!$DA$3:$DE$1339),MATCH(ROWS(B$10:B589),COPIA!$DF$3:$DF$1339,0),COLUMN()-1),"")&gt;=1,IFERROR(INDEX((COPIA!$DA$3:$DE$1339),MATCH(ROWS(B$10:B589),COPIA!$DF$3:$DF$1339,0),COLUMN()-1),""),"")</f>
        <v/>
      </c>
      <c r="C589" s="5" t="str">
        <f ca="1">SUBSTITUTE(IFERROR(INDEX((COPIA!$DA$3:$DE$1339),MATCH(ROWS(C$10:C589),COPIA!$DF$3:$DF$1339,0),COLUMN()-1),""),"MASTRO","")</f>
        <v/>
      </c>
      <c r="D589" s="136" t="str">
        <f ca="1">IF(IFERROR(INDEX((COPIA!$DA$3:$DE$1339),MATCH(ROWS(D$10:D589),COPIA!$DF$3:$DF$1339,0),COLUMN()-1),"")=0,"",IFERROR(INDEX((COPIA!$DA$3:$DE$1339),MATCH(ROWS(D$10:D589),COPIA!$DF$3:$DF$1339,0),COLUMN()-1),""))</f>
        <v/>
      </c>
      <c r="E589" s="9" t="str">
        <f ca="1">IF(IFERROR(INDEX((COPIA!$DA$3:$DE$1339),MATCH(ROWS(E$10:E589),COPIA!$DF$3:$DF$1339,0),COLUMN()-1),"")=0,"",IFERROR(INDEX((COPIA!$DA$3:$DE$1339),MATCH(ROWS(E$10:E589),COPIA!$DF$3:$DF$1339,0),COLUMN()-1),""))</f>
        <v/>
      </c>
      <c r="F589" s="6" t="str">
        <f ca="1">IF(IFERROR(INDEX((COPIA!$DA$3:$DE$1339),MATCH(ROWS(F$10:F589),COPIA!$DF$3:$DF$1339,0),COLUMN()-1),"")=0,"",IFERROR(INDEX((COPIA!$DA$3:$DE$1339),MATCH(ROWS(F$10:F589),COPIA!$DF$3:$DF$1339,0),COLUMN()-1),""))</f>
        <v/>
      </c>
    </row>
    <row r="590" spans="2:6" x14ac:dyDescent="0.3">
      <c r="B590" s="10" t="str">
        <f ca="1">IF(IFERROR(INDEX((COPIA!$DA$3:$DE$1339),MATCH(ROWS(B$10:B590),COPIA!$DF$3:$DF$1339,0),COLUMN()-1),"")&gt;=1,IFERROR(INDEX((COPIA!$DA$3:$DE$1339),MATCH(ROWS(B$10:B590),COPIA!$DF$3:$DF$1339,0),COLUMN()-1),""),"")</f>
        <v/>
      </c>
      <c r="C590" s="5" t="str">
        <f ca="1">SUBSTITUTE(IFERROR(INDEX((COPIA!$DA$3:$DE$1339),MATCH(ROWS(C$10:C590),COPIA!$DF$3:$DF$1339,0),COLUMN()-1),""),"MASTRO","")</f>
        <v/>
      </c>
      <c r="D590" s="136" t="str">
        <f ca="1">IF(IFERROR(INDEX((COPIA!$DA$3:$DE$1339),MATCH(ROWS(D$10:D590),COPIA!$DF$3:$DF$1339,0),COLUMN()-1),"")=0,"",IFERROR(INDEX((COPIA!$DA$3:$DE$1339),MATCH(ROWS(D$10:D590),COPIA!$DF$3:$DF$1339,0),COLUMN()-1),""))</f>
        <v/>
      </c>
      <c r="E590" s="9" t="str">
        <f ca="1">IF(IFERROR(INDEX((COPIA!$DA$3:$DE$1339),MATCH(ROWS(E$10:E590),COPIA!$DF$3:$DF$1339,0),COLUMN()-1),"")=0,"",IFERROR(INDEX((COPIA!$DA$3:$DE$1339),MATCH(ROWS(E$10:E590),COPIA!$DF$3:$DF$1339,0),COLUMN()-1),""))</f>
        <v/>
      </c>
      <c r="F590" s="6" t="str">
        <f ca="1">IF(IFERROR(INDEX((COPIA!$DA$3:$DE$1339),MATCH(ROWS(F$10:F590),COPIA!$DF$3:$DF$1339,0),COLUMN()-1),"")=0,"",IFERROR(INDEX((COPIA!$DA$3:$DE$1339),MATCH(ROWS(F$10:F590),COPIA!$DF$3:$DF$1339,0),COLUMN()-1),""))</f>
        <v/>
      </c>
    </row>
    <row r="591" spans="2:6" x14ac:dyDescent="0.3">
      <c r="B591" s="10" t="str">
        <f ca="1">IF(IFERROR(INDEX((COPIA!$DA$3:$DE$1339),MATCH(ROWS(B$10:B591),COPIA!$DF$3:$DF$1339,0),COLUMN()-1),"")&gt;=1,IFERROR(INDEX((COPIA!$DA$3:$DE$1339),MATCH(ROWS(B$10:B591),COPIA!$DF$3:$DF$1339,0),COLUMN()-1),""),"")</f>
        <v/>
      </c>
      <c r="C591" s="5" t="str">
        <f ca="1">SUBSTITUTE(IFERROR(INDEX((COPIA!$DA$3:$DE$1339),MATCH(ROWS(C$10:C591),COPIA!$DF$3:$DF$1339,0),COLUMN()-1),""),"MASTRO","")</f>
        <v/>
      </c>
      <c r="D591" s="136" t="str">
        <f ca="1">IF(IFERROR(INDEX((COPIA!$DA$3:$DE$1339),MATCH(ROWS(D$10:D591),COPIA!$DF$3:$DF$1339,0),COLUMN()-1),"")=0,"",IFERROR(INDEX((COPIA!$DA$3:$DE$1339),MATCH(ROWS(D$10:D591),COPIA!$DF$3:$DF$1339,0),COLUMN()-1),""))</f>
        <v/>
      </c>
      <c r="E591" s="9" t="str">
        <f ca="1">IF(IFERROR(INDEX((COPIA!$DA$3:$DE$1339),MATCH(ROWS(E$10:E591),COPIA!$DF$3:$DF$1339,0),COLUMN()-1),"")=0,"",IFERROR(INDEX((COPIA!$DA$3:$DE$1339),MATCH(ROWS(E$10:E591),COPIA!$DF$3:$DF$1339,0),COLUMN()-1),""))</f>
        <v/>
      </c>
      <c r="F591" s="6" t="str">
        <f ca="1">IF(IFERROR(INDEX((COPIA!$DA$3:$DE$1339),MATCH(ROWS(F$10:F591),COPIA!$DF$3:$DF$1339,0),COLUMN()-1),"")=0,"",IFERROR(INDEX((COPIA!$DA$3:$DE$1339),MATCH(ROWS(F$10:F591),COPIA!$DF$3:$DF$1339,0),COLUMN()-1),""))</f>
        <v/>
      </c>
    </row>
    <row r="592" spans="2:6" x14ac:dyDescent="0.3">
      <c r="B592" s="10" t="str">
        <f ca="1">IF(IFERROR(INDEX((COPIA!$DA$3:$DE$1339),MATCH(ROWS(B$10:B592),COPIA!$DF$3:$DF$1339,0),COLUMN()-1),"")&gt;=1,IFERROR(INDEX((COPIA!$DA$3:$DE$1339),MATCH(ROWS(B$10:B592),COPIA!$DF$3:$DF$1339,0),COLUMN()-1),""),"")</f>
        <v/>
      </c>
      <c r="C592" s="5" t="str">
        <f ca="1">SUBSTITUTE(IFERROR(INDEX((COPIA!$DA$3:$DE$1339),MATCH(ROWS(C$10:C592),COPIA!$DF$3:$DF$1339,0),COLUMN()-1),""),"MASTRO","")</f>
        <v/>
      </c>
      <c r="D592" s="136" t="str">
        <f ca="1">IF(IFERROR(INDEX((COPIA!$DA$3:$DE$1339),MATCH(ROWS(D$10:D592),COPIA!$DF$3:$DF$1339,0),COLUMN()-1),"")=0,"",IFERROR(INDEX((COPIA!$DA$3:$DE$1339),MATCH(ROWS(D$10:D592),COPIA!$DF$3:$DF$1339,0),COLUMN()-1),""))</f>
        <v/>
      </c>
      <c r="E592" s="9" t="str">
        <f ca="1">IF(IFERROR(INDEX((COPIA!$DA$3:$DE$1339),MATCH(ROWS(E$10:E592),COPIA!$DF$3:$DF$1339,0),COLUMN()-1),"")=0,"",IFERROR(INDEX((COPIA!$DA$3:$DE$1339),MATCH(ROWS(E$10:E592),COPIA!$DF$3:$DF$1339,0),COLUMN()-1),""))</f>
        <v/>
      </c>
      <c r="F592" s="6" t="str">
        <f ca="1">IF(IFERROR(INDEX((COPIA!$DA$3:$DE$1339),MATCH(ROWS(F$10:F592),COPIA!$DF$3:$DF$1339,0),COLUMN()-1),"")=0,"",IFERROR(INDEX((COPIA!$DA$3:$DE$1339),MATCH(ROWS(F$10:F592),COPIA!$DF$3:$DF$1339,0),COLUMN()-1),""))</f>
        <v/>
      </c>
    </row>
    <row r="593" spans="2:6" x14ac:dyDescent="0.3">
      <c r="B593" s="10" t="str">
        <f ca="1">IF(IFERROR(INDEX((COPIA!$DA$3:$DE$1339),MATCH(ROWS(B$10:B593),COPIA!$DF$3:$DF$1339,0),COLUMN()-1),"")&gt;=1,IFERROR(INDEX((COPIA!$DA$3:$DE$1339),MATCH(ROWS(B$10:B593),COPIA!$DF$3:$DF$1339,0),COLUMN()-1),""),"")</f>
        <v/>
      </c>
      <c r="C593" s="5" t="str">
        <f ca="1">SUBSTITUTE(IFERROR(INDEX((COPIA!$DA$3:$DE$1339),MATCH(ROWS(C$10:C593),COPIA!$DF$3:$DF$1339,0),COLUMN()-1),""),"MASTRO","")</f>
        <v/>
      </c>
      <c r="D593" s="136" t="str">
        <f ca="1">IF(IFERROR(INDEX((COPIA!$DA$3:$DE$1339),MATCH(ROWS(D$10:D593),COPIA!$DF$3:$DF$1339,0),COLUMN()-1),"")=0,"",IFERROR(INDEX((COPIA!$DA$3:$DE$1339),MATCH(ROWS(D$10:D593),COPIA!$DF$3:$DF$1339,0),COLUMN()-1),""))</f>
        <v/>
      </c>
      <c r="E593" s="9" t="str">
        <f ca="1">IF(IFERROR(INDEX((COPIA!$DA$3:$DE$1339),MATCH(ROWS(E$10:E593),COPIA!$DF$3:$DF$1339,0),COLUMN()-1),"")=0,"",IFERROR(INDEX((COPIA!$DA$3:$DE$1339),MATCH(ROWS(E$10:E593),COPIA!$DF$3:$DF$1339,0),COLUMN()-1),""))</f>
        <v/>
      </c>
      <c r="F593" s="6" t="str">
        <f ca="1">IF(IFERROR(INDEX((COPIA!$DA$3:$DE$1339),MATCH(ROWS(F$10:F593),COPIA!$DF$3:$DF$1339,0),COLUMN()-1),"")=0,"",IFERROR(INDEX((COPIA!$DA$3:$DE$1339),MATCH(ROWS(F$10:F593),COPIA!$DF$3:$DF$1339,0),COLUMN()-1),""))</f>
        <v/>
      </c>
    </row>
    <row r="594" spans="2:6" x14ac:dyDescent="0.3">
      <c r="B594" s="10" t="str">
        <f ca="1">IF(IFERROR(INDEX((COPIA!$DA$3:$DE$1339),MATCH(ROWS(B$10:B594),COPIA!$DF$3:$DF$1339,0),COLUMN()-1),"")&gt;=1,IFERROR(INDEX((COPIA!$DA$3:$DE$1339),MATCH(ROWS(B$10:B594),COPIA!$DF$3:$DF$1339,0),COLUMN()-1),""),"")</f>
        <v/>
      </c>
      <c r="C594" s="5" t="str">
        <f ca="1">SUBSTITUTE(IFERROR(INDEX((COPIA!$DA$3:$DE$1339),MATCH(ROWS(C$10:C594),COPIA!$DF$3:$DF$1339,0),COLUMN()-1),""),"MASTRO","")</f>
        <v/>
      </c>
      <c r="D594" s="136" t="str">
        <f ca="1">IF(IFERROR(INDEX((COPIA!$DA$3:$DE$1339),MATCH(ROWS(D$10:D594),COPIA!$DF$3:$DF$1339,0),COLUMN()-1),"")=0,"",IFERROR(INDEX((COPIA!$DA$3:$DE$1339),MATCH(ROWS(D$10:D594),COPIA!$DF$3:$DF$1339,0),COLUMN()-1),""))</f>
        <v/>
      </c>
      <c r="E594" s="9" t="str">
        <f ca="1">IF(IFERROR(INDEX((COPIA!$DA$3:$DE$1339),MATCH(ROWS(E$10:E594),COPIA!$DF$3:$DF$1339,0),COLUMN()-1),"")=0,"",IFERROR(INDEX((COPIA!$DA$3:$DE$1339),MATCH(ROWS(E$10:E594),COPIA!$DF$3:$DF$1339,0),COLUMN()-1),""))</f>
        <v/>
      </c>
      <c r="F594" s="6" t="str">
        <f ca="1">IF(IFERROR(INDEX((COPIA!$DA$3:$DE$1339),MATCH(ROWS(F$10:F594),COPIA!$DF$3:$DF$1339,0),COLUMN()-1),"")=0,"",IFERROR(INDEX((COPIA!$DA$3:$DE$1339),MATCH(ROWS(F$10:F594),COPIA!$DF$3:$DF$1339,0),COLUMN()-1),""))</f>
        <v/>
      </c>
    </row>
    <row r="595" spans="2:6" x14ac:dyDescent="0.3">
      <c r="B595" s="10" t="str">
        <f ca="1">IF(IFERROR(INDEX((COPIA!$DA$3:$DE$1339),MATCH(ROWS(B$10:B595),COPIA!$DF$3:$DF$1339,0),COLUMN()-1),"")&gt;=1,IFERROR(INDEX((COPIA!$DA$3:$DE$1339),MATCH(ROWS(B$10:B595),COPIA!$DF$3:$DF$1339,0),COLUMN()-1),""),"")</f>
        <v/>
      </c>
      <c r="C595" s="5" t="str">
        <f ca="1">SUBSTITUTE(IFERROR(INDEX((COPIA!$DA$3:$DE$1339),MATCH(ROWS(C$10:C595),COPIA!$DF$3:$DF$1339,0),COLUMN()-1),""),"MASTRO","")</f>
        <v/>
      </c>
      <c r="D595" s="136" t="str">
        <f ca="1">IF(IFERROR(INDEX((COPIA!$DA$3:$DE$1339),MATCH(ROWS(D$10:D595),COPIA!$DF$3:$DF$1339,0),COLUMN()-1),"")=0,"",IFERROR(INDEX((COPIA!$DA$3:$DE$1339),MATCH(ROWS(D$10:D595),COPIA!$DF$3:$DF$1339,0),COLUMN()-1),""))</f>
        <v/>
      </c>
      <c r="E595" s="9" t="str">
        <f ca="1">IF(IFERROR(INDEX((COPIA!$DA$3:$DE$1339),MATCH(ROWS(E$10:E595),COPIA!$DF$3:$DF$1339,0),COLUMN()-1),"")=0,"",IFERROR(INDEX((COPIA!$DA$3:$DE$1339),MATCH(ROWS(E$10:E595),COPIA!$DF$3:$DF$1339,0),COLUMN()-1),""))</f>
        <v/>
      </c>
      <c r="F595" s="6" t="str">
        <f ca="1">IF(IFERROR(INDEX((COPIA!$DA$3:$DE$1339),MATCH(ROWS(F$10:F595),COPIA!$DF$3:$DF$1339,0),COLUMN()-1),"")=0,"",IFERROR(INDEX((COPIA!$DA$3:$DE$1339),MATCH(ROWS(F$10:F595),COPIA!$DF$3:$DF$1339,0),COLUMN()-1),""))</f>
        <v/>
      </c>
    </row>
    <row r="596" spans="2:6" x14ac:dyDescent="0.3">
      <c r="B596" s="10" t="str">
        <f ca="1">IF(IFERROR(INDEX((COPIA!$DA$3:$DE$1339),MATCH(ROWS(B$10:B596),COPIA!$DF$3:$DF$1339,0),COLUMN()-1),"")&gt;=1,IFERROR(INDEX((COPIA!$DA$3:$DE$1339),MATCH(ROWS(B$10:B596),COPIA!$DF$3:$DF$1339,0),COLUMN()-1),""),"")</f>
        <v/>
      </c>
      <c r="C596" s="5" t="str">
        <f ca="1">SUBSTITUTE(IFERROR(INDEX((COPIA!$DA$3:$DE$1339),MATCH(ROWS(C$10:C596),COPIA!$DF$3:$DF$1339,0),COLUMN()-1),""),"MASTRO","")</f>
        <v/>
      </c>
      <c r="D596" s="136" t="str">
        <f ca="1">IF(IFERROR(INDEX((COPIA!$DA$3:$DE$1339),MATCH(ROWS(D$10:D596),COPIA!$DF$3:$DF$1339,0),COLUMN()-1),"")=0,"",IFERROR(INDEX((COPIA!$DA$3:$DE$1339),MATCH(ROWS(D$10:D596),COPIA!$DF$3:$DF$1339,0),COLUMN()-1),""))</f>
        <v/>
      </c>
      <c r="E596" s="9" t="str">
        <f ca="1">IF(IFERROR(INDEX((COPIA!$DA$3:$DE$1339),MATCH(ROWS(E$10:E596),COPIA!$DF$3:$DF$1339,0),COLUMN()-1),"")=0,"",IFERROR(INDEX((COPIA!$DA$3:$DE$1339),MATCH(ROWS(E$10:E596),COPIA!$DF$3:$DF$1339,0),COLUMN()-1),""))</f>
        <v/>
      </c>
      <c r="F596" s="6" t="str">
        <f ca="1">IF(IFERROR(INDEX((COPIA!$DA$3:$DE$1339),MATCH(ROWS(F$10:F596),COPIA!$DF$3:$DF$1339,0),COLUMN()-1),"")=0,"",IFERROR(INDEX((COPIA!$DA$3:$DE$1339),MATCH(ROWS(F$10:F596),COPIA!$DF$3:$DF$1339,0),COLUMN()-1),""))</f>
        <v/>
      </c>
    </row>
    <row r="597" spans="2:6" x14ac:dyDescent="0.3">
      <c r="B597" s="10" t="str">
        <f ca="1">IF(IFERROR(INDEX((COPIA!$DA$3:$DE$1339),MATCH(ROWS(B$10:B597),COPIA!$DF$3:$DF$1339,0),COLUMN()-1),"")&gt;=1,IFERROR(INDEX((COPIA!$DA$3:$DE$1339),MATCH(ROWS(B$10:B597),COPIA!$DF$3:$DF$1339,0),COLUMN()-1),""),"")</f>
        <v/>
      </c>
      <c r="C597" s="5" t="str">
        <f ca="1">SUBSTITUTE(IFERROR(INDEX((COPIA!$DA$3:$DE$1339),MATCH(ROWS(C$10:C597),COPIA!$DF$3:$DF$1339,0),COLUMN()-1),""),"MASTRO","")</f>
        <v/>
      </c>
      <c r="D597" s="136" t="str">
        <f ca="1">IF(IFERROR(INDEX((COPIA!$DA$3:$DE$1339),MATCH(ROWS(D$10:D597),COPIA!$DF$3:$DF$1339,0),COLUMN()-1),"")=0,"",IFERROR(INDEX((COPIA!$DA$3:$DE$1339),MATCH(ROWS(D$10:D597),COPIA!$DF$3:$DF$1339,0),COLUMN()-1),""))</f>
        <v/>
      </c>
      <c r="E597" s="9" t="str">
        <f ca="1">IF(IFERROR(INDEX((COPIA!$DA$3:$DE$1339),MATCH(ROWS(E$10:E597),COPIA!$DF$3:$DF$1339,0),COLUMN()-1),"")=0,"",IFERROR(INDEX((COPIA!$DA$3:$DE$1339),MATCH(ROWS(E$10:E597),COPIA!$DF$3:$DF$1339,0),COLUMN()-1),""))</f>
        <v/>
      </c>
      <c r="F597" s="6" t="str">
        <f ca="1">IF(IFERROR(INDEX((COPIA!$DA$3:$DE$1339),MATCH(ROWS(F$10:F597),COPIA!$DF$3:$DF$1339,0),COLUMN()-1),"")=0,"",IFERROR(INDEX((COPIA!$DA$3:$DE$1339),MATCH(ROWS(F$10:F597),COPIA!$DF$3:$DF$1339,0),COLUMN()-1),""))</f>
        <v/>
      </c>
    </row>
    <row r="598" spans="2:6" x14ac:dyDescent="0.3">
      <c r="B598" s="10" t="str">
        <f ca="1">IF(IFERROR(INDEX((COPIA!$DA$3:$DE$1339),MATCH(ROWS(B$10:B598),COPIA!$DF$3:$DF$1339,0),COLUMN()-1),"")&gt;=1,IFERROR(INDEX((COPIA!$DA$3:$DE$1339),MATCH(ROWS(B$10:B598),COPIA!$DF$3:$DF$1339,0),COLUMN()-1),""),"")</f>
        <v/>
      </c>
      <c r="C598" s="5" t="str">
        <f ca="1">SUBSTITUTE(IFERROR(INDEX((COPIA!$DA$3:$DE$1339),MATCH(ROWS(C$10:C598),COPIA!$DF$3:$DF$1339,0),COLUMN()-1),""),"MASTRO","")</f>
        <v/>
      </c>
      <c r="D598" s="136" t="str">
        <f ca="1">IF(IFERROR(INDEX((COPIA!$DA$3:$DE$1339),MATCH(ROWS(D$10:D598),COPIA!$DF$3:$DF$1339,0),COLUMN()-1),"")=0,"",IFERROR(INDEX((COPIA!$DA$3:$DE$1339),MATCH(ROWS(D$10:D598),COPIA!$DF$3:$DF$1339,0),COLUMN()-1),""))</f>
        <v/>
      </c>
      <c r="E598" s="9" t="str">
        <f ca="1">IF(IFERROR(INDEX((COPIA!$DA$3:$DE$1339),MATCH(ROWS(E$10:E598),COPIA!$DF$3:$DF$1339,0),COLUMN()-1),"")=0,"",IFERROR(INDEX((COPIA!$DA$3:$DE$1339),MATCH(ROWS(E$10:E598),COPIA!$DF$3:$DF$1339,0),COLUMN()-1),""))</f>
        <v/>
      </c>
      <c r="F598" s="6" t="str">
        <f ca="1">IF(IFERROR(INDEX((COPIA!$DA$3:$DE$1339),MATCH(ROWS(F$10:F598),COPIA!$DF$3:$DF$1339,0),COLUMN()-1),"")=0,"",IFERROR(INDEX((COPIA!$DA$3:$DE$1339),MATCH(ROWS(F$10:F598),COPIA!$DF$3:$DF$1339,0),COLUMN()-1),""))</f>
        <v/>
      </c>
    </row>
    <row r="599" spans="2:6" x14ac:dyDescent="0.3">
      <c r="B599" s="10" t="str">
        <f ca="1">IF(IFERROR(INDEX((COPIA!$DA$3:$DE$1339),MATCH(ROWS(B$10:B599),COPIA!$DF$3:$DF$1339,0),COLUMN()-1),"")&gt;=1,IFERROR(INDEX((COPIA!$DA$3:$DE$1339),MATCH(ROWS(B$10:B599),COPIA!$DF$3:$DF$1339,0),COLUMN()-1),""),"")</f>
        <v/>
      </c>
      <c r="C599" s="5" t="str">
        <f ca="1">SUBSTITUTE(IFERROR(INDEX((COPIA!$DA$3:$DE$1339),MATCH(ROWS(C$10:C599),COPIA!$DF$3:$DF$1339,0),COLUMN()-1),""),"MASTRO","")</f>
        <v/>
      </c>
      <c r="D599" s="136" t="str">
        <f ca="1">IF(IFERROR(INDEX((COPIA!$DA$3:$DE$1339),MATCH(ROWS(D$10:D599),COPIA!$DF$3:$DF$1339,0),COLUMN()-1),"")=0,"",IFERROR(INDEX((COPIA!$DA$3:$DE$1339),MATCH(ROWS(D$10:D599),COPIA!$DF$3:$DF$1339,0),COLUMN()-1),""))</f>
        <v/>
      </c>
      <c r="E599" s="9" t="str">
        <f ca="1">IF(IFERROR(INDEX((COPIA!$DA$3:$DE$1339),MATCH(ROWS(E$10:E599),COPIA!$DF$3:$DF$1339,0),COLUMN()-1),"")=0,"",IFERROR(INDEX((COPIA!$DA$3:$DE$1339),MATCH(ROWS(E$10:E599),COPIA!$DF$3:$DF$1339,0),COLUMN()-1),""))</f>
        <v/>
      </c>
      <c r="F599" s="6" t="str">
        <f ca="1">IF(IFERROR(INDEX((COPIA!$DA$3:$DE$1339),MATCH(ROWS(F$10:F599),COPIA!$DF$3:$DF$1339,0),COLUMN()-1),"")=0,"",IFERROR(INDEX((COPIA!$DA$3:$DE$1339),MATCH(ROWS(F$10:F599),COPIA!$DF$3:$DF$1339,0),COLUMN()-1),""))</f>
        <v/>
      </c>
    </row>
    <row r="600" spans="2:6" x14ac:dyDescent="0.3">
      <c r="B600" s="10" t="str">
        <f ca="1">IF(IFERROR(INDEX((COPIA!$DA$3:$DE$1339),MATCH(ROWS(B$10:B600),COPIA!$DF$3:$DF$1339,0),COLUMN()-1),"")&gt;=1,IFERROR(INDEX((COPIA!$DA$3:$DE$1339),MATCH(ROWS(B$10:B600),COPIA!$DF$3:$DF$1339,0),COLUMN()-1),""),"")</f>
        <v/>
      </c>
      <c r="C600" s="5" t="str">
        <f ca="1">SUBSTITUTE(IFERROR(INDEX((COPIA!$DA$3:$DE$1339),MATCH(ROWS(C$10:C600),COPIA!$DF$3:$DF$1339,0),COLUMN()-1),""),"MASTRO","")</f>
        <v/>
      </c>
      <c r="D600" s="136" t="str">
        <f ca="1">IF(IFERROR(INDEX((COPIA!$DA$3:$DE$1339),MATCH(ROWS(D$10:D600),COPIA!$DF$3:$DF$1339,0),COLUMN()-1),"")=0,"",IFERROR(INDEX((COPIA!$DA$3:$DE$1339),MATCH(ROWS(D$10:D600),COPIA!$DF$3:$DF$1339,0),COLUMN()-1),""))</f>
        <v/>
      </c>
      <c r="E600" s="9" t="str">
        <f ca="1">IF(IFERROR(INDEX((COPIA!$DA$3:$DE$1339),MATCH(ROWS(E$10:E600),COPIA!$DF$3:$DF$1339,0),COLUMN()-1),"")=0,"",IFERROR(INDEX((COPIA!$DA$3:$DE$1339),MATCH(ROWS(E$10:E600),COPIA!$DF$3:$DF$1339,0),COLUMN()-1),""))</f>
        <v/>
      </c>
      <c r="F600" s="6" t="str">
        <f ca="1">IF(IFERROR(INDEX((COPIA!$DA$3:$DE$1339),MATCH(ROWS(F$10:F600),COPIA!$DF$3:$DF$1339,0),COLUMN()-1),"")=0,"",IFERROR(INDEX((COPIA!$DA$3:$DE$1339),MATCH(ROWS(F$10:F600),COPIA!$DF$3:$DF$1339,0),COLUMN()-1),""))</f>
        <v/>
      </c>
    </row>
    <row r="601" spans="2:6" x14ac:dyDescent="0.3">
      <c r="B601" s="10" t="str">
        <f ca="1">IF(IFERROR(INDEX((COPIA!$DA$3:$DE$1339),MATCH(ROWS(B$10:B601),COPIA!$DF$3:$DF$1339,0),COLUMN()-1),"")&gt;=1,IFERROR(INDEX((COPIA!$DA$3:$DE$1339),MATCH(ROWS(B$10:B601),COPIA!$DF$3:$DF$1339,0),COLUMN()-1),""),"")</f>
        <v/>
      </c>
      <c r="C601" s="5" t="str">
        <f ca="1">SUBSTITUTE(IFERROR(INDEX((COPIA!$DA$3:$DE$1339),MATCH(ROWS(C$10:C601),COPIA!$DF$3:$DF$1339,0),COLUMN()-1),""),"MASTRO","")</f>
        <v/>
      </c>
      <c r="D601" s="136" t="str">
        <f ca="1">IF(IFERROR(INDEX((COPIA!$DA$3:$DE$1339),MATCH(ROWS(D$10:D601),COPIA!$DF$3:$DF$1339,0),COLUMN()-1),"")=0,"",IFERROR(INDEX((COPIA!$DA$3:$DE$1339),MATCH(ROWS(D$10:D601),COPIA!$DF$3:$DF$1339,0),COLUMN()-1),""))</f>
        <v/>
      </c>
      <c r="E601" s="9" t="str">
        <f ca="1">IF(IFERROR(INDEX((COPIA!$DA$3:$DE$1339),MATCH(ROWS(E$10:E601),COPIA!$DF$3:$DF$1339,0),COLUMN()-1),"")=0,"",IFERROR(INDEX((COPIA!$DA$3:$DE$1339),MATCH(ROWS(E$10:E601),COPIA!$DF$3:$DF$1339,0),COLUMN()-1),""))</f>
        <v/>
      </c>
      <c r="F601" s="6" t="str">
        <f ca="1">IF(IFERROR(INDEX((COPIA!$DA$3:$DE$1339),MATCH(ROWS(F$10:F601),COPIA!$DF$3:$DF$1339,0),COLUMN()-1),"")=0,"",IFERROR(INDEX((COPIA!$DA$3:$DE$1339),MATCH(ROWS(F$10:F601),COPIA!$DF$3:$DF$1339,0),COLUMN()-1),""))</f>
        <v/>
      </c>
    </row>
    <row r="602" spans="2:6" x14ac:dyDescent="0.3">
      <c r="B602" s="10" t="str">
        <f ca="1">IF(IFERROR(INDEX((COPIA!$DA$3:$DE$1339),MATCH(ROWS(B$10:B602),COPIA!$DF$3:$DF$1339,0),COLUMN()-1),"")&gt;=1,IFERROR(INDEX((COPIA!$DA$3:$DE$1339),MATCH(ROWS(B$10:B602),COPIA!$DF$3:$DF$1339,0),COLUMN()-1),""),"")</f>
        <v/>
      </c>
      <c r="C602" s="5" t="str">
        <f ca="1">SUBSTITUTE(IFERROR(INDEX((COPIA!$DA$3:$DE$1339),MATCH(ROWS(C$10:C602),COPIA!$DF$3:$DF$1339,0),COLUMN()-1),""),"MASTRO","")</f>
        <v/>
      </c>
      <c r="D602" s="136" t="str">
        <f ca="1">IF(IFERROR(INDEX((COPIA!$DA$3:$DE$1339),MATCH(ROWS(D$10:D602),COPIA!$DF$3:$DF$1339,0),COLUMN()-1),"")=0,"",IFERROR(INDEX((COPIA!$DA$3:$DE$1339),MATCH(ROWS(D$10:D602),COPIA!$DF$3:$DF$1339,0),COLUMN()-1),""))</f>
        <v/>
      </c>
      <c r="E602" s="9" t="str">
        <f ca="1">IF(IFERROR(INDEX((COPIA!$DA$3:$DE$1339),MATCH(ROWS(E$10:E602),COPIA!$DF$3:$DF$1339,0),COLUMN()-1),"")=0,"",IFERROR(INDEX((COPIA!$DA$3:$DE$1339),MATCH(ROWS(E$10:E602),COPIA!$DF$3:$DF$1339,0),COLUMN()-1),""))</f>
        <v/>
      </c>
      <c r="F602" s="6" t="str">
        <f ca="1">IF(IFERROR(INDEX((COPIA!$DA$3:$DE$1339),MATCH(ROWS(F$10:F602),COPIA!$DF$3:$DF$1339,0),COLUMN()-1),"")=0,"",IFERROR(INDEX((COPIA!$DA$3:$DE$1339),MATCH(ROWS(F$10:F602),COPIA!$DF$3:$DF$1339,0),COLUMN()-1),""))</f>
        <v/>
      </c>
    </row>
    <row r="603" spans="2:6" x14ac:dyDescent="0.3">
      <c r="B603" s="10" t="str">
        <f ca="1">IF(IFERROR(INDEX((COPIA!$DA$3:$DE$1339),MATCH(ROWS(B$10:B603),COPIA!$DF$3:$DF$1339,0),COLUMN()-1),"")&gt;=1,IFERROR(INDEX((COPIA!$DA$3:$DE$1339),MATCH(ROWS(B$10:B603),COPIA!$DF$3:$DF$1339,0),COLUMN()-1),""),"")</f>
        <v/>
      </c>
      <c r="C603" s="5" t="str">
        <f ca="1">SUBSTITUTE(IFERROR(INDEX((COPIA!$DA$3:$DE$1339),MATCH(ROWS(C$10:C603),COPIA!$DF$3:$DF$1339,0),COLUMN()-1),""),"MASTRO","")</f>
        <v/>
      </c>
      <c r="D603" s="136" t="str">
        <f ca="1">IF(IFERROR(INDEX((COPIA!$DA$3:$DE$1339),MATCH(ROWS(D$10:D603),COPIA!$DF$3:$DF$1339,0),COLUMN()-1),"")=0,"",IFERROR(INDEX((COPIA!$DA$3:$DE$1339),MATCH(ROWS(D$10:D603),COPIA!$DF$3:$DF$1339,0),COLUMN()-1),""))</f>
        <v/>
      </c>
      <c r="E603" s="9" t="str">
        <f ca="1">IF(IFERROR(INDEX((COPIA!$DA$3:$DE$1339),MATCH(ROWS(E$10:E603),COPIA!$DF$3:$DF$1339,0),COLUMN()-1),"")=0,"",IFERROR(INDEX((COPIA!$DA$3:$DE$1339),MATCH(ROWS(E$10:E603),COPIA!$DF$3:$DF$1339,0),COLUMN()-1),""))</f>
        <v/>
      </c>
      <c r="F603" s="6" t="str">
        <f ca="1">IF(IFERROR(INDEX((COPIA!$DA$3:$DE$1339),MATCH(ROWS(F$10:F603),COPIA!$DF$3:$DF$1339,0),COLUMN()-1),"")=0,"",IFERROR(INDEX((COPIA!$DA$3:$DE$1339),MATCH(ROWS(F$10:F603),COPIA!$DF$3:$DF$1339,0),COLUMN()-1),""))</f>
        <v/>
      </c>
    </row>
    <row r="604" spans="2:6" x14ac:dyDescent="0.3">
      <c r="B604" s="10" t="str">
        <f ca="1">IF(IFERROR(INDEX((COPIA!$DA$3:$DE$1339),MATCH(ROWS(B$10:B604),COPIA!$DF$3:$DF$1339,0),COLUMN()-1),"")&gt;=1,IFERROR(INDEX((COPIA!$DA$3:$DE$1339),MATCH(ROWS(B$10:B604),COPIA!$DF$3:$DF$1339,0),COLUMN()-1),""),"")</f>
        <v/>
      </c>
      <c r="C604" s="5" t="str">
        <f ca="1">SUBSTITUTE(IFERROR(INDEX((COPIA!$DA$3:$DE$1339),MATCH(ROWS(C$10:C604),COPIA!$DF$3:$DF$1339,0),COLUMN()-1),""),"MASTRO","")</f>
        <v/>
      </c>
      <c r="D604" s="136" t="str">
        <f ca="1">IF(IFERROR(INDEX((COPIA!$DA$3:$DE$1339),MATCH(ROWS(D$10:D604),COPIA!$DF$3:$DF$1339,0),COLUMN()-1),"")=0,"",IFERROR(INDEX((COPIA!$DA$3:$DE$1339),MATCH(ROWS(D$10:D604),COPIA!$DF$3:$DF$1339,0),COLUMN()-1),""))</f>
        <v/>
      </c>
      <c r="E604" s="9" t="str">
        <f ca="1">IF(IFERROR(INDEX((COPIA!$DA$3:$DE$1339),MATCH(ROWS(E$10:E604),COPIA!$DF$3:$DF$1339,0),COLUMN()-1),"")=0,"",IFERROR(INDEX((COPIA!$DA$3:$DE$1339),MATCH(ROWS(E$10:E604),COPIA!$DF$3:$DF$1339,0),COLUMN()-1),""))</f>
        <v/>
      </c>
      <c r="F604" s="6" t="str">
        <f ca="1">IF(IFERROR(INDEX((COPIA!$DA$3:$DE$1339),MATCH(ROWS(F$10:F604),COPIA!$DF$3:$DF$1339,0),COLUMN()-1),"")=0,"",IFERROR(INDEX((COPIA!$DA$3:$DE$1339),MATCH(ROWS(F$10:F604),COPIA!$DF$3:$DF$1339,0),COLUMN()-1),""))</f>
        <v/>
      </c>
    </row>
    <row r="605" spans="2:6" x14ac:dyDescent="0.3">
      <c r="B605" s="10" t="str">
        <f ca="1">IF(IFERROR(INDEX((COPIA!$DA$3:$DE$1339),MATCH(ROWS(B$10:B605),COPIA!$DF$3:$DF$1339,0),COLUMN()-1),"")&gt;=1,IFERROR(INDEX((COPIA!$DA$3:$DE$1339),MATCH(ROWS(B$10:B605),COPIA!$DF$3:$DF$1339,0),COLUMN()-1),""),"")</f>
        <v/>
      </c>
      <c r="C605" s="5" t="str">
        <f ca="1">SUBSTITUTE(IFERROR(INDEX((COPIA!$DA$3:$DE$1339),MATCH(ROWS(C$10:C605),COPIA!$DF$3:$DF$1339,0),COLUMN()-1),""),"MASTRO","")</f>
        <v/>
      </c>
      <c r="D605" s="136" t="str">
        <f ca="1">IF(IFERROR(INDEX((COPIA!$DA$3:$DE$1339),MATCH(ROWS(D$10:D605),COPIA!$DF$3:$DF$1339,0),COLUMN()-1),"")=0,"",IFERROR(INDEX((COPIA!$DA$3:$DE$1339),MATCH(ROWS(D$10:D605),COPIA!$DF$3:$DF$1339,0),COLUMN()-1),""))</f>
        <v/>
      </c>
      <c r="E605" s="9" t="str">
        <f ca="1">IF(IFERROR(INDEX((COPIA!$DA$3:$DE$1339),MATCH(ROWS(E$10:E605),COPIA!$DF$3:$DF$1339,0),COLUMN()-1),"")=0,"",IFERROR(INDEX((COPIA!$DA$3:$DE$1339),MATCH(ROWS(E$10:E605),COPIA!$DF$3:$DF$1339,0),COLUMN()-1),""))</f>
        <v/>
      </c>
      <c r="F605" s="6" t="str">
        <f ca="1">IF(IFERROR(INDEX((COPIA!$DA$3:$DE$1339),MATCH(ROWS(F$10:F605),COPIA!$DF$3:$DF$1339,0),COLUMN()-1),"")=0,"",IFERROR(INDEX((COPIA!$DA$3:$DE$1339),MATCH(ROWS(F$10:F605),COPIA!$DF$3:$DF$1339,0),COLUMN()-1),""))</f>
        <v/>
      </c>
    </row>
    <row r="606" spans="2:6" x14ac:dyDescent="0.3">
      <c r="B606" s="10" t="str">
        <f ca="1">IF(IFERROR(INDEX((COPIA!$DA$3:$DE$1339),MATCH(ROWS(B$10:B606),COPIA!$DF$3:$DF$1339,0),COLUMN()-1),"")&gt;=1,IFERROR(INDEX((COPIA!$DA$3:$DE$1339),MATCH(ROWS(B$10:B606),COPIA!$DF$3:$DF$1339,0),COLUMN()-1),""),"")</f>
        <v/>
      </c>
      <c r="C606" s="5" t="str">
        <f ca="1">SUBSTITUTE(IFERROR(INDEX((COPIA!$DA$3:$DE$1339),MATCH(ROWS(C$10:C606),COPIA!$DF$3:$DF$1339,0),COLUMN()-1),""),"MASTRO","")</f>
        <v/>
      </c>
      <c r="D606" s="136" t="str">
        <f ca="1">IF(IFERROR(INDEX((COPIA!$DA$3:$DE$1339),MATCH(ROWS(D$10:D606),COPIA!$DF$3:$DF$1339,0),COLUMN()-1),"")=0,"",IFERROR(INDEX((COPIA!$DA$3:$DE$1339),MATCH(ROWS(D$10:D606),COPIA!$DF$3:$DF$1339,0),COLUMN()-1),""))</f>
        <v/>
      </c>
      <c r="E606" s="9" t="str">
        <f ca="1">IF(IFERROR(INDEX((COPIA!$DA$3:$DE$1339),MATCH(ROWS(E$10:E606),COPIA!$DF$3:$DF$1339,0),COLUMN()-1),"")=0,"",IFERROR(INDEX((COPIA!$DA$3:$DE$1339),MATCH(ROWS(E$10:E606),COPIA!$DF$3:$DF$1339,0),COLUMN()-1),""))</f>
        <v/>
      </c>
      <c r="F606" s="6" t="str">
        <f ca="1">IF(IFERROR(INDEX((COPIA!$DA$3:$DE$1339),MATCH(ROWS(F$10:F606),COPIA!$DF$3:$DF$1339,0),COLUMN()-1),"")=0,"",IFERROR(INDEX((COPIA!$DA$3:$DE$1339),MATCH(ROWS(F$10:F606),COPIA!$DF$3:$DF$1339,0),COLUMN()-1),""))</f>
        <v/>
      </c>
    </row>
    <row r="607" spans="2:6" x14ac:dyDescent="0.3">
      <c r="B607" s="10" t="str">
        <f ca="1">IF(IFERROR(INDEX((COPIA!$DA$3:$DE$1339),MATCH(ROWS(B$10:B607),COPIA!$DF$3:$DF$1339,0),COLUMN()-1),"")&gt;=1,IFERROR(INDEX((COPIA!$DA$3:$DE$1339),MATCH(ROWS(B$10:B607),COPIA!$DF$3:$DF$1339,0),COLUMN()-1),""),"")</f>
        <v/>
      </c>
      <c r="C607" s="5" t="str">
        <f ca="1">SUBSTITUTE(IFERROR(INDEX((COPIA!$DA$3:$DE$1339),MATCH(ROWS(C$10:C607),COPIA!$DF$3:$DF$1339,0),COLUMN()-1),""),"MASTRO","")</f>
        <v/>
      </c>
      <c r="D607" s="136" t="str">
        <f ca="1">IF(IFERROR(INDEX((COPIA!$DA$3:$DE$1339),MATCH(ROWS(D$10:D607),COPIA!$DF$3:$DF$1339,0),COLUMN()-1),"")=0,"",IFERROR(INDEX((COPIA!$DA$3:$DE$1339),MATCH(ROWS(D$10:D607),COPIA!$DF$3:$DF$1339,0),COLUMN()-1),""))</f>
        <v/>
      </c>
      <c r="E607" s="9" t="str">
        <f ca="1">IF(IFERROR(INDEX((COPIA!$DA$3:$DE$1339),MATCH(ROWS(E$10:E607),COPIA!$DF$3:$DF$1339,0),COLUMN()-1),"")=0,"",IFERROR(INDEX((COPIA!$DA$3:$DE$1339),MATCH(ROWS(E$10:E607),COPIA!$DF$3:$DF$1339,0),COLUMN()-1),""))</f>
        <v/>
      </c>
      <c r="F607" s="6" t="str">
        <f ca="1">IF(IFERROR(INDEX((COPIA!$DA$3:$DE$1339),MATCH(ROWS(F$10:F607),COPIA!$DF$3:$DF$1339,0),COLUMN()-1),"")=0,"",IFERROR(INDEX((COPIA!$DA$3:$DE$1339),MATCH(ROWS(F$10:F607),COPIA!$DF$3:$DF$1339,0),COLUMN()-1),""))</f>
        <v/>
      </c>
    </row>
    <row r="608" spans="2:6" x14ac:dyDescent="0.3">
      <c r="B608" s="10" t="str">
        <f ca="1">IF(IFERROR(INDEX((COPIA!$DA$3:$DE$1339),MATCH(ROWS(B$10:B608),COPIA!$DF$3:$DF$1339,0),COLUMN()-1),"")&gt;=1,IFERROR(INDEX((COPIA!$DA$3:$DE$1339),MATCH(ROWS(B$10:B608),COPIA!$DF$3:$DF$1339,0),COLUMN()-1),""),"")</f>
        <v/>
      </c>
      <c r="C608" s="5" t="str">
        <f ca="1">SUBSTITUTE(IFERROR(INDEX((COPIA!$DA$3:$DE$1339),MATCH(ROWS(C$10:C608),COPIA!$DF$3:$DF$1339,0),COLUMN()-1),""),"MASTRO","")</f>
        <v/>
      </c>
      <c r="D608" s="136" t="str">
        <f ca="1">IF(IFERROR(INDEX((COPIA!$DA$3:$DE$1339),MATCH(ROWS(D$10:D608),COPIA!$DF$3:$DF$1339,0),COLUMN()-1),"")=0,"",IFERROR(INDEX((COPIA!$DA$3:$DE$1339),MATCH(ROWS(D$10:D608),COPIA!$DF$3:$DF$1339,0),COLUMN()-1),""))</f>
        <v/>
      </c>
      <c r="E608" s="9" t="str">
        <f ca="1">IF(IFERROR(INDEX((COPIA!$DA$3:$DE$1339),MATCH(ROWS(E$10:E608),COPIA!$DF$3:$DF$1339,0),COLUMN()-1),"")=0,"",IFERROR(INDEX((COPIA!$DA$3:$DE$1339),MATCH(ROWS(E$10:E608),COPIA!$DF$3:$DF$1339,0),COLUMN()-1),""))</f>
        <v/>
      </c>
      <c r="F608" s="6" t="str">
        <f ca="1">IF(IFERROR(INDEX((COPIA!$DA$3:$DE$1339),MATCH(ROWS(F$10:F608),COPIA!$DF$3:$DF$1339,0),COLUMN()-1),"")=0,"",IFERROR(INDEX((COPIA!$DA$3:$DE$1339),MATCH(ROWS(F$10:F608),COPIA!$DF$3:$DF$1339,0),COLUMN()-1),""))</f>
        <v/>
      </c>
    </row>
    <row r="609" spans="2:6" x14ac:dyDescent="0.3">
      <c r="B609" s="10" t="str">
        <f ca="1">IF(IFERROR(INDEX((COPIA!$DA$3:$DE$1339),MATCH(ROWS(B$10:B609),COPIA!$DF$3:$DF$1339,0),COLUMN()-1),"")&gt;=1,IFERROR(INDEX((COPIA!$DA$3:$DE$1339),MATCH(ROWS(B$10:B609),COPIA!$DF$3:$DF$1339,0),COLUMN()-1),""),"")</f>
        <v/>
      </c>
      <c r="C609" s="5" t="str">
        <f ca="1">SUBSTITUTE(IFERROR(INDEX((COPIA!$DA$3:$DE$1339),MATCH(ROWS(C$10:C609),COPIA!$DF$3:$DF$1339,0),COLUMN()-1),""),"MASTRO","")</f>
        <v/>
      </c>
      <c r="D609" s="136" t="str">
        <f ca="1">IF(IFERROR(INDEX((COPIA!$DA$3:$DE$1339),MATCH(ROWS(D$10:D609),COPIA!$DF$3:$DF$1339,0),COLUMN()-1),"")=0,"",IFERROR(INDEX((COPIA!$DA$3:$DE$1339),MATCH(ROWS(D$10:D609),COPIA!$DF$3:$DF$1339,0),COLUMN()-1),""))</f>
        <v/>
      </c>
      <c r="E609" s="9" t="str">
        <f ca="1">IF(IFERROR(INDEX((COPIA!$DA$3:$DE$1339),MATCH(ROWS(E$10:E609),COPIA!$DF$3:$DF$1339,0),COLUMN()-1),"")=0,"",IFERROR(INDEX((COPIA!$DA$3:$DE$1339),MATCH(ROWS(E$10:E609),COPIA!$DF$3:$DF$1339,0),COLUMN()-1),""))</f>
        <v/>
      </c>
      <c r="F609" s="6" t="str">
        <f ca="1">IF(IFERROR(INDEX((COPIA!$DA$3:$DE$1339),MATCH(ROWS(F$10:F609),COPIA!$DF$3:$DF$1339,0),COLUMN()-1),"")=0,"",IFERROR(INDEX((COPIA!$DA$3:$DE$1339),MATCH(ROWS(F$10:F609),COPIA!$DF$3:$DF$1339,0),COLUMN()-1),""))</f>
        <v/>
      </c>
    </row>
    <row r="610" spans="2:6" x14ac:dyDescent="0.3">
      <c r="B610" s="10" t="str">
        <f ca="1">IF(IFERROR(INDEX((COPIA!$DA$3:$DE$1339),MATCH(ROWS(B$10:B610),COPIA!$DF$3:$DF$1339,0),COLUMN()-1),"")&gt;=1,IFERROR(INDEX((COPIA!$DA$3:$DE$1339),MATCH(ROWS(B$10:B610),COPIA!$DF$3:$DF$1339,0),COLUMN()-1),""),"")</f>
        <v/>
      </c>
      <c r="C610" s="5" t="str">
        <f ca="1">SUBSTITUTE(IFERROR(INDEX((COPIA!$DA$3:$DE$1339),MATCH(ROWS(C$10:C610),COPIA!$DF$3:$DF$1339,0),COLUMN()-1),""),"MASTRO","")</f>
        <v/>
      </c>
      <c r="D610" s="136" t="str">
        <f ca="1">IF(IFERROR(INDEX((COPIA!$DA$3:$DE$1339),MATCH(ROWS(D$10:D610),COPIA!$DF$3:$DF$1339,0),COLUMN()-1),"")=0,"",IFERROR(INDEX((COPIA!$DA$3:$DE$1339),MATCH(ROWS(D$10:D610),COPIA!$DF$3:$DF$1339,0),COLUMN()-1),""))</f>
        <v/>
      </c>
      <c r="E610" s="9" t="str">
        <f ca="1">IF(IFERROR(INDEX((COPIA!$DA$3:$DE$1339),MATCH(ROWS(E$10:E610),COPIA!$DF$3:$DF$1339,0),COLUMN()-1),"")=0,"",IFERROR(INDEX((COPIA!$DA$3:$DE$1339),MATCH(ROWS(E$10:E610),COPIA!$DF$3:$DF$1339,0),COLUMN()-1),""))</f>
        <v/>
      </c>
      <c r="F610" s="6" t="str">
        <f ca="1">IF(IFERROR(INDEX((COPIA!$DA$3:$DE$1339),MATCH(ROWS(F$10:F610),COPIA!$DF$3:$DF$1339,0),COLUMN()-1),"")=0,"",IFERROR(INDEX((COPIA!$DA$3:$DE$1339),MATCH(ROWS(F$10:F610),COPIA!$DF$3:$DF$1339,0),COLUMN()-1),""))</f>
        <v/>
      </c>
    </row>
    <row r="611" spans="2:6" x14ac:dyDescent="0.3">
      <c r="B611" s="10" t="str">
        <f ca="1">IF(IFERROR(INDEX((COPIA!$DA$3:$DE$1339),MATCH(ROWS(B$10:B611),COPIA!$DF$3:$DF$1339,0),COLUMN()-1),"")&gt;=1,IFERROR(INDEX((COPIA!$DA$3:$DE$1339),MATCH(ROWS(B$10:B611),COPIA!$DF$3:$DF$1339,0),COLUMN()-1),""),"")</f>
        <v/>
      </c>
      <c r="C611" s="5" t="str">
        <f ca="1">SUBSTITUTE(IFERROR(INDEX((COPIA!$DA$3:$DE$1339),MATCH(ROWS(C$10:C611),COPIA!$DF$3:$DF$1339,0),COLUMN()-1),""),"MASTRO","")</f>
        <v/>
      </c>
      <c r="D611" s="136" t="str">
        <f ca="1">IF(IFERROR(INDEX((COPIA!$DA$3:$DE$1339),MATCH(ROWS(D$10:D611),COPIA!$DF$3:$DF$1339,0),COLUMN()-1),"")=0,"",IFERROR(INDEX((COPIA!$DA$3:$DE$1339),MATCH(ROWS(D$10:D611),COPIA!$DF$3:$DF$1339,0),COLUMN()-1),""))</f>
        <v/>
      </c>
      <c r="E611" s="9" t="str">
        <f ca="1">IF(IFERROR(INDEX((COPIA!$DA$3:$DE$1339),MATCH(ROWS(E$10:E611),COPIA!$DF$3:$DF$1339,0),COLUMN()-1),"")=0,"",IFERROR(INDEX((COPIA!$DA$3:$DE$1339),MATCH(ROWS(E$10:E611),COPIA!$DF$3:$DF$1339,0),COLUMN()-1),""))</f>
        <v/>
      </c>
      <c r="F611" s="6" t="str">
        <f ca="1">IF(IFERROR(INDEX((COPIA!$DA$3:$DE$1339),MATCH(ROWS(F$10:F611),COPIA!$DF$3:$DF$1339,0),COLUMN()-1),"")=0,"",IFERROR(INDEX((COPIA!$DA$3:$DE$1339),MATCH(ROWS(F$10:F611),COPIA!$DF$3:$DF$1339,0),COLUMN()-1),""))</f>
        <v/>
      </c>
    </row>
    <row r="612" spans="2:6" x14ac:dyDescent="0.3">
      <c r="B612" s="10" t="str">
        <f ca="1">IF(IFERROR(INDEX((COPIA!$DA$3:$DE$1339),MATCH(ROWS(B$10:B612),COPIA!$DF$3:$DF$1339,0),COLUMN()-1),"")&gt;=1,IFERROR(INDEX((COPIA!$DA$3:$DE$1339),MATCH(ROWS(B$10:B612),COPIA!$DF$3:$DF$1339,0),COLUMN()-1),""),"")</f>
        <v/>
      </c>
      <c r="C612" s="5" t="str">
        <f ca="1">SUBSTITUTE(IFERROR(INDEX((COPIA!$DA$3:$DE$1339),MATCH(ROWS(C$10:C612),COPIA!$DF$3:$DF$1339,0),COLUMN()-1),""),"MASTRO","")</f>
        <v/>
      </c>
      <c r="D612" s="136" t="str">
        <f ca="1">IF(IFERROR(INDEX((COPIA!$DA$3:$DE$1339),MATCH(ROWS(D$10:D612),COPIA!$DF$3:$DF$1339,0),COLUMN()-1),"")=0,"",IFERROR(INDEX((COPIA!$DA$3:$DE$1339),MATCH(ROWS(D$10:D612),COPIA!$DF$3:$DF$1339,0),COLUMN()-1),""))</f>
        <v/>
      </c>
      <c r="E612" s="9" t="str">
        <f ca="1">IF(IFERROR(INDEX((COPIA!$DA$3:$DE$1339),MATCH(ROWS(E$10:E612),COPIA!$DF$3:$DF$1339,0),COLUMN()-1),"")=0,"",IFERROR(INDEX((COPIA!$DA$3:$DE$1339),MATCH(ROWS(E$10:E612),COPIA!$DF$3:$DF$1339,0),COLUMN()-1),""))</f>
        <v/>
      </c>
      <c r="F612" s="6" t="str">
        <f ca="1">IF(IFERROR(INDEX((COPIA!$DA$3:$DE$1339),MATCH(ROWS(F$10:F612),COPIA!$DF$3:$DF$1339,0),COLUMN()-1),"")=0,"",IFERROR(INDEX((COPIA!$DA$3:$DE$1339),MATCH(ROWS(F$10:F612),COPIA!$DF$3:$DF$1339,0),COLUMN()-1),""))</f>
        <v/>
      </c>
    </row>
    <row r="613" spans="2:6" x14ac:dyDescent="0.3">
      <c r="B613" s="10" t="str">
        <f ca="1">IF(IFERROR(INDEX((COPIA!$DA$3:$DE$1339),MATCH(ROWS(B$10:B613),COPIA!$DF$3:$DF$1339,0),COLUMN()-1),"")&gt;=1,IFERROR(INDEX((COPIA!$DA$3:$DE$1339),MATCH(ROWS(B$10:B613),COPIA!$DF$3:$DF$1339,0),COLUMN()-1),""),"")</f>
        <v/>
      </c>
      <c r="C613" s="5" t="str">
        <f ca="1">SUBSTITUTE(IFERROR(INDEX((COPIA!$DA$3:$DE$1339),MATCH(ROWS(C$10:C613),COPIA!$DF$3:$DF$1339,0),COLUMN()-1),""),"MASTRO","")</f>
        <v/>
      </c>
      <c r="D613" s="136" t="str">
        <f ca="1">IF(IFERROR(INDEX((COPIA!$DA$3:$DE$1339),MATCH(ROWS(D$10:D613),COPIA!$DF$3:$DF$1339,0),COLUMN()-1),"")=0,"",IFERROR(INDEX((COPIA!$DA$3:$DE$1339),MATCH(ROWS(D$10:D613),COPIA!$DF$3:$DF$1339,0),COLUMN()-1),""))</f>
        <v/>
      </c>
      <c r="E613" s="9" t="str">
        <f ca="1">IF(IFERROR(INDEX((COPIA!$DA$3:$DE$1339),MATCH(ROWS(E$10:E613),COPIA!$DF$3:$DF$1339,0),COLUMN()-1),"")=0,"",IFERROR(INDEX((COPIA!$DA$3:$DE$1339),MATCH(ROWS(E$10:E613),COPIA!$DF$3:$DF$1339,0),COLUMN()-1),""))</f>
        <v/>
      </c>
      <c r="F613" s="6" t="str">
        <f ca="1">IF(IFERROR(INDEX((COPIA!$DA$3:$DE$1339),MATCH(ROWS(F$10:F613),COPIA!$DF$3:$DF$1339,0),COLUMN()-1),"")=0,"",IFERROR(INDEX((COPIA!$DA$3:$DE$1339),MATCH(ROWS(F$10:F613),COPIA!$DF$3:$DF$1339,0),COLUMN()-1),""))</f>
        <v/>
      </c>
    </row>
    <row r="614" spans="2:6" x14ac:dyDescent="0.3">
      <c r="B614" s="10" t="str">
        <f ca="1">IF(IFERROR(INDEX((COPIA!$DA$3:$DE$1339),MATCH(ROWS(B$10:B614),COPIA!$DF$3:$DF$1339,0),COLUMN()-1),"")&gt;=1,IFERROR(INDEX((COPIA!$DA$3:$DE$1339),MATCH(ROWS(B$10:B614),COPIA!$DF$3:$DF$1339,0),COLUMN()-1),""),"")</f>
        <v/>
      </c>
      <c r="C614" s="5" t="str">
        <f ca="1">SUBSTITUTE(IFERROR(INDEX((COPIA!$DA$3:$DE$1339),MATCH(ROWS(C$10:C614),COPIA!$DF$3:$DF$1339,0),COLUMN()-1),""),"MASTRO","")</f>
        <v/>
      </c>
      <c r="D614" s="136" t="str">
        <f ca="1">IF(IFERROR(INDEX((COPIA!$DA$3:$DE$1339),MATCH(ROWS(D$10:D614),COPIA!$DF$3:$DF$1339,0),COLUMN()-1),"")=0,"",IFERROR(INDEX((COPIA!$DA$3:$DE$1339),MATCH(ROWS(D$10:D614),COPIA!$DF$3:$DF$1339,0),COLUMN()-1),""))</f>
        <v/>
      </c>
      <c r="E614" s="9" t="str">
        <f ca="1">IF(IFERROR(INDEX((COPIA!$DA$3:$DE$1339),MATCH(ROWS(E$10:E614),COPIA!$DF$3:$DF$1339,0),COLUMN()-1),"")=0,"",IFERROR(INDEX((COPIA!$DA$3:$DE$1339),MATCH(ROWS(E$10:E614),COPIA!$DF$3:$DF$1339,0),COLUMN()-1),""))</f>
        <v/>
      </c>
      <c r="F614" s="6" t="str">
        <f ca="1">IF(IFERROR(INDEX((COPIA!$DA$3:$DE$1339),MATCH(ROWS(F$10:F614),COPIA!$DF$3:$DF$1339,0),COLUMN()-1),"")=0,"",IFERROR(INDEX((COPIA!$DA$3:$DE$1339),MATCH(ROWS(F$10:F614),COPIA!$DF$3:$DF$1339,0),COLUMN()-1),""))</f>
        <v/>
      </c>
    </row>
    <row r="615" spans="2:6" x14ac:dyDescent="0.3">
      <c r="B615" s="10" t="str">
        <f ca="1">IF(IFERROR(INDEX((COPIA!$DA$3:$DE$1339),MATCH(ROWS(B$10:B615),COPIA!$DF$3:$DF$1339,0),COLUMN()-1),"")&gt;=1,IFERROR(INDEX((COPIA!$DA$3:$DE$1339),MATCH(ROWS(B$10:B615),COPIA!$DF$3:$DF$1339,0),COLUMN()-1),""),"")</f>
        <v/>
      </c>
      <c r="C615" s="5" t="str">
        <f ca="1">SUBSTITUTE(IFERROR(INDEX((COPIA!$DA$3:$DE$1339),MATCH(ROWS(C$10:C615),COPIA!$DF$3:$DF$1339,0),COLUMN()-1),""),"MASTRO","")</f>
        <v/>
      </c>
      <c r="D615" s="136" t="str">
        <f ca="1">IF(IFERROR(INDEX((COPIA!$DA$3:$DE$1339),MATCH(ROWS(D$10:D615),COPIA!$DF$3:$DF$1339,0),COLUMN()-1),"")=0,"",IFERROR(INDEX((COPIA!$DA$3:$DE$1339),MATCH(ROWS(D$10:D615),COPIA!$DF$3:$DF$1339,0),COLUMN()-1),""))</f>
        <v/>
      </c>
      <c r="E615" s="9" t="str">
        <f ca="1">IF(IFERROR(INDEX((COPIA!$DA$3:$DE$1339),MATCH(ROWS(E$10:E615),COPIA!$DF$3:$DF$1339,0),COLUMN()-1),"")=0,"",IFERROR(INDEX((COPIA!$DA$3:$DE$1339),MATCH(ROWS(E$10:E615),COPIA!$DF$3:$DF$1339,0),COLUMN()-1),""))</f>
        <v/>
      </c>
      <c r="F615" s="6" t="str">
        <f ca="1">IF(IFERROR(INDEX((COPIA!$DA$3:$DE$1339),MATCH(ROWS(F$10:F615),COPIA!$DF$3:$DF$1339,0),COLUMN()-1),"")=0,"",IFERROR(INDEX((COPIA!$DA$3:$DE$1339),MATCH(ROWS(F$10:F615),COPIA!$DF$3:$DF$1339,0),COLUMN()-1),""))</f>
        <v/>
      </c>
    </row>
    <row r="616" spans="2:6" x14ac:dyDescent="0.3">
      <c r="B616" s="10" t="str">
        <f ca="1">IF(IFERROR(INDEX((COPIA!$DA$3:$DE$1339),MATCH(ROWS(B$10:B616),COPIA!$DF$3:$DF$1339,0),COLUMN()-1),"")&gt;=1,IFERROR(INDEX((COPIA!$DA$3:$DE$1339),MATCH(ROWS(B$10:B616),COPIA!$DF$3:$DF$1339,0),COLUMN()-1),""),"")</f>
        <v/>
      </c>
      <c r="C616" s="5" t="str">
        <f ca="1">SUBSTITUTE(IFERROR(INDEX((COPIA!$DA$3:$DE$1339),MATCH(ROWS(C$10:C616),COPIA!$DF$3:$DF$1339,0),COLUMN()-1),""),"MASTRO","")</f>
        <v/>
      </c>
      <c r="D616" s="136" t="str">
        <f ca="1">IF(IFERROR(INDEX((COPIA!$DA$3:$DE$1339),MATCH(ROWS(D$10:D616),COPIA!$DF$3:$DF$1339,0),COLUMN()-1),"")=0,"",IFERROR(INDEX((COPIA!$DA$3:$DE$1339),MATCH(ROWS(D$10:D616),COPIA!$DF$3:$DF$1339,0),COLUMN()-1),""))</f>
        <v/>
      </c>
      <c r="E616" s="9" t="str">
        <f ca="1">IF(IFERROR(INDEX((COPIA!$DA$3:$DE$1339),MATCH(ROWS(E$10:E616),COPIA!$DF$3:$DF$1339,0),COLUMN()-1),"")=0,"",IFERROR(INDEX((COPIA!$DA$3:$DE$1339),MATCH(ROWS(E$10:E616),COPIA!$DF$3:$DF$1339,0),COLUMN()-1),""))</f>
        <v/>
      </c>
      <c r="F616" s="6" t="str">
        <f ca="1">IF(IFERROR(INDEX((COPIA!$DA$3:$DE$1339),MATCH(ROWS(F$10:F616),COPIA!$DF$3:$DF$1339,0),COLUMN()-1),"")=0,"",IFERROR(INDEX((COPIA!$DA$3:$DE$1339),MATCH(ROWS(F$10:F616),COPIA!$DF$3:$DF$1339,0),COLUMN()-1),""))</f>
        <v/>
      </c>
    </row>
    <row r="617" spans="2:6" x14ac:dyDescent="0.3">
      <c r="B617" s="10" t="str">
        <f ca="1">IF(IFERROR(INDEX((COPIA!$DA$3:$DE$1339),MATCH(ROWS(B$10:B617),COPIA!$DF$3:$DF$1339,0),COLUMN()-1),"")&gt;=1,IFERROR(INDEX((COPIA!$DA$3:$DE$1339),MATCH(ROWS(B$10:B617),COPIA!$DF$3:$DF$1339,0),COLUMN()-1),""),"")</f>
        <v/>
      </c>
      <c r="C617" s="5" t="str">
        <f ca="1">SUBSTITUTE(IFERROR(INDEX((COPIA!$DA$3:$DE$1339),MATCH(ROWS(C$10:C617),COPIA!$DF$3:$DF$1339,0),COLUMN()-1),""),"MASTRO","")</f>
        <v/>
      </c>
      <c r="D617" s="136" t="str">
        <f ca="1">IF(IFERROR(INDEX((COPIA!$DA$3:$DE$1339),MATCH(ROWS(D$10:D617),COPIA!$DF$3:$DF$1339,0),COLUMN()-1),"")=0,"",IFERROR(INDEX((COPIA!$DA$3:$DE$1339),MATCH(ROWS(D$10:D617),COPIA!$DF$3:$DF$1339,0),COLUMN()-1),""))</f>
        <v/>
      </c>
      <c r="E617" s="9" t="str">
        <f ca="1">IF(IFERROR(INDEX((COPIA!$DA$3:$DE$1339),MATCH(ROWS(E$10:E617),COPIA!$DF$3:$DF$1339,0),COLUMN()-1),"")=0,"",IFERROR(INDEX((COPIA!$DA$3:$DE$1339),MATCH(ROWS(E$10:E617),COPIA!$DF$3:$DF$1339,0),COLUMN()-1),""))</f>
        <v/>
      </c>
      <c r="F617" s="6" t="str">
        <f ca="1">IF(IFERROR(INDEX((COPIA!$DA$3:$DE$1339),MATCH(ROWS(F$10:F617),COPIA!$DF$3:$DF$1339,0),COLUMN()-1),"")=0,"",IFERROR(INDEX((COPIA!$DA$3:$DE$1339),MATCH(ROWS(F$10:F617),COPIA!$DF$3:$DF$1339,0),COLUMN()-1),""))</f>
        <v/>
      </c>
    </row>
    <row r="618" spans="2:6" x14ac:dyDescent="0.3">
      <c r="B618" s="10" t="str">
        <f ca="1">IF(IFERROR(INDEX((COPIA!$DA$3:$DE$1339),MATCH(ROWS(B$10:B618),COPIA!$DF$3:$DF$1339,0),COLUMN()-1),"")&gt;=1,IFERROR(INDEX((COPIA!$DA$3:$DE$1339),MATCH(ROWS(B$10:B618),COPIA!$DF$3:$DF$1339,0),COLUMN()-1),""),"")</f>
        <v/>
      </c>
      <c r="C618" s="5" t="str">
        <f ca="1">SUBSTITUTE(IFERROR(INDEX((COPIA!$DA$3:$DE$1339),MATCH(ROWS(C$10:C618),COPIA!$DF$3:$DF$1339,0),COLUMN()-1),""),"MASTRO","")</f>
        <v/>
      </c>
      <c r="D618" s="136" t="str">
        <f ca="1">IF(IFERROR(INDEX((COPIA!$DA$3:$DE$1339),MATCH(ROWS(D$10:D618),COPIA!$DF$3:$DF$1339,0),COLUMN()-1),"")=0,"",IFERROR(INDEX((COPIA!$DA$3:$DE$1339),MATCH(ROWS(D$10:D618),COPIA!$DF$3:$DF$1339,0),COLUMN()-1),""))</f>
        <v/>
      </c>
      <c r="E618" s="9" t="str">
        <f ca="1">IF(IFERROR(INDEX((COPIA!$DA$3:$DE$1339),MATCH(ROWS(E$10:E618),COPIA!$DF$3:$DF$1339,0),COLUMN()-1),"")=0,"",IFERROR(INDEX((COPIA!$DA$3:$DE$1339),MATCH(ROWS(E$10:E618),COPIA!$DF$3:$DF$1339,0),COLUMN()-1),""))</f>
        <v/>
      </c>
      <c r="F618" s="6" t="str">
        <f ca="1">IF(IFERROR(INDEX((COPIA!$DA$3:$DE$1339),MATCH(ROWS(F$10:F618),COPIA!$DF$3:$DF$1339,0),COLUMN()-1),"")=0,"",IFERROR(INDEX((COPIA!$DA$3:$DE$1339),MATCH(ROWS(F$10:F618),COPIA!$DF$3:$DF$1339,0),COLUMN()-1),""))</f>
        <v/>
      </c>
    </row>
    <row r="619" spans="2:6" x14ac:dyDescent="0.3">
      <c r="B619" s="10" t="str">
        <f ca="1">IF(IFERROR(INDEX((COPIA!$DA$3:$DE$1339),MATCH(ROWS(B$10:B619),COPIA!$DF$3:$DF$1339,0),COLUMN()-1),"")&gt;=1,IFERROR(INDEX((COPIA!$DA$3:$DE$1339),MATCH(ROWS(B$10:B619),COPIA!$DF$3:$DF$1339,0),COLUMN()-1),""),"")</f>
        <v/>
      </c>
      <c r="C619" s="5" t="str">
        <f ca="1">SUBSTITUTE(IFERROR(INDEX((COPIA!$DA$3:$DE$1339),MATCH(ROWS(C$10:C619),COPIA!$DF$3:$DF$1339,0),COLUMN()-1),""),"MASTRO","")</f>
        <v/>
      </c>
      <c r="D619" s="136" t="str">
        <f ca="1">IF(IFERROR(INDEX((COPIA!$DA$3:$DE$1339),MATCH(ROWS(D$10:D619),COPIA!$DF$3:$DF$1339,0),COLUMN()-1),"")=0,"",IFERROR(INDEX((COPIA!$DA$3:$DE$1339),MATCH(ROWS(D$10:D619),COPIA!$DF$3:$DF$1339,0),COLUMN()-1),""))</f>
        <v/>
      </c>
      <c r="E619" s="9" t="str">
        <f ca="1">IF(IFERROR(INDEX((COPIA!$DA$3:$DE$1339),MATCH(ROWS(E$10:E619),COPIA!$DF$3:$DF$1339,0),COLUMN()-1),"")=0,"",IFERROR(INDEX((COPIA!$DA$3:$DE$1339),MATCH(ROWS(E$10:E619),COPIA!$DF$3:$DF$1339,0),COLUMN()-1),""))</f>
        <v/>
      </c>
      <c r="F619" s="6" t="str">
        <f ca="1">IF(IFERROR(INDEX((COPIA!$DA$3:$DE$1339),MATCH(ROWS(F$10:F619),COPIA!$DF$3:$DF$1339,0),COLUMN()-1),"")=0,"",IFERROR(INDEX((COPIA!$DA$3:$DE$1339),MATCH(ROWS(F$10:F619),COPIA!$DF$3:$DF$1339,0),COLUMN()-1),""))</f>
        <v/>
      </c>
    </row>
    <row r="620" spans="2:6" x14ac:dyDescent="0.3">
      <c r="B620" s="10" t="str">
        <f ca="1">IF(IFERROR(INDEX((COPIA!$DA$3:$DE$1339),MATCH(ROWS(B$10:B620),COPIA!$DF$3:$DF$1339,0),COLUMN()-1),"")&gt;=1,IFERROR(INDEX((COPIA!$DA$3:$DE$1339),MATCH(ROWS(B$10:B620),COPIA!$DF$3:$DF$1339,0),COLUMN()-1),""),"")</f>
        <v/>
      </c>
      <c r="C620" s="5" t="str">
        <f ca="1">SUBSTITUTE(IFERROR(INDEX((COPIA!$DA$3:$DE$1339),MATCH(ROWS(C$10:C620),COPIA!$DF$3:$DF$1339,0),COLUMN()-1),""),"MASTRO","")</f>
        <v/>
      </c>
      <c r="D620" s="136" t="str">
        <f ca="1">IF(IFERROR(INDEX((COPIA!$DA$3:$DE$1339),MATCH(ROWS(D$10:D620),COPIA!$DF$3:$DF$1339,0),COLUMN()-1),"")=0,"",IFERROR(INDEX((COPIA!$DA$3:$DE$1339),MATCH(ROWS(D$10:D620),COPIA!$DF$3:$DF$1339,0),COLUMN()-1),""))</f>
        <v/>
      </c>
      <c r="E620" s="9" t="str">
        <f ca="1">IF(IFERROR(INDEX((COPIA!$DA$3:$DE$1339),MATCH(ROWS(E$10:E620),COPIA!$DF$3:$DF$1339,0),COLUMN()-1),"")=0,"",IFERROR(INDEX((COPIA!$DA$3:$DE$1339),MATCH(ROWS(E$10:E620),COPIA!$DF$3:$DF$1339,0),COLUMN()-1),""))</f>
        <v/>
      </c>
      <c r="F620" s="6" t="str">
        <f ca="1">IF(IFERROR(INDEX((COPIA!$DA$3:$DE$1339),MATCH(ROWS(F$10:F620),COPIA!$DF$3:$DF$1339,0),COLUMN()-1),"")=0,"",IFERROR(INDEX((COPIA!$DA$3:$DE$1339),MATCH(ROWS(F$10:F620),COPIA!$DF$3:$DF$1339,0),COLUMN()-1),""))</f>
        <v/>
      </c>
    </row>
    <row r="621" spans="2:6" x14ac:dyDescent="0.3">
      <c r="B621" s="10" t="str">
        <f ca="1">IF(IFERROR(INDEX((COPIA!$DA$3:$DE$1339),MATCH(ROWS(B$10:B621),COPIA!$DF$3:$DF$1339,0),COLUMN()-1),"")&gt;=1,IFERROR(INDEX((COPIA!$DA$3:$DE$1339),MATCH(ROWS(B$10:B621),COPIA!$DF$3:$DF$1339,0),COLUMN()-1),""),"")</f>
        <v/>
      </c>
      <c r="C621" s="5" t="str">
        <f ca="1">SUBSTITUTE(IFERROR(INDEX((COPIA!$DA$3:$DE$1339),MATCH(ROWS(C$10:C621),COPIA!$DF$3:$DF$1339,0),COLUMN()-1),""),"MASTRO","")</f>
        <v/>
      </c>
      <c r="D621" s="136" t="str">
        <f ca="1">IF(IFERROR(INDEX((COPIA!$DA$3:$DE$1339),MATCH(ROWS(D$10:D621),COPIA!$DF$3:$DF$1339,0),COLUMN()-1),"")=0,"",IFERROR(INDEX((COPIA!$DA$3:$DE$1339),MATCH(ROWS(D$10:D621),COPIA!$DF$3:$DF$1339,0),COLUMN()-1),""))</f>
        <v/>
      </c>
      <c r="E621" s="9" t="str">
        <f ca="1">IF(IFERROR(INDEX((COPIA!$DA$3:$DE$1339),MATCH(ROWS(E$10:E621),COPIA!$DF$3:$DF$1339,0),COLUMN()-1),"")=0,"",IFERROR(INDEX((COPIA!$DA$3:$DE$1339),MATCH(ROWS(E$10:E621),COPIA!$DF$3:$DF$1339,0),COLUMN()-1),""))</f>
        <v/>
      </c>
      <c r="F621" s="6" t="str">
        <f ca="1">IF(IFERROR(INDEX((COPIA!$DA$3:$DE$1339),MATCH(ROWS(F$10:F621),COPIA!$DF$3:$DF$1339,0),COLUMN()-1),"")=0,"",IFERROR(INDEX((COPIA!$DA$3:$DE$1339),MATCH(ROWS(F$10:F621),COPIA!$DF$3:$DF$1339,0),COLUMN()-1),""))</f>
        <v/>
      </c>
    </row>
    <row r="622" spans="2:6" x14ac:dyDescent="0.3">
      <c r="B622" s="10" t="str">
        <f ca="1">IF(IFERROR(INDEX((COPIA!$DA$3:$DE$1339),MATCH(ROWS(B$10:B622),COPIA!$DF$3:$DF$1339,0),COLUMN()-1),"")&gt;=1,IFERROR(INDEX((COPIA!$DA$3:$DE$1339),MATCH(ROWS(B$10:B622),COPIA!$DF$3:$DF$1339,0),COLUMN()-1),""),"")</f>
        <v/>
      </c>
      <c r="C622" s="5" t="str">
        <f ca="1">SUBSTITUTE(IFERROR(INDEX((COPIA!$DA$3:$DE$1339),MATCH(ROWS(C$10:C622),COPIA!$DF$3:$DF$1339,0),COLUMN()-1),""),"MASTRO","")</f>
        <v/>
      </c>
      <c r="D622" s="136" t="str">
        <f ca="1">IF(IFERROR(INDEX((COPIA!$DA$3:$DE$1339),MATCH(ROWS(D$10:D622),COPIA!$DF$3:$DF$1339,0),COLUMN()-1),"")=0,"",IFERROR(INDEX((COPIA!$DA$3:$DE$1339),MATCH(ROWS(D$10:D622),COPIA!$DF$3:$DF$1339,0),COLUMN()-1),""))</f>
        <v/>
      </c>
      <c r="E622" s="9" t="str">
        <f ca="1">IF(IFERROR(INDEX((COPIA!$DA$3:$DE$1339),MATCH(ROWS(E$10:E622),COPIA!$DF$3:$DF$1339,0),COLUMN()-1),"")=0,"",IFERROR(INDEX((COPIA!$DA$3:$DE$1339),MATCH(ROWS(E$10:E622),COPIA!$DF$3:$DF$1339,0),COLUMN()-1),""))</f>
        <v/>
      </c>
      <c r="F622" s="6" t="str">
        <f ca="1">IF(IFERROR(INDEX((COPIA!$DA$3:$DE$1339),MATCH(ROWS(F$10:F622),COPIA!$DF$3:$DF$1339,0),COLUMN()-1),"")=0,"",IFERROR(INDEX((COPIA!$DA$3:$DE$1339),MATCH(ROWS(F$10:F622),COPIA!$DF$3:$DF$1339,0),COLUMN()-1),""))</f>
        <v/>
      </c>
    </row>
    <row r="623" spans="2:6" x14ac:dyDescent="0.3">
      <c r="B623" s="10" t="str">
        <f ca="1">IF(IFERROR(INDEX((COPIA!$DA$3:$DE$1339),MATCH(ROWS(B$10:B623),COPIA!$DF$3:$DF$1339,0),COLUMN()-1),"")&gt;=1,IFERROR(INDEX((COPIA!$DA$3:$DE$1339),MATCH(ROWS(B$10:B623),COPIA!$DF$3:$DF$1339,0),COLUMN()-1),""),"")</f>
        <v/>
      </c>
      <c r="C623" s="5" t="str">
        <f ca="1">SUBSTITUTE(IFERROR(INDEX((COPIA!$DA$3:$DE$1339),MATCH(ROWS(C$10:C623),COPIA!$DF$3:$DF$1339,0),COLUMN()-1),""),"MASTRO","")</f>
        <v/>
      </c>
      <c r="D623" s="136" t="str">
        <f ca="1">IF(IFERROR(INDEX((COPIA!$DA$3:$DE$1339),MATCH(ROWS(D$10:D623),COPIA!$DF$3:$DF$1339,0),COLUMN()-1),"")=0,"",IFERROR(INDEX((COPIA!$DA$3:$DE$1339),MATCH(ROWS(D$10:D623),COPIA!$DF$3:$DF$1339,0),COLUMN()-1),""))</f>
        <v/>
      </c>
      <c r="E623" s="9" t="str">
        <f ca="1">IF(IFERROR(INDEX((COPIA!$DA$3:$DE$1339),MATCH(ROWS(E$10:E623),COPIA!$DF$3:$DF$1339,0),COLUMN()-1),"")=0,"",IFERROR(INDEX((COPIA!$DA$3:$DE$1339),MATCH(ROWS(E$10:E623),COPIA!$DF$3:$DF$1339,0),COLUMN()-1),""))</f>
        <v/>
      </c>
      <c r="F623" s="6" t="str">
        <f ca="1">IF(IFERROR(INDEX((COPIA!$DA$3:$DE$1339),MATCH(ROWS(F$10:F623),COPIA!$DF$3:$DF$1339,0),COLUMN()-1),"")=0,"",IFERROR(INDEX((COPIA!$DA$3:$DE$1339),MATCH(ROWS(F$10:F623),COPIA!$DF$3:$DF$1339,0),COLUMN()-1),""))</f>
        <v/>
      </c>
    </row>
    <row r="624" spans="2:6" x14ac:dyDescent="0.3">
      <c r="B624" s="10" t="str">
        <f ca="1">IF(IFERROR(INDEX((COPIA!$DA$3:$DE$1339),MATCH(ROWS(B$10:B624),COPIA!$DF$3:$DF$1339,0),COLUMN()-1),"")&gt;=1,IFERROR(INDEX((COPIA!$DA$3:$DE$1339),MATCH(ROWS(B$10:B624),COPIA!$DF$3:$DF$1339,0),COLUMN()-1),""),"")</f>
        <v/>
      </c>
      <c r="C624" s="5" t="str">
        <f ca="1">SUBSTITUTE(IFERROR(INDEX((COPIA!$DA$3:$DE$1339),MATCH(ROWS(C$10:C624),COPIA!$DF$3:$DF$1339,0),COLUMN()-1),""),"MASTRO","")</f>
        <v/>
      </c>
      <c r="D624" s="136" t="str">
        <f ca="1">IF(IFERROR(INDEX((COPIA!$DA$3:$DE$1339),MATCH(ROWS(D$10:D624),COPIA!$DF$3:$DF$1339,0),COLUMN()-1),"")=0,"",IFERROR(INDEX((COPIA!$DA$3:$DE$1339),MATCH(ROWS(D$10:D624),COPIA!$DF$3:$DF$1339,0),COLUMN()-1),""))</f>
        <v/>
      </c>
      <c r="E624" s="9" t="str">
        <f ca="1">IF(IFERROR(INDEX((COPIA!$DA$3:$DE$1339),MATCH(ROWS(E$10:E624),COPIA!$DF$3:$DF$1339,0),COLUMN()-1),"")=0,"",IFERROR(INDEX((COPIA!$DA$3:$DE$1339),MATCH(ROWS(E$10:E624),COPIA!$DF$3:$DF$1339,0),COLUMN()-1),""))</f>
        <v/>
      </c>
      <c r="F624" s="6" t="str">
        <f ca="1">IF(IFERROR(INDEX((COPIA!$DA$3:$DE$1339),MATCH(ROWS(F$10:F624),COPIA!$DF$3:$DF$1339,0),COLUMN()-1),"")=0,"",IFERROR(INDEX((COPIA!$DA$3:$DE$1339),MATCH(ROWS(F$10:F624),COPIA!$DF$3:$DF$1339,0),COLUMN()-1),""))</f>
        <v/>
      </c>
    </row>
    <row r="625" spans="2:6" x14ac:dyDescent="0.3">
      <c r="B625" s="10" t="str">
        <f ca="1">IF(IFERROR(INDEX((COPIA!$DA$3:$DE$1339),MATCH(ROWS(B$10:B625),COPIA!$DF$3:$DF$1339,0),COLUMN()-1),"")&gt;=1,IFERROR(INDEX((COPIA!$DA$3:$DE$1339),MATCH(ROWS(B$10:B625),COPIA!$DF$3:$DF$1339,0),COLUMN()-1),""),"")</f>
        <v/>
      </c>
      <c r="C625" s="5" t="str">
        <f ca="1">SUBSTITUTE(IFERROR(INDEX((COPIA!$DA$3:$DE$1339),MATCH(ROWS(C$10:C625),COPIA!$DF$3:$DF$1339,0),COLUMN()-1),""),"MASTRO","")</f>
        <v/>
      </c>
      <c r="D625" s="136" t="str">
        <f ca="1">IF(IFERROR(INDEX((COPIA!$DA$3:$DE$1339),MATCH(ROWS(D$10:D625),COPIA!$DF$3:$DF$1339,0),COLUMN()-1),"")=0,"",IFERROR(INDEX((COPIA!$DA$3:$DE$1339),MATCH(ROWS(D$10:D625),COPIA!$DF$3:$DF$1339,0),COLUMN()-1),""))</f>
        <v/>
      </c>
      <c r="E625" s="9" t="str">
        <f ca="1">IF(IFERROR(INDEX((COPIA!$DA$3:$DE$1339),MATCH(ROWS(E$10:E625),COPIA!$DF$3:$DF$1339,0),COLUMN()-1),"")=0,"",IFERROR(INDEX((COPIA!$DA$3:$DE$1339),MATCH(ROWS(E$10:E625),COPIA!$DF$3:$DF$1339,0),COLUMN()-1),""))</f>
        <v/>
      </c>
      <c r="F625" s="6" t="str">
        <f ca="1">IF(IFERROR(INDEX((COPIA!$DA$3:$DE$1339),MATCH(ROWS(F$10:F625),COPIA!$DF$3:$DF$1339,0),COLUMN()-1),"")=0,"",IFERROR(INDEX((COPIA!$DA$3:$DE$1339),MATCH(ROWS(F$10:F625),COPIA!$DF$3:$DF$1339,0),COLUMN()-1),""))</f>
        <v/>
      </c>
    </row>
    <row r="626" spans="2:6" x14ac:dyDescent="0.3">
      <c r="B626" s="10" t="str">
        <f ca="1">IF(IFERROR(INDEX((COPIA!$DA$3:$DE$1339),MATCH(ROWS(B$10:B626),COPIA!$DF$3:$DF$1339,0),COLUMN()-1),"")&gt;=1,IFERROR(INDEX((COPIA!$DA$3:$DE$1339),MATCH(ROWS(B$10:B626),COPIA!$DF$3:$DF$1339,0),COLUMN()-1),""),"")</f>
        <v/>
      </c>
      <c r="C626" s="5" t="str">
        <f ca="1">SUBSTITUTE(IFERROR(INDEX((COPIA!$DA$3:$DE$1339),MATCH(ROWS(C$10:C626),COPIA!$DF$3:$DF$1339,0),COLUMN()-1),""),"MASTRO","")</f>
        <v/>
      </c>
      <c r="D626" s="136" t="str">
        <f ca="1">IF(IFERROR(INDEX((COPIA!$DA$3:$DE$1339),MATCH(ROWS(D$10:D626),COPIA!$DF$3:$DF$1339,0),COLUMN()-1),"")=0,"",IFERROR(INDEX((COPIA!$DA$3:$DE$1339),MATCH(ROWS(D$10:D626),COPIA!$DF$3:$DF$1339,0),COLUMN()-1),""))</f>
        <v/>
      </c>
      <c r="E626" s="9" t="str">
        <f ca="1">IF(IFERROR(INDEX((COPIA!$DA$3:$DE$1339),MATCH(ROWS(E$10:E626),COPIA!$DF$3:$DF$1339,0),COLUMN()-1),"")=0,"",IFERROR(INDEX((COPIA!$DA$3:$DE$1339),MATCH(ROWS(E$10:E626),COPIA!$DF$3:$DF$1339,0),COLUMN()-1),""))</f>
        <v/>
      </c>
      <c r="F626" s="6" t="str">
        <f ca="1">IF(IFERROR(INDEX((COPIA!$DA$3:$DE$1339),MATCH(ROWS(F$10:F626),COPIA!$DF$3:$DF$1339,0),COLUMN()-1),"")=0,"",IFERROR(INDEX((COPIA!$DA$3:$DE$1339),MATCH(ROWS(F$10:F626),COPIA!$DF$3:$DF$1339,0),COLUMN()-1),""))</f>
        <v/>
      </c>
    </row>
    <row r="627" spans="2:6" x14ac:dyDescent="0.3">
      <c r="B627" s="10" t="str">
        <f ca="1">IF(IFERROR(INDEX((COPIA!$DA$3:$DE$1339),MATCH(ROWS(B$10:B627),COPIA!$DF$3:$DF$1339,0),COLUMN()-1),"")&gt;=1,IFERROR(INDEX((COPIA!$DA$3:$DE$1339),MATCH(ROWS(B$10:B627),COPIA!$DF$3:$DF$1339,0),COLUMN()-1),""),"")</f>
        <v/>
      </c>
      <c r="C627" s="5" t="str">
        <f ca="1">SUBSTITUTE(IFERROR(INDEX((COPIA!$DA$3:$DE$1339),MATCH(ROWS(C$10:C627),COPIA!$DF$3:$DF$1339,0),COLUMN()-1),""),"MASTRO","")</f>
        <v/>
      </c>
      <c r="D627" s="136" t="str">
        <f ca="1">IF(IFERROR(INDEX((COPIA!$DA$3:$DE$1339),MATCH(ROWS(D$10:D627),COPIA!$DF$3:$DF$1339,0),COLUMN()-1),"")=0,"",IFERROR(INDEX((COPIA!$DA$3:$DE$1339),MATCH(ROWS(D$10:D627),COPIA!$DF$3:$DF$1339,0),COLUMN()-1),""))</f>
        <v/>
      </c>
      <c r="E627" s="9" t="str">
        <f ca="1">IF(IFERROR(INDEX((COPIA!$DA$3:$DE$1339),MATCH(ROWS(E$10:E627),COPIA!$DF$3:$DF$1339,0),COLUMN()-1),"")=0,"",IFERROR(INDEX((COPIA!$DA$3:$DE$1339),MATCH(ROWS(E$10:E627),COPIA!$DF$3:$DF$1339,0),COLUMN()-1),""))</f>
        <v/>
      </c>
      <c r="F627" s="6" t="str">
        <f ca="1">IF(IFERROR(INDEX((COPIA!$DA$3:$DE$1339),MATCH(ROWS(F$10:F627),COPIA!$DF$3:$DF$1339,0),COLUMN()-1),"")=0,"",IFERROR(INDEX((COPIA!$DA$3:$DE$1339),MATCH(ROWS(F$10:F627),COPIA!$DF$3:$DF$1339,0),COLUMN()-1),""))</f>
        <v/>
      </c>
    </row>
    <row r="628" spans="2:6" x14ac:dyDescent="0.3">
      <c r="B628" s="10" t="str">
        <f ca="1">IF(IFERROR(INDEX((COPIA!$DA$3:$DE$1339),MATCH(ROWS(B$10:B628),COPIA!$DF$3:$DF$1339,0),COLUMN()-1),"")&gt;=1,IFERROR(INDEX((COPIA!$DA$3:$DE$1339),MATCH(ROWS(B$10:B628),COPIA!$DF$3:$DF$1339,0),COLUMN()-1),""),"")</f>
        <v/>
      </c>
      <c r="C628" s="5" t="str">
        <f ca="1">SUBSTITUTE(IFERROR(INDEX((COPIA!$DA$3:$DE$1339),MATCH(ROWS(C$10:C628),COPIA!$DF$3:$DF$1339,0),COLUMN()-1),""),"MASTRO","")</f>
        <v/>
      </c>
      <c r="D628" s="136" t="str">
        <f ca="1">IF(IFERROR(INDEX((COPIA!$DA$3:$DE$1339),MATCH(ROWS(D$10:D628),COPIA!$DF$3:$DF$1339,0),COLUMN()-1),"")=0,"",IFERROR(INDEX((COPIA!$DA$3:$DE$1339),MATCH(ROWS(D$10:D628),COPIA!$DF$3:$DF$1339,0),COLUMN()-1),""))</f>
        <v/>
      </c>
      <c r="E628" s="9" t="str">
        <f ca="1">IF(IFERROR(INDEX((COPIA!$DA$3:$DE$1339),MATCH(ROWS(E$10:E628),COPIA!$DF$3:$DF$1339,0),COLUMN()-1),"")=0,"",IFERROR(INDEX((COPIA!$DA$3:$DE$1339),MATCH(ROWS(E$10:E628),COPIA!$DF$3:$DF$1339,0),COLUMN()-1),""))</f>
        <v/>
      </c>
      <c r="F628" s="6" t="str">
        <f ca="1">IF(IFERROR(INDEX((COPIA!$DA$3:$DE$1339),MATCH(ROWS(F$10:F628),COPIA!$DF$3:$DF$1339,0),COLUMN()-1),"")=0,"",IFERROR(INDEX((COPIA!$DA$3:$DE$1339),MATCH(ROWS(F$10:F628),COPIA!$DF$3:$DF$1339,0),COLUMN()-1),""))</f>
        <v/>
      </c>
    </row>
    <row r="629" spans="2:6" x14ac:dyDescent="0.3">
      <c r="B629" s="10" t="str">
        <f ca="1">IF(IFERROR(INDEX((COPIA!$DA$3:$DE$1339),MATCH(ROWS(B$10:B629),COPIA!$DF$3:$DF$1339,0),COLUMN()-1),"")&gt;=1,IFERROR(INDEX((COPIA!$DA$3:$DE$1339),MATCH(ROWS(B$10:B629),COPIA!$DF$3:$DF$1339,0),COLUMN()-1),""),"")</f>
        <v/>
      </c>
      <c r="C629" s="5" t="str">
        <f ca="1">SUBSTITUTE(IFERROR(INDEX((COPIA!$DA$3:$DE$1339),MATCH(ROWS(C$10:C629),COPIA!$DF$3:$DF$1339,0),COLUMN()-1),""),"MASTRO","")</f>
        <v/>
      </c>
      <c r="D629" s="136" t="str">
        <f ca="1">IF(IFERROR(INDEX((COPIA!$DA$3:$DE$1339),MATCH(ROWS(D$10:D629),COPIA!$DF$3:$DF$1339,0),COLUMN()-1),"")=0,"",IFERROR(INDEX((COPIA!$DA$3:$DE$1339),MATCH(ROWS(D$10:D629),COPIA!$DF$3:$DF$1339,0),COLUMN()-1),""))</f>
        <v/>
      </c>
      <c r="E629" s="9" t="str">
        <f ca="1">IF(IFERROR(INDEX((COPIA!$DA$3:$DE$1339),MATCH(ROWS(E$10:E629),COPIA!$DF$3:$DF$1339,0),COLUMN()-1),"")=0,"",IFERROR(INDEX((COPIA!$DA$3:$DE$1339),MATCH(ROWS(E$10:E629),COPIA!$DF$3:$DF$1339,0),COLUMN()-1),""))</f>
        <v/>
      </c>
      <c r="F629" s="6" t="str">
        <f ca="1">IF(IFERROR(INDEX((COPIA!$DA$3:$DE$1339),MATCH(ROWS(F$10:F629),COPIA!$DF$3:$DF$1339,0),COLUMN()-1),"")=0,"",IFERROR(INDEX((COPIA!$DA$3:$DE$1339),MATCH(ROWS(F$10:F629),COPIA!$DF$3:$DF$1339,0),COLUMN()-1),""))</f>
        <v/>
      </c>
    </row>
    <row r="630" spans="2:6" x14ac:dyDescent="0.3">
      <c r="B630" s="10" t="str">
        <f ca="1">IF(IFERROR(INDEX((COPIA!$DA$3:$DE$1339),MATCH(ROWS(B$10:B630),COPIA!$DF$3:$DF$1339,0),COLUMN()-1),"")&gt;=1,IFERROR(INDEX((COPIA!$DA$3:$DE$1339),MATCH(ROWS(B$10:B630),COPIA!$DF$3:$DF$1339,0),COLUMN()-1),""),"")</f>
        <v/>
      </c>
      <c r="C630" s="5" t="str">
        <f ca="1">SUBSTITUTE(IFERROR(INDEX((COPIA!$DA$3:$DE$1339),MATCH(ROWS(C$10:C630),COPIA!$DF$3:$DF$1339,0),COLUMN()-1),""),"MASTRO","")</f>
        <v/>
      </c>
      <c r="D630" s="136" t="str">
        <f ca="1">IF(IFERROR(INDEX((COPIA!$DA$3:$DE$1339),MATCH(ROWS(D$10:D630),COPIA!$DF$3:$DF$1339,0),COLUMN()-1),"")=0,"",IFERROR(INDEX((COPIA!$DA$3:$DE$1339),MATCH(ROWS(D$10:D630),COPIA!$DF$3:$DF$1339,0),COLUMN()-1),""))</f>
        <v/>
      </c>
      <c r="E630" s="9" t="str">
        <f ca="1">IF(IFERROR(INDEX((COPIA!$DA$3:$DE$1339),MATCH(ROWS(E$10:E630),COPIA!$DF$3:$DF$1339,0),COLUMN()-1),"")=0,"",IFERROR(INDEX((COPIA!$DA$3:$DE$1339),MATCH(ROWS(E$10:E630),COPIA!$DF$3:$DF$1339,0),COLUMN()-1),""))</f>
        <v/>
      </c>
      <c r="F630" s="6" t="str">
        <f ca="1">IF(IFERROR(INDEX((COPIA!$DA$3:$DE$1339),MATCH(ROWS(F$10:F630),COPIA!$DF$3:$DF$1339,0),COLUMN()-1),"")=0,"",IFERROR(INDEX((COPIA!$DA$3:$DE$1339),MATCH(ROWS(F$10:F630),COPIA!$DF$3:$DF$1339,0),COLUMN()-1),""))</f>
        <v/>
      </c>
    </row>
    <row r="631" spans="2:6" x14ac:dyDescent="0.3">
      <c r="B631" s="10" t="str">
        <f ca="1">IF(IFERROR(INDEX((COPIA!$DA$3:$DE$1339),MATCH(ROWS(B$10:B631),COPIA!$DF$3:$DF$1339,0),COLUMN()-1),"")&gt;=1,IFERROR(INDEX((COPIA!$DA$3:$DE$1339),MATCH(ROWS(B$10:B631),COPIA!$DF$3:$DF$1339,0),COLUMN()-1),""),"")</f>
        <v/>
      </c>
      <c r="C631" s="5" t="str">
        <f ca="1">SUBSTITUTE(IFERROR(INDEX((COPIA!$DA$3:$DE$1339),MATCH(ROWS(C$10:C631),COPIA!$DF$3:$DF$1339,0),COLUMN()-1),""),"MASTRO","")</f>
        <v/>
      </c>
      <c r="D631" s="136" t="str">
        <f ca="1">IF(IFERROR(INDEX((COPIA!$DA$3:$DE$1339),MATCH(ROWS(D$10:D631),COPIA!$DF$3:$DF$1339,0),COLUMN()-1),"")=0,"",IFERROR(INDEX((COPIA!$DA$3:$DE$1339),MATCH(ROWS(D$10:D631),COPIA!$DF$3:$DF$1339,0),COLUMN()-1),""))</f>
        <v/>
      </c>
      <c r="E631" s="9" t="str">
        <f ca="1">IF(IFERROR(INDEX((COPIA!$DA$3:$DE$1339),MATCH(ROWS(E$10:E631),COPIA!$DF$3:$DF$1339,0),COLUMN()-1),"")=0,"",IFERROR(INDEX((COPIA!$DA$3:$DE$1339),MATCH(ROWS(E$10:E631),COPIA!$DF$3:$DF$1339,0),COLUMN()-1),""))</f>
        <v/>
      </c>
      <c r="F631" s="6" t="str">
        <f ca="1">IF(IFERROR(INDEX((COPIA!$DA$3:$DE$1339),MATCH(ROWS(F$10:F631),COPIA!$DF$3:$DF$1339,0),COLUMN()-1),"")=0,"",IFERROR(INDEX((COPIA!$DA$3:$DE$1339),MATCH(ROWS(F$10:F631),COPIA!$DF$3:$DF$1339,0),COLUMN()-1),""))</f>
        <v/>
      </c>
    </row>
    <row r="632" spans="2:6" x14ac:dyDescent="0.3">
      <c r="B632" s="10" t="str">
        <f ca="1">IF(IFERROR(INDEX((COPIA!$DA$3:$DE$1339),MATCH(ROWS(B$10:B632),COPIA!$DF$3:$DF$1339,0),COLUMN()-1),"")&gt;=1,IFERROR(INDEX((COPIA!$DA$3:$DE$1339),MATCH(ROWS(B$10:B632),COPIA!$DF$3:$DF$1339,0),COLUMN()-1),""),"")</f>
        <v/>
      </c>
      <c r="C632" s="5" t="str">
        <f ca="1">SUBSTITUTE(IFERROR(INDEX((COPIA!$DA$3:$DE$1339),MATCH(ROWS(C$10:C632),COPIA!$DF$3:$DF$1339,0),COLUMN()-1),""),"MASTRO","")</f>
        <v/>
      </c>
      <c r="D632" s="136" t="str">
        <f ca="1">IF(IFERROR(INDEX((COPIA!$DA$3:$DE$1339),MATCH(ROWS(D$10:D632),COPIA!$DF$3:$DF$1339,0),COLUMN()-1),"")=0,"",IFERROR(INDEX((COPIA!$DA$3:$DE$1339),MATCH(ROWS(D$10:D632),COPIA!$DF$3:$DF$1339,0),COLUMN()-1),""))</f>
        <v/>
      </c>
      <c r="E632" s="9" t="str">
        <f ca="1">IF(IFERROR(INDEX((COPIA!$DA$3:$DE$1339),MATCH(ROWS(E$10:E632),COPIA!$DF$3:$DF$1339,0),COLUMN()-1),"")=0,"",IFERROR(INDEX((COPIA!$DA$3:$DE$1339),MATCH(ROWS(E$10:E632),COPIA!$DF$3:$DF$1339,0),COLUMN()-1),""))</f>
        <v/>
      </c>
      <c r="F632" s="6" t="str">
        <f ca="1">IF(IFERROR(INDEX((COPIA!$DA$3:$DE$1339),MATCH(ROWS(F$10:F632),COPIA!$DF$3:$DF$1339,0),COLUMN()-1),"")=0,"",IFERROR(INDEX((COPIA!$DA$3:$DE$1339),MATCH(ROWS(F$10:F632),COPIA!$DF$3:$DF$1339,0),COLUMN()-1),""))</f>
        <v/>
      </c>
    </row>
    <row r="633" spans="2:6" x14ac:dyDescent="0.3">
      <c r="B633" s="10" t="str">
        <f ca="1">IF(IFERROR(INDEX((COPIA!$DA$3:$DE$1339),MATCH(ROWS(B$10:B633),COPIA!$DF$3:$DF$1339,0),COLUMN()-1),"")&gt;=1,IFERROR(INDEX((COPIA!$DA$3:$DE$1339),MATCH(ROWS(B$10:B633),COPIA!$DF$3:$DF$1339,0),COLUMN()-1),""),"")</f>
        <v/>
      </c>
      <c r="C633" s="5" t="str">
        <f ca="1">SUBSTITUTE(IFERROR(INDEX((COPIA!$DA$3:$DE$1339),MATCH(ROWS(C$10:C633),COPIA!$DF$3:$DF$1339,0),COLUMN()-1),""),"MASTRO","")</f>
        <v/>
      </c>
      <c r="D633" s="136" t="str">
        <f ca="1">IF(IFERROR(INDEX((COPIA!$DA$3:$DE$1339),MATCH(ROWS(D$10:D633),COPIA!$DF$3:$DF$1339,0),COLUMN()-1),"")=0,"",IFERROR(INDEX((COPIA!$DA$3:$DE$1339),MATCH(ROWS(D$10:D633),COPIA!$DF$3:$DF$1339,0),COLUMN()-1),""))</f>
        <v/>
      </c>
      <c r="E633" s="9" t="str">
        <f ca="1">IF(IFERROR(INDEX((COPIA!$DA$3:$DE$1339),MATCH(ROWS(E$10:E633),COPIA!$DF$3:$DF$1339,0),COLUMN()-1),"")=0,"",IFERROR(INDEX((COPIA!$DA$3:$DE$1339),MATCH(ROWS(E$10:E633),COPIA!$DF$3:$DF$1339,0),COLUMN()-1),""))</f>
        <v/>
      </c>
      <c r="F633" s="6" t="str">
        <f ca="1">IF(IFERROR(INDEX((COPIA!$DA$3:$DE$1339),MATCH(ROWS(F$10:F633),COPIA!$DF$3:$DF$1339,0),COLUMN()-1),"")=0,"",IFERROR(INDEX((COPIA!$DA$3:$DE$1339),MATCH(ROWS(F$10:F633),COPIA!$DF$3:$DF$1339,0),COLUMN()-1),""))</f>
        <v/>
      </c>
    </row>
    <row r="634" spans="2:6" x14ac:dyDescent="0.3">
      <c r="B634" s="10" t="str">
        <f ca="1">IF(IFERROR(INDEX((COPIA!$DA$3:$DE$1339),MATCH(ROWS(B$10:B634),COPIA!$DF$3:$DF$1339,0),COLUMN()-1),"")&gt;=1,IFERROR(INDEX((COPIA!$DA$3:$DE$1339),MATCH(ROWS(B$10:B634),COPIA!$DF$3:$DF$1339,0),COLUMN()-1),""),"")</f>
        <v/>
      </c>
      <c r="C634" s="5" t="str">
        <f ca="1">SUBSTITUTE(IFERROR(INDEX((COPIA!$DA$3:$DE$1339),MATCH(ROWS(C$10:C634),COPIA!$DF$3:$DF$1339,0),COLUMN()-1),""),"MASTRO","")</f>
        <v/>
      </c>
      <c r="D634" s="136" t="str">
        <f ca="1">IF(IFERROR(INDEX((COPIA!$DA$3:$DE$1339),MATCH(ROWS(D$10:D634),COPIA!$DF$3:$DF$1339,0),COLUMN()-1),"")=0,"",IFERROR(INDEX((COPIA!$DA$3:$DE$1339),MATCH(ROWS(D$10:D634),COPIA!$DF$3:$DF$1339,0),COLUMN()-1),""))</f>
        <v/>
      </c>
      <c r="E634" s="9" t="str">
        <f ca="1">IF(IFERROR(INDEX((COPIA!$DA$3:$DE$1339),MATCH(ROWS(E$10:E634),COPIA!$DF$3:$DF$1339,0),COLUMN()-1),"")=0,"",IFERROR(INDEX((COPIA!$DA$3:$DE$1339),MATCH(ROWS(E$10:E634),COPIA!$DF$3:$DF$1339,0),COLUMN()-1),""))</f>
        <v/>
      </c>
      <c r="F634" s="6" t="str">
        <f ca="1">IF(IFERROR(INDEX((COPIA!$DA$3:$DE$1339),MATCH(ROWS(F$10:F634),COPIA!$DF$3:$DF$1339,0),COLUMN()-1),"")=0,"",IFERROR(INDEX((COPIA!$DA$3:$DE$1339),MATCH(ROWS(F$10:F634),COPIA!$DF$3:$DF$1339,0),COLUMN()-1),""))</f>
        <v/>
      </c>
    </row>
    <row r="635" spans="2:6" x14ac:dyDescent="0.3">
      <c r="B635" s="10" t="str">
        <f ca="1">IF(IFERROR(INDEX((COPIA!$DA$3:$DE$1339),MATCH(ROWS(B$10:B635),COPIA!$DF$3:$DF$1339,0),COLUMN()-1),"")&gt;=1,IFERROR(INDEX((COPIA!$DA$3:$DE$1339),MATCH(ROWS(B$10:B635),COPIA!$DF$3:$DF$1339,0),COLUMN()-1),""),"")</f>
        <v/>
      </c>
      <c r="C635" s="5" t="str">
        <f ca="1">SUBSTITUTE(IFERROR(INDEX((COPIA!$DA$3:$DE$1339),MATCH(ROWS(C$10:C635),COPIA!$DF$3:$DF$1339,0),COLUMN()-1),""),"MASTRO","")</f>
        <v/>
      </c>
      <c r="D635" s="136" t="str">
        <f ca="1">IF(IFERROR(INDEX((COPIA!$DA$3:$DE$1339),MATCH(ROWS(D$10:D635),COPIA!$DF$3:$DF$1339,0),COLUMN()-1),"")=0,"",IFERROR(INDEX((COPIA!$DA$3:$DE$1339),MATCH(ROWS(D$10:D635),COPIA!$DF$3:$DF$1339,0),COLUMN()-1),""))</f>
        <v/>
      </c>
      <c r="E635" s="9" t="str">
        <f ca="1">IF(IFERROR(INDEX((COPIA!$DA$3:$DE$1339),MATCH(ROWS(E$10:E635),COPIA!$DF$3:$DF$1339,0),COLUMN()-1),"")=0,"",IFERROR(INDEX((COPIA!$DA$3:$DE$1339),MATCH(ROWS(E$10:E635),COPIA!$DF$3:$DF$1339,0),COLUMN()-1),""))</f>
        <v/>
      </c>
      <c r="F635" s="6" t="str">
        <f ca="1">IF(IFERROR(INDEX((COPIA!$DA$3:$DE$1339),MATCH(ROWS(F$10:F635),COPIA!$DF$3:$DF$1339,0),COLUMN()-1),"")=0,"",IFERROR(INDEX((COPIA!$DA$3:$DE$1339),MATCH(ROWS(F$10:F635),COPIA!$DF$3:$DF$1339,0),COLUMN()-1),""))</f>
        <v/>
      </c>
    </row>
    <row r="636" spans="2:6" x14ac:dyDescent="0.3">
      <c r="B636" s="10" t="str">
        <f ca="1">IF(IFERROR(INDEX((COPIA!$DA$3:$DE$1339),MATCH(ROWS(B$10:B636),COPIA!$DF$3:$DF$1339,0),COLUMN()-1),"")&gt;=1,IFERROR(INDEX((COPIA!$DA$3:$DE$1339),MATCH(ROWS(B$10:B636),COPIA!$DF$3:$DF$1339,0),COLUMN()-1),""),"")</f>
        <v/>
      </c>
      <c r="C636" s="5" t="str">
        <f ca="1">SUBSTITUTE(IFERROR(INDEX((COPIA!$DA$3:$DE$1339),MATCH(ROWS(C$10:C636),COPIA!$DF$3:$DF$1339,0),COLUMN()-1),""),"MASTRO","")</f>
        <v/>
      </c>
      <c r="D636" s="136" t="str">
        <f ca="1">IF(IFERROR(INDEX((COPIA!$DA$3:$DE$1339),MATCH(ROWS(D$10:D636),COPIA!$DF$3:$DF$1339,0),COLUMN()-1),"")=0,"",IFERROR(INDEX((COPIA!$DA$3:$DE$1339),MATCH(ROWS(D$10:D636),COPIA!$DF$3:$DF$1339,0),COLUMN()-1),""))</f>
        <v/>
      </c>
      <c r="E636" s="9" t="str">
        <f ca="1">IF(IFERROR(INDEX((COPIA!$DA$3:$DE$1339),MATCH(ROWS(E$10:E636),COPIA!$DF$3:$DF$1339,0),COLUMN()-1),"")=0,"",IFERROR(INDEX((COPIA!$DA$3:$DE$1339),MATCH(ROWS(E$10:E636),COPIA!$DF$3:$DF$1339,0),COLUMN()-1),""))</f>
        <v/>
      </c>
      <c r="F636" s="6" t="str">
        <f ca="1">IF(IFERROR(INDEX((COPIA!$DA$3:$DE$1339),MATCH(ROWS(F$10:F636),COPIA!$DF$3:$DF$1339,0),COLUMN()-1),"")=0,"",IFERROR(INDEX((COPIA!$DA$3:$DE$1339),MATCH(ROWS(F$10:F636),COPIA!$DF$3:$DF$1339,0),COLUMN()-1),""))</f>
        <v/>
      </c>
    </row>
    <row r="637" spans="2:6" x14ac:dyDescent="0.3">
      <c r="B637" s="10" t="str">
        <f ca="1">IF(IFERROR(INDEX((COPIA!$DA$3:$DE$1339),MATCH(ROWS(B$10:B637),COPIA!$DF$3:$DF$1339,0),COLUMN()-1),"")&gt;=1,IFERROR(INDEX((COPIA!$DA$3:$DE$1339),MATCH(ROWS(B$10:B637),COPIA!$DF$3:$DF$1339,0),COLUMN()-1),""),"")</f>
        <v/>
      </c>
      <c r="C637" s="5" t="str">
        <f ca="1">SUBSTITUTE(IFERROR(INDEX((COPIA!$DA$3:$DE$1339),MATCH(ROWS(C$10:C637),COPIA!$DF$3:$DF$1339,0),COLUMN()-1),""),"MASTRO","")</f>
        <v/>
      </c>
      <c r="D637" s="136" t="str">
        <f ca="1">IF(IFERROR(INDEX((COPIA!$DA$3:$DE$1339),MATCH(ROWS(D$10:D637),COPIA!$DF$3:$DF$1339,0),COLUMN()-1),"")=0,"",IFERROR(INDEX((COPIA!$DA$3:$DE$1339),MATCH(ROWS(D$10:D637),COPIA!$DF$3:$DF$1339,0),COLUMN()-1),""))</f>
        <v/>
      </c>
      <c r="E637" s="9" t="str">
        <f ca="1">IF(IFERROR(INDEX((COPIA!$DA$3:$DE$1339),MATCH(ROWS(E$10:E637),COPIA!$DF$3:$DF$1339,0),COLUMN()-1),"")=0,"",IFERROR(INDEX((COPIA!$DA$3:$DE$1339),MATCH(ROWS(E$10:E637),COPIA!$DF$3:$DF$1339,0),COLUMN()-1),""))</f>
        <v/>
      </c>
      <c r="F637" s="6" t="str">
        <f ca="1">IF(IFERROR(INDEX((COPIA!$DA$3:$DE$1339),MATCH(ROWS(F$10:F637),COPIA!$DF$3:$DF$1339,0),COLUMN()-1),"")=0,"",IFERROR(INDEX((COPIA!$DA$3:$DE$1339),MATCH(ROWS(F$10:F637),COPIA!$DF$3:$DF$1339,0),COLUMN()-1),""))</f>
        <v/>
      </c>
    </row>
    <row r="638" spans="2:6" x14ac:dyDescent="0.3">
      <c r="B638" s="10" t="str">
        <f ca="1">IF(IFERROR(INDEX((COPIA!$DA$3:$DE$1339),MATCH(ROWS(B$10:B638),COPIA!$DF$3:$DF$1339,0),COLUMN()-1),"")&gt;=1,IFERROR(INDEX((COPIA!$DA$3:$DE$1339),MATCH(ROWS(B$10:B638),COPIA!$DF$3:$DF$1339,0),COLUMN()-1),""),"")</f>
        <v/>
      </c>
      <c r="C638" s="5" t="str">
        <f ca="1">SUBSTITUTE(IFERROR(INDEX((COPIA!$DA$3:$DE$1339),MATCH(ROWS(C$10:C638),COPIA!$DF$3:$DF$1339,0),COLUMN()-1),""),"MASTRO","")</f>
        <v/>
      </c>
      <c r="D638" s="136" t="str">
        <f ca="1">IF(IFERROR(INDEX((COPIA!$DA$3:$DE$1339),MATCH(ROWS(D$10:D638),COPIA!$DF$3:$DF$1339,0),COLUMN()-1),"")=0,"",IFERROR(INDEX((COPIA!$DA$3:$DE$1339),MATCH(ROWS(D$10:D638),COPIA!$DF$3:$DF$1339,0),COLUMN()-1),""))</f>
        <v/>
      </c>
      <c r="E638" s="9" t="str">
        <f ca="1">IF(IFERROR(INDEX((COPIA!$DA$3:$DE$1339),MATCH(ROWS(E$10:E638),COPIA!$DF$3:$DF$1339,0),COLUMN()-1),"")=0,"",IFERROR(INDEX((COPIA!$DA$3:$DE$1339),MATCH(ROWS(E$10:E638),COPIA!$DF$3:$DF$1339,0),COLUMN()-1),""))</f>
        <v/>
      </c>
      <c r="F638" s="6" t="str">
        <f ca="1">IF(IFERROR(INDEX((COPIA!$DA$3:$DE$1339),MATCH(ROWS(F$10:F638),COPIA!$DF$3:$DF$1339,0),COLUMN()-1),"")=0,"",IFERROR(INDEX((COPIA!$DA$3:$DE$1339),MATCH(ROWS(F$10:F638),COPIA!$DF$3:$DF$1339,0),COLUMN()-1),""))</f>
        <v/>
      </c>
    </row>
    <row r="639" spans="2:6" x14ac:dyDescent="0.3">
      <c r="B639" s="10" t="str">
        <f ca="1">IF(IFERROR(INDEX((COPIA!$DA$3:$DE$1339),MATCH(ROWS(B$10:B639),COPIA!$DF$3:$DF$1339,0),COLUMN()-1),"")&gt;=1,IFERROR(INDEX((COPIA!$DA$3:$DE$1339),MATCH(ROWS(B$10:B639),COPIA!$DF$3:$DF$1339,0),COLUMN()-1),""),"")</f>
        <v/>
      </c>
      <c r="C639" s="5" t="str">
        <f ca="1">SUBSTITUTE(IFERROR(INDEX((COPIA!$DA$3:$DE$1339),MATCH(ROWS(C$10:C639),COPIA!$DF$3:$DF$1339,0),COLUMN()-1),""),"MASTRO","")</f>
        <v/>
      </c>
      <c r="D639" s="136" t="str">
        <f ca="1">IF(IFERROR(INDEX((COPIA!$DA$3:$DE$1339),MATCH(ROWS(D$10:D639),COPIA!$DF$3:$DF$1339,0),COLUMN()-1),"")=0,"",IFERROR(INDEX((COPIA!$DA$3:$DE$1339),MATCH(ROWS(D$10:D639),COPIA!$DF$3:$DF$1339,0),COLUMN()-1),""))</f>
        <v/>
      </c>
      <c r="E639" s="9" t="str">
        <f ca="1">IF(IFERROR(INDEX((COPIA!$DA$3:$DE$1339),MATCH(ROWS(E$10:E639),COPIA!$DF$3:$DF$1339,0),COLUMN()-1),"")=0,"",IFERROR(INDEX((COPIA!$DA$3:$DE$1339),MATCH(ROWS(E$10:E639),COPIA!$DF$3:$DF$1339,0),COLUMN()-1),""))</f>
        <v/>
      </c>
      <c r="F639" s="6" t="str">
        <f ca="1">IF(IFERROR(INDEX((COPIA!$DA$3:$DE$1339),MATCH(ROWS(F$10:F639),COPIA!$DF$3:$DF$1339,0),COLUMN()-1),"")=0,"",IFERROR(INDEX((COPIA!$DA$3:$DE$1339),MATCH(ROWS(F$10:F639),COPIA!$DF$3:$DF$1339,0),COLUMN()-1),""))</f>
        <v/>
      </c>
    </row>
    <row r="640" spans="2:6" x14ac:dyDescent="0.3">
      <c r="B640" s="10" t="str">
        <f ca="1">IF(IFERROR(INDEX((COPIA!$DA$3:$DE$1339),MATCH(ROWS(B$10:B640),COPIA!$DF$3:$DF$1339,0),COLUMN()-1),"")&gt;=1,IFERROR(INDEX((COPIA!$DA$3:$DE$1339),MATCH(ROWS(B$10:B640),COPIA!$DF$3:$DF$1339,0),COLUMN()-1),""),"")</f>
        <v/>
      </c>
      <c r="C640" s="5" t="str">
        <f ca="1">SUBSTITUTE(IFERROR(INDEX((COPIA!$DA$3:$DE$1339),MATCH(ROWS(C$10:C640),COPIA!$DF$3:$DF$1339,0),COLUMN()-1),""),"MASTRO","")</f>
        <v/>
      </c>
      <c r="D640" s="136" t="str">
        <f ca="1">IF(IFERROR(INDEX((COPIA!$DA$3:$DE$1339),MATCH(ROWS(D$10:D640),COPIA!$DF$3:$DF$1339,0),COLUMN()-1),"")=0,"",IFERROR(INDEX((COPIA!$DA$3:$DE$1339),MATCH(ROWS(D$10:D640),COPIA!$DF$3:$DF$1339,0),COLUMN()-1),""))</f>
        <v/>
      </c>
      <c r="E640" s="9" t="str">
        <f ca="1">IF(IFERROR(INDEX((COPIA!$DA$3:$DE$1339),MATCH(ROWS(E$10:E640),COPIA!$DF$3:$DF$1339,0),COLUMN()-1),"")=0,"",IFERROR(INDEX((COPIA!$DA$3:$DE$1339),MATCH(ROWS(E$10:E640),COPIA!$DF$3:$DF$1339,0),COLUMN()-1),""))</f>
        <v/>
      </c>
      <c r="F640" s="6" t="str">
        <f ca="1">IF(IFERROR(INDEX((COPIA!$DA$3:$DE$1339),MATCH(ROWS(F$10:F640),COPIA!$DF$3:$DF$1339,0),COLUMN()-1),"")=0,"",IFERROR(INDEX((COPIA!$DA$3:$DE$1339),MATCH(ROWS(F$10:F640),COPIA!$DF$3:$DF$1339,0),COLUMN()-1),""))</f>
        <v/>
      </c>
    </row>
    <row r="641" spans="2:6" x14ac:dyDescent="0.3">
      <c r="B641" s="10" t="str">
        <f ca="1">IF(IFERROR(INDEX((COPIA!$DA$3:$DE$1339),MATCH(ROWS(B$10:B641),COPIA!$DF$3:$DF$1339,0),COLUMN()-1),"")&gt;=1,IFERROR(INDEX((COPIA!$DA$3:$DE$1339),MATCH(ROWS(B$10:B641),COPIA!$DF$3:$DF$1339,0),COLUMN()-1),""),"")</f>
        <v/>
      </c>
      <c r="C641" s="5" t="str">
        <f ca="1">SUBSTITUTE(IFERROR(INDEX((COPIA!$DA$3:$DE$1339),MATCH(ROWS(C$10:C641),COPIA!$DF$3:$DF$1339,0),COLUMN()-1),""),"MASTRO","")</f>
        <v/>
      </c>
      <c r="D641" s="136" t="str">
        <f ca="1">IF(IFERROR(INDEX((COPIA!$DA$3:$DE$1339),MATCH(ROWS(D$10:D641),COPIA!$DF$3:$DF$1339,0),COLUMN()-1),"")=0,"",IFERROR(INDEX((COPIA!$DA$3:$DE$1339),MATCH(ROWS(D$10:D641),COPIA!$DF$3:$DF$1339,0),COLUMN()-1),""))</f>
        <v/>
      </c>
      <c r="E641" s="9" t="str">
        <f ca="1">IF(IFERROR(INDEX((COPIA!$DA$3:$DE$1339),MATCH(ROWS(E$10:E641),COPIA!$DF$3:$DF$1339,0),COLUMN()-1),"")=0,"",IFERROR(INDEX((COPIA!$DA$3:$DE$1339),MATCH(ROWS(E$10:E641),COPIA!$DF$3:$DF$1339,0),COLUMN()-1),""))</f>
        <v/>
      </c>
      <c r="F641" s="6" t="str">
        <f ca="1">IF(IFERROR(INDEX((COPIA!$DA$3:$DE$1339),MATCH(ROWS(F$10:F641),COPIA!$DF$3:$DF$1339,0),COLUMN()-1),"")=0,"",IFERROR(INDEX((COPIA!$DA$3:$DE$1339),MATCH(ROWS(F$10:F641),COPIA!$DF$3:$DF$1339,0),COLUMN()-1),""))</f>
        <v/>
      </c>
    </row>
    <row r="642" spans="2:6" x14ac:dyDescent="0.3">
      <c r="B642" s="10" t="str">
        <f ca="1">IF(IFERROR(INDEX((COPIA!$DA$3:$DE$1339),MATCH(ROWS(B$10:B642),COPIA!$DF$3:$DF$1339,0),COLUMN()-1),"")&gt;=1,IFERROR(INDEX((COPIA!$DA$3:$DE$1339),MATCH(ROWS(B$10:B642),COPIA!$DF$3:$DF$1339,0),COLUMN()-1),""),"")</f>
        <v/>
      </c>
      <c r="C642" s="5" t="str">
        <f ca="1">SUBSTITUTE(IFERROR(INDEX((COPIA!$DA$3:$DE$1339),MATCH(ROWS(C$10:C642),COPIA!$DF$3:$DF$1339,0),COLUMN()-1),""),"MASTRO","")</f>
        <v/>
      </c>
      <c r="D642" s="136" t="str">
        <f ca="1">IF(IFERROR(INDEX((COPIA!$DA$3:$DE$1339),MATCH(ROWS(D$10:D642),COPIA!$DF$3:$DF$1339,0),COLUMN()-1),"")=0,"",IFERROR(INDEX((COPIA!$DA$3:$DE$1339),MATCH(ROWS(D$10:D642),COPIA!$DF$3:$DF$1339,0),COLUMN()-1),""))</f>
        <v/>
      </c>
      <c r="E642" s="9" t="str">
        <f ca="1">IF(IFERROR(INDEX((COPIA!$DA$3:$DE$1339),MATCH(ROWS(E$10:E642),COPIA!$DF$3:$DF$1339,0),COLUMN()-1),"")=0,"",IFERROR(INDEX((COPIA!$DA$3:$DE$1339),MATCH(ROWS(E$10:E642),COPIA!$DF$3:$DF$1339,0),COLUMN()-1),""))</f>
        <v/>
      </c>
      <c r="F642" s="6" t="str">
        <f ca="1">IF(IFERROR(INDEX((COPIA!$DA$3:$DE$1339),MATCH(ROWS(F$10:F642),COPIA!$DF$3:$DF$1339,0),COLUMN()-1),"")=0,"",IFERROR(INDEX((COPIA!$DA$3:$DE$1339),MATCH(ROWS(F$10:F642),COPIA!$DF$3:$DF$1339,0),COLUMN()-1),""))</f>
        <v/>
      </c>
    </row>
    <row r="643" spans="2:6" x14ac:dyDescent="0.3">
      <c r="B643" s="10" t="str">
        <f ca="1">IF(IFERROR(INDEX((COPIA!$DA$3:$DE$1339),MATCH(ROWS(B$10:B643),COPIA!$DF$3:$DF$1339,0),COLUMN()-1),"")&gt;=1,IFERROR(INDEX((COPIA!$DA$3:$DE$1339),MATCH(ROWS(B$10:B643),COPIA!$DF$3:$DF$1339,0),COLUMN()-1),""),"")</f>
        <v/>
      </c>
      <c r="C643" s="5" t="str">
        <f ca="1">SUBSTITUTE(IFERROR(INDEX((COPIA!$DA$3:$DE$1339),MATCH(ROWS(C$10:C643),COPIA!$DF$3:$DF$1339,0),COLUMN()-1),""),"MASTRO","")</f>
        <v/>
      </c>
      <c r="D643" s="136" t="str">
        <f ca="1">IF(IFERROR(INDEX((COPIA!$DA$3:$DE$1339),MATCH(ROWS(D$10:D643),COPIA!$DF$3:$DF$1339,0),COLUMN()-1),"")=0,"",IFERROR(INDEX((COPIA!$DA$3:$DE$1339),MATCH(ROWS(D$10:D643),COPIA!$DF$3:$DF$1339,0),COLUMN()-1),""))</f>
        <v/>
      </c>
      <c r="E643" s="9" t="str">
        <f ca="1">IF(IFERROR(INDEX((COPIA!$DA$3:$DE$1339),MATCH(ROWS(E$10:E643),COPIA!$DF$3:$DF$1339,0),COLUMN()-1),"")=0,"",IFERROR(INDEX((COPIA!$DA$3:$DE$1339),MATCH(ROWS(E$10:E643),COPIA!$DF$3:$DF$1339,0),COLUMN()-1),""))</f>
        <v/>
      </c>
      <c r="F643" s="6" t="str">
        <f ca="1">IF(IFERROR(INDEX((COPIA!$DA$3:$DE$1339),MATCH(ROWS(F$10:F643),COPIA!$DF$3:$DF$1339,0),COLUMN()-1),"")=0,"",IFERROR(INDEX((COPIA!$DA$3:$DE$1339),MATCH(ROWS(F$10:F643),COPIA!$DF$3:$DF$1339,0),COLUMN()-1),""))</f>
        <v/>
      </c>
    </row>
    <row r="644" spans="2:6" x14ac:dyDescent="0.3">
      <c r="B644" s="10" t="str">
        <f ca="1">IF(IFERROR(INDEX((COPIA!$DA$3:$DE$1339),MATCH(ROWS(B$10:B644),COPIA!$DF$3:$DF$1339,0),COLUMN()-1),"")&gt;=1,IFERROR(INDEX((COPIA!$DA$3:$DE$1339),MATCH(ROWS(B$10:B644),COPIA!$DF$3:$DF$1339,0),COLUMN()-1),""),"")</f>
        <v/>
      </c>
      <c r="C644" s="5" t="str">
        <f ca="1">SUBSTITUTE(IFERROR(INDEX((COPIA!$DA$3:$DE$1339),MATCH(ROWS(C$10:C644),COPIA!$DF$3:$DF$1339,0),COLUMN()-1),""),"MASTRO","")</f>
        <v/>
      </c>
      <c r="D644" s="136" t="str">
        <f ca="1">IF(IFERROR(INDEX((COPIA!$DA$3:$DE$1339),MATCH(ROWS(D$10:D644),COPIA!$DF$3:$DF$1339,0),COLUMN()-1),"")=0,"",IFERROR(INDEX((COPIA!$DA$3:$DE$1339),MATCH(ROWS(D$10:D644),COPIA!$DF$3:$DF$1339,0),COLUMN()-1),""))</f>
        <v/>
      </c>
      <c r="E644" s="9" t="str">
        <f ca="1">IF(IFERROR(INDEX((COPIA!$DA$3:$DE$1339),MATCH(ROWS(E$10:E644),COPIA!$DF$3:$DF$1339,0),COLUMN()-1),"")=0,"",IFERROR(INDEX((COPIA!$DA$3:$DE$1339),MATCH(ROWS(E$10:E644),COPIA!$DF$3:$DF$1339,0),COLUMN()-1),""))</f>
        <v/>
      </c>
      <c r="F644" s="6" t="str">
        <f ca="1">IF(IFERROR(INDEX((COPIA!$DA$3:$DE$1339),MATCH(ROWS(F$10:F644),COPIA!$DF$3:$DF$1339,0),COLUMN()-1),"")=0,"",IFERROR(INDEX((COPIA!$DA$3:$DE$1339),MATCH(ROWS(F$10:F644),COPIA!$DF$3:$DF$1339,0),COLUMN()-1),""))</f>
        <v/>
      </c>
    </row>
    <row r="645" spans="2:6" x14ac:dyDescent="0.3">
      <c r="B645" s="10" t="str">
        <f ca="1">IF(IFERROR(INDEX((COPIA!$DA$3:$DE$1339),MATCH(ROWS(B$10:B645),COPIA!$DF$3:$DF$1339,0),COLUMN()-1),"")&gt;=1,IFERROR(INDEX((COPIA!$DA$3:$DE$1339),MATCH(ROWS(B$10:B645),COPIA!$DF$3:$DF$1339,0),COLUMN()-1),""),"")</f>
        <v/>
      </c>
      <c r="C645" s="5" t="str">
        <f ca="1">SUBSTITUTE(IFERROR(INDEX((COPIA!$DA$3:$DE$1339),MATCH(ROWS(C$10:C645),COPIA!$DF$3:$DF$1339,0),COLUMN()-1),""),"MASTRO","")</f>
        <v/>
      </c>
      <c r="D645" s="136" t="str">
        <f ca="1">IF(IFERROR(INDEX((COPIA!$DA$3:$DE$1339),MATCH(ROWS(D$10:D645),COPIA!$DF$3:$DF$1339,0),COLUMN()-1),"")=0,"",IFERROR(INDEX((COPIA!$DA$3:$DE$1339),MATCH(ROWS(D$10:D645),COPIA!$DF$3:$DF$1339,0),COLUMN()-1),""))</f>
        <v/>
      </c>
      <c r="E645" s="9" t="str">
        <f ca="1">IF(IFERROR(INDEX((COPIA!$DA$3:$DE$1339),MATCH(ROWS(E$10:E645),COPIA!$DF$3:$DF$1339,0),COLUMN()-1),"")=0,"",IFERROR(INDEX((COPIA!$DA$3:$DE$1339),MATCH(ROWS(E$10:E645),COPIA!$DF$3:$DF$1339,0),COLUMN()-1),""))</f>
        <v/>
      </c>
      <c r="F645" s="6" t="str">
        <f ca="1">IF(IFERROR(INDEX((COPIA!$DA$3:$DE$1339),MATCH(ROWS(F$10:F645),COPIA!$DF$3:$DF$1339,0),COLUMN()-1),"")=0,"",IFERROR(INDEX((COPIA!$DA$3:$DE$1339),MATCH(ROWS(F$10:F645),COPIA!$DF$3:$DF$1339,0),COLUMN()-1),""))</f>
        <v/>
      </c>
    </row>
    <row r="646" spans="2:6" x14ac:dyDescent="0.3">
      <c r="B646" s="10" t="str">
        <f ca="1">IF(IFERROR(INDEX((COPIA!$DA$3:$DE$1339),MATCH(ROWS(B$10:B646),COPIA!$DF$3:$DF$1339,0),COLUMN()-1),"")&gt;=1,IFERROR(INDEX((COPIA!$DA$3:$DE$1339),MATCH(ROWS(B$10:B646),COPIA!$DF$3:$DF$1339,0),COLUMN()-1),""),"")</f>
        <v/>
      </c>
      <c r="C646" s="5" t="str">
        <f ca="1">SUBSTITUTE(IFERROR(INDEX((COPIA!$DA$3:$DE$1339),MATCH(ROWS(C$10:C646),COPIA!$DF$3:$DF$1339,0),COLUMN()-1),""),"MASTRO","")</f>
        <v/>
      </c>
      <c r="D646" s="136" t="str">
        <f ca="1">IF(IFERROR(INDEX((COPIA!$DA$3:$DE$1339),MATCH(ROWS(D$10:D646),COPIA!$DF$3:$DF$1339,0),COLUMN()-1),"")=0,"",IFERROR(INDEX((COPIA!$DA$3:$DE$1339),MATCH(ROWS(D$10:D646),COPIA!$DF$3:$DF$1339,0),COLUMN()-1),""))</f>
        <v/>
      </c>
      <c r="E646" s="9" t="str">
        <f ca="1">IF(IFERROR(INDEX((COPIA!$DA$3:$DE$1339),MATCH(ROWS(E$10:E646),COPIA!$DF$3:$DF$1339,0),COLUMN()-1),"")=0,"",IFERROR(INDEX((COPIA!$DA$3:$DE$1339),MATCH(ROWS(E$10:E646),COPIA!$DF$3:$DF$1339,0),COLUMN()-1),""))</f>
        <v/>
      </c>
      <c r="F646" s="6" t="str">
        <f ca="1">IF(IFERROR(INDEX((COPIA!$DA$3:$DE$1339),MATCH(ROWS(F$10:F646),COPIA!$DF$3:$DF$1339,0),COLUMN()-1),"")=0,"",IFERROR(INDEX((COPIA!$DA$3:$DE$1339),MATCH(ROWS(F$10:F646),COPIA!$DF$3:$DF$1339,0),COLUMN()-1),""))</f>
        <v/>
      </c>
    </row>
    <row r="647" spans="2:6" x14ac:dyDescent="0.3">
      <c r="B647" s="10" t="str">
        <f ca="1">IF(IFERROR(INDEX((COPIA!$DA$3:$DE$1339),MATCH(ROWS(B$10:B647),COPIA!$DF$3:$DF$1339,0),COLUMN()-1),"")&gt;=1,IFERROR(INDEX((COPIA!$DA$3:$DE$1339),MATCH(ROWS(B$10:B647),COPIA!$DF$3:$DF$1339,0),COLUMN()-1),""),"")</f>
        <v/>
      </c>
      <c r="C647" s="5" t="str">
        <f ca="1">SUBSTITUTE(IFERROR(INDEX((COPIA!$DA$3:$DE$1339),MATCH(ROWS(C$10:C647),COPIA!$DF$3:$DF$1339,0),COLUMN()-1),""),"MASTRO","")</f>
        <v/>
      </c>
      <c r="D647" s="136" t="str">
        <f ca="1">IF(IFERROR(INDEX((COPIA!$DA$3:$DE$1339),MATCH(ROWS(D$10:D647),COPIA!$DF$3:$DF$1339,0),COLUMN()-1),"")=0,"",IFERROR(INDEX((COPIA!$DA$3:$DE$1339),MATCH(ROWS(D$10:D647),COPIA!$DF$3:$DF$1339,0),COLUMN()-1),""))</f>
        <v/>
      </c>
      <c r="E647" s="9" t="str">
        <f ca="1">IF(IFERROR(INDEX((COPIA!$DA$3:$DE$1339),MATCH(ROWS(E$10:E647),COPIA!$DF$3:$DF$1339,0),COLUMN()-1),"")=0,"",IFERROR(INDEX((COPIA!$DA$3:$DE$1339),MATCH(ROWS(E$10:E647),COPIA!$DF$3:$DF$1339,0),COLUMN()-1),""))</f>
        <v/>
      </c>
      <c r="F647" s="6" t="str">
        <f ca="1">IF(IFERROR(INDEX((COPIA!$DA$3:$DE$1339),MATCH(ROWS(F$10:F647),COPIA!$DF$3:$DF$1339,0),COLUMN()-1),"")=0,"",IFERROR(INDEX((COPIA!$DA$3:$DE$1339),MATCH(ROWS(F$10:F647),COPIA!$DF$3:$DF$1339,0),COLUMN()-1),""))</f>
        <v/>
      </c>
    </row>
    <row r="648" spans="2:6" x14ac:dyDescent="0.3">
      <c r="B648" s="10" t="str">
        <f ca="1">IF(IFERROR(INDEX((COPIA!$DA$3:$DE$1339),MATCH(ROWS(B$10:B648),COPIA!$DF$3:$DF$1339,0),COLUMN()-1),"")&gt;=1,IFERROR(INDEX((COPIA!$DA$3:$DE$1339),MATCH(ROWS(B$10:B648),COPIA!$DF$3:$DF$1339,0),COLUMN()-1),""),"")</f>
        <v/>
      </c>
      <c r="C648" s="5" t="str">
        <f ca="1">SUBSTITUTE(IFERROR(INDEX((COPIA!$DA$3:$DE$1339),MATCH(ROWS(C$10:C648),COPIA!$DF$3:$DF$1339,0),COLUMN()-1),""),"MASTRO","")</f>
        <v/>
      </c>
      <c r="D648" s="136" t="str">
        <f ca="1">IF(IFERROR(INDEX((COPIA!$DA$3:$DE$1339),MATCH(ROWS(D$10:D648),COPIA!$DF$3:$DF$1339,0),COLUMN()-1),"")=0,"",IFERROR(INDEX((COPIA!$DA$3:$DE$1339),MATCH(ROWS(D$10:D648),COPIA!$DF$3:$DF$1339,0),COLUMN()-1),""))</f>
        <v/>
      </c>
      <c r="E648" s="9" t="str">
        <f ca="1">IF(IFERROR(INDEX((COPIA!$DA$3:$DE$1339),MATCH(ROWS(E$10:E648),COPIA!$DF$3:$DF$1339,0),COLUMN()-1),"")=0,"",IFERROR(INDEX((COPIA!$DA$3:$DE$1339),MATCH(ROWS(E$10:E648),COPIA!$DF$3:$DF$1339,0),COLUMN()-1),""))</f>
        <v/>
      </c>
      <c r="F648" s="6" t="str">
        <f ca="1">IF(IFERROR(INDEX((COPIA!$DA$3:$DE$1339),MATCH(ROWS(F$10:F648),COPIA!$DF$3:$DF$1339,0),COLUMN()-1),"")=0,"",IFERROR(INDEX((COPIA!$DA$3:$DE$1339),MATCH(ROWS(F$10:F648),COPIA!$DF$3:$DF$1339,0),COLUMN()-1),""))</f>
        <v/>
      </c>
    </row>
    <row r="649" spans="2:6" x14ac:dyDescent="0.3">
      <c r="B649" s="10" t="str">
        <f ca="1">IF(IFERROR(INDEX((COPIA!$DA$3:$DE$1339),MATCH(ROWS(B$10:B649),COPIA!$DF$3:$DF$1339,0),COLUMN()-1),"")&gt;=1,IFERROR(INDEX((COPIA!$DA$3:$DE$1339),MATCH(ROWS(B$10:B649),COPIA!$DF$3:$DF$1339,0),COLUMN()-1),""),"")</f>
        <v/>
      </c>
      <c r="C649" s="5" t="str">
        <f ca="1">SUBSTITUTE(IFERROR(INDEX((COPIA!$DA$3:$DE$1339),MATCH(ROWS(C$10:C649),COPIA!$DF$3:$DF$1339,0),COLUMN()-1),""),"MASTRO","")</f>
        <v/>
      </c>
      <c r="D649" s="136" t="str">
        <f ca="1">IF(IFERROR(INDEX((COPIA!$DA$3:$DE$1339),MATCH(ROWS(D$10:D649),COPIA!$DF$3:$DF$1339,0),COLUMN()-1),"")=0,"",IFERROR(INDEX((COPIA!$DA$3:$DE$1339),MATCH(ROWS(D$10:D649),COPIA!$DF$3:$DF$1339,0),COLUMN()-1),""))</f>
        <v/>
      </c>
      <c r="E649" s="9" t="str">
        <f ca="1">IF(IFERROR(INDEX((COPIA!$DA$3:$DE$1339),MATCH(ROWS(E$10:E649),COPIA!$DF$3:$DF$1339,0),COLUMN()-1),"")=0,"",IFERROR(INDEX((COPIA!$DA$3:$DE$1339),MATCH(ROWS(E$10:E649),COPIA!$DF$3:$DF$1339,0),COLUMN()-1),""))</f>
        <v/>
      </c>
      <c r="F649" s="6" t="str">
        <f ca="1">IF(IFERROR(INDEX((COPIA!$DA$3:$DE$1339),MATCH(ROWS(F$10:F649),COPIA!$DF$3:$DF$1339,0),COLUMN()-1),"")=0,"",IFERROR(INDEX((COPIA!$DA$3:$DE$1339),MATCH(ROWS(F$10:F649),COPIA!$DF$3:$DF$1339,0),COLUMN()-1),""))</f>
        <v/>
      </c>
    </row>
    <row r="650" spans="2:6" x14ac:dyDescent="0.3">
      <c r="B650" s="10" t="str">
        <f ca="1">IF(IFERROR(INDEX((COPIA!$DA$3:$DE$1339),MATCH(ROWS(B$10:B650),COPIA!$DF$3:$DF$1339,0),COLUMN()-1),"")&gt;=1,IFERROR(INDEX((COPIA!$DA$3:$DE$1339),MATCH(ROWS(B$10:B650),COPIA!$DF$3:$DF$1339,0),COLUMN()-1),""),"")</f>
        <v/>
      </c>
      <c r="C650" s="5" t="str">
        <f ca="1">SUBSTITUTE(IFERROR(INDEX((COPIA!$DA$3:$DE$1339),MATCH(ROWS(C$10:C650),COPIA!$DF$3:$DF$1339,0),COLUMN()-1),""),"MASTRO","")</f>
        <v/>
      </c>
      <c r="D650" s="136" t="str">
        <f ca="1">IF(IFERROR(INDEX((COPIA!$DA$3:$DE$1339),MATCH(ROWS(D$10:D650),COPIA!$DF$3:$DF$1339,0),COLUMN()-1),"")=0,"",IFERROR(INDEX((COPIA!$DA$3:$DE$1339),MATCH(ROWS(D$10:D650),COPIA!$DF$3:$DF$1339,0),COLUMN()-1),""))</f>
        <v/>
      </c>
      <c r="E650" s="9" t="str">
        <f ca="1">IF(IFERROR(INDEX((COPIA!$DA$3:$DE$1339),MATCH(ROWS(E$10:E650),COPIA!$DF$3:$DF$1339,0),COLUMN()-1),"")=0,"",IFERROR(INDEX((COPIA!$DA$3:$DE$1339),MATCH(ROWS(E$10:E650),COPIA!$DF$3:$DF$1339,0),COLUMN()-1),""))</f>
        <v/>
      </c>
      <c r="F650" s="6" t="str">
        <f ca="1">IF(IFERROR(INDEX((COPIA!$DA$3:$DE$1339),MATCH(ROWS(F$10:F650),COPIA!$DF$3:$DF$1339,0),COLUMN()-1),"")=0,"",IFERROR(INDEX((COPIA!$DA$3:$DE$1339),MATCH(ROWS(F$10:F650),COPIA!$DF$3:$DF$1339,0),COLUMN()-1),""))</f>
        <v/>
      </c>
    </row>
    <row r="651" spans="2:6" x14ac:dyDescent="0.3">
      <c r="B651" s="10" t="str">
        <f ca="1">IF(IFERROR(INDEX((COPIA!$DA$3:$DE$1339),MATCH(ROWS(B$10:B651),COPIA!$DF$3:$DF$1339,0),COLUMN()-1),"")&gt;=1,IFERROR(INDEX((COPIA!$DA$3:$DE$1339),MATCH(ROWS(B$10:B651),COPIA!$DF$3:$DF$1339,0),COLUMN()-1),""),"")</f>
        <v/>
      </c>
      <c r="C651" s="5" t="str">
        <f ca="1">SUBSTITUTE(IFERROR(INDEX((COPIA!$DA$3:$DE$1339),MATCH(ROWS(C$10:C651),COPIA!$DF$3:$DF$1339,0),COLUMN()-1),""),"MASTRO","")</f>
        <v/>
      </c>
      <c r="D651" s="136" t="str">
        <f ca="1">IF(IFERROR(INDEX((COPIA!$DA$3:$DE$1339),MATCH(ROWS(D$10:D651),COPIA!$DF$3:$DF$1339,0),COLUMN()-1),"")=0,"",IFERROR(INDEX((COPIA!$DA$3:$DE$1339),MATCH(ROWS(D$10:D651),COPIA!$DF$3:$DF$1339,0),COLUMN()-1),""))</f>
        <v/>
      </c>
      <c r="E651" s="9" t="str">
        <f ca="1">IF(IFERROR(INDEX((COPIA!$DA$3:$DE$1339),MATCH(ROWS(E$10:E651),COPIA!$DF$3:$DF$1339,0),COLUMN()-1),"")=0,"",IFERROR(INDEX((COPIA!$DA$3:$DE$1339),MATCH(ROWS(E$10:E651),COPIA!$DF$3:$DF$1339,0),COLUMN()-1),""))</f>
        <v/>
      </c>
      <c r="F651" s="6" t="str">
        <f ca="1">IF(IFERROR(INDEX((COPIA!$DA$3:$DE$1339),MATCH(ROWS(F$10:F651),COPIA!$DF$3:$DF$1339,0),COLUMN()-1),"")=0,"",IFERROR(INDEX((COPIA!$DA$3:$DE$1339),MATCH(ROWS(F$10:F651),COPIA!$DF$3:$DF$1339,0),COLUMN()-1),""))</f>
        <v/>
      </c>
    </row>
    <row r="652" spans="2:6" x14ac:dyDescent="0.3">
      <c r="B652" s="10" t="str">
        <f ca="1">IF(IFERROR(INDEX((COPIA!$DA$3:$DE$1339),MATCH(ROWS(B$10:B652),COPIA!$DF$3:$DF$1339,0),COLUMN()-1),"")&gt;=1,IFERROR(INDEX((COPIA!$DA$3:$DE$1339),MATCH(ROWS(B$10:B652),COPIA!$DF$3:$DF$1339,0),COLUMN()-1),""),"")</f>
        <v/>
      </c>
      <c r="C652" s="5" t="str">
        <f ca="1">SUBSTITUTE(IFERROR(INDEX((COPIA!$DA$3:$DE$1339),MATCH(ROWS(C$10:C652),COPIA!$DF$3:$DF$1339,0),COLUMN()-1),""),"MASTRO","")</f>
        <v/>
      </c>
      <c r="D652" s="136" t="str">
        <f ca="1">IF(IFERROR(INDEX((COPIA!$DA$3:$DE$1339),MATCH(ROWS(D$10:D652),COPIA!$DF$3:$DF$1339,0),COLUMN()-1),"")=0,"",IFERROR(INDEX((COPIA!$DA$3:$DE$1339),MATCH(ROWS(D$10:D652),COPIA!$DF$3:$DF$1339,0),COLUMN()-1),""))</f>
        <v/>
      </c>
      <c r="E652" s="9" t="str">
        <f ca="1">IF(IFERROR(INDEX((COPIA!$DA$3:$DE$1339),MATCH(ROWS(E$10:E652),COPIA!$DF$3:$DF$1339,0),COLUMN()-1),"")=0,"",IFERROR(INDEX((COPIA!$DA$3:$DE$1339),MATCH(ROWS(E$10:E652),COPIA!$DF$3:$DF$1339,0),COLUMN()-1),""))</f>
        <v/>
      </c>
      <c r="F652" s="6" t="str">
        <f ca="1">IF(IFERROR(INDEX((COPIA!$DA$3:$DE$1339),MATCH(ROWS(F$10:F652),COPIA!$DF$3:$DF$1339,0),COLUMN()-1),"")=0,"",IFERROR(INDEX((COPIA!$DA$3:$DE$1339),MATCH(ROWS(F$10:F652),COPIA!$DF$3:$DF$1339,0),COLUMN()-1),""))</f>
        <v/>
      </c>
    </row>
    <row r="653" spans="2:6" x14ac:dyDescent="0.3">
      <c r="B653" s="10" t="str">
        <f ca="1">IF(IFERROR(INDEX((COPIA!$DA$3:$DE$1339),MATCH(ROWS(B$10:B653),COPIA!$DF$3:$DF$1339,0),COLUMN()-1),"")&gt;=1,IFERROR(INDEX((COPIA!$DA$3:$DE$1339),MATCH(ROWS(B$10:B653),COPIA!$DF$3:$DF$1339,0),COLUMN()-1),""),"")</f>
        <v/>
      </c>
      <c r="C653" s="5" t="str">
        <f ca="1">SUBSTITUTE(IFERROR(INDEX((COPIA!$DA$3:$DE$1339),MATCH(ROWS(C$10:C653),COPIA!$DF$3:$DF$1339,0),COLUMN()-1),""),"MASTRO","")</f>
        <v/>
      </c>
      <c r="D653" s="136" t="str">
        <f ca="1">IF(IFERROR(INDEX((COPIA!$DA$3:$DE$1339),MATCH(ROWS(D$10:D653),COPIA!$DF$3:$DF$1339,0),COLUMN()-1),"")=0,"",IFERROR(INDEX((COPIA!$DA$3:$DE$1339),MATCH(ROWS(D$10:D653),COPIA!$DF$3:$DF$1339,0),COLUMN()-1),""))</f>
        <v/>
      </c>
      <c r="E653" s="9" t="str">
        <f ca="1">IF(IFERROR(INDEX((COPIA!$DA$3:$DE$1339),MATCH(ROWS(E$10:E653),COPIA!$DF$3:$DF$1339,0),COLUMN()-1),"")=0,"",IFERROR(INDEX((COPIA!$DA$3:$DE$1339),MATCH(ROWS(E$10:E653),COPIA!$DF$3:$DF$1339,0),COLUMN()-1),""))</f>
        <v/>
      </c>
      <c r="F653" s="6" t="str">
        <f ca="1">IF(IFERROR(INDEX((COPIA!$DA$3:$DE$1339),MATCH(ROWS(F$10:F653),COPIA!$DF$3:$DF$1339,0),COLUMN()-1),"")=0,"",IFERROR(INDEX((COPIA!$DA$3:$DE$1339),MATCH(ROWS(F$10:F653),COPIA!$DF$3:$DF$1339,0),COLUMN()-1),""))</f>
        <v/>
      </c>
    </row>
    <row r="654" spans="2:6" x14ac:dyDescent="0.3">
      <c r="B654" s="10" t="str">
        <f ca="1">IF(IFERROR(INDEX((COPIA!$DA$3:$DE$1339),MATCH(ROWS(B$10:B654),COPIA!$DF$3:$DF$1339,0),COLUMN()-1),"")&gt;=1,IFERROR(INDEX((COPIA!$DA$3:$DE$1339),MATCH(ROWS(B$10:B654),COPIA!$DF$3:$DF$1339,0),COLUMN()-1),""),"")</f>
        <v/>
      </c>
      <c r="C654" s="5" t="str">
        <f ca="1">SUBSTITUTE(IFERROR(INDEX((COPIA!$DA$3:$DE$1339),MATCH(ROWS(C$10:C654),COPIA!$DF$3:$DF$1339,0),COLUMN()-1),""),"MASTRO","")</f>
        <v/>
      </c>
      <c r="D654" s="136" t="str">
        <f ca="1">IF(IFERROR(INDEX((COPIA!$DA$3:$DE$1339),MATCH(ROWS(D$10:D654),COPIA!$DF$3:$DF$1339,0),COLUMN()-1),"")=0,"",IFERROR(INDEX((COPIA!$DA$3:$DE$1339),MATCH(ROWS(D$10:D654),COPIA!$DF$3:$DF$1339,0),COLUMN()-1),""))</f>
        <v/>
      </c>
      <c r="E654" s="9" t="str">
        <f ca="1">IF(IFERROR(INDEX((COPIA!$DA$3:$DE$1339),MATCH(ROWS(E$10:E654),COPIA!$DF$3:$DF$1339,0),COLUMN()-1),"")=0,"",IFERROR(INDEX((COPIA!$DA$3:$DE$1339),MATCH(ROWS(E$10:E654),COPIA!$DF$3:$DF$1339,0),COLUMN()-1),""))</f>
        <v/>
      </c>
      <c r="F654" s="6" t="str">
        <f ca="1">IF(IFERROR(INDEX((COPIA!$DA$3:$DE$1339),MATCH(ROWS(F$10:F654),COPIA!$DF$3:$DF$1339,0),COLUMN()-1),"")=0,"",IFERROR(INDEX((COPIA!$DA$3:$DE$1339),MATCH(ROWS(F$10:F654),COPIA!$DF$3:$DF$1339,0),COLUMN()-1),""))</f>
        <v/>
      </c>
    </row>
    <row r="655" spans="2:6" x14ac:dyDescent="0.3">
      <c r="B655" s="10" t="str">
        <f ca="1">IF(IFERROR(INDEX((COPIA!$DA$3:$DE$1339),MATCH(ROWS(B$10:B655),COPIA!$DF$3:$DF$1339,0),COLUMN()-1),"")&gt;=1,IFERROR(INDEX((COPIA!$DA$3:$DE$1339),MATCH(ROWS(B$10:B655),COPIA!$DF$3:$DF$1339,0),COLUMN()-1),""),"")</f>
        <v/>
      </c>
      <c r="C655" s="5" t="str">
        <f ca="1">SUBSTITUTE(IFERROR(INDEX((COPIA!$DA$3:$DE$1339),MATCH(ROWS(C$10:C655),COPIA!$DF$3:$DF$1339,0),COLUMN()-1),""),"MASTRO","")</f>
        <v/>
      </c>
      <c r="D655" s="136" t="str">
        <f ca="1">IF(IFERROR(INDEX((COPIA!$DA$3:$DE$1339),MATCH(ROWS(D$10:D655),COPIA!$DF$3:$DF$1339,0),COLUMN()-1),"")=0,"",IFERROR(INDEX((COPIA!$DA$3:$DE$1339),MATCH(ROWS(D$10:D655),COPIA!$DF$3:$DF$1339,0),COLUMN()-1),""))</f>
        <v/>
      </c>
      <c r="E655" s="9" t="str">
        <f ca="1">IF(IFERROR(INDEX((COPIA!$DA$3:$DE$1339),MATCH(ROWS(E$10:E655),COPIA!$DF$3:$DF$1339,0),COLUMN()-1),"")=0,"",IFERROR(INDEX((COPIA!$DA$3:$DE$1339),MATCH(ROWS(E$10:E655),COPIA!$DF$3:$DF$1339,0),COLUMN()-1),""))</f>
        <v/>
      </c>
      <c r="F655" s="6" t="str">
        <f ca="1">IF(IFERROR(INDEX((COPIA!$DA$3:$DE$1339),MATCH(ROWS(F$10:F655),COPIA!$DF$3:$DF$1339,0),COLUMN()-1),"")=0,"",IFERROR(INDEX((COPIA!$DA$3:$DE$1339),MATCH(ROWS(F$10:F655),COPIA!$DF$3:$DF$1339,0),COLUMN()-1),""))</f>
        <v/>
      </c>
    </row>
    <row r="656" spans="2:6" x14ac:dyDescent="0.3">
      <c r="B656" s="10" t="str">
        <f ca="1">IF(IFERROR(INDEX((COPIA!$DA$3:$DE$1339),MATCH(ROWS(B$10:B656),COPIA!$DF$3:$DF$1339,0),COLUMN()-1),"")&gt;=1,IFERROR(INDEX((COPIA!$DA$3:$DE$1339),MATCH(ROWS(B$10:B656),COPIA!$DF$3:$DF$1339,0),COLUMN()-1),""),"")</f>
        <v/>
      </c>
      <c r="C656" s="5" t="str">
        <f ca="1">SUBSTITUTE(IFERROR(INDEX((COPIA!$DA$3:$DE$1339),MATCH(ROWS(C$10:C656),COPIA!$DF$3:$DF$1339,0),COLUMN()-1),""),"MASTRO","")</f>
        <v/>
      </c>
      <c r="D656" s="136" t="str">
        <f ca="1">IF(IFERROR(INDEX((COPIA!$DA$3:$DE$1339),MATCH(ROWS(D$10:D656),COPIA!$DF$3:$DF$1339,0),COLUMN()-1),"")=0,"",IFERROR(INDEX((COPIA!$DA$3:$DE$1339),MATCH(ROWS(D$10:D656),COPIA!$DF$3:$DF$1339,0),COLUMN()-1),""))</f>
        <v/>
      </c>
      <c r="E656" s="9" t="str">
        <f ca="1">IF(IFERROR(INDEX((COPIA!$DA$3:$DE$1339),MATCH(ROWS(E$10:E656),COPIA!$DF$3:$DF$1339,0),COLUMN()-1),"")=0,"",IFERROR(INDEX((COPIA!$DA$3:$DE$1339),MATCH(ROWS(E$10:E656),COPIA!$DF$3:$DF$1339,0),COLUMN()-1),""))</f>
        <v/>
      </c>
      <c r="F656" s="6" t="str">
        <f ca="1">IF(IFERROR(INDEX((COPIA!$DA$3:$DE$1339),MATCH(ROWS(F$10:F656),COPIA!$DF$3:$DF$1339,0),COLUMN()-1),"")=0,"",IFERROR(INDEX((COPIA!$DA$3:$DE$1339),MATCH(ROWS(F$10:F656),COPIA!$DF$3:$DF$1339,0),COLUMN()-1),""))</f>
        <v/>
      </c>
    </row>
    <row r="657" spans="2:6" x14ac:dyDescent="0.3">
      <c r="B657" s="10" t="str">
        <f ca="1">IF(IFERROR(INDEX((COPIA!$DA$3:$DE$1339),MATCH(ROWS(B$10:B657),COPIA!$DF$3:$DF$1339,0),COLUMN()-1),"")&gt;=1,IFERROR(INDEX((COPIA!$DA$3:$DE$1339),MATCH(ROWS(B$10:B657),COPIA!$DF$3:$DF$1339,0),COLUMN()-1),""),"")</f>
        <v/>
      </c>
      <c r="C657" s="5" t="str">
        <f ca="1">SUBSTITUTE(IFERROR(INDEX((COPIA!$DA$3:$DE$1339),MATCH(ROWS(C$10:C657),COPIA!$DF$3:$DF$1339,0),COLUMN()-1),""),"MASTRO","")</f>
        <v/>
      </c>
      <c r="D657" s="136" t="str">
        <f ca="1">IF(IFERROR(INDEX((COPIA!$DA$3:$DE$1339),MATCH(ROWS(D$10:D657),COPIA!$DF$3:$DF$1339,0),COLUMN()-1),"")=0,"",IFERROR(INDEX((COPIA!$DA$3:$DE$1339),MATCH(ROWS(D$10:D657),COPIA!$DF$3:$DF$1339,0),COLUMN()-1),""))</f>
        <v/>
      </c>
      <c r="E657" s="9" t="str">
        <f ca="1">IF(IFERROR(INDEX((COPIA!$DA$3:$DE$1339),MATCH(ROWS(E$10:E657),COPIA!$DF$3:$DF$1339,0),COLUMN()-1),"")=0,"",IFERROR(INDEX((COPIA!$DA$3:$DE$1339),MATCH(ROWS(E$10:E657),COPIA!$DF$3:$DF$1339,0),COLUMN()-1),""))</f>
        <v/>
      </c>
      <c r="F657" s="6" t="str">
        <f ca="1">IF(IFERROR(INDEX((COPIA!$DA$3:$DE$1339),MATCH(ROWS(F$10:F657),COPIA!$DF$3:$DF$1339,0),COLUMN()-1),"")=0,"",IFERROR(INDEX((COPIA!$DA$3:$DE$1339),MATCH(ROWS(F$10:F657),COPIA!$DF$3:$DF$1339,0),COLUMN()-1),""))</f>
        <v/>
      </c>
    </row>
    <row r="658" spans="2:6" x14ac:dyDescent="0.3">
      <c r="B658" s="10" t="str">
        <f ca="1">IF(IFERROR(INDEX((COPIA!$DA$3:$DE$1339),MATCH(ROWS(B$10:B658),COPIA!$DF$3:$DF$1339,0),COLUMN()-1),"")&gt;=1,IFERROR(INDEX((COPIA!$DA$3:$DE$1339),MATCH(ROWS(B$10:B658),COPIA!$DF$3:$DF$1339,0),COLUMN()-1),""),"")</f>
        <v/>
      </c>
      <c r="C658" s="5" t="str">
        <f ca="1">SUBSTITUTE(IFERROR(INDEX((COPIA!$DA$3:$DE$1339),MATCH(ROWS(C$10:C658),COPIA!$DF$3:$DF$1339,0),COLUMN()-1),""),"MASTRO","")</f>
        <v/>
      </c>
      <c r="D658" s="136" t="str">
        <f ca="1">IF(IFERROR(INDEX((COPIA!$DA$3:$DE$1339),MATCH(ROWS(D$10:D658),COPIA!$DF$3:$DF$1339,0),COLUMN()-1),"")=0,"",IFERROR(INDEX((COPIA!$DA$3:$DE$1339),MATCH(ROWS(D$10:D658),COPIA!$DF$3:$DF$1339,0),COLUMN()-1),""))</f>
        <v/>
      </c>
      <c r="E658" s="9" t="str">
        <f ca="1">IF(IFERROR(INDEX((COPIA!$DA$3:$DE$1339),MATCH(ROWS(E$10:E658),COPIA!$DF$3:$DF$1339,0),COLUMN()-1),"")=0,"",IFERROR(INDEX((COPIA!$DA$3:$DE$1339),MATCH(ROWS(E$10:E658),COPIA!$DF$3:$DF$1339,0),COLUMN()-1),""))</f>
        <v/>
      </c>
      <c r="F658" s="6" t="str">
        <f ca="1">IF(IFERROR(INDEX((COPIA!$DA$3:$DE$1339),MATCH(ROWS(F$10:F658),COPIA!$DF$3:$DF$1339,0),COLUMN()-1),"")=0,"",IFERROR(INDEX((COPIA!$DA$3:$DE$1339),MATCH(ROWS(F$10:F658),COPIA!$DF$3:$DF$1339,0),COLUMN()-1),""))</f>
        <v/>
      </c>
    </row>
    <row r="659" spans="2:6" x14ac:dyDescent="0.3">
      <c r="B659" s="10" t="str">
        <f ca="1">IF(IFERROR(INDEX((COPIA!$DA$3:$DE$1339),MATCH(ROWS(B$10:B659),COPIA!$DF$3:$DF$1339,0),COLUMN()-1),"")&gt;=1,IFERROR(INDEX((COPIA!$DA$3:$DE$1339),MATCH(ROWS(B$10:B659),COPIA!$DF$3:$DF$1339,0),COLUMN()-1),""),"")</f>
        <v/>
      </c>
      <c r="C659" s="5" t="str">
        <f ca="1">SUBSTITUTE(IFERROR(INDEX((COPIA!$DA$3:$DE$1339),MATCH(ROWS(C$10:C659),COPIA!$DF$3:$DF$1339,0),COLUMN()-1),""),"MASTRO","")</f>
        <v/>
      </c>
      <c r="D659" s="136" t="str">
        <f ca="1">IF(IFERROR(INDEX((COPIA!$DA$3:$DE$1339),MATCH(ROWS(D$10:D659),COPIA!$DF$3:$DF$1339,0),COLUMN()-1),"")=0,"",IFERROR(INDEX((COPIA!$DA$3:$DE$1339),MATCH(ROWS(D$10:D659),COPIA!$DF$3:$DF$1339,0),COLUMN()-1),""))</f>
        <v/>
      </c>
      <c r="E659" s="9" t="str">
        <f ca="1">IF(IFERROR(INDEX((COPIA!$DA$3:$DE$1339),MATCH(ROWS(E$10:E659),COPIA!$DF$3:$DF$1339,0),COLUMN()-1),"")=0,"",IFERROR(INDEX((COPIA!$DA$3:$DE$1339),MATCH(ROWS(E$10:E659),COPIA!$DF$3:$DF$1339,0),COLUMN()-1),""))</f>
        <v/>
      </c>
      <c r="F659" s="6" t="str">
        <f ca="1">IF(IFERROR(INDEX((COPIA!$DA$3:$DE$1339),MATCH(ROWS(F$10:F659),COPIA!$DF$3:$DF$1339,0),COLUMN()-1),"")=0,"",IFERROR(INDEX((COPIA!$DA$3:$DE$1339),MATCH(ROWS(F$10:F659),COPIA!$DF$3:$DF$1339,0),COLUMN()-1),""))</f>
        <v/>
      </c>
    </row>
    <row r="660" spans="2:6" x14ac:dyDescent="0.3">
      <c r="B660" s="10" t="str">
        <f ca="1">IF(IFERROR(INDEX((COPIA!$DA$3:$DE$1339),MATCH(ROWS(B$10:B660),COPIA!$DF$3:$DF$1339,0),COLUMN()-1),"")&gt;=1,IFERROR(INDEX((COPIA!$DA$3:$DE$1339),MATCH(ROWS(B$10:B660),COPIA!$DF$3:$DF$1339,0),COLUMN()-1),""),"")</f>
        <v/>
      </c>
      <c r="C660" s="5" t="str">
        <f ca="1">SUBSTITUTE(IFERROR(INDEX((COPIA!$DA$3:$DE$1339),MATCH(ROWS(C$10:C660),COPIA!$DF$3:$DF$1339,0),COLUMN()-1),""),"MASTRO","")</f>
        <v/>
      </c>
      <c r="D660" s="136" t="str">
        <f ca="1">IF(IFERROR(INDEX((COPIA!$DA$3:$DE$1339),MATCH(ROWS(D$10:D660),COPIA!$DF$3:$DF$1339,0),COLUMN()-1),"")=0,"",IFERROR(INDEX((COPIA!$DA$3:$DE$1339),MATCH(ROWS(D$10:D660),COPIA!$DF$3:$DF$1339,0),COLUMN()-1),""))</f>
        <v/>
      </c>
      <c r="E660" s="9" t="str">
        <f ca="1">IF(IFERROR(INDEX((COPIA!$DA$3:$DE$1339),MATCH(ROWS(E$10:E660),COPIA!$DF$3:$DF$1339,0),COLUMN()-1),"")=0,"",IFERROR(INDEX((COPIA!$DA$3:$DE$1339),MATCH(ROWS(E$10:E660),COPIA!$DF$3:$DF$1339,0),COLUMN()-1),""))</f>
        <v/>
      </c>
      <c r="F660" s="6" t="str">
        <f ca="1">IF(IFERROR(INDEX((COPIA!$DA$3:$DE$1339),MATCH(ROWS(F$10:F660),COPIA!$DF$3:$DF$1339,0),COLUMN()-1),"")=0,"",IFERROR(INDEX((COPIA!$DA$3:$DE$1339),MATCH(ROWS(F$10:F660),COPIA!$DF$3:$DF$1339,0),COLUMN()-1),""))</f>
        <v/>
      </c>
    </row>
    <row r="661" spans="2:6" x14ac:dyDescent="0.3">
      <c r="B661" s="10" t="str">
        <f ca="1">IF(IFERROR(INDEX((COPIA!$DA$3:$DE$1339),MATCH(ROWS(B$10:B661),COPIA!$DF$3:$DF$1339,0),COLUMN()-1),"")&gt;=1,IFERROR(INDEX((COPIA!$DA$3:$DE$1339),MATCH(ROWS(B$10:B661),COPIA!$DF$3:$DF$1339,0),COLUMN()-1),""),"")</f>
        <v/>
      </c>
      <c r="C661" s="5" t="str">
        <f ca="1">SUBSTITUTE(IFERROR(INDEX((COPIA!$DA$3:$DE$1339),MATCH(ROWS(C$10:C661),COPIA!$DF$3:$DF$1339,0),COLUMN()-1),""),"MASTRO","")</f>
        <v/>
      </c>
      <c r="D661" s="136" t="str">
        <f ca="1">IF(IFERROR(INDEX((COPIA!$DA$3:$DE$1339),MATCH(ROWS(D$10:D661),COPIA!$DF$3:$DF$1339,0),COLUMN()-1),"")=0,"",IFERROR(INDEX((COPIA!$DA$3:$DE$1339),MATCH(ROWS(D$10:D661),COPIA!$DF$3:$DF$1339,0),COLUMN()-1),""))</f>
        <v/>
      </c>
      <c r="E661" s="9" t="str">
        <f ca="1">IF(IFERROR(INDEX((COPIA!$DA$3:$DE$1339),MATCH(ROWS(E$10:E661),COPIA!$DF$3:$DF$1339,0),COLUMN()-1),"")=0,"",IFERROR(INDEX((COPIA!$DA$3:$DE$1339),MATCH(ROWS(E$10:E661),COPIA!$DF$3:$DF$1339,0),COLUMN()-1),""))</f>
        <v/>
      </c>
      <c r="F661" s="6" t="str">
        <f ca="1">IF(IFERROR(INDEX((COPIA!$DA$3:$DE$1339),MATCH(ROWS(F$10:F661),COPIA!$DF$3:$DF$1339,0),COLUMN()-1),"")=0,"",IFERROR(INDEX((COPIA!$DA$3:$DE$1339),MATCH(ROWS(F$10:F661),COPIA!$DF$3:$DF$1339,0),COLUMN()-1),""))</f>
        <v/>
      </c>
    </row>
    <row r="662" spans="2:6" x14ac:dyDescent="0.3">
      <c r="B662" s="10" t="str">
        <f ca="1">IF(IFERROR(INDEX((COPIA!$DA$3:$DE$1339),MATCH(ROWS(B$10:B662),COPIA!$DF$3:$DF$1339,0),COLUMN()-1),"")&gt;=1,IFERROR(INDEX((COPIA!$DA$3:$DE$1339),MATCH(ROWS(B$10:B662),COPIA!$DF$3:$DF$1339,0),COLUMN()-1),""),"")</f>
        <v/>
      </c>
      <c r="C662" s="5" t="str">
        <f ca="1">SUBSTITUTE(IFERROR(INDEX((COPIA!$DA$3:$DE$1339),MATCH(ROWS(C$10:C662),COPIA!$DF$3:$DF$1339,0),COLUMN()-1),""),"MASTRO","")</f>
        <v/>
      </c>
      <c r="D662" s="136" t="str">
        <f ca="1">IF(IFERROR(INDEX((COPIA!$DA$3:$DE$1339),MATCH(ROWS(D$10:D662),COPIA!$DF$3:$DF$1339,0),COLUMN()-1),"")=0,"",IFERROR(INDEX((COPIA!$DA$3:$DE$1339),MATCH(ROWS(D$10:D662),COPIA!$DF$3:$DF$1339,0),COLUMN()-1),""))</f>
        <v/>
      </c>
      <c r="E662" s="9" t="str">
        <f ca="1">IF(IFERROR(INDEX((COPIA!$DA$3:$DE$1339),MATCH(ROWS(E$10:E662),COPIA!$DF$3:$DF$1339,0),COLUMN()-1),"")=0,"",IFERROR(INDEX((COPIA!$DA$3:$DE$1339),MATCH(ROWS(E$10:E662),COPIA!$DF$3:$DF$1339,0),COLUMN()-1),""))</f>
        <v/>
      </c>
      <c r="F662" s="6" t="str">
        <f ca="1">IF(IFERROR(INDEX((COPIA!$DA$3:$DE$1339),MATCH(ROWS(F$10:F662),COPIA!$DF$3:$DF$1339,0),COLUMN()-1),"")=0,"",IFERROR(INDEX((COPIA!$DA$3:$DE$1339),MATCH(ROWS(F$10:F662),COPIA!$DF$3:$DF$1339,0),COLUMN()-1),""))</f>
        <v/>
      </c>
    </row>
    <row r="663" spans="2:6" x14ac:dyDescent="0.3">
      <c r="B663" s="10" t="str">
        <f ca="1">IF(IFERROR(INDEX((COPIA!$DA$3:$DE$1339),MATCH(ROWS(B$10:B663),COPIA!$DF$3:$DF$1339,0),COLUMN()-1),"")&gt;=1,IFERROR(INDEX((COPIA!$DA$3:$DE$1339),MATCH(ROWS(B$10:B663),COPIA!$DF$3:$DF$1339,0),COLUMN()-1),""),"")</f>
        <v/>
      </c>
      <c r="C663" s="5" t="str">
        <f ca="1">SUBSTITUTE(IFERROR(INDEX((COPIA!$DA$3:$DE$1339),MATCH(ROWS(C$10:C663),COPIA!$DF$3:$DF$1339,0),COLUMN()-1),""),"MASTRO","")</f>
        <v/>
      </c>
      <c r="D663" s="136" t="str">
        <f ca="1">IF(IFERROR(INDEX((COPIA!$DA$3:$DE$1339),MATCH(ROWS(D$10:D663),COPIA!$DF$3:$DF$1339,0),COLUMN()-1),"")=0,"",IFERROR(INDEX((COPIA!$DA$3:$DE$1339),MATCH(ROWS(D$10:D663),COPIA!$DF$3:$DF$1339,0),COLUMN()-1),""))</f>
        <v/>
      </c>
      <c r="E663" s="9" t="str">
        <f ca="1">IF(IFERROR(INDEX((COPIA!$DA$3:$DE$1339),MATCH(ROWS(E$10:E663),COPIA!$DF$3:$DF$1339,0),COLUMN()-1),"")=0,"",IFERROR(INDEX((COPIA!$DA$3:$DE$1339),MATCH(ROWS(E$10:E663),COPIA!$DF$3:$DF$1339,0),COLUMN()-1),""))</f>
        <v/>
      </c>
      <c r="F663" s="6" t="str">
        <f ca="1">IF(IFERROR(INDEX((COPIA!$DA$3:$DE$1339),MATCH(ROWS(F$10:F663),COPIA!$DF$3:$DF$1339,0),COLUMN()-1),"")=0,"",IFERROR(INDEX((COPIA!$DA$3:$DE$1339),MATCH(ROWS(F$10:F663),COPIA!$DF$3:$DF$1339,0),COLUMN()-1),""))</f>
        <v/>
      </c>
    </row>
    <row r="664" spans="2:6" x14ac:dyDescent="0.3">
      <c r="B664" s="10" t="str">
        <f ca="1">IF(IFERROR(INDEX((COPIA!$DA$3:$DE$1339),MATCH(ROWS(B$10:B664),COPIA!$DF$3:$DF$1339,0),COLUMN()-1),"")&gt;=1,IFERROR(INDEX((COPIA!$DA$3:$DE$1339),MATCH(ROWS(B$10:B664),COPIA!$DF$3:$DF$1339,0),COLUMN()-1),""),"")</f>
        <v/>
      </c>
      <c r="C664" s="5" t="str">
        <f ca="1">SUBSTITUTE(IFERROR(INDEX((COPIA!$DA$3:$DE$1339),MATCH(ROWS(C$10:C664),COPIA!$DF$3:$DF$1339,0),COLUMN()-1),""),"MASTRO","")</f>
        <v/>
      </c>
      <c r="D664" s="136" t="str">
        <f ca="1">IF(IFERROR(INDEX((COPIA!$DA$3:$DE$1339),MATCH(ROWS(D$10:D664),COPIA!$DF$3:$DF$1339,0),COLUMN()-1),"")=0,"",IFERROR(INDEX((COPIA!$DA$3:$DE$1339),MATCH(ROWS(D$10:D664),COPIA!$DF$3:$DF$1339,0),COLUMN()-1),""))</f>
        <v/>
      </c>
      <c r="E664" s="9" t="str">
        <f ca="1">IF(IFERROR(INDEX((COPIA!$DA$3:$DE$1339),MATCH(ROWS(E$10:E664),COPIA!$DF$3:$DF$1339,0),COLUMN()-1),"")=0,"",IFERROR(INDEX((COPIA!$DA$3:$DE$1339),MATCH(ROWS(E$10:E664),COPIA!$DF$3:$DF$1339,0),COLUMN()-1),""))</f>
        <v/>
      </c>
      <c r="F664" s="6" t="str">
        <f ca="1">IF(IFERROR(INDEX((COPIA!$DA$3:$DE$1339),MATCH(ROWS(F$10:F664),COPIA!$DF$3:$DF$1339,0),COLUMN()-1),"")=0,"",IFERROR(INDEX((COPIA!$DA$3:$DE$1339),MATCH(ROWS(F$10:F664),COPIA!$DF$3:$DF$1339,0),COLUMN()-1),""))</f>
        <v/>
      </c>
    </row>
    <row r="665" spans="2:6" x14ac:dyDescent="0.3">
      <c r="B665" s="10" t="str">
        <f ca="1">IF(IFERROR(INDEX((COPIA!$DA$3:$DE$1339),MATCH(ROWS(B$10:B665),COPIA!$DF$3:$DF$1339,0),COLUMN()-1),"")&gt;=1,IFERROR(INDEX((COPIA!$DA$3:$DE$1339),MATCH(ROWS(B$10:B665),COPIA!$DF$3:$DF$1339,0),COLUMN()-1),""),"")</f>
        <v/>
      </c>
      <c r="C665" s="5" t="str">
        <f ca="1">SUBSTITUTE(IFERROR(INDEX((COPIA!$DA$3:$DE$1339),MATCH(ROWS(C$10:C665),COPIA!$DF$3:$DF$1339,0),COLUMN()-1),""),"MASTRO","")</f>
        <v/>
      </c>
      <c r="D665" s="136" t="str">
        <f ca="1">IF(IFERROR(INDEX((COPIA!$DA$3:$DE$1339),MATCH(ROWS(D$10:D665),COPIA!$DF$3:$DF$1339,0),COLUMN()-1),"")=0,"",IFERROR(INDEX((COPIA!$DA$3:$DE$1339),MATCH(ROWS(D$10:D665),COPIA!$DF$3:$DF$1339,0),COLUMN()-1),""))</f>
        <v/>
      </c>
      <c r="E665" s="9" t="str">
        <f ca="1">IF(IFERROR(INDEX((COPIA!$DA$3:$DE$1339),MATCH(ROWS(E$10:E665),COPIA!$DF$3:$DF$1339,0),COLUMN()-1),"")=0,"",IFERROR(INDEX((COPIA!$DA$3:$DE$1339),MATCH(ROWS(E$10:E665),COPIA!$DF$3:$DF$1339,0),COLUMN()-1),""))</f>
        <v/>
      </c>
      <c r="F665" s="6" t="str">
        <f ca="1">IF(IFERROR(INDEX((COPIA!$DA$3:$DE$1339),MATCH(ROWS(F$10:F665),COPIA!$DF$3:$DF$1339,0),COLUMN()-1),"")=0,"",IFERROR(INDEX((COPIA!$DA$3:$DE$1339),MATCH(ROWS(F$10:F665),COPIA!$DF$3:$DF$1339,0),COLUMN()-1),""))</f>
        <v/>
      </c>
    </row>
    <row r="666" spans="2:6" x14ac:dyDescent="0.3">
      <c r="B666" s="10" t="str">
        <f ca="1">IF(IFERROR(INDEX((COPIA!$DA$3:$DE$1339),MATCH(ROWS(B$10:B666),COPIA!$DF$3:$DF$1339,0),COLUMN()-1),"")&gt;=1,IFERROR(INDEX((COPIA!$DA$3:$DE$1339),MATCH(ROWS(B$10:B666),COPIA!$DF$3:$DF$1339,0),COLUMN()-1),""),"")</f>
        <v/>
      </c>
      <c r="C666" s="5" t="str">
        <f ca="1">SUBSTITUTE(IFERROR(INDEX((COPIA!$DA$3:$DE$1339),MATCH(ROWS(C$10:C666),COPIA!$DF$3:$DF$1339,0),COLUMN()-1),""),"MASTRO","")</f>
        <v/>
      </c>
      <c r="D666" s="136" t="str">
        <f ca="1">IF(IFERROR(INDEX((COPIA!$DA$3:$DE$1339),MATCH(ROWS(D$10:D666),COPIA!$DF$3:$DF$1339,0),COLUMN()-1),"")=0,"",IFERROR(INDEX((COPIA!$DA$3:$DE$1339),MATCH(ROWS(D$10:D666),COPIA!$DF$3:$DF$1339,0),COLUMN()-1),""))</f>
        <v/>
      </c>
      <c r="E666" s="9" t="str">
        <f ca="1">IF(IFERROR(INDEX((COPIA!$DA$3:$DE$1339),MATCH(ROWS(E$10:E666),COPIA!$DF$3:$DF$1339,0),COLUMN()-1),"")=0,"",IFERROR(INDEX((COPIA!$DA$3:$DE$1339),MATCH(ROWS(E$10:E666),COPIA!$DF$3:$DF$1339,0),COLUMN()-1),""))</f>
        <v/>
      </c>
      <c r="F666" s="6" t="str">
        <f ca="1">IF(IFERROR(INDEX((COPIA!$DA$3:$DE$1339),MATCH(ROWS(F$10:F666),COPIA!$DF$3:$DF$1339,0),COLUMN()-1),"")=0,"",IFERROR(INDEX((COPIA!$DA$3:$DE$1339),MATCH(ROWS(F$10:F666),COPIA!$DF$3:$DF$1339,0),COLUMN()-1),""))</f>
        <v/>
      </c>
    </row>
    <row r="667" spans="2:6" x14ac:dyDescent="0.3">
      <c r="B667" s="10" t="str">
        <f ca="1">IF(IFERROR(INDEX((COPIA!$DA$3:$DE$1339),MATCH(ROWS(B$10:B667),COPIA!$DF$3:$DF$1339,0),COLUMN()-1),"")&gt;=1,IFERROR(INDEX((COPIA!$DA$3:$DE$1339),MATCH(ROWS(B$10:B667),COPIA!$DF$3:$DF$1339,0),COLUMN()-1),""),"")</f>
        <v/>
      </c>
      <c r="C667" s="5" t="str">
        <f ca="1">SUBSTITUTE(IFERROR(INDEX((COPIA!$DA$3:$DE$1339),MATCH(ROWS(C$10:C667),COPIA!$DF$3:$DF$1339,0),COLUMN()-1),""),"MASTRO","")</f>
        <v/>
      </c>
      <c r="D667" s="136" t="str">
        <f ca="1">IF(IFERROR(INDEX((COPIA!$DA$3:$DE$1339),MATCH(ROWS(D$10:D667),COPIA!$DF$3:$DF$1339,0),COLUMN()-1),"")=0,"",IFERROR(INDEX((COPIA!$DA$3:$DE$1339),MATCH(ROWS(D$10:D667),COPIA!$DF$3:$DF$1339,0),COLUMN()-1),""))</f>
        <v/>
      </c>
      <c r="E667" s="9" t="str">
        <f ca="1">IF(IFERROR(INDEX((COPIA!$DA$3:$DE$1339),MATCH(ROWS(E$10:E667),COPIA!$DF$3:$DF$1339,0),COLUMN()-1),"")=0,"",IFERROR(INDEX((COPIA!$DA$3:$DE$1339),MATCH(ROWS(E$10:E667),COPIA!$DF$3:$DF$1339,0),COLUMN()-1),""))</f>
        <v/>
      </c>
      <c r="F667" s="6" t="str">
        <f ca="1">IF(IFERROR(INDEX((COPIA!$DA$3:$DE$1339),MATCH(ROWS(F$10:F667),COPIA!$DF$3:$DF$1339,0),COLUMN()-1),"")=0,"",IFERROR(INDEX((COPIA!$DA$3:$DE$1339),MATCH(ROWS(F$10:F667),COPIA!$DF$3:$DF$1339,0),COLUMN()-1),""))</f>
        <v/>
      </c>
    </row>
    <row r="668" spans="2:6" x14ac:dyDescent="0.3">
      <c r="B668" s="10" t="str">
        <f ca="1">IF(IFERROR(INDEX((COPIA!$DA$3:$DE$1339),MATCH(ROWS(B$10:B668),COPIA!$DF$3:$DF$1339,0),COLUMN()-1),"")&gt;=1,IFERROR(INDEX((COPIA!$DA$3:$DE$1339),MATCH(ROWS(B$10:B668),COPIA!$DF$3:$DF$1339,0),COLUMN()-1),""),"")</f>
        <v/>
      </c>
      <c r="C668" s="5" t="str">
        <f ca="1">SUBSTITUTE(IFERROR(INDEX((COPIA!$DA$3:$DE$1339),MATCH(ROWS(C$10:C668),COPIA!$DF$3:$DF$1339,0),COLUMN()-1),""),"MASTRO","")</f>
        <v/>
      </c>
      <c r="D668" s="136" t="str">
        <f ca="1">IF(IFERROR(INDEX((COPIA!$DA$3:$DE$1339),MATCH(ROWS(D$10:D668),COPIA!$DF$3:$DF$1339,0),COLUMN()-1),"")=0,"",IFERROR(INDEX((COPIA!$DA$3:$DE$1339),MATCH(ROWS(D$10:D668),COPIA!$DF$3:$DF$1339,0),COLUMN()-1),""))</f>
        <v/>
      </c>
      <c r="E668" s="9" t="str">
        <f ca="1">IF(IFERROR(INDEX((COPIA!$DA$3:$DE$1339),MATCH(ROWS(E$10:E668),COPIA!$DF$3:$DF$1339,0),COLUMN()-1),"")=0,"",IFERROR(INDEX((COPIA!$DA$3:$DE$1339),MATCH(ROWS(E$10:E668),COPIA!$DF$3:$DF$1339,0),COLUMN()-1),""))</f>
        <v/>
      </c>
      <c r="F668" s="6" t="str">
        <f ca="1">IF(IFERROR(INDEX((COPIA!$DA$3:$DE$1339),MATCH(ROWS(F$10:F668),COPIA!$DF$3:$DF$1339,0),COLUMN()-1),"")=0,"",IFERROR(INDEX((COPIA!$DA$3:$DE$1339),MATCH(ROWS(F$10:F668),COPIA!$DF$3:$DF$1339,0),COLUMN()-1),""))</f>
        <v/>
      </c>
    </row>
    <row r="669" spans="2:6" x14ac:dyDescent="0.3">
      <c r="B669" s="10" t="str">
        <f ca="1">IF(IFERROR(INDEX((COPIA!$DA$3:$DE$1339),MATCH(ROWS(B$10:B669),COPIA!$DF$3:$DF$1339,0),COLUMN()-1),"")&gt;=1,IFERROR(INDEX((COPIA!$DA$3:$DE$1339),MATCH(ROWS(B$10:B669),COPIA!$DF$3:$DF$1339,0),COLUMN()-1),""),"")</f>
        <v/>
      </c>
      <c r="C669" s="5" t="str">
        <f ca="1">SUBSTITUTE(IFERROR(INDEX((COPIA!$DA$3:$DE$1339),MATCH(ROWS(C$10:C669),COPIA!$DF$3:$DF$1339,0),COLUMN()-1),""),"MASTRO","")</f>
        <v/>
      </c>
      <c r="D669" s="136" t="str">
        <f ca="1">IF(IFERROR(INDEX((COPIA!$DA$3:$DE$1339),MATCH(ROWS(D$10:D669),COPIA!$DF$3:$DF$1339,0),COLUMN()-1),"")=0,"",IFERROR(INDEX((COPIA!$DA$3:$DE$1339),MATCH(ROWS(D$10:D669),COPIA!$DF$3:$DF$1339,0),COLUMN()-1),""))</f>
        <v/>
      </c>
      <c r="E669" s="9" t="str">
        <f ca="1">IF(IFERROR(INDEX((COPIA!$DA$3:$DE$1339),MATCH(ROWS(E$10:E669),COPIA!$DF$3:$DF$1339,0),COLUMN()-1),"")=0,"",IFERROR(INDEX((COPIA!$DA$3:$DE$1339),MATCH(ROWS(E$10:E669),COPIA!$DF$3:$DF$1339,0),COLUMN()-1),""))</f>
        <v/>
      </c>
      <c r="F669" s="6" t="str">
        <f ca="1">IF(IFERROR(INDEX((COPIA!$DA$3:$DE$1339),MATCH(ROWS(F$10:F669),COPIA!$DF$3:$DF$1339,0),COLUMN()-1),"")=0,"",IFERROR(INDEX((COPIA!$DA$3:$DE$1339),MATCH(ROWS(F$10:F669),COPIA!$DF$3:$DF$1339,0),COLUMN()-1),""))</f>
        <v/>
      </c>
    </row>
    <row r="670" spans="2:6" x14ac:dyDescent="0.3">
      <c r="B670" s="10" t="str">
        <f ca="1">IF(IFERROR(INDEX((COPIA!$DA$3:$DE$1339),MATCH(ROWS(B$10:B670),COPIA!$DF$3:$DF$1339,0),COLUMN()-1),"")&gt;=1,IFERROR(INDEX((COPIA!$DA$3:$DE$1339),MATCH(ROWS(B$10:B670),COPIA!$DF$3:$DF$1339,0),COLUMN()-1),""),"")</f>
        <v/>
      </c>
      <c r="C670" s="5" t="str">
        <f ca="1">SUBSTITUTE(IFERROR(INDEX((COPIA!$DA$3:$DE$1339),MATCH(ROWS(C$10:C670),COPIA!$DF$3:$DF$1339,0),COLUMN()-1),""),"MASTRO","")</f>
        <v/>
      </c>
      <c r="D670" s="136" t="str">
        <f ca="1">IF(IFERROR(INDEX((COPIA!$DA$3:$DE$1339),MATCH(ROWS(D$10:D670),COPIA!$DF$3:$DF$1339,0),COLUMN()-1),"")=0,"",IFERROR(INDEX((COPIA!$DA$3:$DE$1339),MATCH(ROWS(D$10:D670),COPIA!$DF$3:$DF$1339,0),COLUMN()-1),""))</f>
        <v/>
      </c>
      <c r="E670" s="9" t="str">
        <f ca="1">IF(IFERROR(INDEX((COPIA!$DA$3:$DE$1339),MATCH(ROWS(E$10:E670),COPIA!$DF$3:$DF$1339,0),COLUMN()-1),"")=0,"",IFERROR(INDEX((COPIA!$DA$3:$DE$1339),MATCH(ROWS(E$10:E670),COPIA!$DF$3:$DF$1339,0),COLUMN()-1),""))</f>
        <v/>
      </c>
      <c r="F670" s="6" t="str">
        <f ca="1">IF(IFERROR(INDEX((COPIA!$DA$3:$DE$1339),MATCH(ROWS(F$10:F670),COPIA!$DF$3:$DF$1339,0),COLUMN()-1),"")=0,"",IFERROR(INDEX((COPIA!$DA$3:$DE$1339),MATCH(ROWS(F$10:F670),COPIA!$DF$3:$DF$1339,0),COLUMN()-1),""))</f>
        <v/>
      </c>
    </row>
    <row r="671" spans="2:6" x14ac:dyDescent="0.3">
      <c r="B671" s="10" t="str">
        <f ca="1">IF(IFERROR(INDEX((COPIA!$DA$3:$DE$1339),MATCH(ROWS(B$10:B671),COPIA!$DF$3:$DF$1339,0),COLUMN()-1),"")&gt;=1,IFERROR(INDEX((COPIA!$DA$3:$DE$1339),MATCH(ROWS(B$10:B671),COPIA!$DF$3:$DF$1339,0),COLUMN()-1),""),"")</f>
        <v/>
      </c>
      <c r="C671" s="5" t="str">
        <f ca="1">SUBSTITUTE(IFERROR(INDEX((COPIA!$DA$3:$DE$1339),MATCH(ROWS(C$10:C671),COPIA!$DF$3:$DF$1339,0),COLUMN()-1),""),"MASTRO","")</f>
        <v/>
      </c>
      <c r="D671" s="136" t="str">
        <f ca="1">IF(IFERROR(INDEX((COPIA!$DA$3:$DE$1339),MATCH(ROWS(D$10:D671),COPIA!$DF$3:$DF$1339,0),COLUMN()-1),"")=0,"",IFERROR(INDEX((COPIA!$DA$3:$DE$1339),MATCH(ROWS(D$10:D671),COPIA!$DF$3:$DF$1339,0),COLUMN()-1),""))</f>
        <v/>
      </c>
      <c r="E671" s="9" t="str">
        <f ca="1">IF(IFERROR(INDEX((COPIA!$DA$3:$DE$1339),MATCH(ROWS(E$10:E671),COPIA!$DF$3:$DF$1339,0),COLUMN()-1),"")=0,"",IFERROR(INDEX((COPIA!$DA$3:$DE$1339),MATCH(ROWS(E$10:E671),COPIA!$DF$3:$DF$1339,0),COLUMN()-1),""))</f>
        <v/>
      </c>
      <c r="F671" s="6" t="str">
        <f ca="1">IF(IFERROR(INDEX((COPIA!$DA$3:$DE$1339),MATCH(ROWS(F$10:F671),COPIA!$DF$3:$DF$1339,0),COLUMN()-1),"")=0,"",IFERROR(INDEX((COPIA!$DA$3:$DE$1339),MATCH(ROWS(F$10:F671),COPIA!$DF$3:$DF$1339,0),COLUMN()-1),""))</f>
        <v/>
      </c>
    </row>
    <row r="672" spans="2:6" x14ac:dyDescent="0.3">
      <c r="B672" s="10" t="str">
        <f ca="1">IF(IFERROR(INDEX((COPIA!$DA$3:$DE$1339),MATCH(ROWS(B$10:B672),COPIA!$DF$3:$DF$1339,0),COLUMN()-1),"")&gt;=1,IFERROR(INDEX((COPIA!$DA$3:$DE$1339),MATCH(ROWS(B$10:B672),COPIA!$DF$3:$DF$1339,0),COLUMN()-1),""),"")</f>
        <v/>
      </c>
      <c r="C672" s="5" t="str">
        <f ca="1">SUBSTITUTE(IFERROR(INDEX((COPIA!$DA$3:$DE$1339),MATCH(ROWS(C$10:C672),COPIA!$DF$3:$DF$1339,0),COLUMN()-1),""),"MASTRO","")</f>
        <v/>
      </c>
      <c r="D672" s="136" t="str">
        <f ca="1">IF(IFERROR(INDEX((COPIA!$DA$3:$DE$1339),MATCH(ROWS(D$10:D672),COPIA!$DF$3:$DF$1339,0),COLUMN()-1),"")=0,"",IFERROR(INDEX((COPIA!$DA$3:$DE$1339),MATCH(ROWS(D$10:D672),COPIA!$DF$3:$DF$1339,0),COLUMN()-1),""))</f>
        <v/>
      </c>
      <c r="E672" s="9" t="str">
        <f ca="1">IF(IFERROR(INDEX((COPIA!$DA$3:$DE$1339),MATCH(ROWS(E$10:E672),COPIA!$DF$3:$DF$1339,0),COLUMN()-1),"")=0,"",IFERROR(INDEX((COPIA!$DA$3:$DE$1339),MATCH(ROWS(E$10:E672),COPIA!$DF$3:$DF$1339,0),COLUMN()-1),""))</f>
        <v/>
      </c>
      <c r="F672" s="6" t="str">
        <f ca="1">IF(IFERROR(INDEX((COPIA!$DA$3:$DE$1339),MATCH(ROWS(F$10:F672),COPIA!$DF$3:$DF$1339,0),COLUMN()-1),"")=0,"",IFERROR(INDEX((COPIA!$DA$3:$DE$1339),MATCH(ROWS(F$10:F672),COPIA!$DF$3:$DF$1339,0),COLUMN()-1),""))</f>
        <v/>
      </c>
    </row>
    <row r="673" spans="2:6" x14ac:dyDescent="0.3">
      <c r="B673" s="10" t="str">
        <f ca="1">IF(IFERROR(INDEX((COPIA!$DA$3:$DE$1339),MATCH(ROWS(B$10:B673),COPIA!$DF$3:$DF$1339,0),COLUMN()-1),"")&gt;=1,IFERROR(INDEX((COPIA!$DA$3:$DE$1339),MATCH(ROWS(B$10:B673),COPIA!$DF$3:$DF$1339,0),COLUMN()-1),""),"")</f>
        <v/>
      </c>
      <c r="C673" s="5" t="str">
        <f ca="1">SUBSTITUTE(IFERROR(INDEX((COPIA!$DA$3:$DE$1339),MATCH(ROWS(C$10:C673),COPIA!$DF$3:$DF$1339,0),COLUMN()-1),""),"MASTRO","")</f>
        <v/>
      </c>
      <c r="D673" s="136" t="str">
        <f ca="1">IF(IFERROR(INDEX((COPIA!$DA$3:$DE$1339),MATCH(ROWS(D$10:D673),COPIA!$DF$3:$DF$1339,0),COLUMN()-1),"")=0,"",IFERROR(INDEX((COPIA!$DA$3:$DE$1339),MATCH(ROWS(D$10:D673),COPIA!$DF$3:$DF$1339,0),COLUMN()-1),""))</f>
        <v/>
      </c>
      <c r="E673" s="9" t="str">
        <f ca="1">IF(IFERROR(INDEX((COPIA!$DA$3:$DE$1339),MATCH(ROWS(E$10:E673),COPIA!$DF$3:$DF$1339,0),COLUMN()-1),"")=0,"",IFERROR(INDEX((COPIA!$DA$3:$DE$1339),MATCH(ROWS(E$10:E673),COPIA!$DF$3:$DF$1339,0),COLUMN()-1),""))</f>
        <v/>
      </c>
      <c r="F673" s="6" t="str">
        <f ca="1">IF(IFERROR(INDEX((COPIA!$DA$3:$DE$1339),MATCH(ROWS(F$10:F673),COPIA!$DF$3:$DF$1339,0),COLUMN()-1),"")=0,"",IFERROR(INDEX((COPIA!$DA$3:$DE$1339),MATCH(ROWS(F$10:F673),COPIA!$DF$3:$DF$1339,0),COLUMN()-1),""))</f>
        <v/>
      </c>
    </row>
    <row r="674" spans="2:6" x14ac:dyDescent="0.3">
      <c r="B674" s="10" t="str">
        <f ca="1">IF(IFERROR(INDEX((COPIA!$DA$3:$DE$1339),MATCH(ROWS(B$10:B674),COPIA!$DF$3:$DF$1339,0),COLUMN()-1),"")&gt;=1,IFERROR(INDEX((COPIA!$DA$3:$DE$1339),MATCH(ROWS(B$10:B674),COPIA!$DF$3:$DF$1339,0),COLUMN()-1),""),"")</f>
        <v/>
      </c>
      <c r="C674" s="5" t="str">
        <f ca="1">SUBSTITUTE(IFERROR(INDEX((COPIA!$DA$3:$DE$1339),MATCH(ROWS(C$10:C674),COPIA!$DF$3:$DF$1339,0),COLUMN()-1),""),"MASTRO","")</f>
        <v/>
      </c>
      <c r="D674" s="136" t="str">
        <f ca="1">IF(IFERROR(INDEX((COPIA!$DA$3:$DE$1339),MATCH(ROWS(D$10:D674),COPIA!$DF$3:$DF$1339,0),COLUMN()-1),"")=0,"",IFERROR(INDEX((COPIA!$DA$3:$DE$1339),MATCH(ROWS(D$10:D674),COPIA!$DF$3:$DF$1339,0),COLUMN()-1),""))</f>
        <v/>
      </c>
      <c r="E674" s="9" t="str">
        <f ca="1">IF(IFERROR(INDEX((COPIA!$DA$3:$DE$1339),MATCH(ROWS(E$10:E674),COPIA!$DF$3:$DF$1339,0),COLUMN()-1),"")=0,"",IFERROR(INDEX((COPIA!$DA$3:$DE$1339),MATCH(ROWS(E$10:E674),COPIA!$DF$3:$DF$1339,0),COLUMN()-1),""))</f>
        <v/>
      </c>
      <c r="F674" s="6" t="str">
        <f ca="1">IF(IFERROR(INDEX((COPIA!$DA$3:$DE$1339),MATCH(ROWS(F$10:F674),COPIA!$DF$3:$DF$1339,0),COLUMN()-1),"")=0,"",IFERROR(INDEX((COPIA!$DA$3:$DE$1339),MATCH(ROWS(F$10:F674),COPIA!$DF$3:$DF$1339,0),COLUMN()-1),""))</f>
        <v/>
      </c>
    </row>
    <row r="675" spans="2:6" x14ac:dyDescent="0.3">
      <c r="B675" s="10" t="str">
        <f ca="1">IF(IFERROR(INDEX((COPIA!$DA$3:$DE$1339),MATCH(ROWS(B$10:B675),COPIA!$DF$3:$DF$1339,0),COLUMN()-1),"")&gt;=1,IFERROR(INDEX((COPIA!$DA$3:$DE$1339),MATCH(ROWS(B$10:B675),COPIA!$DF$3:$DF$1339,0),COLUMN()-1),""),"")</f>
        <v/>
      </c>
      <c r="C675" s="5" t="str">
        <f ca="1">SUBSTITUTE(IFERROR(INDEX((COPIA!$DA$3:$DE$1339),MATCH(ROWS(C$10:C675),COPIA!$DF$3:$DF$1339,0),COLUMN()-1),""),"MASTRO","")</f>
        <v/>
      </c>
      <c r="D675" s="136" t="str">
        <f ca="1">IF(IFERROR(INDEX((COPIA!$DA$3:$DE$1339),MATCH(ROWS(D$10:D675),COPIA!$DF$3:$DF$1339,0),COLUMN()-1),"")=0,"",IFERROR(INDEX((COPIA!$DA$3:$DE$1339),MATCH(ROWS(D$10:D675),COPIA!$DF$3:$DF$1339,0),COLUMN()-1),""))</f>
        <v/>
      </c>
      <c r="E675" s="9" t="str">
        <f ca="1">IF(IFERROR(INDEX((COPIA!$DA$3:$DE$1339),MATCH(ROWS(E$10:E675),COPIA!$DF$3:$DF$1339,0),COLUMN()-1),"")=0,"",IFERROR(INDEX((COPIA!$DA$3:$DE$1339),MATCH(ROWS(E$10:E675),COPIA!$DF$3:$DF$1339,0),COLUMN()-1),""))</f>
        <v/>
      </c>
      <c r="F675" s="6" t="str">
        <f ca="1">IF(IFERROR(INDEX((COPIA!$DA$3:$DE$1339),MATCH(ROWS(F$10:F675),COPIA!$DF$3:$DF$1339,0),COLUMN()-1),"")=0,"",IFERROR(INDEX((COPIA!$DA$3:$DE$1339),MATCH(ROWS(F$10:F675),COPIA!$DF$3:$DF$1339,0),COLUMN()-1),""))</f>
        <v/>
      </c>
    </row>
    <row r="676" spans="2:6" x14ac:dyDescent="0.3">
      <c r="B676" s="10" t="str">
        <f ca="1">IF(IFERROR(INDEX((COPIA!$DA$3:$DE$1339),MATCH(ROWS(B$10:B676),COPIA!$DF$3:$DF$1339,0),COLUMN()-1),"")&gt;=1,IFERROR(INDEX((COPIA!$DA$3:$DE$1339),MATCH(ROWS(B$10:B676),COPIA!$DF$3:$DF$1339,0),COLUMN()-1),""),"")</f>
        <v/>
      </c>
      <c r="C676" s="5" t="str">
        <f ca="1">SUBSTITUTE(IFERROR(INDEX((COPIA!$DA$3:$DE$1339),MATCH(ROWS(C$10:C676),COPIA!$DF$3:$DF$1339,0),COLUMN()-1),""),"MASTRO","")</f>
        <v/>
      </c>
      <c r="D676" s="136" t="str">
        <f ca="1">IF(IFERROR(INDEX((COPIA!$DA$3:$DE$1339),MATCH(ROWS(D$10:D676),COPIA!$DF$3:$DF$1339,0),COLUMN()-1),"")=0,"",IFERROR(INDEX((COPIA!$DA$3:$DE$1339),MATCH(ROWS(D$10:D676),COPIA!$DF$3:$DF$1339,0),COLUMN()-1),""))</f>
        <v/>
      </c>
      <c r="E676" s="9" t="str">
        <f ca="1">IF(IFERROR(INDEX((COPIA!$DA$3:$DE$1339),MATCH(ROWS(E$10:E676),COPIA!$DF$3:$DF$1339,0),COLUMN()-1),"")=0,"",IFERROR(INDEX((COPIA!$DA$3:$DE$1339),MATCH(ROWS(E$10:E676),COPIA!$DF$3:$DF$1339,0),COLUMN()-1),""))</f>
        <v/>
      </c>
      <c r="F676" s="6" t="str">
        <f ca="1">IF(IFERROR(INDEX((COPIA!$DA$3:$DE$1339),MATCH(ROWS(F$10:F676),COPIA!$DF$3:$DF$1339,0),COLUMN()-1),"")=0,"",IFERROR(INDEX((COPIA!$DA$3:$DE$1339),MATCH(ROWS(F$10:F676),COPIA!$DF$3:$DF$1339,0),COLUMN()-1),""))</f>
        <v/>
      </c>
    </row>
    <row r="677" spans="2:6" x14ac:dyDescent="0.3">
      <c r="B677" s="10" t="str">
        <f ca="1">IF(IFERROR(INDEX((COPIA!$DA$3:$DE$1339),MATCH(ROWS(B$10:B677),COPIA!$DF$3:$DF$1339,0),COLUMN()-1),"")&gt;=1,IFERROR(INDEX((COPIA!$DA$3:$DE$1339),MATCH(ROWS(B$10:B677),COPIA!$DF$3:$DF$1339,0),COLUMN()-1),""),"")</f>
        <v/>
      </c>
      <c r="C677" s="5" t="str">
        <f ca="1">SUBSTITUTE(IFERROR(INDEX((COPIA!$DA$3:$DE$1339),MATCH(ROWS(C$10:C677),COPIA!$DF$3:$DF$1339,0),COLUMN()-1),""),"MASTRO","")</f>
        <v/>
      </c>
      <c r="D677" s="136" t="str">
        <f ca="1">IF(IFERROR(INDEX((COPIA!$DA$3:$DE$1339),MATCH(ROWS(D$10:D677),COPIA!$DF$3:$DF$1339,0),COLUMN()-1),"")=0,"",IFERROR(INDEX((COPIA!$DA$3:$DE$1339),MATCH(ROWS(D$10:D677),COPIA!$DF$3:$DF$1339,0),COLUMN()-1),""))</f>
        <v/>
      </c>
      <c r="E677" s="9" t="str">
        <f ca="1">IF(IFERROR(INDEX((COPIA!$DA$3:$DE$1339),MATCH(ROWS(E$10:E677),COPIA!$DF$3:$DF$1339,0),COLUMN()-1),"")=0,"",IFERROR(INDEX((COPIA!$DA$3:$DE$1339),MATCH(ROWS(E$10:E677),COPIA!$DF$3:$DF$1339,0),COLUMN()-1),""))</f>
        <v/>
      </c>
      <c r="F677" s="6" t="str">
        <f ca="1">IF(IFERROR(INDEX((COPIA!$DA$3:$DE$1339),MATCH(ROWS(F$10:F677),COPIA!$DF$3:$DF$1339,0),COLUMN()-1),"")=0,"",IFERROR(INDEX((COPIA!$DA$3:$DE$1339),MATCH(ROWS(F$10:F677),COPIA!$DF$3:$DF$1339,0),COLUMN()-1),""))</f>
        <v/>
      </c>
    </row>
    <row r="678" spans="2:6" x14ac:dyDescent="0.3">
      <c r="B678" s="10" t="str">
        <f ca="1">IF(IFERROR(INDEX((COPIA!$DA$3:$DE$1339),MATCH(ROWS(B$10:B678),COPIA!$DF$3:$DF$1339,0),COLUMN()-1),"")&gt;=1,IFERROR(INDEX((COPIA!$DA$3:$DE$1339),MATCH(ROWS(B$10:B678),COPIA!$DF$3:$DF$1339,0),COLUMN()-1),""),"")</f>
        <v/>
      </c>
      <c r="C678" s="5" t="str">
        <f ca="1">SUBSTITUTE(IFERROR(INDEX((COPIA!$DA$3:$DE$1339),MATCH(ROWS(C$10:C678),COPIA!$DF$3:$DF$1339,0),COLUMN()-1),""),"MASTRO","")</f>
        <v/>
      </c>
      <c r="D678" s="136" t="str">
        <f ca="1">IF(IFERROR(INDEX((COPIA!$DA$3:$DE$1339),MATCH(ROWS(D$10:D678),COPIA!$DF$3:$DF$1339,0),COLUMN()-1),"")=0,"",IFERROR(INDEX((COPIA!$DA$3:$DE$1339),MATCH(ROWS(D$10:D678),COPIA!$DF$3:$DF$1339,0),COLUMN()-1),""))</f>
        <v/>
      </c>
      <c r="E678" s="9" t="str">
        <f ca="1">IF(IFERROR(INDEX((COPIA!$DA$3:$DE$1339),MATCH(ROWS(E$10:E678),COPIA!$DF$3:$DF$1339,0),COLUMN()-1),"")=0,"",IFERROR(INDEX((COPIA!$DA$3:$DE$1339),MATCH(ROWS(E$10:E678),COPIA!$DF$3:$DF$1339,0),COLUMN()-1),""))</f>
        <v/>
      </c>
      <c r="F678" s="6" t="str">
        <f ca="1">IF(IFERROR(INDEX((COPIA!$DA$3:$DE$1339),MATCH(ROWS(F$10:F678),COPIA!$DF$3:$DF$1339,0),COLUMN()-1),"")=0,"",IFERROR(INDEX((COPIA!$DA$3:$DE$1339),MATCH(ROWS(F$10:F678),COPIA!$DF$3:$DF$1339,0),COLUMN()-1),""))</f>
        <v/>
      </c>
    </row>
    <row r="679" spans="2:6" x14ac:dyDescent="0.3">
      <c r="B679" s="10" t="str">
        <f ca="1">IF(IFERROR(INDEX((COPIA!$DA$3:$DE$1339),MATCH(ROWS(B$10:B679),COPIA!$DF$3:$DF$1339,0),COLUMN()-1),"")&gt;=1,IFERROR(INDEX((COPIA!$DA$3:$DE$1339),MATCH(ROWS(B$10:B679),COPIA!$DF$3:$DF$1339,0),COLUMN()-1),""),"")</f>
        <v/>
      </c>
      <c r="C679" s="5" t="str">
        <f ca="1">SUBSTITUTE(IFERROR(INDEX((COPIA!$DA$3:$DE$1339),MATCH(ROWS(C$10:C679),COPIA!$DF$3:$DF$1339,0),COLUMN()-1),""),"MASTRO","")</f>
        <v/>
      </c>
      <c r="D679" s="136" t="str">
        <f ca="1">IF(IFERROR(INDEX((COPIA!$DA$3:$DE$1339),MATCH(ROWS(D$10:D679),COPIA!$DF$3:$DF$1339,0),COLUMN()-1),"")=0,"",IFERROR(INDEX((COPIA!$DA$3:$DE$1339),MATCH(ROWS(D$10:D679),COPIA!$DF$3:$DF$1339,0),COLUMN()-1),""))</f>
        <v/>
      </c>
      <c r="E679" s="9" t="str">
        <f ca="1">IF(IFERROR(INDEX((COPIA!$DA$3:$DE$1339),MATCH(ROWS(E$10:E679),COPIA!$DF$3:$DF$1339,0),COLUMN()-1),"")=0,"",IFERROR(INDEX((COPIA!$DA$3:$DE$1339),MATCH(ROWS(E$10:E679),COPIA!$DF$3:$DF$1339,0),COLUMN()-1),""))</f>
        <v/>
      </c>
      <c r="F679" s="6" t="str">
        <f ca="1">IF(IFERROR(INDEX((COPIA!$DA$3:$DE$1339),MATCH(ROWS(F$10:F679),COPIA!$DF$3:$DF$1339,0),COLUMN()-1),"")=0,"",IFERROR(INDEX((COPIA!$DA$3:$DE$1339),MATCH(ROWS(F$10:F679),COPIA!$DF$3:$DF$1339,0),COLUMN()-1),""))</f>
        <v/>
      </c>
    </row>
    <row r="680" spans="2:6" x14ac:dyDescent="0.3">
      <c r="B680" s="10" t="str">
        <f ca="1">IF(IFERROR(INDEX((COPIA!$DA$3:$DE$1339),MATCH(ROWS(B$10:B680),COPIA!$DF$3:$DF$1339,0),COLUMN()-1),"")&gt;=1,IFERROR(INDEX((COPIA!$DA$3:$DE$1339),MATCH(ROWS(B$10:B680),COPIA!$DF$3:$DF$1339,0),COLUMN()-1),""),"")</f>
        <v/>
      </c>
      <c r="C680" s="5" t="str">
        <f ca="1">SUBSTITUTE(IFERROR(INDEX((COPIA!$DA$3:$DE$1339),MATCH(ROWS(C$10:C680),COPIA!$DF$3:$DF$1339,0),COLUMN()-1),""),"MASTRO","")</f>
        <v/>
      </c>
      <c r="D680" s="136" t="str">
        <f ca="1">IF(IFERROR(INDEX((COPIA!$DA$3:$DE$1339),MATCH(ROWS(D$10:D680),COPIA!$DF$3:$DF$1339,0),COLUMN()-1),"")=0,"",IFERROR(INDEX((COPIA!$DA$3:$DE$1339),MATCH(ROWS(D$10:D680),COPIA!$DF$3:$DF$1339,0),COLUMN()-1),""))</f>
        <v/>
      </c>
      <c r="E680" s="9" t="str">
        <f ca="1">IF(IFERROR(INDEX((COPIA!$DA$3:$DE$1339),MATCH(ROWS(E$10:E680),COPIA!$DF$3:$DF$1339,0),COLUMN()-1),"")=0,"",IFERROR(INDEX((COPIA!$DA$3:$DE$1339),MATCH(ROWS(E$10:E680),COPIA!$DF$3:$DF$1339,0),COLUMN()-1),""))</f>
        <v/>
      </c>
      <c r="F680" s="6" t="str">
        <f ca="1">IF(IFERROR(INDEX((COPIA!$DA$3:$DE$1339),MATCH(ROWS(F$10:F680),COPIA!$DF$3:$DF$1339,0),COLUMN()-1),"")=0,"",IFERROR(INDEX((COPIA!$DA$3:$DE$1339),MATCH(ROWS(F$10:F680),COPIA!$DF$3:$DF$1339,0),COLUMN()-1),""))</f>
        <v/>
      </c>
    </row>
    <row r="681" spans="2:6" x14ac:dyDescent="0.3">
      <c r="B681" s="10" t="str">
        <f ca="1">IF(IFERROR(INDEX((COPIA!$DA$3:$DE$1339),MATCH(ROWS(B$10:B681),COPIA!$DF$3:$DF$1339,0),COLUMN()-1),"")&gt;=1,IFERROR(INDEX((COPIA!$DA$3:$DE$1339),MATCH(ROWS(B$10:B681),COPIA!$DF$3:$DF$1339,0),COLUMN()-1),""),"")</f>
        <v/>
      </c>
      <c r="C681" s="5" t="str">
        <f ca="1">SUBSTITUTE(IFERROR(INDEX((COPIA!$DA$3:$DE$1339),MATCH(ROWS(C$10:C681),COPIA!$DF$3:$DF$1339,0),COLUMN()-1),""),"MASTRO","")</f>
        <v/>
      </c>
      <c r="D681" s="136" t="str">
        <f ca="1">IF(IFERROR(INDEX((COPIA!$DA$3:$DE$1339),MATCH(ROWS(D$10:D681),COPIA!$DF$3:$DF$1339,0),COLUMN()-1),"")=0,"",IFERROR(INDEX((COPIA!$DA$3:$DE$1339),MATCH(ROWS(D$10:D681),COPIA!$DF$3:$DF$1339,0),COLUMN()-1),""))</f>
        <v/>
      </c>
      <c r="E681" s="9" t="str">
        <f ca="1">IF(IFERROR(INDEX((COPIA!$DA$3:$DE$1339),MATCH(ROWS(E$10:E681),COPIA!$DF$3:$DF$1339,0),COLUMN()-1),"")=0,"",IFERROR(INDEX((COPIA!$DA$3:$DE$1339),MATCH(ROWS(E$10:E681),COPIA!$DF$3:$DF$1339,0),COLUMN()-1),""))</f>
        <v/>
      </c>
      <c r="F681" s="6" t="str">
        <f ca="1">IF(IFERROR(INDEX((COPIA!$DA$3:$DE$1339),MATCH(ROWS(F$10:F681),COPIA!$DF$3:$DF$1339,0),COLUMN()-1),"")=0,"",IFERROR(INDEX((COPIA!$DA$3:$DE$1339),MATCH(ROWS(F$10:F681),COPIA!$DF$3:$DF$1339,0),COLUMN()-1),""))</f>
        <v/>
      </c>
    </row>
    <row r="682" spans="2:6" x14ac:dyDescent="0.3">
      <c r="B682" s="10" t="str">
        <f ca="1">IF(IFERROR(INDEX((COPIA!$DA$3:$DE$1339),MATCH(ROWS(B$10:B682),COPIA!$DF$3:$DF$1339,0),COLUMN()-1),"")&gt;=1,IFERROR(INDEX((COPIA!$DA$3:$DE$1339),MATCH(ROWS(B$10:B682),COPIA!$DF$3:$DF$1339,0),COLUMN()-1),""),"")</f>
        <v/>
      </c>
      <c r="C682" s="5" t="str">
        <f ca="1">SUBSTITUTE(IFERROR(INDEX((COPIA!$DA$3:$DE$1339),MATCH(ROWS(C$10:C682),COPIA!$DF$3:$DF$1339,0),COLUMN()-1),""),"MASTRO","")</f>
        <v/>
      </c>
      <c r="D682" s="136" t="str">
        <f ca="1">IF(IFERROR(INDEX((COPIA!$DA$3:$DE$1339),MATCH(ROWS(D$10:D682),COPIA!$DF$3:$DF$1339,0),COLUMN()-1),"")=0,"",IFERROR(INDEX((COPIA!$DA$3:$DE$1339),MATCH(ROWS(D$10:D682),COPIA!$DF$3:$DF$1339,0),COLUMN()-1),""))</f>
        <v/>
      </c>
      <c r="E682" s="9" t="str">
        <f ca="1">IF(IFERROR(INDEX((COPIA!$DA$3:$DE$1339),MATCH(ROWS(E$10:E682),COPIA!$DF$3:$DF$1339,0),COLUMN()-1),"")=0,"",IFERROR(INDEX((COPIA!$DA$3:$DE$1339),MATCH(ROWS(E$10:E682),COPIA!$DF$3:$DF$1339,0),COLUMN()-1),""))</f>
        <v/>
      </c>
      <c r="F682" s="6" t="str">
        <f ca="1">IF(IFERROR(INDEX((COPIA!$DA$3:$DE$1339),MATCH(ROWS(F$10:F682),COPIA!$DF$3:$DF$1339,0),COLUMN()-1),"")=0,"",IFERROR(INDEX((COPIA!$DA$3:$DE$1339),MATCH(ROWS(F$10:F682),COPIA!$DF$3:$DF$1339,0),COLUMN()-1),""))</f>
        <v/>
      </c>
    </row>
    <row r="683" spans="2:6" x14ac:dyDescent="0.3">
      <c r="B683" s="10" t="str">
        <f ca="1">IF(IFERROR(INDEX((COPIA!$DA$3:$DE$1339),MATCH(ROWS(B$10:B683),COPIA!$DF$3:$DF$1339,0),COLUMN()-1),"")&gt;=1,IFERROR(INDEX((COPIA!$DA$3:$DE$1339),MATCH(ROWS(B$10:B683),COPIA!$DF$3:$DF$1339,0),COLUMN()-1),""),"")</f>
        <v/>
      </c>
      <c r="C683" s="5" t="str">
        <f ca="1">SUBSTITUTE(IFERROR(INDEX((COPIA!$DA$3:$DE$1339),MATCH(ROWS(C$10:C683),COPIA!$DF$3:$DF$1339,0),COLUMN()-1),""),"MASTRO","")</f>
        <v/>
      </c>
      <c r="D683" s="136" t="str">
        <f ca="1">IF(IFERROR(INDEX((COPIA!$DA$3:$DE$1339),MATCH(ROWS(D$10:D683),COPIA!$DF$3:$DF$1339,0),COLUMN()-1),"")=0,"",IFERROR(INDEX((COPIA!$DA$3:$DE$1339),MATCH(ROWS(D$10:D683),COPIA!$DF$3:$DF$1339,0),COLUMN()-1),""))</f>
        <v/>
      </c>
      <c r="E683" s="9" t="str">
        <f ca="1">IF(IFERROR(INDEX((COPIA!$DA$3:$DE$1339),MATCH(ROWS(E$10:E683),COPIA!$DF$3:$DF$1339,0),COLUMN()-1),"")=0,"",IFERROR(INDEX((COPIA!$DA$3:$DE$1339),MATCH(ROWS(E$10:E683),COPIA!$DF$3:$DF$1339,0),COLUMN()-1),""))</f>
        <v/>
      </c>
      <c r="F683" s="6" t="str">
        <f ca="1">IF(IFERROR(INDEX((COPIA!$DA$3:$DE$1339),MATCH(ROWS(F$10:F683),COPIA!$DF$3:$DF$1339,0),COLUMN()-1),"")=0,"",IFERROR(INDEX((COPIA!$DA$3:$DE$1339),MATCH(ROWS(F$10:F683),COPIA!$DF$3:$DF$1339,0),COLUMN()-1),""))</f>
        <v/>
      </c>
    </row>
    <row r="684" spans="2:6" x14ac:dyDescent="0.3">
      <c r="B684" s="10" t="str">
        <f ca="1">IF(IFERROR(INDEX((COPIA!$DA$3:$DE$1339),MATCH(ROWS(B$10:B684),COPIA!$DF$3:$DF$1339,0),COLUMN()-1),"")&gt;=1,IFERROR(INDEX((COPIA!$DA$3:$DE$1339),MATCH(ROWS(B$10:B684),COPIA!$DF$3:$DF$1339,0),COLUMN()-1),""),"")</f>
        <v/>
      </c>
      <c r="C684" s="5" t="str">
        <f ca="1">SUBSTITUTE(IFERROR(INDEX((COPIA!$DA$3:$DE$1339),MATCH(ROWS(C$10:C684),COPIA!$DF$3:$DF$1339,0),COLUMN()-1),""),"MASTRO","")</f>
        <v/>
      </c>
      <c r="D684" s="136" t="str">
        <f ca="1">IF(IFERROR(INDEX((COPIA!$DA$3:$DE$1339),MATCH(ROWS(D$10:D684),COPIA!$DF$3:$DF$1339,0),COLUMN()-1),"")=0,"",IFERROR(INDEX((COPIA!$DA$3:$DE$1339),MATCH(ROWS(D$10:D684),COPIA!$DF$3:$DF$1339,0),COLUMN()-1),""))</f>
        <v/>
      </c>
      <c r="E684" s="9" t="str">
        <f ca="1">IF(IFERROR(INDEX((COPIA!$DA$3:$DE$1339),MATCH(ROWS(E$10:E684),COPIA!$DF$3:$DF$1339,0),COLUMN()-1),"")=0,"",IFERROR(INDEX((COPIA!$DA$3:$DE$1339),MATCH(ROWS(E$10:E684),COPIA!$DF$3:$DF$1339,0),COLUMN()-1),""))</f>
        <v/>
      </c>
      <c r="F684" s="6" t="str">
        <f ca="1">IF(IFERROR(INDEX((COPIA!$DA$3:$DE$1339),MATCH(ROWS(F$10:F684),COPIA!$DF$3:$DF$1339,0),COLUMN()-1),"")=0,"",IFERROR(INDEX((COPIA!$DA$3:$DE$1339),MATCH(ROWS(F$10:F684),COPIA!$DF$3:$DF$1339,0),COLUMN()-1),""))</f>
        <v/>
      </c>
    </row>
    <row r="685" spans="2:6" x14ac:dyDescent="0.3">
      <c r="B685" s="10" t="str">
        <f ca="1">IF(IFERROR(INDEX((COPIA!$DA$3:$DE$1339),MATCH(ROWS(B$10:B685),COPIA!$DF$3:$DF$1339,0),COLUMN()-1),"")&gt;=1,IFERROR(INDEX((COPIA!$DA$3:$DE$1339),MATCH(ROWS(B$10:B685),COPIA!$DF$3:$DF$1339,0),COLUMN()-1),""),"")</f>
        <v/>
      </c>
      <c r="C685" s="5" t="str">
        <f ca="1">SUBSTITUTE(IFERROR(INDEX((COPIA!$DA$3:$DE$1339),MATCH(ROWS(C$10:C685),COPIA!$DF$3:$DF$1339,0),COLUMN()-1),""),"MASTRO","")</f>
        <v/>
      </c>
      <c r="D685" s="136" t="str">
        <f ca="1">IF(IFERROR(INDEX((COPIA!$DA$3:$DE$1339),MATCH(ROWS(D$10:D685),COPIA!$DF$3:$DF$1339,0),COLUMN()-1),"")=0,"",IFERROR(INDEX((COPIA!$DA$3:$DE$1339),MATCH(ROWS(D$10:D685),COPIA!$DF$3:$DF$1339,0),COLUMN()-1),""))</f>
        <v/>
      </c>
      <c r="E685" s="9" t="str">
        <f ca="1">IF(IFERROR(INDEX((COPIA!$DA$3:$DE$1339),MATCH(ROWS(E$10:E685),COPIA!$DF$3:$DF$1339,0),COLUMN()-1),"")=0,"",IFERROR(INDEX((COPIA!$DA$3:$DE$1339),MATCH(ROWS(E$10:E685),COPIA!$DF$3:$DF$1339,0),COLUMN()-1),""))</f>
        <v/>
      </c>
      <c r="F685" s="6" t="str">
        <f ca="1">IF(IFERROR(INDEX((COPIA!$DA$3:$DE$1339),MATCH(ROWS(F$10:F685),COPIA!$DF$3:$DF$1339,0),COLUMN()-1),"")=0,"",IFERROR(INDEX((COPIA!$DA$3:$DE$1339),MATCH(ROWS(F$10:F685),COPIA!$DF$3:$DF$1339,0),COLUMN()-1),""))</f>
        <v/>
      </c>
    </row>
    <row r="686" spans="2:6" x14ac:dyDescent="0.3">
      <c r="B686" s="10" t="str">
        <f ca="1">IF(IFERROR(INDEX((COPIA!$DA$3:$DE$1339),MATCH(ROWS(B$10:B686),COPIA!$DF$3:$DF$1339,0),COLUMN()-1),"")&gt;=1,IFERROR(INDEX((COPIA!$DA$3:$DE$1339),MATCH(ROWS(B$10:B686),COPIA!$DF$3:$DF$1339,0),COLUMN()-1),""),"")</f>
        <v/>
      </c>
      <c r="C686" s="5" t="str">
        <f ca="1">SUBSTITUTE(IFERROR(INDEX((COPIA!$DA$3:$DE$1339),MATCH(ROWS(C$10:C686),COPIA!$DF$3:$DF$1339,0),COLUMN()-1),""),"MASTRO","")</f>
        <v/>
      </c>
      <c r="D686" s="136" t="str">
        <f ca="1">IF(IFERROR(INDEX((COPIA!$DA$3:$DE$1339),MATCH(ROWS(D$10:D686),COPIA!$DF$3:$DF$1339,0),COLUMN()-1),"")=0,"",IFERROR(INDEX((COPIA!$DA$3:$DE$1339),MATCH(ROWS(D$10:D686),COPIA!$DF$3:$DF$1339,0),COLUMN()-1),""))</f>
        <v/>
      </c>
      <c r="E686" s="9" t="str">
        <f ca="1">IF(IFERROR(INDEX((COPIA!$DA$3:$DE$1339),MATCH(ROWS(E$10:E686),COPIA!$DF$3:$DF$1339,0),COLUMN()-1),"")=0,"",IFERROR(INDEX((COPIA!$DA$3:$DE$1339),MATCH(ROWS(E$10:E686),COPIA!$DF$3:$DF$1339,0),COLUMN()-1),""))</f>
        <v/>
      </c>
      <c r="F686" s="6" t="str">
        <f ca="1">IF(IFERROR(INDEX((COPIA!$DA$3:$DE$1339),MATCH(ROWS(F$10:F686),COPIA!$DF$3:$DF$1339,0),COLUMN()-1),"")=0,"",IFERROR(INDEX((COPIA!$DA$3:$DE$1339),MATCH(ROWS(F$10:F686),COPIA!$DF$3:$DF$1339,0),COLUMN()-1),""))</f>
        <v/>
      </c>
    </row>
    <row r="687" spans="2:6" x14ac:dyDescent="0.3">
      <c r="B687" s="10" t="str">
        <f ca="1">IF(IFERROR(INDEX((COPIA!$DA$3:$DE$1339),MATCH(ROWS(B$10:B687),COPIA!$DF$3:$DF$1339,0),COLUMN()-1),"")&gt;=1,IFERROR(INDEX((COPIA!$DA$3:$DE$1339),MATCH(ROWS(B$10:B687),COPIA!$DF$3:$DF$1339,0),COLUMN()-1),""),"")</f>
        <v/>
      </c>
      <c r="C687" s="5" t="str">
        <f ca="1">SUBSTITUTE(IFERROR(INDEX((COPIA!$DA$3:$DE$1339),MATCH(ROWS(C$10:C687),COPIA!$DF$3:$DF$1339,0),COLUMN()-1),""),"MASTRO","")</f>
        <v/>
      </c>
      <c r="D687" s="136" t="str">
        <f ca="1">IF(IFERROR(INDEX((COPIA!$DA$3:$DE$1339),MATCH(ROWS(D$10:D687),COPIA!$DF$3:$DF$1339,0),COLUMN()-1),"")=0,"",IFERROR(INDEX((COPIA!$DA$3:$DE$1339),MATCH(ROWS(D$10:D687),COPIA!$DF$3:$DF$1339,0),COLUMN()-1),""))</f>
        <v/>
      </c>
      <c r="E687" s="9" t="str">
        <f ca="1">IF(IFERROR(INDEX((COPIA!$DA$3:$DE$1339),MATCH(ROWS(E$10:E687),COPIA!$DF$3:$DF$1339,0),COLUMN()-1),"")=0,"",IFERROR(INDEX((COPIA!$DA$3:$DE$1339),MATCH(ROWS(E$10:E687),COPIA!$DF$3:$DF$1339,0),COLUMN()-1),""))</f>
        <v/>
      </c>
      <c r="F687" s="6" t="str">
        <f ca="1">IF(IFERROR(INDEX((COPIA!$DA$3:$DE$1339),MATCH(ROWS(F$10:F687),COPIA!$DF$3:$DF$1339,0),COLUMN()-1),"")=0,"",IFERROR(INDEX((COPIA!$DA$3:$DE$1339),MATCH(ROWS(F$10:F687),COPIA!$DF$3:$DF$1339,0),COLUMN()-1),""))</f>
        <v/>
      </c>
    </row>
    <row r="688" spans="2:6" x14ac:dyDescent="0.3">
      <c r="B688" s="10" t="str">
        <f ca="1">IF(IFERROR(INDEX((COPIA!$DA$3:$DE$1339),MATCH(ROWS(B$10:B688),COPIA!$DF$3:$DF$1339,0),COLUMN()-1),"")&gt;=1,IFERROR(INDEX((COPIA!$DA$3:$DE$1339),MATCH(ROWS(B$10:B688),COPIA!$DF$3:$DF$1339,0),COLUMN()-1),""),"")</f>
        <v/>
      </c>
      <c r="C688" s="5" t="str">
        <f ca="1">SUBSTITUTE(IFERROR(INDEX((COPIA!$DA$3:$DE$1339),MATCH(ROWS(C$10:C688),COPIA!$DF$3:$DF$1339,0),COLUMN()-1),""),"MASTRO","")</f>
        <v/>
      </c>
      <c r="D688" s="136" t="str">
        <f ca="1">IF(IFERROR(INDEX((COPIA!$DA$3:$DE$1339),MATCH(ROWS(D$10:D688),COPIA!$DF$3:$DF$1339,0),COLUMN()-1),"")=0,"",IFERROR(INDEX((COPIA!$DA$3:$DE$1339),MATCH(ROWS(D$10:D688),COPIA!$DF$3:$DF$1339,0),COLUMN()-1),""))</f>
        <v/>
      </c>
      <c r="E688" s="9" t="str">
        <f ca="1">IF(IFERROR(INDEX((COPIA!$DA$3:$DE$1339),MATCH(ROWS(E$10:E688),COPIA!$DF$3:$DF$1339,0),COLUMN()-1),"")=0,"",IFERROR(INDEX((COPIA!$DA$3:$DE$1339),MATCH(ROWS(E$10:E688),COPIA!$DF$3:$DF$1339,0),COLUMN()-1),""))</f>
        <v/>
      </c>
      <c r="F688" s="6" t="str">
        <f ca="1">IF(IFERROR(INDEX((COPIA!$DA$3:$DE$1339),MATCH(ROWS(F$10:F688),COPIA!$DF$3:$DF$1339,0),COLUMN()-1),"")=0,"",IFERROR(INDEX((COPIA!$DA$3:$DE$1339),MATCH(ROWS(F$10:F688),COPIA!$DF$3:$DF$1339,0),COLUMN()-1),""))</f>
        <v/>
      </c>
    </row>
    <row r="689" spans="2:6" x14ac:dyDescent="0.3">
      <c r="B689" s="10" t="str">
        <f ca="1">IF(IFERROR(INDEX((COPIA!$DA$3:$DE$1339),MATCH(ROWS(B$10:B689),COPIA!$DF$3:$DF$1339,0),COLUMN()-1),"")&gt;=1,IFERROR(INDEX((COPIA!$DA$3:$DE$1339),MATCH(ROWS(B$10:B689),COPIA!$DF$3:$DF$1339,0),COLUMN()-1),""),"")</f>
        <v/>
      </c>
      <c r="C689" s="5" t="str">
        <f ca="1">SUBSTITUTE(IFERROR(INDEX((COPIA!$DA$3:$DE$1339),MATCH(ROWS(C$10:C689),COPIA!$DF$3:$DF$1339,0),COLUMN()-1),""),"MASTRO","")</f>
        <v/>
      </c>
      <c r="D689" s="136" t="str">
        <f ca="1">IF(IFERROR(INDEX((COPIA!$DA$3:$DE$1339),MATCH(ROWS(D$10:D689),COPIA!$DF$3:$DF$1339,0),COLUMN()-1),"")=0,"",IFERROR(INDEX((COPIA!$DA$3:$DE$1339),MATCH(ROWS(D$10:D689),COPIA!$DF$3:$DF$1339,0),COLUMN()-1),""))</f>
        <v/>
      </c>
      <c r="E689" s="9" t="str">
        <f ca="1">IF(IFERROR(INDEX((COPIA!$DA$3:$DE$1339),MATCH(ROWS(E$10:E689),COPIA!$DF$3:$DF$1339,0),COLUMN()-1),"")=0,"",IFERROR(INDEX((COPIA!$DA$3:$DE$1339),MATCH(ROWS(E$10:E689),COPIA!$DF$3:$DF$1339,0),COLUMN()-1),""))</f>
        <v/>
      </c>
      <c r="F689" s="6" t="str">
        <f ca="1">IF(IFERROR(INDEX((COPIA!$DA$3:$DE$1339),MATCH(ROWS(F$10:F689),COPIA!$DF$3:$DF$1339,0),COLUMN()-1),"")=0,"",IFERROR(INDEX((COPIA!$DA$3:$DE$1339),MATCH(ROWS(F$10:F689),COPIA!$DF$3:$DF$1339,0),COLUMN()-1),""))</f>
        <v/>
      </c>
    </row>
    <row r="690" spans="2:6" x14ac:dyDescent="0.3">
      <c r="B690" s="10" t="str">
        <f ca="1">IF(IFERROR(INDEX((COPIA!$DA$3:$DE$1339),MATCH(ROWS(B$10:B690),COPIA!$DF$3:$DF$1339,0),COLUMN()-1),"")&gt;=1,IFERROR(INDEX((COPIA!$DA$3:$DE$1339),MATCH(ROWS(B$10:B690),COPIA!$DF$3:$DF$1339,0),COLUMN()-1),""),"")</f>
        <v/>
      </c>
      <c r="C690" s="5" t="str">
        <f ca="1">SUBSTITUTE(IFERROR(INDEX((COPIA!$DA$3:$DE$1339),MATCH(ROWS(C$10:C690),COPIA!$DF$3:$DF$1339,0),COLUMN()-1),""),"MASTRO","")</f>
        <v/>
      </c>
      <c r="D690" s="136" t="str">
        <f ca="1">IF(IFERROR(INDEX((COPIA!$DA$3:$DE$1339),MATCH(ROWS(D$10:D690),COPIA!$DF$3:$DF$1339,0),COLUMN()-1),"")=0,"",IFERROR(INDEX((COPIA!$DA$3:$DE$1339),MATCH(ROWS(D$10:D690),COPIA!$DF$3:$DF$1339,0),COLUMN()-1),""))</f>
        <v/>
      </c>
      <c r="E690" s="9" t="str">
        <f ca="1">IF(IFERROR(INDEX((COPIA!$DA$3:$DE$1339),MATCH(ROWS(E$10:E690),COPIA!$DF$3:$DF$1339,0),COLUMN()-1),"")=0,"",IFERROR(INDEX((COPIA!$DA$3:$DE$1339),MATCH(ROWS(E$10:E690),COPIA!$DF$3:$DF$1339,0),COLUMN()-1),""))</f>
        <v/>
      </c>
      <c r="F690" s="6" t="str">
        <f ca="1">IF(IFERROR(INDEX((COPIA!$DA$3:$DE$1339),MATCH(ROWS(F$10:F690),COPIA!$DF$3:$DF$1339,0),COLUMN()-1),"")=0,"",IFERROR(INDEX((COPIA!$DA$3:$DE$1339),MATCH(ROWS(F$10:F690),COPIA!$DF$3:$DF$1339,0),COLUMN()-1),""))</f>
        <v/>
      </c>
    </row>
    <row r="691" spans="2:6" x14ac:dyDescent="0.3">
      <c r="B691" s="10" t="str">
        <f ca="1">IF(IFERROR(INDEX((COPIA!$DA$3:$DE$1339),MATCH(ROWS(B$10:B691),COPIA!$DF$3:$DF$1339,0),COLUMN()-1),"")&gt;=1,IFERROR(INDEX((COPIA!$DA$3:$DE$1339),MATCH(ROWS(B$10:B691),COPIA!$DF$3:$DF$1339,0),COLUMN()-1),""),"")</f>
        <v/>
      </c>
      <c r="C691" s="5" t="str">
        <f ca="1">SUBSTITUTE(IFERROR(INDEX((COPIA!$DA$3:$DE$1339),MATCH(ROWS(C$10:C691),COPIA!$DF$3:$DF$1339,0),COLUMN()-1),""),"MASTRO","")</f>
        <v/>
      </c>
      <c r="D691" s="136" t="str">
        <f ca="1">IF(IFERROR(INDEX((COPIA!$DA$3:$DE$1339),MATCH(ROWS(D$10:D691),COPIA!$DF$3:$DF$1339,0),COLUMN()-1),"")=0,"",IFERROR(INDEX((COPIA!$DA$3:$DE$1339),MATCH(ROWS(D$10:D691),COPIA!$DF$3:$DF$1339,0),COLUMN()-1),""))</f>
        <v/>
      </c>
      <c r="E691" s="9" t="str">
        <f ca="1">IF(IFERROR(INDEX((COPIA!$DA$3:$DE$1339),MATCH(ROWS(E$10:E691),COPIA!$DF$3:$DF$1339,0),COLUMN()-1),"")=0,"",IFERROR(INDEX((COPIA!$DA$3:$DE$1339),MATCH(ROWS(E$10:E691),COPIA!$DF$3:$DF$1339,0),COLUMN()-1),""))</f>
        <v/>
      </c>
      <c r="F691" s="6" t="str">
        <f ca="1">IF(IFERROR(INDEX((COPIA!$DA$3:$DE$1339),MATCH(ROWS(F$10:F691),COPIA!$DF$3:$DF$1339,0),COLUMN()-1),"")=0,"",IFERROR(INDEX((COPIA!$DA$3:$DE$1339),MATCH(ROWS(F$10:F691),COPIA!$DF$3:$DF$1339,0),COLUMN()-1),""))</f>
        <v/>
      </c>
    </row>
    <row r="692" spans="2:6" x14ac:dyDescent="0.3">
      <c r="B692" s="10" t="str">
        <f ca="1">IF(IFERROR(INDEX((COPIA!$DA$3:$DE$1339),MATCH(ROWS(B$10:B692),COPIA!$DF$3:$DF$1339,0),COLUMN()-1),"")&gt;=1,IFERROR(INDEX((COPIA!$DA$3:$DE$1339),MATCH(ROWS(B$10:B692),COPIA!$DF$3:$DF$1339,0),COLUMN()-1),""),"")</f>
        <v/>
      </c>
      <c r="C692" s="5" t="str">
        <f ca="1">SUBSTITUTE(IFERROR(INDEX((COPIA!$DA$3:$DE$1339),MATCH(ROWS(C$10:C692),COPIA!$DF$3:$DF$1339,0),COLUMN()-1),""),"MASTRO","")</f>
        <v/>
      </c>
      <c r="D692" s="136" t="str">
        <f ca="1">IF(IFERROR(INDEX((COPIA!$DA$3:$DE$1339),MATCH(ROWS(D$10:D692),COPIA!$DF$3:$DF$1339,0),COLUMN()-1),"")=0,"",IFERROR(INDEX((COPIA!$DA$3:$DE$1339),MATCH(ROWS(D$10:D692),COPIA!$DF$3:$DF$1339,0),COLUMN()-1),""))</f>
        <v/>
      </c>
      <c r="E692" s="9" t="str">
        <f ca="1">IF(IFERROR(INDEX((COPIA!$DA$3:$DE$1339),MATCH(ROWS(E$10:E692),COPIA!$DF$3:$DF$1339,0),COLUMN()-1),"")=0,"",IFERROR(INDEX((COPIA!$DA$3:$DE$1339),MATCH(ROWS(E$10:E692),COPIA!$DF$3:$DF$1339,0),COLUMN()-1),""))</f>
        <v/>
      </c>
      <c r="F692" s="6" t="str">
        <f ca="1">IF(IFERROR(INDEX((COPIA!$DA$3:$DE$1339),MATCH(ROWS(F$10:F692),COPIA!$DF$3:$DF$1339,0),COLUMN()-1),"")=0,"",IFERROR(INDEX((COPIA!$DA$3:$DE$1339),MATCH(ROWS(F$10:F692),COPIA!$DF$3:$DF$1339,0),COLUMN()-1),""))</f>
        <v/>
      </c>
    </row>
    <row r="693" spans="2:6" x14ac:dyDescent="0.3">
      <c r="B693" s="10" t="str">
        <f ca="1">IF(IFERROR(INDEX((COPIA!$DA$3:$DE$1339),MATCH(ROWS(B$10:B693),COPIA!$DF$3:$DF$1339,0),COLUMN()-1),"")&gt;=1,IFERROR(INDEX((COPIA!$DA$3:$DE$1339),MATCH(ROWS(B$10:B693),COPIA!$DF$3:$DF$1339,0),COLUMN()-1),""),"")</f>
        <v/>
      </c>
      <c r="C693" s="5" t="str">
        <f ca="1">SUBSTITUTE(IFERROR(INDEX((COPIA!$DA$3:$DE$1339),MATCH(ROWS(C$10:C693),COPIA!$DF$3:$DF$1339,0),COLUMN()-1),""),"MASTRO","")</f>
        <v/>
      </c>
      <c r="D693" s="136" t="str">
        <f ca="1">IF(IFERROR(INDEX((COPIA!$DA$3:$DE$1339),MATCH(ROWS(D$10:D693),COPIA!$DF$3:$DF$1339,0),COLUMN()-1),"")=0,"",IFERROR(INDEX((COPIA!$DA$3:$DE$1339),MATCH(ROWS(D$10:D693),COPIA!$DF$3:$DF$1339,0),COLUMN()-1),""))</f>
        <v/>
      </c>
      <c r="E693" s="9" t="str">
        <f ca="1">IF(IFERROR(INDEX((COPIA!$DA$3:$DE$1339),MATCH(ROWS(E$10:E693),COPIA!$DF$3:$DF$1339,0),COLUMN()-1),"")=0,"",IFERROR(INDEX((COPIA!$DA$3:$DE$1339),MATCH(ROWS(E$10:E693),COPIA!$DF$3:$DF$1339,0),COLUMN()-1),""))</f>
        <v/>
      </c>
      <c r="F693" s="6" t="str">
        <f ca="1">IF(IFERROR(INDEX((COPIA!$DA$3:$DE$1339),MATCH(ROWS(F$10:F693),COPIA!$DF$3:$DF$1339,0),COLUMN()-1),"")=0,"",IFERROR(INDEX((COPIA!$DA$3:$DE$1339),MATCH(ROWS(F$10:F693),COPIA!$DF$3:$DF$1339,0),COLUMN()-1),""))</f>
        <v/>
      </c>
    </row>
    <row r="694" spans="2:6" x14ac:dyDescent="0.3">
      <c r="B694" s="10" t="str">
        <f ca="1">IF(IFERROR(INDEX((COPIA!$DA$3:$DE$1339),MATCH(ROWS(B$10:B694),COPIA!$DF$3:$DF$1339,0),COLUMN()-1),"")&gt;=1,IFERROR(INDEX((COPIA!$DA$3:$DE$1339),MATCH(ROWS(B$10:B694),COPIA!$DF$3:$DF$1339,0),COLUMN()-1),""),"")</f>
        <v/>
      </c>
      <c r="C694" s="5" t="str">
        <f ca="1">SUBSTITUTE(IFERROR(INDEX((COPIA!$DA$3:$DE$1339),MATCH(ROWS(C$10:C694),COPIA!$DF$3:$DF$1339,0),COLUMN()-1),""),"MASTRO","")</f>
        <v/>
      </c>
      <c r="D694" s="136" t="str">
        <f ca="1">IF(IFERROR(INDEX((COPIA!$DA$3:$DE$1339),MATCH(ROWS(D$10:D694),COPIA!$DF$3:$DF$1339,0),COLUMN()-1),"")=0,"",IFERROR(INDEX((COPIA!$DA$3:$DE$1339),MATCH(ROWS(D$10:D694),COPIA!$DF$3:$DF$1339,0),COLUMN()-1),""))</f>
        <v/>
      </c>
      <c r="E694" s="9" t="str">
        <f ca="1">IF(IFERROR(INDEX((COPIA!$DA$3:$DE$1339),MATCH(ROWS(E$10:E694),COPIA!$DF$3:$DF$1339,0),COLUMN()-1),"")=0,"",IFERROR(INDEX((COPIA!$DA$3:$DE$1339),MATCH(ROWS(E$10:E694),COPIA!$DF$3:$DF$1339,0),COLUMN()-1),""))</f>
        <v/>
      </c>
      <c r="F694" s="6" t="str">
        <f ca="1">IF(IFERROR(INDEX((COPIA!$DA$3:$DE$1339),MATCH(ROWS(F$10:F694),COPIA!$DF$3:$DF$1339,0),COLUMN()-1),"")=0,"",IFERROR(INDEX((COPIA!$DA$3:$DE$1339),MATCH(ROWS(F$10:F694),COPIA!$DF$3:$DF$1339,0),COLUMN()-1),""))</f>
        <v/>
      </c>
    </row>
    <row r="695" spans="2:6" x14ac:dyDescent="0.3">
      <c r="B695" s="10" t="str">
        <f ca="1">IF(IFERROR(INDEX((COPIA!$DA$3:$DE$1339),MATCH(ROWS(B$10:B695),COPIA!$DF$3:$DF$1339,0),COLUMN()-1),"")&gt;=1,IFERROR(INDEX((COPIA!$DA$3:$DE$1339),MATCH(ROWS(B$10:B695),COPIA!$DF$3:$DF$1339,0),COLUMN()-1),""),"")</f>
        <v/>
      </c>
      <c r="C695" s="5" t="str">
        <f ca="1">SUBSTITUTE(IFERROR(INDEX((COPIA!$DA$3:$DE$1339),MATCH(ROWS(C$10:C695),COPIA!$DF$3:$DF$1339,0),COLUMN()-1),""),"MASTRO","")</f>
        <v/>
      </c>
      <c r="D695" s="136" t="str">
        <f ca="1">IF(IFERROR(INDEX((COPIA!$DA$3:$DE$1339),MATCH(ROWS(D$10:D695),COPIA!$DF$3:$DF$1339,0),COLUMN()-1),"")=0,"",IFERROR(INDEX((COPIA!$DA$3:$DE$1339),MATCH(ROWS(D$10:D695),COPIA!$DF$3:$DF$1339,0),COLUMN()-1),""))</f>
        <v/>
      </c>
      <c r="E695" s="9" t="str">
        <f ca="1">IF(IFERROR(INDEX((COPIA!$DA$3:$DE$1339),MATCH(ROWS(E$10:E695),COPIA!$DF$3:$DF$1339,0),COLUMN()-1),"")=0,"",IFERROR(INDEX((COPIA!$DA$3:$DE$1339),MATCH(ROWS(E$10:E695),COPIA!$DF$3:$DF$1339,0),COLUMN()-1),""))</f>
        <v/>
      </c>
      <c r="F695" s="6" t="str">
        <f ca="1">IF(IFERROR(INDEX((COPIA!$DA$3:$DE$1339),MATCH(ROWS(F$10:F695),COPIA!$DF$3:$DF$1339,0),COLUMN()-1),"")=0,"",IFERROR(INDEX((COPIA!$DA$3:$DE$1339),MATCH(ROWS(F$10:F695),COPIA!$DF$3:$DF$1339,0),COLUMN()-1),""))</f>
        <v/>
      </c>
    </row>
    <row r="696" spans="2:6" x14ac:dyDescent="0.3">
      <c r="B696" s="10" t="str">
        <f ca="1">IF(IFERROR(INDEX((COPIA!$DA$3:$DE$1339),MATCH(ROWS(B$10:B696),COPIA!$DF$3:$DF$1339,0),COLUMN()-1),"")&gt;=1,IFERROR(INDEX((COPIA!$DA$3:$DE$1339),MATCH(ROWS(B$10:B696),COPIA!$DF$3:$DF$1339,0),COLUMN()-1),""),"")</f>
        <v/>
      </c>
      <c r="C696" s="5" t="str">
        <f ca="1">SUBSTITUTE(IFERROR(INDEX((COPIA!$DA$3:$DE$1339),MATCH(ROWS(C$10:C696),COPIA!$DF$3:$DF$1339,0),COLUMN()-1),""),"MASTRO","")</f>
        <v/>
      </c>
      <c r="D696" s="136" t="str">
        <f ca="1">IF(IFERROR(INDEX((COPIA!$DA$3:$DE$1339),MATCH(ROWS(D$10:D696),COPIA!$DF$3:$DF$1339,0),COLUMN()-1),"")=0,"",IFERROR(INDEX((COPIA!$DA$3:$DE$1339),MATCH(ROWS(D$10:D696),COPIA!$DF$3:$DF$1339,0),COLUMN()-1),""))</f>
        <v/>
      </c>
      <c r="E696" s="9" t="str">
        <f ca="1">IF(IFERROR(INDEX((COPIA!$DA$3:$DE$1339),MATCH(ROWS(E$10:E696),COPIA!$DF$3:$DF$1339,0),COLUMN()-1),"")=0,"",IFERROR(INDEX((COPIA!$DA$3:$DE$1339),MATCH(ROWS(E$10:E696),COPIA!$DF$3:$DF$1339,0),COLUMN()-1),""))</f>
        <v/>
      </c>
      <c r="F696" s="6" t="str">
        <f ca="1">IF(IFERROR(INDEX((COPIA!$DA$3:$DE$1339),MATCH(ROWS(F$10:F696),COPIA!$DF$3:$DF$1339,0),COLUMN()-1),"")=0,"",IFERROR(INDEX((COPIA!$DA$3:$DE$1339),MATCH(ROWS(F$10:F696),COPIA!$DF$3:$DF$1339,0),COLUMN()-1),""))</f>
        <v/>
      </c>
    </row>
    <row r="697" spans="2:6" x14ac:dyDescent="0.3">
      <c r="B697" s="10" t="str">
        <f ca="1">IF(IFERROR(INDEX((COPIA!$DA$3:$DE$1339),MATCH(ROWS(B$10:B697),COPIA!$DF$3:$DF$1339,0),COLUMN()-1),"")&gt;=1,IFERROR(INDEX((COPIA!$DA$3:$DE$1339),MATCH(ROWS(B$10:B697),COPIA!$DF$3:$DF$1339,0),COLUMN()-1),""),"")</f>
        <v/>
      </c>
      <c r="C697" s="5" t="str">
        <f ca="1">SUBSTITUTE(IFERROR(INDEX((COPIA!$DA$3:$DE$1339),MATCH(ROWS(C$10:C697),COPIA!$DF$3:$DF$1339,0),COLUMN()-1),""),"MASTRO","")</f>
        <v/>
      </c>
      <c r="D697" s="136" t="str">
        <f ca="1">IF(IFERROR(INDEX((COPIA!$DA$3:$DE$1339),MATCH(ROWS(D$10:D697),COPIA!$DF$3:$DF$1339,0),COLUMN()-1),"")=0,"",IFERROR(INDEX((COPIA!$DA$3:$DE$1339),MATCH(ROWS(D$10:D697),COPIA!$DF$3:$DF$1339,0),COLUMN()-1),""))</f>
        <v/>
      </c>
      <c r="E697" s="9" t="str">
        <f ca="1">IF(IFERROR(INDEX((COPIA!$DA$3:$DE$1339),MATCH(ROWS(E$10:E697),COPIA!$DF$3:$DF$1339,0),COLUMN()-1),"")=0,"",IFERROR(INDEX((COPIA!$DA$3:$DE$1339),MATCH(ROWS(E$10:E697),COPIA!$DF$3:$DF$1339,0),COLUMN()-1),""))</f>
        <v/>
      </c>
      <c r="F697" s="6" t="str">
        <f ca="1">IF(IFERROR(INDEX((COPIA!$DA$3:$DE$1339),MATCH(ROWS(F$10:F697),COPIA!$DF$3:$DF$1339,0),COLUMN()-1),"")=0,"",IFERROR(INDEX((COPIA!$DA$3:$DE$1339),MATCH(ROWS(F$10:F697),COPIA!$DF$3:$DF$1339,0),COLUMN()-1),""))</f>
        <v/>
      </c>
    </row>
    <row r="698" spans="2:6" x14ac:dyDescent="0.3">
      <c r="B698" s="10" t="str">
        <f ca="1">IF(IFERROR(INDEX((COPIA!$DA$3:$DE$1339),MATCH(ROWS(B$10:B698),COPIA!$DF$3:$DF$1339,0),COLUMN()-1),"")&gt;=1,IFERROR(INDEX((COPIA!$DA$3:$DE$1339),MATCH(ROWS(B$10:B698),COPIA!$DF$3:$DF$1339,0),COLUMN()-1),""),"")</f>
        <v/>
      </c>
      <c r="C698" s="5" t="str">
        <f ca="1">SUBSTITUTE(IFERROR(INDEX((COPIA!$DA$3:$DE$1339),MATCH(ROWS(C$10:C698),COPIA!$DF$3:$DF$1339,0),COLUMN()-1),""),"MASTRO","")</f>
        <v/>
      </c>
      <c r="D698" s="136" t="str">
        <f ca="1">IF(IFERROR(INDEX((COPIA!$DA$3:$DE$1339),MATCH(ROWS(D$10:D698),COPIA!$DF$3:$DF$1339,0),COLUMN()-1),"")=0,"",IFERROR(INDEX((COPIA!$DA$3:$DE$1339),MATCH(ROWS(D$10:D698),COPIA!$DF$3:$DF$1339,0),COLUMN()-1),""))</f>
        <v/>
      </c>
      <c r="E698" s="9" t="str">
        <f ca="1">IF(IFERROR(INDEX((COPIA!$DA$3:$DE$1339),MATCH(ROWS(E$10:E698),COPIA!$DF$3:$DF$1339,0),COLUMN()-1),"")=0,"",IFERROR(INDEX((COPIA!$DA$3:$DE$1339),MATCH(ROWS(E$10:E698),COPIA!$DF$3:$DF$1339,0),COLUMN()-1),""))</f>
        <v/>
      </c>
      <c r="F698" s="6" t="str">
        <f ca="1">IF(IFERROR(INDEX((COPIA!$DA$3:$DE$1339),MATCH(ROWS(F$10:F698),COPIA!$DF$3:$DF$1339,0),COLUMN()-1),"")=0,"",IFERROR(INDEX((COPIA!$DA$3:$DE$1339),MATCH(ROWS(F$10:F698),COPIA!$DF$3:$DF$1339,0),COLUMN()-1),""))</f>
        <v/>
      </c>
    </row>
    <row r="699" spans="2:6" x14ac:dyDescent="0.3">
      <c r="B699" s="10" t="str">
        <f ca="1">IF(IFERROR(INDEX((COPIA!$DA$3:$DE$1339),MATCH(ROWS(B$10:B699),COPIA!$DF$3:$DF$1339,0),COLUMN()-1),"")&gt;=1,IFERROR(INDEX((COPIA!$DA$3:$DE$1339),MATCH(ROWS(B$10:B699),COPIA!$DF$3:$DF$1339,0),COLUMN()-1),""),"")</f>
        <v/>
      </c>
      <c r="C699" s="5" t="str">
        <f ca="1">SUBSTITUTE(IFERROR(INDEX((COPIA!$DA$3:$DE$1339),MATCH(ROWS(C$10:C699),COPIA!$DF$3:$DF$1339,0),COLUMN()-1),""),"MASTRO","")</f>
        <v/>
      </c>
      <c r="D699" s="136" t="str">
        <f ca="1">IF(IFERROR(INDEX((COPIA!$DA$3:$DE$1339),MATCH(ROWS(D$10:D699),COPIA!$DF$3:$DF$1339,0),COLUMN()-1),"")=0,"",IFERROR(INDEX((COPIA!$DA$3:$DE$1339),MATCH(ROWS(D$10:D699),COPIA!$DF$3:$DF$1339,0),COLUMN()-1),""))</f>
        <v/>
      </c>
      <c r="E699" s="9" t="str">
        <f ca="1">IF(IFERROR(INDEX((COPIA!$DA$3:$DE$1339),MATCH(ROWS(E$10:E699),COPIA!$DF$3:$DF$1339,0),COLUMN()-1),"")=0,"",IFERROR(INDEX((COPIA!$DA$3:$DE$1339),MATCH(ROWS(E$10:E699),COPIA!$DF$3:$DF$1339,0),COLUMN()-1),""))</f>
        <v/>
      </c>
      <c r="F699" s="6" t="str">
        <f ca="1">IF(IFERROR(INDEX((COPIA!$DA$3:$DE$1339),MATCH(ROWS(F$10:F699),COPIA!$DF$3:$DF$1339,0),COLUMN()-1),"")=0,"",IFERROR(INDEX((COPIA!$DA$3:$DE$1339),MATCH(ROWS(F$10:F699),COPIA!$DF$3:$DF$1339,0),COLUMN()-1),""))</f>
        <v/>
      </c>
    </row>
    <row r="700" spans="2:6" x14ac:dyDescent="0.3">
      <c r="B700" s="10" t="str">
        <f ca="1">IF(IFERROR(INDEX((COPIA!$DA$3:$DE$1339),MATCH(ROWS(B$10:B700),COPIA!$DF$3:$DF$1339,0),COLUMN()-1),"")&gt;=1,IFERROR(INDEX((COPIA!$DA$3:$DE$1339),MATCH(ROWS(B$10:B700),COPIA!$DF$3:$DF$1339,0),COLUMN()-1),""),"")</f>
        <v/>
      </c>
      <c r="C700" s="5" t="str">
        <f ca="1">SUBSTITUTE(IFERROR(INDEX((COPIA!$DA$3:$DE$1339),MATCH(ROWS(C$10:C700),COPIA!$DF$3:$DF$1339,0),COLUMN()-1),""),"MASTRO","")</f>
        <v/>
      </c>
      <c r="D700" s="136" t="str">
        <f ca="1">IF(IFERROR(INDEX((COPIA!$DA$3:$DE$1339),MATCH(ROWS(D$10:D700),COPIA!$DF$3:$DF$1339,0),COLUMN()-1),"")=0,"",IFERROR(INDEX((COPIA!$DA$3:$DE$1339),MATCH(ROWS(D$10:D700),COPIA!$DF$3:$DF$1339,0),COLUMN()-1),""))</f>
        <v/>
      </c>
      <c r="E700" s="9" t="str">
        <f ca="1">IF(IFERROR(INDEX((COPIA!$DA$3:$DE$1339),MATCH(ROWS(E$10:E700),COPIA!$DF$3:$DF$1339,0),COLUMN()-1),"")=0,"",IFERROR(INDEX((COPIA!$DA$3:$DE$1339),MATCH(ROWS(E$10:E700),COPIA!$DF$3:$DF$1339,0),COLUMN()-1),""))</f>
        <v/>
      </c>
      <c r="F700" s="6" t="str">
        <f ca="1">IF(IFERROR(INDEX((COPIA!$DA$3:$DE$1339),MATCH(ROWS(F$10:F700),COPIA!$DF$3:$DF$1339,0),COLUMN()-1),"")=0,"",IFERROR(INDEX((COPIA!$DA$3:$DE$1339),MATCH(ROWS(F$10:F700),COPIA!$DF$3:$DF$1339,0),COLUMN()-1),""))</f>
        <v/>
      </c>
    </row>
    <row r="701" spans="2:6" x14ac:dyDescent="0.3">
      <c r="B701" s="10" t="str">
        <f ca="1">IF(IFERROR(INDEX((COPIA!$DA$3:$DE$1339),MATCH(ROWS(B$10:B701),COPIA!$DF$3:$DF$1339,0),COLUMN()-1),"")&gt;=1,IFERROR(INDEX((COPIA!$DA$3:$DE$1339),MATCH(ROWS(B$10:B701),COPIA!$DF$3:$DF$1339,0),COLUMN()-1),""),"")</f>
        <v/>
      </c>
      <c r="C701" s="5" t="str">
        <f ca="1">SUBSTITUTE(IFERROR(INDEX((COPIA!$DA$3:$DE$1339),MATCH(ROWS(C$10:C701),COPIA!$DF$3:$DF$1339,0),COLUMN()-1),""),"MASTRO","")</f>
        <v/>
      </c>
      <c r="D701" s="136" t="str">
        <f ca="1">IF(IFERROR(INDEX((COPIA!$DA$3:$DE$1339),MATCH(ROWS(D$10:D701),COPIA!$DF$3:$DF$1339,0),COLUMN()-1),"")=0,"",IFERROR(INDEX((COPIA!$DA$3:$DE$1339),MATCH(ROWS(D$10:D701),COPIA!$DF$3:$DF$1339,0),COLUMN()-1),""))</f>
        <v/>
      </c>
      <c r="E701" s="9" t="str">
        <f ca="1">IF(IFERROR(INDEX((COPIA!$DA$3:$DE$1339),MATCH(ROWS(E$10:E701),COPIA!$DF$3:$DF$1339,0),COLUMN()-1),"")=0,"",IFERROR(INDEX((COPIA!$DA$3:$DE$1339),MATCH(ROWS(E$10:E701),COPIA!$DF$3:$DF$1339,0),COLUMN()-1),""))</f>
        <v/>
      </c>
      <c r="F701" s="6" t="str">
        <f ca="1">IF(IFERROR(INDEX((COPIA!$DA$3:$DE$1339),MATCH(ROWS(F$10:F701),COPIA!$DF$3:$DF$1339,0),COLUMN()-1),"")=0,"",IFERROR(INDEX((COPIA!$DA$3:$DE$1339),MATCH(ROWS(F$10:F701),COPIA!$DF$3:$DF$1339,0),COLUMN()-1),""))</f>
        <v/>
      </c>
    </row>
    <row r="702" spans="2:6" x14ac:dyDescent="0.3">
      <c r="B702" s="10" t="str">
        <f ca="1">IF(IFERROR(INDEX((COPIA!$DA$3:$DE$1339),MATCH(ROWS(B$10:B702),COPIA!$DF$3:$DF$1339,0),COLUMN()-1),"")&gt;=1,IFERROR(INDEX((COPIA!$DA$3:$DE$1339),MATCH(ROWS(B$10:B702),COPIA!$DF$3:$DF$1339,0),COLUMN()-1),""),"")</f>
        <v/>
      </c>
      <c r="C702" s="5" t="str">
        <f ca="1">SUBSTITUTE(IFERROR(INDEX((COPIA!$DA$3:$DE$1339),MATCH(ROWS(C$10:C702),COPIA!$DF$3:$DF$1339,0),COLUMN()-1),""),"MASTRO","")</f>
        <v/>
      </c>
      <c r="D702" s="136" t="str">
        <f ca="1">IF(IFERROR(INDEX((COPIA!$DA$3:$DE$1339),MATCH(ROWS(D$10:D702),COPIA!$DF$3:$DF$1339,0),COLUMN()-1),"")=0,"",IFERROR(INDEX((COPIA!$DA$3:$DE$1339),MATCH(ROWS(D$10:D702),COPIA!$DF$3:$DF$1339,0),COLUMN()-1),""))</f>
        <v/>
      </c>
      <c r="E702" s="9" t="str">
        <f ca="1">IF(IFERROR(INDEX((COPIA!$DA$3:$DE$1339),MATCH(ROWS(E$10:E702),COPIA!$DF$3:$DF$1339,0),COLUMN()-1),"")=0,"",IFERROR(INDEX((COPIA!$DA$3:$DE$1339),MATCH(ROWS(E$10:E702),COPIA!$DF$3:$DF$1339,0),COLUMN()-1),""))</f>
        <v/>
      </c>
      <c r="F702" s="6" t="str">
        <f ca="1">IF(IFERROR(INDEX((COPIA!$DA$3:$DE$1339),MATCH(ROWS(F$10:F702),COPIA!$DF$3:$DF$1339,0),COLUMN()-1),"")=0,"",IFERROR(INDEX((COPIA!$DA$3:$DE$1339),MATCH(ROWS(F$10:F702),COPIA!$DF$3:$DF$1339,0),COLUMN()-1),""))</f>
        <v/>
      </c>
    </row>
    <row r="703" spans="2:6" x14ac:dyDescent="0.3">
      <c r="B703" s="10" t="str">
        <f ca="1">IF(IFERROR(INDEX((COPIA!$DA$3:$DE$1339),MATCH(ROWS(B$10:B703),COPIA!$DF$3:$DF$1339,0),COLUMN()-1),"")&gt;=1,IFERROR(INDEX((COPIA!$DA$3:$DE$1339),MATCH(ROWS(B$10:B703),COPIA!$DF$3:$DF$1339,0),COLUMN()-1),""),"")</f>
        <v/>
      </c>
      <c r="C703" s="5" t="str">
        <f ca="1">SUBSTITUTE(IFERROR(INDEX((COPIA!$DA$3:$DE$1339),MATCH(ROWS(C$10:C703),COPIA!$DF$3:$DF$1339,0),COLUMN()-1),""),"MASTRO","")</f>
        <v/>
      </c>
      <c r="D703" s="136" t="str">
        <f ca="1">IF(IFERROR(INDEX((COPIA!$DA$3:$DE$1339),MATCH(ROWS(D$10:D703),COPIA!$DF$3:$DF$1339,0),COLUMN()-1),"")=0,"",IFERROR(INDEX((COPIA!$DA$3:$DE$1339),MATCH(ROWS(D$10:D703),COPIA!$DF$3:$DF$1339,0),COLUMN()-1),""))</f>
        <v/>
      </c>
      <c r="E703" s="9" t="str">
        <f ca="1">IF(IFERROR(INDEX((COPIA!$DA$3:$DE$1339),MATCH(ROWS(E$10:E703),COPIA!$DF$3:$DF$1339,0),COLUMN()-1),"")=0,"",IFERROR(INDEX((COPIA!$DA$3:$DE$1339),MATCH(ROWS(E$10:E703),COPIA!$DF$3:$DF$1339,0),COLUMN()-1),""))</f>
        <v/>
      </c>
      <c r="F703" s="6" t="str">
        <f ca="1">IF(IFERROR(INDEX((COPIA!$DA$3:$DE$1339),MATCH(ROWS(F$10:F703),COPIA!$DF$3:$DF$1339,0),COLUMN()-1),"")=0,"",IFERROR(INDEX((COPIA!$DA$3:$DE$1339),MATCH(ROWS(F$10:F703),COPIA!$DF$3:$DF$1339,0),COLUMN()-1),""))</f>
        <v/>
      </c>
    </row>
    <row r="704" spans="2:6" x14ac:dyDescent="0.3">
      <c r="B704" s="10" t="str">
        <f ca="1">IF(IFERROR(INDEX((COPIA!$DA$3:$DE$1339),MATCH(ROWS(B$10:B704),COPIA!$DF$3:$DF$1339,0),COLUMN()-1),"")&gt;=1,IFERROR(INDEX((COPIA!$DA$3:$DE$1339),MATCH(ROWS(B$10:B704),COPIA!$DF$3:$DF$1339,0),COLUMN()-1),""),"")</f>
        <v/>
      </c>
      <c r="C704" s="5" t="str">
        <f ca="1">SUBSTITUTE(IFERROR(INDEX((COPIA!$DA$3:$DE$1339),MATCH(ROWS(C$10:C704),COPIA!$DF$3:$DF$1339,0),COLUMN()-1),""),"MASTRO","")</f>
        <v/>
      </c>
      <c r="D704" s="136" t="str">
        <f ca="1">IF(IFERROR(INDEX((COPIA!$DA$3:$DE$1339),MATCH(ROWS(D$10:D704),COPIA!$DF$3:$DF$1339,0),COLUMN()-1),"")=0,"",IFERROR(INDEX((COPIA!$DA$3:$DE$1339),MATCH(ROWS(D$10:D704),COPIA!$DF$3:$DF$1339,0),COLUMN()-1),""))</f>
        <v/>
      </c>
      <c r="E704" s="9" t="str">
        <f ca="1">IF(IFERROR(INDEX((COPIA!$DA$3:$DE$1339),MATCH(ROWS(E$10:E704),COPIA!$DF$3:$DF$1339,0),COLUMN()-1),"")=0,"",IFERROR(INDEX((COPIA!$DA$3:$DE$1339),MATCH(ROWS(E$10:E704),COPIA!$DF$3:$DF$1339,0),COLUMN()-1),""))</f>
        <v/>
      </c>
      <c r="F704" s="6" t="str">
        <f ca="1">IF(IFERROR(INDEX((COPIA!$DA$3:$DE$1339),MATCH(ROWS(F$10:F704),COPIA!$DF$3:$DF$1339,0),COLUMN()-1),"")=0,"",IFERROR(INDEX((COPIA!$DA$3:$DE$1339),MATCH(ROWS(F$10:F704),COPIA!$DF$3:$DF$1339,0),COLUMN()-1),""))</f>
        <v/>
      </c>
    </row>
    <row r="705" spans="2:6" x14ac:dyDescent="0.3">
      <c r="B705" s="10" t="str">
        <f ca="1">IF(IFERROR(INDEX((COPIA!$DA$3:$DE$1339),MATCH(ROWS(B$10:B705),COPIA!$DF$3:$DF$1339,0),COLUMN()-1),"")&gt;=1,IFERROR(INDEX((COPIA!$DA$3:$DE$1339),MATCH(ROWS(B$10:B705),COPIA!$DF$3:$DF$1339,0),COLUMN()-1),""),"")</f>
        <v/>
      </c>
      <c r="C705" s="5" t="str">
        <f ca="1">SUBSTITUTE(IFERROR(INDEX((COPIA!$DA$3:$DE$1339),MATCH(ROWS(C$10:C705),COPIA!$DF$3:$DF$1339,0),COLUMN()-1),""),"MASTRO","")</f>
        <v/>
      </c>
      <c r="D705" s="136" t="str">
        <f ca="1">IF(IFERROR(INDEX((COPIA!$DA$3:$DE$1339),MATCH(ROWS(D$10:D705),COPIA!$DF$3:$DF$1339,0),COLUMN()-1),"")=0,"",IFERROR(INDEX((COPIA!$DA$3:$DE$1339),MATCH(ROWS(D$10:D705),COPIA!$DF$3:$DF$1339,0),COLUMN()-1),""))</f>
        <v/>
      </c>
      <c r="E705" s="9" t="str">
        <f ca="1">IF(IFERROR(INDEX((COPIA!$DA$3:$DE$1339),MATCH(ROWS(E$10:E705),COPIA!$DF$3:$DF$1339,0),COLUMN()-1),"")=0,"",IFERROR(INDEX((COPIA!$DA$3:$DE$1339),MATCH(ROWS(E$10:E705),COPIA!$DF$3:$DF$1339,0),COLUMN()-1),""))</f>
        <v/>
      </c>
      <c r="F705" s="6" t="str">
        <f ca="1">IF(IFERROR(INDEX((COPIA!$DA$3:$DE$1339),MATCH(ROWS(F$10:F705),COPIA!$DF$3:$DF$1339,0),COLUMN()-1),"")=0,"",IFERROR(INDEX((COPIA!$DA$3:$DE$1339),MATCH(ROWS(F$10:F705),COPIA!$DF$3:$DF$1339,0),COLUMN()-1),""))</f>
        <v/>
      </c>
    </row>
    <row r="706" spans="2:6" x14ac:dyDescent="0.3">
      <c r="B706" s="10" t="str">
        <f ca="1">IF(IFERROR(INDEX((COPIA!$DA$3:$DE$1339),MATCH(ROWS(B$10:B706),COPIA!$DF$3:$DF$1339,0),COLUMN()-1),"")&gt;=1,IFERROR(INDEX((COPIA!$DA$3:$DE$1339),MATCH(ROWS(B$10:B706),COPIA!$DF$3:$DF$1339,0),COLUMN()-1),""),"")</f>
        <v/>
      </c>
      <c r="C706" s="5" t="str">
        <f ca="1">SUBSTITUTE(IFERROR(INDEX((COPIA!$DA$3:$DE$1339),MATCH(ROWS(C$10:C706),COPIA!$DF$3:$DF$1339,0),COLUMN()-1),""),"MASTRO","")</f>
        <v/>
      </c>
      <c r="D706" s="136" t="str">
        <f ca="1">IF(IFERROR(INDEX((COPIA!$DA$3:$DE$1339),MATCH(ROWS(D$10:D706),COPIA!$DF$3:$DF$1339,0),COLUMN()-1),"")=0,"",IFERROR(INDEX((COPIA!$DA$3:$DE$1339),MATCH(ROWS(D$10:D706),COPIA!$DF$3:$DF$1339,0),COLUMN()-1),""))</f>
        <v/>
      </c>
      <c r="E706" s="9" t="str">
        <f ca="1">IF(IFERROR(INDEX((COPIA!$DA$3:$DE$1339),MATCH(ROWS(E$10:E706),COPIA!$DF$3:$DF$1339,0),COLUMN()-1),"")=0,"",IFERROR(INDEX((COPIA!$DA$3:$DE$1339),MATCH(ROWS(E$10:E706),COPIA!$DF$3:$DF$1339,0),COLUMN()-1),""))</f>
        <v/>
      </c>
      <c r="F706" s="6" t="str">
        <f ca="1">IF(IFERROR(INDEX((COPIA!$DA$3:$DE$1339),MATCH(ROWS(F$10:F706),COPIA!$DF$3:$DF$1339,0),COLUMN()-1),"")=0,"",IFERROR(INDEX((COPIA!$DA$3:$DE$1339),MATCH(ROWS(F$10:F706),COPIA!$DF$3:$DF$1339,0),COLUMN()-1),""))</f>
        <v/>
      </c>
    </row>
    <row r="707" spans="2:6" x14ac:dyDescent="0.3">
      <c r="B707" s="10" t="str">
        <f ca="1">IF(IFERROR(INDEX((COPIA!$DA$3:$DE$1339),MATCH(ROWS(B$10:B707),COPIA!$DF$3:$DF$1339,0),COLUMN()-1),"")&gt;=1,IFERROR(INDEX((COPIA!$DA$3:$DE$1339),MATCH(ROWS(B$10:B707),COPIA!$DF$3:$DF$1339,0),COLUMN()-1),""),"")</f>
        <v/>
      </c>
      <c r="C707" s="5" t="str">
        <f ca="1">SUBSTITUTE(IFERROR(INDEX((COPIA!$DA$3:$DE$1339),MATCH(ROWS(C$10:C707),COPIA!$DF$3:$DF$1339,0),COLUMN()-1),""),"MASTRO","")</f>
        <v/>
      </c>
      <c r="D707" s="136" t="str">
        <f ca="1">IF(IFERROR(INDEX((COPIA!$DA$3:$DE$1339),MATCH(ROWS(D$10:D707),COPIA!$DF$3:$DF$1339,0),COLUMN()-1),"")=0,"",IFERROR(INDEX((COPIA!$DA$3:$DE$1339),MATCH(ROWS(D$10:D707),COPIA!$DF$3:$DF$1339,0),COLUMN()-1),""))</f>
        <v/>
      </c>
      <c r="E707" s="9" t="str">
        <f ca="1">IF(IFERROR(INDEX((COPIA!$DA$3:$DE$1339),MATCH(ROWS(E$10:E707),COPIA!$DF$3:$DF$1339,0),COLUMN()-1),"")=0,"",IFERROR(INDEX((COPIA!$DA$3:$DE$1339),MATCH(ROWS(E$10:E707),COPIA!$DF$3:$DF$1339,0),COLUMN()-1),""))</f>
        <v/>
      </c>
      <c r="F707" s="6" t="str">
        <f ca="1">IF(IFERROR(INDEX((COPIA!$DA$3:$DE$1339),MATCH(ROWS(F$10:F707),COPIA!$DF$3:$DF$1339,0),COLUMN()-1),"")=0,"",IFERROR(INDEX((COPIA!$DA$3:$DE$1339),MATCH(ROWS(F$10:F707),COPIA!$DF$3:$DF$1339,0),COLUMN()-1),""))</f>
        <v/>
      </c>
    </row>
    <row r="708" spans="2:6" x14ac:dyDescent="0.3">
      <c r="B708" s="10" t="str">
        <f ca="1">IF(IFERROR(INDEX((COPIA!$DA$3:$DE$1339),MATCH(ROWS(B$10:B708),COPIA!$DF$3:$DF$1339,0),COLUMN()-1),"")&gt;=1,IFERROR(INDEX((COPIA!$DA$3:$DE$1339),MATCH(ROWS(B$10:B708),COPIA!$DF$3:$DF$1339,0),COLUMN()-1),""),"")</f>
        <v/>
      </c>
      <c r="C708" s="5" t="str">
        <f ca="1">SUBSTITUTE(IFERROR(INDEX((COPIA!$DA$3:$DE$1339),MATCH(ROWS(C$10:C708),COPIA!$DF$3:$DF$1339,0),COLUMN()-1),""),"MASTRO","")</f>
        <v/>
      </c>
      <c r="D708" s="136" t="str">
        <f ca="1">IF(IFERROR(INDEX((COPIA!$DA$3:$DE$1339),MATCH(ROWS(D$10:D708),COPIA!$DF$3:$DF$1339,0),COLUMN()-1),"")=0,"",IFERROR(INDEX((COPIA!$DA$3:$DE$1339),MATCH(ROWS(D$10:D708),COPIA!$DF$3:$DF$1339,0),COLUMN()-1),""))</f>
        <v/>
      </c>
      <c r="E708" s="9" t="str">
        <f ca="1">IF(IFERROR(INDEX((COPIA!$DA$3:$DE$1339),MATCH(ROWS(E$10:E708),COPIA!$DF$3:$DF$1339,0),COLUMN()-1),"")=0,"",IFERROR(INDEX((COPIA!$DA$3:$DE$1339),MATCH(ROWS(E$10:E708),COPIA!$DF$3:$DF$1339,0),COLUMN()-1),""))</f>
        <v/>
      </c>
      <c r="F708" s="6" t="str">
        <f ca="1">IF(IFERROR(INDEX((COPIA!$DA$3:$DE$1339),MATCH(ROWS(F$10:F708),COPIA!$DF$3:$DF$1339,0),COLUMN()-1),"")=0,"",IFERROR(INDEX((COPIA!$DA$3:$DE$1339),MATCH(ROWS(F$10:F708),COPIA!$DF$3:$DF$1339,0),COLUMN()-1),""))</f>
        <v/>
      </c>
    </row>
    <row r="709" spans="2:6" x14ac:dyDescent="0.3">
      <c r="B709" s="10" t="str">
        <f ca="1">IF(IFERROR(INDEX((COPIA!$DA$3:$DE$1339),MATCH(ROWS(B$10:B709),COPIA!$DF$3:$DF$1339,0),COLUMN()-1),"")&gt;=1,IFERROR(INDEX((COPIA!$DA$3:$DE$1339),MATCH(ROWS(B$10:B709),COPIA!$DF$3:$DF$1339,0),COLUMN()-1),""),"")</f>
        <v/>
      </c>
      <c r="C709" s="5" t="str">
        <f ca="1">SUBSTITUTE(IFERROR(INDEX((COPIA!$DA$3:$DE$1339),MATCH(ROWS(C$10:C709),COPIA!$DF$3:$DF$1339,0),COLUMN()-1),""),"MASTRO","")</f>
        <v/>
      </c>
      <c r="D709" s="136" t="str">
        <f ca="1">IF(IFERROR(INDEX((COPIA!$DA$3:$DE$1339),MATCH(ROWS(D$10:D709),COPIA!$DF$3:$DF$1339,0),COLUMN()-1),"")=0,"",IFERROR(INDEX((COPIA!$DA$3:$DE$1339),MATCH(ROWS(D$10:D709),COPIA!$DF$3:$DF$1339,0),COLUMN()-1),""))</f>
        <v/>
      </c>
      <c r="E709" s="9" t="str">
        <f ca="1">IF(IFERROR(INDEX((COPIA!$DA$3:$DE$1339),MATCH(ROWS(E$10:E709),COPIA!$DF$3:$DF$1339,0),COLUMN()-1),"")=0,"",IFERROR(INDEX((COPIA!$DA$3:$DE$1339),MATCH(ROWS(E$10:E709),COPIA!$DF$3:$DF$1339,0),COLUMN()-1),""))</f>
        <v/>
      </c>
      <c r="F709" s="6" t="str">
        <f ca="1">IF(IFERROR(INDEX((COPIA!$DA$3:$DE$1339),MATCH(ROWS(F$10:F709),COPIA!$DF$3:$DF$1339,0),COLUMN()-1),"")=0,"",IFERROR(INDEX((COPIA!$DA$3:$DE$1339),MATCH(ROWS(F$10:F709),COPIA!$DF$3:$DF$1339,0),COLUMN()-1),""))</f>
        <v/>
      </c>
    </row>
    <row r="710" spans="2:6" x14ac:dyDescent="0.3">
      <c r="B710" s="10" t="str">
        <f ca="1">IF(IFERROR(INDEX((COPIA!$DA$3:$DE$1339),MATCH(ROWS(B$10:B710),COPIA!$DF$3:$DF$1339,0),COLUMN()-1),"")&gt;=1,IFERROR(INDEX((COPIA!$DA$3:$DE$1339),MATCH(ROWS(B$10:B710),COPIA!$DF$3:$DF$1339,0),COLUMN()-1),""),"")</f>
        <v/>
      </c>
      <c r="C710" s="5" t="str">
        <f ca="1">SUBSTITUTE(IFERROR(INDEX((COPIA!$DA$3:$DE$1339),MATCH(ROWS(C$10:C710),COPIA!$DF$3:$DF$1339,0),COLUMN()-1),""),"MASTRO","")</f>
        <v/>
      </c>
      <c r="D710" s="136" t="str">
        <f ca="1">IF(IFERROR(INDEX((COPIA!$DA$3:$DE$1339),MATCH(ROWS(D$10:D710),COPIA!$DF$3:$DF$1339,0),COLUMN()-1),"")=0,"",IFERROR(INDEX((COPIA!$DA$3:$DE$1339),MATCH(ROWS(D$10:D710),COPIA!$DF$3:$DF$1339,0),COLUMN()-1),""))</f>
        <v/>
      </c>
      <c r="E710" s="9" t="str">
        <f ca="1">IF(IFERROR(INDEX((COPIA!$DA$3:$DE$1339),MATCH(ROWS(E$10:E710),COPIA!$DF$3:$DF$1339,0),COLUMN()-1),"")=0,"",IFERROR(INDEX((COPIA!$DA$3:$DE$1339),MATCH(ROWS(E$10:E710),COPIA!$DF$3:$DF$1339,0),COLUMN()-1),""))</f>
        <v/>
      </c>
      <c r="F710" s="6" t="str">
        <f ca="1">IF(IFERROR(INDEX((COPIA!$DA$3:$DE$1339),MATCH(ROWS(F$10:F710),COPIA!$DF$3:$DF$1339,0),COLUMN()-1),"")=0,"",IFERROR(INDEX((COPIA!$DA$3:$DE$1339),MATCH(ROWS(F$10:F710),COPIA!$DF$3:$DF$1339,0),COLUMN()-1),""))</f>
        <v/>
      </c>
    </row>
    <row r="711" spans="2:6" x14ac:dyDescent="0.3">
      <c r="B711" s="10" t="str">
        <f ca="1">IF(IFERROR(INDEX((COPIA!$DA$3:$DE$1339),MATCH(ROWS(B$10:B711),COPIA!$DF$3:$DF$1339,0),COLUMN()-1),"")&gt;=1,IFERROR(INDEX((COPIA!$DA$3:$DE$1339),MATCH(ROWS(B$10:B711),COPIA!$DF$3:$DF$1339,0),COLUMN()-1),""),"")</f>
        <v/>
      </c>
      <c r="C711" s="5" t="str">
        <f ca="1">SUBSTITUTE(IFERROR(INDEX((COPIA!$DA$3:$DE$1339),MATCH(ROWS(C$10:C711),COPIA!$DF$3:$DF$1339,0),COLUMN()-1),""),"MASTRO","")</f>
        <v/>
      </c>
      <c r="D711" s="136" t="str">
        <f ca="1">IF(IFERROR(INDEX((COPIA!$DA$3:$DE$1339),MATCH(ROWS(D$10:D711),COPIA!$DF$3:$DF$1339,0),COLUMN()-1),"")=0,"",IFERROR(INDEX((COPIA!$DA$3:$DE$1339),MATCH(ROWS(D$10:D711),COPIA!$DF$3:$DF$1339,0),COLUMN()-1),""))</f>
        <v/>
      </c>
      <c r="E711" s="9" t="str">
        <f ca="1">IF(IFERROR(INDEX((COPIA!$DA$3:$DE$1339),MATCH(ROWS(E$10:E711),COPIA!$DF$3:$DF$1339,0),COLUMN()-1),"")=0,"",IFERROR(INDEX((COPIA!$DA$3:$DE$1339),MATCH(ROWS(E$10:E711),COPIA!$DF$3:$DF$1339,0),COLUMN()-1),""))</f>
        <v/>
      </c>
      <c r="F711" s="6" t="str">
        <f ca="1">IF(IFERROR(INDEX((COPIA!$DA$3:$DE$1339),MATCH(ROWS(F$10:F711),COPIA!$DF$3:$DF$1339,0),COLUMN()-1),"")=0,"",IFERROR(INDEX((COPIA!$DA$3:$DE$1339),MATCH(ROWS(F$10:F711),COPIA!$DF$3:$DF$1339,0),COLUMN()-1),""))</f>
        <v/>
      </c>
    </row>
    <row r="712" spans="2:6" x14ac:dyDescent="0.3">
      <c r="B712" s="10" t="str">
        <f ca="1">IF(IFERROR(INDEX((COPIA!$DA$3:$DE$1339),MATCH(ROWS(B$10:B712),COPIA!$DF$3:$DF$1339,0),COLUMN()-1),"")&gt;=1,IFERROR(INDEX((COPIA!$DA$3:$DE$1339),MATCH(ROWS(B$10:B712),COPIA!$DF$3:$DF$1339,0),COLUMN()-1),""),"")</f>
        <v/>
      </c>
      <c r="C712" s="5" t="str">
        <f ca="1">SUBSTITUTE(IFERROR(INDEX((COPIA!$DA$3:$DE$1339),MATCH(ROWS(C$10:C712),COPIA!$DF$3:$DF$1339,0),COLUMN()-1),""),"MASTRO","")</f>
        <v/>
      </c>
      <c r="D712" s="136" t="str">
        <f ca="1">IF(IFERROR(INDEX((COPIA!$DA$3:$DE$1339),MATCH(ROWS(D$10:D712),COPIA!$DF$3:$DF$1339,0),COLUMN()-1),"")=0,"",IFERROR(INDEX((COPIA!$DA$3:$DE$1339),MATCH(ROWS(D$10:D712),COPIA!$DF$3:$DF$1339,0),COLUMN()-1),""))</f>
        <v/>
      </c>
      <c r="E712" s="9" t="str">
        <f ca="1">IF(IFERROR(INDEX((COPIA!$DA$3:$DE$1339),MATCH(ROWS(E$10:E712),COPIA!$DF$3:$DF$1339,0),COLUMN()-1),"")=0,"",IFERROR(INDEX((COPIA!$DA$3:$DE$1339),MATCH(ROWS(E$10:E712),COPIA!$DF$3:$DF$1339,0),COLUMN()-1),""))</f>
        <v/>
      </c>
      <c r="F712" s="6" t="str">
        <f ca="1">IF(IFERROR(INDEX((COPIA!$DA$3:$DE$1339),MATCH(ROWS(F$10:F712),COPIA!$DF$3:$DF$1339,0),COLUMN()-1),"")=0,"",IFERROR(INDEX((COPIA!$DA$3:$DE$1339),MATCH(ROWS(F$10:F712),COPIA!$DF$3:$DF$1339,0),COLUMN()-1),""))</f>
        <v/>
      </c>
    </row>
    <row r="713" spans="2:6" x14ac:dyDescent="0.3">
      <c r="B713" s="10" t="str">
        <f ca="1">IF(IFERROR(INDEX((COPIA!$DA$3:$DE$1339),MATCH(ROWS(B$10:B713),COPIA!$DF$3:$DF$1339,0),COLUMN()-1),"")&gt;=1,IFERROR(INDEX((COPIA!$DA$3:$DE$1339),MATCH(ROWS(B$10:B713),COPIA!$DF$3:$DF$1339,0),COLUMN()-1),""),"")</f>
        <v/>
      </c>
      <c r="C713" s="5" t="str">
        <f ca="1">SUBSTITUTE(IFERROR(INDEX((COPIA!$DA$3:$DE$1339),MATCH(ROWS(C$10:C713),COPIA!$DF$3:$DF$1339,0),COLUMN()-1),""),"MASTRO","")</f>
        <v/>
      </c>
      <c r="D713" s="136" t="str">
        <f ca="1">IF(IFERROR(INDEX((COPIA!$DA$3:$DE$1339),MATCH(ROWS(D$10:D713),COPIA!$DF$3:$DF$1339,0),COLUMN()-1),"")=0,"",IFERROR(INDEX((COPIA!$DA$3:$DE$1339),MATCH(ROWS(D$10:D713),COPIA!$DF$3:$DF$1339,0),COLUMN()-1),""))</f>
        <v/>
      </c>
      <c r="E713" s="9" t="str">
        <f ca="1">IF(IFERROR(INDEX((COPIA!$DA$3:$DE$1339),MATCH(ROWS(E$10:E713),COPIA!$DF$3:$DF$1339,0),COLUMN()-1),"")=0,"",IFERROR(INDEX((COPIA!$DA$3:$DE$1339),MATCH(ROWS(E$10:E713),COPIA!$DF$3:$DF$1339,0),COLUMN()-1),""))</f>
        <v/>
      </c>
      <c r="F713" s="6" t="str">
        <f ca="1">IF(IFERROR(INDEX((COPIA!$DA$3:$DE$1339),MATCH(ROWS(F$10:F713),COPIA!$DF$3:$DF$1339,0),COLUMN()-1),"")=0,"",IFERROR(INDEX((COPIA!$DA$3:$DE$1339),MATCH(ROWS(F$10:F713),COPIA!$DF$3:$DF$1339,0),COLUMN()-1),""))</f>
        <v/>
      </c>
    </row>
    <row r="714" spans="2:6" x14ac:dyDescent="0.3">
      <c r="B714" s="10" t="str">
        <f ca="1">IF(IFERROR(INDEX((COPIA!$DA$3:$DE$1339),MATCH(ROWS(B$10:B714),COPIA!$DF$3:$DF$1339,0),COLUMN()-1),"")&gt;=1,IFERROR(INDEX((COPIA!$DA$3:$DE$1339),MATCH(ROWS(B$10:B714),COPIA!$DF$3:$DF$1339,0),COLUMN()-1),""),"")</f>
        <v/>
      </c>
      <c r="C714" s="5" t="str">
        <f ca="1">SUBSTITUTE(IFERROR(INDEX((COPIA!$DA$3:$DE$1339),MATCH(ROWS(C$10:C714),COPIA!$DF$3:$DF$1339,0),COLUMN()-1),""),"MASTRO","")</f>
        <v/>
      </c>
      <c r="D714" s="136" t="str">
        <f ca="1">IF(IFERROR(INDEX((COPIA!$DA$3:$DE$1339),MATCH(ROWS(D$10:D714),COPIA!$DF$3:$DF$1339,0),COLUMN()-1),"")=0,"",IFERROR(INDEX((COPIA!$DA$3:$DE$1339),MATCH(ROWS(D$10:D714),COPIA!$DF$3:$DF$1339,0),COLUMN()-1),""))</f>
        <v/>
      </c>
      <c r="E714" s="9" t="str">
        <f ca="1">IF(IFERROR(INDEX((COPIA!$DA$3:$DE$1339),MATCH(ROWS(E$10:E714),COPIA!$DF$3:$DF$1339,0),COLUMN()-1),"")=0,"",IFERROR(INDEX((COPIA!$DA$3:$DE$1339),MATCH(ROWS(E$10:E714),COPIA!$DF$3:$DF$1339,0),COLUMN()-1),""))</f>
        <v/>
      </c>
      <c r="F714" s="6" t="str">
        <f ca="1">IF(IFERROR(INDEX((COPIA!$DA$3:$DE$1339),MATCH(ROWS(F$10:F714),COPIA!$DF$3:$DF$1339,0),COLUMN()-1),"")=0,"",IFERROR(INDEX((COPIA!$DA$3:$DE$1339),MATCH(ROWS(F$10:F714),COPIA!$DF$3:$DF$1339,0),COLUMN()-1),""))</f>
        <v/>
      </c>
    </row>
    <row r="715" spans="2:6" x14ac:dyDescent="0.3">
      <c r="B715" s="10" t="str">
        <f ca="1">IF(IFERROR(INDEX((COPIA!$DA$3:$DE$1339),MATCH(ROWS(B$10:B715),COPIA!$DF$3:$DF$1339,0),COLUMN()-1),"")&gt;=1,IFERROR(INDEX((COPIA!$DA$3:$DE$1339),MATCH(ROWS(B$10:B715),COPIA!$DF$3:$DF$1339,0),COLUMN()-1),""),"")</f>
        <v/>
      </c>
      <c r="C715" s="5" t="str">
        <f ca="1">SUBSTITUTE(IFERROR(INDEX((COPIA!$DA$3:$DE$1339),MATCH(ROWS(C$10:C715),COPIA!$DF$3:$DF$1339,0),COLUMN()-1),""),"MASTRO","")</f>
        <v/>
      </c>
      <c r="D715" s="136" t="str">
        <f ca="1">IF(IFERROR(INDEX((COPIA!$DA$3:$DE$1339),MATCH(ROWS(D$10:D715),COPIA!$DF$3:$DF$1339,0),COLUMN()-1),"")=0,"",IFERROR(INDEX((COPIA!$DA$3:$DE$1339),MATCH(ROWS(D$10:D715),COPIA!$DF$3:$DF$1339,0),COLUMN()-1),""))</f>
        <v/>
      </c>
      <c r="E715" s="9" t="str">
        <f ca="1">IF(IFERROR(INDEX((COPIA!$DA$3:$DE$1339),MATCH(ROWS(E$10:E715),COPIA!$DF$3:$DF$1339,0),COLUMN()-1),"")=0,"",IFERROR(INDEX((COPIA!$DA$3:$DE$1339),MATCH(ROWS(E$10:E715),COPIA!$DF$3:$DF$1339,0),COLUMN()-1),""))</f>
        <v/>
      </c>
      <c r="F715" s="6" t="str">
        <f ca="1">IF(IFERROR(INDEX((COPIA!$DA$3:$DE$1339),MATCH(ROWS(F$10:F715),COPIA!$DF$3:$DF$1339,0),COLUMN()-1),"")=0,"",IFERROR(INDEX((COPIA!$DA$3:$DE$1339),MATCH(ROWS(F$10:F715),COPIA!$DF$3:$DF$1339,0),COLUMN()-1),""))</f>
        <v/>
      </c>
    </row>
    <row r="716" spans="2:6" x14ac:dyDescent="0.3">
      <c r="B716" s="10" t="str">
        <f ca="1">IF(IFERROR(INDEX((COPIA!$DA$3:$DE$1339),MATCH(ROWS(B$10:B716),COPIA!$DF$3:$DF$1339,0),COLUMN()-1),"")&gt;=1,IFERROR(INDEX((COPIA!$DA$3:$DE$1339),MATCH(ROWS(B$10:B716),COPIA!$DF$3:$DF$1339,0),COLUMN()-1),""),"")</f>
        <v/>
      </c>
      <c r="C716" s="5" t="str">
        <f ca="1">SUBSTITUTE(IFERROR(INDEX((COPIA!$DA$3:$DE$1339),MATCH(ROWS(C$10:C716),COPIA!$DF$3:$DF$1339,0),COLUMN()-1),""),"MASTRO","")</f>
        <v/>
      </c>
      <c r="D716" s="136" t="str">
        <f ca="1">IF(IFERROR(INDEX((COPIA!$DA$3:$DE$1339),MATCH(ROWS(D$10:D716),COPIA!$DF$3:$DF$1339,0),COLUMN()-1),"")=0,"",IFERROR(INDEX((COPIA!$DA$3:$DE$1339),MATCH(ROWS(D$10:D716),COPIA!$DF$3:$DF$1339,0),COLUMN()-1),""))</f>
        <v/>
      </c>
      <c r="E716" s="9" t="str">
        <f ca="1">IF(IFERROR(INDEX((COPIA!$DA$3:$DE$1339),MATCH(ROWS(E$10:E716),COPIA!$DF$3:$DF$1339,0),COLUMN()-1),"")=0,"",IFERROR(INDEX((COPIA!$DA$3:$DE$1339),MATCH(ROWS(E$10:E716),COPIA!$DF$3:$DF$1339,0),COLUMN()-1),""))</f>
        <v/>
      </c>
      <c r="F716" s="6" t="str">
        <f ca="1">IF(IFERROR(INDEX((COPIA!$DA$3:$DE$1339),MATCH(ROWS(F$10:F716),COPIA!$DF$3:$DF$1339,0),COLUMN()-1),"")=0,"",IFERROR(INDEX((COPIA!$DA$3:$DE$1339),MATCH(ROWS(F$10:F716),COPIA!$DF$3:$DF$1339,0),COLUMN()-1),""))</f>
        <v/>
      </c>
    </row>
    <row r="717" spans="2:6" x14ac:dyDescent="0.3">
      <c r="B717" s="10" t="str">
        <f ca="1">IF(IFERROR(INDEX((COPIA!$DA$3:$DE$1339),MATCH(ROWS(B$10:B717),COPIA!$DF$3:$DF$1339,0),COLUMN()-1),"")&gt;=1,IFERROR(INDEX((COPIA!$DA$3:$DE$1339),MATCH(ROWS(B$10:B717),COPIA!$DF$3:$DF$1339,0),COLUMN()-1),""),"")</f>
        <v/>
      </c>
      <c r="C717" s="5" t="str">
        <f ca="1">SUBSTITUTE(IFERROR(INDEX((COPIA!$DA$3:$DE$1339),MATCH(ROWS(C$10:C717),COPIA!$DF$3:$DF$1339,0),COLUMN()-1),""),"MASTRO","")</f>
        <v/>
      </c>
      <c r="D717" s="136" t="str">
        <f ca="1">IF(IFERROR(INDEX((COPIA!$DA$3:$DE$1339),MATCH(ROWS(D$10:D717),COPIA!$DF$3:$DF$1339,0),COLUMN()-1),"")=0,"",IFERROR(INDEX((COPIA!$DA$3:$DE$1339),MATCH(ROWS(D$10:D717),COPIA!$DF$3:$DF$1339,0),COLUMN()-1),""))</f>
        <v/>
      </c>
      <c r="E717" s="9" t="str">
        <f ca="1">IF(IFERROR(INDEX((COPIA!$DA$3:$DE$1339),MATCH(ROWS(E$10:E717),COPIA!$DF$3:$DF$1339,0),COLUMN()-1),"")=0,"",IFERROR(INDEX((COPIA!$DA$3:$DE$1339),MATCH(ROWS(E$10:E717),COPIA!$DF$3:$DF$1339,0),COLUMN()-1),""))</f>
        <v/>
      </c>
      <c r="F717" s="6" t="str">
        <f ca="1">IF(IFERROR(INDEX((COPIA!$DA$3:$DE$1339),MATCH(ROWS(F$10:F717),COPIA!$DF$3:$DF$1339,0),COLUMN()-1),"")=0,"",IFERROR(INDEX((COPIA!$DA$3:$DE$1339),MATCH(ROWS(F$10:F717),COPIA!$DF$3:$DF$1339,0),COLUMN()-1),""))</f>
        <v/>
      </c>
    </row>
    <row r="718" spans="2:6" x14ac:dyDescent="0.3">
      <c r="B718" s="10" t="str">
        <f ca="1">IF(IFERROR(INDEX((COPIA!$DA$3:$DE$1339),MATCH(ROWS(B$10:B718),COPIA!$DF$3:$DF$1339,0),COLUMN()-1),"")&gt;=1,IFERROR(INDEX((COPIA!$DA$3:$DE$1339),MATCH(ROWS(B$10:B718),COPIA!$DF$3:$DF$1339,0),COLUMN()-1),""),"")</f>
        <v/>
      </c>
      <c r="C718" s="5" t="str">
        <f ca="1">SUBSTITUTE(IFERROR(INDEX((COPIA!$DA$3:$DE$1339),MATCH(ROWS(C$10:C718),COPIA!$DF$3:$DF$1339,0),COLUMN()-1),""),"MASTRO","")</f>
        <v/>
      </c>
      <c r="D718" s="136" t="str">
        <f ca="1">IF(IFERROR(INDEX((COPIA!$DA$3:$DE$1339),MATCH(ROWS(D$10:D718),COPIA!$DF$3:$DF$1339,0),COLUMN()-1),"")=0,"",IFERROR(INDEX((COPIA!$DA$3:$DE$1339),MATCH(ROWS(D$10:D718),COPIA!$DF$3:$DF$1339,0),COLUMN()-1),""))</f>
        <v/>
      </c>
      <c r="E718" s="9" t="str">
        <f ca="1">IF(IFERROR(INDEX((COPIA!$DA$3:$DE$1339),MATCH(ROWS(E$10:E718),COPIA!$DF$3:$DF$1339,0),COLUMN()-1),"")=0,"",IFERROR(INDEX((COPIA!$DA$3:$DE$1339),MATCH(ROWS(E$10:E718),COPIA!$DF$3:$DF$1339,0),COLUMN()-1),""))</f>
        <v/>
      </c>
      <c r="F718" s="6" t="str">
        <f ca="1">IF(IFERROR(INDEX((COPIA!$DA$3:$DE$1339),MATCH(ROWS(F$10:F718),COPIA!$DF$3:$DF$1339,0),COLUMN()-1),"")=0,"",IFERROR(INDEX((COPIA!$DA$3:$DE$1339),MATCH(ROWS(F$10:F718),COPIA!$DF$3:$DF$1339,0),COLUMN()-1),""))</f>
        <v/>
      </c>
    </row>
    <row r="719" spans="2:6" x14ac:dyDescent="0.3">
      <c r="B719" s="10" t="str">
        <f ca="1">IF(IFERROR(INDEX((COPIA!$DA$3:$DE$1339),MATCH(ROWS(B$10:B719),COPIA!$DF$3:$DF$1339,0),COLUMN()-1),"")&gt;=1,IFERROR(INDEX((COPIA!$DA$3:$DE$1339),MATCH(ROWS(B$10:B719),COPIA!$DF$3:$DF$1339,0),COLUMN()-1),""),"")</f>
        <v/>
      </c>
      <c r="C719" s="5" t="str">
        <f ca="1">SUBSTITUTE(IFERROR(INDEX((COPIA!$DA$3:$DE$1339),MATCH(ROWS(C$10:C719),COPIA!$DF$3:$DF$1339,0),COLUMN()-1),""),"MASTRO","")</f>
        <v/>
      </c>
      <c r="D719" s="136" t="str">
        <f ca="1">IF(IFERROR(INDEX((COPIA!$DA$3:$DE$1339),MATCH(ROWS(D$10:D719),COPIA!$DF$3:$DF$1339,0),COLUMN()-1),"")=0,"",IFERROR(INDEX((COPIA!$DA$3:$DE$1339),MATCH(ROWS(D$10:D719),COPIA!$DF$3:$DF$1339,0),COLUMN()-1),""))</f>
        <v/>
      </c>
      <c r="E719" s="9" t="str">
        <f ca="1">IF(IFERROR(INDEX((COPIA!$DA$3:$DE$1339),MATCH(ROWS(E$10:E719),COPIA!$DF$3:$DF$1339,0),COLUMN()-1),"")=0,"",IFERROR(INDEX((COPIA!$DA$3:$DE$1339),MATCH(ROWS(E$10:E719),COPIA!$DF$3:$DF$1339,0),COLUMN()-1),""))</f>
        <v/>
      </c>
      <c r="F719" s="6" t="str">
        <f ca="1">IF(IFERROR(INDEX((COPIA!$DA$3:$DE$1339),MATCH(ROWS(F$10:F719),COPIA!$DF$3:$DF$1339,0),COLUMN()-1),"")=0,"",IFERROR(INDEX((COPIA!$DA$3:$DE$1339),MATCH(ROWS(F$10:F719),COPIA!$DF$3:$DF$1339,0),COLUMN()-1),""))</f>
        <v/>
      </c>
    </row>
    <row r="720" spans="2:6" x14ac:dyDescent="0.3">
      <c r="B720" s="10" t="str">
        <f ca="1">IF(IFERROR(INDEX((COPIA!$DA$3:$DE$1339),MATCH(ROWS(B$10:B720),COPIA!$DF$3:$DF$1339,0),COLUMN()-1),"")&gt;=1,IFERROR(INDEX((COPIA!$DA$3:$DE$1339),MATCH(ROWS(B$10:B720),COPIA!$DF$3:$DF$1339,0),COLUMN()-1),""),"")</f>
        <v/>
      </c>
      <c r="C720" s="5" t="str">
        <f ca="1">SUBSTITUTE(IFERROR(INDEX((COPIA!$DA$3:$DE$1339),MATCH(ROWS(C$10:C720),COPIA!$DF$3:$DF$1339,0),COLUMN()-1),""),"MASTRO","")</f>
        <v/>
      </c>
      <c r="D720" s="136" t="str">
        <f ca="1">IF(IFERROR(INDEX((COPIA!$DA$3:$DE$1339),MATCH(ROWS(D$10:D720),COPIA!$DF$3:$DF$1339,0),COLUMN()-1),"")=0,"",IFERROR(INDEX((COPIA!$DA$3:$DE$1339),MATCH(ROWS(D$10:D720),COPIA!$DF$3:$DF$1339,0),COLUMN()-1),""))</f>
        <v/>
      </c>
      <c r="E720" s="9" t="str">
        <f ca="1">IF(IFERROR(INDEX((COPIA!$DA$3:$DE$1339),MATCH(ROWS(E$10:E720),COPIA!$DF$3:$DF$1339,0),COLUMN()-1),"")=0,"",IFERROR(INDEX((COPIA!$DA$3:$DE$1339),MATCH(ROWS(E$10:E720),COPIA!$DF$3:$DF$1339,0),COLUMN()-1),""))</f>
        <v/>
      </c>
      <c r="F720" s="6" t="str">
        <f ca="1">IF(IFERROR(INDEX((COPIA!$DA$3:$DE$1339),MATCH(ROWS(F$10:F720),COPIA!$DF$3:$DF$1339,0),COLUMN()-1),"")=0,"",IFERROR(INDEX((COPIA!$DA$3:$DE$1339),MATCH(ROWS(F$10:F720),COPIA!$DF$3:$DF$1339,0),COLUMN()-1),""))</f>
        <v/>
      </c>
    </row>
    <row r="721" spans="2:6" x14ac:dyDescent="0.3">
      <c r="B721" s="10" t="str">
        <f ca="1">IF(IFERROR(INDEX((COPIA!$DA$3:$DE$1339),MATCH(ROWS(B$10:B721),COPIA!$DF$3:$DF$1339,0),COLUMN()-1),"")&gt;=1,IFERROR(INDEX((COPIA!$DA$3:$DE$1339),MATCH(ROWS(B$10:B721),COPIA!$DF$3:$DF$1339,0),COLUMN()-1),""),"")</f>
        <v/>
      </c>
      <c r="C721" s="5" t="str">
        <f ca="1">SUBSTITUTE(IFERROR(INDEX((COPIA!$DA$3:$DE$1339),MATCH(ROWS(C$10:C721),COPIA!$DF$3:$DF$1339,0),COLUMN()-1),""),"MASTRO","")</f>
        <v/>
      </c>
      <c r="D721" s="136" t="str">
        <f ca="1">IF(IFERROR(INDEX((COPIA!$DA$3:$DE$1339),MATCH(ROWS(D$10:D721),COPIA!$DF$3:$DF$1339,0),COLUMN()-1),"")=0,"",IFERROR(INDEX((COPIA!$DA$3:$DE$1339),MATCH(ROWS(D$10:D721),COPIA!$DF$3:$DF$1339,0),COLUMN()-1),""))</f>
        <v/>
      </c>
      <c r="E721" s="9" t="str">
        <f ca="1">IF(IFERROR(INDEX((COPIA!$DA$3:$DE$1339),MATCH(ROWS(E$10:E721),COPIA!$DF$3:$DF$1339,0),COLUMN()-1),"")=0,"",IFERROR(INDEX((COPIA!$DA$3:$DE$1339),MATCH(ROWS(E$10:E721),COPIA!$DF$3:$DF$1339,0),COLUMN()-1),""))</f>
        <v/>
      </c>
      <c r="F721" s="6" t="str">
        <f ca="1">IF(IFERROR(INDEX((COPIA!$DA$3:$DE$1339),MATCH(ROWS(F$10:F721),COPIA!$DF$3:$DF$1339,0),COLUMN()-1),"")=0,"",IFERROR(INDEX((COPIA!$DA$3:$DE$1339),MATCH(ROWS(F$10:F721),COPIA!$DF$3:$DF$1339,0),COLUMN()-1),""))</f>
        <v/>
      </c>
    </row>
    <row r="722" spans="2:6" x14ac:dyDescent="0.3">
      <c r="B722" s="10" t="str">
        <f ca="1">IF(IFERROR(INDEX((COPIA!$DA$3:$DE$1339),MATCH(ROWS(B$10:B722),COPIA!$DF$3:$DF$1339,0),COLUMN()-1),"")&gt;=1,IFERROR(INDEX((COPIA!$DA$3:$DE$1339),MATCH(ROWS(B$10:B722),COPIA!$DF$3:$DF$1339,0),COLUMN()-1),""),"")</f>
        <v/>
      </c>
      <c r="C722" s="5" t="str">
        <f ca="1">SUBSTITUTE(IFERROR(INDEX((COPIA!$DA$3:$DE$1339),MATCH(ROWS(C$10:C722),COPIA!$DF$3:$DF$1339,0),COLUMN()-1),""),"MASTRO","")</f>
        <v/>
      </c>
      <c r="D722" s="136" t="str">
        <f ca="1">IF(IFERROR(INDEX((COPIA!$DA$3:$DE$1339),MATCH(ROWS(D$10:D722),COPIA!$DF$3:$DF$1339,0),COLUMN()-1),"")=0,"",IFERROR(INDEX((COPIA!$DA$3:$DE$1339),MATCH(ROWS(D$10:D722),COPIA!$DF$3:$DF$1339,0),COLUMN()-1),""))</f>
        <v/>
      </c>
      <c r="E722" s="9" t="str">
        <f ca="1">IF(IFERROR(INDEX((COPIA!$DA$3:$DE$1339),MATCH(ROWS(E$10:E722),COPIA!$DF$3:$DF$1339,0),COLUMN()-1),"")=0,"",IFERROR(INDEX((COPIA!$DA$3:$DE$1339),MATCH(ROWS(E$10:E722),COPIA!$DF$3:$DF$1339,0),COLUMN()-1),""))</f>
        <v/>
      </c>
      <c r="F722" s="6" t="str">
        <f ca="1">IF(IFERROR(INDEX((COPIA!$DA$3:$DE$1339),MATCH(ROWS(F$10:F722),COPIA!$DF$3:$DF$1339,0),COLUMN()-1),"")=0,"",IFERROR(INDEX((COPIA!$DA$3:$DE$1339),MATCH(ROWS(F$10:F722),COPIA!$DF$3:$DF$1339,0),COLUMN()-1),""))</f>
        <v/>
      </c>
    </row>
    <row r="723" spans="2:6" x14ac:dyDescent="0.3">
      <c r="B723" s="10" t="str">
        <f ca="1">IF(IFERROR(INDEX((COPIA!$DA$3:$DE$1339),MATCH(ROWS(B$10:B723),COPIA!$DF$3:$DF$1339,0),COLUMN()-1),"")&gt;=1,IFERROR(INDEX((COPIA!$DA$3:$DE$1339),MATCH(ROWS(B$10:B723),COPIA!$DF$3:$DF$1339,0),COLUMN()-1),""),"")</f>
        <v/>
      </c>
      <c r="C723" s="5" t="str">
        <f ca="1">SUBSTITUTE(IFERROR(INDEX((COPIA!$DA$3:$DE$1339),MATCH(ROWS(C$10:C723),COPIA!$DF$3:$DF$1339,0),COLUMN()-1),""),"MASTRO","")</f>
        <v/>
      </c>
      <c r="D723" s="136" t="str">
        <f ca="1">IF(IFERROR(INDEX((COPIA!$DA$3:$DE$1339),MATCH(ROWS(D$10:D723),COPIA!$DF$3:$DF$1339,0),COLUMN()-1),"")=0,"",IFERROR(INDEX((COPIA!$DA$3:$DE$1339),MATCH(ROWS(D$10:D723),COPIA!$DF$3:$DF$1339,0),COLUMN()-1),""))</f>
        <v/>
      </c>
      <c r="E723" s="9" t="str">
        <f ca="1">IF(IFERROR(INDEX((COPIA!$DA$3:$DE$1339),MATCH(ROWS(E$10:E723),COPIA!$DF$3:$DF$1339,0),COLUMN()-1),"")=0,"",IFERROR(INDEX((COPIA!$DA$3:$DE$1339),MATCH(ROWS(E$10:E723),COPIA!$DF$3:$DF$1339,0),COLUMN()-1),""))</f>
        <v/>
      </c>
      <c r="F723" s="6" t="str">
        <f ca="1">IF(IFERROR(INDEX((COPIA!$DA$3:$DE$1339),MATCH(ROWS(F$10:F723),COPIA!$DF$3:$DF$1339,0),COLUMN()-1),"")=0,"",IFERROR(INDEX((COPIA!$DA$3:$DE$1339),MATCH(ROWS(F$10:F723),COPIA!$DF$3:$DF$1339,0),COLUMN()-1),""))</f>
        <v/>
      </c>
    </row>
    <row r="724" spans="2:6" x14ac:dyDescent="0.3">
      <c r="B724" s="10" t="str">
        <f ca="1">IF(IFERROR(INDEX((COPIA!$DA$3:$DE$1339),MATCH(ROWS(B$10:B724),COPIA!$DF$3:$DF$1339,0),COLUMN()-1),"")&gt;=1,IFERROR(INDEX((COPIA!$DA$3:$DE$1339),MATCH(ROWS(B$10:B724),COPIA!$DF$3:$DF$1339,0),COLUMN()-1),""),"")</f>
        <v/>
      </c>
      <c r="C724" s="5" t="str">
        <f ca="1">SUBSTITUTE(IFERROR(INDEX((COPIA!$DA$3:$DE$1339),MATCH(ROWS(C$10:C724),COPIA!$DF$3:$DF$1339,0),COLUMN()-1),""),"MASTRO","")</f>
        <v/>
      </c>
      <c r="D724" s="136" t="str">
        <f ca="1">IF(IFERROR(INDEX((COPIA!$DA$3:$DE$1339),MATCH(ROWS(D$10:D724),COPIA!$DF$3:$DF$1339,0),COLUMN()-1),"")=0,"",IFERROR(INDEX((COPIA!$DA$3:$DE$1339),MATCH(ROWS(D$10:D724),COPIA!$DF$3:$DF$1339,0),COLUMN()-1),""))</f>
        <v/>
      </c>
      <c r="E724" s="9" t="str">
        <f ca="1">IF(IFERROR(INDEX((COPIA!$DA$3:$DE$1339),MATCH(ROWS(E$10:E724),COPIA!$DF$3:$DF$1339,0),COLUMN()-1),"")=0,"",IFERROR(INDEX((COPIA!$DA$3:$DE$1339),MATCH(ROWS(E$10:E724),COPIA!$DF$3:$DF$1339,0),COLUMN()-1),""))</f>
        <v/>
      </c>
      <c r="F724" s="6" t="str">
        <f ca="1">IF(IFERROR(INDEX((COPIA!$DA$3:$DE$1339),MATCH(ROWS(F$10:F724),COPIA!$DF$3:$DF$1339,0),COLUMN()-1),"")=0,"",IFERROR(INDEX((COPIA!$DA$3:$DE$1339),MATCH(ROWS(F$10:F724),COPIA!$DF$3:$DF$1339,0),COLUMN()-1),""))</f>
        <v/>
      </c>
    </row>
    <row r="725" spans="2:6" x14ac:dyDescent="0.3">
      <c r="B725" s="10" t="str">
        <f ca="1">IF(IFERROR(INDEX((COPIA!$DA$3:$DE$1339),MATCH(ROWS(B$10:B725),COPIA!$DF$3:$DF$1339,0),COLUMN()-1),"")&gt;=1,IFERROR(INDEX((COPIA!$DA$3:$DE$1339),MATCH(ROWS(B$10:B725),COPIA!$DF$3:$DF$1339,0),COLUMN()-1),""),"")</f>
        <v/>
      </c>
      <c r="C725" s="5" t="str">
        <f ca="1">SUBSTITUTE(IFERROR(INDEX((COPIA!$DA$3:$DE$1339),MATCH(ROWS(C$10:C725),COPIA!$DF$3:$DF$1339,0),COLUMN()-1),""),"MASTRO","")</f>
        <v/>
      </c>
      <c r="D725" s="136" t="str">
        <f ca="1">IF(IFERROR(INDEX((COPIA!$DA$3:$DE$1339),MATCH(ROWS(D$10:D725),COPIA!$DF$3:$DF$1339,0),COLUMN()-1),"")=0,"",IFERROR(INDEX((COPIA!$DA$3:$DE$1339),MATCH(ROWS(D$10:D725),COPIA!$DF$3:$DF$1339,0),COLUMN()-1),""))</f>
        <v/>
      </c>
      <c r="E725" s="9" t="str">
        <f ca="1">IF(IFERROR(INDEX((COPIA!$DA$3:$DE$1339),MATCH(ROWS(E$10:E725),COPIA!$DF$3:$DF$1339,0),COLUMN()-1),"")=0,"",IFERROR(INDEX((COPIA!$DA$3:$DE$1339),MATCH(ROWS(E$10:E725),COPIA!$DF$3:$DF$1339,0),COLUMN()-1),""))</f>
        <v/>
      </c>
      <c r="F725" s="6" t="str">
        <f ca="1">IF(IFERROR(INDEX((COPIA!$DA$3:$DE$1339),MATCH(ROWS(F$10:F725),COPIA!$DF$3:$DF$1339,0),COLUMN()-1),"")=0,"",IFERROR(INDEX((COPIA!$DA$3:$DE$1339),MATCH(ROWS(F$10:F725),COPIA!$DF$3:$DF$1339,0),COLUMN()-1),""))</f>
        <v/>
      </c>
    </row>
    <row r="726" spans="2:6" x14ac:dyDescent="0.3">
      <c r="B726" s="10" t="str">
        <f ca="1">IF(IFERROR(INDEX((COPIA!$DA$3:$DE$1339),MATCH(ROWS(B$10:B726),COPIA!$DF$3:$DF$1339,0),COLUMN()-1),"")&gt;=1,IFERROR(INDEX((COPIA!$DA$3:$DE$1339),MATCH(ROWS(B$10:B726),COPIA!$DF$3:$DF$1339,0),COLUMN()-1),""),"")</f>
        <v/>
      </c>
      <c r="C726" s="5" t="str">
        <f ca="1">SUBSTITUTE(IFERROR(INDEX((COPIA!$DA$3:$DE$1339),MATCH(ROWS(C$10:C726),COPIA!$DF$3:$DF$1339,0),COLUMN()-1),""),"MASTRO","")</f>
        <v/>
      </c>
      <c r="D726" s="136" t="str">
        <f ca="1">IF(IFERROR(INDEX((COPIA!$DA$3:$DE$1339),MATCH(ROWS(D$10:D726),COPIA!$DF$3:$DF$1339,0),COLUMN()-1),"")=0,"",IFERROR(INDEX((COPIA!$DA$3:$DE$1339),MATCH(ROWS(D$10:D726),COPIA!$DF$3:$DF$1339,0),COLUMN()-1),""))</f>
        <v/>
      </c>
      <c r="E726" s="9" t="str">
        <f ca="1">IF(IFERROR(INDEX((COPIA!$DA$3:$DE$1339),MATCH(ROWS(E$10:E726),COPIA!$DF$3:$DF$1339,0),COLUMN()-1),"")=0,"",IFERROR(INDEX((COPIA!$DA$3:$DE$1339),MATCH(ROWS(E$10:E726),COPIA!$DF$3:$DF$1339,0),COLUMN()-1),""))</f>
        <v/>
      </c>
      <c r="F726" s="6" t="str">
        <f ca="1">IF(IFERROR(INDEX((COPIA!$DA$3:$DE$1339),MATCH(ROWS(F$10:F726),COPIA!$DF$3:$DF$1339,0),COLUMN()-1),"")=0,"",IFERROR(INDEX((COPIA!$DA$3:$DE$1339),MATCH(ROWS(F$10:F726),COPIA!$DF$3:$DF$1339,0),COLUMN()-1),""))</f>
        <v/>
      </c>
    </row>
    <row r="727" spans="2:6" x14ac:dyDescent="0.3">
      <c r="B727" s="10" t="str">
        <f ca="1">IF(IFERROR(INDEX((COPIA!$DA$3:$DE$1339),MATCH(ROWS(B$10:B727),COPIA!$DF$3:$DF$1339,0),COLUMN()-1),"")&gt;=1,IFERROR(INDEX((COPIA!$DA$3:$DE$1339),MATCH(ROWS(B$10:B727),COPIA!$DF$3:$DF$1339,0),COLUMN()-1),""),"")</f>
        <v/>
      </c>
      <c r="C727" s="5" t="str">
        <f ca="1">SUBSTITUTE(IFERROR(INDEX((COPIA!$DA$3:$DE$1339),MATCH(ROWS(C$10:C727),COPIA!$DF$3:$DF$1339,0),COLUMN()-1),""),"MASTRO","")</f>
        <v/>
      </c>
      <c r="D727" s="136" t="str">
        <f ca="1">IF(IFERROR(INDEX((COPIA!$DA$3:$DE$1339),MATCH(ROWS(D$10:D727),COPIA!$DF$3:$DF$1339,0),COLUMN()-1),"")=0,"",IFERROR(INDEX((COPIA!$DA$3:$DE$1339),MATCH(ROWS(D$10:D727),COPIA!$DF$3:$DF$1339,0),COLUMN()-1),""))</f>
        <v/>
      </c>
      <c r="E727" s="9" t="str">
        <f ca="1">IF(IFERROR(INDEX((COPIA!$DA$3:$DE$1339),MATCH(ROWS(E$10:E727),COPIA!$DF$3:$DF$1339,0),COLUMN()-1),"")=0,"",IFERROR(INDEX((COPIA!$DA$3:$DE$1339),MATCH(ROWS(E$10:E727),COPIA!$DF$3:$DF$1339,0),COLUMN()-1),""))</f>
        <v/>
      </c>
      <c r="F727" s="6" t="str">
        <f ca="1">IF(IFERROR(INDEX((COPIA!$DA$3:$DE$1339),MATCH(ROWS(F$10:F727),COPIA!$DF$3:$DF$1339,0),COLUMN()-1),"")=0,"",IFERROR(INDEX((COPIA!$DA$3:$DE$1339),MATCH(ROWS(F$10:F727),COPIA!$DF$3:$DF$1339,0),COLUMN()-1),""))</f>
        <v/>
      </c>
    </row>
    <row r="728" spans="2:6" x14ac:dyDescent="0.3">
      <c r="B728" s="10" t="str">
        <f ca="1">IF(IFERROR(INDEX((COPIA!$DA$3:$DE$1339),MATCH(ROWS(B$10:B728),COPIA!$DF$3:$DF$1339,0),COLUMN()-1),"")&gt;=1,IFERROR(INDEX((COPIA!$DA$3:$DE$1339),MATCH(ROWS(B$10:B728),COPIA!$DF$3:$DF$1339,0),COLUMN()-1),""),"")</f>
        <v/>
      </c>
      <c r="C728" s="5" t="str">
        <f ca="1">SUBSTITUTE(IFERROR(INDEX((COPIA!$DA$3:$DE$1339),MATCH(ROWS(C$10:C728),COPIA!$DF$3:$DF$1339,0),COLUMN()-1),""),"MASTRO","")</f>
        <v/>
      </c>
      <c r="D728" s="136" t="str">
        <f ca="1">IF(IFERROR(INDEX((COPIA!$DA$3:$DE$1339),MATCH(ROWS(D$10:D728),COPIA!$DF$3:$DF$1339,0),COLUMN()-1),"")=0,"",IFERROR(INDEX((COPIA!$DA$3:$DE$1339),MATCH(ROWS(D$10:D728),COPIA!$DF$3:$DF$1339,0),COLUMN()-1),""))</f>
        <v/>
      </c>
      <c r="E728" s="9" t="str">
        <f ca="1">IF(IFERROR(INDEX((COPIA!$DA$3:$DE$1339),MATCH(ROWS(E$10:E728),COPIA!$DF$3:$DF$1339,0),COLUMN()-1),"")=0,"",IFERROR(INDEX((COPIA!$DA$3:$DE$1339),MATCH(ROWS(E$10:E728),COPIA!$DF$3:$DF$1339,0),COLUMN()-1),""))</f>
        <v/>
      </c>
      <c r="F728" s="6" t="str">
        <f ca="1">IF(IFERROR(INDEX((COPIA!$DA$3:$DE$1339),MATCH(ROWS(F$10:F728),COPIA!$DF$3:$DF$1339,0),COLUMN()-1),"")=0,"",IFERROR(INDEX((COPIA!$DA$3:$DE$1339),MATCH(ROWS(F$10:F728),COPIA!$DF$3:$DF$1339,0),COLUMN()-1),""))</f>
        <v/>
      </c>
    </row>
    <row r="729" spans="2:6" x14ac:dyDescent="0.3">
      <c r="B729" s="10" t="str">
        <f ca="1">IF(IFERROR(INDEX((COPIA!$DA$3:$DE$1339),MATCH(ROWS(B$10:B729),COPIA!$DF$3:$DF$1339,0),COLUMN()-1),"")&gt;=1,IFERROR(INDEX((COPIA!$DA$3:$DE$1339),MATCH(ROWS(B$10:B729),COPIA!$DF$3:$DF$1339,0),COLUMN()-1),""),"")</f>
        <v/>
      </c>
      <c r="C729" s="5" t="str">
        <f ca="1">SUBSTITUTE(IFERROR(INDEX((COPIA!$DA$3:$DE$1339),MATCH(ROWS(C$10:C729),COPIA!$DF$3:$DF$1339,0),COLUMN()-1),""),"MASTRO","")</f>
        <v/>
      </c>
      <c r="D729" s="136" t="str">
        <f ca="1">IF(IFERROR(INDEX((COPIA!$DA$3:$DE$1339),MATCH(ROWS(D$10:D729),COPIA!$DF$3:$DF$1339,0),COLUMN()-1),"")=0,"",IFERROR(INDEX((COPIA!$DA$3:$DE$1339),MATCH(ROWS(D$10:D729),COPIA!$DF$3:$DF$1339,0),COLUMN()-1),""))</f>
        <v/>
      </c>
      <c r="E729" s="9" t="str">
        <f ca="1">IF(IFERROR(INDEX((COPIA!$DA$3:$DE$1339),MATCH(ROWS(E$10:E729),COPIA!$DF$3:$DF$1339,0),COLUMN()-1),"")=0,"",IFERROR(INDEX((COPIA!$DA$3:$DE$1339),MATCH(ROWS(E$10:E729),COPIA!$DF$3:$DF$1339,0),COLUMN()-1),""))</f>
        <v/>
      </c>
      <c r="F729" s="6" t="str">
        <f ca="1">IF(IFERROR(INDEX((COPIA!$DA$3:$DE$1339),MATCH(ROWS(F$10:F729),COPIA!$DF$3:$DF$1339,0),COLUMN()-1),"")=0,"",IFERROR(INDEX((COPIA!$DA$3:$DE$1339),MATCH(ROWS(F$10:F729),COPIA!$DF$3:$DF$1339,0),COLUMN()-1),""))</f>
        <v/>
      </c>
    </row>
    <row r="730" spans="2:6" x14ac:dyDescent="0.3">
      <c r="B730" s="10" t="str">
        <f ca="1">IF(IFERROR(INDEX((COPIA!$DA$3:$DE$1339),MATCH(ROWS(B$10:B730),COPIA!$DF$3:$DF$1339,0),COLUMN()-1),"")&gt;=1,IFERROR(INDEX((COPIA!$DA$3:$DE$1339),MATCH(ROWS(B$10:B730),COPIA!$DF$3:$DF$1339,0),COLUMN()-1),""),"")</f>
        <v/>
      </c>
      <c r="C730" s="5" t="str">
        <f ca="1">SUBSTITUTE(IFERROR(INDEX((COPIA!$DA$3:$DE$1339),MATCH(ROWS(C$10:C730),COPIA!$DF$3:$DF$1339,0),COLUMN()-1),""),"MASTRO","")</f>
        <v/>
      </c>
      <c r="D730" s="136" t="str">
        <f ca="1">IF(IFERROR(INDEX((COPIA!$DA$3:$DE$1339),MATCH(ROWS(D$10:D730),COPIA!$DF$3:$DF$1339,0),COLUMN()-1),"")=0,"",IFERROR(INDEX((COPIA!$DA$3:$DE$1339),MATCH(ROWS(D$10:D730),COPIA!$DF$3:$DF$1339,0),COLUMN()-1),""))</f>
        <v/>
      </c>
      <c r="E730" s="9" t="str">
        <f ca="1">IF(IFERROR(INDEX((COPIA!$DA$3:$DE$1339),MATCH(ROWS(E$10:E730),COPIA!$DF$3:$DF$1339,0),COLUMN()-1),"")=0,"",IFERROR(INDEX((COPIA!$DA$3:$DE$1339),MATCH(ROWS(E$10:E730),COPIA!$DF$3:$DF$1339,0),COLUMN()-1),""))</f>
        <v/>
      </c>
      <c r="F730" s="6" t="str">
        <f ca="1">IF(IFERROR(INDEX((COPIA!$DA$3:$DE$1339),MATCH(ROWS(F$10:F730),COPIA!$DF$3:$DF$1339,0),COLUMN()-1),"")=0,"",IFERROR(INDEX((COPIA!$DA$3:$DE$1339),MATCH(ROWS(F$10:F730),COPIA!$DF$3:$DF$1339,0),COLUMN()-1),""))</f>
        <v/>
      </c>
    </row>
    <row r="731" spans="2:6" x14ac:dyDescent="0.3">
      <c r="B731" s="10" t="str">
        <f ca="1">IF(IFERROR(INDEX((COPIA!$DA$3:$DE$1339),MATCH(ROWS(B$10:B731),COPIA!$DF$3:$DF$1339,0),COLUMN()-1),"")&gt;=1,IFERROR(INDEX((COPIA!$DA$3:$DE$1339),MATCH(ROWS(B$10:B731),COPIA!$DF$3:$DF$1339,0),COLUMN()-1),""),"")</f>
        <v/>
      </c>
      <c r="C731" s="5" t="str">
        <f ca="1">SUBSTITUTE(IFERROR(INDEX((COPIA!$DA$3:$DE$1339),MATCH(ROWS(C$10:C731),COPIA!$DF$3:$DF$1339,0),COLUMN()-1),""),"MASTRO","")</f>
        <v/>
      </c>
      <c r="D731" s="136" t="str">
        <f ca="1">IF(IFERROR(INDEX((COPIA!$DA$3:$DE$1339),MATCH(ROWS(D$10:D731),COPIA!$DF$3:$DF$1339,0),COLUMN()-1),"")=0,"",IFERROR(INDEX((COPIA!$DA$3:$DE$1339),MATCH(ROWS(D$10:D731),COPIA!$DF$3:$DF$1339,0),COLUMN()-1),""))</f>
        <v/>
      </c>
      <c r="E731" s="9" t="str">
        <f ca="1">IF(IFERROR(INDEX((COPIA!$DA$3:$DE$1339),MATCH(ROWS(E$10:E731),COPIA!$DF$3:$DF$1339,0),COLUMN()-1),"")=0,"",IFERROR(INDEX((COPIA!$DA$3:$DE$1339),MATCH(ROWS(E$10:E731),COPIA!$DF$3:$DF$1339,0),COLUMN()-1),""))</f>
        <v/>
      </c>
      <c r="F731" s="6" t="str">
        <f ca="1">IF(IFERROR(INDEX((COPIA!$DA$3:$DE$1339),MATCH(ROWS(F$10:F731),COPIA!$DF$3:$DF$1339,0),COLUMN()-1),"")=0,"",IFERROR(INDEX((COPIA!$DA$3:$DE$1339),MATCH(ROWS(F$10:F731),COPIA!$DF$3:$DF$1339,0),COLUMN()-1),""))</f>
        <v/>
      </c>
    </row>
    <row r="732" spans="2:6" x14ac:dyDescent="0.3">
      <c r="B732" s="10" t="str">
        <f ca="1">IF(IFERROR(INDEX((COPIA!$DA$3:$DE$1339),MATCH(ROWS(B$10:B732),COPIA!$DF$3:$DF$1339,0),COLUMN()-1),"")&gt;=1,IFERROR(INDEX((COPIA!$DA$3:$DE$1339),MATCH(ROWS(B$10:B732),COPIA!$DF$3:$DF$1339,0),COLUMN()-1),""),"")</f>
        <v/>
      </c>
      <c r="C732" s="5" t="str">
        <f ca="1">SUBSTITUTE(IFERROR(INDEX((COPIA!$DA$3:$DE$1339),MATCH(ROWS(C$10:C732),COPIA!$DF$3:$DF$1339,0),COLUMN()-1),""),"MASTRO","")</f>
        <v/>
      </c>
      <c r="D732" s="136" t="str">
        <f ca="1">IF(IFERROR(INDEX((COPIA!$DA$3:$DE$1339),MATCH(ROWS(D$10:D732),COPIA!$DF$3:$DF$1339,0),COLUMN()-1),"")=0,"",IFERROR(INDEX((COPIA!$DA$3:$DE$1339),MATCH(ROWS(D$10:D732),COPIA!$DF$3:$DF$1339,0),COLUMN()-1),""))</f>
        <v/>
      </c>
      <c r="E732" s="9" t="str">
        <f ca="1">IF(IFERROR(INDEX((COPIA!$DA$3:$DE$1339),MATCH(ROWS(E$10:E732),COPIA!$DF$3:$DF$1339,0),COLUMN()-1),"")=0,"",IFERROR(INDEX((COPIA!$DA$3:$DE$1339),MATCH(ROWS(E$10:E732),COPIA!$DF$3:$DF$1339,0),COLUMN()-1),""))</f>
        <v/>
      </c>
      <c r="F732" s="6" t="str">
        <f ca="1">IF(IFERROR(INDEX((COPIA!$DA$3:$DE$1339),MATCH(ROWS(F$10:F732),COPIA!$DF$3:$DF$1339,0),COLUMN()-1),"")=0,"",IFERROR(INDEX((COPIA!$DA$3:$DE$1339),MATCH(ROWS(F$10:F732),COPIA!$DF$3:$DF$1339,0),COLUMN()-1),""))</f>
        <v/>
      </c>
    </row>
    <row r="733" spans="2:6" x14ac:dyDescent="0.3">
      <c r="B733" s="10" t="str">
        <f ca="1">IF(IFERROR(INDEX((COPIA!$DA$3:$DE$1339),MATCH(ROWS(B$10:B733),COPIA!$DF$3:$DF$1339,0),COLUMN()-1),"")&gt;=1,IFERROR(INDEX((COPIA!$DA$3:$DE$1339),MATCH(ROWS(B$10:B733),COPIA!$DF$3:$DF$1339,0),COLUMN()-1),""),"")</f>
        <v/>
      </c>
      <c r="C733" s="5" t="str">
        <f ca="1">SUBSTITUTE(IFERROR(INDEX((COPIA!$DA$3:$DE$1339),MATCH(ROWS(C$10:C733),COPIA!$DF$3:$DF$1339,0),COLUMN()-1),""),"MASTRO","")</f>
        <v/>
      </c>
      <c r="D733" s="136" t="str">
        <f ca="1">IF(IFERROR(INDEX((COPIA!$DA$3:$DE$1339),MATCH(ROWS(D$10:D733),COPIA!$DF$3:$DF$1339,0),COLUMN()-1),"")=0,"",IFERROR(INDEX((COPIA!$DA$3:$DE$1339),MATCH(ROWS(D$10:D733),COPIA!$DF$3:$DF$1339,0),COLUMN()-1),""))</f>
        <v/>
      </c>
      <c r="E733" s="9" t="str">
        <f ca="1">IF(IFERROR(INDEX((COPIA!$DA$3:$DE$1339),MATCH(ROWS(E$10:E733),COPIA!$DF$3:$DF$1339,0),COLUMN()-1),"")=0,"",IFERROR(INDEX((COPIA!$DA$3:$DE$1339),MATCH(ROWS(E$10:E733),COPIA!$DF$3:$DF$1339,0),COLUMN()-1),""))</f>
        <v/>
      </c>
      <c r="F733" s="6" t="str">
        <f ca="1">IF(IFERROR(INDEX((COPIA!$DA$3:$DE$1339),MATCH(ROWS(F$10:F733),COPIA!$DF$3:$DF$1339,0),COLUMN()-1),"")=0,"",IFERROR(INDEX((COPIA!$DA$3:$DE$1339),MATCH(ROWS(F$10:F733),COPIA!$DF$3:$DF$1339,0),COLUMN()-1),""))</f>
        <v/>
      </c>
    </row>
    <row r="734" spans="2:6" x14ac:dyDescent="0.3">
      <c r="B734" s="10" t="str">
        <f ca="1">IF(IFERROR(INDEX((COPIA!$DA$3:$DE$1339),MATCH(ROWS(B$10:B734),COPIA!$DF$3:$DF$1339,0),COLUMN()-1),"")&gt;=1,IFERROR(INDEX((COPIA!$DA$3:$DE$1339),MATCH(ROWS(B$10:B734),COPIA!$DF$3:$DF$1339,0),COLUMN()-1),""),"")</f>
        <v/>
      </c>
      <c r="C734" s="5" t="str">
        <f ca="1">SUBSTITUTE(IFERROR(INDEX((COPIA!$DA$3:$DE$1339),MATCH(ROWS(C$10:C734),COPIA!$DF$3:$DF$1339,0),COLUMN()-1),""),"MASTRO","")</f>
        <v/>
      </c>
      <c r="D734" s="136" t="str">
        <f ca="1">IF(IFERROR(INDEX((COPIA!$DA$3:$DE$1339),MATCH(ROWS(D$10:D734),COPIA!$DF$3:$DF$1339,0),COLUMN()-1),"")=0,"",IFERROR(INDEX((COPIA!$DA$3:$DE$1339),MATCH(ROWS(D$10:D734),COPIA!$DF$3:$DF$1339,0),COLUMN()-1),""))</f>
        <v/>
      </c>
      <c r="E734" s="9" t="str">
        <f ca="1">IF(IFERROR(INDEX((COPIA!$DA$3:$DE$1339),MATCH(ROWS(E$10:E734),COPIA!$DF$3:$DF$1339,0),COLUMN()-1),"")=0,"",IFERROR(INDEX((COPIA!$DA$3:$DE$1339),MATCH(ROWS(E$10:E734),COPIA!$DF$3:$DF$1339,0),COLUMN()-1),""))</f>
        <v/>
      </c>
      <c r="F734" s="6" t="str">
        <f ca="1">IF(IFERROR(INDEX((COPIA!$DA$3:$DE$1339),MATCH(ROWS(F$10:F734),COPIA!$DF$3:$DF$1339,0),COLUMN()-1),"")=0,"",IFERROR(INDEX((COPIA!$DA$3:$DE$1339),MATCH(ROWS(F$10:F734),COPIA!$DF$3:$DF$1339,0),COLUMN()-1),""))</f>
        <v/>
      </c>
    </row>
    <row r="735" spans="2:6" x14ac:dyDescent="0.3">
      <c r="B735" s="10" t="str">
        <f ca="1">IF(IFERROR(INDEX((COPIA!$DA$3:$DE$1339),MATCH(ROWS(B$10:B735),COPIA!$DF$3:$DF$1339,0),COLUMN()-1),"")&gt;=1,IFERROR(INDEX((COPIA!$DA$3:$DE$1339),MATCH(ROWS(B$10:B735),COPIA!$DF$3:$DF$1339,0),COLUMN()-1),""),"")</f>
        <v/>
      </c>
      <c r="C735" s="5" t="str">
        <f ca="1">SUBSTITUTE(IFERROR(INDEX((COPIA!$DA$3:$DE$1339),MATCH(ROWS(C$10:C735),COPIA!$DF$3:$DF$1339,0),COLUMN()-1),""),"MASTRO","")</f>
        <v/>
      </c>
      <c r="D735" s="136" t="str">
        <f ca="1">IF(IFERROR(INDEX((COPIA!$DA$3:$DE$1339),MATCH(ROWS(D$10:D735),COPIA!$DF$3:$DF$1339,0),COLUMN()-1),"")=0,"",IFERROR(INDEX((COPIA!$DA$3:$DE$1339),MATCH(ROWS(D$10:D735),COPIA!$DF$3:$DF$1339,0),COLUMN()-1),""))</f>
        <v/>
      </c>
      <c r="E735" s="9" t="str">
        <f ca="1">IF(IFERROR(INDEX((COPIA!$DA$3:$DE$1339),MATCH(ROWS(E$10:E735),COPIA!$DF$3:$DF$1339,0),COLUMN()-1),"")=0,"",IFERROR(INDEX((COPIA!$DA$3:$DE$1339),MATCH(ROWS(E$10:E735),COPIA!$DF$3:$DF$1339,0),COLUMN()-1),""))</f>
        <v/>
      </c>
      <c r="F735" s="6" t="str">
        <f ca="1">IF(IFERROR(INDEX((COPIA!$DA$3:$DE$1339),MATCH(ROWS(F$10:F735),COPIA!$DF$3:$DF$1339,0),COLUMN()-1),"")=0,"",IFERROR(INDEX((COPIA!$DA$3:$DE$1339),MATCH(ROWS(F$10:F735),COPIA!$DF$3:$DF$1339,0),COLUMN()-1),""))</f>
        <v/>
      </c>
    </row>
    <row r="736" spans="2:6" x14ac:dyDescent="0.3">
      <c r="B736" s="10" t="str">
        <f ca="1">IF(IFERROR(INDEX((COPIA!$DA$3:$DE$1339),MATCH(ROWS(B$10:B736),COPIA!$DF$3:$DF$1339,0),COLUMN()-1),"")&gt;=1,IFERROR(INDEX((COPIA!$DA$3:$DE$1339),MATCH(ROWS(B$10:B736),COPIA!$DF$3:$DF$1339,0),COLUMN()-1),""),"")</f>
        <v/>
      </c>
      <c r="C736" s="5" t="str">
        <f ca="1">SUBSTITUTE(IFERROR(INDEX((COPIA!$DA$3:$DE$1339),MATCH(ROWS(C$10:C736),COPIA!$DF$3:$DF$1339,0),COLUMN()-1),""),"MASTRO","")</f>
        <v/>
      </c>
      <c r="D736" s="136" t="str">
        <f ca="1">IF(IFERROR(INDEX((COPIA!$DA$3:$DE$1339),MATCH(ROWS(D$10:D736),COPIA!$DF$3:$DF$1339,0),COLUMN()-1),"")=0,"",IFERROR(INDEX((COPIA!$DA$3:$DE$1339),MATCH(ROWS(D$10:D736),COPIA!$DF$3:$DF$1339,0),COLUMN()-1),""))</f>
        <v/>
      </c>
      <c r="E736" s="9" t="str">
        <f ca="1">IF(IFERROR(INDEX((COPIA!$DA$3:$DE$1339),MATCH(ROWS(E$10:E736),COPIA!$DF$3:$DF$1339,0),COLUMN()-1),"")=0,"",IFERROR(INDEX((COPIA!$DA$3:$DE$1339),MATCH(ROWS(E$10:E736),COPIA!$DF$3:$DF$1339,0),COLUMN()-1),""))</f>
        <v/>
      </c>
      <c r="F736" s="6" t="str">
        <f ca="1">IF(IFERROR(INDEX((COPIA!$DA$3:$DE$1339),MATCH(ROWS(F$10:F736),COPIA!$DF$3:$DF$1339,0),COLUMN()-1),"")=0,"",IFERROR(INDEX((COPIA!$DA$3:$DE$1339),MATCH(ROWS(F$10:F736),COPIA!$DF$3:$DF$1339,0),COLUMN()-1),""))</f>
        <v/>
      </c>
    </row>
    <row r="737" spans="2:6" x14ac:dyDescent="0.3">
      <c r="B737" s="10" t="str">
        <f ca="1">IF(IFERROR(INDEX((COPIA!$DA$3:$DE$1339),MATCH(ROWS(B$10:B737),COPIA!$DF$3:$DF$1339,0),COLUMN()-1),"")&gt;=1,IFERROR(INDEX((COPIA!$DA$3:$DE$1339),MATCH(ROWS(B$10:B737),COPIA!$DF$3:$DF$1339,0),COLUMN()-1),""),"")</f>
        <v/>
      </c>
      <c r="C737" s="5" t="str">
        <f ca="1">SUBSTITUTE(IFERROR(INDEX((COPIA!$DA$3:$DE$1339),MATCH(ROWS(C$10:C737),COPIA!$DF$3:$DF$1339,0),COLUMN()-1),""),"MASTRO","")</f>
        <v/>
      </c>
      <c r="D737" s="136" t="str">
        <f ca="1">IF(IFERROR(INDEX((COPIA!$DA$3:$DE$1339),MATCH(ROWS(D$10:D737),COPIA!$DF$3:$DF$1339,0),COLUMN()-1),"")=0,"",IFERROR(INDEX((COPIA!$DA$3:$DE$1339),MATCH(ROWS(D$10:D737),COPIA!$DF$3:$DF$1339,0),COLUMN()-1),""))</f>
        <v/>
      </c>
      <c r="E737" s="9" t="str">
        <f ca="1">IF(IFERROR(INDEX((COPIA!$DA$3:$DE$1339),MATCH(ROWS(E$10:E737),COPIA!$DF$3:$DF$1339,0),COLUMN()-1),"")=0,"",IFERROR(INDEX((COPIA!$DA$3:$DE$1339),MATCH(ROWS(E$10:E737),COPIA!$DF$3:$DF$1339,0),COLUMN()-1),""))</f>
        <v/>
      </c>
      <c r="F737" s="6" t="str">
        <f ca="1">IF(IFERROR(INDEX((COPIA!$DA$3:$DE$1339),MATCH(ROWS(F$10:F737),COPIA!$DF$3:$DF$1339,0),COLUMN()-1),"")=0,"",IFERROR(INDEX((COPIA!$DA$3:$DE$1339),MATCH(ROWS(F$10:F737),COPIA!$DF$3:$DF$1339,0),COLUMN()-1),""))</f>
        <v/>
      </c>
    </row>
    <row r="738" spans="2:6" x14ac:dyDescent="0.3">
      <c r="B738" s="10" t="str">
        <f ca="1">IF(IFERROR(INDEX((COPIA!$DA$3:$DE$1339),MATCH(ROWS(B$10:B738),COPIA!$DF$3:$DF$1339,0),COLUMN()-1),"")&gt;=1,IFERROR(INDEX((COPIA!$DA$3:$DE$1339),MATCH(ROWS(B$10:B738),COPIA!$DF$3:$DF$1339,0),COLUMN()-1),""),"")</f>
        <v/>
      </c>
      <c r="C738" s="5" t="str">
        <f ca="1">SUBSTITUTE(IFERROR(INDEX((COPIA!$DA$3:$DE$1339),MATCH(ROWS(C$10:C738),COPIA!$DF$3:$DF$1339,0),COLUMN()-1),""),"MASTRO","")</f>
        <v/>
      </c>
      <c r="D738" s="136" t="str">
        <f ca="1">IF(IFERROR(INDEX((COPIA!$DA$3:$DE$1339),MATCH(ROWS(D$10:D738),COPIA!$DF$3:$DF$1339,0),COLUMN()-1),"")=0,"",IFERROR(INDEX((COPIA!$DA$3:$DE$1339),MATCH(ROWS(D$10:D738),COPIA!$DF$3:$DF$1339,0),COLUMN()-1),""))</f>
        <v/>
      </c>
      <c r="E738" s="9" t="str">
        <f ca="1">IF(IFERROR(INDEX((COPIA!$DA$3:$DE$1339),MATCH(ROWS(E$10:E738),COPIA!$DF$3:$DF$1339,0),COLUMN()-1),"")=0,"",IFERROR(INDEX((COPIA!$DA$3:$DE$1339),MATCH(ROWS(E$10:E738),COPIA!$DF$3:$DF$1339,0),COLUMN()-1),""))</f>
        <v/>
      </c>
      <c r="F738" s="6" t="str">
        <f ca="1">IF(IFERROR(INDEX((COPIA!$DA$3:$DE$1339),MATCH(ROWS(F$10:F738),COPIA!$DF$3:$DF$1339,0),COLUMN()-1),"")=0,"",IFERROR(INDEX((COPIA!$DA$3:$DE$1339),MATCH(ROWS(F$10:F738),COPIA!$DF$3:$DF$1339,0),COLUMN()-1),""))</f>
        <v/>
      </c>
    </row>
    <row r="739" spans="2:6" x14ac:dyDescent="0.3">
      <c r="B739" s="10" t="str">
        <f ca="1">IF(IFERROR(INDEX((COPIA!$DA$3:$DE$1339),MATCH(ROWS(B$10:B739),COPIA!$DF$3:$DF$1339,0),COLUMN()-1),"")&gt;=1,IFERROR(INDEX((COPIA!$DA$3:$DE$1339),MATCH(ROWS(B$10:B739),COPIA!$DF$3:$DF$1339,0),COLUMN()-1),""),"")</f>
        <v/>
      </c>
      <c r="C739" s="5" t="str">
        <f ca="1">SUBSTITUTE(IFERROR(INDEX((COPIA!$DA$3:$DE$1339),MATCH(ROWS(C$10:C739),COPIA!$DF$3:$DF$1339,0),COLUMN()-1),""),"MASTRO","")</f>
        <v/>
      </c>
      <c r="D739" s="136" t="str">
        <f ca="1">IF(IFERROR(INDEX((COPIA!$DA$3:$DE$1339),MATCH(ROWS(D$10:D739),COPIA!$DF$3:$DF$1339,0),COLUMN()-1),"")=0,"",IFERROR(INDEX((COPIA!$DA$3:$DE$1339),MATCH(ROWS(D$10:D739),COPIA!$DF$3:$DF$1339,0),COLUMN()-1),""))</f>
        <v/>
      </c>
      <c r="E739" s="9" t="str">
        <f ca="1">IF(IFERROR(INDEX((COPIA!$DA$3:$DE$1339),MATCH(ROWS(E$10:E739),COPIA!$DF$3:$DF$1339,0),COLUMN()-1),"")=0,"",IFERROR(INDEX((COPIA!$DA$3:$DE$1339),MATCH(ROWS(E$10:E739),COPIA!$DF$3:$DF$1339,0),COLUMN()-1),""))</f>
        <v/>
      </c>
      <c r="F739" s="6" t="str">
        <f ca="1">IF(IFERROR(INDEX((COPIA!$DA$3:$DE$1339),MATCH(ROWS(F$10:F739),COPIA!$DF$3:$DF$1339,0),COLUMN()-1),"")=0,"",IFERROR(INDEX((COPIA!$DA$3:$DE$1339),MATCH(ROWS(F$10:F739),COPIA!$DF$3:$DF$1339,0),COLUMN()-1),""))</f>
        <v/>
      </c>
    </row>
    <row r="740" spans="2:6" x14ac:dyDescent="0.3">
      <c r="B740" s="10" t="str">
        <f ca="1">IF(IFERROR(INDEX((COPIA!$DA$3:$DE$1339),MATCH(ROWS(B$10:B740),COPIA!$DF$3:$DF$1339,0),COLUMN()-1),"")&gt;=1,IFERROR(INDEX((COPIA!$DA$3:$DE$1339),MATCH(ROWS(B$10:B740),COPIA!$DF$3:$DF$1339,0),COLUMN()-1),""),"")</f>
        <v/>
      </c>
      <c r="C740" s="5" t="str">
        <f ca="1">SUBSTITUTE(IFERROR(INDEX((COPIA!$DA$3:$DE$1339),MATCH(ROWS(C$10:C740),COPIA!$DF$3:$DF$1339,0),COLUMN()-1),""),"MASTRO","")</f>
        <v/>
      </c>
      <c r="D740" s="136" t="str">
        <f ca="1">IF(IFERROR(INDEX((COPIA!$DA$3:$DE$1339),MATCH(ROWS(D$10:D740),COPIA!$DF$3:$DF$1339,0),COLUMN()-1),"")=0,"",IFERROR(INDEX((COPIA!$DA$3:$DE$1339),MATCH(ROWS(D$10:D740),COPIA!$DF$3:$DF$1339,0),COLUMN()-1),""))</f>
        <v/>
      </c>
      <c r="E740" s="9" t="str">
        <f ca="1">IF(IFERROR(INDEX((COPIA!$DA$3:$DE$1339),MATCH(ROWS(E$10:E740),COPIA!$DF$3:$DF$1339,0),COLUMN()-1),"")=0,"",IFERROR(INDEX((COPIA!$DA$3:$DE$1339),MATCH(ROWS(E$10:E740),COPIA!$DF$3:$DF$1339,0),COLUMN()-1),""))</f>
        <v/>
      </c>
      <c r="F740" s="6" t="str">
        <f ca="1">IF(IFERROR(INDEX((COPIA!$DA$3:$DE$1339),MATCH(ROWS(F$10:F740),COPIA!$DF$3:$DF$1339,0),COLUMN()-1),"")=0,"",IFERROR(INDEX((COPIA!$DA$3:$DE$1339),MATCH(ROWS(F$10:F740),COPIA!$DF$3:$DF$1339,0),COLUMN()-1),""))</f>
        <v/>
      </c>
    </row>
    <row r="741" spans="2:6" x14ac:dyDescent="0.3">
      <c r="B741" s="10" t="str">
        <f ca="1">IF(IFERROR(INDEX((COPIA!$DA$3:$DE$1339),MATCH(ROWS(B$10:B741),COPIA!$DF$3:$DF$1339,0),COLUMN()-1),"")&gt;=1,IFERROR(INDEX((COPIA!$DA$3:$DE$1339),MATCH(ROWS(B$10:B741),COPIA!$DF$3:$DF$1339,0),COLUMN()-1),""),"")</f>
        <v/>
      </c>
      <c r="C741" s="5" t="str">
        <f ca="1">SUBSTITUTE(IFERROR(INDEX((COPIA!$DA$3:$DE$1339),MATCH(ROWS(C$10:C741),COPIA!$DF$3:$DF$1339,0),COLUMN()-1),""),"MASTRO","")</f>
        <v/>
      </c>
      <c r="D741" s="136" t="str">
        <f ca="1">IF(IFERROR(INDEX((COPIA!$DA$3:$DE$1339),MATCH(ROWS(D$10:D741),COPIA!$DF$3:$DF$1339,0),COLUMN()-1),"")=0,"",IFERROR(INDEX((COPIA!$DA$3:$DE$1339),MATCH(ROWS(D$10:D741),COPIA!$DF$3:$DF$1339,0),COLUMN()-1),""))</f>
        <v/>
      </c>
      <c r="E741" s="9" t="str">
        <f ca="1">IF(IFERROR(INDEX((COPIA!$DA$3:$DE$1339),MATCH(ROWS(E$10:E741),COPIA!$DF$3:$DF$1339,0),COLUMN()-1),"")=0,"",IFERROR(INDEX((COPIA!$DA$3:$DE$1339),MATCH(ROWS(E$10:E741),COPIA!$DF$3:$DF$1339,0),COLUMN()-1),""))</f>
        <v/>
      </c>
      <c r="F741" s="6" t="str">
        <f ca="1">IF(IFERROR(INDEX((COPIA!$DA$3:$DE$1339),MATCH(ROWS(F$10:F741),COPIA!$DF$3:$DF$1339,0),COLUMN()-1),"")=0,"",IFERROR(INDEX((COPIA!$DA$3:$DE$1339),MATCH(ROWS(F$10:F741),COPIA!$DF$3:$DF$1339,0),COLUMN()-1),""))</f>
        <v/>
      </c>
    </row>
    <row r="742" spans="2:6" x14ac:dyDescent="0.3">
      <c r="B742" s="10" t="str">
        <f ca="1">IF(IFERROR(INDEX((COPIA!$DA$3:$DE$1339),MATCH(ROWS(B$10:B742),COPIA!$DF$3:$DF$1339,0),COLUMN()-1),"")&gt;=1,IFERROR(INDEX((COPIA!$DA$3:$DE$1339),MATCH(ROWS(B$10:B742),COPIA!$DF$3:$DF$1339,0),COLUMN()-1),""),"")</f>
        <v/>
      </c>
      <c r="C742" s="5" t="str">
        <f ca="1">SUBSTITUTE(IFERROR(INDEX((COPIA!$DA$3:$DE$1339),MATCH(ROWS(C$10:C742),COPIA!$DF$3:$DF$1339,0),COLUMN()-1),""),"MASTRO","")</f>
        <v/>
      </c>
      <c r="D742" s="136" t="str">
        <f ca="1">IF(IFERROR(INDEX((COPIA!$DA$3:$DE$1339),MATCH(ROWS(D$10:D742),COPIA!$DF$3:$DF$1339,0),COLUMN()-1),"")=0,"",IFERROR(INDEX((COPIA!$DA$3:$DE$1339),MATCH(ROWS(D$10:D742),COPIA!$DF$3:$DF$1339,0),COLUMN()-1),""))</f>
        <v/>
      </c>
      <c r="E742" s="9" t="str">
        <f ca="1">IF(IFERROR(INDEX((COPIA!$DA$3:$DE$1339),MATCH(ROWS(E$10:E742),COPIA!$DF$3:$DF$1339,0),COLUMN()-1),"")=0,"",IFERROR(INDEX((COPIA!$DA$3:$DE$1339),MATCH(ROWS(E$10:E742),COPIA!$DF$3:$DF$1339,0),COLUMN()-1),""))</f>
        <v/>
      </c>
      <c r="F742" s="6" t="str">
        <f ca="1">IF(IFERROR(INDEX((COPIA!$DA$3:$DE$1339),MATCH(ROWS(F$10:F742),COPIA!$DF$3:$DF$1339,0),COLUMN()-1),"")=0,"",IFERROR(INDEX((COPIA!$DA$3:$DE$1339),MATCH(ROWS(F$10:F742),COPIA!$DF$3:$DF$1339,0),COLUMN()-1),""))</f>
        <v/>
      </c>
    </row>
    <row r="743" spans="2:6" x14ac:dyDescent="0.3">
      <c r="B743" s="10" t="str">
        <f ca="1">IF(IFERROR(INDEX((COPIA!$DA$3:$DE$1339),MATCH(ROWS(B$10:B743),COPIA!$DF$3:$DF$1339,0),COLUMN()-1),"")&gt;=1,IFERROR(INDEX((COPIA!$DA$3:$DE$1339),MATCH(ROWS(B$10:B743),COPIA!$DF$3:$DF$1339,0),COLUMN()-1),""),"")</f>
        <v/>
      </c>
      <c r="C743" s="5" t="str">
        <f ca="1">SUBSTITUTE(IFERROR(INDEX((COPIA!$DA$3:$DE$1339),MATCH(ROWS(C$10:C743),COPIA!$DF$3:$DF$1339,0),COLUMN()-1),""),"MASTRO","")</f>
        <v/>
      </c>
      <c r="D743" s="136" t="str">
        <f ca="1">IF(IFERROR(INDEX((COPIA!$DA$3:$DE$1339),MATCH(ROWS(D$10:D743),COPIA!$DF$3:$DF$1339,0),COLUMN()-1),"")=0,"",IFERROR(INDEX((COPIA!$DA$3:$DE$1339),MATCH(ROWS(D$10:D743),COPIA!$DF$3:$DF$1339,0),COLUMN()-1),""))</f>
        <v/>
      </c>
      <c r="E743" s="9" t="str">
        <f ca="1">IF(IFERROR(INDEX((COPIA!$DA$3:$DE$1339),MATCH(ROWS(E$10:E743),COPIA!$DF$3:$DF$1339,0),COLUMN()-1),"")=0,"",IFERROR(INDEX((COPIA!$DA$3:$DE$1339),MATCH(ROWS(E$10:E743),COPIA!$DF$3:$DF$1339,0),COLUMN()-1),""))</f>
        <v/>
      </c>
      <c r="F743" s="6" t="str">
        <f ca="1">IF(IFERROR(INDEX((COPIA!$DA$3:$DE$1339),MATCH(ROWS(F$10:F743),COPIA!$DF$3:$DF$1339,0),COLUMN()-1),"")=0,"",IFERROR(INDEX((COPIA!$DA$3:$DE$1339),MATCH(ROWS(F$10:F743),COPIA!$DF$3:$DF$1339,0),COLUMN()-1),""))</f>
        <v/>
      </c>
    </row>
    <row r="744" spans="2:6" x14ac:dyDescent="0.3">
      <c r="B744" s="10" t="str">
        <f ca="1">IF(IFERROR(INDEX((COPIA!$DA$3:$DE$1339),MATCH(ROWS(B$10:B744),COPIA!$DF$3:$DF$1339,0),COLUMN()-1),"")&gt;=1,IFERROR(INDEX((COPIA!$DA$3:$DE$1339),MATCH(ROWS(B$10:B744),COPIA!$DF$3:$DF$1339,0),COLUMN()-1),""),"")</f>
        <v/>
      </c>
      <c r="C744" s="5" t="str">
        <f ca="1">SUBSTITUTE(IFERROR(INDEX((COPIA!$DA$3:$DE$1339),MATCH(ROWS(C$10:C744),COPIA!$DF$3:$DF$1339,0),COLUMN()-1),""),"MASTRO","")</f>
        <v/>
      </c>
      <c r="D744" s="136" t="str">
        <f ca="1">IF(IFERROR(INDEX((COPIA!$DA$3:$DE$1339),MATCH(ROWS(D$10:D744),COPIA!$DF$3:$DF$1339,0),COLUMN()-1),"")=0,"",IFERROR(INDEX((COPIA!$DA$3:$DE$1339),MATCH(ROWS(D$10:D744),COPIA!$DF$3:$DF$1339,0),COLUMN()-1),""))</f>
        <v/>
      </c>
      <c r="E744" s="9" t="str">
        <f ca="1">IF(IFERROR(INDEX((COPIA!$DA$3:$DE$1339),MATCH(ROWS(E$10:E744),COPIA!$DF$3:$DF$1339,0),COLUMN()-1),"")=0,"",IFERROR(INDEX((COPIA!$DA$3:$DE$1339),MATCH(ROWS(E$10:E744),COPIA!$DF$3:$DF$1339,0),COLUMN()-1),""))</f>
        <v/>
      </c>
      <c r="F744" s="6" t="str">
        <f ca="1">IF(IFERROR(INDEX((COPIA!$DA$3:$DE$1339),MATCH(ROWS(F$10:F744),COPIA!$DF$3:$DF$1339,0),COLUMN()-1),"")=0,"",IFERROR(INDEX((COPIA!$DA$3:$DE$1339),MATCH(ROWS(F$10:F744),COPIA!$DF$3:$DF$1339,0),COLUMN()-1),""))</f>
        <v/>
      </c>
    </row>
    <row r="745" spans="2:6" x14ac:dyDescent="0.3">
      <c r="B745" s="10" t="str">
        <f ca="1">IF(IFERROR(INDEX((COPIA!$DA$3:$DE$1339),MATCH(ROWS(B$10:B745),COPIA!$DF$3:$DF$1339,0),COLUMN()-1),"")&gt;=1,IFERROR(INDEX((COPIA!$DA$3:$DE$1339),MATCH(ROWS(B$10:B745),COPIA!$DF$3:$DF$1339,0),COLUMN()-1),""),"")</f>
        <v/>
      </c>
      <c r="C745" s="5" t="str">
        <f ca="1">SUBSTITUTE(IFERROR(INDEX((COPIA!$DA$3:$DE$1339),MATCH(ROWS(C$10:C745),COPIA!$DF$3:$DF$1339,0),COLUMN()-1),""),"MASTRO","")</f>
        <v/>
      </c>
      <c r="D745" s="136" t="str">
        <f ca="1">IF(IFERROR(INDEX((COPIA!$DA$3:$DE$1339),MATCH(ROWS(D$10:D745),COPIA!$DF$3:$DF$1339,0),COLUMN()-1),"")=0,"",IFERROR(INDEX((COPIA!$DA$3:$DE$1339),MATCH(ROWS(D$10:D745),COPIA!$DF$3:$DF$1339,0),COLUMN()-1),""))</f>
        <v/>
      </c>
      <c r="E745" s="9" t="str">
        <f ca="1">IF(IFERROR(INDEX((COPIA!$DA$3:$DE$1339),MATCH(ROWS(E$10:E745),COPIA!$DF$3:$DF$1339,0),COLUMN()-1),"")=0,"",IFERROR(INDEX((COPIA!$DA$3:$DE$1339),MATCH(ROWS(E$10:E745),COPIA!$DF$3:$DF$1339,0),COLUMN()-1),""))</f>
        <v/>
      </c>
      <c r="F745" s="6" t="str">
        <f ca="1">IF(IFERROR(INDEX((COPIA!$DA$3:$DE$1339),MATCH(ROWS(F$10:F745),COPIA!$DF$3:$DF$1339,0),COLUMN()-1),"")=0,"",IFERROR(INDEX((COPIA!$DA$3:$DE$1339),MATCH(ROWS(F$10:F745),COPIA!$DF$3:$DF$1339,0),COLUMN()-1),""))</f>
        <v/>
      </c>
    </row>
    <row r="746" spans="2:6" x14ac:dyDescent="0.3">
      <c r="B746" s="10" t="str">
        <f ca="1">IF(IFERROR(INDEX((COPIA!$DA$3:$DE$1339),MATCH(ROWS(B$10:B746),COPIA!$DF$3:$DF$1339,0),COLUMN()-1),"")&gt;=1,IFERROR(INDEX((COPIA!$DA$3:$DE$1339),MATCH(ROWS(B$10:B746),COPIA!$DF$3:$DF$1339,0),COLUMN()-1),""),"")</f>
        <v/>
      </c>
      <c r="C746" s="5" t="str">
        <f ca="1">SUBSTITUTE(IFERROR(INDEX((COPIA!$DA$3:$DE$1339),MATCH(ROWS(C$10:C746),COPIA!$DF$3:$DF$1339,0),COLUMN()-1),""),"MASTRO","")</f>
        <v/>
      </c>
      <c r="D746" s="136" t="str">
        <f ca="1">IF(IFERROR(INDEX((COPIA!$DA$3:$DE$1339),MATCH(ROWS(D$10:D746),COPIA!$DF$3:$DF$1339,0),COLUMN()-1),"")=0,"",IFERROR(INDEX((COPIA!$DA$3:$DE$1339),MATCH(ROWS(D$10:D746),COPIA!$DF$3:$DF$1339,0),COLUMN()-1),""))</f>
        <v/>
      </c>
      <c r="E746" s="9" t="str">
        <f ca="1">IF(IFERROR(INDEX((COPIA!$DA$3:$DE$1339),MATCH(ROWS(E$10:E746),COPIA!$DF$3:$DF$1339,0),COLUMN()-1),"")=0,"",IFERROR(INDEX((COPIA!$DA$3:$DE$1339),MATCH(ROWS(E$10:E746),COPIA!$DF$3:$DF$1339,0),COLUMN()-1),""))</f>
        <v/>
      </c>
      <c r="F746" s="6" t="str">
        <f ca="1">IF(IFERROR(INDEX((COPIA!$DA$3:$DE$1339),MATCH(ROWS(F$10:F746),COPIA!$DF$3:$DF$1339,0),COLUMN()-1),"")=0,"",IFERROR(INDEX((COPIA!$DA$3:$DE$1339),MATCH(ROWS(F$10:F746),COPIA!$DF$3:$DF$1339,0),COLUMN()-1),""))</f>
        <v/>
      </c>
    </row>
    <row r="747" spans="2:6" x14ac:dyDescent="0.3">
      <c r="B747" s="10" t="str">
        <f ca="1">IF(IFERROR(INDEX((COPIA!$DA$3:$DE$1339),MATCH(ROWS(B$10:B747),COPIA!$DF$3:$DF$1339,0),COLUMN()-1),"")&gt;=1,IFERROR(INDEX((COPIA!$DA$3:$DE$1339),MATCH(ROWS(B$10:B747),COPIA!$DF$3:$DF$1339,0),COLUMN()-1),""),"")</f>
        <v/>
      </c>
      <c r="C747" s="5" t="str">
        <f ca="1">SUBSTITUTE(IFERROR(INDEX((COPIA!$DA$3:$DE$1339),MATCH(ROWS(C$10:C747),COPIA!$DF$3:$DF$1339,0),COLUMN()-1),""),"MASTRO","")</f>
        <v/>
      </c>
      <c r="D747" s="136" t="str">
        <f ca="1">IF(IFERROR(INDEX((COPIA!$DA$3:$DE$1339),MATCH(ROWS(D$10:D747),COPIA!$DF$3:$DF$1339,0),COLUMN()-1),"")=0,"",IFERROR(INDEX((COPIA!$DA$3:$DE$1339),MATCH(ROWS(D$10:D747),COPIA!$DF$3:$DF$1339,0),COLUMN()-1),""))</f>
        <v/>
      </c>
      <c r="E747" s="9" t="str">
        <f ca="1">IF(IFERROR(INDEX((COPIA!$DA$3:$DE$1339),MATCH(ROWS(E$10:E747),COPIA!$DF$3:$DF$1339,0),COLUMN()-1),"")=0,"",IFERROR(INDEX((COPIA!$DA$3:$DE$1339),MATCH(ROWS(E$10:E747),COPIA!$DF$3:$DF$1339,0),COLUMN()-1),""))</f>
        <v/>
      </c>
      <c r="F747" s="6" t="str">
        <f ca="1">IF(IFERROR(INDEX((COPIA!$DA$3:$DE$1339),MATCH(ROWS(F$10:F747),COPIA!$DF$3:$DF$1339,0),COLUMN()-1),"")=0,"",IFERROR(INDEX((COPIA!$DA$3:$DE$1339),MATCH(ROWS(F$10:F747),COPIA!$DF$3:$DF$1339,0),COLUMN()-1),""))</f>
        <v/>
      </c>
    </row>
    <row r="748" spans="2:6" x14ac:dyDescent="0.3">
      <c r="B748" s="10" t="str">
        <f ca="1">IF(IFERROR(INDEX((COPIA!$DA$3:$DE$1339),MATCH(ROWS(B$10:B748),COPIA!$DF$3:$DF$1339,0),COLUMN()-1),"")&gt;=1,IFERROR(INDEX((COPIA!$DA$3:$DE$1339),MATCH(ROWS(B$10:B748),COPIA!$DF$3:$DF$1339,0),COLUMN()-1),""),"")</f>
        <v/>
      </c>
      <c r="C748" s="5" t="str">
        <f ca="1">SUBSTITUTE(IFERROR(INDEX((COPIA!$DA$3:$DE$1339),MATCH(ROWS(C$10:C748),COPIA!$DF$3:$DF$1339,0),COLUMN()-1),""),"MASTRO","")</f>
        <v/>
      </c>
      <c r="D748" s="136" t="str">
        <f ca="1">IF(IFERROR(INDEX((COPIA!$DA$3:$DE$1339),MATCH(ROWS(D$10:D748),COPIA!$DF$3:$DF$1339,0),COLUMN()-1),"")=0,"",IFERROR(INDEX((COPIA!$DA$3:$DE$1339),MATCH(ROWS(D$10:D748),COPIA!$DF$3:$DF$1339,0),COLUMN()-1),""))</f>
        <v/>
      </c>
      <c r="E748" s="9" t="str">
        <f ca="1">IF(IFERROR(INDEX((COPIA!$DA$3:$DE$1339),MATCH(ROWS(E$10:E748),COPIA!$DF$3:$DF$1339,0),COLUMN()-1),"")=0,"",IFERROR(INDEX((COPIA!$DA$3:$DE$1339),MATCH(ROWS(E$10:E748),COPIA!$DF$3:$DF$1339,0),COLUMN()-1),""))</f>
        <v/>
      </c>
      <c r="F748" s="6" t="str">
        <f ca="1">IF(IFERROR(INDEX((COPIA!$DA$3:$DE$1339),MATCH(ROWS(F$10:F748),COPIA!$DF$3:$DF$1339,0),COLUMN()-1),"")=0,"",IFERROR(INDEX((COPIA!$DA$3:$DE$1339),MATCH(ROWS(F$10:F748),COPIA!$DF$3:$DF$1339,0),COLUMN()-1),""))</f>
        <v/>
      </c>
    </row>
    <row r="749" spans="2:6" x14ac:dyDescent="0.3">
      <c r="B749" s="10" t="str">
        <f ca="1">IF(IFERROR(INDEX((COPIA!$DA$3:$DE$1339),MATCH(ROWS(B$10:B749),COPIA!$DF$3:$DF$1339,0),COLUMN()-1),"")&gt;=1,IFERROR(INDEX((COPIA!$DA$3:$DE$1339),MATCH(ROWS(B$10:B749),COPIA!$DF$3:$DF$1339,0),COLUMN()-1),""),"")</f>
        <v/>
      </c>
      <c r="C749" s="5" t="str">
        <f ca="1">SUBSTITUTE(IFERROR(INDEX((COPIA!$DA$3:$DE$1339),MATCH(ROWS(C$10:C749),COPIA!$DF$3:$DF$1339,0),COLUMN()-1),""),"MASTRO","")</f>
        <v/>
      </c>
      <c r="D749" s="136" t="str">
        <f ca="1">IF(IFERROR(INDEX((COPIA!$DA$3:$DE$1339),MATCH(ROWS(D$10:D749),COPIA!$DF$3:$DF$1339,0),COLUMN()-1),"")=0,"",IFERROR(INDEX((COPIA!$DA$3:$DE$1339),MATCH(ROWS(D$10:D749),COPIA!$DF$3:$DF$1339,0),COLUMN()-1),""))</f>
        <v/>
      </c>
      <c r="E749" s="9" t="str">
        <f ca="1">IF(IFERROR(INDEX((COPIA!$DA$3:$DE$1339),MATCH(ROWS(E$10:E749),COPIA!$DF$3:$DF$1339,0),COLUMN()-1),"")=0,"",IFERROR(INDEX((COPIA!$DA$3:$DE$1339),MATCH(ROWS(E$10:E749),COPIA!$DF$3:$DF$1339,0),COLUMN()-1),""))</f>
        <v/>
      </c>
      <c r="F749" s="6" t="str">
        <f ca="1">IF(IFERROR(INDEX((COPIA!$DA$3:$DE$1339),MATCH(ROWS(F$10:F749),COPIA!$DF$3:$DF$1339,0),COLUMN()-1),"")=0,"",IFERROR(INDEX((COPIA!$DA$3:$DE$1339),MATCH(ROWS(F$10:F749),COPIA!$DF$3:$DF$1339,0),COLUMN()-1),""))</f>
        <v/>
      </c>
    </row>
    <row r="750" spans="2:6" x14ac:dyDescent="0.3">
      <c r="B750" s="10" t="str">
        <f ca="1">IF(IFERROR(INDEX((COPIA!$DA$3:$DE$1339),MATCH(ROWS(B$10:B750),COPIA!$DF$3:$DF$1339,0),COLUMN()-1),"")&gt;=1,IFERROR(INDEX((COPIA!$DA$3:$DE$1339),MATCH(ROWS(B$10:B750),COPIA!$DF$3:$DF$1339,0),COLUMN()-1),""),"")</f>
        <v/>
      </c>
      <c r="C750" s="5" t="str">
        <f ca="1">SUBSTITUTE(IFERROR(INDEX((COPIA!$DA$3:$DE$1339),MATCH(ROWS(C$10:C750),COPIA!$DF$3:$DF$1339,0),COLUMN()-1),""),"MASTRO","")</f>
        <v/>
      </c>
      <c r="D750" s="136" t="str">
        <f ca="1">IF(IFERROR(INDEX((COPIA!$DA$3:$DE$1339),MATCH(ROWS(D$10:D750),COPIA!$DF$3:$DF$1339,0),COLUMN()-1),"")=0,"",IFERROR(INDEX((COPIA!$DA$3:$DE$1339),MATCH(ROWS(D$10:D750),COPIA!$DF$3:$DF$1339,0),COLUMN()-1),""))</f>
        <v/>
      </c>
      <c r="E750" s="9" t="str">
        <f ca="1">IF(IFERROR(INDEX((COPIA!$DA$3:$DE$1339),MATCH(ROWS(E$10:E750),COPIA!$DF$3:$DF$1339,0),COLUMN()-1),"")=0,"",IFERROR(INDEX((COPIA!$DA$3:$DE$1339),MATCH(ROWS(E$10:E750),COPIA!$DF$3:$DF$1339,0),COLUMN()-1),""))</f>
        <v/>
      </c>
      <c r="F750" s="6" t="str">
        <f ca="1">IF(IFERROR(INDEX((COPIA!$DA$3:$DE$1339),MATCH(ROWS(F$10:F750),COPIA!$DF$3:$DF$1339,0),COLUMN()-1),"")=0,"",IFERROR(INDEX((COPIA!$DA$3:$DE$1339),MATCH(ROWS(F$10:F750),COPIA!$DF$3:$DF$1339,0),COLUMN()-1),""))</f>
        <v/>
      </c>
    </row>
    <row r="751" spans="2:6" x14ac:dyDescent="0.3">
      <c r="B751" s="10" t="str">
        <f ca="1">IF(IFERROR(INDEX((COPIA!$DA$3:$DE$1339),MATCH(ROWS(B$10:B751),COPIA!$DF$3:$DF$1339,0),COLUMN()-1),"")&gt;=1,IFERROR(INDEX((COPIA!$DA$3:$DE$1339),MATCH(ROWS(B$10:B751),COPIA!$DF$3:$DF$1339,0),COLUMN()-1),""),"")</f>
        <v/>
      </c>
      <c r="C751" s="5" t="str">
        <f ca="1">SUBSTITUTE(IFERROR(INDEX((COPIA!$DA$3:$DE$1339),MATCH(ROWS(C$10:C751),COPIA!$DF$3:$DF$1339,0),COLUMN()-1),""),"MASTRO","")</f>
        <v/>
      </c>
      <c r="D751" s="136" t="str">
        <f ca="1">IF(IFERROR(INDEX((COPIA!$DA$3:$DE$1339),MATCH(ROWS(D$10:D751),COPIA!$DF$3:$DF$1339,0),COLUMN()-1),"")=0,"",IFERROR(INDEX((COPIA!$DA$3:$DE$1339),MATCH(ROWS(D$10:D751),COPIA!$DF$3:$DF$1339,0),COLUMN()-1),""))</f>
        <v/>
      </c>
      <c r="E751" s="9" t="str">
        <f ca="1">IF(IFERROR(INDEX((COPIA!$DA$3:$DE$1339),MATCH(ROWS(E$10:E751),COPIA!$DF$3:$DF$1339,0),COLUMN()-1),"")=0,"",IFERROR(INDEX((COPIA!$DA$3:$DE$1339),MATCH(ROWS(E$10:E751),COPIA!$DF$3:$DF$1339,0),COLUMN()-1),""))</f>
        <v/>
      </c>
      <c r="F751" s="6" t="str">
        <f ca="1">IF(IFERROR(INDEX((COPIA!$DA$3:$DE$1339),MATCH(ROWS(F$10:F751),COPIA!$DF$3:$DF$1339,0),COLUMN()-1),"")=0,"",IFERROR(INDEX((COPIA!$DA$3:$DE$1339),MATCH(ROWS(F$10:F751),COPIA!$DF$3:$DF$1339,0),COLUMN()-1),""))</f>
        <v/>
      </c>
    </row>
    <row r="752" spans="2:6" x14ac:dyDescent="0.3">
      <c r="B752" s="10" t="str">
        <f ca="1">IF(IFERROR(INDEX((COPIA!$DA$3:$DE$1339),MATCH(ROWS(B$10:B752),COPIA!$DF$3:$DF$1339,0),COLUMN()-1),"")&gt;=1,IFERROR(INDEX((COPIA!$DA$3:$DE$1339),MATCH(ROWS(B$10:B752),COPIA!$DF$3:$DF$1339,0),COLUMN()-1),""),"")</f>
        <v/>
      </c>
      <c r="C752" s="5" t="str">
        <f ca="1">SUBSTITUTE(IFERROR(INDEX((COPIA!$DA$3:$DE$1339),MATCH(ROWS(C$10:C752),COPIA!$DF$3:$DF$1339,0),COLUMN()-1),""),"MASTRO","")</f>
        <v/>
      </c>
      <c r="D752" s="136" t="str">
        <f ca="1">IF(IFERROR(INDEX((COPIA!$DA$3:$DE$1339),MATCH(ROWS(D$10:D752),COPIA!$DF$3:$DF$1339,0),COLUMN()-1),"")=0,"",IFERROR(INDEX((COPIA!$DA$3:$DE$1339),MATCH(ROWS(D$10:D752),COPIA!$DF$3:$DF$1339,0),COLUMN()-1),""))</f>
        <v/>
      </c>
      <c r="E752" s="9" t="str">
        <f ca="1">IF(IFERROR(INDEX((COPIA!$DA$3:$DE$1339),MATCH(ROWS(E$10:E752),COPIA!$DF$3:$DF$1339,0),COLUMN()-1),"")=0,"",IFERROR(INDEX((COPIA!$DA$3:$DE$1339),MATCH(ROWS(E$10:E752),COPIA!$DF$3:$DF$1339,0),COLUMN()-1),""))</f>
        <v/>
      </c>
      <c r="F752" s="6" t="str">
        <f ca="1">IF(IFERROR(INDEX((COPIA!$DA$3:$DE$1339),MATCH(ROWS(F$10:F752),COPIA!$DF$3:$DF$1339,0),COLUMN()-1),"")=0,"",IFERROR(INDEX((COPIA!$DA$3:$DE$1339),MATCH(ROWS(F$10:F752),COPIA!$DF$3:$DF$1339,0),COLUMN()-1),""))</f>
        <v/>
      </c>
    </row>
    <row r="753" spans="2:6" x14ac:dyDescent="0.3">
      <c r="B753" s="10" t="str">
        <f ca="1">IF(IFERROR(INDEX((COPIA!$DA$3:$DE$1339),MATCH(ROWS(B$10:B753),COPIA!$DF$3:$DF$1339,0),COLUMN()-1),"")&gt;=1,IFERROR(INDEX((COPIA!$DA$3:$DE$1339),MATCH(ROWS(B$10:B753),COPIA!$DF$3:$DF$1339,0),COLUMN()-1),""),"")</f>
        <v/>
      </c>
      <c r="C753" s="5" t="str">
        <f ca="1">SUBSTITUTE(IFERROR(INDEX((COPIA!$DA$3:$DE$1339),MATCH(ROWS(C$10:C753),COPIA!$DF$3:$DF$1339,0),COLUMN()-1),""),"MASTRO","")</f>
        <v/>
      </c>
      <c r="D753" s="136" t="str">
        <f ca="1">IF(IFERROR(INDEX((COPIA!$DA$3:$DE$1339),MATCH(ROWS(D$10:D753),COPIA!$DF$3:$DF$1339,0),COLUMN()-1),"")=0,"",IFERROR(INDEX((COPIA!$DA$3:$DE$1339),MATCH(ROWS(D$10:D753),COPIA!$DF$3:$DF$1339,0),COLUMN()-1),""))</f>
        <v/>
      </c>
      <c r="E753" s="9" t="str">
        <f ca="1">IF(IFERROR(INDEX((COPIA!$DA$3:$DE$1339),MATCH(ROWS(E$10:E753),COPIA!$DF$3:$DF$1339,0),COLUMN()-1),"")=0,"",IFERROR(INDEX((COPIA!$DA$3:$DE$1339),MATCH(ROWS(E$10:E753),COPIA!$DF$3:$DF$1339,0),COLUMN()-1),""))</f>
        <v/>
      </c>
      <c r="F753" s="6" t="str">
        <f ca="1">IF(IFERROR(INDEX((COPIA!$DA$3:$DE$1339),MATCH(ROWS(F$10:F753),COPIA!$DF$3:$DF$1339,0),COLUMN()-1),"")=0,"",IFERROR(INDEX((COPIA!$DA$3:$DE$1339),MATCH(ROWS(F$10:F753),COPIA!$DF$3:$DF$1339,0),COLUMN()-1),""))</f>
        <v/>
      </c>
    </row>
    <row r="754" spans="2:6" x14ac:dyDescent="0.3">
      <c r="B754" s="10" t="str">
        <f ca="1">IF(IFERROR(INDEX((COPIA!$DA$3:$DE$1339),MATCH(ROWS(B$10:B754),COPIA!$DF$3:$DF$1339,0),COLUMN()-1),"")&gt;=1,IFERROR(INDEX((COPIA!$DA$3:$DE$1339),MATCH(ROWS(B$10:B754),COPIA!$DF$3:$DF$1339,0),COLUMN()-1),""),"")</f>
        <v/>
      </c>
      <c r="C754" s="5" t="str">
        <f ca="1">SUBSTITUTE(IFERROR(INDEX((COPIA!$DA$3:$DE$1339),MATCH(ROWS(C$10:C754),COPIA!$DF$3:$DF$1339,0),COLUMN()-1),""),"MASTRO","")</f>
        <v/>
      </c>
      <c r="D754" s="136" t="str">
        <f ca="1">IF(IFERROR(INDEX((COPIA!$DA$3:$DE$1339),MATCH(ROWS(D$10:D754),COPIA!$DF$3:$DF$1339,0),COLUMN()-1),"")=0,"",IFERROR(INDEX((COPIA!$DA$3:$DE$1339),MATCH(ROWS(D$10:D754),COPIA!$DF$3:$DF$1339,0),COLUMN()-1),""))</f>
        <v/>
      </c>
      <c r="E754" s="9" t="str">
        <f ca="1">IF(IFERROR(INDEX((COPIA!$DA$3:$DE$1339),MATCH(ROWS(E$10:E754),COPIA!$DF$3:$DF$1339,0),COLUMN()-1),"")=0,"",IFERROR(INDEX((COPIA!$DA$3:$DE$1339),MATCH(ROWS(E$10:E754),COPIA!$DF$3:$DF$1339,0),COLUMN()-1),""))</f>
        <v/>
      </c>
      <c r="F754" s="6" t="str">
        <f ca="1">IF(IFERROR(INDEX((COPIA!$DA$3:$DE$1339),MATCH(ROWS(F$10:F754),COPIA!$DF$3:$DF$1339,0),COLUMN()-1),"")=0,"",IFERROR(INDEX((COPIA!$DA$3:$DE$1339),MATCH(ROWS(F$10:F754),COPIA!$DF$3:$DF$1339,0),COLUMN()-1),""))</f>
        <v/>
      </c>
    </row>
    <row r="755" spans="2:6" x14ac:dyDescent="0.3">
      <c r="B755" s="10" t="str">
        <f ca="1">IF(IFERROR(INDEX((COPIA!$DA$3:$DE$1339),MATCH(ROWS(B$10:B755),COPIA!$DF$3:$DF$1339,0),COLUMN()-1),"")&gt;=1,IFERROR(INDEX((COPIA!$DA$3:$DE$1339),MATCH(ROWS(B$10:B755),COPIA!$DF$3:$DF$1339,0),COLUMN()-1),""),"")</f>
        <v/>
      </c>
      <c r="C755" s="5" t="str">
        <f ca="1">SUBSTITUTE(IFERROR(INDEX((COPIA!$DA$3:$DE$1339),MATCH(ROWS(C$10:C755),COPIA!$DF$3:$DF$1339,0),COLUMN()-1),""),"MASTRO","")</f>
        <v/>
      </c>
      <c r="D755" s="136" t="str">
        <f ca="1">IF(IFERROR(INDEX((COPIA!$DA$3:$DE$1339),MATCH(ROWS(D$10:D755),COPIA!$DF$3:$DF$1339,0),COLUMN()-1),"")=0,"",IFERROR(INDEX((COPIA!$DA$3:$DE$1339),MATCH(ROWS(D$10:D755),COPIA!$DF$3:$DF$1339,0),COLUMN()-1),""))</f>
        <v/>
      </c>
      <c r="E755" s="9" t="str">
        <f ca="1">IF(IFERROR(INDEX((COPIA!$DA$3:$DE$1339),MATCH(ROWS(E$10:E755),COPIA!$DF$3:$DF$1339,0),COLUMN()-1),"")=0,"",IFERROR(INDEX((COPIA!$DA$3:$DE$1339),MATCH(ROWS(E$10:E755),COPIA!$DF$3:$DF$1339,0),COLUMN()-1),""))</f>
        <v/>
      </c>
      <c r="F755" s="6" t="str">
        <f ca="1">IF(IFERROR(INDEX((COPIA!$DA$3:$DE$1339),MATCH(ROWS(F$10:F755),COPIA!$DF$3:$DF$1339,0),COLUMN()-1),"")=0,"",IFERROR(INDEX((COPIA!$DA$3:$DE$1339),MATCH(ROWS(F$10:F755),COPIA!$DF$3:$DF$1339,0),COLUMN()-1),""))</f>
        <v/>
      </c>
    </row>
    <row r="756" spans="2:6" x14ac:dyDescent="0.3">
      <c r="B756" s="10" t="str">
        <f ca="1">IF(IFERROR(INDEX((COPIA!$DA$3:$DE$1339),MATCH(ROWS(B$10:B756),COPIA!$DF$3:$DF$1339,0),COLUMN()-1),"")&gt;=1,IFERROR(INDEX((COPIA!$DA$3:$DE$1339),MATCH(ROWS(B$10:B756),COPIA!$DF$3:$DF$1339,0),COLUMN()-1),""),"")</f>
        <v/>
      </c>
      <c r="C756" s="5" t="str">
        <f ca="1">SUBSTITUTE(IFERROR(INDEX((COPIA!$DA$3:$DE$1339),MATCH(ROWS(C$10:C756),COPIA!$DF$3:$DF$1339,0),COLUMN()-1),""),"MASTRO","")</f>
        <v/>
      </c>
      <c r="D756" s="136" t="str">
        <f ca="1">IF(IFERROR(INDEX((COPIA!$DA$3:$DE$1339),MATCH(ROWS(D$10:D756),COPIA!$DF$3:$DF$1339,0),COLUMN()-1),"")=0,"",IFERROR(INDEX((COPIA!$DA$3:$DE$1339),MATCH(ROWS(D$10:D756),COPIA!$DF$3:$DF$1339,0),COLUMN()-1),""))</f>
        <v/>
      </c>
      <c r="E756" s="9" t="str">
        <f ca="1">IF(IFERROR(INDEX((COPIA!$DA$3:$DE$1339),MATCH(ROWS(E$10:E756),COPIA!$DF$3:$DF$1339,0),COLUMN()-1),"")=0,"",IFERROR(INDEX((COPIA!$DA$3:$DE$1339),MATCH(ROWS(E$10:E756),COPIA!$DF$3:$DF$1339,0),COLUMN()-1),""))</f>
        <v/>
      </c>
      <c r="F756" s="6" t="str">
        <f ca="1">IF(IFERROR(INDEX((COPIA!$DA$3:$DE$1339),MATCH(ROWS(F$10:F756),COPIA!$DF$3:$DF$1339,0),COLUMN()-1),"")=0,"",IFERROR(INDEX((COPIA!$DA$3:$DE$1339),MATCH(ROWS(F$10:F756),COPIA!$DF$3:$DF$1339,0),COLUMN()-1),""))</f>
        <v/>
      </c>
    </row>
    <row r="757" spans="2:6" x14ac:dyDescent="0.3">
      <c r="B757" s="10" t="str">
        <f ca="1">IF(IFERROR(INDEX((COPIA!$DA$3:$DE$1339),MATCH(ROWS(B$10:B757),COPIA!$DF$3:$DF$1339,0),COLUMN()-1),"")&gt;=1,IFERROR(INDEX((COPIA!$DA$3:$DE$1339),MATCH(ROWS(B$10:B757),COPIA!$DF$3:$DF$1339,0),COLUMN()-1),""),"")</f>
        <v/>
      </c>
      <c r="C757" s="5" t="str">
        <f ca="1">SUBSTITUTE(IFERROR(INDEX((COPIA!$DA$3:$DE$1339),MATCH(ROWS(C$10:C757),COPIA!$DF$3:$DF$1339,0),COLUMN()-1),""),"MASTRO","")</f>
        <v/>
      </c>
      <c r="D757" s="136" t="str">
        <f ca="1">IF(IFERROR(INDEX((COPIA!$DA$3:$DE$1339),MATCH(ROWS(D$10:D757),COPIA!$DF$3:$DF$1339,0),COLUMN()-1),"")=0,"",IFERROR(INDEX((COPIA!$DA$3:$DE$1339),MATCH(ROWS(D$10:D757),COPIA!$DF$3:$DF$1339,0),COLUMN()-1),""))</f>
        <v/>
      </c>
      <c r="E757" s="9" t="str">
        <f ca="1">IF(IFERROR(INDEX((COPIA!$DA$3:$DE$1339),MATCH(ROWS(E$10:E757),COPIA!$DF$3:$DF$1339,0),COLUMN()-1),"")=0,"",IFERROR(INDEX((COPIA!$DA$3:$DE$1339),MATCH(ROWS(E$10:E757),COPIA!$DF$3:$DF$1339,0),COLUMN()-1),""))</f>
        <v/>
      </c>
      <c r="F757" s="6" t="str">
        <f ca="1">IF(IFERROR(INDEX((COPIA!$DA$3:$DE$1339),MATCH(ROWS(F$10:F757),COPIA!$DF$3:$DF$1339,0),COLUMN()-1),"")=0,"",IFERROR(INDEX((COPIA!$DA$3:$DE$1339),MATCH(ROWS(F$10:F757),COPIA!$DF$3:$DF$1339,0),COLUMN()-1),""))</f>
        <v/>
      </c>
    </row>
    <row r="758" spans="2:6" x14ac:dyDescent="0.3">
      <c r="B758" s="10" t="str">
        <f ca="1">IF(IFERROR(INDEX((COPIA!$DA$3:$DE$1339),MATCH(ROWS(B$10:B758),COPIA!$DF$3:$DF$1339,0),COLUMN()-1),"")&gt;=1,IFERROR(INDEX((COPIA!$DA$3:$DE$1339),MATCH(ROWS(B$10:B758),COPIA!$DF$3:$DF$1339,0),COLUMN()-1),""),"")</f>
        <v/>
      </c>
      <c r="C758" s="5" t="str">
        <f ca="1">SUBSTITUTE(IFERROR(INDEX((COPIA!$DA$3:$DE$1339),MATCH(ROWS(C$10:C758),COPIA!$DF$3:$DF$1339,0),COLUMN()-1),""),"MASTRO","")</f>
        <v/>
      </c>
      <c r="D758" s="136" t="str">
        <f ca="1">IF(IFERROR(INDEX((COPIA!$DA$3:$DE$1339),MATCH(ROWS(D$10:D758),COPIA!$DF$3:$DF$1339,0),COLUMN()-1),"")=0,"",IFERROR(INDEX((COPIA!$DA$3:$DE$1339),MATCH(ROWS(D$10:D758),COPIA!$DF$3:$DF$1339,0),COLUMN()-1),""))</f>
        <v/>
      </c>
      <c r="E758" s="9" t="str">
        <f ca="1">IF(IFERROR(INDEX((COPIA!$DA$3:$DE$1339),MATCH(ROWS(E$10:E758),COPIA!$DF$3:$DF$1339,0),COLUMN()-1),"")=0,"",IFERROR(INDEX((COPIA!$DA$3:$DE$1339),MATCH(ROWS(E$10:E758),COPIA!$DF$3:$DF$1339,0),COLUMN()-1),""))</f>
        <v/>
      </c>
      <c r="F758" s="6" t="str">
        <f ca="1">IF(IFERROR(INDEX((COPIA!$DA$3:$DE$1339),MATCH(ROWS(F$10:F758),COPIA!$DF$3:$DF$1339,0),COLUMN()-1),"")=0,"",IFERROR(INDEX((COPIA!$DA$3:$DE$1339),MATCH(ROWS(F$10:F758),COPIA!$DF$3:$DF$1339,0),COLUMN()-1),""))</f>
        <v/>
      </c>
    </row>
    <row r="759" spans="2:6" x14ac:dyDescent="0.3">
      <c r="B759" s="10" t="str">
        <f ca="1">IF(IFERROR(INDEX((COPIA!$DA$3:$DE$1339),MATCH(ROWS(B$10:B759),COPIA!$DF$3:$DF$1339,0),COLUMN()-1),"")&gt;=1,IFERROR(INDEX((COPIA!$DA$3:$DE$1339),MATCH(ROWS(B$10:B759),COPIA!$DF$3:$DF$1339,0),COLUMN()-1),""),"")</f>
        <v/>
      </c>
      <c r="C759" s="5" t="str">
        <f ca="1">SUBSTITUTE(IFERROR(INDEX((COPIA!$DA$3:$DE$1339),MATCH(ROWS(C$10:C759),COPIA!$DF$3:$DF$1339,0),COLUMN()-1),""),"MASTRO","")</f>
        <v/>
      </c>
      <c r="D759" s="136" t="str">
        <f ca="1">IF(IFERROR(INDEX((COPIA!$DA$3:$DE$1339),MATCH(ROWS(D$10:D759),COPIA!$DF$3:$DF$1339,0),COLUMN()-1),"")=0,"",IFERROR(INDEX((COPIA!$DA$3:$DE$1339),MATCH(ROWS(D$10:D759),COPIA!$DF$3:$DF$1339,0),COLUMN()-1),""))</f>
        <v/>
      </c>
      <c r="E759" s="9" t="str">
        <f ca="1">IF(IFERROR(INDEX((COPIA!$DA$3:$DE$1339),MATCH(ROWS(E$10:E759),COPIA!$DF$3:$DF$1339,0),COLUMN()-1),"")=0,"",IFERROR(INDEX((COPIA!$DA$3:$DE$1339),MATCH(ROWS(E$10:E759),COPIA!$DF$3:$DF$1339,0),COLUMN()-1),""))</f>
        <v/>
      </c>
      <c r="F759" s="6" t="str">
        <f ca="1">IF(IFERROR(INDEX((COPIA!$DA$3:$DE$1339),MATCH(ROWS(F$10:F759),COPIA!$DF$3:$DF$1339,0),COLUMN()-1),"")=0,"",IFERROR(INDEX((COPIA!$DA$3:$DE$1339),MATCH(ROWS(F$10:F759),COPIA!$DF$3:$DF$1339,0),COLUMN()-1),""))</f>
        <v/>
      </c>
    </row>
    <row r="760" spans="2:6" x14ac:dyDescent="0.3">
      <c r="B760" s="10" t="str">
        <f ca="1">IF(IFERROR(INDEX((COPIA!$DA$3:$DE$1339),MATCH(ROWS(B$10:B760),COPIA!$DF$3:$DF$1339,0),COLUMN()-1),"")&gt;=1,IFERROR(INDEX((COPIA!$DA$3:$DE$1339),MATCH(ROWS(B$10:B760),COPIA!$DF$3:$DF$1339,0),COLUMN()-1),""),"")</f>
        <v/>
      </c>
      <c r="C760" s="5" t="str">
        <f ca="1">SUBSTITUTE(IFERROR(INDEX((COPIA!$DA$3:$DE$1339),MATCH(ROWS(C$10:C760),COPIA!$DF$3:$DF$1339,0),COLUMN()-1),""),"MASTRO","")</f>
        <v/>
      </c>
      <c r="D760" s="136" t="str">
        <f ca="1">IF(IFERROR(INDEX((COPIA!$DA$3:$DE$1339),MATCH(ROWS(D$10:D760),COPIA!$DF$3:$DF$1339,0),COLUMN()-1),"")=0,"",IFERROR(INDEX((COPIA!$DA$3:$DE$1339),MATCH(ROWS(D$10:D760),COPIA!$DF$3:$DF$1339,0),COLUMN()-1),""))</f>
        <v/>
      </c>
      <c r="E760" s="9" t="str">
        <f ca="1">IF(IFERROR(INDEX((COPIA!$DA$3:$DE$1339),MATCH(ROWS(E$10:E760),COPIA!$DF$3:$DF$1339,0),COLUMN()-1),"")=0,"",IFERROR(INDEX((COPIA!$DA$3:$DE$1339),MATCH(ROWS(E$10:E760),COPIA!$DF$3:$DF$1339,0),COLUMN()-1),""))</f>
        <v/>
      </c>
      <c r="F760" s="6" t="str">
        <f ca="1">IF(IFERROR(INDEX((COPIA!$DA$3:$DE$1339),MATCH(ROWS(F$10:F760),COPIA!$DF$3:$DF$1339,0),COLUMN()-1),"")=0,"",IFERROR(INDEX((COPIA!$DA$3:$DE$1339),MATCH(ROWS(F$10:F760),COPIA!$DF$3:$DF$1339,0),COLUMN()-1),""))</f>
        <v/>
      </c>
    </row>
    <row r="761" spans="2:6" x14ac:dyDescent="0.3">
      <c r="B761" s="10" t="str">
        <f ca="1">IF(IFERROR(INDEX((COPIA!$DA$3:$DE$1339),MATCH(ROWS(B$10:B761),COPIA!$DF$3:$DF$1339,0),COLUMN()-1),"")&gt;=1,IFERROR(INDEX((COPIA!$DA$3:$DE$1339),MATCH(ROWS(B$10:B761),COPIA!$DF$3:$DF$1339,0),COLUMN()-1),""),"")</f>
        <v/>
      </c>
      <c r="C761" s="5" t="str">
        <f ca="1">SUBSTITUTE(IFERROR(INDEX((COPIA!$DA$3:$DE$1339),MATCH(ROWS(C$10:C761),COPIA!$DF$3:$DF$1339,0),COLUMN()-1),""),"MASTRO","")</f>
        <v/>
      </c>
      <c r="D761" s="136" t="str">
        <f ca="1">IF(IFERROR(INDEX((COPIA!$DA$3:$DE$1339),MATCH(ROWS(D$10:D761),COPIA!$DF$3:$DF$1339,0),COLUMN()-1),"")=0,"",IFERROR(INDEX((COPIA!$DA$3:$DE$1339),MATCH(ROWS(D$10:D761),COPIA!$DF$3:$DF$1339,0),COLUMN()-1),""))</f>
        <v/>
      </c>
      <c r="E761" s="9" t="str">
        <f ca="1">IF(IFERROR(INDEX((COPIA!$DA$3:$DE$1339),MATCH(ROWS(E$10:E761),COPIA!$DF$3:$DF$1339,0),COLUMN()-1),"")=0,"",IFERROR(INDEX((COPIA!$DA$3:$DE$1339),MATCH(ROWS(E$10:E761),COPIA!$DF$3:$DF$1339,0),COLUMN()-1),""))</f>
        <v/>
      </c>
      <c r="F761" s="6" t="str">
        <f ca="1">IF(IFERROR(INDEX((COPIA!$DA$3:$DE$1339),MATCH(ROWS(F$10:F761),COPIA!$DF$3:$DF$1339,0),COLUMN()-1),"")=0,"",IFERROR(INDEX((COPIA!$DA$3:$DE$1339),MATCH(ROWS(F$10:F761),COPIA!$DF$3:$DF$1339,0),COLUMN()-1),""))</f>
        <v/>
      </c>
    </row>
    <row r="762" spans="2:6" x14ac:dyDescent="0.3">
      <c r="B762" s="10" t="str">
        <f ca="1">IF(IFERROR(INDEX((COPIA!$DA$3:$DE$1339),MATCH(ROWS(B$10:B762),COPIA!$DF$3:$DF$1339,0),COLUMN()-1),"")&gt;=1,IFERROR(INDEX((COPIA!$DA$3:$DE$1339),MATCH(ROWS(B$10:B762),COPIA!$DF$3:$DF$1339,0),COLUMN()-1),""),"")</f>
        <v/>
      </c>
      <c r="C762" s="5" t="str">
        <f ca="1">SUBSTITUTE(IFERROR(INDEX((COPIA!$DA$3:$DE$1339),MATCH(ROWS(C$10:C762),COPIA!$DF$3:$DF$1339,0),COLUMN()-1),""),"MASTRO","")</f>
        <v/>
      </c>
      <c r="D762" s="136" t="str">
        <f ca="1">IF(IFERROR(INDEX((COPIA!$DA$3:$DE$1339),MATCH(ROWS(D$10:D762),COPIA!$DF$3:$DF$1339,0),COLUMN()-1),"")=0,"",IFERROR(INDEX((COPIA!$DA$3:$DE$1339),MATCH(ROWS(D$10:D762),COPIA!$DF$3:$DF$1339,0),COLUMN()-1),""))</f>
        <v/>
      </c>
      <c r="E762" s="9" t="str">
        <f ca="1">IF(IFERROR(INDEX((COPIA!$DA$3:$DE$1339),MATCH(ROWS(E$10:E762),COPIA!$DF$3:$DF$1339,0),COLUMN()-1),"")=0,"",IFERROR(INDEX((COPIA!$DA$3:$DE$1339),MATCH(ROWS(E$10:E762),COPIA!$DF$3:$DF$1339,0),COLUMN()-1),""))</f>
        <v/>
      </c>
      <c r="F762" s="6" t="str">
        <f ca="1">IF(IFERROR(INDEX((COPIA!$DA$3:$DE$1339),MATCH(ROWS(F$10:F762),COPIA!$DF$3:$DF$1339,0),COLUMN()-1),"")=0,"",IFERROR(INDEX((COPIA!$DA$3:$DE$1339),MATCH(ROWS(F$10:F762),COPIA!$DF$3:$DF$1339,0),COLUMN()-1),""))</f>
        <v/>
      </c>
    </row>
    <row r="763" spans="2:6" x14ac:dyDescent="0.3">
      <c r="B763" s="10" t="str">
        <f ca="1">IF(IFERROR(INDEX((COPIA!$DA$3:$DE$1339),MATCH(ROWS(B$10:B763),COPIA!$DF$3:$DF$1339,0),COLUMN()-1),"")&gt;=1,IFERROR(INDEX((COPIA!$DA$3:$DE$1339),MATCH(ROWS(B$10:B763),COPIA!$DF$3:$DF$1339,0),COLUMN()-1),""),"")</f>
        <v/>
      </c>
      <c r="C763" s="5" t="str">
        <f ca="1">SUBSTITUTE(IFERROR(INDEX((COPIA!$DA$3:$DE$1339),MATCH(ROWS(C$10:C763),COPIA!$DF$3:$DF$1339,0),COLUMN()-1),""),"MASTRO","")</f>
        <v/>
      </c>
      <c r="D763" s="136" t="str">
        <f ca="1">IF(IFERROR(INDEX((COPIA!$DA$3:$DE$1339),MATCH(ROWS(D$10:D763),COPIA!$DF$3:$DF$1339,0),COLUMN()-1),"")=0,"",IFERROR(INDEX((COPIA!$DA$3:$DE$1339),MATCH(ROWS(D$10:D763),COPIA!$DF$3:$DF$1339,0),COLUMN()-1),""))</f>
        <v/>
      </c>
      <c r="E763" s="9" t="str">
        <f ca="1">IF(IFERROR(INDEX((COPIA!$DA$3:$DE$1339),MATCH(ROWS(E$10:E763),COPIA!$DF$3:$DF$1339,0),COLUMN()-1),"")=0,"",IFERROR(INDEX((COPIA!$DA$3:$DE$1339),MATCH(ROWS(E$10:E763),COPIA!$DF$3:$DF$1339,0),COLUMN()-1),""))</f>
        <v/>
      </c>
      <c r="F763" s="6" t="str">
        <f ca="1">IF(IFERROR(INDEX((COPIA!$DA$3:$DE$1339),MATCH(ROWS(F$10:F763),COPIA!$DF$3:$DF$1339,0),COLUMN()-1),"")=0,"",IFERROR(INDEX((COPIA!$DA$3:$DE$1339),MATCH(ROWS(F$10:F763),COPIA!$DF$3:$DF$1339,0),COLUMN()-1),""))</f>
        <v/>
      </c>
    </row>
    <row r="764" spans="2:6" x14ac:dyDescent="0.3">
      <c r="B764" s="10" t="str">
        <f ca="1">IF(IFERROR(INDEX((COPIA!$DA$3:$DE$1339),MATCH(ROWS(B$10:B764),COPIA!$DF$3:$DF$1339,0),COLUMN()-1),"")&gt;=1,IFERROR(INDEX((COPIA!$DA$3:$DE$1339),MATCH(ROWS(B$10:B764),COPIA!$DF$3:$DF$1339,0),COLUMN()-1),""),"")</f>
        <v/>
      </c>
      <c r="C764" s="5" t="str">
        <f ca="1">SUBSTITUTE(IFERROR(INDEX((COPIA!$DA$3:$DE$1339),MATCH(ROWS(C$10:C764),COPIA!$DF$3:$DF$1339,0),COLUMN()-1),""),"MASTRO","")</f>
        <v/>
      </c>
      <c r="D764" s="136" t="str">
        <f ca="1">IF(IFERROR(INDEX((COPIA!$DA$3:$DE$1339),MATCH(ROWS(D$10:D764),COPIA!$DF$3:$DF$1339,0),COLUMN()-1),"")=0,"",IFERROR(INDEX((COPIA!$DA$3:$DE$1339),MATCH(ROWS(D$10:D764),COPIA!$DF$3:$DF$1339,0),COLUMN()-1),""))</f>
        <v/>
      </c>
      <c r="E764" s="9" t="str">
        <f ca="1">IF(IFERROR(INDEX((COPIA!$DA$3:$DE$1339),MATCH(ROWS(E$10:E764),COPIA!$DF$3:$DF$1339,0),COLUMN()-1),"")=0,"",IFERROR(INDEX((COPIA!$DA$3:$DE$1339),MATCH(ROWS(E$10:E764),COPIA!$DF$3:$DF$1339,0),COLUMN()-1),""))</f>
        <v/>
      </c>
      <c r="F764" s="6" t="str">
        <f ca="1">IF(IFERROR(INDEX((COPIA!$DA$3:$DE$1339),MATCH(ROWS(F$10:F764),COPIA!$DF$3:$DF$1339,0),COLUMN()-1),"")=0,"",IFERROR(INDEX((COPIA!$DA$3:$DE$1339),MATCH(ROWS(F$10:F764),COPIA!$DF$3:$DF$1339,0),COLUMN()-1),""))</f>
        <v/>
      </c>
    </row>
    <row r="765" spans="2:6" x14ac:dyDescent="0.3">
      <c r="B765" s="10" t="str">
        <f ca="1">IF(IFERROR(INDEX((COPIA!$DA$3:$DE$1339),MATCH(ROWS(B$10:B765),COPIA!$DF$3:$DF$1339,0),COLUMN()-1),"")&gt;=1,IFERROR(INDEX((COPIA!$DA$3:$DE$1339),MATCH(ROWS(B$10:B765),COPIA!$DF$3:$DF$1339,0),COLUMN()-1),""),"")</f>
        <v/>
      </c>
      <c r="C765" s="5" t="str">
        <f ca="1">SUBSTITUTE(IFERROR(INDEX((COPIA!$DA$3:$DE$1339),MATCH(ROWS(C$10:C765),COPIA!$DF$3:$DF$1339,0),COLUMN()-1),""),"MASTRO","")</f>
        <v/>
      </c>
      <c r="D765" s="136" t="str">
        <f ca="1">IF(IFERROR(INDEX((COPIA!$DA$3:$DE$1339),MATCH(ROWS(D$10:D765),COPIA!$DF$3:$DF$1339,0),COLUMN()-1),"")=0,"",IFERROR(INDEX((COPIA!$DA$3:$DE$1339),MATCH(ROWS(D$10:D765),COPIA!$DF$3:$DF$1339,0),COLUMN()-1),""))</f>
        <v/>
      </c>
      <c r="E765" s="9" t="str">
        <f ca="1">IF(IFERROR(INDEX((COPIA!$DA$3:$DE$1339),MATCH(ROWS(E$10:E765),COPIA!$DF$3:$DF$1339,0),COLUMN()-1),"")=0,"",IFERROR(INDEX((COPIA!$DA$3:$DE$1339),MATCH(ROWS(E$10:E765),COPIA!$DF$3:$DF$1339,0),COLUMN()-1),""))</f>
        <v/>
      </c>
      <c r="F765" s="6" t="str">
        <f ca="1">IF(IFERROR(INDEX((COPIA!$DA$3:$DE$1339),MATCH(ROWS(F$10:F765),COPIA!$DF$3:$DF$1339,0),COLUMN()-1),"")=0,"",IFERROR(INDEX((COPIA!$DA$3:$DE$1339),MATCH(ROWS(F$10:F765),COPIA!$DF$3:$DF$1339,0),COLUMN()-1),""))</f>
        <v/>
      </c>
    </row>
    <row r="766" spans="2:6" x14ac:dyDescent="0.3">
      <c r="B766" s="10" t="str">
        <f ca="1">IF(IFERROR(INDEX((COPIA!$DA$3:$DE$1339),MATCH(ROWS(B$10:B766),COPIA!$DF$3:$DF$1339,0),COLUMN()-1),"")&gt;=1,IFERROR(INDEX((COPIA!$DA$3:$DE$1339),MATCH(ROWS(B$10:B766),COPIA!$DF$3:$DF$1339,0),COLUMN()-1),""),"")</f>
        <v/>
      </c>
      <c r="C766" s="5" t="str">
        <f ca="1">SUBSTITUTE(IFERROR(INDEX((COPIA!$DA$3:$DE$1339),MATCH(ROWS(C$10:C766),COPIA!$DF$3:$DF$1339,0),COLUMN()-1),""),"MASTRO","")</f>
        <v/>
      </c>
      <c r="D766" s="136" t="str">
        <f ca="1">IF(IFERROR(INDEX((COPIA!$DA$3:$DE$1339),MATCH(ROWS(D$10:D766),COPIA!$DF$3:$DF$1339,0),COLUMN()-1),"")=0,"",IFERROR(INDEX((COPIA!$DA$3:$DE$1339),MATCH(ROWS(D$10:D766),COPIA!$DF$3:$DF$1339,0),COLUMN()-1),""))</f>
        <v/>
      </c>
      <c r="E766" s="9" t="str">
        <f ca="1">IF(IFERROR(INDEX((COPIA!$DA$3:$DE$1339),MATCH(ROWS(E$10:E766),COPIA!$DF$3:$DF$1339,0),COLUMN()-1),"")=0,"",IFERROR(INDEX((COPIA!$DA$3:$DE$1339),MATCH(ROWS(E$10:E766),COPIA!$DF$3:$DF$1339,0),COLUMN()-1),""))</f>
        <v/>
      </c>
      <c r="F766" s="6" t="str">
        <f ca="1">IF(IFERROR(INDEX((COPIA!$DA$3:$DE$1339),MATCH(ROWS(F$10:F766),COPIA!$DF$3:$DF$1339,0),COLUMN()-1),"")=0,"",IFERROR(INDEX((COPIA!$DA$3:$DE$1339),MATCH(ROWS(F$10:F766),COPIA!$DF$3:$DF$1339,0),COLUMN()-1),""))</f>
        <v/>
      </c>
    </row>
    <row r="767" spans="2:6" x14ac:dyDescent="0.3">
      <c r="B767" s="10" t="str">
        <f ca="1">IF(IFERROR(INDEX((COPIA!$DA$3:$DE$1339),MATCH(ROWS(B$10:B767),COPIA!$DF$3:$DF$1339,0),COLUMN()-1),"")&gt;=1,IFERROR(INDEX((COPIA!$DA$3:$DE$1339),MATCH(ROWS(B$10:B767),COPIA!$DF$3:$DF$1339,0),COLUMN()-1),""),"")</f>
        <v/>
      </c>
      <c r="C767" s="5" t="str">
        <f ca="1">SUBSTITUTE(IFERROR(INDEX((COPIA!$DA$3:$DE$1339),MATCH(ROWS(C$10:C767),COPIA!$DF$3:$DF$1339,0),COLUMN()-1),""),"MASTRO","")</f>
        <v/>
      </c>
      <c r="D767" s="136" t="str">
        <f ca="1">IF(IFERROR(INDEX((COPIA!$DA$3:$DE$1339),MATCH(ROWS(D$10:D767),COPIA!$DF$3:$DF$1339,0),COLUMN()-1),"")=0,"",IFERROR(INDEX((COPIA!$DA$3:$DE$1339),MATCH(ROWS(D$10:D767),COPIA!$DF$3:$DF$1339,0),COLUMN()-1),""))</f>
        <v/>
      </c>
      <c r="E767" s="9" t="str">
        <f ca="1">IF(IFERROR(INDEX((COPIA!$DA$3:$DE$1339),MATCH(ROWS(E$10:E767),COPIA!$DF$3:$DF$1339,0),COLUMN()-1),"")=0,"",IFERROR(INDEX((COPIA!$DA$3:$DE$1339),MATCH(ROWS(E$10:E767),COPIA!$DF$3:$DF$1339,0),COLUMN()-1),""))</f>
        <v/>
      </c>
      <c r="F767" s="6" t="str">
        <f ca="1">IF(IFERROR(INDEX((COPIA!$DA$3:$DE$1339),MATCH(ROWS(F$10:F767),COPIA!$DF$3:$DF$1339,0),COLUMN()-1),"")=0,"",IFERROR(INDEX((COPIA!$DA$3:$DE$1339),MATCH(ROWS(F$10:F767),COPIA!$DF$3:$DF$1339,0),COLUMN()-1),""))</f>
        <v/>
      </c>
    </row>
    <row r="768" spans="2:6" x14ac:dyDescent="0.3">
      <c r="B768" s="10" t="str">
        <f ca="1">IF(IFERROR(INDEX((COPIA!$DA$3:$DE$1339),MATCH(ROWS(B$10:B768),COPIA!$DF$3:$DF$1339,0),COLUMN()-1),"")&gt;=1,IFERROR(INDEX((COPIA!$DA$3:$DE$1339),MATCH(ROWS(B$10:B768),COPIA!$DF$3:$DF$1339,0),COLUMN()-1),""),"")</f>
        <v/>
      </c>
      <c r="C768" s="5" t="str">
        <f ca="1">SUBSTITUTE(IFERROR(INDEX((COPIA!$DA$3:$DE$1339),MATCH(ROWS(C$10:C768),COPIA!$DF$3:$DF$1339,0),COLUMN()-1),""),"MASTRO","")</f>
        <v/>
      </c>
      <c r="D768" s="136" t="str">
        <f ca="1">IF(IFERROR(INDEX((COPIA!$DA$3:$DE$1339),MATCH(ROWS(D$10:D768),COPIA!$DF$3:$DF$1339,0),COLUMN()-1),"")=0,"",IFERROR(INDEX((COPIA!$DA$3:$DE$1339),MATCH(ROWS(D$10:D768),COPIA!$DF$3:$DF$1339,0),COLUMN()-1),""))</f>
        <v/>
      </c>
      <c r="E768" s="9" t="str">
        <f ca="1">IF(IFERROR(INDEX((COPIA!$DA$3:$DE$1339),MATCH(ROWS(E$10:E768),COPIA!$DF$3:$DF$1339,0),COLUMN()-1),"")=0,"",IFERROR(INDEX((COPIA!$DA$3:$DE$1339),MATCH(ROWS(E$10:E768),COPIA!$DF$3:$DF$1339,0),COLUMN()-1),""))</f>
        <v/>
      </c>
      <c r="F768" s="6" t="str">
        <f ca="1">IF(IFERROR(INDEX((COPIA!$DA$3:$DE$1339),MATCH(ROWS(F$10:F768),COPIA!$DF$3:$DF$1339,0),COLUMN()-1),"")=0,"",IFERROR(INDEX((COPIA!$DA$3:$DE$1339),MATCH(ROWS(F$10:F768),COPIA!$DF$3:$DF$1339,0),COLUMN()-1),""))</f>
        <v/>
      </c>
    </row>
    <row r="769" spans="2:6" x14ac:dyDescent="0.3">
      <c r="B769" s="10" t="str">
        <f ca="1">IF(IFERROR(INDEX((COPIA!$DA$3:$DE$1339),MATCH(ROWS(B$10:B769),COPIA!$DF$3:$DF$1339,0),COLUMN()-1),"")&gt;=1,IFERROR(INDEX((COPIA!$DA$3:$DE$1339),MATCH(ROWS(B$10:B769),COPIA!$DF$3:$DF$1339,0),COLUMN()-1),""),"")</f>
        <v/>
      </c>
      <c r="C769" s="5" t="str">
        <f ca="1">SUBSTITUTE(IFERROR(INDEX((COPIA!$DA$3:$DE$1339),MATCH(ROWS(C$10:C769),COPIA!$DF$3:$DF$1339,0),COLUMN()-1),""),"MASTRO","")</f>
        <v/>
      </c>
      <c r="D769" s="136" t="str">
        <f ca="1">IF(IFERROR(INDEX((COPIA!$DA$3:$DE$1339),MATCH(ROWS(D$10:D769),COPIA!$DF$3:$DF$1339,0),COLUMN()-1),"")=0,"",IFERROR(INDEX((COPIA!$DA$3:$DE$1339),MATCH(ROWS(D$10:D769),COPIA!$DF$3:$DF$1339,0),COLUMN()-1),""))</f>
        <v/>
      </c>
      <c r="E769" s="9" t="str">
        <f ca="1">IF(IFERROR(INDEX((COPIA!$DA$3:$DE$1339),MATCH(ROWS(E$10:E769),COPIA!$DF$3:$DF$1339,0),COLUMN()-1),"")=0,"",IFERROR(INDEX((COPIA!$DA$3:$DE$1339),MATCH(ROWS(E$10:E769),COPIA!$DF$3:$DF$1339,0),COLUMN()-1),""))</f>
        <v/>
      </c>
      <c r="F769" s="6" t="str">
        <f ca="1">IF(IFERROR(INDEX((COPIA!$DA$3:$DE$1339),MATCH(ROWS(F$10:F769),COPIA!$DF$3:$DF$1339,0),COLUMN()-1),"")=0,"",IFERROR(INDEX((COPIA!$DA$3:$DE$1339),MATCH(ROWS(F$10:F769),COPIA!$DF$3:$DF$1339,0),COLUMN()-1),""))</f>
        <v/>
      </c>
    </row>
    <row r="770" spans="2:6" x14ac:dyDescent="0.3">
      <c r="B770" s="10" t="str">
        <f ca="1">IF(IFERROR(INDEX((COPIA!$DA$3:$DE$1339),MATCH(ROWS(B$10:B770),COPIA!$DF$3:$DF$1339,0),COLUMN()-1),"")&gt;=1,IFERROR(INDEX((COPIA!$DA$3:$DE$1339),MATCH(ROWS(B$10:B770),COPIA!$DF$3:$DF$1339,0),COLUMN()-1),""),"")</f>
        <v/>
      </c>
      <c r="C770" s="5" t="str">
        <f ca="1">SUBSTITUTE(IFERROR(INDEX((COPIA!$DA$3:$DE$1339),MATCH(ROWS(C$10:C770),COPIA!$DF$3:$DF$1339,0),COLUMN()-1),""),"MASTRO","")</f>
        <v/>
      </c>
      <c r="D770" s="136" t="str">
        <f ca="1">IF(IFERROR(INDEX((COPIA!$DA$3:$DE$1339),MATCH(ROWS(D$10:D770),COPIA!$DF$3:$DF$1339,0),COLUMN()-1),"")=0,"",IFERROR(INDEX((COPIA!$DA$3:$DE$1339),MATCH(ROWS(D$10:D770),COPIA!$DF$3:$DF$1339,0),COLUMN()-1),""))</f>
        <v/>
      </c>
      <c r="E770" s="9" t="str">
        <f ca="1">IF(IFERROR(INDEX((COPIA!$DA$3:$DE$1339),MATCH(ROWS(E$10:E770),COPIA!$DF$3:$DF$1339,0),COLUMN()-1),"")=0,"",IFERROR(INDEX((COPIA!$DA$3:$DE$1339),MATCH(ROWS(E$10:E770),COPIA!$DF$3:$DF$1339,0),COLUMN()-1),""))</f>
        <v/>
      </c>
      <c r="F770" s="6" t="str">
        <f ca="1">IF(IFERROR(INDEX((COPIA!$DA$3:$DE$1339),MATCH(ROWS(F$10:F770),COPIA!$DF$3:$DF$1339,0),COLUMN()-1),"")=0,"",IFERROR(INDEX((COPIA!$DA$3:$DE$1339),MATCH(ROWS(F$10:F770),COPIA!$DF$3:$DF$1339,0),COLUMN()-1),""))</f>
        <v/>
      </c>
    </row>
    <row r="771" spans="2:6" x14ac:dyDescent="0.3">
      <c r="B771" s="10" t="str">
        <f ca="1">IF(IFERROR(INDEX((COPIA!$DA$3:$DE$1339),MATCH(ROWS(B$10:B771),COPIA!$DF$3:$DF$1339,0),COLUMN()-1),"")&gt;=1,IFERROR(INDEX((COPIA!$DA$3:$DE$1339),MATCH(ROWS(B$10:B771),COPIA!$DF$3:$DF$1339,0),COLUMN()-1),""),"")</f>
        <v/>
      </c>
      <c r="C771" s="5" t="str">
        <f ca="1">SUBSTITUTE(IFERROR(INDEX((COPIA!$DA$3:$DE$1339),MATCH(ROWS(C$10:C771),COPIA!$DF$3:$DF$1339,0),COLUMN()-1),""),"MASTRO","")</f>
        <v/>
      </c>
      <c r="D771" s="136" t="str">
        <f ca="1">IF(IFERROR(INDEX((COPIA!$DA$3:$DE$1339),MATCH(ROWS(D$10:D771),COPIA!$DF$3:$DF$1339,0),COLUMN()-1),"")=0,"",IFERROR(INDEX((COPIA!$DA$3:$DE$1339),MATCH(ROWS(D$10:D771),COPIA!$DF$3:$DF$1339,0),COLUMN()-1),""))</f>
        <v/>
      </c>
      <c r="E771" s="9" t="str">
        <f ca="1">IF(IFERROR(INDEX((COPIA!$DA$3:$DE$1339),MATCH(ROWS(E$10:E771),COPIA!$DF$3:$DF$1339,0),COLUMN()-1),"")=0,"",IFERROR(INDEX((COPIA!$DA$3:$DE$1339),MATCH(ROWS(E$10:E771),COPIA!$DF$3:$DF$1339,0),COLUMN()-1),""))</f>
        <v/>
      </c>
      <c r="F771" s="6" t="str">
        <f ca="1">IF(IFERROR(INDEX((COPIA!$DA$3:$DE$1339),MATCH(ROWS(F$10:F771),COPIA!$DF$3:$DF$1339,0),COLUMN()-1),"")=0,"",IFERROR(INDEX((COPIA!$DA$3:$DE$1339),MATCH(ROWS(F$10:F771),COPIA!$DF$3:$DF$1339,0),COLUMN()-1),""))</f>
        <v/>
      </c>
    </row>
    <row r="772" spans="2:6" x14ac:dyDescent="0.3">
      <c r="B772" s="10" t="str">
        <f ca="1">IF(IFERROR(INDEX((COPIA!$DA$3:$DE$1339),MATCH(ROWS(B$10:B772),COPIA!$DF$3:$DF$1339,0),COLUMN()-1),"")&gt;=1,IFERROR(INDEX((COPIA!$DA$3:$DE$1339),MATCH(ROWS(B$10:B772),COPIA!$DF$3:$DF$1339,0),COLUMN()-1),""),"")</f>
        <v/>
      </c>
      <c r="C772" s="5" t="str">
        <f ca="1">SUBSTITUTE(IFERROR(INDEX((COPIA!$DA$3:$DE$1339),MATCH(ROWS(C$10:C772),COPIA!$DF$3:$DF$1339,0),COLUMN()-1),""),"MASTRO","")</f>
        <v/>
      </c>
      <c r="D772" s="136" t="str">
        <f ca="1">IF(IFERROR(INDEX((COPIA!$DA$3:$DE$1339),MATCH(ROWS(D$10:D772),COPIA!$DF$3:$DF$1339,0),COLUMN()-1),"")=0,"",IFERROR(INDEX((COPIA!$DA$3:$DE$1339),MATCH(ROWS(D$10:D772),COPIA!$DF$3:$DF$1339,0),COLUMN()-1),""))</f>
        <v/>
      </c>
      <c r="E772" s="9" t="str">
        <f ca="1">IF(IFERROR(INDEX((COPIA!$DA$3:$DE$1339),MATCH(ROWS(E$10:E772),COPIA!$DF$3:$DF$1339,0),COLUMN()-1),"")=0,"",IFERROR(INDEX((COPIA!$DA$3:$DE$1339),MATCH(ROWS(E$10:E772),COPIA!$DF$3:$DF$1339,0),COLUMN()-1),""))</f>
        <v/>
      </c>
      <c r="F772" s="6" t="str">
        <f ca="1">IF(IFERROR(INDEX((COPIA!$DA$3:$DE$1339),MATCH(ROWS(F$10:F772),COPIA!$DF$3:$DF$1339,0),COLUMN()-1),"")=0,"",IFERROR(INDEX((COPIA!$DA$3:$DE$1339),MATCH(ROWS(F$10:F772),COPIA!$DF$3:$DF$1339,0),COLUMN()-1),""))</f>
        <v/>
      </c>
    </row>
    <row r="773" spans="2:6" x14ac:dyDescent="0.3">
      <c r="B773" s="10" t="str">
        <f ca="1">IF(IFERROR(INDEX((COPIA!$DA$3:$DE$1339),MATCH(ROWS(B$10:B773),COPIA!$DF$3:$DF$1339,0),COLUMN()-1),"")&gt;=1,IFERROR(INDEX((COPIA!$DA$3:$DE$1339),MATCH(ROWS(B$10:B773),COPIA!$DF$3:$DF$1339,0),COLUMN()-1),""),"")</f>
        <v/>
      </c>
      <c r="C773" s="5" t="str">
        <f ca="1">SUBSTITUTE(IFERROR(INDEX((COPIA!$DA$3:$DE$1339),MATCH(ROWS(C$10:C773),COPIA!$DF$3:$DF$1339,0),COLUMN()-1),""),"MASTRO","")</f>
        <v/>
      </c>
      <c r="D773" s="136" t="str">
        <f ca="1">IF(IFERROR(INDEX((COPIA!$DA$3:$DE$1339),MATCH(ROWS(D$10:D773),COPIA!$DF$3:$DF$1339,0),COLUMN()-1),"")=0,"",IFERROR(INDEX((COPIA!$DA$3:$DE$1339),MATCH(ROWS(D$10:D773),COPIA!$DF$3:$DF$1339,0),COLUMN()-1),""))</f>
        <v/>
      </c>
      <c r="E773" s="9" t="str">
        <f ca="1">IF(IFERROR(INDEX((COPIA!$DA$3:$DE$1339),MATCH(ROWS(E$10:E773),COPIA!$DF$3:$DF$1339,0),COLUMN()-1),"")=0,"",IFERROR(INDEX((COPIA!$DA$3:$DE$1339),MATCH(ROWS(E$10:E773),COPIA!$DF$3:$DF$1339,0),COLUMN()-1),""))</f>
        <v/>
      </c>
      <c r="F773" s="6" t="str">
        <f ca="1">IF(IFERROR(INDEX((COPIA!$DA$3:$DE$1339),MATCH(ROWS(F$10:F773),COPIA!$DF$3:$DF$1339,0),COLUMN()-1),"")=0,"",IFERROR(INDEX((COPIA!$DA$3:$DE$1339),MATCH(ROWS(F$10:F773),COPIA!$DF$3:$DF$1339,0),COLUMN()-1),""))</f>
        <v/>
      </c>
    </row>
    <row r="774" spans="2:6" x14ac:dyDescent="0.3">
      <c r="B774" s="10" t="str">
        <f ca="1">IF(IFERROR(INDEX((COPIA!$DA$3:$DE$1339),MATCH(ROWS(B$10:B774),COPIA!$DF$3:$DF$1339,0),COLUMN()-1),"")&gt;=1,IFERROR(INDEX((COPIA!$DA$3:$DE$1339),MATCH(ROWS(B$10:B774),COPIA!$DF$3:$DF$1339,0),COLUMN()-1),""),"")</f>
        <v/>
      </c>
      <c r="C774" s="5" t="str">
        <f ca="1">SUBSTITUTE(IFERROR(INDEX((COPIA!$DA$3:$DE$1339),MATCH(ROWS(C$10:C774),COPIA!$DF$3:$DF$1339,0),COLUMN()-1),""),"MASTRO","")</f>
        <v/>
      </c>
      <c r="D774" s="136" t="str">
        <f ca="1">IF(IFERROR(INDEX((COPIA!$DA$3:$DE$1339),MATCH(ROWS(D$10:D774),COPIA!$DF$3:$DF$1339,0),COLUMN()-1),"")=0,"",IFERROR(INDEX((COPIA!$DA$3:$DE$1339),MATCH(ROWS(D$10:D774),COPIA!$DF$3:$DF$1339,0),COLUMN()-1),""))</f>
        <v/>
      </c>
      <c r="E774" s="9" t="str">
        <f ca="1">IF(IFERROR(INDEX((COPIA!$DA$3:$DE$1339),MATCH(ROWS(E$10:E774),COPIA!$DF$3:$DF$1339,0),COLUMN()-1),"")=0,"",IFERROR(INDEX((COPIA!$DA$3:$DE$1339),MATCH(ROWS(E$10:E774),COPIA!$DF$3:$DF$1339,0),COLUMN()-1),""))</f>
        <v/>
      </c>
      <c r="F774" s="6" t="str">
        <f ca="1">IF(IFERROR(INDEX((COPIA!$DA$3:$DE$1339),MATCH(ROWS(F$10:F774),COPIA!$DF$3:$DF$1339,0),COLUMN()-1),"")=0,"",IFERROR(INDEX((COPIA!$DA$3:$DE$1339),MATCH(ROWS(F$10:F774),COPIA!$DF$3:$DF$1339,0),COLUMN()-1),""))</f>
        <v/>
      </c>
    </row>
    <row r="775" spans="2:6" x14ac:dyDescent="0.3">
      <c r="B775" s="10" t="str">
        <f ca="1">IF(IFERROR(INDEX((COPIA!$DA$3:$DE$1339),MATCH(ROWS(B$10:B775),COPIA!$DF$3:$DF$1339,0),COLUMN()-1),"")&gt;=1,IFERROR(INDEX((COPIA!$DA$3:$DE$1339),MATCH(ROWS(B$10:B775),COPIA!$DF$3:$DF$1339,0),COLUMN()-1),""),"")</f>
        <v/>
      </c>
      <c r="C775" s="5" t="str">
        <f ca="1">SUBSTITUTE(IFERROR(INDEX((COPIA!$DA$3:$DE$1339),MATCH(ROWS(C$10:C775),COPIA!$DF$3:$DF$1339,0),COLUMN()-1),""),"MASTRO","")</f>
        <v/>
      </c>
      <c r="D775" s="136" t="str">
        <f ca="1">IF(IFERROR(INDEX((COPIA!$DA$3:$DE$1339),MATCH(ROWS(D$10:D775),COPIA!$DF$3:$DF$1339,0),COLUMN()-1),"")=0,"",IFERROR(INDEX((COPIA!$DA$3:$DE$1339),MATCH(ROWS(D$10:D775),COPIA!$DF$3:$DF$1339,0),COLUMN()-1),""))</f>
        <v/>
      </c>
      <c r="E775" s="9" t="str">
        <f ca="1">IF(IFERROR(INDEX((COPIA!$DA$3:$DE$1339),MATCH(ROWS(E$10:E775),COPIA!$DF$3:$DF$1339,0),COLUMN()-1),"")=0,"",IFERROR(INDEX((COPIA!$DA$3:$DE$1339),MATCH(ROWS(E$10:E775),COPIA!$DF$3:$DF$1339,0),COLUMN()-1),""))</f>
        <v/>
      </c>
      <c r="F775" s="6" t="str">
        <f ca="1">IF(IFERROR(INDEX((COPIA!$DA$3:$DE$1339),MATCH(ROWS(F$10:F775),COPIA!$DF$3:$DF$1339,0),COLUMN()-1),"")=0,"",IFERROR(INDEX((COPIA!$DA$3:$DE$1339),MATCH(ROWS(F$10:F775),COPIA!$DF$3:$DF$1339,0),COLUMN()-1),""))</f>
        <v/>
      </c>
    </row>
    <row r="776" spans="2:6" x14ac:dyDescent="0.3">
      <c r="B776" s="10" t="str">
        <f ca="1">IF(IFERROR(INDEX((COPIA!$DA$3:$DE$1339),MATCH(ROWS(B$10:B776),COPIA!$DF$3:$DF$1339,0),COLUMN()-1),"")&gt;=1,IFERROR(INDEX((COPIA!$DA$3:$DE$1339),MATCH(ROWS(B$10:B776),COPIA!$DF$3:$DF$1339,0),COLUMN()-1),""),"")</f>
        <v/>
      </c>
      <c r="C776" s="5" t="str">
        <f ca="1">SUBSTITUTE(IFERROR(INDEX((COPIA!$DA$3:$DE$1339),MATCH(ROWS(C$10:C776),COPIA!$DF$3:$DF$1339,0),COLUMN()-1),""),"MASTRO","")</f>
        <v/>
      </c>
      <c r="D776" s="136" t="str">
        <f ca="1">IF(IFERROR(INDEX((COPIA!$DA$3:$DE$1339),MATCH(ROWS(D$10:D776),COPIA!$DF$3:$DF$1339,0),COLUMN()-1),"")=0,"",IFERROR(INDEX((COPIA!$DA$3:$DE$1339),MATCH(ROWS(D$10:D776),COPIA!$DF$3:$DF$1339,0),COLUMN()-1),""))</f>
        <v/>
      </c>
      <c r="E776" s="9" t="str">
        <f ca="1">IF(IFERROR(INDEX((COPIA!$DA$3:$DE$1339),MATCH(ROWS(E$10:E776),COPIA!$DF$3:$DF$1339,0),COLUMN()-1),"")=0,"",IFERROR(INDEX((COPIA!$DA$3:$DE$1339),MATCH(ROWS(E$10:E776),COPIA!$DF$3:$DF$1339,0),COLUMN()-1),""))</f>
        <v/>
      </c>
      <c r="F776" s="6" t="str">
        <f ca="1">IF(IFERROR(INDEX((COPIA!$DA$3:$DE$1339),MATCH(ROWS(F$10:F776),COPIA!$DF$3:$DF$1339,0),COLUMN()-1),"")=0,"",IFERROR(INDEX((COPIA!$DA$3:$DE$1339),MATCH(ROWS(F$10:F776),COPIA!$DF$3:$DF$1339,0),COLUMN()-1),""))</f>
        <v/>
      </c>
    </row>
    <row r="777" spans="2:6" x14ac:dyDescent="0.3">
      <c r="B777" s="10" t="str">
        <f ca="1">IF(IFERROR(INDEX((COPIA!$DA$3:$DE$1339),MATCH(ROWS(B$10:B777),COPIA!$DF$3:$DF$1339,0),COLUMN()-1),"")&gt;=1,IFERROR(INDEX((COPIA!$DA$3:$DE$1339),MATCH(ROWS(B$10:B777),COPIA!$DF$3:$DF$1339,0),COLUMN()-1),""),"")</f>
        <v/>
      </c>
      <c r="C777" s="5" t="str">
        <f ca="1">SUBSTITUTE(IFERROR(INDEX((COPIA!$DA$3:$DE$1339),MATCH(ROWS(C$10:C777),COPIA!$DF$3:$DF$1339,0),COLUMN()-1),""),"MASTRO","")</f>
        <v/>
      </c>
      <c r="D777" s="136" t="str">
        <f ca="1">IF(IFERROR(INDEX((COPIA!$DA$3:$DE$1339),MATCH(ROWS(D$10:D777),COPIA!$DF$3:$DF$1339,0),COLUMN()-1),"")=0,"",IFERROR(INDEX((COPIA!$DA$3:$DE$1339),MATCH(ROWS(D$10:D777),COPIA!$DF$3:$DF$1339,0),COLUMN()-1),""))</f>
        <v/>
      </c>
      <c r="E777" s="9" t="str">
        <f ca="1">IF(IFERROR(INDEX((COPIA!$DA$3:$DE$1339),MATCH(ROWS(E$10:E777),COPIA!$DF$3:$DF$1339,0),COLUMN()-1),"")=0,"",IFERROR(INDEX((COPIA!$DA$3:$DE$1339),MATCH(ROWS(E$10:E777),COPIA!$DF$3:$DF$1339,0),COLUMN()-1),""))</f>
        <v/>
      </c>
      <c r="F777" s="6" t="str">
        <f ca="1">IF(IFERROR(INDEX((COPIA!$DA$3:$DE$1339),MATCH(ROWS(F$10:F777),COPIA!$DF$3:$DF$1339,0),COLUMN()-1),"")=0,"",IFERROR(INDEX((COPIA!$DA$3:$DE$1339),MATCH(ROWS(F$10:F777),COPIA!$DF$3:$DF$1339,0),COLUMN()-1),""))</f>
        <v/>
      </c>
    </row>
    <row r="778" spans="2:6" x14ac:dyDescent="0.3">
      <c r="B778" s="10" t="str">
        <f ca="1">IF(IFERROR(INDEX((COPIA!$DA$3:$DE$1339),MATCH(ROWS(B$10:B778),COPIA!$DF$3:$DF$1339,0),COLUMN()-1),"")&gt;=1,IFERROR(INDEX((COPIA!$DA$3:$DE$1339),MATCH(ROWS(B$10:B778),COPIA!$DF$3:$DF$1339,0),COLUMN()-1),""),"")</f>
        <v/>
      </c>
      <c r="C778" s="5" t="str">
        <f ca="1">SUBSTITUTE(IFERROR(INDEX((COPIA!$DA$3:$DE$1339),MATCH(ROWS(C$10:C778),COPIA!$DF$3:$DF$1339,0),COLUMN()-1),""),"MASTRO","")</f>
        <v/>
      </c>
      <c r="D778" s="136" t="str">
        <f ca="1">IF(IFERROR(INDEX((COPIA!$DA$3:$DE$1339),MATCH(ROWS(D$10:D778),COPIA!$DF$3:$DF$1339,0),COLUMN()-1),"")=0,"",IFERROR(INDEX((COPIA!$DA$3:$DE$1339),MATCH(ROWS(D$10:D778),COPIA!$DF$3:$DF$1339,0),COLUMN()-1),""))</f>
        <v/>
      </c>
      <c r="E778" s="9" t="str">
        <f ca="1">IF(IFERROR(INDEX((COPIA!$DA$3:$DE$1339),MATCH(ROWS(E$10:E778),COPIA!$DF$3:$DF$1339,0),COLUMN()-1),"")=0,"",IFERROR(INDEX((COPIA!$DA$3:$DE$1339),MATCH(ROWS(E$10:E778),COPIA!$DF$3:$DF$1339,0),COLUMN()-1),""))</f>
        <v/>
      </c>
      <c r="F778" s="6" t="str">
        <f ca="1">IF(IFERROR(INDEX((COPIA!$DA$3:$DE$1339),MATCH(ROWS(F$10:F778),COPIA!$DF$3:$DF$1339,0),COLUMN()-1),"")=0,"",IFERROR(INDEX((COPIA!$DA$3:$DE$1339),MATCH(ROWS(F$10:F778),COPIA!$DF$3:$DF$1339,0),COLUMN()-1),""))</f>
        <v/>
      </c>
    </row>
    <row r="779" spans="2:6" x14ac:dyDescent="0.3">
      <c r="B779" s="10" t="str">
        <f ca="1">IF(IFERROR(INDEX((COPIA!$DA$3:$DE$1339),MATCH(ROWS(B$10:B779),COPIA!$DF$3:$DF$1339,0),COLUMN()-1),"")&gt;=1,IFERROR(INDEX((COPIA!$DA$3:$DE$1339),MATCH(ROWS(B$10:B779),COPIA!$DF$3:$DF$1339,0),COLUMN()-1),""),"")</f>
        <v/>
      </c>
      <c r="C779" s="5" t="str">
        <f ca="1">SUBSTITUTE(IFERROR(INDEX((COPIA!$DA$3:$DE$1339),MATCH(ROWS(C$10:C779),COPIA!$DF$3:$DF$1339,0),COLUMN()-1),""),"MASTRO","")</f>
        <v/>
      </c>
      <c r="D779" s="136" t="str">
        <f ca="1">IF(IFERROR(INDEX((COPIA!$DA$3:$DE$1339),MATCH(ROWS(D$10:D779),COPIA!$DF$3:$DF$1339,0),COLUMN()-1),"")=0,"",IFERROR(INDEX((COPIA!$DA$3:$DE$1339),MATCH(ROWS(D$10:D779),COPIA!$DF$3:$DF$1339,0),COLUMN()-1),""))</f>
        <v/>
      </c>
      <c r="E779" s="9" t="str">
        <f ca="1">IF(IFERROR(INDEX((COPIA!$DA$3:$DE$1339),MATCH(ROWS(E$10:E779),COPIA!$DF$3:$DF$1339,0),COLUMN()-1),"")=0,"",IFERROR(INDEX((COPIA!$DA$3:$DE$1339),MATCH(ROWS(E$10:E779),COPIA!$DF$3:$DF$1339,0),COLUMN()-1),""))</f>
        <v/>
      </c>
      <c r="F779" s="6" t="str">
        <f ca="1">IF(IFERROR(INDEX((COPIA!$DA$3:$DE$1339),MATCH(ROWS(F$10:F779),COPIA!$DF$3:$DF$1339,0),COLUMN()-1),"")=0,"",IFERROR(INDEX((COPIA!$DA$3:$DE$1339),MATCH(ROWS(F$10:F779),COPIA!$DF$3:$DF$1339,0),COLUMN()-1),""))</f>
        <v/>
      </c>
    </row>
    <row r="780" spans="2:6" x14ac:dyDescent="0.3">
      <c r="B780" s="10" t="str">
        <f ca="1">IF(IFERROR(INDEX((COPIA!$DA$3:$DE$1339),MATCH(ROWS(B$10:B780),COPIA!$DF$3:$DF$1339,0),COLUMN()-1),"")&gt;=1,IFERROR(INDEX((COPIA!$DA$3:$DE$1339),MATCH(ROWS(B$10:B780),COPIA!$DF$3:$DF$1339,0),COLUMN()-1),""),"")</f>
        <v/>
      </c>
      <c r="C780" s="5" t="str">
        <f ca="1">SUBSTITUTE(IFERROR(INDEX((COPIA!$DA$3:$DE$1339),MATCH(ROWS(C$10:C780),COPIA!$DF$3:$DF$1339,0),COLUMN()-1),""),"MASTRO","")</f>
        <v/>
      </c>
      <c r="D780" s="136" t="str">
        <f ca="1">IF(IFERROR(INDEX((COPIA!$DA$3:$DE$1339),MATCH(ROWS(D$10:D780),COPIA!$DF$3:$DF$1339,0),COLUMN()-1),"")=0,"",IFERROR(INDEX((COPIA!$DA$3:$DE$1339),MATCH(ROWS(D$10:D780),COPIA!$DF$3:$DF$1339,0),COLUMN()-1),""))</f>
        <v/>
      </c>
      <c r="E780" s="9" t="str">
        <f ca="1">IF(IFERROR(INDEX((COPIA!$DA$3:$DE$1339),MATCH(ROWS(E$10:E780),COPIA!$DF$3:$DF$1339,0),COLUMN()-1),"")=0,"",IFERROR(INDEX((COPIA!$DA$3:$DE$1339),MATCH(ROWS(E$10:E780),COPIA!$DF$3:$DF$1339,0),COLUMN()-1),""))</f>
        <v/>
      </c>
      <c r="F780" s="6" t="str">
        <f ca="1">IF(IFERROR(INDEX((COPIA!$DA$3:$DE$1339),MATCH(ROWS(F$10:F780),COPIA!$DF$3:$DF$1339,0),COLUMN()-1),"")=0,"",IFERROR(INDEX((COPIA!$DA$3:$DE$1339),MATCH(ROWS(F$10:F780),COPIA!$DF$3:$DF$1339,0),COLUMN()-1),""))</f>
        <v/>
      </c>
    </row>
    <row r="781" spans="2:6" x14ac:dyDescent="0.3">
      <c r="B781" s="10" t="str">
        <f ca="1">IF(IFERROR(INDEX((COPIA!$DA$3:$DE$1339),MATCH(ROWS(B$10:B781),COPIA!$DF$3:$DF$1339,0),COLUMN()-1),"")&gt;=1,IFERROR(INDEX((COPIA!$DA$3:$DE$1339),MATCH(ROWS(B$10:B781),COPIA!$DF$3:$DF$1339,0),COLUMN()-1),""),"")</f>
        <v/>
      </c>
      <c r="C781" s="5" t="str">
        <f ca="1">SUBSTITUTE(IFERROR(INDEX((COPIA!$DA$3:$DE$1339),MATCH(ROWS(C$10:C781),COPIA!$DF$3:$DF$1339,0),COLUMN()-1),""),"MASTRO","")</f>
        <v/>
      </c>
      <c r="D781" s="136" t="str">
        <f ca="1">IF(IFERROR(INDEX((COPIA!$DA$3:$DE$1339),MATCH(ROWS(D$10:D781),COPIA!$DF$3:$DF$1339,0),COLUMN()-1),"")=0,"",IFERROR(INDEX((COPIA!$DA$3:$DE$1339),MATCH(ROWS(D$10:D781),COPIA!$DF$3:$DF$1339,0),COLUMN()-1),""))</f>
        <v/>
      </c>
      <c r="E781" s="9" t="str">
        <f ca="1">IF(IFERROR(INDEX((COPIA!$DA$3:$DE$1339),MATCH(ROWS(E$10:E781),COPIA!$DF$3:$DF$1339,0),COLUMN()-1),"")=0,"",IFERROR(INDEX((COPIA!$DA$3:$DE$1339),MATCH(ROWS(E$10:E781),COPIA!$DF$3:$DF$1339,0),COLUMN()-1),""))</f>
        <v/>
      </c>
      <c r="F781" s="6" t="str">
        <f ca="1">IF(IFERROR(INDEX((COPIA!$DA$3:$DE$1339),MATCH(ROWS(F$10:F781),COPIA!$DF$3:$DF$1339,0),COLUMN()-1),"")=0,"",IFERROR(INDEX((COPIA!$DA$3:$DE$1339),MATCH(ROWS(F$10:F781),COPIA!$DF$3:$DF$1339,0),COLUMN()-1),""))</f>
        <v/>
      </c>
    </row>
    <row r="782" spans="2:6" x14ac:dyDescent="0.3">
      <c r="B782" s="10" t="str">
        <f ca="1">IF(IFERROR(INDEX((COPIA!$DA$3:$DE$1339),MATCH(ROWS(B$10:B782),COPIA!$DF$3:$DF$1339,0),COLUMN()-1),"")&gt;=1,IFERROR(INDEX((COPIA!$DA$3:$DE$1339),MATCH(ROWS(B$10:B782),COPIA!$DF$3:$DF$1339,0),COLUMN()-1),""),"")</f>
        <v/>
      </c>
      <c r="C782" s="5" t="str">
        <f ca="1">SUBSTITUTE(IFERROR(INDEX((COPIA!$DA$3:$DE$1339),MATCH(ROWS(C$10:C782),COPIA!$DF$3:$DF$1339,0),COLUMN()-1),""),"MASTRO","")</f>
        <v/>
      </c>
      <c r="D782" s="136" t="str">
        <f ca="1">IF(IFERROR(INDEX((COPIA!$DA$3:$DE$1339),MATCH(ROWS(D$10:D782),COPIA!$DF$3:$DF$1339,0),COLUMN()-1),"")=0,"",IFERROR(INDEX((COPIA!$DA$3:$DE$1339),MATCH(ROWS(D$10:D782),COPIA!$DF$3:$DF$1339,0),COLUMN()-1),""))</f>
        <v/>
      </c>
      <c r="E782" s="9" t="str">
        <f ca="1">IF(IFERROR(INDEX((COPIA!$DA$3:$DE$1339),MATCH(ROWS(E$10:E782),COPIA!$DF$3:$DF$1339,0),COLUMN()-1),"")=0,"",IFERROR(INDEX((COPIA!$DA$3:$DE$1339),MATCH(ROWS(E$10:E782),COPIA!$DF$3:$DF$1339,0),COLUMN()-1),""))</f>
        <v/>
      </c>
      <c r="F782" s="6" t="str">
        <f ca="1">IF(IFERROR(INDEX((COPIA!$DA$3:$DE$1339),MATCH(ROWS(F$10:F782),COPIA!$DF$3:$DF$1339,0),COLUMN()-1),"")=0,"",IFERROR(INDEX((COPIA!$DA$3:$DE$1339),MATCH(ROWS(F$10:F782),COPIA!$DF$3:$DF$1339,0),COLUMN()-1),""))</f>
        <v/>
      </c>
    </row>
    <row r="783" spans="2:6" x14ac:dyDescent="0.3">
      <c r="B783" s="10" t="str">
        <f ca="1">IF(IFERROR(INDEX((COPIA!$DA$3:$DE$1339),MATCH(ROWS(B$10:B783),COPIA!$DF$3:$DF$1339,0),COLUMN()-1),"")&gt;=1,IFERROR(INDEX((COPIA!$DA$3:$DE$1339),MATCH(ROWS(B$10:B783),COPIA!$DF$3:$DF$1339,0),COLUMN()-1),""),"")</f>
        <v/>
      </c>
      <c r="C783" s="5" t="str">
        <f ca="1">SUBSTITUTE(IFERROR(INDEX((COPIA!$DA$3:$DE$1339),MATCH(ROWS(C$10:C783),COPIA!$DF$3:$DF$1339,0),COLUMN()-1),""),"MASTRO","")</f>
        <v/>
      </c>
      <c r="D783" s="136" t="str">
        <f ca="1">IF(IFERROR(INDEX((COPIA!$DA$3:$DE$1339),MATCH(ROWS(D$10:D783),COPIA!$DF$3:$DF$1339,0),COLUMN()-1),"")=0,"",IFERROR(INDEX((COPIA!$DA$3:$DE$1339),MATCH(ROWS(D$10:D783),COPIA!$DF$3:$DF$1339,0),COLUMN()-1),""))</f>
        <v/>
      </c>
      <c r="E783" s="9" t="str">
        <f ca="1">IF(IFERROR(INDEX((COPIA!$DA$3:$DE$1339),MATCH(ROWS(E$10:E783),COPIA!$DF$3:$DF$1339,0),COLUMN()-1),"")=0,"",IFERROR(INDEX((COPIA!$DA$3:$DE$1339),MATCH(ROWS(E$10:E783),COPIA!$DF$3:$DF$1339,0),COLUMN()-1),""))</f>
        <v/>
      </c>
      <c r="F783" s="6" t="str">
        <f ca="1">IF(IFERROR(INDEX((COPIA!$DA$3:$DE$1339),MATCH(ROWS(F$10:F783),COPIA!$DF$3:$DF$1339,0),COLUMN()-1),"")=0,"",IFERROR(INDEX((COPIA!$DA$3:$DE$1339),MATCH(ROWS(F$10:F783),COPIA!$DF$3:$DF$1339,0),COLUMN()-1),""))</f>
        <v/>
      </c>
    </row>
    <row r="784" spans="2:6" x14ac:dyDescent="0.3">
      <c r="B784" s="10" t="str">
        <f ca="1">IF(IFERROR(INDEX((COPIA!$DA$3:$DE$1339),MATCH(ROWS(B$10:B784),COPIA!$DF$3:$DF$1339,0),COLUMN()-1),"")&gt;=1,IFERROR(INDEX((COPIA!$DA$3:$DE$1339),MATCH(ROWS(B$10:B784),COPIA!$DF$3:$DF$1339,0),COLUMN()-1),""),"")</f>
        <v/>
      </c>
      <c r="C784" s="5" t="str">
        <f ca="1">SUBSTITUTE(IFERROR(INDEX((COPIA!$DA$3:$DE$1339),MATCH(ROWS(C$10:C784),COPIA!$DF$3:$DF$1339,0),COLUMN()-1),""),"MASTRO","")</f>
        <v/>
      </c>
      <c r="D784" s="136" t="str">
        <f ca="1">IF(IFERROR(INDEX((COPIA!$DA$3:$DE$1339),MATCH(ROWS(D$10:D784),COPIA!$DF$3:$DF$1339,0),COLUMN()-1),"")=0,"",IFERROR(INDEX((COPIA!$DA$3:$DE$1339),MATCH(ROWS(D$10:D784),COPIA!$DF$3:$DF$1339,0),COLUMN()-1),""))</f>
        <v/>
      </c>
      <c r="E784" s="9" t="str">
        <f ca="1">IF(IFERROR(INDEX((COPIA!$DA$3:$DE$1339),MATCH(ROWS(E$10:E784),COPIA!$DF$3:$DF$1339,0),COLUMN()-1),"")=0,"",IFERROR(INDEX((COPIA!$DA$3:$DE$1339),MATCH(ROWS(E$10:E784),COPIA!$DF$3:$DF$1339,0),COLUMN()-1),""))</f>
        <v/>
      </c>
      <c r="F784" s="6" t="str">
        <f ca="1">IF(IFERROR(INDEX((COPIA!$DA$3:$DE$1339),MATCH(ROWS(F$10:F784),COPIA!$DF$3:$DF$1339,0),COLUMN()-1),"")=0,"",IFERROR(INDEX((COPIA!$DA$3:$DE$1339),MATCH(ROWS(F$10:F784),COPIA!$DF$3:$DF$1339,0),COLUMN()-1),""))</f>
        <v/>
      </c>
    </row>
    <row r="785" spans="2:6" x14ac:dyDescent="0.3">
      <c r="B785" s="10" t="str">
        <f ca="1">IF(IFERROR(INDEX((COPIA!$DA$3:$DE$1339),MATCH(ROWS(B$10:B785),COPIA!$DF$3:$DF$1339,0),COLUMN()-1),"")&gt;=1,IFERROR(INDEX((COPIA!$DA$3:$DE$1339),MATCH(ROWS(B$10:B785),COPIA!$DF$3:$DF$1339,0),COLUMN()-1),""),"")</f>
        <v/>
      </c>
      <c r="C785" s="5" t="str">
        <f ca="1">SUBSTITUTE(IFERROR(INDEX((COPIA!$DA$3:$DE$1339),MATCH(ROWS(C$10:C785),COPIA!$DF$3:$DF$1339,0),COLUMN()-1),""),"MASTRO","")</f>
        <v/>
      </c>
      <c r="D785" s="136" t="str">
        <f ca="1">IF(IFERROR(INDEX((COPIA!$DA$3:$DE$1339),MATCH(ROWS(D$10:D785),COPIA!$DF$3:$DF$1339,0),COLUMN()-1),"")=0,"",IFERROR(INDEX((COPIA!$DA$3:$DE$1339),MATCH(ROWS(D$10:D785),COPIA!$DF$3:$DF$1339,0),COLUMN()-1),""))</f>
        <v/>
      </c>
      <c r="E785" s="9" t="str">
        <f ca="1">IF(IFERROR(INDEX((COPIA!$DA$3:$DE$1339),MATCH(ROWS(E$10:E785),COPIA!$DF$3:$DF$1339,0),COLUMN()-1),"")=0,"",IFERROR(INDEX((COPIA!$DA$3:$DE$1339),MATCH(ROWS(E$10:E785),COPIA!$DF$3:$DF$1339,0),COLUMN()-1),""))</f>
        <v/>
      </c>
      <c r="F785" s="6" t="str">
        <f ca="1">IF(IFERROR(INDEX((COPIA!$DA$3:$DE$1339),MATCH(ROWS(F$10:F785),COPIA!$DF$3:$DF$1339,0),COLUMN()-1),"")=0,"",IFERROR(INDEX((COPIA!$DA$3:$DE$1339),MATCH(ROWS(F$10:F785),COPIA!$DF$3:$DF$1339,0),COLUMN()-1),""))</f>
        <v/>
      </c>
    </row>
    <row r="786" spans="2:6" x14ac:dyDescent="0.3">
      <c r="B786" s="10" t="str">
        <f ca="1">IF(IFERROR(INDEX((COPIA!$DA$3:$DE$1339),MATCH(ROWS(B$10:B786),COPIA!$DF$3:$DF$1339,0),COLUMN()-1),"")&gt;=1,IFERROR(INDEX((COPIA!$DA$3:$DE$1339),MATCH(ROWS(B$10:B786),COPIA!$DF$3:$DF$1339,0),COLUMN()-1),""),"")</f>
        <v/>
      </c>
      <c r="C786" s="5" t="str">
        <f ca="1">SUBSTITUTE(IFERROR(INDEX((COPIA!$DA$3:$DE$1339),MATCH(ROWS(C$10:C786),COPIA!$DF$3:$DF$1339,0),COLUMN()-1),""),"MASTRO","")</f>
        <v/>
      </c>
      <c r="D786" s="136" t="str">
        <f ca="1">IF(IFERROR(INDEX((COPIA!$DA$3:$DE$1339),MATCH(ROWS(D$10:D786),COPIA!$DF$3:$DF$1339,0),COLUMN()-1),"")=0,"",IFERROR(INDEX((COPIA!$DA$3:$DE$1339),MATCH(ROWS(D$10:D786),COPIA!$DF$3:$DF$1339,0),COLUMN()-1),""))</f>
        <v/>
      </c>
      <c r="E786" s="9" t="str">
        <f ca="1">IF(IFERROR(INDEX((COPIA!$DA$3:$DE$1339),MATCH(ROWS(E$10:E786),COPIA!$DF$3:$DF$1339,0),COLUMN()-1),"")=0,"",IFERROR(INDEX((COPIA!$DA$3:$DE$1339),MATCH(ROWS(E$10:E786),COPIA!$DF$3:$DF$1339,0),COLUMN()-1),""))</f>
        <v/>
      </c>
      <c r="F786" s="6" t="str">
        <f ca="1">IF(IFERROR(INDEX((COPIA!$DA$3:$DE$1339),MATCH(ROWS(F$10:F786),COPIA!$DF$3:$DF$1339,0),COLUMN()-1),"")=0,"",IFERROR(INDEX((COPIA!$DA$3:$DE$1339),MATCH(ROWS(F$10:F786),COPIA!$DF$3:$DF$1339,0),COLUMN()-1),""))</f>
        <v/>
      </c>
    </row>
    <row r="787" spans="2:6" x14ac:dyDescent="0.3">
      <c r="B787" s="10" t="str">
        <f ca="1">IF(IFERROR(INDEX((COPIA!$DA$3:$DE$1339),MATCH(ROWS(B$10:B787),COPIA!$DF$3:$DF$1339,0),COLUMN()-1),"")&gt;=1,IFERROR(INDEX((COPIA!$DA$3:$DE$1339),MATCH(ROWS(B$10:B787),COPIA!$DF$3:$DF$1339,0),COLUMN()-1),""),"")</f>
        <v/>
      </c>
      <c r="C787" s="5" t="str">
        <f ca="1">SUBSTITUTE(IFERROR(INDEX((COPIA!$DA$3:$DE$1339),MATCH(ROWS(C$10:C787),COPIA!$DF$3:$DF$1339,0),COLUMN()-1),""),"MASTRO","")</f>
        <v/>
      </c>
      <c r="D787" s="136" t="str">
        <f ca="1">IF(IFERROR(INDEX((COPIA!$DA$3:$DE$1339),MATCH(ROWS(D$10:D787),COPIA!$DF$3:$DF$1339,0),COLUMN()-1),"")=0,"",IFERROR(INDEX((COPIA!$DA$3:$DE$1339),MATCH(ROWS(D$10:D787),COPIA!$DF$3:$DF$1339,0),COLUMN()-1),""))</f>
        <v/>
      </c>
      <c r="E787" s="9" t="str">
        <f ca="1">IF(IFERROR(INDEX((COPIA!$DA$3:$DE$1339),MATCH(ROWS(E$10:E787),COPIA!$DF$3:$DF$1339,0),COLUMN()-1),"")=0,"",IFERROR(INDEX((COPIA!$DA$3:$DE$1339),MATCH(ROWS(E$10:E787),COPIA!$DF$3:$DF$1339,0),COLUMN()-1),""))</f>
        <v/>
      </c>
      <c r="F787" s="6" t="str">
        <f ca="1">IF(IFERROR(INDEX((COPIA!$DA$3:$DE$1339),MATCH(ROWS(F$10:F787),COPIA!$DF$3:$DF$1339,0),COLUMN()-1),"")=0,"",IFERROR(INDEX((COPIA!$DA$3:$DE$1339),MATCH(ROWS(F$10:F787),COPIA!$DF$3:$DF$1339,0),COLUMN()-1),""))</f>
        <v/>
      </c>
    </row>
    <row r="788" spans="2:6" x14ac:dyDescent="0.3">
      <c r="B788" s="10" t="str">
        <f ca="1">IF(IFERROR(INDEX((COPIA!$DA$3:$DE$1339),MATCH(ROWS(B$10:B788),COPIA!$DF$3:$DF$1339,0),COLUMN()-1),"")&gt;=1,IFERROR(INDEX((COPIA!$DA$3:$DE$1339),MATCH(ROWS(B$10:B788),COPIA!$DF$3:$DF$1339,0),COLUMN()-1),""),"")</f>
        <v/>
      </c>
      <c r="C788" s="5" t="str">
        <f ca="1">SUBSTITUTE(IFERROR(INDEX((COPIA!$DA$3:$DE$1339),MATCH(ROWS(C$10:C788),COPIA!$DF$3:$DF$1339,0),COLUMN()-1),""),"MASTRO","")</f>
        <v/>
      </c>
      <c r="D788" s="136" t="str">
        <f ca="1">IF(IFERROR(INDEX((COPIA!$DA$3:$DE$1339),MATCH(ROWS(D$10:D788),COPIA!$DF$3:$DF$1339,0),COLUMN()-1),"")=0,"",IFERROR(INDEX((COPIA!$DA$3:$DE$1339),MATCH(ROWS(D$10:D788),COPIA!$DF$3:$DF$1339,0),COLUMN()-1),""))</f>
        <v/>
      </c>
      <c r="E788" s="9" t="str">
        <f ca="1">IF(IFERROR(INDEX((COPIA!$DA$3:$DE$1339),MATCH(ROWS(E$10:E788),COPIA!$DF$3:$DF$1339,0),COLUMN()-1),"")=0,"",IFERROR(INDEX((COPIA!$DA$3:$DE$1339),MATCH(ROWS(E$10:E788),COPIA!$DF$3:$DF$1339,0),COLUMN()-1),""))</f>
        <v/>
      </c>
      <c r="F788" s="6" t="str">
        <f ca="1">IF(IFERROR(INDEX((COPIA!$DA$3:$DE$1339),MATCH(ROWS(F$10:F788),COPIA!$DF$3:$DF$1339,0),COLUMN()-1),"")=0,"",IFERROR(INDEX((COPIA!$DA$3:$DE$1339),MATCH(ROWS(F$10:F788),COPIA!$DF$3:$DF$1339,0),COLUMN()-1),""))</f>
        <v/>
      </c>
    </row>
    <row r="789" spans="2:6" x14ac:dyDescent="0.3">
      <c r="B789" s="10" t="str">
        <f ca="1">IF(IFERROR(INDEX((COPIA!$DA$3:$DE$1339),MATCH(ROWS(B$10:B789),COPIA!$DF$3:$DF$1339,0),COLUMN()-1),"")&gt;=1,IFERROR(INDEX((COPIA!$DA$3:$DE$1339),MATCH(ROWS(B$10:B789),COPIA!$DF$3:$DF$1339,0),COLUMN()-1),""),"")</f>
        <v/>
      </c>
      <c r="C789" s="5" t="str">
        <f ca="1">SUBSTITUTE(IFERROR(INDEX((COPIA!$DA$3:$DE$1339),MATCH(ROWS(C$10:C789),COPIA!$DF$3:$DF$1339,0),COLUMN()-1),""),"MASTRO","")</f>
        <v/>
      </c>
      <c r="D789" s="136" t="str">
        <f ca="1">IF(IFERROR(INDEX((COPIA!$DA$3:$DE$1339),MATCH(ROWS(D$10:D789),COPIA!$DF$3:$DF$1339,0),COLUMN()-1),"")=0,"",IFERROR(INDEX((COPIA!$DA$3:$DE$1339),MATCH(ROWS(D$10:D789),COPIA!$DF$3:$DF$1339,0),COLUMN()-1),""))</f>
        <v/>
      </c>
      <c r="E789" s="9" t="str">
        <f ca="1">IF(IFERROR(INDEX((COPIA!$DA$3:$DE$1339),MATCH(ROWS(E$10:E789),COPIA!$DF$3:$DF$1339,0),COLUMN()-1),"")=0,"",IFERROR(INDEX((COPIA!$DA$3:$DE$1339),MATCH(ROWS(E$10:E789),COPIA!$DF$3:$DF$1339,0),COLUMN()-1),""))</f>
        <v/>
      </c>
      <c r="F789" s="6" t="str">
        <f ca="1">IF(IFERROR(INDEX((COPIA!$DA$3:$DE$1339),MATCH(ROWS(F$10:F789),COPIA!$DF$3:$DF$1339,0),COLUMN()-1),"")=0,"",IFERROR(INDEX((COPIA!$DA$3:$DE$1339),MATCH(ROWS(F$10:F789),COPIA!$DF$3:$DF$1339,0),COLUMN()-1),""))</f>
        <v/>
      </c>
    </row>
    <row r="790" spans="2:6" x14ac:dyDescent="0.3">
      <c r="B790" s="10" t="str">
        <f ca="1">IF(IFERROR(INDEX((COPIA!$DA$3:$DE$1339),MATCH(ROWS(B$10:B790),COPIA!$DF$3:$DF$1339,0),COLUMN()-1),"")&gt;=1,IFERROR(INDEX((COPIA!$DA$3:$DE$1339),MATCH(ROWS(B$10:B790),COPIA!$DF$3:$DF$1339,0),COLUMN()-1),""),"")</f>
        <v/>
      </c>
      <c r="C790" s="5" t="str">
        <f ca="1">SUBSTITUTE(IFERROR(INDEX((COPIA!$DA$3:$DE$1339),MATCH(ROWS(C$10:C790),COPIA!$DF$3:$DF$1339,0),COLUMN()-1),""),"MASTRO","")</f>
        <v/>
      </c>
      <c r="D790" s="136" t="str">
        <f ca="1">IF(IFERROR(INDEX((COPIA!$DA$3:$DE$1339),MATCH(ROWS(D$10:D790),COPIA!$DF$3:$DF$1339,0),COLUMN()-1),"")=0,"",IFERROR(INDEX((COPIA!$DA$3:$DE$1339),MATCH(ROWS(D$10:D790),COPIA!$DF$3:$DF$1339,0),COLUMN()-1),""))</f>
        <v/>
      </c>
      <c r="E790" s="9" t="str">
        <f ca="1">IF(IFERROR(INDEX((COPIA!$DA$3:$DE$1339),MATCH(ROWS(E$10:E790),COPIA!$DF$3:$DF$1339,0),COLUMN()-1),"")=0,"",IFERROR(INDEX((COPIA!$DA$3:$DE$1339),MATCH(ROWS(E$10:E790),COPIA!$DF$3:$DF$1339,0),COLUMN()-1),""))</f>
        <v/>
      </c>
      <c r="F790" s="6" t="str">
        <f ca="1">IF(IFERROR(INDEX((COPIA!$DA$3:$DE$1339),MATCH(ROWS(F$10:F790),COPIA!$DF$3:$DF$1339,0),COLUMN()-1),"")=0,"",IFERROR(INDEX((COPIA!$DA$3:$DE$1339),MATCH(ROWS(F$10:F790),COPIA!$DF$3:$DF$1339,0),COLUMN()-1),""))</f>
        <v/>
      </c>
    </row>
    <row r="791" spans="2:6" x14ac:dyDescent="0.3">
      <c r="B791" s="10" t="str">
        <f ca="1">IF(IFERROR(INDEX((COPIA!$DA$3:$DE$1339),MATCH(ROWS(B$10:B791),COPIA!$DF$3:$DF$1339,0),COLUMN()-1),"")&gt;=1,IFERROR(INDEX((COPIA!$DA$3:$DE$1339),MATCH(ROWS(B$10:B791),COPIA!$DF$3:$DF$1339,0),COLUMN()-1),""),"")</f>
        <v/>
      </c>
      <c r="C791" s="5" t="str">
        <f ca="1">SUBSTITUTE(IFERROR(INDEX((COPIA!$DA$3:$DE$1339),MATCH(ROWS(C$10:C791),COPIA!$DF$3:$DF$1339,0),COLUMN()-1),""),"MASTRO","")</f>
        <v/>
      </c>
      <c r="D791" s="136" t="str">
        <f ca="1">IF(IFERROR(INDEX((COPIA!$DA$3:$DE$1339),MATCH(ROWS(D$10:D791),COPIA!$DF$3:$DF$1339,0),COLUMN()-1),"")=0,"",IFERROR(INDEX((COPIA!$DA$3:$DE$1339),MATCH(ROWS(D$10:D791),COPIA!$DF$3:$DF$1339,0),COLUMN()-1),""))</f>
        <v/>
      </c>
      <c r="E791" s="9" t="str">
        <f ca="1">IF(IFERROR(INDEX((COPIA!$DA$3:$DE$1339),MATCH(ROWS(E$10:E791),COPIA!$DF$3:$DF$1339,0),COLUMN()-1),"")=0,"",IFERROR(INDEX((COPIA!$DA$3:$DE$1339),MATCH(ROWS(E$10:E791),COPIA!$DF$3:$DF$1339,0),COLUMN()-1),""))</f>
        <v/>
      </c>
      <c r="F791" s="6" t="str">
        <f ca="1">IF(IFERROR(INDEX((COPIA!$DA$3:$DE$1339),MATCH(ROWS(F$10:F791),COPIA!$DF$3:$DF$1339,0),COLUMN()-1),"")=0,"",IFERROR(INDEX((COPIA!$DA$3:$DE$1339),MATCH(ROWS(F$10:F791),COPIA!$DF$3:$DF$1339,0),COLUMN()-1),""))</f>
        <v/>
      </c>
    </row>
    <row r="792" spans="2:6" x14ac:dyDescent="0.3">
      <c r="B792" s="10" t="str">
        <f ca="1">IF(IFERROR(INDEX((COPIA!$DA$3:$DE$1339),MATCH(ROWS(B$10:B792),COPIA!$DF$3:$DF$1339,0),COLUMN()-1),"")&gt;=1,IFERROR(INDEX((COPIA!$DA$3:$DE$1339),MATCH(ROWS(B$10:B792),COPIA!$DF$3:$DF$1339,0),COLUMN()-1),""),"")</f>
        <v/>
      </c>
      <c r="C792" s="5" t="str">
        <f ca="1">SUBSTITUTE(IFERROR(INDEX((COPIA!$DA$3:$DE$1339),MATCH(ROWS(C$10:C792),COPIA!$DF$3:$DF$1339,0),COLUMN()-1),""),"MASTRO","")</f>
        <v/>
      </c>
      <c r="D792" s="136" t="str">
        <f ca="1">IF(IFERROR(INDEX((COPIA!$DA$3:$DE$1339),MATCH(ROWS(D$10:D792),COPIA!$DF$3:$DF$1339,0),COLUMN()-1),"")=0,"",IFERROR(INDEX((COPIA!$DA$3:$DE$1339),MATCH(ROWS(D$10:D792),COPIA!$DF$3:$DF$1339,0),COLUMN()-1),""))</f>
        <v/>
      </c>
      <c r="E792" s="9" t="str">
        <f ca="1">IF(IFERROR(INDEX((COPIA!$DA$3:$DE$1339),MATCH(ROWS(E$10:E792),COPIA!$DF$3:$DF$1339,0),COLUMN()-1),"")=0,"",IFERROR(INDEX((COPIA!$DA$3:$DE$1339),MATCH(ROWS(E$10:E792),COPIA!$DF$3:$DF$1339,0),COLUMN()-1),""))</f>
        <v/>
      </c>
      <c r="F792" s="6" t="str">
        <f ca="1">IF(IFERROR(INDEX((COPIA!$DA$3:$DE$1339),MATCH(ROWS(F$10:F792),COPIA!$DF$3:$DF$1339,0),COLUMN()-1),"")=0,"",IFERROR(INDEX((COPIA!$DA$3:$DE$1339),MATCH(ROWS(F$10:F792),COPIA!$DF$3:$DF$1339,0),COLUMN()-1),""))</f>
        <v/>
      </c>
    </row>
    <row r="793" spans="2:6" x14ac:dyDescent="0.3">
      <c r="B793" s="10" t="str">
        <f ca="1">IF(IFERROR(INDEX((COPIA!$DA$3:$DE$1339),MATCH(ROWS(B$10:B793),COPIA!$DF$3:$DF$1339,0),COLUMN()-1),"")&gt;=1,IFERROR(INDEX((COPIA!$DA$3:$DE$1339),MATCH(ROWS(B$10:B793),COPIA!$DF$3:$DF$1339,0),COLUMN()-1),""),"")</f>
        <v/>
      </c>
      <c r="C793" s="5" t="str">
        <f ca="1">SUBSTITUTE(IFERROR(INDEX((COPIA!$DA$3:$DE$1339),MATCH(ROWS(C$10:C793),COPIA!$DF$3:$DF$1339,0),COLUMN()-1),""),"MASTRO","")</f>
        <v/>
      </c>
      <c r="D793" s="136" t="str">
        <f ca="1">IF(IFERROR(INDEX((COPIA!$DA$3:$DE$1339),MATCH(ROWS(D$10:D793),COPIA!$DF$3:$DF$1339,0),COLUMN()-1),"")=0,"",IFERROR(INDEX((COPIA!$DA$3:$DE$1339),MATCH(ROWS(D$10:D793),COPIA!$DF$3:$DF$1339,0),COLUMN()-1),""))</f>
        <v/>
      </c>
      <c r="E793" s="9" t="str">
        <f ca="1">IF(IFERROR(INDEX((COPIA!$DA$3:$DE$1339),MATCH(ROWS(E$10:E793),COPIA!$DF$3:$DF$1339,0),COLUMN()-1),"")=0,"",IFERROR(INDEX((COPIA!$DA$3:$DE$1339),MATCH(ROWS(E$10:E793),COPIA!$DF$3:$DF$1339,0),COLUMN()-1),""))</f>
        <v/>
      </c>
      <c r="F793" s="6" t="str">
        <f ca="1">IF(IFERROR(INDEX((COPIA!$DA$3:$DE$1339),MATCH(ROWS(F$10:F793),COPIA!$DF$3:$DF$1339,0),COLUMN()-1),"")=0,"",IFERROR(INDEX((COPIA!$DA$3:$DE$1339),MATCH(ROWS(F$10:F793),COPIA!$DF$3:$DF$1339,0),COLUMN()-1),""))</f>
        <v/>
      </c>
    </row>
    <row r="794" spans="2:6" x14ac:dyDescent="0.3">
      <c r="B794" s="10" t="str">
        <f ca="1">IF(IFERROR(INDEX((COPIA!$DA$3:$DE$1339),MATCH(ROWS(B$10:B794),COPIA!$DF$3:$DF$1339,0),COLUMN()-1),"")&gt;=1,IFERROR(INDEX((COPIA!$DA$3:$DE$1339),MATCH(ROWS(B$10:B794),COPIA!$DF$3:$DF$1339,0),COLUMN()-1),""),"")</f>
        <v/>
      </c>
      <c r="C794" s="5" t="str">
        <f ca="1">SUBSTITUTE(IFERROR(INDEX((COPIA!$DA$3:$DE$1339),MATCH(ROWS(C$10:C794),COPIA!$DF$3:$DF$1339,0),COLUMN()-1),""),"MASTRO","")</f>
        <v/>
      </c>
      <c r="D794" s="136" t="str">
        <f ca="1">IF(IFERROR(INDEX((COPIA!$DA$3:$DE$1339),MATCH(ROWS(D$10:D794),COPIA!$DF$3:$DF$1339,0),COLUMN()-1),"")=0,"",IFERROR(INDEX((COPIA!$DA$3:$DE$1339),MATCH(ROWS(D$10:D794),COPIA!$DF$3:$DF$1339,0),COLUMN()-1),""))</f>
        <v/>
      </c>
      <c r="E794" s="9" t="str">
        <f ca="1">IF(IFERROR(INDEX((COPIA!$DA$3:$DE$1339),MATCH(ROWS(E$10:E794),COPIA!$DF$3:$DF$1339,0),COLUMN()-1),"")=0,"",IFERROR(INDEX((COPIA!$DA$3:$DE$1339),MATCH(ROWS(E$10:E794),COPIA!$DF$3:$DF$1339,0),COLUMN()-1),""))</f>
        <v/>
      </c>
      <c r="F794" s="6" t="str">
        <f ca="1">IF(IFERROR(INDEX((COPIA!$DA$3:$DE$1339),MATCH(ROWS(F$10:F794),COPIA!$DF$3:$DF$1339,0),COLUMN()-1),"")=0,"",IFERROR(INDEX((COPIA!$DA$3:$DE$1339),MATCH(ROWS(F$10:F794),COPIA!$DF$3:$DF$1339,0),COLUMN()-1),""))</f>
        <v/>
      </c>
    </row>
    <row r="795" spans="2:6" x14ac:dyDescent="0.3">
      <c r="B795" s="10" t="str">
        <f ca="1">IF(IFERROR(INDEX((COPIA!$DA$3:$DE$1339),MATCH(ROWS(B$10:B795),COPIA!$DF$3:$DF$1339,0),COLUMN()-1),"")&gt;=1,IFERROR(INDEX((COPIA!$DA$3:$DE$1339),MATCH(ROWS(B$10:B795),COPIA!$DF$3:$DF$1339,0),COLUMN()-1),""),"")</f>
        <v/>
      </c>
      <c r="C795" s="5" t="str">
        <f ca="1">SUBSTITUTE(IFERROR(INDEX((COPIA!$DA$3:$DE$1339),MATCH(ROWS(C$10:C795),COPIA!$DF$3:$DF$1339,0),COLUMN()-1),""),"MASTRO","")</f>
        <v/>
      </c>
      <c r="D795" s="136" t="str">
        <f ca="1">IF(IFERROR(INDEX((COPIA!$DA$3:$DE$1339),MATCH(ROWS(D$10:D795),COPIA!$DF$3:$DF$1339,0),COLUMN()-1),"")=0,"",IFERROR(INDEX((COPIA!$DA$3:$DE$1339),MATCH(ROWS(D$10:D795),COPIA!$DF$3:$DF$1339,0),COLUMN()-1),""))</f>
        <v/>
      </c>
      <c r="E795" s="9" t="str">
        <f ca="1">IF(IFERROR(INDEX((COPIA!$DA$3:$DE$1339),MATCH(ROWS(E$10:E795),COPIA!$DF$3:$DF$1339,0),COLUMN()-1),"")=0,"",IFERROR(INDEX((COPIA!$DA$3:$DE$1339),MATCH(ROWS(E$10:E795),COPIA!$DF$3:$DF$1339,0),COLUMN()-1),""))</f>
        <v/>
      </c>
      <c r="F795" s="6" t="str">
        <f ca="1">IF(IFERROR(INDEX((COPIA!$DA$3:$DE$1339),MATCH(ROWS(F$10:F795),COPIA!$DF$3:$DF$1339,0),COLUMN()-1),"")=0,"",IFERROR(INDEX((COPIA!$DA$3:$DE$1339),MATCH(ROWS(F$10:F795),COPIA!$DF$3:$DF$1339,0),COLUMN()-1),""))</f>
        <v/>
      </c>
    </row>
    <row r="796" spans="2:6" x14ac:dyDescent="0.3">
      <c r="B796" s="10" t="str">
        <f ca="1">IF(IFERROR(INDEX((COPIA!$DA$3:$DE$1339),MATCH(ROWS(B$10:B796),COPIA!$DF$3:$DF$1339,0),COLUMN()-1),"")&gt;=1,IFERROR(INDEX((COPIA!$DA$3:$DE$1339),MATCH(ROWS(B$10:B796),COPIA!$DF$3:$DF$1339,0),COLUMN()-1),""),"")</f>
        <v/>
      </c>
      <c r="C796" s="5" t="str">
        <f ca="1">SUBSTITUTE(IFERROR(INDEX((COPIA!$DA$3:$DE$1339),MATCH(ROWS(C$10:C796),COPIA!$DF$3:$DF$1339,0),COLUMN()-1),""),"MASTRO","")</f>
        <v/>
      </c>
      <c r="D796" s="136" t="str">
        <f ca="1">IF(IFERROR(INDEX((COPIA!$DA$3:$DE$1339),MATCH(ROWS(D$10:D796),COPIA!$DF$3:$DF$1339,0),COLUMN()-1),"")=0,"",IFERROR(INDEX((COPIA!$DA$3:$DE$1339),MATCH(ROWS(D$10:D796),COPIA!$DF$3:$DF$1339,0),COLUMN()-1),""))</f>
        <v/>
      </c>
      <c r="E796" s="9" t="str">
        <f ca="1">IF(IFERROR(INDEX((COPIA!$DA$3:$DE$1339),MATCH(ROWS(E$10:E796),COPIA!$DF$3:$DF$1339,0),COLUMN()-1),"")=0,"",IFERROR(INDEX((COPIA!$DA$3:$DE$1339),MATCH(ROWS(E$10:E796),COPIA!$DF$3:$DF$1339,0),COLUMN()-1),""))</f>
        <v/>
      </c>
      <c r="F796" s="6" t="str">
        <f ca="1">IF(IFERROR(INDEX((COPIA!$DA$3:$DE$1339),MATCH(ROWS(F$10:F796),COPIA!$DF$3:$DF$1339,0),COLUMN()-1),"")=0,"",IFERROR(INDEX((COPIA!$DA$3:$DE$1339),MATCH(ROWS(F$10:F796),COPIA!$DF$3:$DF$1339,0),COLUMN()-1),""))</f>
        <v/>
      </c>
    </row>
    <row r="797" spans="2:6" x14ac:dyDescent="0.3">
      <c r="B797" s="10" t="str">
        <f ca="1">IF(IFERROR(INDEX((COPIA!$DA$3:$DE$1339),MATCH(ROWS(B$10:B797),COPIA!$DF$3:$DF$1339,0),COLUMN()-1),"")&gt;=1,IFERROR(INDEX((COPIA!$DA$3:$DE$1339),MATCH(ROWS(B$10:B797),COPIA!$DF$3:$DF$1339,0),COLUMN()-1),""),"")</f>
        <v/>
      </c>
      <c r="C797" s="5" t="str">
        <f ca="1">SUBSTITUTE(IFERROR(INDEX((COPIA!$DA$3:$DE$1339),MATCH(ROWS(C$10:C797),COPIA!$DF$3:$DF$1339,0),COLUMN()-1),""),"MASTRO","")</f>
        <v/>
      </c>
      <c r="D797" s="136" t="str">
        <f ca="1">IF(IFERROR(INDEX((COPIA!$DA$3:$DE$1339),MATCH(ROWS(D$10:D797),COPIA!$DF$3:$DF$1339,0),COLUMN()-1),"")=0,"",IFERROR(INDEX((COPIA!$DA$3:$DE$1339),MATCH(ROWS(D$10:D797),COPIA!$DF$3:$DF$1339,0),COLUMN()-1),""))</f>
        <v/>
      </c>
      <c r="E797" s="9" t="str">
        <f ca="1">IF(IFERROR(INDEX((COPIA!$DA$3:$DE$1339),MATCH(ROWS(E$10:E797),COPIA!$DF$3:$DF$1339,0),COLUMN()-1),"")=0,"",IFERROR(INDEX((COPIA!$DA$3:$DE$1339),MATCH(ROWS(E$10:E797),COPIA!$DF$3:$DF$1339,0),COLUMN()-1),""))</f>
        <v/>
      </c>
      <c r="F797" s="6" t="str">
        <f ca="1">IF(IFERROR(INDEX((COPIA!$DA$3:$DE$1339),MATCH(ROWS(F$10:F797),COPIA!$DF$3:$DF$1339,0),COLUMN()-1),"")=0,"",IFERROR(INDEX((COPIA!$DA$3:$DE$1339),MATCH(ROWS(F$10:F797),COPIA!$DF$3:$DF$1339,0),COLUMN()-1),""))</f>
        <v/>
      </c>
    </row>
    <row r="798" spans="2:6" x14ac:dyDescent="0.3">
      <c r="B798" s="10" t="str">
        <f ca="1">IF(IFERROR(INDEX((COPIA!$DA$3:$DE$1339),MATCH(ROWS(B$10:B798),COPIA!$DF$3:$DF$1339,0),COLUMN()-1),"")&gt;=1,IFERROR(INDEX((COPIA!$DA$3:$DE$1339),MATCH(ROWS(B$10:B798),COPIA!$DF$3:$DF$1339,0),COLUMN()-1),""),"")</f>
        <v/>
      </c>
      <c r="C798" s="5" t="str">
        <f ca="1">SUBSTITUTE(IFERROR(INDEX((COPIA!$DA$3:$DE$1339),MATCH(ROWS(C$10:C798),COPIA!$DF$3:$DF$1339,0),COLUMN()-1),""),"MASTRO","")</f>
        <v/>
      </c>
      <c r="D798" s="136" t="str">
        <f ca="1">IF(IFERROR(INDEX((COPIA!$DA$3:$DE$1339),MATCH(ROWS(D$10:D798),COPIA!$DF$3:$DF$1339,0),COLUMN()-1),"")=0,"",IFERROR(INDEX((COPIA!$DA$3:$DE$1339),MATCH(ROWS(D$10:D798),COPIA!$DF$3:$DF$1339,0),COLUMN()-1),""))</f>
        <v/>
      </c>
      <c r="E798" s="9" t="str">
        <f ca="1">IF(IFERROR(INDEX((COPIA!$DA$3:$DE$1339),MATCH(ROWS(E$10:E798),COPIA!$DF$3:$DF$1339,0),COLUMN()-1),"")=0,"",IFERROR(INDEX((COPIA!$DA$3:$DE$1339),MATCH(ROWS(E$10:E798),COPIA!$DF$3:$DF$1339,0),COLUMN()-1),""))</f>
        <v/>
      </c>
      <c r="F798" s="6" t="str">
        <f ca="1">IF(IFERROR(INDEX((COPIA!$DA$3:$DE$1339),MATCH(ROWS(F$10:F798),COPIA!$DF$3:$DF$1339,0),COLUMN()-1),"")=0,"",IFERROR(INDEX((COPIA!$DA$3:$DE$1339),MATCH(ROWS(F$10:F798),COPIA!$DF$3:$DF$1339,0),COLUMN()-1),""))</f>
        <v/>
      </c>
    </row>
    <row r="799" spans="2:6" x14ac:dyDescent="0.3">
      <c r="B799" s="10" t="str">
        <f ca="1">IF(IFERROR(INDEX((COPIA!$DA$3:$DE$1339),MATCH(ROWS(B$10:B799),COPIA!$DF$3:$DF$1339,0),COLUMN()-1),"")&gt;=1,IFERROR(INDEX((COPIA!$DA$3:$DE$1339),MATCH(ROWS(B$10:B799),COPIA!$DF$3:$DF$1339,0),COLUMN()-1),""),"")</f>
        <v/>
      </c>
      <c r="C799" s="5" t="str">
        <f ca="1">SUBSTITUTE(IFERROR(INDEX((COPIA!$DA$3:$DE$1339),MATCH(ROWS(C$10:C799),COPIA!$DF$3:$DF$1339,0),COLUMN()-1),""),"MASTRO","")</f>
        <v/>
      </c>
      <c r="D799" s="136" t="str">
        <f ca="1">IF(IFERROR(INDEX((COPIA!$DA$3:$DE$1339),MATCH(ROWS(D$10:D799),COPIA!$DF$3:$DF$1339,0),COLUMN()-1),"")=0,"",IFERROR(INDEX((COPIA!$DA$3:$DE$1339),MATCH(ROWS(D$10:D799),COPIA!$DF$3:$DF$1339,0),COLUMN()-1),""))</f>
        <v/>
      </c>
      <c r="E799" s="9" t="str">
        <f ca="1">IF(IFERROR(INDEX((COPIA!$DA$3:$DE$1339),MATCH(ROWS(E$10:E799),COPIA!$DF$3:$DF$1339,0),COLUMN()-1),"")=0,"",IFERROR(INDEX((COPIA!$DA$3:$DE$1339),MATCH(ROWS(E$10:E799),COPIA!$DF$3:$DF$1339,0),COLUMN()-1),""))</f>
        <v/>
      </c>
      <c r="F799" s="6" t="str">
        <f ca="1">IF(IFERROR(INDEX((COPIA!$DA$3:$DE$1339),MATCH(ROWS(F$10:F799),COPIA!$DF$3:$DF$1339,0),COLUMN()-1),"")=0,"",IFERROR(INDEX((COPIA!$DA$3:$DE$1339),MATCH(ROWS(F$10:F799),COPIA!$DF$3:$DF$1339,0),COLUMN()-1),""))</f>
        <v/>
      </c>
    </row>
    <row r="800" spans="2:6" x14ac:dyDescent="0.3">
      <c r="B800" s="10" t="str">
        <f ca="1">IF(IFERROR(INDEX((COPIA!$DA$3:$DE$1339),MATCH(ROWS(B$10:B800),COPIA!$DF$3:$DF$1339,0),COLUMN()-1),"")&gt;=1,IFERROR(INDEX((COPIA!$DA$3:$DE$1339),MATCH(ROWS(B$10:B800),COPIA!$DF$3:$DF$1339,0),COLUMN()-1),""),"")</f>
        <v/>
      </c>
      <c r="C800" s="5" t="str">
        <f ca="1">SUBSTITUTE(IFERROR(INDEX((COPIA!$DA$3:$DE$1339),MATCH(ROWS(C$10:C800),COPIA!$DF$3:$DF$1339,0),COLUMN()-1),""),"MASTRO","")</f>
        <v/>
      </c>
      <c r="D800" s="136" t="str">
        <f ca="1">IF(IFERROR(INDEX((COPIA!$DA$3:$DE$1339),MATCH(ROWS(D$10:D800),COPIA!$DF$3:$DF$1339,0),COLUMN()-1),"")=0,"",IFERROR(INDEX((COPIA!$DA$3:$DE$1339),MATCH(ROWS(D$10:D800),COPIA!$DF$3:$DF$1339,0),COLUMN()-1),""))</f>
        <v/>
      </c>
      <c r="E800" s="9" t="str">
        <f ca="1">IF(IFERROR(INDEX((COPIA!$DA$3:$DE$1339),MATCH(ROWS(E$10:E800),COPIA!$DF$3:$DF$1339,0),COLUMN()-1),"")=0,"",IFERROR(INDEX((COPIA!$DA$3:$DE$1339),MATCH(ROWS(E$10:E800),COPIA!$DF$3:$DF$1339,0),COLUMN()-1),""))</f>
        <v/>
      </c>
      <c r="F800" s="6" t="str">
        <f ca="1">IF(IFERROR(INDEX((COPIA!$DA$3:$DE$1339),MATCH(ROWS(F$10:F800),COPIA!$DF$3:$DF$1339,0),COLUMN()-1),"")=0,"",IFERROR(INDEX((COPIA!$DA$3:$DE$1339),MATCH(ROWS(F$10:F800),COPIA!$DF$3:$DF$1339,0),COLUMN()-1),""))</f>
        <v/>
      </c>
    </row>
    <row r="801" spans="2:6" x14ac:dyDescent="0.3">
      <c r="B801" s="10" t="str">
        <f ca="1">IF(IFERROR(INDEX((COPIA!$DA$3:$DE$1339),MATCH(ROWS(B$10:B801),COPIA!$DF$3:$DF$1339,0),COLUMN()-1),"")&gt;=1,IFERROR(INDEX((COPIA!$DA$3:$DE$1339),MATCH(ROWS(B$10:B801),COPIA!$DF$3:$DF$1339,0),COLUMN()-1),""),"")</f>
        <v/>
      </c>
      <c r="C801" s="5" t="str">
        <f ca="1">SUBSTITUTE(IFERROR(INDEX((COPIA!$DA$3:$DE$1339),MATCH(ROWS(C$10:C801),COPIA!$DF$3:$DF$1339,0),COLUMN()-1),""),"MASTRO","")</f>
        <v/>
      </c>
      <c r="D801" s="136" t="str">
        <f ca="1">IF(IFERROR(INDEX((COPIA!$DA$3:$DE$1339),MATCH(ROWS(D$10:D801),COPIA!$DF$3:$DF$1339,0),COLUMN()-1),"")=0,"",IFERROR(INDEX((COPIA!$DA$3:$DE$1339),MATCH(ROWS(D$10:D801),COPIA!$DF$3:$DF$1339,0),COLUMN()-1),""))</f>
        <v/>
      </c>
      <c r="E801" s="9" t="str">
        <f ca="1">IF(IFERROR(INDEX((COPIA!$DA$3:$DE$1339),MATCH(ROWS(E$10:E801),COPIA!$DF$3:$DF$1339,0),COLUMN()-1),"")=0,"",IFERROR(INDEX((COPIA!$DA$3:$DE$1339),MATCH(ROWS(E$10:E801),COPIA!$DF$3:$DF$1339,0),COLUMN()-1),""))</f>
        <v/>
      </c>
      <c r="F801" s="6" t="str">
        <f ca="1">IF(IFERROR(INDEX((COPIA!$DA$3:$DE$1339),MATCH(ROWS(F$10:F801),COPIA!$DF$3:$DF$1339,0),COLUMN()-1),"")=0,"",IFERROR(INDEX((COPIA!$DA$3:$DE$1339),MATCH(ROWS(F$10:F801),COPIA!$DF$3:$DF$1339,0),COLUMN()-1),""))</f>
        <v/>
      </c>
    </row>
    <row r="802" spans="2:6" x14ac:dyDescent="0.3">
      <c r="B802" s="10" t="str">
        <f ca="1">IF(IFERROR(INDEX((COPIA!$DA$3:$DE$1339),MATCH(ROWS(B$10:B802),COPIA!$DF$3:$DF$1339,0),COLUMN()-1),"")&gt;=1,IFERROR(INDEX((COPIA!$DA$3:$DE$1339),MATCH(ROWS(B$10:B802),COPIA!$DF$3:$DF$1339,0),COLUMN()-1),""),"")</f>
        <v/>
      </c>
      <c r="C802" s="5" t="str">
        <f ca="1">SUBSTITUTE(IFERROR(INDEX((COPIA!$DA$3:$DE$1339),MATCH(ROWS(C$10:C802),COPIA!$DF$3:$DF$1339,0),COLUMN()-1),""),"MASTRO","")</f>
        <v/>
      </c>
      <c r="D802" s="136" t="str">
        <f ca="1">IF(IFERROR(INDEX((COPIA!$DA$3:$DE$1339),MATCH(ROWS(D$10:D802),COPIA!$DF$3:$DF$1339,0),COLUMN()-1),"")=0,"",IFERROR(INDEX((COPIA!$DA$3:$DE$1339),MATCH(ROWS(D$10:D802),COPIA!$DF$3:$DF$1339,0),COLUMN()-1),""))</f>
        <v/>
      </c>
      <c r="E802" s="9" t="str">
        <f ca="1">IF(IFERROR(INDEX((COPIA!$DA$3:$DE$1339),MATCH(ROWS(E$10:E802),COPIA!$DF$3:$DF$1339,0),COLUMN()-1),"")=0,"",IFERROR(INDEX((COPIA!$DA$3:$DE$1339),MATCH(ROWS(E$10:E802),COPIA!$DF$3:$DF$1339,0),COLUMN()-1),""))</f>
        <v/>
      </c>
      <c r="F802" s="6" t="str">
        <f ca="1">IF(IFERROR(INDEX((COPIA!$DA$3:$DE$1339),MATCH(ROWS(F$10:F802),COPIA!$DF$3:$DF$1339,0),COLUMN()-1),"")=0,"",IFERROR(INDEX((COPIA!$DA$3:$DE$1339),MATCH(ROWS(F$10:F802),COPIA!$DF$3:$DF$1339,0),COLUMN()-1),""))</f>
        <v/>
      </c>
    </row>
    <row r="803" spans="2:6" x14ac:dyDescent="0.3">
      <c r="B803" s="10" t="str">
        <f ca="1">IF(IFERROR(INDEX((COPIA!$DA$3:$DE$1339),MATCH(ROWS(B$10:B803),COPIA!$DF$3:$DF$1339,0),COLUMN()-1),"")&gt;=1,IFERROR(INDEX((COPIA!$DA$3:$DE$1339),MATCH(ROWS(B$10:B803),COPIA!$DF$3:$DF$1339,0),COLUMN()-1),""),"")</f>
        <v/>
      </c>
      <c r="C803" s="5" t="str">
        <f ca="1">SUBSTITUTE(IFERROR(INDEX((COPIA!$DA$3:$DE$1339),MATCH(ROWS(C$10:C803),COPIA!$DF$3:$DF$1339,0),COLUMN()-1),""),"MASTRO","")</f>
        <v/>
      </c>
      <c r="D803" s="136" t="str">
        <f ca="1">IF(IFERROR(INDEX((COPIA!$DA$3:$DE$1339),MATCH(ROWS(D$10:D803),COPIA!$DF$3:$DF$1339,0),COLUMN()-1),"")=0,"",IFERROR(INDEX((COPIA!$DA$3:$DE$1339),MATCH(ROWS(D$10:D803),COPIA!$DF$3:$DF$1339,0),COLUMN()-1),""))</f>
        <v/>
      </c>
      <c r="E803" s="9" t="str">
        <f ca="1">IF(IFERROR(INDEX((COPIA!$DA$3:$DE$1339),MATCH(ROWS(E$10:E803),COPIA!$DF$3:$DF$1339,0),COLUMN()-1),"")=0,"",IFERROR(INDEX((COPIA!$DA$3:$DE$1339),MATCH(ROWS(E$10:E803),COPIA!$DF$3:$DF$1339,0),COLUMN()-1),""))</f>
        <v/>
      </c>
      <c r="F803" s="6" t="str">
        <f ca="1">IF(IFERROR(INDEX((COPIA!$DA$3:$DE$1339),MATCH(ROWS(F$10:F803),COPIA!$DF$3:$DF$1339,0),COLUMN()-1),"")=0,"",IFERROR(INDEX((COPIA!$DA$3:$DE$1339),MATCH(ROWS(F$10:F803),COPIA!$DF$3:$DF$1339,0),COLUMN()-1),""))</f>
        <v/>
      </c>
    </row>
    <row r="804" spans="2:6" x14ac:dyDescent="0.3">
      <c r="B804" s="10" t="str">
        <f ca="1">IF(IFERROR(INDEX((COPIA!$DA$3:$DE$1339),MATCH(ROWS(B$10:B804),COPIA!$DF$3:$DF$1339,0),COLUMN()-1),"")&gt;=1,IFERROR(INDEX((COPIA!$DA$3:$DE$1339),MATCH(ROWS(B$10:B804),COPIA!$DF$3:$DF$1339,0),COLUMN()-1),""),"")</f>
        <v/>
      </c>
      <c r="C804" s="5" t="str">
        <f ca="1">SUBSTITUTE(IFERROR(INDEX((COPIA!$DA$3:$DE$1339),MATCH(ROWS(C$10:C804),COPIA!$DF$3:$DF$1339,0),COLUMN()-1),""),"MASTRO","")</f>
        <v/>
      </c>
      <c r="D804" s="136" t="str">
        <f ca="1">IF(IFERROR(INDEX((COPIA!$DA$3:$DE$1339),MATCH(ROWS(D$10:D804),COPIA!$DF$3:$DF$1339,0),COLUMN()-1),"")=0,"",IFERROR(INDEX((COPIA!$DA$3:$DE$1339),MATCH(ROWS(D$10:D804),COPIA!$DF$3:$DF$1339,0),COLUMN()-1),""))</f>
        <v/>
      </c>
      <c r="E804" s="9" t="str">
        <f ca="1">IF(IFERROR(INDEX((COPIA!$DA$3:$DE$1339),MATCH(ROWS(E$10:E804),COPIA!$DF$3:$DF$1339,0),COLUMN()-1),"")=0,"",IFERROR(INDEX((COPIA!$DA$3:$DE$1339),MATCH(ROWS(E$10:E804),COPIA!$DF$3:$DF$1339,0),COLUMN()-1),""))</f>
        <v/>
      </c>
      <c r="F804" s="6" t="str">
        <f ca="1">IF(IFERROR(INDEX((COPIA!$DA$3:$DE$1339),MATCH(ROWS(F$10:F804),COPIA!$DF$3:$DF$1339,0),COLUMN()-1),"")=0,"",IFERROR(INDEX((COPIA!$DA$3:$DE$1339),MATCH(ROWS(F$10:F804),COPIA!$DF$3:$DF$1339,0),COLUMN()-1),""))</f>
        <v/>
      </c>
    </row>
    <row r="805" spans="2:6" x14ac:dyDescent="0.3">
      <c r="B805" s="10" t="str">
        <f ca="1">IF(IFERROR(INDEX((COPIA!$DA$3:$DE$1339),MATCH(ROWS(B$10:B805),COPIA!$DF$3:$DF$1339,0),COLUMN()-1),"")&gt;=1,IFERROR(INDEX((COPIA!$DA$3:$DE$1339),MATCH(ROWS(B$10:B805),COPIA!$DF$3:$DF$1339,0),COLUMN()-1),""),"")</f>
        <v/>
      </c>
      <c r="C805" s="5" t="str">
        <f ca="1">SUBSTITUTE(IFERROR(INDEX((COPIA!$DA$3:$DE$1339),MATCH(ROWS(C$10:C805),COPIA!$DF$3:$DF$1339,0),COLUMN()-1),""),"MASTRO","")</f>
        <v/>
      </c>
      <c r="D805" s="136" t="str">
        <f ca="1">IF(IFERROR(INDEX((COPIA!$DA$3:$DE$1339),MATCH(ROWS(D$10:D805),COPIA!$DF$3:$DF$1339,0),COLUMN()-1),"")=0,"",IFERROR(INDEX((COPIA!$DA$3:$DE$1339),MATCH(ROWS(D$10:D805),COPIA!$DF$3:$DF$1339,0),COLUMN()-1),""))</f>
        <v/>
      </c>
      <c r="E805" s="9" t="str">
        <f ca="1">IF(IFERROR(INDEX((COPIA!$DA$3:$DE$1339),MATCH(ROWS(E$10:E805),COPIA!$DF$3:$DF$1339,0),COLUMN()-1),"")=0,"",IFERROR(INDEX((COPIA!$DA$3:$DE$1339),MATCH(ROWS(E$10:E805),COPIA!$DF$3:$DF$1339,0),COLUMN()-1),""))</f>
        <v/>
      </c>
      <c r="F805" s="6" t="str">
        <f ca="1">IF(IFERROR(INDEX((COPIA!$DA$3:$DE$1339),MATCH(ROWS(F$10:F805),COPIA!$DF$3:$DF$1339,0),COLUMN()-1),"")=0,"",IFERROR(INDEX((COPIA!$DA$3:$DE$1339),MATCH(ROWS(F$10:F805),COPIA!$DF$3:$DF$1339,0),COLUMN()-1),""))</f>
        <v/>
      </c>
    </row>
    <row r="806" spans="2:6" x14ac:dyDescent="0.3">
      <c r="B806" s="10" t="str">
        <f ca="1">IF(IFERROR(INDEX((COPIA!$DA$3:$DE$1339),MATCH(ROWS(B$10:B806),COPIA!$DF$3:$DF$1339,0),COLUMN()-1),"")&gt;=1,IFERROR(INDEX((COPIA!$DA$3:$DE$1339),MATCH(ROWS(B$10:B806),COPIA!$DF$3:$DF$1339,0),COLUMN()-1),""),"")</f>
        <v/>
      </c>
      <c r="C806" s="5" t="str">
        <f ca="1">SUBSTITUTE(IFERROR(INDEX((COPIA!$DA$3:$DE$1339),MATCH(ROWS(C$10:C806),COPIA!$DF$3:$DF$1339,0),COLUMN()-1),""),"MASTRO","")</f>
        <v/>
      </c>
      <c r="D806" s="136" t="str">
        <f ca="1">IF(IFERROR(INDEX((COPIA!$DA$3:$DE$1339),MATCH(ROWS(D$10:D806),COPIA!$DF$3:$DF$1339,0),COLUMN()-1),"")=0,"",IFERROR(INDEX((COPIA!$DA$3:$DE$1339),MATCH(ROWS(D$10:D806),COPIA!$DF$3:$DF$1339,0),COLUMN()-1),""))</f>
        <v/>
      </c>
      <c r="E806" s="9" t="str">
        <f ca="1">IF(IFERROR(INDEX((COPIA!$DA$3:$DE$1339),MATCH(ROWS(E$10:E806),COPIA!$DF$3:$DF$1339,0),COLUMN()-1),"")=0,"",IFERROR(INDEX((COPIA!$DA$3:$DE$1339),MATCH(ROWS(E$10:E806),COPIA!$DF$3:$DF$1339,0),COLUMN()-1),""))</f>
        <v/>
      </c>
      <c r="F806" s="6" t="str">
        <f ca="1">IF(IFERROR(INDEX((COPIA!$DA$3:$DE$1339),MATCH(ROWS(F$10:F806),COPIA!$DF$3:$DF$1339,0),COLUMN()-1),"")=0,"",IFERROR(INDEX((COPIA!$DA$3:$DE$1339),MATCH(ROWS(F$10:F806),COPIA!$DF$3:$DF$1339,0),COLUMN()-1),""))</f>
        <v/>
      </c>
    </row>
    <row r="807" spans="2:6" x14ac:dyDescent="0.3">
      <c r="B807" s="10" t="str">
        <f ca="1">IF(IFERROR(INDEX((COPIA!$DA$3:$DE$1339),MATCH(ROWS(B$10:B807),COPIA!$DF$3:$DF$1339,0),COLUMN()-1),"")&gt;=1,IFERROR(INDEX((COPIA!$DA$3:$DE$1339),MATCH(ROWS(B$10:B807),COPIA!$DF$3:$DF$1339,0),COLUMN()-1),""),"")</f>
        <v/>
      </c>
      <c r="C807" s="5" t="str">
        <f ca="1">SUBSTITUTE(IFERROR(INDEX((COPIA!$DA$3:$DE$1339),MATCH(ROWS(C$10:C807),COPIA!$DF$3:$DF$1339,0),COLUMN()-1),""),"MASTRO","")</f>
        <v/>
      </c>
      <c r="D807" s="136" t="str">
        <f ca="1">IF(IFERROR(INDEX((COPIA!$DA$3:$DE$1339),MATCH(ROWS(D$10:D807),COPIA!$DF$3:$DF$1339,0),COLUMN()-1),"")=0,"",IFERROR(INDEX((COPIA!$DA$3:$DE$1339),MATCH(ROWS(D$10:D807),COPIA!$DF$3:$DF$1339,0),COLUMN()-1),""))</f>
        <v/>
      </c>
      <c r="E807" s="9" t="str">
        <f ca="1">IF(IFERROR(INDEX((COPIA!$DA$3:$DE$1339),MATCH(ROWS(E$10:E807),COPIA!$DF$3:$DF$1339,0),COLUMN()-1),"")=0,"",IFERROR(INDEX((COPIA!$DA$3:$DE$1339),MATCH(ROWS(E$10:E807),COPIA!$DF$3:$DF$1339,0),COLUMN()-1),""))</f>
        <v/>
      </c>
      <c r="F807" s="6" t="str">
        <f ca="1">IF(IFERROR(INDEX((COPIA!$DA$3:$DE$1339),MATCH(ROWS(F$10:F807),COPIA!$DF$3:$DF$1339,0),COLUMN()-1),"")=0,"",IFERROR(INDEX((COPIA!$DA$3:$DE$1339),MATCH(ROWS(F$10:F807),COPIA!$DF$3:$DF$1339,0),COLUMN()-1),""))</f>
        <v/>
      </c>
    </row>
    <row r="808" spans="2:6" x14ac:dyDescent="0.3">
      <c r="B808" s="10" t="str">
        <f ca="1">IF(IFERROR(INDEX((COPIA!$DA$3:$DE$1339),MATCH(ROWS(B$10:B808),COPIA!$DF$3:$DF$1339,0),COLUMN()-1),"")&gt;=1,IFERROR(INDEX((COPIA!$DA$3:$DE$1339),MATCH(ROWS(B$10:B808),COPIA!$DF$3:$DF$1339,0),COLUMN()-1),""),"")</f>
        <v/>
      </c>
      <c r="C808" s="5" t="str">
        <f ca="1">SUBSTITUTE(IFERROR(INDEX((COPIA!$DA$3:$DE$1339),MATCH(ROWS(C$10:C808),COPIA!$DF$3:$DF$1339,0),COLUMN()-1),""),"MASTRO","")</f>
        <v/>
      </c>
      <c r="D808" s="136" t="str">
        <f ca="1">IF(IFERROR(INDEX((COPIA!$DA$3:$DE$1339),MATCH(ROWS(D$10:D808),COPIA!$DF$3:$DF$1339,0),COLUMN()-1),"")=0,"",IFERROR(INDEX((COPIA!$DA$3:$DE$1339),MATCH(ROWS(D$10:D808),COPIA!$DF$3:$DF$1339,0),COLUMN()-1),""))</f>
        <v/>
      </c>
      <c r="E808" s="9" t="str">
        <f ca="1">IF(IFERROR(INDEX((COPIA!$DA$3:$DE$1339),MATCH(ROWS(E$10:E808),COPIA!$DF$3:$DF$1339,0),COLUMN()-1),"")=0,"",IFERROR(INDEX((COPIA!$DA$3:$DE$1339),MATCH(ROWS(E$10:E808),COPIA!$DF$3:$DF$1339,0),COLUMN()-1),""))</f>
        <v/>
      </c>
      <c r="F808" s="6" t="str">
        <f ca="1">IF(IFERROR(INDEX((COPIA!$DA$3:$DE$1339),MATCH(ROWS(F$10:F808),COPIA!$DF$3:$DF$1339,0),COLUMN()-1),"")=0,"",IFERROR(INDEX((COPIA!$DA$3:$DE$1339),MATCH(ROWS(F$10:F808),COPIA!$DF$3:$DF$1339,0),COLUMN()-1),""))</f>
        <v/>
      </c>
    </row>
    <row r="809" spans="2:6" x14ac:dyDescent="0.3">
      <c r="B809" s="10" t="str">
        <f ca="1">IF(IFERROR(INDEX((COPIA!$DA$3:$DE$1339),MATCH(ROWS(B$10:B809),COPIA!$DF$3:$DF$1339,0),COLUMN()-1),"")&gt;=1,IFERROR(INDEX((COPIA!$DA$3:$DE$1339),MATCH(ROWS(B$10:B809),COPIA!$DF$3:$DF$1339,0),COLUMN()-1),""),"")</f>
        <v/>
      </c>
      <c r="C809" s="5" t="str">
        <f ca="1">SUBSTITUTE(IFERROR(INDEX((COPIA!$DA$3:$DE$1339),MATCH(ROWS(C$10:C809),COPIA!$DF$3:$DF$1339,0),COLUMN()-1),""),"MASTRO","")</f>
        <v/>
      </c>
      <c r="D809" s="136" t="str">
        <f ca="1">IF(IFERROR(INDEX((COPIA!$DA$3:$DE$1339),MATCH(ROWS(D$10:D809),COPIA!$DF$3:$DF$1339,0),COLUMN()-1),"")=0,"",IFERROR(INDEX((COPIA!$DA$3:$DE$1339),MATCH(ROWS(D$10:D809),COPIA!$DF$3:$DF$1339,0),COLUMN()-1),""))</f>
        <v/>
      </c>
      <c r="E809" s="9" t="str">
        <f ca="1">IF(IFERROR(INDEX((COPIA!$DA$3:$DE$1339),MATCH(ROWS(E$10:E809),COPIA!$DF$3:$DF$1339,0),COLUMN()-1),"")=0,"",IFERROR(INDEX((COPIA!$DA$3:$DE$1339),MATCH(ROWS(E$10:E809),COPIA!$DF$3:$DF$1339,0),COLUMN()-1),""))</f>
        <v/>
      </c>
      <c r="F809" s="6" t="str">
        <f ca="1">IF(IFERROR(INDEX((COPIA!$DA$3:$DE$1339),MATCH(ROWS(F$10:F809),COPIA!$DF$3:$DF$1339,0),COLUMN()-1),"")=0,"",IFERROR(INDEX((COPIA!$DA$3:$DE$1339),MATCH(ROWS(F$10:F809),COPIA!$DF$3:$DF$1339,0),COLUMN()-1),""))</f>
        <v/>
      </c>
    </row>
    <row r="810" spans="2:6" x14ac:dyDescent="0.3">
      <c r="B810" s="10" t="str">
        <f ca="1">IF(IFERROR(INDEX((COPIA!$DA$3:$DE$1339),MATCH(ROWS(B$10:B810),COPIA!$DF$3:$DF$1339,0),COLUMN()-1),"")&gt;=1,IFERROR(INDEX((COPIA!$DA$3:$DE$1339),MATCH(ROWS(B$10:B810),COPIA!$DF$3:$DF$1339,0),COLUMN()-1),""),"")</f>
        <v/>
      </c>
      <c r="C810" s="5" t="str">
        <f ca="1">SUBSTITUTE(IFERROR(INDEX((COPIA!$DA$3:$DE$1339),MATCH(ROWS(C$10:C810),COPIA!$DF$3:$DF$1339,0),COLUMN()-1),""),"MASTRO","")</f>
        <v/>
      </c>
      <c r="D810" s="136" t="str">
        <f ca="1">IF(IFERROR(INDEX((COPIA!$DA$3:$DE$1339),MATCH(ROWS(D$10:D810),COPIA!$DF$3:$DF$1339,0),COLUMN()-1),"")=0,"",IFERROR(INDEX((COPIA!$DA$3:$DE$1339),MATCH(ROWS(D$10:D810),COPIA!$DF$3:$DF$1339,0),COLUMN()-1),""))</f>
        <v/>
      </c>
      <c r="E810" s="9" t="str">
        <f ca="1">IF(IFERROR(INDEX((COPIA!$DA$3:$DE$1339),MATCH(ROWS(E$10:E810),COPIA!$DF$3:$DF$1339,0),COLUMN()-1),"")=0,"",IFERROR(INDEX((COPIA!$DA$3:$DE$1339),MATCH(ROWS(E$10:E810),COPIA!$DF$3:$DF$1339,0),COLUMN()-1),""))</f>
        <v/>
      </c>
      <c r="F810" s="6" t="str">
        <f ca="1">IF(IFERROR(INDEX((COPIA!$DA$3:$DE$1339),MATCH(ROWS(F$10:F810),COPIA!$DF$3:$DF$1339,0),COLUMN()-1),"")=0,"",IFERROR(INDEX((COPIA!$DA$3:$DE$1339),MATCH(ROWS(F$10:F810),COPIA!$DF$3:$DF$1339,0),COLUMN()-1),""))</f>
        <v/>
      </c>
    </row>
    <row r="811" spans="2:6" x14ac:dyDescent="0.3">
      <c r="B811" s="10" t="str">
        <f ca="1">IF(IFERROR(INDEX((COPIA!$DA$3:$DE$1339),MATCH(ROWS(B$10:B811),COPIA!$DF$3:$DF$1339,0),COLUMN()-1),"")&gt;=1,IFERROR(INDEX((COPIA!$DA$3:$DE$1339),MATCH(ROWS(B$10:B811),COPIA!$DF$3:$DF$1339,0),COLUMN()-1),""),"")</f>
        <v/>
      </c>
      <c r="C811" s="5" t="str">
        <f ca="1">SUBSTITUTE(IFERROR(INDEX((COPIA!$DA$3:$DE$1339),MATCH(ROWS(C$10:C811),COPIA!$DF$3:$DF$1339,0),COLUMN()-1),""),"MASTRO","")</f>
        <v/>
      </c>
      <c r="D811" s="136" t="str">
        <f ca="1">IF(IFERROR(INDEX((COPIA!$DA$3:$DE$1339),MATCH(ROWS(D$10:D811),COPIA!$DF$3:$DF$1339,0),COLUMN()-1),"")=0,"",IFERROR(INDEX((COPIA!$DA$3:$DE$1339),MATCH(ROWS(D$10:D811),COPIA!$DF$3:$DF$1339,0),COLUMN()-1),""))</f>
        <v/>
      </c>
      <c r="E811" s="9" t="str">
        <f ca="1">IF(IFERROR(INDEX((COPIA!$DA$3:$DE$1339),MATCH(ROWS(E$10:E811),COPIA!$DF$3:$DF$1339,0),COLUMN()-1),"")=0,"",IFERROR(INDEX((COPIA!$DA$3:$DE$1339),MATCH(ROWS(E$10:E811),COPIA!$DF$3:$DF$1339,0),COLUMN()-1),""))</f>
        <v/>
      </c>
      <c r="F811" s="6" t="str">
        <f ca="1">IF(IFERROR(INDEX((COPIA!$DA$3:$DE$1339),MATCH(ROWS(F$10:F811),COPIA!$DF$3:$DF$1339,0),COLUMN()-1),"")=0,"",IFERROR(INDEX((COPIA!$DA$3:$DE$1339),MATCH(ROWS(F$10:F811),COPIA!$DF$3:$DF$1339,0),COLUMN()-1),""))</f>
        <v/>
      </c>
    </row>
    <row r="812" spans="2:6" x14ac:dyDescent="0.3">
      <c r="B812" s="10" t="str">
        <f ca="1">IF(IFERROR(INDEX((COPIA!$DA$3:$DE$1339),MATCH(ROWS(B$10:B812),COPIA!$DF$3:$DF$1339,0),COLUMN()-1),"")&gt;=1,IFERROR(INDEX((COPIA!$DA$3:$DE$1339),MATCH(ROWS(B$10:B812),COPIA!$DF$3:$DF$1339,0),COLUMN()-1),""),"")</f>
        <v/>
      </c>
      <c r="C812" s="5" t="str">
        <f ca="1">SUBSTITUTE(IFERROR(INDEX((COPIA!$DA$3:$DE$1339),MATCH(ROWS(C$10:C812),COPIA!$DF$3:$DF$1339,0),COLUMN()-1),""),"MASTRO","")</f>
        <v/>
      </c>
      <c r="D812" s="136" t="str">
        <f ca="1">IF(IFERROR(INDEX((COPIA!$DA$3:$DE$1339),MATCH(ROWS(D$10:D812),COPIA!$DF$3:$DF$1339,0),COLUMN()-1),"")=0,"",IFERROR(INDEX((COPIA!$DA$3:$DE$1339),MATCH(ROWS(D$10:D812),COPIA!$DF$3:$DF$1339,0),COLUMN()-1),""))</f>
        <v/>
      </c>
      <c r="E812" s="9" t="str">
        <f ca="1">IF(IFERROR(INDEX((COPIA!$DA$3:$DE$1339),MATCH(ROWS(E$10:E812),COPIA!$DF$3:$DF$1339,0),COLUMN()-1),"")=0,"",IFERROR(INDEX((COPIA!$DA$3:$DE$1339),MATCH(ROWS(E$10:E812),COPIA!$DF$3:$DF$1339,0),COLUMN()-1),""))</f>
        <v/>
      </c>
      <c r="F812" s="6" t="str">
        <f ca="1">IF(IFERROR(INDEX((COPIA!$DA$3:$DE$1339),MATCH(ROWS(F$10:F812),COPIA!$DF$3:$DF$1339,0),COLUMN()-1),"")=0,"",IFERROR(INDEX((COPIA!$DA$3:$DE$1339),MATCH(ROWS(F$10:F812),COPIA!$DF$3:$DF$1339,0),COLUMN()-1),""))</f>
        <v/>
      </c>
    </row>
    <row r="813" spans="2:6" x14ac:dyDescent="0.3">
      <c r="B813" s="10" t="str">
        <f ca="1">IF(IFERROR(INDEX((COPIA!$DA$3:$DE$1339),MATCH(ROWS(B$10:B813),COPIA!$DF$3:$DF$1339,0),COLUMN()-1),"")&gt;=1,IFERROR(INDEX((COPIA!$DA$3:$DE$1339),MATCH(ROWS(B$10:B813),COPIA!$DF$3:$DF$1339,0),COLUMN()-1),""),"")</f>
        <v/>
      </c>
      <c r="C813" s="5" t="str">
        <f ca="1">SUBSTITUTE(IFERROR(INDEX((COPIA!$DA$3:$DE$1339),MATCH(ROWS(C$10:C813),COPIA!$DF$3:$DF$1339,0),COLUMN()-1),""),"MASTRO","")</f>
        <v/>
      </c>
      <c r="D813" s="136" t="str">
        <f ca="1">IF(IFERROR(INDEX((COPIA!$DA$3:$DE$1339),MATCH(ROWS(D$10:D813),COPIA!$DF$3:$DF$1339,0),COLUMN()-1),"")=0,"",IFERROR(INDEX((COPIA!$DA$3:$DE$1339),MATCH(ROWS(D$10:D813),COPIA!$DF$3:$DF$1339,0),COLUMN()-1),""))</f>
        <v/>
      </c>
      <c r="E813" s="9" t="str">
        <f ca="1">IF(IFERROR(INDEX((COPIA!$DA$3:$DE$1339),MATCH(ROWS(E$10:E813),COPIA!$DF$3:$DF$1339,0),COLUMN()-1),"")=0,"",IFERROR(INDEX((COPIA!$DA$3:$DE$1339),MATCH(ROWS(E$10:E813),COPIA!$DF$3:$DF$1339,0),COLUMN()-1),""))</f>
        <v/>
      </c>
      <c r="F813" s="6" t="str">
        <f ca="1">IF(IFERROR(INDEX((COPIA!$DA$3:$DE$1339),MATCH(ROWS(F$10:F813),COPIA!$DF$3:$DF$1339,0),COLUMN()-1),"")=0,"",IFERROR(INDEX((COPIA!$DA$3:$DE$1339),MATCH(ROWS(F$10:F813),COPIA!$DF$3:$DF$1339,0),COLUMN()-1),""))</f>
        <v/>
      </c>
    </row>
    <row r="814" spans="2:6" x14ac:dyDescent="0.3">
      <c r="B814" s="10" t="str">
        <f ca="1">IF(IFERROR(INDEX((COPIA!$DA$3:$DE$1339),MATCH(ROWS(B$10:B814),COPIA!$DF$3:$DF$1339,0),COLUMN()-1),"")&gt;=1,IFERROR(INDEX((COPIA!$DA$3:$DE$1339),MATCH(ROWS(B$10:B814),COPIA!$DF$3:$DF$1339,0),COLUMN()-1),""),"")</f>
        <v/>
      </c>
      <c r="C814" s="5" t="str">
        <f ca="1">SUBSTITUTE(IFERROR(INDEX((COPIA!$DA$3:$DE$1339),MATCH(ROWS(C$10:C814),COPIA!$DF$3:$DF$1339,0),COLUMN()-1),""),"MASTRO","")</f>
        <v/>
      </c>
      <c r="D814" s="136" t="str">
        <f ca="1">IF(IFERROR(INDEX((COPIA!$DA$3:$DE$1339),MATCH(ROWS(D$10:D814),COPIA!$DF$3:$DF$1339,0),COLUMN()-1),"")=0,"",IFERROR(INDEX((COPIA!$DA$3:$DE$1339),MATCH(ROWS(D$10:D814),COPIA!$DF$3:$DF$1339,0),COLUMN()-1),""))</f>
        <v/>
      </c>
      <c r="E814" s="9" t="str">
        <f ca="1">IF(IFERROR(INDEX((COPIA!$DA$3:$DE$1339),MATCH(ROWS(E$10:E814),COPIA!$DF$3:$DF$1339,0),COLUMN()-1),"")=0,"",IFERROR(INDEX((COPIA!$DA$3:$DE$1339),MATCH(ROWS(E$10:E814),COPIA!$DF$3:$DF$1339,0),COLUMN()-1),""))</f>
        <v/>
      </c>
      <c r="F814" s="6" t="str">
        <f ca="1">IF(IFERROR(INDEX((COPIA!$DA$3:$DE$1339),MATCH(ROWS(F$10:F814),COPIA!$DF$3:$DF$1339,0),COLUMN()-1),"")=0,"",IFERROR(INDEX((COPIA!$DA$3:$DE$1339),MATCH(ROWS(F$10:F814),COPIA!$DF$3:$DF$1339,0),COLUMN()-1),""))</f>
        <v/>
      </c>
    </row>
    <row r="815" spans="2:6" x14ac:dyDescent="0.3">
      <c r="B815" s="10" t="str">
        <f ca="1">IF(IFERROR(INDEX((COPIA!$DA$3:$DE$1339),MATCH(ROWS(B$10:B815),COPIA!$DF$3:$DF$1339,0),COLUMN()-1),"")&gt;=1,IFERROR(INDEX((COPIA!$DA$3:$DE$1339),MATCH(ROWS(B$10:B815),COPIA!$DF$3:$DF$1339,0),COLUMN()-1),""),"")</f>
        <v/>
      </c>
      <c r="C815" s="5" t="str">
        <f ca="1">SUBSTITUTE(IFERROR(INDEX((COPIA!$DA$3:$DE$1339),MATCH(ROWS(C$10:C815),COPIA!$DF$3:$DF$1339,0),COLUMN()-1),""),"MASTRO","")</f>
        <v/>
      </c>
      <c r="D815" s="136" t="str">
        <f ca="1">IF(IFERROR(INDEX((COPIA!$DA$3:$DE$1339),MATCH(ROWS(D$10:D815),COPIA!$DF$3:$DF$1339,0),COLUMN()-1),"")=0,"",IFERROR(INDEX((COPIA!$DA$3:$DE$1339),MATCH(ROWS(D$10:D815),COPIA!$DF$3:$DF$1339,0),COLUMN()-1),""))</f>
        <v/>
      </c>
      <c r="E815" s="9" t="str">
        <f ca="1">IF(IFERROR(INDEX((COPIA!$DA$3:$DE$1339),MATCH(ROWS(E$10:E815),COPIA!$DF$3:$DF$1339,0),COLUMN()-1),"")=0,"",IFERROR(INDEX((COPIA!$DA$3:$DE$1339),MATCH(ROWS(E$10:E815),COPIA!$DF$3:$DF$1339,0),COLUMN()-1),""))</f>
        <v/>
      </c>
      <c r="F815" s="6" t="str">
        <f ca="1">IF(IFERROR(INDEX((COPIA!$DA$3:$DE$1339),MATCH(ROWS(F$10:F815),COPIA!$DF$3:$DF$1339,0),COLUMN()-1),"")=0,"",IFERROR(INDEX((COPIA!$DA$3:$DE$1339),MATCH(ROWS(F$10:F815),COPIA!$DF$3:$DF$1339,0),COLUMN()-1),""))</f>
        <v/>
      </c>
    </row>
    <row r="816" spans="2:6" x14ac:dyDescent="0.3">
      <c r="B816" s="10" t="str">
        <f ca="1">IF(IFERROR(INDEX((COPIA!$DA$3:$DE$1339),MATCH(ROWS(B$10:B816),COPIA!$DF$3:$DF$1339,0),COLUMN()-1),"")&gt;=1,IFERROR(INDEX((COPIA!$DA$3:$DE$1339),MATCH(ROWS(B$10:B816),COPIA!$DF$3:$DF$1339,0),COLUMN()-1),""),"")</f>
        <v/>
      </c>
      <c r="C816" s="5" t="str">
        <f ca="1">SUBSTITUTE(IFERROR(INDEX((COPIA!$DA$3:$DE$1339),MATCH(ROWS(C$10:C816),COPIA!$DF$3:$DF$1339,0),COLUMN()-1),""),"MASTRO","")</f>
        <v/>
      </c>
      <c r="D816" s="136" t="str">
        <f ca="1">IF(IFERROR(INDEX((COPIA!$DA$3:$DE$1339),MATCH(ROWS(D$10:D816),COPIA!$DF$3:$DF$1339,0),COLUMN()-1),"")=0,"",IFERROR(INDEX((COPIA!$DA$3:$DE$1339),MATCH(ROWS(D$10:D816),COPIA!$DF$3:$DF$1339,0),COLUMN()-1),""))</f>
        <v/>
      </c>
      <c r="E816" s="9" t="str">
        <f ca="1">IF(IFERROR(INDEX((COPIA!$DA$3:$DE$1339),MATCH(ROWS(E$10:E816),COPIA!$DF$3:$DF$1339,0),COLUMN()-1),"")=0,"",IFERROR(INDEX((COPIA!$DA$3:$DE$1339),MATCH(ROWS(E$10:E816),COPIA!$DF$3:$DF$1339,0),COLUMN()-1),""))</f>
        <v/>
      </c>
      <c r="F816" s="6" t="str">
        <f ca="1">IF(IFERROR(INDEX((COPIA!$DA$3:$DE$1339),MATCH(ROWS(F$10:F816),COPIA!$DF$3:$DF$1339,0),COLUMN()-1),"")=0,"",IFERROR(INDEX((COPIA!$DA$3:$DE$1339),MATCH(ROWS(F$10:F816),COPIA!$DF$3:$DF$1339,0),COLUMN()-1),""))</f>
        <v/>
      </c>
    </row>
    <row r="817" spans="2:6" x14ac:dyDescent="0.3">
      <c r="B817" s="10" t="str">
        <f ca="1">IF(IFERROR(INDEX((COPIA!$DA$3:$DE$1339),MATCH(ROWS(B$10:B817),COPIA!$DF$3:$DF$1339,0),COLUMN()-1),"")&gt;=1,IFERROR(INDEX((COPIA!$DA$3:$DE$1339),MATCH(ROWS(B$10:B817),COPIA!$DF$3:$DF$1339,0),COLUMN()-1),""),"")</f>
        <v/>
      </c>
      <c r="C817" s="5" t="str">
        <f ca="1">SUBSTITUTE(IFERROR(INDEX((COPIA!$DA$3:$DE$1339),MATCH(ROWS(C$10:C817),COPIA!$DF$3:$DF$1339,0),COLUMN()-1),""),"MASTRO","")</f>
        <v/>
      </c>
      <c r="D817" s="136" t="str">
        <f ca="1">IF(IFERROR(INDEX((COPIA!$DA$3:$DE$1339),MATCH(ROWS(D$10:D817),COPIA!$DF$3:$DF$1339,0),COLUMN()-1),"")=0,"",IFERROR(INDEX((COPIA!$DA$3:$DE$1339),MATCH(ROWS(D$10:D817),COPIA!$DF$3:$DF$1339,0),COLUMN()-1),""))</f>
        <v/>
      </c>
      <c r="E817" s="9" t="str">
        <f ca="1">IF(IFERROR(INDEX((COPIA!$DA$3:$DE$1339),MATCH(ROWS(E$10:E817),COPIA!$DF$3:$DF$1339,0),COLUMN()-1),"")=0,"",IFERROR(INDEX((COPIA!$DA$3:$DE$1339),MATCH(ROWS(E$10:E817),COPIA!$DF$3:$DF$1339,0),COLUMN()-1),""))</f>
        <v/>
      </c>
      <c r="F817" s="6" t="str">
        <f ca="1">IF(IFERROR(INDEX((COPIA!$DA$3:$DE$1339),MATCH(ROWS(F$10:F817),COPIA!$DF$3:$DF$1339,0),COLUMN()-1),"")=0,"",IFERROR(INDEX((COPIA!$DA$3:$DE$1339),MATCH(ROWS(F$10:F817),COPIA!$DF$3:$DF$1339,0),COLUMN()-1),""))</f>
        <v/>
      </c>
    </row>
    <row r="818" spans="2:6" x14ac:dyDescent="0.3">
      <c r="B818" s="10" t="str">
        <f ca="1">IF(IFERROR(INDEX((COPIA!$DA$3:$DE$1339),MATCH(ROWS(B$10:B818),COPIA!$DF$3:$DF$1339,0),COLUMN()-1),"")&gt;=1,IFERROR(INDEX((COPIA!$DA$3:$DE$1339),MATCH(ROWS(B$10:B818),COPIA!$DF$3:$DF$1339,0),COLUMN()-1),""),"")</f>
        <v/>
      </c>
      <c r="C818" s="5" t="str">
        <f ca="1">SUBSTITUTE(IFERROR(INDEX((COPIA!$DA$3:$DE$1339),MATCH(ROWS(C$10:C818),COPIA!$DF$3:$DF$1339,0),COLUMN()-1),""),"MASTRO","")</f>
        <v/>
      </c>
      <c r="D818" s="136" t="str">
        <f ca="1">IF(IFERROR(INDEX((COPIA!$DA$3:$DE$1339),MATCH(ROWS(D$10:D818),COPIA!$DF$3:$DF$1339,0),COLUMN()-1),"")=0,"",IFERROR(INDEX((COPIA!$DA$3:$DE$1339),MATCH(ROWS(D$10:D818),COPIA!$DF$3:$DF$1339,0),COLUMN()-1),""))</f>
        <v/>
      </c>
      <c r="E818" s="9" t="str">
        <f ca="1">IF(IFERROR(INDEX((COPIA!$DA$3:$DE$1339),MATCH(ROWS(E$10:E818),COPIA!$DF$3:$DF$1339,0),COLUMN()-1),"")=0,"",IFERROR(INDEX((COPIA!$DA$3:$DE$1339),MATCH(ROWS(E$10:E818),COPIA!$DF$3:$DF$1339,0),COLUMN()-1),""))</f>
        <v/>
      </c>
      <c r="F818" s="6" t="str">
        <f ca="1">IF(IFERROR(INDEX((COPIA!$DA$3:$DE$1339),MATCH(ROWS(F$10:F818),COPIA!$DF$3:$DF$1339,0),COLUMN()-1),"")=0,"",IFERROR(INDEX((COPIA!$DA$3:$DE$1339),MATCH(ROWS(F$10:F818),COPIA!$DF$3:$DF$1339,0),COLUMN()-1),""))</f>
        <v/>
      </c>
    </row>
    <row r="819" spans="2:6" x14ac:dyDescent="0.3">
      <c r="B819" s="10" t="str">
        <f ca="1">IF(IFERROR(INDEX((COPIA!$DA$3:$DE$1339),MATCH(ROWS(B$10:B819),COPIA!$DF$3:$DF$1339,0),COLUMN()-1),"")&gt;=1,IFERROR(INDEX((COPIA!$DA$3:$DE$1339),MATCH(ROWS(B$10:B819),COPIA!$DF$3:$DF$1339,0),COLUMN()-1),""),"")</f>
        <v/>
      </c>
      <c r="C819" s="5" t="str">
        <f ca="1">SUBSTITUTE(IFERROR(INDEX((COPIA!$DA$3:$DE$1339),MATCH(ROWS(C$10:C819),COPIA!$DF$3:$DF$1339,0),COLUMN()-1),""),"MASTRO","")</f>
        <v/>
      </c>
      <c r="D819" s="136" t="str">
        <f ca="1">IF(IFERROR(INDEX((COPIA!$DA$3:$DE$1339),MATCH(ROWS(D$10:D819),COPIA!$DF$3:$DF$1339,0),COLUMN()-1),"")=0,"",IFERROR(INDEX((COPIA!$DA$3:$DE$1339),MATCH(ROWS(D$10:D819),COPIA!$DF$3:$DF$1339,0),COLUMN()-1),""))</f>
        <v/>
      </c>
      <c r="E819" s="9" t="str">
        <f ca="1">IF(IFERROR(INDEX((COPIA!$DA$3:$DE$1339),MATCH(ROWS(E$10:E819),COPIA!$DF$3:$DF$1339,0),COLUMN()-1),"")=0,"",IFERROR(INDEX((COPIA!$DA$3:$DE$1339),MATCH(ROWS(E$10:E819),COPIA!$DF$3:$DF$1339,0),COLUMN()-1),""))</f>
        <v/>
      </c>
      <c r="F819" s="6" t="str">
        <f ca="1">IF(IFERROR(INDEX((COPIA!$DA$3:$DE$1339),MATCH(ROWS(F$10:F819),COPIA!$DF$3:$DF$1339,0),COLUMN()-1),"")=0,"",IFERROR(INDEX((COPIA!$DA$3:$DE$1339),MATCH(ROWS(F$10:F819),COPIA!$DF$3:$DF$1339,0),COLUMN()-1),""))</f>
        <v/>
      </c>
    </row>
    <row r="820" spans="2:6" x14ac:dyDescent="0.3">
      <c r="B820" s="10" t="str">
        <f ca="1">IF(IFERROR(INDEX((COPIA!$DA$3:$DE$1339),MATCH(ROWS(B$10:B820),COPIA!$DF$3:$DF$1339,0),COLUMN()-1),"")&gt;=1,IFERROR(INDEX((COPIA!$DA$3:$DE$1339),MATCH(ROWS(B$10:B820),COPIA!$DF$3:$DF$1339,0),COLUMN()-1),""),"")</f>
        <v/>
      </c>
      <c r="C820" s="5" t="str">
        <f ca="1">SUBSTITUTE(IFERROR(INDEX((COPIA!$DA$3:$DE$1339),MATCH(ROWS(C$10:C820),COPIA!$DF$3:$DF$1339,0),COLUMN()-1),""),"MASTRO","")</f>
        <v/>
      </c>
      <c r="D820" s="136" t="str">
        <f ca="1">IF(IFERROR(INDEX((COPIA!$DA$3:$DE$1339),MATCH(ROWS(D$10:D820),COPIA!$DF$3:$DF$1339,0),COLUMN()-1),"")=0,"",IFERROR(INDEX((COPIA!$DA$3:$DE$1339),MATCH(ROWS(D$10:D820),COPIA!$DF$3:$DF$1339,0),COLUMN()-1),""))</f>
        <v/>
      </c>
      <c r="E820" s="9" t="str">
        <f ca="1">IF(IFERROR(INDEX((COPIA!$DA$3:$DE$1339),MATCH(ROWS(E$10:E820),COPIA!$DF$3:$DF$1339,0),COLUMN()-1),"")=0,"",IFERROR(INDEX((COPIA!$DA$3:$DE$1339),MATCH(ROWS(E$10:E820),COPIA!$DF$3:$DF$1339,0),COLUMN()-1),""))</f>
        <v/>
      </c>
      <c r="F820" s="6" t="str">
        <f ca="1">IF(IFERROR(INDEX((COPIA!$DA$3:$DE$1339),MATCH(ROWS(F$10:F820),COPIA!$DF$3:$DF$1339,0),COLUMN()-1),"")=0,"",IFERROR(INDEX((COPIA!$DA$3:$DE$1339),MATCH(ROWS(F$10:F820),COPIA!$DF$3:$DF$1339,0),COLUMN()-1),""))</f>
        <v/>
      </c>
    </row>
    <row r="821" spans="2:6" x14ac:dyDescent="0.3">
      <c r="B821" s="10" t="str">
        <f ca="1">IF(IFERROR(INDEX((COPIA!$DA$3:$DE$1339),MATCH(ROWS(B$10:B821),COPIA!$DF$3:$DF$1339,0),COLUMN()-1),"")&gt;=1,IFERROR(INDEX((COPIA!$DA$3:$DE$1339),MATCH(ROWS(B$10:B821),COPIA!$DF$3:$DF$1339,0),COLUMN()-1),""),"")</f>
        <v/>
      </c>
      <c r="C821" s="5" t="str">
        <f ca="1">SUBSTITUTE(IFERROR(INDEX((COPIA!$DA$3:$DE$1339),MATCH(ROWS(C$10:C821),COPIA!$DF$3:$DF$1339,0),COLUMN()-1),""),"MASTRO","")</f>
        <v/>
      </c>
      <c r="D821" s="136" t="str">
        <f ca="1">IF(IFERROR(INDEX((COPIA!$DA$3:$DE$1339),MATCH(ROWS(D$10:D821),COPIA!$DF$3:$DF$1339,0),COLUMN()-1),"")=0,"",IFERROR(INDEX((COPIA!$DA$3:$DE$1339),MATCH(ROWS(D$10:D821),COPIA!$DF$3:$DF$1339,0),COLUMN()-1),""))</f>
        <v/>
      </c>
      <c r="E821" s="9" t="str">
        <f ca="1">IF(IFERROR(INDEX((COPIA!$DA$3:$DE$1339),MATCH(ROWS(E$10:E821),COPIA!$DF$3:$DF$1339,0),COLUMN()-1),"")=0,"",IFERROR(INDEX((COPIA!$DA$3:$DE$1339),MATCH(ROWS(E$10:E821),COPIA!$DF$3:$DF$1339,0),COLUMN()-1),""))</f>
        <v/>
      </c>
      <c r="F821" s="6" t="str">
        <f ca="1">IF(IFERROR(INDEX((COPIA!$DA$3:$DE$1339),MATCH(ROWS(F$10:F821),COPIA!$DF$3:$DF$1339,0),COLUMN()-1),"")=0,"",IFERROR(INDEX((COPIA!$DA$3:$DE$1339),MATCH(ROWS(F$10:F821),COPIA!$DF$3:$DF$1339,0),COLUMN()-1),""))</f>
        <v/>
      </c>
    </row>
    <row r="822" spans="2:6" x14ac:dyDescent="0.3">
      <c r="B822" s="10" t="str">
        <f ca="1">IF(IFERROR(INDEX((COPIA!$DA$3:$DE$1339),MATCH(ROWS(B$10:B822),COPIA!$DF$3:$DF$1339,0),COLUMN()-1),"")&gt;=1,IFERROR(INDEX((COPIA!$DA$3:$DE$1339),MATCH(ROWS(B$10:B822),COPIA!$DF$3:$DF$1339,0),COLUMN()-1),""),"")</f>
        <v/>
      </c>
      <c r="C822" s="5" t="str">
        <f ca="1">SUBSTITUTE(IFERROR(INDEX((COPIA!$DA$3:$DE$1339),MATCH(ROWS(C$10:C822),COPIA!$DF$3:$DF$1339,0),COLUMN()-1),""),"MASTRO","")</f>
        <v/>
      </c>
      <c r="D822" s="136" t="str">
        <f ca="1">IF(IFERROR(INDEX((COPIA!$DA$3:$DE$1339),MATCH(ROWS(D$10:D822),COPIA!$DF$3:$DF$1339,0),COLUMN()-1),"")=0,"",IFERROR(INDEX((COPIA!$DA$3:$DE$1339),MATCH(ROWS(D$10:D822),COPIA!$DF$3:$DF$1339,0),COLUMN()-1),""))</f>
        <v/>
      </c>
      <c r="E822" s="9" t="str">
        <f ca="1">IF(IFERROR(INDEX((COPIA!$DA$3:$DE$1339),MATCH(ROWS(E$10:E822),COPIA!$DF$3:$DF$1339,0),COLUMN()-1),"")=0,"",IFERROR(INDEX((COPIA!$DA$3:$DE$1339),MATCH(ROWS(E$10:E822),COPIA!$DF$3:$DF$1339,0),COLUMN()-1),""))</f>
        <v/>
      </c>
      <c r="F822" s="6" t="str">
        <f ca="1">IF(IFERROR(INDEX((COPIA!$DA$3:$DE$1339),MATCH(ROWS(F$10:F822),COPIA!$DF$3:$DF$1339,0),COLUMN()-1),"")=0,"",IFERROR(INDEX((COPIA!$DA$3:$DE$1339),MATCH(ROWS(F$10:F822),COPIA!$DF$3:$DF$1339,0),COLUMN()-1),""))</f>
        <v/>
      </c>
    </row>
    <row r="823" spans="2:6" x14ac:dyDescent="0.3">
      <c r="B823" s="10" t="str">
        <f ca="1">IF(IFERROR(INDEX((COPIA!$DA$3:$DE$1339),MATCH(ROWS(B$10:B823),COPIA!$DF$3:$DF$1339,0),COLUMN()-1),"")&gt;=1,IFERROR(INDEX((COPIA!$DA$3:$DE$1339),MATCH(ROWS(B$10:B823),COPIA!$DF$3:$DF$1339,0),COLUMN()-1),""),"")</f>
        <v/>
      </c>
      <c r="C823" s="5" t="str">
        <f ca="1">SUBSTITUTE(IFERROR(INDEX((COPIA!$DA$3:$DE$1339),MATCH(ROWS(C$10:C823),COPIA!$DF$3:$DF$1339,0),COLUMN()-1),""),"MASTRO","")</f>
        <v/>
      </c>
      <c r="D823" s="136" t="str">
        <f ca="1">IF(IFERROR(INDEX((COPIA!$DA$3:$DE$1339),MATCH(ROWS(D$10:D823),COPIA!$DF$3:$DF$1339,0),COLUMN()-1),"")=0,"",IFERROR(INDEX((COPIA!$DA$3:$DE$1339),MATCH(ROWS(D$10:D823),COPIA!$DF$3:$DF$1339,0),COLUMN()-1),""))</f>
        <v/>
      </c>
      <c r="E823" s="9" t="str">
        <f ca="1">IF(IFERROR(INDEX((COPIA!$DA$3:$DE$1339),MATCH(ROWS(E$10:E823),COPIA!$DF$3:$DF$1339,0),COLUMN()-1),"")=0,"",IFERROR(INDEX((COPIA!$DA$3:$DE$1339),MATCH(ROWS(E$10:E823),COPIA!$DF$3:$DF$1339,0),COLUMN()-1),""))</f>
        <v/>
      </c>
      <c r="F823" s="6" t="str">
        <f ca="1">IF(IFERROR(INDEX((COPIA!$DA$3:$DE$1339),MATCH(ROWS(F$10:F823),COPIA!$DF$3:$DF$1339,0),COLUMN()-1),"")=0,"",IFERROR(INDEX((COPIA!$DA$3:$DE$1339),MATCH(ROWS(F$10:F823),COPIA!$DF$3:$DF$1339,0),COLUMN()-1),""))</f>
        <v/>
      </c>
    </row>
    <row r="824" spans="2:6" x14ac:dyDescent="0.3">
      <c r="B824" s="10" t="str">
        <f ca="1">IF(IFERROR(INDEX((COPIA!$DA$3:$DE$1339),MATCH(ROWS(B$10:B824),COPIA!$DF$3:$DF$1339,0),COLUMN()-1),"")&gt;=1,IFERROR(INDEX((COPIA!$DA$3:$DE$1339),MATCH(ROWS(B$10:B824),COPIA!$DF$3:$DF$1339,0),COLUMN()-1),""),"")</f>
        <v/>
      </c>
      <c r="C824" s="5" t="str">
        <f ca="1">SUBSTITUTE(IFERROR(INDEX((COPIA!$DA$3:$DE$1339),MATCH(ROWS(C$10:C824),COPIA!$DF$3:$DF$1339,0),COLUMN()-1),""),"MASTRO","")</f>
        <v/>
      </c>
      <c r="D824" s="136" t="str">
        <f ca="1">IF(IFERROR(INDEX((COPIA!$DA$3:$DE$1339),MATCH(ROWS(D$10:D824),COPIA!$DF$3:$DF$1339,0),COLUMN()-1),"")=0,"",IFERROR(INDEX((COPIA!$DA$3:$DE$1339),MATCH(ROWS(D$10:D824),COPIA!$DF$3:$DF$1339,0),COLUMN()-1),""))</f>
        <v/>
      </c>
      <c r="E824" s="9" t="str">
        <f ca="1">IF(IFERROR(INDEX((COPIA!$DA$3:$DE$1339),MATCH(ROWS(E$10:E824),COPIA!$DF$3:$DF$1339,0),COLUMN()-1),"")=0,"",IFERROR(INDEX((COPIA!$DA$3:$DE$1339),MATCH(ROWS(E$10:E824),COPIA!$DF$3:$DF$1339,0),COLUMN()-1),""))</f>
        <v/>
      </c>
      <c r="F824" s="6" t="str">
        <f ca="1">IF(IFERROR(INDEX((COPIA!$DA$3:$DE$1339),MATCH(ROWS(F$10:F824),COPIA!$DF$3:$DF$1339,0),COLUMN()-1),"")=0,"",IFERROR(INDEX((COPIA!$DA$3:$DE$1339),MATCH(ROWS(F$10:F824),COPIA!$DF$3:$DF$1339,0),COLUMN()-1),""))</f>
        <v/>
      </c>
    </row>
    <row r="825" spans="2:6" x14ac:dyDescent="0.3">
      <c r="B825" s="10" t="str">
        <f ca="1">IF(IFERROR(INDEX((COPIA!$DA$3:$DE$1339),MATCH(ROWS(B$10:B825),COPIA!$DF$3:$DF$1339,0),COLUMN()-1),"")&gt;=1,IFERROR(INDEX((COPIA!$DA$3:$DE$1339),MATCH(ROWS(B$10:B825),COPIA!$DF$3:$DF$1339,0),COLUMN()-1),""),"")</f>
        <v/>
      </c>
      <c r="C825" s="5" t="str">
        <f ca="1">SUBSTITUTE(IFERROR(INDEX((COPIA!$DA$3:$DE$1339),MATCH(ROWS(C$10:C825),COPIA!$DF$3:$DF$1339,0),COLUMN()-1),""),"MASTRO","")</f>
        <v/>
      </c>
      <c r="D825" s="136" t="str">
        <f ca="1">IF(IFERROR(INDEX((COPIA!$DA$3:$DE$1339),MATCH(ROWS(D$10:D825),COPIA!$DF$3:$DF$1339,0),COLUMN()-1),"")=0,"",IFERROR(INDEX((COPIA!$DA$3:$DE$1339),MATCH(ROWS(D$10:D825),COPIA!$DF$3:$DF$1339,0),COLUMN()-1),""))</f>
        <v/>
      </c>
      <c r="E825" s="9" t="str">
        <f ca="1">IF(IFERROR(INDEX((COPIA!$DA$3:$DE$1339),MATCH(ROWS(E$10:E825),COPIA!$DF$3:$DF$1339,0),COLUMN()-1),"")=0,"",IFERROR(INDEX((COPIA!$DA$3:$DE$1339),MATCH(ROWS(E$10:E825),COPIA!$DF$3:$DF$1339,0),COLUMN()-1),""))</f>
        <v/>
      </c>
      <c r="F825" s="6" t="str">
        <f ca="1">IF(IFERROR(INDEX((COPIA!$DA$3:$DE$1339),MATCH(ROWS(F$10:F825),COPIA!$DF$3:$DF$1339,0),COLUMN()-1),"")=0,"",IFERROR(INDEX((COPIA!$DA$3:$DE$1339),MATCH(ROWS(F$10:F825),COPIA!$DF$3:$DF$1339,0),COLUMN()-1),""))</f>
        <v/>
      </c>
    </row>
    <row r="826" spans="2:6" x14ac:dyDescent="0.3">
      <c r="B826" s="10" t="str">
        <f ca="1">IF(IFERROR(INDEX((COPIA!$DA$3:$DE$1339),MATCH(ROWS(B$10:B826),COPIA!$DF$3:$DF$1339,0),COLUMN()-1),"")&gt;=1,IFERROR(INDEX((COPIA!$DA$3:$DE$1339),MATCH(ROWS(B$10:B826),COPIA!$DF$3:$DF$1339,0),COLUMN()-1),""),"")</f>
        <v/>
      </c>
      <c r="C826" s="5" t="str">
        <f ca="1">SUBSTITUTE(IFERROR(INDEX((COPIA!$DA$3:$DE$1339),MATCH(ROWS(C$10:C826),COPIA!$DF$3:$DF$1339,0),COLUMN()-1),""),"MASTRO","")</f>
        <v/>
      </c>
      <c r="D826" s="136" t="str">
        <f ca="1">IF(IFERROR(INDEX((COPIA!$DA$3:$DE$1339),MATCH(ROWS(D$10:D826),COPIA!$DF$3:$DF$1339,0),COLUMN()-1),"")=0,"",IFERROR(INDEX((COPIA!$DA$3:$DE$1339),MATCH(ROWS(D$10:D826),COPIA!$DF$3:$DF$1339,0),COLUMN()-1),""))</f>
        <v/>
      </c>
      <c r="E826" s="9" t="str">
        <f ca="1">IF(IFERROR(INDEX((COPIA!$DA$3:$DE$1339),MATCH(ROWS(E$10:E826),COPIA!$DF$3:$DF$1339,0),COLUMN()-1),"")=0,"",IFERROR(INDEX((COPIA!$DA$3:$DE$1339),MATCH(ROWS(E$10:E826),COPIA!$DF$3:$DF$1339,0),COLUMN()-1),""))</f>
        <v/>
      </c>
      <c r="F826" s="6" t="str">
        <f ca="1">IF(IFERROR(INDEX((COPIA!$DA$3:$DE$1339),MATCH(ROWS(F$10:F826),COPIA!$DF$3:$DF$1339,0),COLUMN()-1),"")=0,"",IFERROR(INDEX((COPIA!$DA$3:$DE$1339),MATCH(ROWS(F$10:F826),COPIA!$DF$3:$DF$1339,0),COLUMN()-1),""))</f>
        <v/>
      </c>
    </row>
    <row r="827" spans="2:6" x14ac:dyDescent="0.3">
      <c r="B827" s="10" t="str">
        <f ca="1">IF(IFERROR(INDEX((COPIA!$DA$3:$DE$1339),MATCH(ROWS(B$10:B827),COPIA!$DF$3:$DF$1339,0),COLUMN()-1),"")&gt;=1,IFERROR(INDEX((COPIA!$DA$3:$DE$1339),MATCH(ROWS(B$10:B827),COPIA!$DF$3:$DF$1339,0),COLUMN()-1),""),"")</f>
        <v/>
      </c>
      <c r="C827" s="5" t="str">
        <f ca="1">SUBSTITUTE(IFERROR(INDEX((COPIA!$DA$3:$DE$1339),MATCH(ROWS(C$10:C827),COPIA!$DF$3:$DF$1339,0),COLUMN()-1),""),"MASTRO","")</f>
        <v/>
      </c>
      <c r="D827" s="136" t="str">
        <f ca="1">IF(IFERROR(INDEX((COPIA!$DA$3:$DE$1339),MATCH(ROWS(D$10:D827),COPIA!$DF$3:$DF$1339,0),COLUMN()-1),"")=0,"",IFERROR(INDEX((COPIA!$DA$3:$DE$1339),MATCH(ROWS(D$10:D827),COPIA!$DF$3:$DF$1339,0),COLUMN()-1),""))</f>
        <v/>
      </c>
      <c r="E827" s="9" t="str">
        <f ca="1">IF(IFERROR(INDEX((COPIA!$DA$3:$DE$1339),MATCH(ROWS(E$10:E827),COPIA!$DF$3:$DF$1339,0),COLUMN()-1),"")=0,"",IFERROR(INDEX((COPIA!$DA$3:$DE$1339),MATCH(ROWS(E$10:E827),COPIA!$DF$3:$DF$1339,0),COLUMN()-1),""))</f>
        <v/>
      </c>
      <c r="F827" s="6" t="str">
        <f ca="1">IF(IFERROR(INDEX((COPIA!$DA$3:$DE$1339),MATCH(ROWS(F$10:F827),COPIA!$DF$3:$DF$1339,0),COLUMN()-1),"")=0,"",IFERROR(INDEX((COPIA!$DA$3:$DE$1339),MATCH(ROWS(F$10:F827),COPIA!$DF$3:$DF$1339,0),COLUMN()-1),""))</f>
        <v/>
      </c>
    </row>
    <row r="828" spans="2:6" x14ac:dyDescent="0.3">
      <c r="B828" s="10" t="str">
        <f ca="1">IF(IFERROR(INDEX((COPIA!$DA$3:$DE$1339),MATCH(ROWS(B$10:B828),COPIA!$DF$3:$DF$1339,0),COLUMN()-1),"")&gt;=1,IFERROR(INDEX((COPIA!$DA$3:$DE$1339),MATCH(ROWS(B$10:B828),COPIA!$DF$3:$DF$1339,0),COLUMN()-1),""),"")</f>
        <v/>
      </c>
      <c r="C828" s="5" t="str">
        <f ca="1">SUBSTITUTE(IFERROR(INDEX((COPIA!$DA$3:$DE$1339),MATCH(ROWS(C$10:C828),COPIA!$DF$3:$DF$1339,0),COLUMN()-1),""),"MASTRO","")</f>
        <v/>
      </c>
      <c r="D828" s="136" t="str">
        <f ca="1">IF(IFERROR(INDEX((COPIA!$DA$3:$DE$1339),MATCH(ROWS(D$10:D828),COPIA!$DF$3:$DF$1339,0),COLUMN()-1),"")=0,"",IFERROR(INDEX((COPIA!$DA$3:$DE$1339),MATCH(ROWS(D$10:D828),COPIA!$DF$3:$DF$1339,0),COLUMN()-1),""))</f>
        <v/>
      </c>
      <c r="E828" s="9" t="str">
        <f ca="1">IF(IFERROR(INDEX((COPIA!$DA$3:$DE$1339),MATCH(ROWS(E$10:E828),COPIA!$DF$3:$DF$1339,0),COLUMN()-1),"")=0,"",IFERROR(INDEX((COPIA!$DA$3:$DE$1339),MATCH(ROWS(E$10:E828),COPIA!$DF$3:$DF$1339,0),COLUMN()-1),""))</f>
        <v/>
      </c>
      <c r="F828" s="6" t="str">
        <f ca="1">IF(IFERROR(INDEX((COPIA!$DA$3:$DE$1339),MATCH(ROWS(F$10:F828),COPIA!$DF$3:$DF$1339,0),COLUMN()-1),"")=0,"",IFERROR(INDEX((COPIA!$DA$3:$DE$1339),MATCH(ROWS(F$10:F828),COPIA!$DF$3:$DF$1339,0),COLUMN()-1),""))</f>
        <v/>
      </c>
    </row>
    <row r="829" spans="2:6" x14ac:dyDescent="0.3">
      <c r="B829" s="10" t="str">
        <f ca="1">IF(IFERROR(INDEX((COPIA!$DA$3:$DE$1339),MATCH(ROWS(B$10:B829),COPIA!$DF$3:$DF$1339,0),COLUMN()-1),"")&gt;=1,IFERROR(INDEX((COPIA!$DA$3:$DE$1339),MATCH(ROWS(B$10:B829),COPIA!$DF$3:$DF$1339,0),COLUMN()-1),""),"")</f>
        <v/>
      </c>
      <c r="C829" s="5" t="str">
        <f ca="1">SUBSTITUTE(IFERROR(INDEX((COPIA!$DA$3:$DE$1339),MATCH(ROWS(C$10:C829),COPIA!$DF$3:$DF$1339,0),COLUMN()-1),""),"MASTRO","")</f>
        <v/>
      </c>
      <c r="D829" s="136" t="str">
        <f ca="1">IF(IFERROR(INDEX((COPIA!$DA$3:$DE$1339),MATCH(ROWS(D$10:D829),COPIA!$DF$3:$DF$1339,0),COLUMN()-1),"")=0,"",IFERROR(INDEX((COPIA!$DA$3:$DE$1339),MATCH(ROWS(D$10:D829),COPIA!$DF$3:$DF$1339,0),COLUMN()-1),""))</f>
        <v/>
      </c>
      <c r="E829" s="9" t="str">
        <f ca="1">IF(IFERROR(INDEX((COPIA!$DA$3:$DE$1339),MATCH(ROWS(E$10:E829),COPIA!$DF$3:$DF$1339,0),COLUMN()-1),"")=0,"",IFERROR(INDEX((COPIA!$DA$3:$DE$1339),MATCH(ROWS(E$10:E829),COPIA!$DF$3:$DF$1339,0),COLUMN()-1),""))</f>
        <v/>
      </c>
      <c r="F829" s="6" t="str">
        <f ca="1">IF(IFERROR(INDEX((COPIA!$DA$3:$DE$1339),MATCH(ROWS(F$10:F829),COPIA!$DF$3:$DF$1339,0),COLUMN()-1),"")=0,"",IFERROR(INDEX((COPIA!$DA$3:$DE$1339),MATCH(ROWS(F$10:F829),COPIA!$DF$3:$DF$1339,0),COLUMN()-1),""))</f>
        <v/>
      </c>
    </row>
    <row r="830" spans="2:6" x14ac:dyDescent="0.3">
      <c r="B830" s="10" t="str">
        <f ca="1">IF(IFERROR(INDEX((COPIA!$DA$3:$DE$1339),MATCH(ROWS(B$10:B830),COPIA!$DF$3:$DF$1339,0),COLUMN()-1),"")&gt;=1,IFERROR(INDEX((COPIA!$DA$3:$DE$1339),MATCH(ROWS(B$10:B830),COPIA!$DF$3:$DF$1339,0),COLUMN()-1),""),"")</f>
        <v/>
      </c>
      <c r="C830" s="5" t="str">
        <f ca="1">SUBSTITUTE(IFERROR(INDEX((COPIA!$DA$3:$DE$1339),MATCH(ROWS(C$10:C830),COPIA!$DF$3:$DF$1339,0),COLUMN()-1),""),"MASTRO","")</f>
        <v/>
      </c>
      <c r="D830" s="136" t="str">
        <f ca="1">IF(IFERROR(INDEX((COPIA!$DA$3:$DE$1339),MATCH(ROWS(D$10:D830),COPIA!$DF$3:$DF$1339,0),COLUMN()-1),"")=0,"",IFERROR(INDEX((COPIA!$DA$3:$DE$1339),MATCH(ROWS(D$10:D830),COPIA!$DF$3:$DF$1339,0),COLUMN()-1),""))</f>
        <v/>
      </c>
      <c r="E830" s="9" t="str">
        <f ca="1">IF(IFERROR(INDEX((COPIA!$DA$3:$DE$1339),MATCH(ROWS(E$10:E830),COPIA!$DF$3:$DF$1339,0),COLUMN()-1),"")=0,"",IFERROR(INDEX((COPIA!$DA$3:$DE$1339),MATCH(ROWS(E$10:E830),COPIA!$DF$3:$DF$1339,0),COLUMN()-1),""))</f>
        <v/>
      </c>
      <c r="F830" s="6" t="str">
        <f ca="1">IF(IFERROR(INDEX((COPIA!$DA$3:$DE$1339),MATCH(ROWS(F$10:F830),COPIA!$DF$3:$DF$1339,0),COLUMN()-1),"")=0,"",IFERROR(INDEX((COPIA!$DA$3:$DE$1339),MATCH(ROWS(F$10:F830),COPIA!$DF$3:$DF$1339,0),COLUMN()-1),""))</f>
        <v/>
      </c>
    </row>
    <row r="831" spans="2:6" x14ac:dyDescent="0.3">
      <c r="B831" s="10" t="str">
        <f ca="1">IF(IFERROR(INDEX((COPIA!$DA$3:$DE$1339),MATCH(ROWS(B$10:B831),COPIA!$DF$3:$DF$1339,0),COLUMN()-1),"")&gt;=1,IFERROR(INDEX((COPIA!$DA$3:$DE$1339),MATCH(ROWS(B$10:B831),COPIA!$DF$3:$DF$1339,0),COLUMN()-1),""),"")</f>
        <v/>
      </c>
      <c r="C831" s="5" t="str">
        <f ca="1">SUBSTITUTE(IFERROR(INDEX((COPIA!$DA$3:$DE$1339),MATCH(ROWS(C$10:C831),COPIA!$DF$3:$DF$1339,0),COLUMN()-1),""),"MASTRO","")</f>
        <v/>
      </c>
      <c r="D831" s="136" t="str">
        <f ca="1">IF(IFERROR(INDEX((COPIA!$DA$3:$DE$1339),MATCH(ROWS(D$10:D831),COPIA!$DF$3:$DF$1339,0),COLUMN()-1),"")=0,"",IFERROR(INDEX((COPIA!$DA$3:$DE$1339),MATCH(ROWS(D$10:D831),COPIA!$DF$3:$DF$1339,0),COLUMN()-1),""))</f>
        <v/>
      </c>
      <c r="E831" s="9" t="str">
        <f ca="1">IF(IFERROR(INDEX((COPIA!$DA$3:$DE$1339),MATCH(ROWS(E$10:E831),COPIA!$DF$3:$DF$1339,0),COLUMN()-1),"")=0,"",IFERROR(INDEX((COPIA!$DA$3:$DE$1339),MATCH(ROWS(E$10:E831),COPIA!$DF$3:$DF$1339,0),COLUMN()-1),""))</f>
        <v/>
      </c>
      <c r="F831" s="6" t="str">
        <f ca="1">IF(IFERROR(INDEX((COPIA!$DA$3:$DE$1339),MATCH(ROWS(F$10:F831),COPIA!$DF$3:$DF$1339,0),COLUMN()-1),"")=0,"",IFERROR(INDEX((COPIA!$DA$3:$DE$1339),MATCH(ROWS(F$10:F831),COPIA!$DF$3:$DF$1339,0),COLUMN()-1),""))</f>
        <v/>
      </c>
    </row>
    <row r="832" spans="2:6" x14ac:dyDescent="0.3">
      <c r="B832" s="10" t="str">
        <f ca="1">IF(IFERROR(INDEX((COPIA!$DA$3:$DE$1339),MATCH(ROWS(B$10:B832),COPIA!$DF$3:$DF$1339,0),COLUMN()-1),"")&gt;=1,IFERROR(INDEX((COPIA!$DA$3:$DE$1339),MATCH(ROWS(B$10:B832),COPIA!$DF$3:$DF$1339,0),COLUMN()-1),""),"")</f>
        <v/>
      </c>
      <c r="C832" s="5" t="str">
        <f ca="1">SUBSTITUTE(IFERROR(INDEX((COPIA!$DA$3:$DE$1339),MATCH(ROWS(C$10:C832),COPIA!$DF$3:$DF$1339,0),COLUMN()-1),""),"MASTRO","")</f>
        <v/>
      </c>
      <c r="D832" s="136" t="str">
        <f ca="1">IF(IFERROR(INDEX((COPIA!$DA$3:$DE$1339),MATCH(ROWS(D$10:D832),COPIA!$DF$3:$DF$1339,0),COLUMN()-1),"")=0,"",IFERROR(INDEX((COPIA!$DA$3:$DE$1339),MATCH(ROWS(D$10:D832),COPIA!$DF$3:$DF$1339,0),COLUMN()-1),""))</f>
        <v/>
      </c>
      <c r="E832" s="9" t="str">
        <f ca="1">IF(IFERROR(INDEX((COPIA!$DA$3:$DE$1339),MATCH(ROWS(E$10:E832),COPIA!$DF$3:$DF$1339,0),COLUMN()-1),"")=0,"",IFERROR(INDEX((COPIA!$DA$3:$DE$1339),MATCH(ROWS(E$10:E832),COPIA!$DF$3:$DF$1339,0),COLUMN()-1),""))</f>
        <v/>
      </c>
      <c r="F832" s="6" t="str">
        <f ca="1">IF(IFERROR(INDEX((COPIA!$DA$3:$DE$1339),MATCH(ROWS(F$10:F832),COPIA!$DF$3:$DF$1339,0),COLUMN()-1),"")=0,"",IFERROR(INDEX((COPIA!$DA$3:$DE$1339),MATCH(ROWS(F$10:F832),COPIA!$DF$3:$DF$1339,0),COLUMN()-1),""))</f>
        <v/>
      </c>
    </row>
    <row r="833" spans="2:6" x14ac:dyDescent="0.3">
      <c r="B833" s="10" t="str">
        <f ca="1">IF(IFERROR(INDEX((COPIA!$DA$3:$DE$1339),MATCH(ROWS(B$10:B833),COPIA!$DF$3:$DF$1339,0),COLUMN()-1),"")&gt;=1,IFERROR(INDEX((COPIA!$DA$3:$DE$1339),MATCH(ROWS(B$10:B833),COPIA!$DF$3:$DF$1339,0),COLUMN()-1),""),"")</f>
        <v/>
      </c>
      <c r="C833" s="5" t="str">
        <f ca="1">SUBSTITUTE(IFERROR(INDEX((COPIA!$DA$3:$DE$1339),MATCH(ROWS(C$10:C833),COPIA!$DF$3:$DF$1339,0),COLUMN()-1),""),"MASTRO","")</f>
        <v/>
      </c>
      <c r="D833" s="136" t="str">
        <f ca="1">IF(IFERROR(INDEX((COPIA!$DA$3:$DE$1339),MATCH(ROWS(D$10:D833),COPIA!$DF$3:$DF$1339,0),COLUMN()-1),"")=0,"",IFERROR(INDEX((COPIA!$DA$3:$DE$1339),MATCH(ROWS(D$10:D833),COPIA!$DF$3:$DF$1339,0),COLUMN()-1),""))</f>
        <v/>
      </c>
      <c r="E833" s="9" t="str">
        <f ca="1">IF(IFERROR(INDEX((COPIA!$DA$3:$DE$1339),MATCH(ROWS(E$10:E833),COPIA!$DF$3:$DF$1339,0),COLUMN()-1),"")=0,"",IFERROR(INDEX((COPIA!$DA$3:$DE$1339),MATCH(ROWS(E$10:E833),COPIA!$DF$3:$DF$1339,0),COLUMN()-1),""))</f>
        <v/>
      </c>
      <c r="F833" s="6" t="str">
        <f ca="1">IF(IFERROR(INDEX((COPIA!$DA$3:$DE$1339),MATCH(ROWS(F$10:F833),COPIA!$DF$3:$DF$1339,0),COLUMN()-1),"")=0,"",IFERROR(INDEX((COPIA!$DA$3:$DE$1339),MATCH(ROWS(F$10:F833),COPIA!$DF$3:$DF$1339,0),COLUMN()-1),""))</f>
        <v/>
      </c>
    </row>
    <row r="834" spans="2:6" x14ac:dyDescent="0.3">
      <c r="B834" s="10" t="str">
        <f ca="1">IF(IFERROR(INDEX((COPIA!$DA$3:$DE$1339),MATCH(ROWS(B$10:B834),COPIA!$DF$3:$DF$1339,0),COLUMN()-1),"")&gt;=1,IFERROR(INDEX((COPIA!$DA$3:$DE$1339),MATCH(ROWS(B$10:B834),COPIA!$DF$3:$DF$1339,0),COLUMN()-1),""),"")</f>
        <v/>
      </c>
      <c r="C834" s="5" t="str">
        <f ca="1">SUBSTITUTE(IFERROR(INDEX((COPIA!$DA$3:$DE$1339),MATCH(ROWS(C$10:C834),COPIA!$DF$3:$DF$1339,0),COLUMN()-1),""),"MASTRO","")</f>
        <v/>
      </c>
      <c r="D834" s="136" t="str">
        <f ca="1">IF(IFERROR(INDEX((COPIA!$DA$3:$DE$1339),MATCH(ROWS(D$10:D834),COPIA!$DF$3:$DF$1339,0),COLUMN()-1),"")=0,"",IFERROR(INDEX((COPIA!$DA$3:$DE$1339),MATCH(ROWS(D$10:D834),COPIA!$DF$3:$DF$1339,0),COLUMN()-1),""))</f>
        <v/>
      </c>
      <c r="E834" s="9" t="str">
        <f ca="1">IF(IFERROR(INDEX((COPIA!$DA$3:$DE$1339),MATCH(ROWS(E$10:E834),COPIA!$DF$3:$DF$1339,0),COLUMN()-1),"")=0,"",IFERROR(INDEX((COPIA!$DA$3:$DE$1339),MATCH(ROWS(E$10:E834),COPIA!$DF$3:$DF$1339,0),COLUMN()-1),""))</f>
        <v/>
      </c>
      <c r="F834" s="6" t="str">
        <f ca="1">IF(IFERROR(INDEX((COPIA!$DA$3:$DE$1339),MATCH(ROWS(F$10:F834),COPIA!$DF$3:$DF$1339,0),COLUMN()-1),"")=0,"",IFERROR(INDEX((COPIA!$DA$3:$DE$1339),MATCH(ROWS(F$10:F834),COPIA!$DF$3:$DF$1339,0),COLUMN()-1),""))</f>
        <v/>
      </c>
    </row>
    <row r="835" spans="2:6" x14ac:dyDescent="0.3">
      <c r="B835" s="10" t="str">
        <f ca="1">IF(IFERROR(INDEX((COPIA!$DA$3:$DE$1339),MATCH(ROWS(B$10:B835),COPIA!$DF$3:$DF$1339,0),COLUMN()-1),"")&gt;=1,IFERROR(INDEX((COPIA!$DA$3:$DE$1339),MATCH(ROWS(B$10:B835),COPIA!$DF$3:$DF$1339,0),COLUMN()-1),""),"")</f>
        <v/>
      </c>
      <c r="C835" s="5" t="str">
        <f ca="1">SUBSTITUTE(IFERROR(INDEX((COPIA!$DA$3:$DE$1339),MATCH(ROWS(C$10:C835),COPIA!$DF$3:$DF$1339,0),COLUMN()-1),""),"MASTRO","")</f>
        <v/>
      </c>
      <c r="D835" s="136" t="str">
        <f ca="1">IF(IFERROR(INDEX((COPIA!$DA$3:$DE$1339),MATCH(ROWS(D$10:D835),COPIA!$DF$3:$DF$1339,0),COLUMN()-1),"")=0,"",IFERROR(INDEX((COPIA!$DA$3:$DE$1339),MATCH(ROWS(D$10:D835),COPIA!$DF$3:$DF$1339,0),COLUMN()-1),""))</f>
        <v/>
      </c>
      <c r="E835" s="9" t="str">
        <f ca="1">IF(IFERROR(INDEX((COPIA!$DA$3:$DE$1339),MATCH(ROWS(E$10:E835),COPIA!$DF$3:$DF$1339,0),COLUMN()-1),"")=0,"",IFERROR(INDEX((COPIA!$DA$3:$DE$1339),MATCH(ROWS(E$10:E835),COPIA!$DF$3:$DF$1339,0),COLUMN()-1),""))</f>
        <v/>
      </c>
      <c r="F835" s="6" t="str">
        <f ca="1">IF(IFERROR(INDEX((COPIA!$DA$3:$DE$1339),MATCH(ROWS(F$10:F835),COPIA!$DF$3:$DF$1339,0),COLUMN()-1),"")=0,"",IFERROR(INDEX((COPIA!$DA$3:$DE$1339),MATCH(ROWS(F$10:F835),COPIA!$DF$3:$DF$1339,0),COLUMN()-1),""))</f>
        <v/>
      </c>
    </row>
    <row r="836" spans="2:6" x14ac:dyDescent="0.3">
      <c r="B836" s="10" t="str">
        <f ca="1">IF(IFERROR(INDEX((COPIA!$DA$3:$DE$1339),MATCH(ROWS(B$10:B836),COPIA!$DF$3:$DF$1339,0),COLUMN()-1),"")&gt;=1,IFERROR(INDEX((COPIA!$DA$3:$DE$1339),MATCH(ROWS(B$10:B836),COPIA!$DF$3:$DF$1339,0),COLUMN()-1),""),"")</f>
        <v/>
      </c>
      <c r="C836" s="5" t="str">
        <f ca="1">SUBSTITUTE(IFERROR(INDEX((COPIA!$DA$3:$DE$1339),MATCH(ROWS(C$10:C836),COPIA!$DF$3:$DF$1339,0),COLUMN()-1),""),"MASTRO","")</f>
        <v/>
      </c>
      <c r="D836" s="136" t="str">
        <f ca="1">IF(IFERROR(INDEX((COPIA!$DA$3:$DE$1339),MATCH(ROWS(D$10:D836),COPIA!$DF$3:$DF$1339,0),COLUMN()-1),"")=0,"",IFERROR(INDEX((COPIA!$DA$3:$DE$1339),MATCH(ROWS(D$10:D836),COPIA!$DF$3:$DF$1339,0),COLUMN()-1),""))</f>
        <v/>
      </c>
      <c r="E836" s="9" t="str">
        <f ca="1">IF(IFERROR(INDEX((COPIA!$DA$3:$DE$1339),MATCH(ROWS(E$10:E836),COPIA!$DF$3:$DF$1339,0),COLUMN()-1),"")=0,"",IFERROR(INDEX((COPIA!$DA$3:$DE$1339),MATCH(ROWS(E$10:E836),COPIA!$DF$3:$DF$1339,0),COLUMN()-1),""))</f>
        <v/>
      </c>
      <c r="F836" s="6" t="str">
        <f ca="1">IF(IFERROR(INDEX((COPIA!$DA$3:$DE$1339),MATCH(ROWS(F$10:F836),COPIA!$DF$3:$DF$1339,0),COLUMN()-1),"")=0,"",IFERROR(INDEX((COPIA!$DA$3:$DE$1339),MATCH(ROWS(F$10:F836),COPIA!$DF$3:$DF$1339,0),COLUMN()-1),""))</f>
        <v/>
      </c>
    </row>
    <row r="837" spans="2:6" x14ac:dyDescent="0.3">
      <c r="B837" s="10" t="str">
        <f ca="1">IF(IFERROR(INDEX((COPIA!$DA$3:$DE$1339),MATCH(ROWS(B$10:B837),COPIA!$DF$3:$DF$1339,0),COLUMN()-1),"")&gt;=1,IFERROR(INDEX((COPIA!$DA$3:$DE$1339),MATCH(ROWS(B$10:B837),COPIA!$DF$3:$DF$1339,0),COLUMN()-1),""),"")</f>
        <v/>
      </c>
      <c r="C837" s="5" t="str">
        <f ca="1">SUBSTITUTE(IFERROR(INDEX((COPIA!$DA$3:$DE$1339),MATCH(ROWS(C$10:C837),COPIA!$DF$3:$DF$1339,0),COLUMN()-1),""),"MASTRO","")</f>
        <v/>
      </c>
      <c r="D837" s="136" t="str">
        <f ca="1">IF(IFERROR(INDEX((COPIA!$DA$3:$DE$1339),MATCH(ROWS(D$10:D837),COPIA!$DF$3:$DF$1339,0),COLUMN()-1),"")=0,"",IFERROR(INDEX((COPIA!$DA$3:$DE$1339),MATCH(ROWS(D$10:D837),COPIA!$DF$3:$DF$1339,0),COLUMN()-1),""))</f>
        <v/>
      </c>
      <c r="E837" s="9" t="str">
        <f ca="1">IF(IFERROR(INDEX((COPIA!$DA$3:$DE$1339),MATCH(ROWS(E$10:E837),COPIA!$DF$3:$DF$1339,0),COLUMN()-1),"")=0,"",IFERROR(INDEX((COPIA!$DA$3:$DE$1339),MATCH(ROWS(E$10:E837),COPIA!$DF$3:$DF$1339,0),COLUMN()-1),""))</f>
        <v/>
      </c>
      <c r="F837" s="6" t="str">
        <f ca="1">IF(IFERROR(INDEX((COPIA!$DA$3:$DE$1339),MATCH(ROWS(F$10:F837),COPIA!$DF$3:$DF$1339,0),COLUMN()-1),"")=0,"",IFERROR(INDEX((COPIA!$DA$3:$DE$1339),MATCH(ROWS(F$10:F837),COPIA!$DF$3:$DF$1339,0),COLUMN()-1),""))</f>
        <v/>
      </c>
    </row>
    <row r="838" spans="2:6" x14ac:dyDescent="0.3">
      <c r="B838" s="10" t="str">
        <f ca="1">IF(IFERROR(INDEX((COPIA!$DA$3:$DE$1339),MATCH(ROWS(B$10:B838),COPIA!$DF$3:$DF$1339,0),COLUMN()-1),"")&gt;=1,IFERROR(INDEX((COPIA!$DA$3:$DE$1339),MATCH(ROWS(B$10:B838),COPIA!$DF$3:$DF$1339,0),COLUMN()-1),""),"")</f>
        <v/>
      </c>
      <c r="C838" s="5" t="str">
        <f ca="1">SUBSTITUTE(IFERROR(INDEX((COPIA!$DA$3:$DE$1339),MATCH(ROWS(C$10:C838),COPIA!$DF$3:$DF$1339,0),COLUMN()-1),""),"MASTRO","")</f>
        <v/>
      </c>
      <c r="D838" s="136" t="str">
        <f ca="1">IF(IFERROR(INDEX((COPIA!$DA$3:$DE$1339),MATCH(ROWS(D$10:D838),COPIA!$DF$3:$DF$1339,0),COLUMN()-1),"")=0,"",IFERROR(INDEX((COPIA!$DA$3:$DE$1339),MATCH(ROWS(D$10:D838),COPIA!$DF$3:$DF$1339,0),COLUMN()-1),""))</f>
        <v/>
      </c>
      <c r="E838" s="9" t="str">
        <f ca="1">IF(IFERROR(INDEX((COPIA!$DA$3:$DE$1339),MATCH(ROWS(E$10:E838),COPIA!$DF$3:$DF$1339,0),COLUMN()-1),"")=0,"",IFERROR(INDEX((COPIA!$DA$3:$DE$1339),MATCH(ROWS(E$10:E838),COPIA!$DF$3:$DF$1339,0),COLUMN()-1),""))</f>
        <v/>
      </c>
      <c r="F838" s="6" t="str">
        <f ca="1">IF(IFERROR(INDEX((COPIA!$DA$3:$DE$1339),MATCH(ROWS(F$10:F838),COPIA!$DF$3:$DF$1339,0),COLUMN()-1),"")=0,"",IFERROR(INDEX((COPIA!$DA$3:$DE$1339),MATCH(ROWS(F$10:F838),COPIA!$DF$3:$DF$1339,0),COLUMN()-1),""))</f>
        <v/>
      </c>
    </row>
    <row r="839" spans="2:6" x14ac:dyDescent="0.3">
      <c r="B839" s="10" t="str">
        <f ca="1">IF(IFERROR(INDEX((COPIA!$DA$3:$DE$1339),MATCH(ROWS(B$10:B839),COPIA!$DF$3:$DF$1339,0),COLUMN()-1),"")&gt;=1,IFERROR(INDEX((COPIA!$DA$3:$DE$1339),MATCH(ROWS(B$10:B839),COPIA!$DF$3:$DF$1339,0),COLUMN()-1),""),"")</f>
        <v/>
      </c>
      <c r="C839" s="5" t="str">
        <f ca="1">SUBSTITUTE(IFERROR(INDEX((COPIA!$DA$3:$DE$1339),MATCH(ROWS(C$10:C839),COPIA!$DF$3:$DF$1339,0),COLUMN()-1),""),"MASTRO","")</f>
        <v/>
      </c>
      <c r="D839" s="136" t="str">
        <f ca="1">IF(IFERROR(INDEX((COPIA!$DA$3:$DE$1339),MATCH(ROWS(D$10:D839),COPIA!$DF$3:$DF$1339,0),COLUMN()-1),"")=0,"",IFERROR(INDEX((COPIA!$DA$3:$DE$1339),MATCH(ROWS(D$10:D839),COPIA!$DF$3:$DF$1339,0),COLUMN()-1),""))</f>
        <v/>
      </c>
      <c r="E839" s="9" t="str">
        <f ca="1">IF(IFERROR(INDEX((COPIA!$DA$3:$DE$1339),MATCH(ROWS(E$10:E839),COPIA!$DF$3:$DF$1339,0),COLUMN()-1),"")=0,"",IFERROR(INDEX((COPIA!$DA$3:$DE$1339),MATCH(ROWS(E$10:E839),COPIA!$DF$3:$DF$1339,0),COLUMN()-1),""))</f>
        <v/>
      </c>
      <c r="F839" s="6" t="str">
        <f ca="1">IF(IFERROR(INDEX((COPIA!$DA$3:$DE$1339),MATCH(ROWS(F$10:F839),COPIA!$DF$3:$DF$1339,0),COLUMN()-1),"")=0,"",IFERROR(INDEX((COPIA!$DA$3:$DE$1339),MATCH(ROWS(F$10:F839),COPIA!$DF$3:$DF$1339,0),COLUMN()-1),""))</f>
        <v/>
      </c>
    </row>
    <row r="840" spans="2:6" x14ac:dyDescent="0.3">
      <c r="B840" s="10" t="str">
        <f ca="1">IF(IFERROR(INDEX((COPIA!$DA$3:$DE$1339),MATCH(ROWS(B$10:B840),COPIA!$DF$3:$DF$1339,0),COLUMN()-1),"")&gt;=1,IFERROR(INDEX((COPIA!$DA$3:$DE$1339),MATCH(ROWS(B$10:B840),COPIA!$DF$3:$DF$1339,0),COLUMN()-1),""),"")</f>
        <v/>
      </c>
      <c r="C840" s="5" t="str">
        <f ca="1">SUBSTITUTE(IFERROR(INDEX((COPIA!$DA$3:$DE$1339),MATCH(ROWS(C$10:C840),COPIA!$DF$3:$DF$1339,0),COLUMN()-1),""),"MASTRO","")</f>
        <v/>
      </c>
      <c r="D840" s="136" t="str">
        <f ca="1">IF(IFERROR(INDEX((COPIA!$DA$3:$DE$1339),MATCH(ROWS(D$10:D840),COPIA!$DF$3:$DF$1339,0),COLUMN()-1),"")=0,"",IFERROR(INDEX((COPIA!$DA$3:$DE$1339),MATCH(ROWS(D$10:D840),COPIA!$DF$3:$DF$1339,0),COLUMN()-1),""))</f>
        <v/>
      </c>
      <c r="E840" s="9" t="str">
        <f ca="1">IF(IFERROR(INDEX((COPIA!$DA$3:$DE$1339),MATCH(ROWS(E$10:E840),COPIA!$DF$3:$DF$1339,0),COLUMN()-1),"")=0,"",IFERROR(INDEX((COPIA!$DA$3:$DE$1339),MATCH(ROWS(E$10:E840),COPIA!$DF$3:$DF$1339,0),COLUMN()-1),""))</f>
        <v/>
      </c>
      <c r="F840" s="6" t="str">
        <f ca="1">IF(IFERROR(INDEX((COPIA!$DA$3:$DE$1339),MATCH(ROWS(F$10:F840),COPIA!$DF$3:$DF$1339,0),COLUMN()-1),"")=0,"",IFERROR(INDEX((COPIA!$DA$3:$DE$1339),MATCH(ROWS(F$10:F840),COPIA!$DF$3:$DF$1339,0),COLUMN()-1),""))</f>
        <v/>
      </c>
    </row>
    <row r="841" spans="2:6" x14ac:dyDescent="0.3">
      <c r="B841" s="10" t="str">
        <f ca="1">IF(IFERROR(INDEX((COPIA!$DA$3:$DE$1339),MATCH(ROWS(B$10:B841),COPIA!$DF$3:$DF$1339,0),COLUMN()-1),"")&gt;=1,IFERROR(INDEX((COPIA!$DA$3:$DE$1339),MATCH(ROWS(B$10:B841),COPIA!$DF$3:$DF$1339,0),COLUMN()-1),""),"")</f>
        <v/>
      </c>
      <c r="C841" s="5" t="str">
        <f ca="1">SUBSTITUTE(IFERROR(INDEX((COPIA!$DA$3:$DE$1339),MATCH(ROWS(C$10:C841),COPIA!$DF$3:$DF$1339,0),COLUMN()-1),""),"MASTRO","")</f>
        <v/>
      </c>
      <c r="D841" s="136" t="str">
        <f ca="1">IF(IFERROR(INDEX((COPIA!$DA$3:$DE$1339),MATCH(ROWS(D$10:D841),COPIA!$DF$3:$DF$1339,0),COLUMN()-1),"")=0,"",IFERROR(INDEX((COPIA!$DA$3:$DE$1339),MATCH(ROWS(D$10:D841),COPIA!$DF$3:$DF$1339,0),COLUMN()-1),""))</f>
        <v/>
      </c>
      <c r="E841" s="9" t="str">
        <f ca="1">IF(IFERROR(INDEX((COPIA!$DA$3:$DE$1339),MATCH(ROWS(E$10:E841),COPIA!$DF$3:$DF$1339,0),COLUMN()-1),"")=0,"",IFERROR(INDEX((COPIA!$DA$3:$DE$1339),MATCH(ROWS(E$10:E841),COPIA!$DF$3:$DF$1339,0),COLUMN()-1),""))</f>
        <v/>
      </c>
      <c r="F841" s="6" t="str">
        <f ca="1">IF(IFERROR(INDEX((COPIA!$DA$3:$DE$1339),MATCH(ROWS(F$10:F841),COPIA!$DF$3:$DF$1339,0),COLUMN()-1),"")=0,"",IFERROR(INDEX((COPIA!$DA$3:$DE$1339),MATCH(ROWS(F$10:F841),COPIA!$DF$3:$DF$1339,0),COLUMN()-1),""))</f>
        <v/>
      </c>
    </row>
    <row r="842" spans="2:6" x14ac:dyDescent="0.3">
      <c r="B842" s="10" t="str">
        <f ca="1">IF(IFERROR(INDEX((COPIA!$DA$3:$DE$1339),MATCH(ROWS(B$10:B842),COPIA!$DF$3:$DF$1339,0),COLUMN()-1),"")&gt;=1,IFERROR(INDEX((COPIA!$DA$3:$DE$1339),MATCH(ROWS(B$10:B842),COPIA!$DF$3:$DF$1339,0),COLUMN()-1),""),"")</f>
        <v/>
      </c>
      <c r="C842" s="5" t="str">
        <f ca="1">SUBSTITUTE(IFERROR(INDEX((COPIA!$DA$3:$DE$1339),MATCH(ROWS(C$10:C842),COPIA!$DF$3:$DF$1339,0),COLUMN()-1),""),"MASTRO","")</f>
        <v/>
      </c>
      <c r="D842" s="136" t="str">
        <f ca="1">IF(IFERROR(INDEX((COPIA!$DA$3:$DE$1339),MATCH(ROWS(D$10:D842),COPIA!$DF$3:$DF$1339,0),COLUMN()-1),"")=0,"",IFERROR(INDEX((COPIA!$DA$3:$DE$1339),MATCH(ROWS(D$10:D842),COPIA!$DF$3:$DF$1339,0),COLUMN()-1),""))</f>
        <v/>
      </c>
      <c r="E842" s="9" t="str">
        <f ca="1">IF(IFERROR(INDEX((COPIA!$DA$3:$DE$1339),MATCH(ROWS(E$10:E842),COPIA!$DF$3:$DF$1339,0),COLUMN()-1),"")=0,"",IFERROR(INDEX((COPIA!$DA$3:$DE$1339),MATCH(ROWS(E$10:E842),COPIA!$DF$3:$DF$1339,0),COLUMN()-1),""))</f>
        <v/>
      </c>
      <c r="F842" s="6" t="str">
        <f ca="1">IF(IFERROR(INDEX((COPIA!$DA$3:$DE$1339),MATCH(ROWS(F$10:F842),COPIA!$DF$3:$DF$1339,0),COLUMN()-1),"")=0,"",IFERROR(INDEX((COPIA!$DA$3:$DE$1339),MATCH(ROWS(F$10:F842),COPIA!$DF$3:$DF$1339,0),COLUMN()-1),""))</f>
        <v/>
      </c>
    </row>
    <row r="843" spans="2:6" x14ac:dyDescent="0.3">
      <c r="B843" s="10" t="str">
        <f ca="1">IF(IFERROR(INDEX((COPIA!$DA$3:$DE$1339),MATCH(ROWS(B$10:B843),COPIA!$DF$3:$DF$1339,0),COLUMN()-1),"")&gt;=1,IFERROR(INDEX((COPIA!$DA$3:$DE$1339),MATCH(ROWS(B$10:B843),COPIA!$DF$3:$DF$1339,0),COLUMN()-1),""),"")</f>
        <v/>
      </c>
      <c r="C843" s="5" t="str">
        <f ca="1">SUBSTITUTE(IFERROR(INDEX((COPIA!$DA$3:$DE$1339),MATCH(ROWS(C$10:C843),COPIA!$DF$3:$DF$1339,0),COLUMN()-1),""),"MASTRO","")</f>
        <v/>
      </c>
      <c r="D843" s="136" t="str">
        <f ca="1">IF(IFERROR(INDEX((COPIA!$DA$3:$DE$1339),MATCH(ROWS(D$10:D843),COPIA!$DF$3:$DF$1339,0),COLUMN()-1),"")=0,"",IFERROR(INDEX((COPIA!$DA$3:$DE$1339),MATCH(ROWS(D$10:D843),COPIA!$DF$3:$DF$1339,0),COLUMN()-1),""))</f>
        <v/>
      </c>
      <c r="E843" s="9" t="str">
        <f ca="1">IF(IFERROR(INDEX((COPIA!$DA$3:$DE$1339),MATCH(ROWS(E$10:E843),COPIA!$DF$3:$DF$1339,0),COLUMN()-1),"")=0,"",IFERROR(INDEX((COPIA!$DA$3:$DE$1339),MATCH(ROWS(E$10:E843),COPIA!$DF$3:$DF$1339,0),COLUMN()-1),""))</f>
        <v/>
      </c>
      <c r="F843" s="6" t="str">
        <f ca="1">IF(IFERROR(INDEX((COPIA!$DA$3:$DE$1339),MATCH(ROWS(F$10:F843),COPIA!$DF$3:$DF$1339,0),COLUMN()-1),"")=0,"",IFERROR(INDEX((COPIA!$DA$3:$DE$1339),MATCH(ROWS(F$10:F843),COPIA!$DF$3:$DF$1339,0),COLUMN()-1),""))</f>
        <v/>
      </c>
    </row>
    <row r="844" spans="2:6" x14ac:dyDescent="0.3">
      <c r="B844" s="10" t="str">
        <f ca="1">IF(IFERROR(INDEX((COPIA!$DA$3:$DE$1339),MATCH(ROWS(B$10:B844),COPIA!$DF$3:$DF$1339,0),COLUMN()-1),"")&gt;=1,IFERROR(INDEX((COPIA!$DA$3:$DE$1339),MATCH(ROWS(B$10:B844),COPIA!$DF$3:$DF$1339,0),COLUMN()-1),""),"")</f>
        <v/>
      </c>
      <c r="C844" s="5" t="str">
        <f ca="1">SUBSTITUTE(IFERROR(INDEX((COPIA!$DA$3:$DE$1339),MATCH(ROWS(C$10:C844),COPIA!$DF$3:$DF$1339,0),COLUMN()-1),""),"MASTRO","")</f>
        <v/>
      </c>
      <c r="D844" s="136" t="str">
        <f ca="1">IF(IFERROR(INDEX((COPIA!$DA$3:$DE$1339),MATCH(ROWS(D$10:D844),COPIA!$DF$3:$DF$1339,0),COLUMN()-1),"")=0,"",IFERROR(INDEX((COPIA!$DA$3:$DE$1339),MATCH(ROWS(D$10:D844),COPIA!$DF$3:$DF$1339,0),COLUMN()-1),""))</f>
        <v/>
      </c>
      <c r="E844" s="9" t="str">
        <f ca="1">IF(IFERROR(INDEX((COPIA!$DA$3:$DE$1339),MATCH(ROWS(E$10:E844),COPIA!$DF$3:$DF$1339,0),COLUMN()-1),"")=0,"",IFERROR(INDEX((COPIA!$DA$3:$DE$1339),MATCH(ROWS(E$10:E844),COPIA!$DF$3:$DF$1339,0),COLUMN()-1),""))</f>
        <v/>
      </c>
      <c r="F844" s="6" t="str">
        <f ca="1">IF(IFERROR(INDEX((COPIA!$DA$3:$DE$1339),MATCH(ROWS(F$10:F844),COPIA!$DF$3:$DF$1339,0),COLUMN()-1),"")=0,"",IFERROR(INDEX((COPIA!$DA$3:$DE$1339),MATCH(ROWS(F$10:F844),COPIA!$DF$3:$DF$1339,0),COLUMN()-1),""))</f>
        <v/>
      </c>
    </row>
    <row r="845" spans="2:6" x14ac:dyDescent="0.3">
      <c r="B845" s="10" t="str">
        <f ca="1">IF(IFERROR(INDEX((COPIA!$DA$3:$DE$1339),MATCH(ROWS(B$10:B845),COPIA!$DF$3:$DF$1339,0),COLUMN()-1),"")&gt;=1,IFERROR(INDEX((COPIA!$DA$3:$DE$1339),MATCH(ROWS(B$10:B845),COPIA!$DF$3:$DF$1339,0),COLUMN()-1),""),"")</f>
        <v/>
      </c>
      <c r="C845" s="5" t="str">
        <f ca="1">SUBSTITUTE(IFERROR(INDEX((COPIA!$DA$3:$DE$1339),MATCH(ROWS(C$10:C845),COPIA!$DF$3:$DF$1339,0),COLUMN()-1),""),"MASTRO","")</f>
        <v/>
      </c>
      <c r="D845" s="136" t="str">
        <f ca="1">IF(IFERROR(INDEX((COPIA!$DA$3:$DE$1339),MATCH(ROWS(D$10:D845),COPIA!$DF$3:$DF$1339,0),COLUMN()-1),"")=0,"",IFERROR(INDEX((COPIA!$DA$3:$DE$1339),MATCH(ROWS(D$10:D845),COPIA!$DF$3:$DF$1339,0),COLUMN()-1),""))</f>
        <v/>
      </c>
      <c r="E845" s="9" t="str">
        <f ca="1">IF(IFERROR(INDEX((COPIA!$DA$3:$DE$1339),MATCH(ROWS(E$10:E845),COPIA!$DF$3:$DF$1339,0),COLUMN()-1),"")=0,"",IFERROR(INDEX((COPIA!$DA$3:$DE$1339),MATCH(ROWS(E$10:E845),COPIA!$DF$3:$DF$1339,0),COLUMN()-1),""))</f>
        <v/>
      </c>
      <c r="F845" s="6" t="str">
        <f ca="1">IF(IFERROR(INDEX((COPIA!$DA$3:$DE$1339),MATCH(ROWS(F$10:F845),COPIA!$DF$3:$DF$1339,0),COLUMN()-1),"")=0,"",IFERROR(INDEX((COPIA!$DA$3:$DE$1339),MATCH(ROWS(F$10:F845),COPIA!$DF$3:$DF$1339,0),COLUMN()-1),""))</f>
        <v/>
      </c>
    </row>
    <row r="846" spans="2:6" x14ac:dyDescent="0.3">
      <c r="B846" s="10" t="str">
        <f ca="1">IF(IFERROR(INDEX((COPIA!$DA$3:$DE$1339),MATCH(ROWS(B$10:B846),COPIA!$DF$3:$DF$1339,0),COLUMN()-1),"")&gt;=1,IFERROR(INDEX((COPIA!$DA$3:$DE$1339),MATCH(ROWS(B$10:B846),COPIA!$DF$3:$DF$1339,0),COLUMN()-1),""),"")</f>
        <v/>
      </c>
      <c r="C846" s="5" t="str">
        <f ca="1">SUBSTITUTE(IFERROR(INDEX((COPIA!$DA$3:$DE$1339),MATCH(ROWS(C$10:C846),COPIA!$DF$3:$DF$1339,0),COLUMN()-1),""),"MASTRO","")</f>
        <v/>
      </c>
      <c r="D846" s="136" t="str">
        <f ca="1">IF(IFERROR(INDEX((COPIA!$DA$3:$DE$1339),MATCH(ROWS(D$10:D846),COPIA!$DF$3:$DF$1339,0),COLUMN()-1),"")=0,"",IFERROR(INDEX((COPIA!$DA$3:$DE$1339),MATCH(ROWS(D$10:D846),COPIA!$DF$3:$DF$1339,0),COLUMN()-1),""))</f>
        <v/>
      </c>
      <c r="E846" s="9" t="str">
        <f ca="1">IF(IFERROR(INDEX((COPIA!$DA$3:$DE$1339),MATCH(ROWS(E$10:E846),COPIA!$DF$3:$DF$1339,0),COLUMN()-1),"")=0,"",IFERROR(INDEX((COPIA!$DA$3:$DE$1339),MATCH(ROWS(E$10:E846),COPIA!$DF$3:$DF$1339,0),COLUMN()-1),""))</f>
        <v/>
      </c>
      <c r="F846" s="6" t="str">
        <f ca="1">IF(IFERROR(INDEX((COPIA!$DA$3:$DE$1339),MATCH(ROWS(F$10:F846),COPIA!$DF$3:$DF$1339,0),COLUMN()-1),"")=0,"",IFERROR(INDEX((COPIA!$DA$3:$DE$1339),MATCH(ROWS(F$10:F846),COPIA!$DF$3:$DF$1339,0),COLUMN()-1),""))</f>
        <v/>
      </c>
    </row>
    <row r="847" spans="2:6" x14ac:dyDescent="0.3">
      <c r="B847" s="10" t="str">
        <f ca="1">IF(IFERROR(INDEX((COPIA!$DA$3:$DE$1339),MATCH(ROWS(B$10:B847),COPIA!$DF$3:$DF$1339,0),COLUMN()-1),"")&gt;=1,IFERROR(INDEX((COPIA!$DA$3:$DE$1339),MATCH(ROWS(B$10:B847),COPIA!$DF$3:$DF$1339,0),COLUMN()-1),""),"")</f>
        <v/>
      </c>
      <c r="C847" s="5" t="str">
        <f ca="1">SUBSTITUTE(IFERROR(INDEX((COPIA!$DA$3:$DE$1339),MATCH(ROWS(C$10:C847),COPIA!$DF$3:$DF$1339,0),COLUMN()-1),""),"MASTRO","")</f>
        <v/>
      </c>
      <c r="D847" s="136" t="str">
        <f ca="1">IF(IFERROR(INDEX((COPIA!$DA$3:$DE$1339),MATCH(ROWS(D$10:D847),COPIA!$DF$3:$DF$1339,0),COLUMN()-1),"")=0,"",IFERROR(INDEX((COPIA!$DA$3:$DE$1339),MATCH(ROWS(D$10:D847),COPIA!$DF$3:$DF$1339,0),COLUMN()-1),""))</f>
        <v/>
      </c>
      <c r="E847" s="9" t="str">
        <f ca="1">IF(IFERROR(INDEX((COPIA!$DA$3:$DE$1339),MATCH(ROWS(E$10:E847),COPIA!$DF$3:$DF$1339,0),COLUMN()-1),"")=0,"",IFERROR(INDEX((COPIA!$DA$3:$DE$1339),MATCH(ROWS(E$10:E847),COPIA!$DF$3:$DF$1339,0),COLUMN()-1),""))</f>
        <v/>
      </c>
      <c r="F847" s="6" t="str">
        <f ca="1">IF(IFERROR(INDEX((COPIA!$DA$3:$DE$1339),MATCH(ROWS(F$10:F847),COPIA!$DF$3:$DF$1339,0),COLUMN()-1),"")=0,"",IFERROR(INDEX((COPIA!$DA$3:$DE$1339),MATCH(ROWS(F$10:F847),COPIA!$DF$3:$DF$1339,0),COLUMN()-1),""))</f>
        <v/>
      </c>
    </row>
    <row r="848" spans="2:6" x14ac:dyDescent="0.3">
      <c r="B848" s="10" t="str">
        <f ca="1">IF(IFERROR(INDEX((COPIA!$DA$3:$DE$1339),MATCH(ROWS(B$10:B848),COPIA!$DF$3:$DF$1339,0),COLUMN()-1),"")&gt;=1,IFERROR(INDEX((COPIA!$DA$3:$DE$1339),MATCH(ROWS(B$10:B848),COPIA!$DF$3:$DF$1339,0),COLUMN()-1),""),"")</f>
        <v/>
      </c>
      <c r="C848" s="5" t="str">
        <f ca="1">SUBSTITUTE(IFERROR(INDEX((COPIA!$DA$3:$DE$1339),MATCH(ROWS(C$10:C848),COPIA!$DF$3:$DF$1339,0),COLUMN()-1),""),"MASTRO","")</f>
        <v/>
      </c>
      <c r="D848" s="136" t="str">
        <f ca="1">IF(IFERROR(INDEX((COPIA!$DA$3:$DE$1339),MATCH(ROWS(D$10:D848),COPIA!$DF$3:$DF$1339,0),COLUMN()-1),"")=0,"",IFERROR(INDEX((COPIA!$DA$3:$DE$1339),MATCH(ROWS(D$10:D848),COPIA!$DF$3:$DF$1339,0),COLUMN()-1),""))</f>
        <v/>
      </c>
      <c r="E848" s="9" t="str">
        <f ca="1">IF(IFERROR(INDEX((COPIA!$DA$3:$DE$1339),MATCH(ROWS(E$10:E848),COPIA!$DF$3:$DF$1339,0),COLUMN()-1),"")=0,"",IFERROR(INDEX((COPIA!$DA$3:$DE$1339),MATCH(ROWS(E$10:E848),COPIA!$DF$3:$DF$1339,0),COLUMN()-1),""))</f>
        <v/>
      </c>
      <c r="F848" s="6" t="str">
        <f ca="1">IF(IFERROR(INDEX((COPIA!$DA$3:$DE$1339),MATCH(ROWS(F$10:F848),COPIA!$DF$3:$DF$1339,0),COLUMN()-1),"")=0,"",IFERROR(INDEX((COPIA!$DA$3:$DE$1339),MATCH(ROWS(F$10:F848),COPIA!$DF$3:$DF$1339,0),COLUMN()-1),""))</f>
        <v/>
      </c>
    </row>
    <row r="849" spans="2:6" x14ac:dyDescent="0.3">
      <c r="B849" s="10" t="str">
        <f ca="1">IF(IFERROR(INDEX((COPIA!$DA$3:$DE$1339),MATCH(ROWS(B$10:B849),COPIA!$DF$3:$DF$1339,0),COLUMN()-1),"")&gt;=1,IFERROR(INDEX((COPIA!$DA$3:$DE$1339),MATCH(ROWS(B$10:B849),COPIA!$DF$3:$DF$1339,0),COLUMN()-1),""),"")</f>
        <v/>
      </c>
      <c r="C849" s="5" t="str">
        <f ca="1">SUBSTITUTE(IFERROR(INDEX((COPIA!$DA$3:$DE$1339),MATCH(ROWS(C$10:C849),COPIA!$DF$3:$DF$1339,0),COLUMN()-1),""),"MASTRO","")</f>
        <v/>
      </c>
      <c r="D849" s="136" t="str">
        <f ca="1">IF(IFERROR(INDEX((COPIA!$DA$3:$DE$1339),MATCH(ROWS(D$10:D849),COPIA!$DF$3:$DF$1339,0),COLUMN()-1),"")=0,"",IFERROR(INDEX((COPIA!$DA$3:$DE$1339),MATCH(ROWS(D$10:D849),COPIA!$DF$3:$DF$1339,0),COLUMN()-1),""))</f>
        <v/>
      </c>
      <c r="E849" s="9" t="str">
        <f ca="1">IF(IFERROR(INDEX((COPIA!$DA$3:$DE$1339),MATCH(ROWS(E$10:E849),COPIA!$DF$3:$DF$1339,0),COLUMN()-1),"")=0,"",IFERROR(INDEX((COPIA!$DA$3:$DE$1339),MATCH(ROWS(E$10:E849),COPIA!$DF$3:$DF$1339,0),COLUMN()-1),""))</f>
        <v/>
      </c>
      <c r="F849" s="6" t="str">
        <f ca="1">IF(IFERROR(INDEX((COPIA!$DA$3:$DE$1339),MATCH(ROWS(F$10:F849),COPIA!$DF$3:$DF$1339,0),COLUMN()-1),"")=0,"",IFERROR(INDEX((COPIA!$DA$3:$DE$1339),MATCH(ROWS(F$10:F849),COPIA!$DF$3:$DF$1339,0),COLUMN()-1),""))</f>
        <v/>
      </c>
    </row>
    <row r="850" spans="2:6" x14ac:dyDescent="0.3">
      <c r="B850" s="10" t="str">
        <f ca="1">IF(IFERROR(INDEX((COPIA!$DA$3:$DE$1339),MATCH(ROWS(B$10:B850),COPIA!$DF$3:$DF$1339,0),COLUMN()-1),"")&gt;=1,IFERROR(INDEX((COPIA!$DA$3:$DE$1339),MATCH(ROWS(B$10:B850),COPIA!$DF$3:$DF$1339,0),COLUMN()-1),""),"")</f>
        <v/>
      </c>
      <c r="C850" s="5" t="str">
        <f ca="1">SUBSTITUTE(IFERROR(INDEX((COPIA!$DA$3:$DE$1339),MATCH(ROWS(C$10:C850),COPIA!$DF$3:$DF$1339,0),COLUMN()-1),""),"MASTRO","")</f>
        <v/>
      </c>
      <c r="D850" s="136" t="str">
        <f ca="1">IF(IFERROR(INDEX((COPIA!$DA$3:$DE$1339),MATCH(ROWS(D$10:D850),COPIA!$DF$3:$DF$1339,0),COLUMN()-1),"")=0,"",IFERROR(INDEX((COPIA!$DA$3:$DE$1339),MATCH(ROWS(D$10:D850),COPIA!$DF$3:$DF$1339,0),COLUMN()-1),""))</f>
        <v/>
      </c>
      <c r="E850" s="9" t="str">
        <f ca="1">IF(IFERROR(INDEX((COPIA!$DA$3:$DE$1339),MATCH(ROWS(E$10:E850),COPIA!$DF$3:$DF$1339,0),COLUMN()-1),"")=0,"",IFERROR(INDEX((COPIA!$DA$3:$DE$1339),MATCH(ROWS(E$10:E850),COPIA!$DF$3:$DF$1339,0),COLUMN()-1),""))</f>
        <v/>
      </c>
      <c r="F850" s="6" t="str">
        <f ca="1">IF(IFERROR(INDEX((COPIA!$DA$3:$DE$1339),MATCH(ROWS(F$10:F850),COPIA!$DF$3:$DF$1339,0),COLUMN()-1),"")=0,"",IFERROR(INDEX((COPIA!$DA$3:$DE$1339),MATCH(ROWS(F$10:F850),COPIA!$DF$3:$DF$1339,0),COLUMN()-1),""))</f>
        <v/>
      </c>
    </row>
    <row r="851" spans="2:6" x14ac:dyDescent="0.3">
      <c r="B851" s="10" t="str">
        <f ca="1">IF(IFERROR(INDEX((COPIA!$DA$3:$DE$1339),MATCH(ROWS(B$10:B851),COPIA!$DF$3:$DF$1339,0),COLUMN()-1),"")&gt;=1,IFERROR(INDEX((COPIA!$DA$3:$DE$1339),MATCH(ROWS(B$10:B851),COPIA!$DF$3:$DF$1339,0),COLUMN()-1),""),"")</f>
        <v/>
      </c>
      <c r="C851" s="5" t="str">
        <f ca="1">SUBSTITUTE(IFERROR(INDEX((COPIA!$DA$3:$DE$1339),MATCH(ROWS(C$10:C851),COPIA!$DF$3:$DF$1339,0),COLUMN()-1),""),"MASTRO","")</f>
        <v/>
      </c>
      <c r="D851" s="136" t="str">
        <f ca="1">IF(IFERROR(INDEX((COPIA!$DA$3:$DE$1339),MATCH(ROWS(D$10:D851),COPIA!$DF$3:$DF$1339,0),COLUMN()-1),"")=0,"",IFERROR(INDEX((COPIA!$DA$3:$DE$1339),MATCH(ROWS(D$10:D851),COPIA!$DF$3:$DF$1339,0),COLUMN()-1),""))</f>
        <v/>
      </c>
      <c r="E851" s="9" t="str">
        <f ca="1">IF(IFERROR(INDEX((COPIA!$DA$3:$DE$1339),MATCH(ROWS(E$10:E851),COPIA!$DF$3:$DF$1339,0),COLUMN()-1),"")=0,"",IFERROR(INDEX((COPIA!$DA$3:$DE$1339),MATCH(ROWS(E$10:E851),COPIA!$DF$3:$DF$1339,0),COLUMN()-1),""))</f>
        <v/>
      </c>
      <c r="F851" s="6" t="str">
        <f ca="1">IF(IFERROR(INDEX((COPIA!$DA$3:$DE$1339),MATCH(ROWS(F$10:F851),COPIA!$DF$3:$DF$1339,0),COLUMN()-1),"")=0,"",IFERROR(INDEX((COPIA!$DA$3:$DE$1339),MATCH(ROWS(F$10:F851),COPIA!$DF$3:$DF$1339,0),COLUMN()-1),""))</f>
        <v/>
      </c>
    </row>
    <row r="852" spans="2:6" x14ac:dyDescent="0.3">
      <c r="B852" s="10" t="str">
        <f ca="1">IF(IFERROR(INDEX((COPIA!$DA$3:$DE$1339),MATCH(ROWS(B$10:B852),COPIA!$DF$3:$DF$1339,0),COLUMN()-1),"")&gt;=1,IFERROR(INDEX((COPIA!$DA$3:$DE$1339),MATCH(ROWS(B$10:B852),COPIA!$DF$3:$DF$1339,0),COLUMN()-1),""),"")</f>
        <v/>
      </c>
      <c r="C852" s="5" t="str">
        <f ca="1">SUBSTITUTE(IFERROR(INDEX((COPIA!$DA$3:$DE$1339),MATCH(ROWS(C$10:C852),COPIA!$DF$3:$DF$1339,0),COLUMN()-1),""),"MASTRO","")</f>
        <v/>
      </c>
      <c r="D852" s="136" t="str">
        <f ca="1">IF(IFERROR(INDEX((COPIA!$DA$3:$DE$1339),MATCH(ROWS(D$10:D852),COPIA!$DF$3:$DF$1339,0),COLUMN()-1),"")=0,"",IFERROR(INDEX((COPIA!$DA$3:$DE$1339),MATCH(ROWS(D$10:D852),COPIA!$DF$3:$DF$1339,0),COLUMN()-1),""))</f>
        <v/>
      </c>
      <c r="E852" s="9" t="str">
        <f ca="1">IF(IFERROR(INDEX((COPIA!$DA$3:$DE$1339),MATCH(ROWS(E$10:E852),COPIA!$DF$3:$DF$1339,0),COLUMN()-1),"")=0,"",IFERROR(INDEX((COPIA!$DA$3:$DE$1339),MATCH(ROWS(E$10:E852),COPIA!$DF$3:$DF$1339,0),COLUMN()-1),""))</f>
        <v/>
      </c>
      <c r="F852" s="6" t="str">
        <f ca="1">IF(IFERROR(INDEX((COPIA!$DA$3:$DE$1339),MATCH(ROWS(F$10:F852),COPIA!$DF$3:$DF$1339,0),COLUMN()-1),"")=0,"",IFERROR(INDEX((COPIA!$DA$3:$DE$1339),MATCH(ROWS(F$10:F852),COPIA!$DF$3:$DF$1339,0),COLUMN()-1),""))</f>
        <v/>
      </c>
    </row>
    <row r="853" spans="2:6" x14ac:dyDescent="0.3">
      <c r="B853" s="10" t="str">
        <f ca="1">IF(IFERROR(INDEX((COPIA!$DA$3:$DE$1339),MATCH(ROWS(B$10:B853),COPIA!$DF$3:$DF$1339,0),COLUMN()-1),"")&gt;=1,IFERROR(INDEX((COPIA!$DA$3:$DE$1339),MATCH(ROWS(B$10:B853),COPIA!$DF$3:$DF$1339,0),COLUMN()-1),""),"")</f>
        <v/>
      </c>
      <c r="C853" s="5" t="str">
        <f ca="1">SUBSTITUTE(IFERROR(INDEX((COPIA!$DA$3:$DE$1339),MATCH(ROWS(C$10:C853),COPIA!$DF$3:$DF$1339,0),COLUMN()-1),""),"MASTRO","")</f>
        <v/>
      </c>
      <c r="D853" s="136" t="str">
        <f ca="1">IF(IFERROR(INDEX((COPIA!$DA$3:$DE$1339),MATCH(ROWS(D$10:D853),COPIA!$DF$3:$DF$1339,0),COLUMN()-1),"")=0,"",IFERROR(INDEX((COPIA!$DA$3:$DE$1339),MATCH(ROWS(D$10:D853),COPIA!$DF$3:$DF$1339,0),COLUMN()-1),""))</f>
        <v/>
      </c>
      <c r="E853" s="9" t="str">
        <f ca="1">IF(IFERROR(INDEX((COPIA!$DA$3:$DE$1339),MATCH(ROWS(E$10:E853),COPIA!$DF$3:$DF$1339,0),COLUMN()-1),"")=0,"",IFERROR(INDEX((COPIA!$DA$3:$DE$1339),MATCH(ROWS(E$10:E853),COPIA!$DF$3:$DF$1339,0),COLUMN()-1),""))</f>
        <v/>
      </c>
      <c r="F853" s="6" t="str">
        <f ca="1">IF(IFERROR(INDEX((COPIA!$DA$3:$DE$1339),MATCH(ROWS(F$10:F853),COPIA!$DF$3:$DF$1339,0),COLUMN()-1),"")=0,"",IFERROR(INDEX((COPIA!$DA$3:$DE$1339),MATCH(ROWS(F$10:F853),COPIA!$DF$3:$DF$1339,0),COLUMN()-1),""))</f>
        <v/>
      </c>
    </row>
    <row r="854" spans="2:6" x14ac:dyDescent="0.3">
      <c r="B854" s="10" t="str">
        <f ca="1">IF(IFERROR(INDEX((COPIA!$DA$3:$DE$1339),MATCH(ROWS(B$10:B854),COPIA!$DF$3:$DF$1339,0),COLUMN()-1),"")&gt;=1,IFERROR(INDEX((COPIA!$DA$3:$DE$1339),MATCH(ROWS(B$10:B854),COPIA!$DF$3:$DF$1339,0),COLUMN()-1),""),"")</f>
        <v/>
      </c>
      <c r="C854" s="5" t="str">
        <f ca="1">SUBSTITUTE(IFERROR(INDEX((COPIA!$DA$3:$DE$1339),MATCH(ROWS(C$10:C854),COPIA!$DF$3:$DF$1339,0),COLUMN()-1),""),"MASTRO","")</f>
        <v/>
      </c>
      <c r="D854" s="136" t="str">
        <f ca="1">IF(IFERROR(INDEX((COPIA!$DA$3:$DE$1339),MATCH(ROWS(D$10:D854),COPIA!$DF$3:$DF$1339,0),COLUMN()-1),"")=0,"",IFERROR(INDEX((COPIA!$DA$3:$DE$1339),MATCH(ROWS(D$10:D854),COPIA!$DF$3:$DF$1339,0),COLUMN()-1),""))</f>
        <v/>
      </c>
      <c r="E854" s="9" t="str">
        <f ca="1">IF(IFERROR(INDEX((COPIA!$DA$3:$DE$1339),MATCH(ROWS(E$10:E854),COPIA!$DF$3:$DF$1339,0),COLUMN()-1),"")=0,"",IFERROR(INDEX((COPIA!$DA$3:$DE$1339),MATCH(ROWS(E$10:E854),COPIA!$DF$3:$DF$1339,0),COLUMN()-1),""))</f>
        <v/>
      </c>
      <c r="F854" s="6" t="str">
        <f ca="1">IF(IFERROR(INDEX((COPIA!$DA$3:$DE$1339),MATCH(ROWS(F$10:F854),COPIA!$DF$3:$DF$1339,0),COLUMN()-1),"")=0,"",IFERROR(INDEX((COPIA!$DA$3:$DE$1339),MATCH(ROWS(F$10:F854),COPIA!$DF$3:$DF$1339,0),COLUMN()-1),""))</f>
        <v/>
      </c>
    </row>
    <row r="855" spans="2:6" x14ac:dyDescent="0.3">
      <c r="B855" s="10" t="str">
        <f ca="1">IF(IFERROR(INDEX((COPIA!$DA$3:$DE$1339),MATCH(ROWS(B$10:B855),COPIA!$DF$3:$DF$1339,0),COLUMN()-1),"")&gt;=1,IFERROR(INDEX((COPIA!$DA$3:$DE$1339),MATCH(ROWS(B$10:B855),COPIA!$DF$3:$DF$1339,0),COLUMN()-1),""),"")</f>
        <v/>
      </c>
      <c r="C855" s="5" t="str">
        <f ca="1">SUBSTITUTE(IFERROR(INDEX((COPIA!$DA$3:$DE$1339),MATCH(ROWS(C$10:C855),COPIA!$DF$3:$DF$1339,0),COLUMN()-1),""),"MASTRO","")</f>
        <v/>
      </c>
      <c r="D855" s="136" t="str">
        <f ca="1">IF(IFERROR(INDEX((COPIA!$DA$3:$DE$1339),MATCH(ROWS(D$10:D855),COPIA!$DF$3:$DF$1339,0),COLUMN()-1),"")=0,"",IFERROR(INDEX((COPIA!$DA$3:$DE$1339),MATCH(ROWS(D$10:D855),COPIA!$DF$3:$DF$1339,0),COLUMN()-1),""))</f>
        <v/>
      </c>
      <c r="E855" s="9" t="str">
        <f ca="1">IF(IFERROR(INDEX((COPIA!$DA$3:$DE$1339),MATCH(ROWS(E$10:E855),COPIA!$DF$3:$DF$1339,0),COLUMN()-1),"")=0,"",IFERROR(INDEX((COPIA!$DA$3:$DE$1339),MATCH(ROWS(E$10:E855),COPIA!$DF$3:$DF$1339,0),COLUMN()-1),""))</f>
        <v/>
      </c>
      <c r="F855" s="6" t="str">
        <f ca="1">IF(IFERROR(INDEX((COPIA!$DA$3:$DE$1339),MATCH(ROWS(F$10:F855),COPIA!$DF$3:$DF$1339,0),COLUMN()-1),"")=0,"",IFERROR(INDEX((COPIA!$DA$3:$DE$1339),MATCH(ROWS(F$10:F855),COPIA!$DF$3:$DF$1339,0),COLUMN()-1),""))</f>
        <v/>
      </c>
    </row>
    <row r="856" spans="2:6" x14ac:dyDescent="0.3">
      <c r="B856" s="10" t="str">
        <f ca="1">IF(IFERROR(INDEX((COPIA!$DA$3:$DE$1339),MATCH(ROWS(B$10:B856),COPIA!$DF$3:$DF$1339,0),COLUMN()-1),"")&gt;=1,IFERROR(INDEX((COPIA!$DA$3:$DE$1339),MATCH(ROWS(B$10:B856),COPIA!$DF$3:$DF$1339,0),COLUMN()-1),""),"")</f>
        <v/>
      </c>
      <c r="C856" s="5" t="str">
        <f ca="1">SUBSTITUTE(IFERROR(INDEX((COPIA!$DA$3:$DE$1339),MATCH(ROWS(C$10:C856),COPIA!$DF$3:$DF$1339,0),COLUMN()-1),""),"MASTRO","")</f>
        <v/>
      </c>
      <c r="D856" s="136" t="str">
        <f ca="1">IF(IFERROR(INDEX((COPIA!$DA$3:$DE$1339),MATCH(ROWS(D$10:D856),COPIA!$DF$3:$DF$1339,0),COLUMN()-1),"")=0,"",IFERROR(INDEX((COPIA!$DA$3:$DE$1339),MATCH(ROWS(D$10:D856),COPIA!$DF$3:$DF$1339,0),COLUMN()-1),""))</f>
        <v/>
      </c>
      <c r="E856" s="9" t="str">
        <f ca="1">IF(IFERROR(INDEX((COPIA!$DA$3:$DE$1339),MATCH(ROWS(E$10:E856),COPIA!$DF$3:$DF$1339,0),COLUMN()-1),"")=0,"",IFERROR(INDEX((COPIA!$DA$3:$DE$1339),MATCH(ROWS(E$10:E856),COPIA!$DF$3:$DF$1339,0),COLUMN()-1),""))</f>
        <v/>
      </c>
      <c r="F856" s="6" t="str">
        <f ca="1">IF(IFERROR(INDEX((COPIA!$DA$3:$DE$1339),MATCH(ROWS(F$10:F856),COPIA!$DF$3:$DF$1339,0),COLUMN()-1),"")=0,"",IFERROR(INDEX((COPIA!$DA$3:$DE$1339),MATCH(ROWS(F$10:F856),COPIA!$DF$3:$DF$1339,0),COLUMN()-1),""))</f>
        <v/>
      </c>
    </row>
    <row r="857" spans="2:6" x14ac:dyDescent="0.3">
      <c r="B857" s="10" t="str">
        <f ca="1">IF(IFERROR(INDEX((COPIA!$DA$3:$DE$1339),MATCH(ROWS(B$10:B857),COPIA!$DF$3:$DF$1339,0),COLUMN()-1),"")&gt;=1,IFERROR(INDEX((COPIA!$DA$3:$DE$1339),MATCH(ROWS(B$10:B857),COPIA!$DF$3:$DF$1339,0),COLUMN()-1),""),"")</f>
        <v/>
      </c>
      <c r="C857" s="5" t="str">
        <f ca="1">SUBSTITUTE(IFERROR(INDEX((COPIA!$DA$3:$DE$1339),MATCH(ROWS(C$10:C857),COPIA!$DF$3:$DF$1339,0),COLUMN()-1),""),"MASTRO","")</f>
        <v/>
      </c>
      <c r="D857" s="136" t="str">
        <f ca="1">IF(IFERROR(INDEX((COPIA!$DA$3:$DE$1339),MATCH(ROWS(D$10:D857),COPIA!$DF$3:$DF$1339,0),COLUMN()-1),"")=0,"",IFERROR(INDEX((COPIA!$DA$3:$DE$1339),MATCH(ROWS(D$10:D857),COPIA!$DF$3:$DF$1339,0),COLUMN()-1),""))</f>
        <v/>
      </c>
      <c r="E857" s="9" t="str">
        <f ca="1">IF(IFERROR(INDEX((COPIA!$DA$3:$DE$1339),MATCH(ROWS(E$10:E857),COPIA!$DF$3:$DF$1339,0),COLUMN()-1),"")=0,"",IFERROR(INDEX((COPIA!$DA$3:$DE$1339),MATCH(ROWS(E$10:E857),COPIA!$DF$3:$DF$1339,0),COLUMN()-1),""))</f>
        <v/>
      </c>
      <c r="F857" s="6" t="str">
        <f ca="1">IF(IFERROR(INDEX((COPIA!$DA$3:$DE$1339),MATCH(ROWS(F$10:F857),COPIA!$DF$3:$DF$1339,0),COLUMN()-1),"")=0,"",IFERROR(INDEX((COPIA!$DA$3:$DE$1339),MATCH(ROWS(F$10:F857),COPIA!$DF$3:$DF$1339,0),COLUMN()-1),""))</f>
        <v/>
      </c>
    </row>
    <row r="858" spans="2:6" x14ac:dyDescent="0.3">
      <c r="B858" s="10" t="str">
        <f ca="1">IF(IFERROR(INDEX((COPIA!$DA$3:$DE$1339),MATCH(ROWS(B$10:B858),COPIA!$DF$3:$DF$1339,0),COLUMN()-1),"")&gt;=1,IFERROR(INDEX((COPIA!$DA$3:$DE$1339),MATCH(ROWS(B$10:B858),COPIA!$DF$3:$DF$1339,0),COLUMN()-1),""),"")</f>
        <v/>
      </c>
      <c r="C858" s="5" t="str">
        <f ca="1">SUBSTITUTE(IFERROR(INDEX((COPIA!$DA$3:$DE$1339),MATCH(ROWS(C$10:C858),COPIA!$DF$3:$DF$1339,0),COLUMN()-1),""),"MASTRO","")</f>
        <v/>
      </c>
      <c r="D858" s="136" t="str">
        <f ca="1">IF(IFERROR(INDEX((COPIA!$DA$3:$DE$1339),MATCH(ROWS(D$10:D858),COPIA!$DF$3:$DF$1339,0),COLUMN()-1),"")=0,"",IFERROR(INDEX((COPIA!$DA$3:$DE$1339),MATCH(ROWS(D$10:D858),COPIA!$DF$3:$DF$1339,0),COLUMN()-1),""))</f>
        <v/>
      </c>
      <c r="E858" s="9" t="str">
        <f ca="1">IF(IFERROR(INDEX((COPIA!$DA$3:$DE$1339),MATCH(ROWS(E$10:E858),COPIA!$DF$3:$DF$1339,0),COLUMN()-1),"")=0,"",IFERROR(INDEX((COPIA!$DA$3:$DE$1339),MATCH(ROWS(E$10:E858),COPIA!$DF$3:$DF$1339,0),COLUMN()-1),""))</f>
        <v/>
      </c>
      <c r="F858" s="6" t="str">
        <f ca="1">IF(IFERROR(INDEX((COPIA!$DA$3:$DE$1339),MATCH(ROWS(F$10:F858),COPIA!$DF$3:$DF$1339,0),COLUMN()-1),"")=0,"",IFERROR(INDEX((COPIA!$DA$3:$DE$1339),MATCH(ROWS(F$10:F858),COPIA!$DF$3:$DF$1339,0),COLUMN()-1),""))</f>
        <v/>
      </c>
    </row>
    <row r="859" spans="2:6" x14ac:dyDescent="0.3">
      <c r="B859" s="10" t="str">
        <f ca="1">IF(IFERROR(INDEX((COPIA!$DA$3:$DE$1339),MATCH(ROWS(B$10:B859),COPIA!$DF$3:$DF$1339,0),COLUMN()-1),"")&gt;=1,IFERROR(INDEX((COPIA!$DA$3:$DE$1339),MATCH(ROWS(B$10:B859),COPIA!$DF$3:$DF$1339,0),COLUMN()-1),""),"")</f>
        <v/>
      </c>
      <c r="C859" s="5" t="str">
        <f ca="1">SUBSTITUTE(IFERROR(INDEX((COPIA!$DA$3:$DE$1339),MATCH(ROWS(C$10:C859),COPIA!$DF$3:$DF$1339,0),COLUMN()-1),""),"MASTRO","")</f>
        <v/>
      </c>
      <c r="D859" s="136" t="str">
        <f ca="1">IF(IFERROR(INDEX((COPIA!$DA$3:$DE$1339),MATCH(ROWS(D$10:D859),COPIA!$DF$3:$DF$1339,0),COLUMN()-1),"")=0,"",IFERROR(INDEX((COPIA!$DA$3:$DE$1339),MATCH(ROWS(D$10:D859),COPIA!$DF$3:$DF$1339,0),COLUMN()-1),""))</f>
        <v/>
      </c>
      <c r="E859" s="9" t="str">
        <f ca="1">IF(IFERROR(INDEX((COPIA!$DA$3:$DE$1339),MATCH(ROWS(E$10:E859),COPIA!$DF$3:$DF$1339,0),COLUMN()-1),"")=0,"",IFERROR(INDEX((COPIA!$DA$3:$DE$1339),MATCH(ROWS(E$10:E859),COPIA!$DF$3:$DF$1339,0),COLUMN()-1),""))</f>
        <v/>
      </c>
      <c r="F859" s="6" t="str">
        <f ca="1">IF(IFERROR(INDEX((COPIA!$DA$3:$DE$1339),MATCH(ROWS(F$10:F859),COPIA!$DF$3:$DF$1339,0),COLUMN()-1),"")=0,"",IFERROR(INDEX((COPIA!$DA$3:$DE$1339),MATCH(ROWS(F$10:F859),COPIA!$DF$3:$DF$1339,0),COLUMN()-1),""))</f>
        <v/>
      </c>
    </row>
    <row r="860" spans="2:6" x14ac:dyDescent="0.3">
      <c r="B860" s="10" t="str">
        <f ca="1">IF(IFERROR(INDEX((COPIA!$DA$3:$DE$1339),MATCH(ROWS(B$10:B860),COPIA!$DF$3:$DF$1339,0),COLUMN()-1),"")&gt;=1,IFERROR(INDEX((COPIA!$DA$3:$DE$1339),MATCH(ROWS(B$10:B860),COPIA!$DF$3:$DF$1339,0),COLUMN()-1),""),"")</f>
        <v/>
      </c>
      <c r="C860" s="5" t="str">
        <f ca="1">SUBSTITUTE(IFERROR(INDEX((COPIA!$DA$3:$DE$1339),MATCH(ROWS(C$10:C860),COPIA!$DF$3:$DF$1339,0),COLUMN()-1),""),"MASTRO","")</f>
        <v/>
      </c>
      <c r="D860" s="136" t="str">
        <f ca="1">IF(IFERROR(INDEX((COPIA!$DA$3:$DE$1339),MATCH(ROWS(D$10:D860),COPIA!$DF$3:$DF$1339,0),COLUMN()-1),"")=0,"",IFERROR(INDEX((COPIA!$DA$3:$DE$1339),MATCH(ROWS(D$10:D860),COPIA!$DF$3:$DF$1339,0),COLUMN()-1),""))</f>
        <v/>
      </c>
      <c r="E860" s="9" t="str">
        <f ca="1">IF(IFERROR(INDEX((COPIA!$DA$3:$DE$1339),MATCH(ROWS(E$10:E860),COPIA!$DF$3:$DF$1339,0),COLUMN()-1),"")=0,"",IFERROR(INDEX((COPIA!$DA$3:$DE$1339),MATCH(ROWS(E$10:E860),COPIA!$DF$3:$DF$1339,0),COLUMN()-1),""))</f>
        <v/>
      </c>
      <c r="F860" s="6" t="str">
        <f ca="1">IF(IFERROR(INDEX((COPIA!$DA$3:$DE$1339),MATCH(ROWS(F$10:F860),COPIA!$DF$3:$DF$1339,0),COLUMN()-1),"")=0,"",IFERROR(INDEX((COPIA!$DA$3:$DE$1339),MATCH(ROWS(F$10:F860),COPIA!$DF$3:$DF$1339,0),COLUMN()-1),""))</f>
        <v/>
      </c>
    </row>
    <row r="861" spans="2:6" x14ac:dyDescent="0.3">
      <c r="B861" s="10" t="str">
        <f ca="1">IF(IFERROR(INDEX((COPIA!$DA$3:$DE$1339),MATCH(ROWS(B$10:B861),COPIA!$DF$3:$DF$1339,0),COLUMN()-1),"")&gt;=1,IFERROR(INDEX((COPIA!$DA$3:$DE$1339),MATCH(ROWS(B$10:B861),COPIA!$DF$3:$DF$1339,0),COLUMN()-1),""),"")</f>
        <v/>
      </c>
      <c r="C861" s="5" t="str">
        <f ca="1">SUBSTITUTE(IFERROR(INDEX((COPIA!$DA$3:$DE$1339),MATCH(ROWS(C$10:C861),COPIA!$DF$3:$DF$1339,0),COLUMN()-1),""),"MASTRO","")</f>
        <v/>
      </c>
      <c r="D861" s="136" t="str">
        <f ca="1">IF(IFERROR(INDEX((COPIA!$DA$3:$DE$1339),MATCH(ROWS(D$10:D861),COPIA!$DF$3:$DF$1339,0),COLUMN()-1),"")=0,"",IFERROR(INDEX((COPIA!$DA$3:$DE$1339),MATCH(ROWS(D$10:D861),COPIA!$DF$3:$DF$1339,0),COLUMN()-1),""))</f>
        <v/>
      </c>
      <c r="E861" s="9" t="str">
        <f ca="1">IF(IFERROR(INDEX((COPIA!$DA$3:$DE$1339),MATCH(ROWS(E$10:E861),COPIA!$DF$3:$DF$1339,0),COLUMN()-1),"")=0,"",IFERROR(INDEX((COPIA!$DA$3:$DE$1339),MATCH(ROWS(E$10:E861),COPIA!$DF$3:$DF$1339,0),COLUMN()-1),""))</f>
        <v/>
      </c>
      <c r="F861" s="6" t="str">
        <f ca="1">IF(IFERROR(INDEX((COPIA!$DA$3:$DE$1339),MATCH(ROWS(F$10:F861),COPIA!$DF$3:$DF$1339,0),COLUMN()-1),"")=0,"",IFERROR(INDEX((COPIA!$DA$3:$DE$1339),MATCH(ROWS(F$10:F861),COPIA!$DF$3:$DF$1339,0),COLUMN()-1),""))</f>
        <v/>
      </c>
    </row>
    <row r="862" spans="2:6" x14ac:dyDescent="0.3">
      <c r="B862" s="10" t="str">
        <f ca="1">IF(IFERROR(INDEX((COPIA!$DA$3:$DE$1339),MATCH(ROWS(B$10:B862),COPIA!$DF$3:$DF$1339,0),COLUMN()-1),"")&gt;=1,IFERROR(INDEX((COPIA!$DA$3:$DE$1339),MATCH(ROWS(B$10:B862),COPIA!$DF$3:$DF$1339,0),COLUMN()-1),""),"")</f>
        <v/>
      </c>
      <c r="C862" s="5" t="str">
        <f ca="1">SUBSTITUTE(IFERROR(INDEX((COPIA!$DA$3:$DE$1339),MATCH(ROWS(C$10:C862),COPIA!$DF$3:$DF$1339,0),COLUMN()-1),""),"MASTRO","")</f>
        <v/>
      </c>
      <c r="D862" s="136" t="str">
        <f ca="1">IF(IFERROR(INDEX((COPIA!$DA$3:$DE$1339),MATCH(ROWS(D$10:D862),COPIA!$DF$3:$DF$1339,0),COLUMN()-1),"")=0,"",IFERROR(INDEX((COPIA!$DA$3:$DE$1339),MATCH(ROWS(D$10:D862),COPIA!$DF$3:$DF$1339,0),COLUMN()-1),""))</f>
        <v/>
      </c>
      <c r="E862" s="9" t="str">
        <f ca="1">IF(IFERROR(INDEX((COPIA!$DA$3:$DE$1339),MATCH(ROWS(E$10:E862),COPIA!$DF$3:$DF$1339,0),COLUMN()-1),"")=0,"",IFERROR(INDEX((COPIA!$DA$3:$DE$1339),MATCH(ROWS(E$10:E862),COPIA!$DF$3:$DF$1339,0),COLUMN()-1),""))</f>
        <v/>
      </c>
      <c r="F862" s="6" t="str">
        <f ca="1">IF(IFERROR(INDEX((COPIA!$DA$3:$DE$1339),MATCH(ROWS(F$10:F862),COPIA!$DF$3:$DF$1339,0),COLUMN()-1),"")=0,"",IFERROR(INDEX((COPIA!$DA$3:$DE$1339),MATCH(ROWS(F$10:F862),COPIA!$DF$3:$DF$1339,0),COLUMN()-1),""))</f>
        <v/>
      </c>
    </row>
    <row r="863" spans="2:6" x14ac:dyDescent="0.3">
      <c r="B863" s="10" t="str">
        <f ca="1">IF(IFERROR(INDEX((COPIA!$DA$3:$DE$1339),MATCH(ROWS(B$10:B863),COPIA!$DF$3:$DF$1339,0),COLUMN()-1),"")&gt;=1,IFERROR(INDEX((COPIA!$DA$3:$DE$1339),MATCH(ROWS(B$10:B863),COPIA!$DF$3:$DF$1339,0),COLUMN()-1),""),"")</f>
        <v/>
      </c>
      <c r="C863" s="5" t="str">
        <f ca="1">SUBSTITUTE(IFERROR(INDEX((COPIA!$DA$3:$DE$1339),MATCH(ROWS(C$10:C863),COPIA!$DF$3:$DF$1339,0),COLUMN()-1),""),"MASTRO","")</f>
        <v/>
      </c>
      <c r="D863" s="136" t="str">
        <f ca="1">IF(IFERROR(INDEX((COPIA!$DA$3:$DE$1339),MATCH(ROWS(D$10:D863),COPIA!$DF$3:$DF$1339,0),COLUMN()-1),"")=0,"",IFERROR(INDEX((COPIA!$DA$3:$DE$1339),MATCH(ROWS(D$10:D863),COPIA!$DF$3:$DF$1339,0),COLUMN()-1),""))</f>
        <v/>
      </c>
      <c r="E863" s="9" t="str">
        <f ca="1">IF(IFERROR(INDEX((COPIA!$DA$3:$DE$1339),MATCH(ROWS(E$10:E863),COPIA!$DF$3:$DF$1339,0),COLUMN()-1),"")=0,"",IFERROR(INDEX((COPIA!$DA$3:$DE$1339),MATCH(ROWS(E$10:E863),COPIA!$DF$3:$DF$1339,0),COLUMN()-1),""))</f>
        <v/>
      </c>
      <c r="F863" s="6" t="str">
        <f ca="1">IF(IFERROR(INDEX((COPIA!$DA$3:$DE$1339),MATCH(ROWS(F$10:F863),COPIA!$DF$3:$DF$1339,0),COLUMN()-1),"")=0,"",IFERROR(INDEX((COPIA!$DA$3:$DE$1339),MATCH(ROWS(F$10:F863),COPIA!$DF$3:$DF$1339,0),COLUMN()-1),""))</f>
        <v/>
      </c>
    </row>
    <row r="864" spans="2:6" x14ac:dyDescent="0.3">
      <c r="B864" s="10" t="str">
        <f ca="1">IF(IFERROR(INDEX((COPIA!$DA$3:$DE$1339),MATCH(ROWS(B$10:B864),COPIA!$DF$3:$DF$1339,0),COLUMN()-1),"")&gt;=1,IFERROR(INDEX((COPIA!$DA$3:$DE$1339),MATCH(ROWS(B$10:B864),COPIA!$DF$3:$DF$1339,0),COLUMN()-1),""),"")</f>
        <v/>
      </c>
      <c r="C864" s="5" t="str">
        <f ca="1">SUBSTITUTE(IFERROR(INDEX((COPIA!$DA$3:$DE$1339),MATCH(ROWS(C$10:C864),COPIA!$DF$3:$DF$1339,0),COLUMN()-1),""),"MASTRO","")</f>
        <v/>
      </c>
      <c r="D864" s="136" t="str">
        <f ca="1">IF(IFERROR(INDEX((COPIA!$DA$3:$DE$1339),MATCH(ROWS(D$10:D864),COPIA!$DF$3:$DF$1339,0),COLUMN()-1),"")=0,"",IFERROR(INDEX((COPIA!$DA$3:$DE$1339),MATCH(ROWS(D$10:D864),COPIA!$DF$3:$DF$1339,0),COLUMN()-1),""))</f>
        <v/>
      </c>
      <c r="E864" s="9" t="str">
        <f ca="1">IF(IFERROR(INDEX((COPIA!$DA$3:$DE$1339),MATCH(ROWS(E$10:E864),COPIA!$DF$3:$DF$1339,0),COLUMN()-1),"")=0,"",IFERROR(INDEX((COPIA!$DA$3:$DE$1339),MATCH(ROWS(E$10:E864),COPIA!$DF$3:$DF$1339,0),COLUMN()-1),""))</f>
        <v/>
      </c>
      <c r="F864" s="6" t="str">
        <f ca="1">IF(IFERROR(INDEX((COPIA!$DA$3:$DE$1339),MATCH(ROWS(F$10:F864),COPIA!$DF$3:$DF$1339,0),COLUMN()-1),"")=0,"",IFERROR(INDEX((COPIA!$DA$3:$DE$1339),MATCH(ROWS(F$10:F864),COPIA!$DF$3:$DF$1339,0),COLUMN()-1),""))</f>
        <v/>
      </c>
    </row>
    <row r="865" spans="2:6" x14ac:dyDescent="0.3">
      <c r="B865" s="10" t="str">
        <f ca="1">IF(IFERROR(INDEX((COPIA!$DA$3:$DE$1339),MATCH(ROWS(B$10:B865),COPIA!$DF$3:$DF$1339,0),COLUMN()-1),"")&gt;=1,IFERROR(INDEX((COPIA!$DA$3:$DE$1339),MATCH(ROWS(B$10:B865),COPIA!$DF$3:$DF$1339,0),COLUMN()-1),""),"")</f>
        <v/>
      </c>
      <c r="C865" s="5" t="str">
        <f ca="1">SUBSTITUTE(IFERROR(INDEX((COPIA!$DA$3:$DE$1339),MATCH(ROWS(C$10:C865),COPIA!$DF$3:$DF$1339,0),COLUMN()-1),""),"MASTRO","")</f>
        <v/>
      </c>
      <c r="D865" s="136" t="str">
        <f ca="1">IF(IFERROR(INDEX((COPIA!$DA$3:$DE$1339),MATCH(ROWS(D$10:D865),COPIA!$DF$3:$DF$1339,0),COLUMN()-1),"")=0,"",IFERROR(INDEX((COPIA!$DA$3:$DE$1339),MATCH(ROWS(D$10:D865),COPIA!$DF$3:$DF$1339,0),COLUMN()-1),""))</f>
        <v/>
      </c>
      <c r="E865" s="9" t="str">
        <f ca="1">IF(IFERROR(INDEX((COPIA!$DA$3:$DE$1339),MATCH(ROWS(E$10:E865),COPIA!$DF$3:$DF$1339,0),COLUMN()-1),"")=0,"",IFERROR(INDEX((COPIA!$DA$3:$DE$1339),MATCH(ROWS(E$10:E865),COPIA!$DF$3:$DF$1339,0),COLUMN()-1),""))</f>
        <v/>
      </c>
      <c r="F865" s="6" t="str">
        <f ca="1">IF(IFERROR(INDEX((COPIA!$DA$3:$DE$1339),MATCH(ROWS(F$10:F865),COPIA!$DF$3:$DF$1339,0),COLUMN()-1),"")=0,"",IFERROR(INDEX((COPIA!$DA$3:$DE$1339),MATCH(ROWS(F$10:F865),COPIA!$DF$3:$DF$1339,0),COLUMN()-1),""))</f>
        <v/>
      </c>
    </row>
    <row r="866" spans="2:6" x14ac:dyDescent="0.3">
      <c r="B866" s="10" t="str">
        <f ca="1">IF(IFERROR(INDEX((COPIA!$DA$3:$DE$1339),MATCH(ROWS(B$10:B866),COPIA!$DF$3:$DF$1339,0),COLUMN()-1),"")&gt;=1,IFERROR(INDEX((COPIA!$DA$3:$DE$1339),MATCH(ROWS(B$10:B866),COPIA!$DF$3:$DF$1339,0),COLUMN()-1),""),"")</f>
        <v/>
      </c>
      <c r="C866" s="5" t="str">
        <f ca="1">SUBSTITUTE(IFERROR(INDEX((COPIA!$DA$3:$DE$1339),MATCH(ROWS(C$10:C866),COPIA!$DF$3:$DF$1339,0),COLUMN()-1),""),"MASTRO","")</f>
        <v/>
      </c>
      <c r="D866" s="136" t="str">
        <f ca="1">IF(IFERROR(INDEX((COPIA!$DA$3:$DE$1339),MATCH(ROWS(D$10:D866),COPIA!$DF$3:$DF$1339,0),COLUMN()-1),"")=0,"",IFERROR(INDEX((COPIA!$DA$3:$DE$1339),MATCH(ROWS(D$10:D866),COPIA!$DF$3:$DF$1339,0),COLUMN()-1),""))</f>
        <v/>
      </c>
      <c r="E866" s="9" t="str">
        <f ca="1">IF(IFERROR(INDEX((COPIA!$DA$3:$DE$1339),MATCH(ROWS(E$10:E866),COPIA!$DF$3:$DF$1339,0),COLUMN()-1),"")=0,"",IFERROR(INDEX((COPIA!$DA$3:$DE$1339),MATCH(ROWS(E$10:E866),COPIA!$DF$3:$DF$1339,0),COLUMN()-1),""))</f>
        <v/>
      </c>
      <c r="F866" s="6" t="str">
        <f ca="1">IF(IFERROR(INDEX((COPIA!$DA$3:$DE$1339),MATCH(ROWS(F$10:F866),COPIA!$DF$3:$DF$1339,0),COLUMN()-1),"")=0,"",IFERROR(INDEX((COPIA!$DA$3:$DE$1339),MATCH(ROWS(F$10:F866),COPIA!$DF$3:$DF$1339,0),COLUMN()-1),""))</f>
        <v/>
      </c>
    </row>
    <row r="867" spans="2:6" x14ac:dyDescent="0.3">
      <c r="B867" s="10" t="str">
        <f ca="1">IF(IFERROR(INDEX((COPIA!$DA$3:$DE$1339),MATCH(ROWS(B$10:B867),COPIA!$DF$3:$DF$1339,0),COLUMN()-1),"")&gt;=1,IFERROR(INDEX((COPIA!$DA$3:$DE$1339),MATCH(ROWS(B$10:B867),COPIA!$DF$3:$DF$1339,0),COLUMN()-1),""),"")</f>
        <v/>
      </c>
      <c r="C867" s="5" t="str">
        <f ca="1">SUBSTITUTE(IFERROR(INDEX((COPIA!$DA$3:$DE$1339),MATCH(ROWS(C$10:C867),COPIA!$DF$3:$DF$1339,0),COLUMN()-1),""),"MASTRO","")</f>
        <v/>
      </c>
      <c r="D867" s="136" t="str">
        <f ca="1">IF(IFERROR(INDEX((COPIA!$DA$3:$DE$1339),MATCH(ROWS(D$10:D867),COPIA!$DF$3:$DF$1339,0),COLUMN()-1),"")=0,"",IFERROR(INDEX((COPIA!$DA$3:$DE$1339),MATCH(ROWS(D$10:D867),COPIA!$DF$3:$DF$1339,0),COLUMN()-1),""))</f>
        <v/>
      </c>
      <c r="E867" s="9" t="str">
        <f ca="1">IF(IFERROR(INDEX((COPIA!$DA$3:$DE$1339),MATCH(ROWS(E$10:E867),COPIA!$DF$3:$DF$1339,0),COLUMN()-1),"")=0,"",IFERROR(INDEX((COPIA!$DA$3:$DE$1339),MATCH(ROWS(E$10:E867),COPIA!$DF$3:$DF$1339,0),COLUMN()-1),""))</f>
        <v/>
      </c>
      <c r="F867" s="6" t="str">
        <f ca="1">IF(IFERROR(INDEX((COPIA!$DA$3:$DE$1339),MATCH(ROWS(F$10:F867),COPIA!$DF$3:$DF$1339,0),COLUMN()-1),"")=0,"",IFERROR(INDEX((COPIA!$DA$3:$DE$1339),MATCH(ROWS(F$10:F867),COPIA!$DF$3:$DF$1339,0),COLUMN()-1),""))</f>
        <v/>
      </c>
    </row>
    <row r="868" spans="2:6" x14ac:dyDescent="0.3">
      <c r="B868" s="10" t="str">
        <f ca="1">IF(IFERROR(INDEX((COPIA!$DA$3:$DE$1339),MATCH(ROWS(B$10:B868),COPIA!$DF$3:$DF$1339,0),COLUMN()-1),"")&gt;=1,IFERROR(INDEX((COPIA!$DA$3:$DE$1339),MATCH(ROWS(B$10:B868),COPIA!$DF$3:$DF$1339,0),COLUMN()-1),""),"")</f>
        <v/>
      </c>
      <c r="C868" s="5" t="str">
        <f ca="1">SUBSTITUTE(IFERROR(INDEX((COPIA!$DA$3:$DE$1339),MATCH(ROWS(C$10:C868),COPIA!$DF$3:$DF$1339,0),COLUMN()-1),""),"MASTRO","")</f>
        <v/>
      </c>
      <c r="D868" s="136" t="str">
        <f ca="1">IF(IFERROR(INDEX((COPIA!$DA$3:$DE$1339),MATCH(ROWS(D$10:D868),COPIA!$DF$3:$DF$1339,0),COLUMN()-1),"")=0,"",IFERROR(INDEX((COPIA!$DA$3:$DE$1339),MATCH(ROWS(D$10:D868),COPIA!$DF$3:$DF$1339,0),COLUMN()-1),""))</f>
        <v/>
      </c>
      <c r="E868" s="9" t="str">
        <f ca="1">IF(IFERROR(INDEX((COPIA!$DA$3:$DE$1339),MATCH(ROWS(E$10:E868),COPIA!$DF$3:$DF$1339,0),COLUMN()-1),"")=0,"",IFERROR(INDEX((COPIA!$DA$3:$DE$1339),MATCH(ROWS(E$10:E868),COPIA!$DF$3:$DF$1339,0),COLUMN()-1),""))</f>
        <v/>
      </c>
      <c r="F868" s="6" t="str">
        <f ca="1">IF(IFERROR(INDEX((COPIA!$DA$3:$DE$1339),MATCH(ROWS(F$10:F868),COPIA!$DF$3:$DF$1339,0),COLUMN()-1),"")=0,"",IFERROR(INDEX((COPIA!$DA$3:$DE$1339),MATCH(ROWS(F$10:F868),COPIA!$DF$3:$DF$1339,0),COLUMN()-1),""))</f>
        <v/>
      </c>
    </row>
    <row r="869" spans="2:6" x14ac:dyDescent="0.3">
      <c r="B869" s="10" t="str">
        <f ca="1">IF(IFERROR(INDEX((COPIA!$DA$3:$DE$1339),MATCH(ROWS(B$10:B869),COPIA!$DF$3:$DF$1339,0),COLUMN()-1),"")&gt;=1,IFERROR(INDEX((COPIA!$DA$3:$DE$1339),MATCH(ROWS(B$10:B869),COPIA!$DF$3:$DF$1339,0),COLUMN()-1),""),"")</f>
        <v/>
      </c>
      <c r="C869" s="5" t="str">
        <f ca="1">SUBSTITUTE(IFERROR(INDEX((COPIA!$DA$3:$DE$1339),MATCH(ROWS(C$10:C869),COPIA!$DF$3:$DF$1339,0),COLUMN()-1),""),"MASTRO","")</f>
        <v/>
      </c>
      <c r="D869" s="136" t="str">
        <f ca="1">IF(IFERROR(INDEX((COPIA!$DA$3:$DE$1339),MATCH(ROWS(D$10:D869),COPIA!$DF$3:$DF$1339,0),COLUMN()-1),"")=0,"",IFERROR(INDEX((COPIA!$DA$3:$DE$1339),MATCH(ROWS(D$10:D869),COPIA!$DF$3:$DF$1339,0),COLUMN()-1),""))</f>
        <v/>
      </c>
      <c r="E869" s="9" t="str">
        <f ca="1">IF(IFERROR(INDEX((COPIA!$DA$3:$DE$1339),MATCH(ROWS(E$10:E869),COPIA!$DF$3:$DF$1339,0),COLUMN()-1),"")=0,"",IFERROR(INDEX((COPIA!$DA$3:$DE$1339),MATCH(ROWS(E$10:E869),COPIA!$DF$3:$DF$1339,0),COLUMN()-1),""))</f>
        <v/>
      </c>
      <c r="F869" s="6" t="str">
        <f ca="1">IF(IFERROR(INDEX((COPIA!$DA$3:$DE$1339),MATCH(ROWS(F$10:F869),COPIA!$DF$3:$DF$1339,0),COLUMN()-1),"")=0,"",IFERROR(INDEX((COPIA!$DA$3:$DE$1339),MATCH(ROWS(F$10:F869),COPIA!$DF$3:$DF$1339,0),COLUMN()-1),""))</f>
        <v/>
      </c>
    </row>
    <row r="870" spans="2:6" x14ac:dyDescent="0.3">
      <c r="B870" s="10" t="str">
        <f ca="1">IF(IFERROR(INDEX((COPIA!$DA$3:$DE$1339),MATCH(ROWS(B$10:B870),COPIA!$DF$3:$DF$1339,0),COLUMN()-1),"")&gt;=1,IFERROR(INDEX((COPIA!$DA$3:$DE$1339),MATCH(ROWS(B$10:B870),COPIA!$DF$3:$DF$1339,0),COLUMN()-1),""),"")</f>
        <v/>
      </c>
      <c r="C870" s="5" t="str">
        <f ca="1">SUBSTITUTE(IFERROR(INDEX((COPIA!$DA$3:$DE$1339),MATCH(ROWS(C$10:C870),COPIA!$DF$3:$DF$1339,0),COLUMN()-1),""),"MASTRO","")</f>
        <v/>
      </c>
      <c r="D870" s="136" t="str">
        <f ca="1">IF(IFERROR(INDEX((COPIA!$DA$3:$DE$1339),MATCH(ROWS(D$10:D870),COPIA!$DF$3:$DF$1339,0),COLUMN()-1),"")=0,"",IFERROR(INDEX((COPIA!$DA$3:$DE$1339),MATCH(ROWS(D$10:D870),COPIA!$DF$3:$DF$1339,0),COLUMN()-1),""))</f>
        <v/>
      </c>
      <c r="E870" s="9" t="str">
        <f ca="1">IF(IFERROR(INDEX((COPIA!$DA$3:$DE$1339),MATCH(ROWS(E$10:E870),COPIA!$DF$3:$DF$1339,0),COLUMN()-1),"")=0,"",IFERROR(INDEX((COPIA!$DA$3:$DE$1339),MATCH(ROWS(E$10:E870),COPIA!$DF$3:$DF$1339,0),COLUMN()-1),""))</f>
        <v/>
      </c>
      <c r="F870" s="6" t="str">
        <f ca="1">IF(IFERROR(INDEX((COPIA!$DA$3:$DE$1339),MATCH(ROWS(F$10:F870),COPIA!$DF$3:$DF$1339,0),COLUMN()-1),"")=0,"",IFERROR(INDEX((COPIA!$DA$3:$DE$1339),MATCH(ROWS(F$10:F870),COPIA!$DF$3:$DF$1339,0),COLUMN()-1),""))</f>
        <v/>
      </c>
    </row>
    <row r="871" spans="2:6" x14ac:dyDescent="0.3">
      <c r="B871" s="10" t="str">
        <f ca="1">IF(IFERROR(INDEX((COPIA!$DA$3:$DE$1339),MATCH(ROWS(B$10:B871),COPIA!$DF$3:$DF$1339,0),COLUMN()-1),"")&gt;=1,IFERROR(INDEX((COPIA!$DA$3:$DE$1339),MATCH(ROWS(B$10:B871),COPIA!$DF$3:$DF$1339,0),COLUMN()-1),""),"")</f>
        <v/>
      </c>
      <c r="C871" s="5" t="str">
        <f ca="1">SUBSTITUTE(IFERROR(INDEX((COPIA!$DA$3:$DE$1339),MATCH(ROWS(C$10:C871),COPIA!$DF$3:$DF$1339,0),COLUMN()-1),""),"MASTRO","")</f>
        <v/>
      </c>
      <c r="D871" s="136" t="str">
        <f ca="1">IF(IFERROR(INDEX((COPIA!$DA$3:$DE$1339),MATCH(ROWS(D$10:D871),COPIA!$DF$3:$DF$1339,0),COLUMN()-1),"")=0,"",IFERROR(INDEX((COPIA!$DA$3:$DE$1339),MATCH(ROWS(D$10:D871),COPIA!$DF$3:$DF$1339,0),COLUMN()-1),""))</f>
        <v/>
      </c>
      <c r="E871" s="9" t="str">
        <f ca="1">IF(IFERROR(INDEX((COPIA!$DA$3:$DE$1339),MATCH(ROWS(E$10:E871),COPIA!$DF$3:$DF$1339,0),COLUMN()-1),"")=0,"",IFERROR(INDEX((COPIA!$DA$3:$DE$1339),MATCH(ROWS(E$10:E871),COPIA!$DF$3:$DF$1339,0),COLUMN()-1),""))</f>
        <v/>
      </c>
      <c r="F871" s="6" t="str">
        <f ca="1">IF(IFERROR(INDEX((COPIA!$DA$3:$DE$1339),MATCH(ROWS(F$10:F871),COPIA!$DF$3:$DF$1339,0),COLUMN()-1),"")=0,"",IFERROR(INDEX((COPIA!$DA$3:$DE$1339),MATCH(ROWS(F$10:F871),COPIA!$DF$3:$DF$1339,0),COLUMN()-1),""))</f>
        <v/>
      </c>
    </row>
    <row r="872" spans="2:6" x14ac:dyDescent="0.3">
      <c r="B872" s="10" t="str">
        <f ca="1">IF(IFERROR(INDEX((COPIA!$DA$3:$DE$1339),MATCH(ROWS(B$10:B872),COPIA!$DF$3:$DF$1339,0),COLUMN()-1),"")&gt;=1,IFERROR(INDEX((COPIA!$DA$3:$DE$1339),MATCH(ROWS(B$10:B872),COPIA!$DF$3:$DF$1339,0),COLUMN()-1),""),"")</f>
        <v/>
      </c>
      <c r="C872" s="5" t="str">
        <f ca="1">SUBSTITUTE(IFERROR(INDEX((COPIA!$DA$3:$DE$1339),MATCH(ROWS(C$10:C872),COPIA!$DF$3:$DF$1339,0),COLUMN()-1),""),"MASTRO","")</f>
        <v/>
      </c>
      <c r="D872" s="136" t="str">
        <f ca="1">IF(IFERROR(INDEX((COPIA!$DA$3:$DE$1339),MATCH(ROWS(D$10:D872),COPIA!$DF$3:$DF$1339,0),COLUMN()-1),"")=0,"",IFERROR(INDEX((COPIA!$DA$3:$DE$1339),MATCH(ROWS(D$10:D872),COPIA!$DF$3:$DF$1339,0),COLUMN()-1),""))</f>
        <v/>
      </c>
      <c r="E872" s="9" t="str">
        <f ca="1">IF(IFERROR(INDEX((COPIA!$DA$3:$DE$1339),MATCH(ROWS(E$10:E872),COPIA!$DF$3:$DF$1339,0),COLUMN()-1),"")=0,"",IFERROR(INDEX((COPIA!$DA$3:$DE$1339),MATCH(ROWS(E$10:E872),COPIA!$DF$3:$DF$1339,0),COLUMN()-1),""))</f>
        <v/>
      </c>
      <c r="F872" s="6" t="str">
        <f ca="1">IF(IFERROR(INDEX((COPIA!$DA$3:$DE$1339),MATCH(ROWS(F$10:F872),COPIA!$DF$3:$DF$1339,0),COLUMN()-1),"")=0,"",IFERROR(INDEX((COPIA!$DA$3:$DE$1339),MATCH(ROWS(F$10:F872),COPIA!$DF$3:$DF$1339,0),COLUMN()-1),""))</f>
        <v/>
      </c>
    </row>
    <row r="873" spans="2:6" x14ac:dyDescent="0.3">
      <c r="B873" s="10" t="str">
        <f ca="1">IF(IFERROR(INDEX((COPIA!$DA$3:$DE$1339),MATCH(ROWS(B$10:B873),COPIA!$DF$3:$DF$1339,0),COLUMN()-1),"")&gt;=1,IFERROR(INDEX((COPIA!$DA$3:$DE$1339),MATCH(ROWS(B$10:B873),COPIA!$DF$3:$DF$1339,0),COLUMN()-1),""),"")</f>
        <v/>
      </c>
      <c r="C873" s="5" t="str">
        <f ca="1">SUBSTITUTE(IFERROR(INDEX((COPIA!$DA$3:$DE$1339),MATCH(ROWS(C$10:C873),COPIA!$DF$3:$DF$1339,0),COLUMN()-1),""),"MASTRO","")</f>
        <v/>
      </c>
      <c r="D873" s="136" t="str">
        <f ca="1">IF(IFERROR(INDEX((COPIA!$DA$3:$DE$1339),MATCH(ROWS(D$10:D873),COPIA!$DF$3:$DF$1339,0),COLUMN()-1),"")=0,"",IFERROR(INDEX((COPIA!$DA$3:$DE$1339),MATCH(ROWS(D$10:D873),COPIA!$DF$3:$DF$1339,0),COLUMN()-1),""))</f>
        <v/>
      </c>
      <c r="E873" s="9" t="str">
        <f ca="1">IF(IFERROR(INDEX((COPIA!$DA$3:$DE$1339),MATCH(ROWS(E$10:E873),COPIA!$DF$3:$DF$1339,0),COLUMN()-1),"")=0,"",IFERROR(INDEX((COPIA!$DA$3:$DE$1339),MATCH(ROWS(E$10:E873),COPIA!$DF$3:$DF$1339,0),COLUMN()-1),""))</f>
        <v/>
      </c>
      <c r="F873" s="6" t="str">
        <f ca="1">IF(IFERROR(INDEX((COPIA!$DA$3:$DE$1339),MATCH(ROWS(F$10:F873),COPIA!$DF$3:$DF$1339,0),COLUMN()-1),"")=0,"",IFERROR(INDEX((COPIA!$DA$3:$DE$1339),MATCH(ROWS(F$10:F873),COPIA!$DF$3:$DF$1339,0),COLUMN()-1),""))</f>
        <v/>
      </c>
    </row>
    <row r="874" spans="2:6" x14ac:dyDescent="0.3">
      <c r="B874" s="10" t="str">
        <f ca="1">IF(IFERROR(INDEX((COPIA!$DA$3:$DE$1339),MATCH(ROWS(B$10:B874),COPIA!$DF$3:$DF$1339,0),COLUMN()-1),"")&gt;=1,IFERROR(INDEX((COPIA!$DA$3:$DE$1339),MATCH(ROWS(B$10:B874),COPIA!$DF$3:$DF$1339,0),COLUMN()-1),""),"")</f>
        <v/>
      </c>
      <c r="C874" s="5" t="str">
        <f ca="1">SUBSTITUTE(IFERROR(INDEX((COPIA!$DA$3:$DE$1339),MATCH(ROWS(C$10:C874),COPIA!$DF$3:$DF$1339,0),COLUMN()-1),""),"MASTRO","")</f>
        <v/>
      </c>
      <c r="D874" s="136" t="str">
        <f ca="1">IF(IFERROR(INDEX((COPIA!$DA$3:$DE$1339),MATCH(ROWS(D$10:D874),COPIA!$DF$3:$DF$1339,0),COLUMN()-1),"")=0,"",IFERROR(INDEX((COPIA!$DA$3:$DE$1339),MATCH(ROWS(D$10:D874),COPIA!$DF$3:$DF$1339,0),COLUMN()-1),""))</f>
        <v/>
      </c>
      <c r="E874" s="9" t="str">
        <f ca="1">IF(IFERROR(INDEX((COPIA!$DA$3:$DE$1339),MATCH(ROWS(E$10:E874),COPIA!$DF$3:$DF$1339,0),COLUMN()-1),"")=0,"",IFERROR(INDEX((COPIA!$DA$3:$DE$1339),MATCH(ROWS(E$10:E874),COPIA!$DF$3:$DF$1339,0),COLUMN()-1),""))</f>
        <v/>
      </c>
      <c r="F874" s="6" t="str">
        <f ca="1">IF(IFERROR(INDEX((COPIA!$DA$3:$DE$1339),MATCH(ROWS(F$10:F874),COPIA!$DF$3:$DF$1339,0),COLUMN()-1),"")=0,"",IFERROR(INDEX((COPIA!$DA$3:$DE$1339),MATCH(ROWS(F$10:F874),COPIA!$DF$3:$DF$1339,0),COLUMN()-1),""))</f>
        <v/>
      </c>
    </row>
    <row r="875" spans="2:6" x14ac:dyDescent="0.3">
      <c r="B875" s="10" t="str">
        <f ca="1">IF(IFERROR(INDEX((COPIA!$DA$3:$DE$1339),MATCH(ROWS(B$10:B875),COPIA!$DF$3:$DF$1339,0),COLUMN()-1),"")&gt;=1,IFERROR(INDEX((COPIA!$DA$3:$DE$1339),MATCH(ROWS(B$10:B875),COPIA!$DF$3:$DF$1339,0),COLUMN()-1),""),"")</f>
        <v/>
      </c>
      <c r="C875" s="5" t="str">
        <f ca="1">SUBSTITUTE(IFERROR(INDEX((COPIA!$DA$3:$DE$1339),MATCH(ROWS(C$10:C875),COPIA!$DF$3:$DF$1339,0),COLUMN()-1),""),"MASTRO","")</f>
        <v/>
      </c>
      <c r="D875" s="136" t="str">
        <f ca="1">IF(IFERROR(INDEX((COPIA!$DA$3:$DE$1339),MATCH(ROWS(D$10:D875),COPIA!$DF$3:$DF$1339,0),COLUMN()-1),"")=0,"",IFERROR(INDEX((COPIA!$DA$3:$DE$1339),MATCH(ROWS(D$10:D875),COPIA!$DF$3:$DF$1339,0),COLUMN()-1),""))</f>
        <v/>
      </c>
      <c r="E875" s="9" t="str">
        <f ca="1">IF(IFERROR(INDEX((COPIA!$DA$3:$DE$1339),MATCH(ROWS(E$10:E875),COPIA!$DF$3:$DF$1339,0),COLUMN()-1),"")=0,"",IFERROR(INDEX((COPIA!$DA$3:$DE$1339),MATCH(ROWS(E$10:E875),COPIA!$DF$3:$DF$1339,0),COLUMN()-1),""))</f>
        <v/>
      </c>
      <c r="F875" s="6" t="str">
        <f ca="1">IF(IFERROR(INDEX((COPIA!$DA$3:$DE$1339),MATCH(ROWS(F$10:F875),COPIA!$DF$3:$DF$1339,0),COLUMN()-1),"")=0,"",IFERROR(INDEX((COPIA!$DA$3:$DE$1339),MATCH(ROWS(F$10:F875),COPIA!$DF$3:$DF$1339,0),COLUMN()-1),""))</f>
        <v/>
      </c>
    </row>
    <row r="876" spans="2:6" x14ac:dyDescent="0.3">
      <c r="B876" s="10" t="str">
        <f ca="1">IF(IFERROR(INDEX((COPIA!$DA$3:$DE$1339),MATCH(ROWS(B$10:B876),COPIA!$DF$3:$DF$1339,0),COLUMN()-1),"")&gt;=1,IFERROR(INDEX((COPIA!$DA$3:$DE$1339),MATCH(ROWS(B$10:B876),COPIA!$DF$3:$DF$1339,0),COLUMN()-1),""),"")</f>
        <v/>
      </c>
      <c r="C876" s="5" t="str">
        <f ca="1">SUBSTITUTE(IFERROR(INDEX((COPIA!$DA$3:$DE$1339),MATCH(ROWS(C$10:C876),COPIA!$DF$3:$DF$1339,0),COLUMN()-1),""),"MASTRO","")</f>
        <v/>
      </c>
      <c r="D876" s="136" t="str">
        <f ca="1">IF(IFERROR(INDEX((COPIA!$DA$3:$DE$1339),MATCH(ROWS(D$10:D876),COPIA!$DF$3:$DF$1339,0),COLUMN()-1),"")=0,"",IFERROR(INDEX((COPIA!$DA$3:$DE$1339),MATCH(ROWS(D$10:D876),COPIA!$DF$3:$DF$1339,0),COLUMN()-1),""))</f>
        <v/>
      </c>
      <c r="E876" s="9" t="str">
        <f ca="1">IF(IFERROR(INDEX((COPIA!$DA$3:$DE$1339),MATCH(ROWS(E$10:E876),COPIA!$DF$3:$DF$1339,0),COLUMN()-1),"")=0,"",IFERROR(INDEX((COPIA!$DA$3:$DE$1339),MATCH(ROWS(E$10:E876),COPIA!$DF$3:$DF$1339,0),COLUMN()-1),""))</f>
        <v/>
      </c>
      <c r="F876" s="6" t="str">
        <f ca="1">IF(IFERROR(INDEX((COPIA!$DA$3:$DE$1339),MATCH(ROWS(F$10:F876),COPIA!$DF$3:$DF$1339,0),COLUMN()-1),"")=0,"",IFERROR(INDEX((COPIA!$DA$3:$DE$1339),MATCH(ROWS(F$10:F876),COPIA!$DF$3:$DF$1339,0),COLUMN()-1),""))</f>
        <v/>
      </c>
    </row>
    <row r="877" spans="2:6" x14ac:dyDescent="0.3">
      <c r="B877" s="10" t="str">
        <f ca="1">IF(IFERROR(INDEX((COPIA!$DA$3:$DE$1339),MATCH(ROWS(B$10:B877),COPIA!$DF$3:$DF$1339,0),COLUMN()-1),"")&gt;=1,IFERROR(INDEX((COPIA!$DA$3:$DE$1339),MATCH(ROWS(B$10:B877),COPIA!$DF$3:$DF$1339,0),COLUMN()-1),""),"")</f>
        <v/>
      </c>
      <c r="C877" s="5" t="str">
        <f ca="1">SUBSTITUTE(IFERROR(INDEX((COPIA!$DA$3:$DE$1339),MATCH(ROWS(C$10:C877),COPIA!$DF$3:$DF$1339,0),COLUMN()-1),""),"MASTRO","")</f>
        <v/>
      </c>
      <c r="D877" s="136" t="str">
        <f ca="1">IF(IFERROR(INDEX((COPIA!$DA$3:$DE$1339),MATCH(ROWS(D$10:D877),COPIA!$DF$3:$DF$1339,0),COLUMN()-1),"")=0,"",IFERROR(INDEX((COPIA!$DA$3:$DE$1339),MATCH(ROWS(D$10:D877),COPIA!$DF$3:$DF$1339,0),COLUMN()-1),""))</f>
        <v/>
      </c>
      <c r="E877" s="9" t="str">
        <f ca="1">IF(IFERROR(INDEX((COPIA!$DA$3:$DE$1339),MATCH(ROWS(E$10:E877),COPIA!$DF$3:$DF$1339,0),COLUMN()-1),"")=0,"",IFERROR(INDEX((COPIA!$DA$3:$DE$1339),MATCH(ROWS(E$10:E877),COPIA!$DF$3:$DF$1339,0),COLUMN()-1),""))</f>
        <v/>
      </c>
      <c r="F877" s="6" t="str">
        <f ca="1">IF(IFERROR(INDEX((COPIA!$DA$3:$DE$1339),MATCH(ROWS(F$10:F877),COPIA!$DF$3:$DF$1339,0),COLUMN()-1),"")=0,"",IFERROR(INDEX((COPIA!$DA$3:$DE$1339),MATCH(ROWS(F$10:F877),COPIA!$DF$3:$DF$1339,0),COLUMN()-1),""))</f>
        <v/>
      </c>
    </row>
    <row r="878" spans="2:6" x14ac:dyDescent="0.3">
      <c r="B878" s="10" t="str">
        <f ca="1">IF(IFERROR(INDEX((COPIA!$DA$3:$DE$1339),MATCH(ROWS(B$10:B878),COPIA!$DF$3:$DF$1339,0),COLUMN()-1),"")&gt;=1,IFERROR(INDEX((COPIA!$DA$3:$DE$1339),MATCH(ROWS(B$10:B878),COPIA!$DF$3:$DF$1339,0),COLUMN()-1),""),"")</f>
        <v/>
      </c>
      <c r="C878" s="5" t="str">
        <f ca="1">SUBSTITUTE(IFERROR(INDEX((COPIA!$DA$3:$DE$1339),MATCH(ROWS(C$10:C878),COPIA!$DF$3:$DF$1339,0),COLUMN()-1),""),"MASTRO","")</f>
        <v/>
      </c>
      <c r="D878" s="136" t="str">
        <f ca="1">IF(IFERROR(INDEX((COPIA!$DA$3:$DE$1339),MATCH(ROWS(D$10:D878),COPIA!$DF$3:$DF$1339,0),COLUMN()-1),"")=0,"",IFERROR(INDEX((COPIA!$DA$3:$DE$1339),MATCH(ROWS(D$10:D878),COPIA!$DF$3:$DF$1339,0),COLUMN()-1),""))</f>
        <v/>
      </c>
      <c r="E878" s="9" t="str">
        <f ca="1">IF(IFERROR(INDEX((COPIA!$DA$3:$DE$1339),MATCH(ROWS(E$10:E878),COPIA!$DF$3:$DF$1339,0),COLUMN()-1),"")=0,"",IFERROR(INDEX((COPIA!$DA$3:$DE$1339),MATCH(ROWS(E$10:E878),COPIA!$DF$3:$DF$1339,0),COLUMN()-1),""))</f>
        <v/>
      </c>
      <c r="F878" s="6" t="str">
        <f ca="1">IF(IFERROR(INDEX((COPIA!$DA$3:$DE$1339),MATCH(ROWS(F$10:F878),COPIA!$DF$3:$DF$1339,0),COLUMN()-1),"")=0,"",IFERROR(INDEX((COPIA!$DA$3:$DE$1339),MATCH(ROWS(F$10:F878),COPIA!$DF$3:$DF$1339,0),COLUMN()-1),""))</f>
        <v/>
      </c>
    </row>
    <row r="879" spans="2:6" x14ac:dyDescent="0.3">
      <c r="B879" s="10" t="str">
        <f ca="1">IF(IFERROR(INDEX((COPIA!$DA$3:$DE$1339),MATCH(ROWS(B$10:B879),COPIA!$DF$3:$DF$1339,0),COLUMN()-1),"")&gt;=1,IFERROR(INDEX((COPIA!$DA$3:$DE$1339),MATCH(ROWS(B$10:B879),COPIA!$DF$3:$DF$1339,0),COLUMN()-1),""),"")</f>
        <v/>
      </c>
      <c r="C879" s="5" t="str">
        <f ca="1">SUBSTITUTE(IFERROR(INDEX((COPIA!$DA$3:$DE$1339),MATCH(ROWS(C$10:C879),COPIA!$DF$3:$DF$1339,0),COLUMN()-1),""),"MASTRO","")</f>
        <v/>
      </c>
      <c r="D879" s="136" t="str">
        <f ca="1">IF(IFERROR(INDEX((COPIA!$DA$3:$DE$1339),MATCH(ROWS(D$10:D879),COPIA!$DF$3:$DF$1339,0),COLUMN()-1),"")=0,"",IFERROR(INDEX((COPIA!$DA$3:$DE$1339),MATCH(ROWS(D$10:D879),COPIA!$DF$3:$DF$1339,0),COLUMN()-1),""))</f>
        <v/>
      </c>
      <c r="E879" s="9" t="str">
        <f ca="1">IF(IFERROR(INDEX((COPIA!$DA$3:$DE$1339),MATCH(ROWS(E$10:E879),COPIA!$DF$3:$DF$1339,0),COLUMN()-1),"")=0,"",IFERROR(INDEX((COPIA!$DA$3:$DE$1339),MATCH(ROWS(E$10:E879),COPIA!$DF$3:$DF$1339,0),COLUMN()-1),""))</f>
        <v/>
      </c>
      <c r="F879" s="6" t="str">
        <f ca="1">IF(IFERROR(INDEX((COPIA!$DA$3:$DE$1339),MATCH(ROWS(F$10:F879),COPIA!$DF$3:$DF$1339,0),COLUMN()-1),"")=0,"",IFERROR(INDEX((COPIA!$DA$3:$DE$1339),MATCH(ROWS(F$10:F879),COPIA!$DF$3:$DF$1339,0),COLUMN()-1),""))</f>
        <v/>
      </c>
    </row>
  </sheetData>
  <sheetProtection algorithmName="SHA-512" hashValue="HnogoQbtG1O6oPBrBBUO6V/YGD+8XL/Z6SfY6lc1oU7HjxhoaOq6BpTkXR9nPzWwXSb+rtDeChTcdLNe5fhMKw==" saltValue="V9/KFwQ0lRnmFZLOXiKmAw==" spinCount="100000" sheet="1" objects="1" scenarios="1"/>
  <mergeCells count="14">
    <mergeCell ref="H7:K7"/>
    <mergeCell ref="B9:F9"/>
    <mergeCell ref="B1:E1"/>
    <mergeCell ref="B2:C4"/>
    <mergeCell ref="E2:G2"/>
    <mergeCell ref="H2:K2"/>
    <mergeCell ref="H6:K6"/>
    <mergeCell ref="E6:G6"/>
    <mergeCell ref="B6:C6"/>
    <mergeCell ref="H3:K4"/>
    <mergeCell ref="E3:G4"/>
    <mergeCell ref="F1:K1"/>
    <mergeCell ref="B8:D8"/>
    <mergeCell ref="E8:F8"/>
  </mergeCells>
  <conditionalFormatting sqref="B10:F879">
    <cfRule type="expression" dxfId="48" priority="2">
      <formula>$B10="Num. Riga"</formula>
    </cfRule>
    <cfRule type="expression" dxfId="47" priority="3">
      <formula>AND($B10&lt;&gt;"",$B9&lt;&gt;"",$B10&lt;&gt;"Conto n.")</formula>
    </cfRule>
    <cfRule type="expression" dxfId="46" priority="4">
      <formula>OR(MID($E10,1,1)="s",MID($F10,1,1)="s")</formula>
    </cfRule>
  </conditionalFormatting>
  <conditionalFormatting sqref="D10:D879">
    <cfRule type="expression" dxfId="45" priority="1">
      <formula>MATCH($D10,$A$7:$A$407,0)&gt;0</formula>
    </cfRule>
  </conditionalFormatting>
  <dataValidations count="4">
    <dataValidation allowBlank="1" sqref="E7:E8" xr:uid="{00000000-0002-0000-0200-000000000000}"/>
    <dataValidation type="list" allowBlank="1" showInputMessage="1" showErrorMessage="1" sqref="H6:K6" xr:uid="{00000000-0002-0000-0200-000001000000}">
      <formula1>"VISUALIZZA SOLO I MOVIMENTI,VISUALIZZA I MOVIMENTI E IL SALDO"</formula1>
    </dataValidation>
    <dataValidation type="list" allowBlank="1" showInputMessage="1" showErrorMessage="1" sqref="D6" xr:uid="{00000000-0002-0000-0200-000002000000}">
      <formula1>FOCUS</formula1>
    </dataValidation>
    <dataValidation type="list" allowBlank="1" showInputMessage="1" showErrorMessage="1" sqref="E6:G6" xr:uid="{00000000-0002-0000-0200-000003000000}">
      <formula1>"VISUALIZZA I CONTI SECONDO L'ORDINE DEL PIANO DEI CONTI,VISUALIZZA PRIMA I CONTI DELL'ULTIMO ARTICOLO"</formula1>
    </dataValidation>
  </dataValidations>
  <printOptions horizontalCentered="1"/>
  <pageMargins left="0.15748031496062992" right="0.15748031496062992" top="0.98425196850393704" bottom="0.55118110236220474" header="0.39370078740157483" footer="0.31496062992125984"/>
  <pageSetup paperSize="9" orientation="portrait" horizontalDpi="4294967294" r:id="rId1"/>
  <headerFooter>
    <oddHeader>&amp;L&amp;"Arial Narrow,Grassetto"&amp;10&amp;K08-041&amp;A&amp;R&amp;G</oddHeader>
    <oddFooter>&amp;L&amp;"Arial Narrow,Grassetto"&amp;10&amp;Y&amp;K08-042TRAMONTANA -FUTURO IMPRESA SMART 4 - T-SMART -  Autore: Biagio PALACINO&amp;C&amp;"Arial Narrow,Grassetto"&amp;10&amp;K08-047&amp;D&amp;R&amp;"Arial Narrow,Grassetto"&amp;10&amp;K08-043pag. &amp;P di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>
    <tabColor theme="9" tint="-0.249977111117893"/>
  </sheetPr>
  <dimension ref="A1:J280"/>
  <sheetViews>
    <sheetView showGridLines="0" showRowColHeaders="0" zoomScale="120" zoomScaleNormal="120" workbookViewId="0">
      <pane ySplit="5" topLeftCell="A6" activePane="bottomLeft" state="frozen"/>
      <selection pane="bottomLeft" activeCell="C4" sqref="C4"/>
    </sheetView>
  </sheetViews>
  <sheetFormatPr defaultColWidth="9" defaultRowHeight="15.6" x14ac:dyDescent="0.3"/>
  <cols>
    <col min="1" max="1" width="1.8984375" style="11" customWidth="1"/>
    <col min="2" max="2" width="8.09765625" style="16" customWidth="1"/>
    <col min="3" max="3" width="59.59765625" style="72" customWidth="1"/>
    <col min="4" max="5" width="13.59765625" style="32" customWidth="1"/>
    <col min="6" max="7" width="13.59765625" style="88" customWidth="1"/>
    <col min="8" max="8" width="3.5" style="7" customWidth="1"/>
    <col min="9" max="9" width="9" style="11"/>
    <col min="10" max="10" width="12.59765625" style="11" customWidth="1"/>
    <col min="11" max="11" width="4.69921875" style="11" customWidth="1"/>
    <col min="12" max="16384" width="9" style="11"/>
  </cols>
  <sheetData>
    <row r="1" spans="1:10" ht="23.25" customHeight="1" x14ac:dyDescent="0.3">
      <c r="A1" s="4"/>
      <c r="B1" s="390" t="s">
        <v>1150</v>
      </c>
      <c r="C1" s="346"/>
      <c r="D1" s="346"/>
      <c r="E1" s="337"/>
      <c r="F1" s="337"/>
      <c r="G1" s="337"/>
      <c r="H1" s="127"/>
      <c r="I1" s="127"/>
      <c r="J1" s="127"/>
    </row>
    <row r="2" spans="1:10" ht="16.5" hidden="1" customHeight="1" x14ac:dyDescent="0.3">
      <c r="B2" s="140"/>
      <c r="C2" s="140"/>
      <c r="D2" s="140"/>
      <c r="E2" s="84"/>
      <c r="F2" s="87"/>
      <c r="H2" s="127"/>
      <c r="I2" s="127"/>
      <c r="J2" s="127"/>
    </row>
    <row r="3" spans="1:10" ht="20.25" customHeight="1" x14ac:dyDescent="0.3">
      <c r="B3" s="154"/>
      <c r="C3" s="155" t="s">
        <v>982</v>
      </c>
      <c r="D3" s="340" t="str">
        <f ca="1">COPIA!CS3</f>
        <v/>
      </c>
      <c r="E3" s="341"/>
      <c r="F3" s="341"/>
      <c r="G3" s="342"/>
      <c r="H3" s="127"/>
      <c r="I3" s="127"/>
      <c r="J3" s="127"/>
    </row>
    <row r="4" spans="1:10" ht="21.75" customHeight="1" x14ac:dyDescent="0.3">
      <c r="B4" s="180"/>
      <c r="C4" s="182" t="s">
        <v>309</v>
      </c>
      <c r="D4" s="343"/>
      <c r="E4" s="344"/>
      <c r="F4" s="344"/>
      <c r="G4" s="345"/>
      <c r="H4" s="127"/>
      <c r="I4" s="127"/>
      <c r="J4" s="127"/>
    </row>
    <row r="5" spans="1:10" ht="17.25" customHeight="1" x14ac:dyDescent="0.3">
      <c r="C5" s="181"/>
      <c r="D5" s="56"/>
      <c r="E5" s="56"/>
      <c r="F5" s="89"/>
      <c r="G5" s="56"/>
      <c r="H5" s="41"/>
      <c r="I5" s="41"/>
      <c r="J5" s="41"/>
    </row>
    <row r="6" spans="1:10" ht="21.75" customHeight="1" x14ac:dyDescent="0.3">
      <c r="A6" s="7">
        <f ca="1">COPIA!BU1</f>
        <v>3</v>
      </c>
      <c r="B6" s="339" t="str">
        <f ca="1">IF(INDIRECT(ADDRESS(8,6,,,"LIBRO_GIORNALE"))="","",INDIRECT(ADDRESS(8,6,,,"LIBRO_GIORNALE")))</f>
        <v/>
      </c>
      <c r="C6" s="339"/>
      <c r="D6" s="339" t="str">
        <f ca="1">IF(INDIRECT(ADDRESS(8,7,,,"LIBRO_GIORNALE"))="","",INDIRECT(ADDRESS(8,7,,,"LIBRO_GIORNALE")))</f>
        <v/>
      </c>
      <c r="E6" s="339"/>
      <c r="F6" s="339"/>
      <c r="G6" s="339"/>
      <c r="H6" s="41"/>
      <c r="I6" s="41"/>
      <c r="J6" s="41"/>
    </row>
    <row r="7" spans="1:10" ht="30" customHeight="1" x14ac:dyDescent="0.45">
      <c r="C7" s="338" t="str">
        <f ca="1">IF(COPIA!CO1=0,"",IF(COPIA!$I$1=1,IFERROR(CONCATENATE("Situazione contabile per ",LOWER(COPIA!BV1)," al ",COPIA!AS1,"/",COPIA!AT1,"/",UPPER(COPIA!AW1)),""),IF(COPIA!$I$1=2,IFERROR(CONCATENATE("Stralcio di Situazione contabile per ",LOWER(COPIA!BV1)," al ",COPIA!AS1,"/",COPIA!AT1,"/",COPIA!AW1),""),"")))</f>
        <v/>
      </c>
      <c r="D7" s="338"/>
      <c r="E7" s="338"/>
      <c r="F7" s="96"/>
      <c r="G7" s="96"/>
      <c r="H7" s="41"/>
      <c r="I7" s="41"/>
      <c r="J7" s="41"/>
    </row>
    <row r="8" spans="1:10" ht="16.5" customHeight="1" x14ac:dyDescent="0.3">
      <c r="B8" s="333" t="str">
        <f ca="1">IF($H$9=0,"","CODICE")</f>
        <v/>
      </c>
      <c r="C8" s="336" t="str">
        <f ca="1">IF($H$9=0,"","DENOMINAZIONE DEI CONTI")</f>
        <v/>
      </c>
      <c r="D8" s="334" t="str">
        <f ca="1">IF($H$9=0,"",IF(COPIA!BU1=3,"TOTALI",IF(COPIA!BU1=2,"ECCEDENZE","TOTALI")))</f>
        <v/>
      </c>
      <c r="E8" s="334"/>
      <c r="F8" s="335" t="str">
        <f ca="1">IF($H$9=0,"",IF(COPIA!BU1=3,"ECCEDENZE",""))</f>
        <v/>
      </c>
      <c r="G8" s="335"/>
      <c r="H8" s="7">
        <f ca="1">COPIA!BU1</f>
        <v>3</v>
      </c>
    </row>
    <row r="9" spans="1:10" ht="16.5" customHeight="1" x14ac:dyDescent="0.3">
      <c r="B9" s="333"/>
      <c r="C9" s="336"/>
      <c r="D9" s="85" t="str">
        <f ca="1">IF($H$9=0,"","DARE")</f>
        <v/>
      </c>
      <c r="E9" s="85" t="str">
        <f ca="1">IF($H$9=0,"","AVERE")</f>
        <v/>
      </c>
      <c r="F9" s="90" t="str">
        <f ca="1">IF(H9=0,"",IF(COPIA!$BU$1=3,"DARE",""))</f>
        <v/>
      </c>
      <c r="G9" s="90" t="str">
        <f ca="1">IF(H9=0,"",IF(COPIA!$BU$1=3,"AVERE",""))</f>
        <v/>
      </c>
      <c r="H9" s="95">
        <f ca="1">MAX(H10:H233)</f>
        <v>0</v>
      </c>
    </row>
    <row r="10" spans="1:10" ht="18" customHeight="1" x14ac:dyDescent="0.3">
      <c r="B10" s="16" t="str">
        <f t="shared" ref="B10:B73" ca="1" si="0">IF(C10=" …………….","……",IFERROR(INDEX(PDC,MATCH(C10,DEN_PDC,0),1),0))</f>
        <v/>
      </c>
      <c r="C10" s="83" t="str">
        <f ca="1">IF(OR(COPIA!$BU$1=1,COPIA!$BU$1=3),COPIA!CO3,IF(COPIA!$BU$1=2,COPIA!BZ3,IF(ROW()=COPIA!$BT$1,"TOTALE","")))</f>
        <v/>
      </c>
      <c r="D10" s="86" t="str">
        <f ca="1">IF(AND(OR(COPIA!$BU$1=1,COPIA!$BU$1=3),INDEX(COPIA!$BT$3:$BV$400,MATCH($C10,COPIA!$BT$3:$BT$400,0),2)&lt;&gt;0),INDEX(COPIA!$BT$3:$BV$400,MATCH($C10,COPIA!$BT$3:$BT$400,0),2),IF(AND(COPIA!$BU$1=2,INDEX(COPIA!$BZ$3:$CB$400,MATCH($C10,COPIA!$BZ$3:$BZ$400,0),2)&lt;&gt;0),INDEX(COPIA!$BZ$3:$CB$400,MATCH($C10,COPIA!$BZ$3:$BZ$400,0),2),""))</f>
        <v/>
      </c>
      <c r="E10" s="86" t="str">
        <f ca="1">IF(AND(OR(COPIA!$BU$1=1,COPIA!$BU$1=3),INDEX(COPIA!$BT$3:$BV$400,MATCH($C10,COPIA!$BT$3:$BT$400,0),3)&lt;&gt;0),INDEX(COPIA!$BT$3:$BV$400,MATCH($C10,COPIA!$BT$3:$BT$400,0),3),IF(AND(COPIA!$BU$1=2,INDEX(COPIA!$BZ$3:$CB$400,MATCH($C10,COPIA!$BZ$3:$BZ$400,0),3)&lt;&gt;0),INDEX(COPIA!$BZ$3:$CB$400,MATCH($C10,COPIA!$BZ$3:$BZ$400,0),3),""))</f>
        <v/>
      </c>
      <c r="F10" s="86" t="str">
        <f ca="1">IFERROR(IF(AND(COPIA!$BU$1=3,INDEX(COPIA!$BZ$3:$CB$400,MATCH($C10,COPIA!$BZ$3:$BZ$400,0),2)&lt;&gt;0),INDEX(COPIA!$BZ$3:$CB$400,MATCH($C10,COPIA!$BZ$3:$BZ$400,0),2),""),"")</f>
        <v/>
      </c>
      <c r="G10" s="86" t="str">
        <f ca="1">IFERROR(IF(AND(COPIA!$BU$1=3,INDEX(COPIA!$BZ$3:$CB$400,MATCH($C10,COPIA!$BZ$3:$BZ$400,0),3)&lt;&gt;0),INDEX(COPIA!$BZ$3:$CB$400,MATCH($C10,COPIA!$BZ$3:$BZ$400,0),3),""),"")</f>
        <v/>
      </c>
      <c r="H10" s="7" t="str">
        <f ca="1">IF(C10&lt;&gt;"",ROW(),"")</f>
        <v/>
      </c>
    </row>
    <row r="11" spans="1:10" ht="18" customHeight="1" x14ac:dyDescent="0.3">
      <c r="B11" s="16" t="str">
        <f t="shared" ca="1" si="0"/>
        <v/>
      </c>
      <c r="C11" s="83" t="str">
        <f ca="1">IF(OR(COPIA!$BU$1=1,COPIA!$BU$1=3),COPIA!CO4,IF(COPIA!$BU$1=2,COPIA!BZ4,IF(ROW()=COPIA!$BT$1,"TOTALE","")))</f>
        <v/>
      </c>
      <c r="D11" s="86" t="str">
        <f ca="1">IF(AND(OR(COPIA!$BU$1=1,COPIA!$BU$1=3),INDEX(COPIA!$BT$3:$BV$400,MATCH($C11,COPIA!$BT$3:$BT$400,0),2)&lt;&gt;0),INDEX(COPIA!$BT$3:$BV$400,MATCH($C11,COPIA!$BT$3:$BT$400,0),2),IF(AND(COPIA!$BU$1=2,INDEX(COPIA!$BZ$3:$CB$400,MATCH($C11,COPIA!$BZ$3:$BZ$400,0),2)&lt;&gt;0),INDEX(COPIA!$BZ$3:$CB$400,MATCH($C11,COPIA!$BZ$3:$BZ$400,0),2),""))</f>
        <v/>
      </c>
      <c r="E11" s="86" t="str">
        <f ca="1">IF(AND(OR(COPIA!$BU$1=1,COPIA!$BU$1=3),INDEX(COPIA!$BT$3:$BV$400,MATCH($C11,COPIA!$BT$3:$BT$400,0),3)&lt;&gt;0),INDEX(COPIA!$BT$3:$BV$400,MATCH($C11,COPIA!$BT$3:$BT$400,0),3),IF(AND(COPIA!$BU$1=2,INDEX(COPIA!$BZ$3:$CB$400,MATCH($C11,COPIA!$BZ$3:$BZ$400,0),3)&lt;&gt;0),INDEX(COPIA!$BZ$3:$CB$400,MATCH($C11,COPIA!$BZ$3:$BZ$400,0),3),""))</f>
        <v/>
      </c>
      <c r="F11" s="86" t="str">
        <f ca="1">IFERROR(IF(AND(COPIA!$BU$1=3,INDEX(COPIA!$BZ$3:$CB$400,MATCH($C11,COPIA!$BZ$3:$BZ$400,0),2)&lt;&gt;0),INDEX(COPIA!$BZ$3:$CB$400,MATCH($C11,COPIA!$BZ$3:$BZ$400,0),2),""),"")</f>
        <v/>
      </c>
      <c r="G11" s="86" t="str">
        <f ca="1">IFERROR(IF(AND(COPIA!$BU$1=3,INDEX(COPIA!$BZ$3:$CB$400,MATCH($C11,COPIA!$BZ$3:$BZ$400,0),3)&lt;&gt;0),INDEX(COPIA!$BZ$3:$CB$400,MATCH($C11,COPIA!$BZ$3:$BZ$400,0),3),""),"")</f>
        <v/>
      </c>
      <c r="H11" s="7" t="str">
        <f t="shared" ref="H11:H74" ca="1" si="1">IF(C11&lt;&gt;"",ROW(),"")</f>
        <v/>
      </c>
    </row>
    <row r="12" spans="1:10" ht="18" customHeight="1" x14ac:dyDescent="0.3">
      <c r="B12" s="16" t="str">
        <f t="shared" ca="1" si="0"/>
        <v/>
      </c>
      <c r="C12" s="83" t="str">
        <f ca="1">IF(OR(COPIA!$BU$1=1,COPIA!$BU$1=3),COPIA!CO5,IF(COPIA!$BU$1=2,COPIA!BZ5,IF(ROW()=COPIA!$BT$1,"TOTALE","")))</f>
        <v/>
      </c>
      <c r="D12" s="86" t="str">
        <f ca="1">IF(AND(OR(COPIA!$BU$1=1,COPIA!$BU$1=3),INDEX(COPIA!$BT$3:$BV$400,MATCH($C12,COPIA!$BT$3:$BT$400,0),2)&lt;&gt;0),INDEX(COPIA!$BT$3:$BV$400,MATCH($C12,COPIA!$BT$3:$BT$400,0),2),IF(AND(COPIA!$BU$1=2,INDEX(COPIA!$BZ$3:$CB$400,MATCH($C12,COPIA!$BZ$3:$BZ$400,0),2)&lt;&gt;0),INDEX(COPIA!$BZ$3:$CB$400,MATCH($C12,COPIA!$BZ$3:$BZ$400,0),2),""))</f>
        <v/>
      </c>
      <c r="E12" s="86" t="str">
        <f ca="1">IF(AND(OR(COPIA!$BU$1=1,COPIA!$BU$1=3),INDEX(COPIA!$BT$3:$BV$400,MATCH($C12,COPIA!$BT$3:$BT$400,0),3)&lt;&gt;0),INDEX(COPIA!$BT$3:$BV$400,MATCH($C12,COPIA!$BT$3:$BT$400,0),3),IF(AND(COPIA!$BU$1=2,INDEX(COPIA!$BZ$3:$CB$400,MATCH($C12,COPIA!$BZ$3:$BZ$400,0),3)&lt;&gt;0),INDEX(COPIA!$BZ$3:$CB$400,MATCH($C12,COPIA!$BZ$3:$BZ$400,0),3),""))</f>
        <v/>
      </c>
      <c r="F12" s="86" t="str">
        <f ca="1">IFERROR(IF(AND(COPIA!$BU$1=3,INDEX(COPIA!$BZ$3:$CB$400,MATCH($C12,COPIA!$BZ$3:$BZ$400,0),2)&lt;&gt;0),INDEX(COPIA!$BZ$3:$CB$400,MATCH($C12,COPIA!$BZ$3:$BZ$400,0),2),""),"")</f>
        <v/>
      </c>
      <c r="G12" s="86" t="str">
        <f ca="1">IFERROR(IF(AND(COPIA!$BU$1=3,INDEX(COPIA!$BZ$3:$CB$400,MATCH($C12,COPIA!$BZ$3:$BZ$400,0),3)&lt;&gt;0),INDEX(COPIA!$BZ$3:$CB$400,MATCH($C12,COPIA!$BZ$3:$BZ$400,0),3),""),"")</f>
        <v/>
      </c>
      <c r="H12" s="7" t="str">
        <f t="shared" ca="1" si="1"/>
        <v/>
      </c>
    </row>
    <row r="13" spans="1:10" ht="18" customHeight="1" x14ac:dyDescent="0.3">
      <c r="B13" s="16" t="str">
        <f t="shared" ca="1" si="0"/>
        <v/>
      </c>
      <c r="C13" s="83" t="str">
        <f ca="1">IF(OR(COPIA!$BU$1=1,COPIA!$BU$1=3),COPIA!CO6,IF(COPIA!$BU$1=2,COPIA!BZ6,IF(ROW()=COPIA!$BT$1,"TOTALE","")))</f>
        <v/>
      </c>
      <c r="D13" s="86" t="str">
        <f ca="1">IF(AND(OR(COPIA!$BU$1=1,COPIA!$BU$1=3),INDEX(COPIA!$BT$3:$BV$400,MATCH($C13,COPIA!$BT$3:$BT$400,0),2)&lt;&gt;0),INDEX(COPIA!$BT$3:$BV$400,MATCH($C13,COPIA!$BT$3:$BT$400,0),2),IF(AND(COPIA!$BU$1=2,INDEX(COPIA!$BZ$3:$CB$400,MATCH($C13,COPIA!$BZ$3:$BZ$400,0),2)&lt;&gt;0),INDEX(COPIA!$BZ$3:$CB$400,MATCH($C13,COPIA!$BZ$3:$BZ$400,0),2),""))</f>
        <v/>
      </c>
      <c r="E13" s="86" t="str">
        <f ca="1">IF(AND(OR(COPIA!$BU$1=1,COPIA!$BU$1=3),INDEX(COPIA!$BT$3:$BV$400,MATCH($C13,COPIA!$BT$3:$BT$400,0),3)&lt;&gt;0),INDEX(COPIA!$BT$3:$BV$400,MATCH($C13,COPIA!$BT$3:$BT$400,0),3),IF(AND(COPIA!$BU$1=2,INDEX(COPIA!$BZ$3:$CB$400,MATCH($C13,COPIA!$BZ$3:$BZ$400,0),3)&lt;&gt;0),INDEX(COPIA!$BZ$3:$CB$400,MATCH($C13,COPIA!$BZ$3:$BZ$400,0),3),""))</f>
        <v/>
      </c>
      <c r="F13" s="86" t="str">
        <f ca="1">IFERROR(IF(AND(COPIA!$BU$1=3,INDEX(COPIA!$BZ$3:$CB$400,MATCH($C13,COPIA!$BZ$3:$BZ$400,0),2)&lt;&gt;0),INDEX(COPIA!$BZ$3:$CB$400,MATCH($C13,COPIA!$BZ$3:$BZ$400,0),2),""),"")</f>
        <v/>
      </c>
      <c r="G13" s="86" t="str">
        <f ca="1">IFERROR(IF(AND(COPIA!$BU$1=3,INDEX(COPIA!$BZ$3:$CB$400,MATCH($C13,COPIA!$BZ$3:$BZ$400,0),3)&lt;&gt;0),INDEX(COPIA!$BZ$3:$CB$400,MATCH($C13,COPIA!$BZ$3:$BZ$400,0),3),""),"")</f>
        <v/>
      </c>
      <c r="H13" s="7" t="str">
        <f t="shared" ca="1" si="1"/>
        <v/>
      </c>
    </row>
    <row r="14" spans="1:10" ht="18" customHeight="1" x14ac:dyDescent="0.3">
      <c r="B14" s="16" t="str">
        <f t="shared" ca="1" si="0"/>
        <v/>
      </c>
      <c r="C14" s="83" t="str">
        <f ca="1">IF(OR(COPIA!$BU$1=1,COPIA!$BU$1=3),COPIA!CO7,IF(COPIA!$BU$1=2,COPIA!BZ7,IF(ROW()=COPIA!$BT$1,"TOTALE","")))</f>
        <v/>
      </c>
      <c r="D14" s="86" t="str">
        <f ca="1">IF(AND(OR(COPIA!$BU$1=1,COPIA!$BU$1=3),INDEX(COPIA!$BT$3:$BV$400,MATCH($C14,COPIA!$BT$3:$BT$400,0),2)&lt;&gt;0),INDEX(COPIA!$BT$3:$BV$400,MATCH($C14,COPIA!$BT$3:$BT$400,0),2),IF(AND(COPIA!$BU$1=2,INDEX(COPIA!$BZ$3:$CB$400,MATCH($C14,COPIA!$BZ$3:$BZ$400,0),2)&lt;&gt;0),INDEX(COPIA!$BZ$3:$CB$400,MATCH($C14,COPIA!$BZ$3:$BZ$400,0),2),""))</f>
        <v/>
      </c>
      <c r="E14" s="86" t="str">
        <f ca="1">IF(AND(OR(COPIA!$BU$1=1,COPIA!$BU$1=3),INDEX(COPIA!$BT$3:$BV$400,MATCH($C14,COPIA!$BT$3:$BT$400,0),3)&lt;&gt;0),INDEX(COPIA!$BT$3:$BV$400,MATCH($C14,COPIA!$BT$3:$BT$400,0),3),IF(AND(COPIA!$BU$1=2,INDEX(COPIA!$BZ$3:$CB$400,MATCH($C14,COPIA!$BZ$3:$BZ$400,0),3)&lt;&gt;0),INDEX(COPIA!$BZ$3:$CB$400,MATCH($C14,COPIA!$BZ$3:$BZ$400,0),3),""))</f>
        <v/>
      </c>
      <c r="F14" s="86" t="str">
        <f ca="1">IFERROR(IF(AND(COPIA!$BU$1=3,INDEX(COPIA!$BZ$3:$CB$400,MATCH($C14,COPIA!$BZ$3:$BZ$400,0),2)&lt;&gt;0),INDEX(COPIA!$BZ$3:$CB$400,MATCH($C14,COPIA!$BZ$3:$BZ$400,0),2),""),"")</f>
        <v/>
      </c>
      <c r="G14" s="86" t="str">
        <f ca="1">IFERROR(IF(AND(COPIA!$BU$1=3,INDEX(COPIA!$BZ$3:$CB$400,MATCH($C14,COPIA!$BZ$3:$BZ$400,0),3)&lt;&gt;0),INDEX(COPIA!$BZ$3:$CB$400,MATCH($C14,COPIA!$BZ$3:$BZ$400,0),3),""),"")</f>
        <v/>
      </c>
      <c r="H14" s="7" t="str">
        <f t="shared" ca="1" si="1"/>
        <v/>
      </c>
    </row>
    <row r="15" spans="1:10" ht="18" customHeight="1" x14ac:dyDescent="0.3">
      <c r="B15" s="16" t="str">
        <f t="shared" ca="1" si="0"/>
        <v/>
      </c>
      <c r="C15" s="83" t="str">
        <f ca="1">IF(OR(COPIA!$BU$1=1,COPIA!$BU$1=3),COPIA!CO8,IF(COPIA!$BU$1=2,COPIA!BZ8,IF(ROW()=COPIA!$BT$1,"TOTALE","")))</f>
        <v/>
      </c>
      <c r="D15" s="86" t="str">
        <f ca="1">IF(AND(OR(COPIA!$BU$1=1,COPIA!$BU$1=3),INDEX(COPIA!$BT$3:$BV$400,MATCH($C15,COPIA!$BT$3:$BT$400,0),2)&lt;&gt;0),INDEX(COPIA!$BT$3:$BV$400,MATCH($C15,COPIA!$BT$3:$BT$400,0),2),IF(AND(COPIA!$BU$1=2,INDEX(COPIA!$BZ$3:$CB$400,MATCH($C15,COPIA!$BZ$3:$BZ$400,0),2)&lt;&gt;0),INDEX(COPIA!$BZ$3:$CB$400,MATCH($C15,COPIA!$BZ$3:$BZ$400,0),2),""))</f>
        <v/>
      </c>
      <c r="E15" s="86" t="str">
        <f ca="1">IF(AND(OR(COPIA!$BU$1=1,COPIA!$BU$1=3),INDEX(COPIA!$BT$3:$BV$400,MATCH($C15,COPIA!$BT$3:$BT$400,0),3)&lt;&gt;0),INDEX(COPIA!$BT$3:$BV$400,MATCH($C15,COPIA!$BT$3:$BT$400,0),3),IF(AND(COPIA!$BU$1=2,INDEX(COPIA!$BZ$3:$CB$400,MATCH($C15,COPIA!$BZ$3:$BZ$400,0),3)&lt;&gt;0),INDEX(COPIA!$BZ$3:$CB$400,MATCH($C15,COPIA!$BZ$3:$BZ$400,0),3),""))</f>
        <v/>
      </c>
      <c r="F15" s="86" t="str">
        <f ca="1">IFERROR(IF(AND(COPIA!$BU$1=3,INDEX(COPIA!$BZ$3:$CB$400,MATCH($C15,COPIA!$BZ$3:$BZ$400,0),2)&lt;&gt;0),INDEX(COPIA!$BZ$3:$CB$400,MATCH($C15,COPIA!$BZ$3:$BZ$400,0),2),""),"")</f>
        <v/>
      </c>
      <c r="G15" s="86" t="str">
        <f ca="1">IFERROR(IF(AND(COPIA!$BU$1=3,INDEX(COPIA!$BZ$3:$CB$400,MATCH($C15,COPIA!$BZ$3:$BZ$400,0),3)&lt;&gt;0),INDEX(COPIA!$BZ$3:$CB$400,MATCH($C15,COPIA!$BZ$3:$BZ$400,0),3),""),"")</f>
        <v/>
      </c>
      <c r="H15" s="7" t="str">
        <f t="shared" ca="1" si="1"/>
        <v/>
      </c>
    </row>
    <row r="16" spans="1:10" ht="18" customHeight="1" x14ac:dyDescent="0.3">
      <c r="B16" s="16" t="str">
        <f t="shared" ca="1" si="0"/>
        <v/>
      </c>
      <c r="C16" s="83" t="str">
        <f ca="1">IF(OR(COPIA!$BU$1=1,COPIA!$BU$1=3),COPIA!CO9,IF(COPIA!$BU$1=2,COPIA!BZ9,IF(ROW()=COPIA!$BT$1,"TOTALE","")))</f>
        <v/>
      </c>
      <c r="D16" s="86" t="str">
        <f ca="1">IF(AND(OR(COPIA!$BU$1=1,COPIA!$BU$1=3),INDEX(COPIA!$BT$3:$BV$400,MATCH($C16,COPIA!$BT$3:$BT$400,0),2)&lt;&gt;0),INDEX(COPIA!$BT$3:$BV$400,MATCH($C16,COPIA!$BT$3:$BT$400,0),2),IF(AND(COPIA!$BU$1=2,INDEX(COPIA!$BZ$3:$CB$400,MATCH($C16,COPIA!$BZ$3:$BZ$400,0),2)&lt;&gt;0),INDEX(COPIA!$BZ$3:$CB$400,MATCH($C16,COPIA!$BZ$3:$BZ$400,0),2),""))</f>
        <v/>
      </c>
      <c r="E16" s="86" t="str">
        <f ca="1">IF(AND(OR(COPIA!$BU$1=1,COPIA!$BU$1=3),INDEX(COPIA!$BT$3:$BV$400,MATCH($C16,COPIA!$BT$3:$BT$400,0),3)&lt;&gt;0),INDEX(COPIA!$BT$3:$BV$400,MATCH($C16,COPIA!$BT$3:$BT$400,0),3),IF(AND(COPIA!$BU$1=2,INDEX(COPIA!$BZ$3:$CB$400,MATCH($C16,COPIA!$BZ$3:$BZ$400,0),3)&lt;&gt;0),INDEX(COPIA!$BZ$3:$CB$400,MATCH($C16,COPIA!$BZ$3:$BZ$400,0),3),""))</f>
        <v/>
      </c>
      <c r="F16" s="86" t="str">
        <f ca="1">IFERROR(IF(AND(COPIA!$BU$1=3,INDEX(COPIA!$BZ$3:$CB$400,MATCH($C16,COPIA!$BZ$3:$BZ$400,0),2)&lt;&gt;0),INDEX(COPIA!$BZ$3:$CB$400,MATCH($C16,COPIA!$BZ$3:$BZ$400,0),2),""),"")</f>
        <v/>
      </c>
      <c r="G16" s="86" t="str">
        <f ca="1">IFERROR(IF(AND(COPIA!$BU$1=3,INDEX(COPIA!$BZ$3:$CB$400,MATCH($C16,COPIA!$BZ$3:$BZ$400,0),3)&lt;&gt;0),INDEX(COPIA!$BZ$3:$CB$400,MATCH($C16,COPIA!$BZ$3:$BZ$400,0),3),""),"")</f>
        <v/>
      </c>
      <c r="H16" s="7" t="str">
        <f t="shared" ca="1" si="1"/>
        <v/>
      </c>
    </row>
    <row r="17" spans="2:8" ht="18" customHeight="1" x14ac:dyDescent="0.3">
      <c r="B17" s="16" t="str">
        <f t="shared" ca="1" si="0"/>
        <v/>
      </c>
      <c r="C17" s="83" t="str">
        <f ca="1">IF(OR(COPIA!$BU$1=1,COPIA!$BU$1=3),COPIA!CO10,IF(COPIA!$BU$1=2,COPIA!BZ10,IF(ROW()=COPIA!$BT$1,"TOTALE","")))</f>
        <v/>
      </c>
      <c r="D17" s="86" t="str">
        <f ca="1">IF(AND(OR(COPIA!$BU$1=1,COPIA!$BU$1=3),INDEX(COPIA!$BT$3:$BV$400,MATCH($C17,COPIA!$BT$3:$BT$400,0),2)&lt;&gt;0),INDEX(COPIA!$BT$3:$BV$400,MATCH($C17,COPIA!$BT$3:$BT$400,0),2),IF(AND(COPIA!$BU$1=2,INDEX(COPIA!$BZ$3:$CB$400,MATCH($C17,COPIA!$BZ$3:$BZ$400,0),2)&lt;&gt;0),INDEX(COPIA!$BZ$3:$CB$400,MATCH($C17,COPIA!$BZ$3:$BZ$400,0),2),""))</f>
        <v/>
      </c>
      <c r="E17" s="86" t="str">
        <f ca="1">IF(AND(OR(COPIA!$BU$1=1,COPIA!$BU$1=3),INDEX(COPIA!$BT$3:$BV$400,MATCH($C17,COPIA!$BT$3:$BT$400,0),3)&lt;&gt;0),INDEX(COPIA!$BT$3:$BV$400,MATCH($C17,COPIA!$BT$3:$BT$400,0),3),IF(AND(COPIA!$BU$1=2,INDEX(COPIA!$BZ$3:$CB$400,MATCH($C17,COPIA!$BZ$3:$BZ$400,0),3)&lt;&gt;0),INDEX(COPIA!$BZ$3:$CB$400,MATCH($C17,COPIA!$BZ$3:$BZ$400,0),3),""))</f>
        <v/>
      </c>
      <c r="F17" s="86" t="str">
        <f ca="1">IFERROR(IF(AND(COPIA!$BU$1=3,INDEX(COPIA!$BZ$3:$CB$400,MATCH($C17,COPIA!$BZ$3:$BZ$400,0),2)&lt;&gt;0),INDEX(COPIA!$BZ$3:$CB$400,MATCH($C17,COPIA!$BZ$3:$BZ$400,0),2),""),"")</f>
        <v/>
      </c>
      <c r="G17" s="86" t="str">
        <f ca="1">IFERROR(IF(AND(COPIA!$BU$1=3,INDEX(COPIA!$BZ$3:$CB$400,MATCH($C17,COPIA!$BZ$3:$BZ$400,0),3)&lt;&gt;0),INDEX(COPIA!$BZ$3:$CB$400,MATCH($C17,COPIA!$BZ$3:$BZ$400,0),3),""),"")</f>
        <v/>
      </c>
      <c r="H17" s="7" t="str">
        <f t="shared" ca="1" si="1"/>
        <v/>
      </c>
    </row>
    <row r="18" spans="2:8" ht="18" customHeight="1" x14ac:dyDescent="0.3">
      <c r="B18" s="16" t="str">
        <f t="shared" ca="1" si="0"/>
        <v/>
      </c>
      <c r="C18" s="83" t="str">
        <f ca="1">IF(OR(COPIA!$BU$1=1,COPIA!$BU$1=3),COPIA!CO11,IF(COPIA!$BU$1=2,COPIA!BZ11,IF(ROW()=COPIA!$BT$1,"TOTALE","")))</f>
        <v/>
      </c>
      <c r="D18" s="86" t="str">
        <f ca="1">IF(AND(OR(COPIA!$BU$1=1,COPIA!$BU$1=3),INDEX(COPIA!$BT$3:$BV$400,MATCH($C18,COPIA!$BT$3:$BT$400,0),2)&lt;&gt;0),INDEX(COPIA!$BT$3:$BV$400,MATCH($C18,COPIA!$BT$3:$BT$400,0),2),IF(AND(COPIA!$BU$1=2,INDEX(COPIA!$BZ$3:$CB$400,MATCH($C18,COPIA!$BZ$3:$BZ$400,0),2)&lt;&gt;0),INDEX(COPIA!$BZ$3:$CB$400,MATCH($C18,COPIA!$BZ$3:$BZ$400,0),2),""))</f>
        <v/>
      </c>
      <c r="E18" s="86" t="str">
        <f ca="1">IF(AND(OR(COPIA!$BU$1=1,COPIA!$BU$1=3),INDEX(COPIA!$BT$3:$BV$400,MATCH($C18,COPIA!$BT$3:$BT$400,0),3)&lt;&gt;0),INDEX(COPIA!$BT$3:$BV$400,MATCH($C18,COPIA!$BT$3:$BT$400,0),3),IF(AND(COPIA!$BU$1=2,INDEX(COPIA!$BZ$3:$CB$400,MATCH($C18,COPIA!$BZ$3:$BZ$400,0),3)&lt;&gt;0),INDEX(COPIA!$BZ$3:$CB$400,MATCH($C18,COPIA!$BZ$3:$BZ$400,0),3),""))</f>
        <v/>
      </c>
      <c r="F18" s="86" t="str">
        <f ca="1">IFERROR(IF(AND(COPIA!$BU$1=3,INDEX(COPIA!$BZ$3:$CB$400,MATCH($C18,COPIA!$BZ$3:$BZ$400,0),2)&lt;&gt;0),INDEX(COPIA!$BZ$3:$CB$400,MATCH($C18,COPIA!$BZ$3:$BZ$400,0),2),""),"")</f>
        <v/>
      </c>
      <c r="G18" s="86" t="str">
        <f ca="1">IFERROR(IF(AND(COPIA!$BU$1=3,INDEX(COPIA!$BZ$3:$CB$400,MATCH($C18,COPIA!$BZ$3:$BZ$400,0),3)&lt;&gt;0),INDEX(COPIA!$BZ$3:$CB$400,MATCH($C18,COPIA!$BZ$3:$BZ$400,0),3),""),"")</f>
        <v/>
      </c>
      <c r="H18" s="7" t="str">
        <f t="shared" ca="1" si="1"/>
        <v/>
      </c>
    </row>
    <row r="19" spans="2:8" ht="18" customHeight="1" x14ac:dyDescent="0.3">
      <c r="B19" s="16" t="str">
        <f t="shared" ca="1" si="0"/>
        <v/>
      </c>
      <c r="C19" s="83" t="str">
        <f ca="1">IF(OR(COPIA!$BU$1=1,COPIA!$BU$1=3),COPIA!CO12,IF(COPIA!$BU$1=2,COPIA!BZ12,IF(ROW()=COPIA!$BT$1,"TOTALE","")))</f>
        <v/>
      </c>
      <c r="D19" s="86" t="str">
        <f ca="1">IF(AND(OR(COPIA!$BU$1=1,COPIA!$BU$1=3),INDEX(COPIA!$BT$3:$BV$400,MATCH($C19,COPIA!$BT$3:$BT$400,0),2)&lt;&gt;0),INDEX(COPIA!$BT$3:$BV$400,MATCH($C19,COPIA!$BT$3:$BT$400,0),2),IF(AND(COPIA!$BU$1=2,INDEX(COPIA!$BZ$3:$CB$400,MATCH($C19,COPIA!$BZ$3:$BZ$400,0),2)&lt;&gt;0),INDEX(COPIA!$BZ$3:$CB$400,MATCH($C19,COPIA!$BZ$3:$BZ$400,0),2),""))</f>
        <v/>
      </c>
      <c r="E19" s="86" t="str">
        <f ca="1">IF(AND(OR(COPIA!$BU$1=1,COPIA!$BU$1=3),INDEX(COPIA!$BT$3:$BV$400,MATCH($C19,COPIA!$BT$3:$BT$400,0),3)&lt;&gt;0),INDEX(COPIA!$BT$3:$BV$400,MATCH($C19,COPIA!$BT$3:$BT$400,0),3),IF(AND(COPIA!$BU$1=2,INDEX(COPIA!$BZ$3:$CB$400,MATCH($C19,COPIA!$BZ$3:$BZ$400,0),3)&lt;&gt;0),INDEX(COPIA!$BZ$3:$CB$400,MATCH($C19,COPIA!$BZ$3:$BZ$400,0),3),""))</f>
        <v/>
      </c>
      <c r="F19" s="86" t="str">
        <f ca="1">IFERROR(IF(AND(COPIA!$BU$1=3,INDEX(COPIA!$BZ$3:$CB$400,MATCH($C19,COPIA!$BZ$3:$BZ$400,0),2)&lt;&gt;0),INDEX(COPIA!$BZ$3:$CB$400,MATCH($C19,COPIA!$BZ$3:$BZ$400,0),2),""),"")</f>
        <v/>
      </c>
      <c r="G19" s="86" t="str">
        <f ca="1">IFERROR(IF(AND(COPIA!$BU$1=3,INDEX(COPIA!$BZ$3:$CB$400,MATCH($C19,COPIA!$BZ$3:$BZ$400,0),3)&lt;&gt;0),INDEX(COPIA!$BZ$3:$CB$400,MATCH($C19,COPIA!$BZ$3:$BZ$400,0),3),""),"")</f>
        <v/>
      </c>
      <c r="H19" s="7" t="str">
        <f t="shared" ca="1" si="1"/>
        <v/>
      </c>
    </row>
    <row r="20" spans="2:8" ht="18" customHeight="1" x14ac:dyDescent="0.3">
      <c r="B20" s="16" t="str">
        <f t="shared" ca="1" si="0"/>
        <v/>
      </c>
      <c r="C20" s="83" t="str">
        <f ca="1">IF(OR(COPIA!$BU$1=1,COPIA!$BU$1=3),COPIA!CO13,IF(COPIA!$BU$1=2,COPIA!BZ13,IF(ROW()=COPIA!$BT$1,"TOTALE","")))</f>
        <v/>
      </c>
      <c r="D20" s="86" t="str">
        <f ca="1">IF(AND(OR(COPIA!$BU$1=1,COPIA!$BU$1=3),INDEX(COPIA!$BT$3:$BV$400,MATCH($C20,COPIA!$BT$3:$BT$400,0),2)&lt;&gt;0),INDEX(COPIA!$BT$3:$BV$400,MATCH($C20,COPIA!$BT$3:$BT$400,0),2),IF(AND(COPIA!$BU$1=2,INDEX(COPIA!$BZ$3:$CB$400,MATCH($C20,COPIA!$BZ$3:$BZ$400,0),2)&lt;&gt;0),INDEX(COPIA!$BZ$3:$CB$400,MATCH($C20,COPIA!$BZ$3:$BZ$400,0),2),""))</f>
        <v/>
      </c>
      <c r="E20" s="86" t="str">
        <f ca="1">IF(AND(OR(COPIA!$BU$1=1,COPIA!$BU$1=3),INDEX(COPIA!$BT$3:$BV$400,MATCH($C20,COPIA!$BT$3:$BT$400,0),3)&lt;&gt;0),INDEX(COPIA!$BT$3:$BV$400,MATCH($C20,COPIA!$BT$3:$BT$400,0),3),IF(AND(COPIA!$BU$1=2,INDEX(COPIA!$BZ$3:$CB$400,MATCH($C20,COPIA!$BZ$3:$BZ$400,0),3)&lt;&gt;0),INDEX(COPIA!$BZ$3:$CB$400,MATCH($C20,COPIA!$BZ$3:$BZ$400,0),3),""))</f>
        <v/>
      </c>
      <c r="F20" s="86" t="str">
        <f ca="1">IFERROR(IF(AND(COPIA!$BU$1=3,INDEX(COPIA!$BZ$3:$CB$400,MATCH($C20,COPIA!$BZ$3:$BZ$400,0),2)&lt;&gt;0),INDEX(COPIA!$BZ$3:$CB$400,MATCH($C20,COPIA!$BZ$3:$BZ$400,0),2),""),"")</f>
        <v/>
      </c>
      <c r="G20" s="86" t="str">
        <f ca="1">IFERROR(IF(AND(COPIA!$BU$1=3,INDEX(COPIA!$BZ$3:$CB$400,MATCH($C20,COPIA!$BZ$3:$BZ$400,0),3)&lt;&gt;0),INDEX(COPIA!$BZ$3:$CB$400,MATCH($C20,COPIA!$BZ$3:$BZ$400,0),3),""),"")</f>
        <v/>
      </c>
      <c r="H20" s="7" t="str">
        <f t="shared" ca="1" si="1"/>
        <v/>
      </c>
    </row>
    <row r="21" spans="2:8" ht="18" customHeight="1" x14ac:dyDescent="0.3">
      <c r="B21" s="16" t="str">
        <f t="shared" ca="1" si="0"/>
        <v/>
      </c>
      <c r="C21" s="83" t="str">
        <f ca="1">IF(OR(COPIA!$BU$1=1,COPIA!$BU$1=3),COPIA!CO14,IF(COPIA!$BU$1=2,COPIA!BZ14,IF(ROW()=COPIA!$BT$1,"TOTALE","")))</f>
        <v/>
      </c>
      <c r="D21" s="86" t="str">
        <f ca="1">IF(AND(OR(COPIA!$BU$1=1,COPIA!$BU$1=3),INDEX(COPIA!$BT$3:$BV$400,MATCH($C21,COPIA!$BT$3:$BT$400,0),2)&lt;&gt;0),INDEX(COPIA!$BT$3:$BV$400,MATCH($C21,COPIA!$BT$3:$BT$400,0),2),IF(AND(COPIA!$BU$1=2,INDEX(COPIA!$BZ$3:$CB$400,MATCH($C21,COPIA!$BZ$3:$BZ$400,0),2)&lt;&gt;0),INDEX(COPIA!$BZ$3:$CB$400,MATCH($C21,COPIA!$BZ$3:$BZ$400,0),2),""))</f>
        <v/>
      </c>
      <c r="E21" s="86" t="str">
        <f ca="1">IF(AND(OR(COPIA!$BU$1=1,COPIA!$BU$1=3),INDEX(COPIA!$BT$3:$BV$400,MATCH($C21,COPIA!$BT$3:$BT$400,0),3)&lt;&gt;0),INDEX(COPIA!$BT$3:$BV$400,MATCH($C21,COPIA!$BT$3:$BT$400,0),3),IF(AND(COPIA!$BU$1=2,INDEX(COPIA!$BZ$3:$CB$400,MATCH($C21,COPIA!$BZ$3:$BZ$400,0),3)&lt;&gt;0),INDEX(COPIA!$BZ$3:$CB$400,MATCH($C21,COPIA!$BZ$3:$BZ$400,0),3),""))</f>
        <v/>
      </c>
      <c r="F21" s="86" t="str">
        <f ca="1">IFERROR(IF(AND(COPIA!$BU$1=3,INDEX(COPIA!$BZ$3:$CB$400,MATCH($C21,COPIA!$BZ$3:$BZ$400,0),2)&lt;&gt;0),INDEX(COPIA!$BZ$3:$CB$400,MATCH($C21,COPIA!$BZ$3:$BZ$400,0),2),""),"")</f>
        <v/>
      </c>
      <c r="G21" s="86" t="str">
        <f ca="1">IFERROR(IF(AND(COPIA!$BU$1=3,INDEX(COPIA!$BZ$3:$CB$400,MATCH($C21,COPIA!$BZ$3:$BZ$400,0),3)&lt;&gt;0),INDEX(COPIA!$BZ$3:$CB$400,MATCH($C21,COPIA!$BZ$3:$BZ$400,0),3),""),"")</f>
        <v/>
      </c>
      <c r="H21" s="7" t="str">
        <f t="shared" ca="1" si="1"/>
        <v/>
      </c>
    </row>
    <row r="22" spans="2:8" ht="18" customHeight="1" x14ac:dyDescent="0.3">
      <c r="B22" s="16" t="str">
        <f t="shared" ca="1" si="0"/>
        <v/>
      </c>
      <c r="C22" s="83" t="str">
        <f ca="1">IF(OR(COPIA!$BU$1=1,COPIA!$BU$1=3),COPIA!CO15,IF(COPIA!$BU$1=2,COPIA!BZ15,IF(ROW()=COPIA!$BT$1,"TOTALE","")))</f>
        <v/>
      </c>
      <c r="D22" s="86" t="str">
        <f ca="1">IF(AND(OR(COPIA!$BU$1=1,COPIA!$BU$1=3),INDEX(COPIA!$BT$3:$BV$400,MATCH($C22,COPIA!$BT$3:$BT$400,0),2)&lt;&gt;0),INDEX(COPIA!$BT$3:$BV$400,MATCH($C22,COPIA!$BT$3:$BT$400,0),2),IF(AND(COPIA!$BU$1=2,INDEX(COPIA!$BZ$3:$CB$400,MATCH($C22,COPIA!$BZ$3:$BZ$400,0),2)&lt;&gt;0),INDEX(COPIA!$BZ$3:$CB$400,MATCH($C22,COPIA!$BZ$3:$BZ$400,0),2),""))</f>
        <v/>
      </c>
      <c r="E22" s="86" t="str">
        <f ca="1">IF(AND(OR(COPIA!$BU$1=1,COPIA!$BU$1=3),INDEX(COPIA!$BT$3:$BV$400,MATCH($C22,COPIA!$BT$3:$BT$400,0),3)&lt;&gt;0),INDEX(COPIA!$BT$3:$BV$400,MATCH($C22,COPIA!$BT$3:$BT$400,0),3),IF(AND(COPIA!$BU$1=2,INDEX(COPIA!$BZ$3:$CB$400,MATCH($C22,COPIA!$BZ$3:$BZ$400,0),3)&lt;&gt;0),INDEX(COPIA!$BZ$3:$CB$400,MATCH($C22,COPIA!$BZ$3:$BZ$400,0),3),""))</f>
        <v/>
      </c>
      <c r="F22" s="86" t="str">
        <f ca="1">IFERROR(IF(AND(COPIA!$BU$1=3,INDEX(COPIA!$BZ$3:$CB$400,MATCH($C22,COPIA!$BZ$3:$BZ$400,0),2)&lt;&gt;0),INDEX(COPIA!$BZ$3:$CB$400,MATCH($C22,COPIA!$BZ$3:$BZ$400,0),2),""),"")</f>
        <v/>
      </c>
      <c r="G22" s="86" t="str">
        <f ca="1">IFERROR(IF(AND(COPIA!$BU$1=3,INDEX(COPIA!$BZ$3:$CB$400,MATCH($C22,COPIA!$BZ$3:$BZ$400,0),3)&lt;&gt;0),INDEX(COPIA!$BZ$3:$CB$400,MATCH($C22,COPIA!$BZ$3:$BZ$400,0),3),""),"")</f>
        <v/>
      </c>
      <c r="H22" s="7" t="str">
        <f t="shared" ca="1" si="1"/>
        <v/>
      </c>
    </row>
    <row r="23" spans="2:8" ht="18" customHeight="1" x14ac:dyDescent="0.3">
      <c r="B23" s="16" t="str">
        <f t="shared" ca="1" si="0"/>
        <v/>
      </c>
      <c r="C23" s="83" t="str">
        <f ca="1">IF(OR(COPIA!$BU$1=1,COPIA!$BU$1=3),COPIA!CO16,IF(COPIA!$BU$1=2,COPIA!BZ16,IF(ROW()=COPIA!$BT$1,"TOTALE","")))</f>
        <v/>
      </c>
      <c r="D23" s="86" t="str">
        <f ca="1">IF(AND(OR(COPIA!$BU$1=1,COPIA!$BU$1=3),INDEX(COPIA!$BT$3:$BV$400,MATCH($C23,COPIA!$BT$3:$BT$400,0),2)&lt;&gt;0),INDEX(COPIA!$BT$3:$BV$400,MATCH($C23,COPIA!$BT$3:$BT$400,0),2),IF(AND(COPIA!$BU$1=2,INDEX(COPIA!$BZ$3:$CB$400,MATCH($C23,COPIA!$BZ$3:$BZ$400,0),2)&lt;&gt;0),INDEX(COPIA!$BZ$3:$CB$400,MATCH($C23,COPIA!$BZ$3:$BZ$400,0),2),""))</f>
        <v/>
      </c>
      <c r="E23" s="86" t="str">
        <f ca="1">IF(AND(OR(COPIA!$BU$1=1,COPIA!$BU$1=3),INDEX(COPIA!$BT$3:$BV$400,MATCH($C23,COPIA!$BT$3:$BT$400,0),3)&lt;&gt;0),INDEX(COPIA!$BT$3:$BV$400,MATCH($C23,COPIA!$BT$3:$BT$400,0),3),IF(AND(COPIA!$BU$1=2,INDEX(COPIA!$BZ$3:$CB$400,MATCH($C23,COPIA!$BZ$3:$BZ$400,0),3)&lt;&gt;0),INDEX(COPIA!$BZ$3:$CB$400,MATCH($C23,COPIA!$BZ$3:$BZ$400,0),3),""))</f>
        <v/>
      </c>
      <c r="F23" s="86" t="str">
        <f ca="1">IFERROR(IF(AND(COPIA!$BU$1=3,INDEX(COPIA!$BZ$3:$CB$400,MATCH($C23,COPIA!$BZ$3:$BZ$400,0),2)&lt;&gt;0),INDEX(COPIA!$BZ$3:$CB$400,MATCH($C23,COPIA!$BZ$3:$BZ$400,0),2),""),"")</f>
        <v/>
      </c>
      <c r="G23" s="86" t="str">
        <f ca="1">IFERROR(IF(AND(COPIA!$BU$1=3,INDEX(COPIA!$BZ$3:$CB$400,MATCH($C23,COPIA!$BZ$3:$BZ$400,0),3)&lt;&gt;0),INDEX(COPIA!$BZ$3:$CB$400,MATCH($C23,COPIA!$BZ$3:$BZ$400,0),3),""),"")</f>
        <v/>
      </c>
      <c r="H23" s="7" t="str">
        <f t="shared" ca="1" si="1"/>
        <v/>
      </c>
    </row>
    <row r="24" spans="2:8" ht="18" customHeight="1" x14ac:dyDescent="0.3">
      <c r="B24" s="16" t="str">
        <f t="shared" ca="1" si="0"/>
        <v/>
      </c>
      <c r="C24" s="83" t="str">
        <f ca="1">IF(OR(COPIA!$BU$1=1,COPIA!$BU$1=3),COPIA!CO17,IF(COPIA!$BU$1=2,COPIA!BZ17,IF(ROW()=COPIA!$BT$1,"TOTALE","")))</f>
        <v/>
      </c>
      <c r="D24" s="86" t="str">
        <f ca="1">IF(AND(OR(COPIA!$BU$1=1,COPIA!$BU$1=3),INDEX(COPIA!$BT$3:$BV$400,MATCH($C24,COPIA!$BT$3:$BT$400,0),2)&lt;&gt;0),INDEX(COPIA!$BT$3:$BV$400,MATCH($C24,COPIA!$BT$3:$BT$400,0),2),IF(AND(COPIA!$BU$1=2,INDEX(COPIA!$BZ$3:$CB$400,MATCH($C24,COPIA!$BZ$3:$BZ$400,0),2)&lt;&gt;0),INDEX(COPIA!$BZ$3:$CB$400,MATCH($C24,COPIA!$BZ$3:$BZ$400,0),2),""))</f>
        <v/>
      </c>
      <c r="E24" s="86" t="str">
        <f ca="1">IF(AND(OR(COPIA!$BU$1=1,COPIA!$BU$1=3),INDEX(COPIA!$BT$3:$BV$400,MATCH($C24,COPIA!$BT$3:$BT$400,0),3)&lt;&gt;0),INDEX(COPIA!$BT$3:$BV$400,MATCH($C24,COPIA!$BT$3:$BT$400,0),3),IF(AND(COPIA!$BU$1=2,INDEX(COPIA!$BZ$3:$CB$400,MATCH($C24,COPIA!$BZ$3:$BZ$400,0),3)&lt;&gt;0),INDEX(COPIA!$BZ$3:$CB$400,MATCH($C24,COPIA!$BZ$3:$BZ$400,0),3),""))</f>
        <v/>
      </c>
      <c r="F24" s="86" t="str">
        <f ca="1">IFERROR(IF(AND(COPIA!$BU$1=3,INDEX(COPIA!$BZ$3:$CB$400,MATCH($C24,COPIA!$BZ$3:$BZ$400,0),2)&lt;&gt;0),INDEX(COPIA!$BZ$3:$CB$400,MATCH($C24,COPIA!$BZ$3:$BZ$400,0),2),""),"")</f>
        <v/>
      </c>
      <c r="G24" s="86" t="str">
        <f ca="1">IFERROR(IF(AND(COPIA!$BU$1=3,INDEX(COPIA!$BZ$3:$CB$400,MATCH($C24,COPIA!$BZ$3:$BZ$400,0),3)&lt;&gt;0),INDEX(COPIA!$BZ$3:$CB$400,MATCH($C24,COPIA!$BZ$3:$BZ$400,0),3),""),"")</f>
        <v/>
      </c>
      <c r="H24" s="7" t="str">
        <f t="shared" ca="1" si="1"/>
        <v/>
      </c>
    </row>
    <row r="25" spans="2:8" ht="18" customHeight="1" x14ac:dyDescent="0.3">
      <c r="B25" s="16" t="str">
        <f t="shared" ca="1" si="0"/>
        <v/>
      </c>
      <c r="C25" s="83" t="str">
        <f ca="1">IF(OR(COPIA!$BU$1=1,COPIA!$BU$1=3),COPIA!CO18,IF(COPIA!$BU$1=2,COPIA!BZ18,IF(ROW()=COPIA!$BT$1,"TOTALE","")))</f>
        <v/>
      </c>
      <c r="D25" s="86" t="str">
        <f ca="1">IF(AND(OR(COPIA!$BU$1=1,COPIA!$BU$1=3),INDEX(COPIA!$BT$3:$BV$400,MATCH($C25,COPIA!$BT$3:$BT$400,0),2)&lt;&gt;0),INDEX(COPIA!$BT$3:$BV$400,MATCH($C25,COPIA!$BT$3:$BT$400,0),2),IF(AND(COPIA!$BU$1=2,INDEX(COPIA!$BZ$3:$CB$400,MATCH($C25,COPIA!$BZ$3:$BZ$400,0),2)&lt;&gt;0),INDEX(COPIA!$BZ$3:$CB$400,MATCH($C25,COPIA!$BZ$3:$BZ$400,0),2),""))</f>
        <v/>
      </c>
      <c r="E25" s="86" t="str">
        <f ca="1">IF(AND(OR(COPIA!$BU$1=1,COPIA!$BU$1=3),INDEX(COPIA!$BT$3:$BV$400,MATCH($C25,COPIA!$BT$3:$BT$400,0),3)&lt;&gt;0),INDEX(COPIA!$BT$3:$BV$400,MATCH($C25,COPIA!$BT$3:$BT$400,0),3),IF(AND(COPIA!$BU$1=2,INDEX(COPIA!$BZ$3:$CB$400,MATCH($C25,COPIA!$BZ$3:$BZ$400,0),3)&lt;&gt;0),INDEX(COPIA!$BZ$3:$CB$400,MATCH($C25,COPIA!$BZ$3:$BZ$400,0),3),""))</f>
        <v/>
      </c>
      <c r="F25" s="86" t="str">
        <f ca="1">IFERROR(IF(AND(COPIA!$BU$1=3,INDEX(COPIA!$BZ$3:$CB$400,MATCH($C25,COPIA!$BZ$3:$BZ$400,0),2)&lt;&gt;0),INDEX(COPIA!$BZ$3:$CB$400,MATCH($C25,COPIA!$BZ$3:$BZ$400,0),2),""),"")</f>
        <v/>
      </c>
      <c r="G25" s="86" t="str">
        <f ca="1">IFERROR(IF(AND(COPIA!$BU$1=3,INDEX(COPIA!$BZ$3:$CB$400,MATCH($C25,COPIA!$BZ$3:$BZ$400,0),3)&lt;&gt;0),INDEX(COPIA!$BZ$3:$CB$400,MATCH($C25,COPIA!$BZ$3:$BZ$400,0),3),""),"")</f>
        <v/>
      </c>
      <c r="H25" s="7" t="str">
        <f t="shared" ca="1" si="1"/>
        <v/>
      </c>
    </row>
    <row r="26" spans="2:8" ht="18" customHeight="1" x14ac:dyDescent="0.3">
      <c r="B26" s="16" t="str">
        <f t="shared" ca="1" si="0"/>
        <v/>
      </c>
      <c r="C26" s="83" t="str">
        <f ca="1">IF(OR(COPIA!$BU$1=1,COPIA!$BU$1=3),COPIA!CO19,IF(COPIA!$BU$1=2,COPIA!BZ19,IF(ROW()=COPIA!$BT$1,"TOTALE","")))</f>
        <v/>
      </c>
      <c r="D26" s="86" t="str">
        <f ca="1">IF(AND(OR(COPIA!$BU$1=1,COPIA!$BU$1=3),INDEX(COPIA!$BT$3:$BV$400,MATCH($C26,COPIA!$BT$3:$BT$400,0),2)&lt;&gt;0),INDEX(COPIA!$BT$3:$BV$400,MATCH($C26,COPIA!$BT$3:$BT$400,0),2),IF(AND(COPIA!$BU$1=2,INDEX(COPIA!$BZ$3:$CB$400,MATCH($C26,COPIA!$BZ$3:$BZ$400,0),2)&lt;&gt;0),INDEX(COPIA!$BZ$3:$CB$400,MATCH($C26,COPIA!$BZ$3:$BZ$400,0),2),""))</f>
        <v/>
      </c>
      <c r="E26" s="86" t="str">
        <f ca="1">IF(AND(OR(COPIA!$BU$1=1,COPIA!$BU$1=3),INDEX(COPIA!$BT$3:$BV$400,MATCH($C26,COPIA!$BT$3:$BT$400,0),3)&lt;&gt;0),INDEX(COPIA!$BT$3:$BV$400,MATCH($C26,COPIA!$BT$3:$BT$400,0),3),IF(AND(COPIA!$BU$1=2,INDEX(COPIA!$BZ$3:$CB$400,MATCH($C26,COPIA!$BZ$3:$BZ$400,0),3)&lt;&gt;0),INDEX(COPIA!$BZ$3:$CB$400,MATCH($C26,COPIA!$BZ$3:$BZ$400,0),3),""))</f>
        <v/>
      </c>
      <c r="F26" s="86" t="str">
        <f ca="1">IFERROR(IF(AND(COPIA!$BU$1=3,INDEX(COPIA!$BZ$3:$CB$400,MATCH($C26,COPIA!$BZ$3:$BZ$400,0),2)&lt;&gt;0),INDEX(COPIA!$BZ$3:$CB$400,MATCH($C26,COPIA!$BZ$3:$BZ$400,0),2),""),"")</f>
        <v/>
      </c>
      <c r="G26" s="86" t="str">
        <f ca="1">IFERROR(IF(AND(COPIA!$BU$1=3,INDEX(COPIA!$BZ$3:$CB$400,MATCH($C26,COPIA!$BZ$3:$BZ$400,0),3)&lt;&gt;0),INDEX(COPIA!$BZ$3:$CB$400,MATCH($C26,COPIA!$BZ$3:$BZ$400,0),3),""),"")</f>
        <v/>
      </c>
      <c r="H26" s="7" t="str">
        <f t="shared" ca="1" si="1"/>
        <v/>
      </c>
    </row>
    <row r="27" spans="2:8" ht="18" customHeight="1" x14ac:dyDescent="0.3">
      <c r="B27" s="16" t="str">
        <f t="shared" ca="1" si="0"/>
        <v/>
      </c>
      <c r="C27" s="83" t="str">
        <f ca="1">IF(OR(COPIA!$BU$1=1,COPIA!$BU$1=3),COPIA!CO20,IF(COPIA!$BU$1=2,COPIA!BZ20,IF(ROW()=COPIA!$BT$1,"TOTALE","")))</f>
        <v/>
      </c>
      <c r="D27" s="86" t="str">
        <f ca="1">IF(AND(OR(COPIA!$BU$1=1,COPIA!$BU$1=3),INDEX(COPIA!$BT$3:$BV$400,MATCH($C27,COPIA!$BT$3:$BT$400,0),2)&lt;&gt;0),INDEX(COPIA!$BT$3:$BV$400,MATCH($C27,COPIA!$BT$3:$BT$400,0),2),IF(AND(COPIA!$BU$1=2,INDEX(COPIA!$BZ$3:$CB$400,MATCH($C27,COPIA!$BZ$3:$BZ$400,0),2)&lt;&gt;0),INDEX(COPIA!$BZ$3:$CB$400,MATCH($C27,COPIA!$BZ$3:$BZ$400,0),2),""))</f>
        <v/>
      </c>
      <c r="E27" s="86" t="str">
        <f ca="1">IF(AND(OR(COPIA!$BU$1=1,COPIA!$BU$1=3),INDEX(COPIA!$BT$3:$BV$400,MATCH($C27,COPIA!$BT$3:$BT$400,0),3)&lt;&gt;0),INDEX(COPIA!$BT$3:$BV$400,MATCH($C27,COPIA!$BT$3:$BT$400,0),3),IF(AND(COPIA!$BU$1=2,INDEX(COPIA!$BZ$3:$CB$400,MATCH($C27,COPIA!$BZ$3:$BZ$400,0),3)&lt;&gt;0),INDEX(COPIA!$BZ$3:$CB$400,MATCH($C27,COPIA!$BZ$3:$BZ$400,0),3),""))</f>
        <v/>
      </c>
      <c r="F27" s="86" t="str">
        <f ca="1">IFERROR(IF(AND(COPIA!$BU$1=3,INDEX(COPIA!$BZ$3:$CB$400,MATCH($C27,COPIA!$BZ$3:$BZ$400,0),2)&lt;&gt;0),INDEX(COPIA!$BZ$3:$CB$400,MATCH($C27,COPIA!$BZ$3:$BZ$400,0),2),""),"")</f>
        <v/>
      </c>
      <c r="G27" s="86" t="str">
        <f ca="1">IFERROR(IF(AND(COPIA!$BU$1=3,INDEX(COPIA!$BZ$3:$CB$400,MATCH($C27,COPIA!$BZ$3:$BZ$400,0),3)&lt;&gt;0),INDEX(COPIA!$BZ$3:$CB$400,MATCH($C27,COPIA!$BZ$3:$BZ$400,0),3),""),"")</f>
        <v/>
      </c>
      <c r="H27" s="7" t="str">
        <f t="shared" ca="1" si="1"/>
        <v/>
      </c>
    </row>
    <row r="28" spans="2:8" ht="18" customHeight="1" x14ac:dyDescent="0.3">
      <c r="B28" s="16" t="str">
        <f t="shared" ca="1" si="0"/>
        <v/>
      </c>
      <c r="C28" s="83" t="str">
        <f ca="1">IF(OR(COPIA!$BU$1=1,COPIA!$BU$1=3),COPIA!CO21,IF(COPIA!$BU$1=2,COPIA!BZ21,IF(ROW()=COPIA!$BT$1,"TOTALE","")))</f>
        <v/>
      </c>
      <c r="D28" s="86" t="str">
        <f ca="1">IF(AND(OR(COPIA!$BU$1=1,COPIA!$BU$1=3),INDEX(COPIA!$BT$3:$BV$400,MATCH($C28,COPIA!$BT$3:$BT$400,0),2)&lt;&gt;0),INDEX(COPIA!$BT$3:$BV$400,MATCH($C28,COPIA!$BT$3:$BT$400,0),2),IF(AND(COPIA!$BU$1=2,INDEX(COPIA!$BZ$3:$CB$400,MATCH($C28,COPIA!$BZ$3:$BZ$400,0),2)&lt;&gt;0),INDEX(COPIA!$BZ$3:$CB$400,MATCH($C28,COPIA!$BZ$3:$BZ$400,0),2),""))</f>
        <v/>
      </c>
      <c r="E28" s="86" t="str">
        <f ca="1">IF(AND(OR(COPIA!$BU$1=1,COPIA!$BU$1=3),INDEX(COPIA!$BT$3:$BV$400,MATCH($C28,COPIA!$BT$3:$BT$400,0),3)&lt;&gt;0),INDEX(COPIA!$BT$3:$BV$400,MATCH($C28,COPIA!$BT$3:$BT$400,0),3),IF(AND(COPIA!$BU$1=2,INDEX(COPIA!$BZ$3:$CB$400,MATCH($C28,COPIA!$BZ$3:$BZ$400,0),3)&lt;&gt;0),INDEX(COPIA!$BZ$3:$CB$400,MATCH($C28,COPIA!$BZ$3:$BZ$400,0),3),""))</f>
        <v/>
      </c>
      <c r="F28" s="86" t="str">
        <f ca="1">IFERROR(IF(AND(COPIA!$BU$1=3,INDEX(COPIA!$BZ$3:$CB$400,MATCH($C28,COPIA!$BZ$3:$BZ$400,0),2)&lt;&gt;0),INDEX(COPIA!$BZ$3:$CB$400,MATCH($C28,COPIA!$BZ$3:$BZ$400,0),2),""),"")</f>
        <v/>
      </c>
      <c r="G28" s="86" t="str">
        <f ca="1">IFERROR(IF(AND(COPIA!$BU$1=3,INDEX(COPIA!$BZ$3:$CB$400,MATCH($C28,COPIA!$BZ$3:$BZ$400,0),3)&lt;&gt;0),INDEX(COPIA!$BZ$3:$CB$400,MATCH($C28,COPIA!$BZ$3:$BZ$400,0),3),""),"")</f>
        <v/>
      </c>
      <c r="H28" s="7" t="str">
        <f t="shared" ca="1" si="1"/>
        <v/>
      </c>
    </row>
    <row r="29" spans="2:8" ht="18" customHeight="1" x14ac:dyDescent="0.3">
      <c r="B29" s="16" t="str">
        <f t="shared" ca="1" si="0"/>
        <v/>
      </c>
      <c r="C29" s="83" t="str">
        <f ca="1">IF(OR(COPIA!$BU$1=1,COPIA!$BU$1=3),COPIA!CO22,IF(COPIA!$BU$1=2,COPIA!BZ22,IF(ROW()=COPIA!$BT$1,"TOTALE","")))</f>
        <v/>
      </c>
      <c r="D29" s="86" t="str">
        <f ca="1">IF(AND(OR(COPIA!$BU$1=1,COPIA!$BU$1=3),INDEX(COPIA!$BT$3:$BV$400,MATCH($C29,COPIA!$BT$3:$BT$400,0),2)&lt;&gt;0),INDEX(COPIA!$BT$3:$BV$400,MATCH($C29,COPIA!$BT$3:$BT$400,0),2),IF(AND(COPIA!$BU$1=2,INDEX(COPIA!$BZ$3:$CB$400,MATCH($C29,COPIA!$BZ$3:$BZ$400,0),2)&lt;&gt;0),INDEX(COPIA!$BZ$3:$CB$400,MATCH($C29,COPIA!$BZ$3:$BZ$400,0),2),""))</f>
        <v/>
      </c>
      <c r="E29" s="86" t="str">
        <f ca="1">IF(AND(OR(COPIA!$BU$1=1,COPIA!$BU$1=3),INDEX(COPIA!$BT$3:$BV$400,MATCH($C29,COPIA!$BT$3:$BT$400,0),3)&lt;&gt;0),INDEX(COPIA!$BT$3:$BV$400,MATCH($C29,COPIA!$BT$3:$BT$400,0),3),IF(AND(COPIA!$BU$1=2,INDEX(COPIA!$BZ$3:$CB$400,MATCH($C29,COPIA!$BZ$3:$BZ$400,0),3)&lt;&gt;0),INDEX(COPIA!$BZ$3:$CB$400,MATCH($C29,COPIA!$BZ$3:$BZ$400,0),3),""))</f>
        <v/>
      </c>
      <c r="F29" s="86" t="str">
        <f ca="1">IFERROR(IF(AND(COPIA!$BU$1=3,INDEX(COPIA!$BZ$3:$CB$400,MATCH($C29,COPIA!$BZ$3:$BZ$400,0),2)&lt;&gt;0),INDEX(COPIA!$BZ$3:$CB$400,MATCH($C29,COPIA!$BZ$3:$BZ$400,0),2),""),"")</f>
        <v/>
      </c>
      <c r="G29" s="86" t="str">
        <f ca="1">IFERROR(IF(AND(COPIA!$BU$1=3,INDEX(COPIA!$BZ$3:$CB$400,MATCH($C29,COPIA!$BZ$3:$BZ$400,0),3)&lt;&gt;0),INDEX(COPIA!$BZ$3:$CB$400,MATCH($C29,COPIA!$BZ$3:$BZ$400,0),3),""),"")</f>
        <v/>
      </c>
      <c r="H29" s="7" t="str">
        <f t="shared" ca="1" si="1"/>
        <v/>
      </c>
    </row>
    <row r="30" spans="2:8" ht="18" customHeight="1" x14ac:dyDescent="0.3">
      <c r="B30" s="16" t="str">
        <f t="shared" ca="1" si="0"/>
        <v/>
      </c>
      <c r="C30" s="83" t="str">
        <f ca="1">IF(OR(COPIA!$BU$1=1,COPIA!$BU$1=3),COPIA!CO23,IF(COPIA!$BU$1=2,COPIA!BZ23,IF(ROW()=COPIA!$BT$1,"TOTALE","")))</f>
        <v/>
      </c>
      <c r="D30" s="86" t="str">
        <f ca="1">IF(AND(OR(COPIA!$BU$1=1,COPIA!$BU$1=3),INDEX(COPIA!$BT$3:$BV$400,MATCH($C30,COPIA!$BT$3:$BT$400,0),2)&lt;&gt;0),INDEX(COPIA!$BT$3:$BV$400,MATCH($C30,COPIA!$BT$3:$BT$400,0),2),IF(AND(COPIA!$BU$1=2,INDEX(COPIA!$BZ$3:$CB$400,MATCH($C30,COPIA!$BZ$3:$BZ$400,0),2)&lt;&gt;0),INDEX(COPIA!$BZ$3:$CB$400,MATCH($C30,COPIA!$BZ$3:$BZ$400,0),2),""))</f>
        <v/>
      </c>
      <c r="E30" s="86" t="str">
        <f ca="1">IF(AND(OR(COPIA!$BU$1=1,COPIA!$BU$1=3),INDEX(COPIA!$BT$3:$BV$400,MATCH($C30,COPIA!$BT$3:$BT$400,0),3)&lt;&gt;0),INDEX(COPIA!$BT$3:$BV$400,MATCH($C30,COPIA!$BT$3:$BT$400,0),3),IF(AND(COPIA!$BU$1=2,INDEX(COPIA!$BZ$3:$CB$400,MATCH($C30,COPIA!$BZ$3:$BZ$400,0),3)&lt;&gt;0),INDEX(COPIA!$BZ$3:$CB$400,MATCH($C30,COPIA!$BZ$3:$BZ$400,0),3),""))</f>
        <v/>
      </c>
      <c r="F30" s="86" t="str">
        <f ca="1">IFERROR(IF(AND(COPIA!$BU$1=3,INDEX(COPIA!$BZ$3:$CB$400,MATCH($C30,COPIA!$BZ$3:$BZ$400,0),2)&lt;&gt;0),INDEX(COPIA!$BZ$3:$CB$400,MATCH($C30,COPIA!$BZ$3:$BZ$400,0),2),""),"")</f>
        <v/>
      </c>
      <c r="G30" s="86" t="str">
        <f ca="1">IFERROR(IF(AND(COPIA!$BU$1=3,INDEX(COPIA!$BZ$3:$CB$400,MATCH($C30,COPIA!$BZ$3:$BZ$400,0),3)&lt;&gt;0),INDEX(COPIA!$BZ$3:$CB$400,MATCH($C30,COPIA!$BZ$3:$BZ$400,0),3),""),"")</f>
        <v/>
      </c>
      <c r="H30" s="7" t="str">
        <f t="shared" ca="1" si="1"/>
        <v/>
      </c>
    </row>
    <row r="31" spans="2:8" ht="18" customHeight="1" x14ac:dyDescent="0.3">
      <c r="B31" s="16" t="str">
        <f t="shared" ca="1" si="0"/>
        <v/>
      </c>
      <c r="C31" s="83" t="str">
        <f ca="1">IF(OR(COPIA!$BU$1=1,COPIA!$BU$1=3),COPIA!CO24,IF(COPIA!$BU$1=2,COPIA!BZ24,IF(ROW()=COPIA!$BT$1,"TOTALE","")))</f>
        <v/>
      </c>
      <c r="D31" s="86" t="str">
        <f ca="1">IF(AND(OR(COPIA!$BU$1=1,COPIA!$BU$1=3),INDEX(COPIA!$BT$3:$BV$400,MATCH($C31,COPIA!$BT$3:$BT$400,0),2)&lt;&gt;0),INDEX(COPIA!$BT$3:$BV$400,MATCH($C31,COPIA!$BT$3:$BT$400,0),2),IF(AND(COPIA!$BU$1=2,INDEX(COPIA!$BZ$3:$CB$400,MATCH($C31,COPIA!$BZ$3:$BZ$400,0),2)&lt;&gt;0),INDEX(COPIA!$BZ$3:$CB$400,MATCH($C31,COPIA!$BZ$3:$BZ$400,0),2),""))</f>
        <v/>
      </c>
      <c r="E31" s="86" t="str">
        <f ca="1">IF(AND(OR(COPIA!$BU$1=1,COPIA!$BU$1=3),INDEX(COPIA!$BT$3:$BV$400,MATCH($C31,COPIA!$BT$3:$BT$400,0),3)&lt;&gt;0),INDEX(COPIA!$BT$3:$BV$400,MATCH($C31,COPIA!$BT$3:$BT$400,0),3),IF(AND(COPIA!$BU$1=2,INDEX(COPIA!$BZ$3:$CB$400,MATCH($C31,COPIA!$BZ$3:$BZ$400,0),3)&lt;&gt;0),INDEX(COPIA!$BZ$3:$CB$400,MATCH($C31,COPIA!$BZ$3:$BZ$400,0),3),""))</f>
        <v/>
      </c>
      <c r="F31" s="86" t="str">
        <f ca="1">IFERROR(IF(AND(COPIA!$BU$1=3,INDEX(COPIA!$BZ$3:$CB$400,MATCH($C31,COPIA!$BZ$3:$BZ$400,0),2)&lt;&gt;0),INDEX(COPIA!$BZ$3:$CB$400,MATCH($C31,COPIA!$BZ$3:$BZ$400,0),2),""),"")</f>
        <v/>
      </c>
      <c r="G31" s="86" t="str">
        <f ca="1">IFERROR(IF(AND(COPIA!$BU$1=3,INDEX(COPIA!$BZ$3:$CB$400,MATCH($C31,COPIA!$BZ$3:$BZ$400,0),3)&lt;&gt;0),INDEX(COPIA!$BZ$3:$CB$400,MATCH($C31,COPIA!$BZ$3:$BZ$400,0),3),""),"")</f>
        <v/>
      </c>
      <c r="H31" s="7" t="str">
        <f t="shared" ca="1" si="1"/>
        <v/>
      </c>
    </row>
    <row r="32" spans="2:8" ht="18" customHeight="1" x14ac:dyDescent="0.3">
      <c r="B32" s="16" t="str">
        <f t="shared" ca="1" si="0"/>
        <v/>
      </c>
      <c r="C32" s="83" t="str">
        <f ca="1">IF(OR(COPIA!$BU$1=1,COPIA!$BU$1=3),COPIA!CO25,IF(COPIA!$BU$1=2,COPIA!BZ25,IF(ROW()=COPIA!$BT$1,"TOTALE","")))</f>
        <v/>
      </c>
      <c r="D32" s="86" t="str">
        <f ca="1">IF(AND(OR(COPIA!$BU$1=1,COPIA!$BU$1=3),INDEX(COPIA!$BT$3:$BV$400,MATCH($C32,COPIA!$BT$3:$BT$400,0),2)&lt;&gt;0),INDEX(COPIA!$BT$3:$BV$400,MATCH($C32,COPIA!$BT$3:$BT$400,0),2),IF(AND(COPIA!$BU$1=2,INDEX(COPIA!$BZ$3:$CB$400,MATCH($C32,COPIA!$BZ$3:$BZ$400,0),2)&lt;&gt;0),INDEX(COPIA!$BZ$3:$CB$400,MATCH($C32,COPIA!$BZ$3:$BZ$400,0),2),""))</f>
        <v/>
      </c>
      <c r="E32" s="86" t="str">
        <f ca="1">IF(AND(OR(COPIA!$BU$1=1,COPIA!$BU$1=3),INDEX(COPIA!$BT$3:$BV$400,MATCH($C32,COPIA!$BT$3:$BT$400,0),3)&lt;&gt;0),INDEX(COPIA!$BT$3:$BV$400,MATCH($C32,COPIA!$BT$3:$BT$400,0),3),IF(AND(COPIA!$BU$1=2,INDEX(COPIA!$BZ$3:$CB$400,MATCH($C32,COPIA!$BZ$3:$BZ$400,0),3)&lt;&gt;0),INDEX(COPIA!$BZ$3:$CB$400,MATCH($C32,COPIA!$BZ$3:$BZ$400,0),3),""))</f>
        <v/>
      </c>
      <c r="F32" s="86" t="str">
        <f ca="1">IFERROR(IF(AND(COPIA!$BU$1=3,INDEX(COPIA!$BZ$3:$CB$400,MATCH($C32,COPIA!$BZ$3:$BZ$400,0),2)&lt;&gt;0),INDEX(COPIA!$BZ$3:$CB$400,MATCH($C32,COPIA!$BZ$3:$BZ$400,0),2),""),"")</f>
        <v/>
      </c>
      <c r="G32" s="86" t="str">
        <f ca="1">IFERROR(IF(AND(COPIA!$BU$1=3,INDEX(COPIA!$BZ$3:$CB$400,MATCH($C32,COPIA!$BZ$3:$BZ$400,0),3)&lt;&gt;0),INDEX(COPIA!$BZ$3:$CB$400,MATCH($C32,COPIA!$BZ$3:$BZ$400,0),3),""),"")</f>
        <v/>
      </c>
      <c r="H32" s="7" t="str">
        <f t="shared" ca="1" si="1"/>
        <v/>
      </c>
    </row>
    <row r="33" spans="2:8" ht="18" customHeight="1" x14ac:dyDescent="0.3">
      <c r="B33" s="16" t="str">
        <f t="shared" ca="1" si="0"/>
        <v/>
      </c>
      <c r="C33" s="83" t="str">
        <f ca="1">IF(OR(COPIA!$BU$1=1,COPIA!$BU$1=3),COPIA!CO26,IF(COPIA!$BU$1=2,COPIA!BZ26,IF(ROW()=COPIA!$BT$1,"TOTALE","")))</f>
        <v/>
      </c>
      <c r="D33" s="86" t="str">
        <f ca="1">IF(AND(OR(COPIA!$BU$1=1,COPIA!$BU$1=3),INDEX(COPIA!$BT$3:$BV$400,MATCH($C33,COPIA!$BT$3:$BT$400,0),2)&lt;&gt;0),INDEX(COPIA!$BT$3:$BV$400,MATCH($C33,COPIA!$BT$3:$BT$400,0),2),IF(AND(COPIA!$BU$1=2,INDEX(COPIA!$BZ$3:$CB$400,MATCH($C33,COPIA!$BZ$3:$BZ$400,0),2)&lt;&gt;0),INDEX(COPIA!$BZ$3:$CB$400,MATCH($C33,COPIA!$BZ$3:$BZ$400,0),2),""))</f>
        <v/>
      </c>
      <c r="E33" s="86" t="str">
        <f ca="1">IF(AND(OR(COPIA!$BU$1=1,COPIA!$BU$1=3),INDEX(COPIA!$BT$3:$BV$400,MATCH($C33,COPIA!$BT$3:$BT$400,0),3)&lt;&gt;0),INDEX(COPIA!$BT$3:$BV$400,MATCH($C33,COPIA!$BT$3:$BT$400,0),3),IF(AND(COPIA!$BU$1=2,INDEX(COPIA!$BZ$3:$CB$400,MATCH($C33,COPIA!$BZ$3:$BZ$400,0),3)&lt;&gt;0),INDEX(COPIA!$BZ$3:$CB$400,MATCH($C33,COPIA!$BZ$3:$BZ$400,0),3),""))</f>
        <v/>
      </c>
      <c r="F33" s="86" t="str">
        <f ca="1">IFERROR(IF(AND(COPIA!$BU$1=3,INDEX(COPIA!$BZ$3:$CB$400,MATCH($C33,COPIA!$BZ$3:$BZ$400,0),2)&lt;&gt;0),INDEX(COPIA!$BZ$3:$CB$400,MATCH($C33,COPIA!$BZ$3:$BZ$400,0),2),""),"")</f>
        <v/>
      </c>
      <c r="G33" s="86" t="str">
        <f ca="1">IFERROR(IF(AND(COPIA!$BU$1=3,INDEX(COPIA!$BZ$3:$CB$400,MATCH($C33,COPIA!$BZ$3:$BZ$400,0),3)&lt;&gt;0),INDEX(COPIA!$BZ$3:$CB$400,MATCH($C33,COPIA!$BZ$3:$BZ$400,0),3),""),"")</f>
        <v/>
      </c>
      <c r="H33" s="7" t="str">
        <f t="shared" ca="1" si="1"/>
        <v/>
      </c>
    </row>
    <row r="34" spans="2:8" ht="18" customHeight="1" x14ac:dyDescent="0.3">
      <c r="B34" s="16" t="str">
        <f t="shared" ca="1" si="0"/>
        <v/>
      </c>
      <c r="C34" s="83" t="str">
        <f ca="1">IF(OR(COPIA!$BU$1=1,COPIA!$BU$1=3),COPIA!CO27,IF(COPIA!$BU$1=2,COPIA!BZ27,IF(ROW()=COPIA!$BT$1,"TOTALE","")))</f>
        <v/>
      </c>
      <c r="D34" s="86" t="str">
        <f ca="1">IF(AND(OR(COPIA!$BU$1=1,COPIA!$BU$1=3),INDEX(COPIA!$BT$3:$BV$400,MATCH($C34,COPIA!$BT$3:$BT$400,0),2)&lt;&gt;0),INDEX(COPIA!$BT$3:$BV$400,MATCH($C34,COPIA!$BT$3:$BT$400,0),2),IF(AND(COPIA!$BU$1=2,INDEX(COPIA!$BZ$3:$CB$400,MATCH($C34,COPIA!$BZ$3:$BZ$400,0),2)&lt;&gt;0),INDEX(COPIA!$BZ$3:$CB$400,MATCH($C34,COPIA!$BZ$3:$BZ$400,0),2),""))</f>
        <v/>
      </c>
      <c r="E34" s="86" t="str">
        <f ca="1">IF(AND(OR(COPIA!$BU$1=1,COPIA!$BU$1=3),INDEX(COPIA!$BT$3:$BV$400,MATCH($C34,COPIA!$BT$3:$BT$400,0),3)&lt;&gt;0),INDEX(COPIA!$BT$3:$BV$400,MATCH($C34,COPIA!$BT$3:$BT$400,0),3),IF(AND(COPIA!$BU$1=2,INDEX(COPIA!$BZ$3:$CB$400,MATCH($C34,COPIA!$BZ$3:$BZ$400,0),3)&lt;&gt;0),INDEX(COPIA!$BZ$3:$CB$400,MATCH($C34,COPIA!$BZ$3:$BZ$400,0),3),""))</f>
        <v/>
      </c>
      <c r="F34" s="86" t="str">
        <f ca="1">IFERROR(IF(AND(COPIA!$BU$1=3,INDEX(COPIA!$BZ$3:$CB$400,MATCH($C34,COPIA!$BZ$3:$BZ$400,0),2)&lt;&gt;0),INDEX(COPIA!$BZ$3:$CB$400,MATCH($C34,COPIA!$BZ$3:$BZ$400,0),2),""),"")</f>
        <v/>
      </c>
      <c r="G34" s="86" t="str">
        <f ca="1">IFERROR(IF(AND(COPIA!$BU$1=3,INDEX(COPIA!$BZ$3:$CB$400,MATCH($C34,COPIA!$BZ$3:$BZ$400,0),3)&lt;&gt;0),INDEX(COPIA!$BZ$3:$CB$400,MATCH($C34,COPIA!$BZ$3:$BZ$400,0),3),""),"")</f>
        <v/>
      </c>
      <c r="H34" s="7" t="str">
        <f t="shared" ca="1" si="1"/>
        <v/>
      </c>
    </row>
    <row r="35" spans="2:8" ht="18" customHeight="1" x14ac:dyDescent="0.3">
      <c r="B35" s="16" t="str">
        <f t="shared" ca="1" si="0"/>
        <v/>
      </c>
      <c r="C35" s="83" t="str">
        <f ca="1">IF(OR(COPIA!$BU$1=1,COPIA!$BU$1=3),COPIA!CO28,IF(COPIA!$BU$1=2,COPIA!BZ28,IF(ROW()=COPIA!$BT$1,"TOTALE","")))</f>
        <v/>
      </c>
      <c r="D35" s="86" t="str">
        <f ca="1">IF(AND(OR(COPIA!$BU$1=1,COPIA!$BU$1=3),INDEX(COPIA!$BT$3:$BV$400,MATCH($C35,COPIA!$BT$3:$BT$400,0),2)&lt;&gt;0),INDEX(COPIA!$BT$3:$BV$400,MATCH($C35,COPIA!$BT$3:$BT$400,0),2),IF(AND(COPIA!$BU$1=2,INDEX(COPIA!$BZ$3:$CB$400,MATCH($C35,COPIA!$BZ$3:$BZ$400,0),2)&lt;&gt;0),INDEX(COPIA!$BZ$3:$CB$400,MATCH($C35,COPIA!$BZ$3:$BZ$400,0),2),""))</f>
        <v/>
      </c>
      <c r="E35" s="86" t="str">
        <f ca="1">IF(AND(OR(COPIA!$BU$1=1,COPIA!$BU$1=3),INDEX(COPIA!$BT$3:$BV$400,MATCH($C35,COPIA!$BT$3:$BT$400,0),3)&lt;&gt;0),INDEX(COPIA!$BT$3:$BV$400,MATCH($C35,COPIA!$BT$3:$BT$400,0),3),IF(AND(COPIA!$BU$1=2,INDEX(COPIA!$BZ$3:$CB$400,MATCH($C35,COPIA!$BZ$3:$BZ$400,0),3)&lt;&gt;0),INDEX(COPIA!$BZ$3:$CB$400,MATCH($C35,COPIA!$BZ$3:$BZ$400,0),3),""))</f>
        <v/>
      </c>
      <c r="F35" s="86" t="str">
        <f ca="1">IFERROR(IF(AND(COPIA!$BU$1=3,INDEX(COPIA!$BZ$3:$CB$400,MATCH($C35,COPIA!$BZ$3:$BZ$400,0),2)&lt;&gt;0),INDEX(COPIA!$BZ$3:$CB$400,MATCH($C35,COPIA!$BZ$3:$BZ$400,0),2),""),"")</f>
        <v/>
      </c>
      <c r="G35" s="86" t="str">
        <f ca="1">IFERROR(IF(AND(COPIA!$BU$1=3,INDEX(COPIA!$BZ$3:$CB$400,MATCH($C35,COPIA!$BZ$3:$BZ$400,0),3)&lt;&gt;0),INDEX(COPIA!$BZ$3:$CB$400,MATCH($C35,COPIA!$BZ$3:$BZ$400,0),3),""),"")</f>
        <v/>
      </c>
      <c r="H35" s="7" t="str">
        <f t="shared" ca="1" si="1"/>
        <v/>
      </c>
    </row>
    <row r="36" spans="2:8" ht="18" customHeight="1" x14ac:dyDescent="0.3">
      <c r="B36" s="16" t="str">
        <f t="shared" ca="1" si="0"/>
        <v/>
      </c>
      <c r="C36" s="83" t="str">
        <f ca="1">IF(OR(COPIA!$BU$1=1,COPIA!$BU$1=3),COPIA!CO29,IF(COPIA!$BU$1=2,COPIA!BZ29,IF(ROW()=COPIA!$BT$1,"TOTALE","")))</f>
        <v/>
      </c>
      <c r="D36" s="86" t="str">
        <f ca="1">IF(AND(OR(COPIA!$BU$1=1,COPIA!$BU$1=3),INDEX(COPIA!$BT$3:$BV$400,MATCH($C36,COPIA!$BT$3:$BT$400,0),2)&lt;&gt;0),INDEX(COPIA!$BT$3:$BV$400,MATCH($C36,COPIA!$BT$3:$BT$400,0),2),IF(AND(COPIA!$BU$1=2,INDEX(COPIA!$BZ$3:$CB$400,MATCH($C36,COPIA!$BZ$3:$BZ$400,0),2)&lt;&gt;0),INDEX(COPIA!$BZ$3:$CB$400,MATCH($C36,COPIA!$BZ$3:$BZ$400,0),2),""))</f>
        <v/>
      </c>
      <c r="E36" s="86" t="str">
        <f ca="1">IF(AND(OR(COPIA!$BU$1=1,COPIA!$BU$1=3),INDEX(COPIA!$BT$3:$BV$400,MATCH($C36,COPIA!$BT$3:$BT$400,0),3)&lt;&gt;0),INDEX(COPIA!$BT$3:$BV$400,MATCH($C36,COPIA!$BT$3:$BT$400,0),3),IF(AND(COPIA!$BU$1=2,INDEX(COPIA!$BZ$3:$CB$400,MATCH($C36,COPIA!$BZ$3:$BZ$400,0),3)&lt;&gt;0),INDEX(COPIA!$BZ$3:$CB$400,MATCH($C36,COPIA!$BZ$3:$BZ$400,0),3),""))</f>
        <v/>
      </c>
      <c r="F36" s="86" t="str">
        <f ca="1">IFERROR(IF(AND(COPIA!$BU$1=3,INDEX(COPIA!$BZ$3:$CB$400,MATCH($C36,COPIA!$BZ$3:$BZ$400,0),2)&lt;&gt;0),INDEX(COPIA!$BZ$3:$CB$400,MATCH($C36,COPIA!$BZ$3:$BZ$400,0),2),""),"")</f>
        <v/>
      </c>
      <c r="G36" s="86" t="str">
        <f ca="1">IFERROR(IF(AND(COPIA!$BU$1=3,INDEX(COPIA!$BZ$3:$CB$400,MATCH($C36,COPIA!$BZ$3:$BZ$400,0),3)&lt;&gt;0),INDEX(COPIA!$BZ$3:$CB$400,MATCH($C36,COPIA!$BZ$3:$BZ$400,0),3),""),"")</f>
        <v/>
      </c>
      <c r="H36" s="7" t="str">
        <f t="shared" ca="1" si="1"/>
        <v/>
      </c>
    </row>
    <row r="37" spans="2:8" ht="18" customHeight="1" x14ac:dyDescent="0.3">
      <c r="B37" s="16" t="str">
        <f t="shared" ca="1" si="0"/>
        <v/>
      </c>
      <c r="C37" s="83" t="str">
        <f ca="1">IF(OR(COPIA!$BU$1=1,COPIA!$BU$1=3),COPIA!CO30,IF(COPIA!$BU$1=2,COPIA!BZ30,IF(ROW()=COPIA!$BT$1,"TOTALE","")))</f>
        <v/>
      </c>
      <c r="D37" s="86" t="str">
        <f ca="1">IF(AND(OR(COPIA!$BU$1=1,COPIA!$BU$1=3),INDEX(COPIA!$BT$3:$BV$400,MATCH($C37,COPIA!$BT$3:$BT$400,0),2)&lt;&gt;0),INDEX(COPIA!$BT$3:$BV$400,MATCH($C37,COPIA!$BT$3:$BT$400,0),2),IF(AND(COPIA!$BU$1=2,INDEX(COPIA!$BZ$3:$CB$400,MATCH($C37,COPIA!$BZ$3:$BZ$400,0),2)&lt;&gt;0),INDEX(COPIA!$BZ$3:$CB$400,MATCH($C37,COPIA!$BZ$3:$BZ$400,0),2),""))</f>
        <v/>
      </c>
      <c r="E37" s="86" t="str">
        <f ca="1">IF(AND(OR(COPIA!$BU$1=1,COPIA!$BU$1=3),INDEX(COPIA!$BT$3:$BV$400,MATCH($C37,COPIA!$BT$3:$BT$400,0),3)&lt;&gt;0),INDEX(COPIA!$BT$3:$BV$400,MATCH($C37,COPIA!$BT$3:$BT$400,0),3),IF(AND(COPIA!$BU$1=2,INDEX(COPIA!$BZ$3:$CB$400,MATCH($C37,COPIA!$BZ$3:$BZ$400,0),3)&lt;&gt;0),INDEX(COPIA!$BZ$3:$CB$400,MATCH($C37,COPIA!$BZ$3:$BZ$400,0),3),""))</f>
        <v/>
      </c>
      <c r="F37" s="86" t="str">
        <f ca="1">IFERROR(IF(AND(COPIA!$BU$1=3,INDEX(COPIA!$BZ$3:$CB$400,MATCH($C37,COPIA!$BZ$3:$BZ$400,0),2)&lt;&gt;0),INDEX(COPIA!$BZ$3:$CB$400,MATCH($C37,COPIA!$BZ$3:$BZ$400,0),2),""),"")</f>
        <v/>
      </c>
      <c r="G37" s="86" t="str">
        <f ca="1">IFERROR(IF(AND(COPIA!$BU$1=3,INDEX(COPIA!$BZ$3:$CB$400,MATCH($C37,COPIA!$BZ$3:$BZ$400,0),3)&lt;&gt;0),INDEX(COPIA!$BZ$3:$CB$400,MATCH($C37,COPIA!$BZ$3:$BZ$400,0),3),""),"")</f>
        <v/>
      </c>
      <c r="H37" s="7" t="str">
        <f t="shared" ca="1" si="1"/>
        <v/>
      </c>
    </row>
    <row r="38" spans="2:8" ht="18" customHeight="1" x14ac:dyDescent="0.3">
      <c r="B38" s="16" t="str">
        <f t="shared" ca="1" si="0"/>
        <v/>
      </c>
      <c r="C38" s="83" t="str">
        <f ca="1">IF(OR(COPIA!$BU$1=1,COPIA!$BU$1=3),COPIA!CO31,IF(COPIA!$BU$1=2,COPIA!BZ31,IF(ROW()=COPIA!$BT$1,"TOTALE","")))</f>
        <v/>
      </c>
      <c r="D38" s="86" t="str">
        <f ca="1">IF(AND(OR(COPIA!$BU$1=1,COPIA!$BU$1=3),INDEX(COPIA!$BT$3:$BV$400,MATCH($C38,COPIA!$BT$3:$BT$400,0),2)&lt;&gt;0),INDEX(COPIA!$BT$3:$BV$400,MATCH($C38,COPIA!$BT$3:$BT$400,0),2),IF(AND(COPIA!$BU$1=2,INDEX(COPIA!$BZ$3:$CB$400,MATCH($C38,COPIA!$BZ$3:$BZ$400,0),2)&lt;&gt;0),INDEX(COPIA!$BZ$3:$CB$400,MATCH($C38,COPIA!$BZ$3:$BZ$400,0),2),""))</f>
        <v/>
      </c>
      <c r="E38" s="86" t="str">
        <f ca="1">IF(AND(OR(COPIA!$BU$1=1,COPIA!$BU$1=3),INDEX(COPIA!$BT$3:$BV$400,MATCH($C38,COPIA!$BT$3:$BT$400,0),3)&lt;&gt;0),INDEX(COPIA!$BT$3:$BV$400,MATCH($C38,COPIA!$BT$3:$BT$400,0),3),IF(AND(COPIA!$BU$1=2,INDEX(COPIA!$BZ$3:$CB$400,MATCH($C38,COPIA!$BZ$3:$BZ$400,0),3)&lt;&gt;0),INDEX(COPIA!$BZ$3:$CB$400,MATCH($C38,COPIA!$BZ$3:$BZ$400,0),3),""))</f>
        <v/>
      </c>
      <c r="F38" s="86" t="str">
        <f ca="1">IFERROR(IF(AND(COPIA!$BU$1=3,INDEX(COPIA!$BZ$3:$CB$400,MATCH($C38,COPIA!$BZ$3:$BZ$400,0),2)&lt;&gt;0),INDEX(COPIA!$BZ$3:$CB$400,MATCH($C38,COPIA!$BZ$3:$BZ$400,0),2),""),"")</f>
        <v/>
      </c>
      <c r="G38" s="86" t="str">
        <f ca="1">IFERROR(IF(AND(COPIA!$BU$1=3,INDEX(COPIA!$BZ$3:$CB$400,MATCH($C38,COPIA!$BZ$3:$BZ$400,0),3)&lt;&gt;0),INDEX(COPIA!$BZ$3:$CB$400,MATCH($C38,COPIA!$BZ$3:$BZ$400,0),3),""),"")</f>
        <v/>
      </c>
      <c r="H38" s="7" t="str">
        <f t="shared" ca="1" si="1"/>
        <v/>
      </c>
    </row>
    <row r="39" spans="2:8" ht="18" customHeight="1" x14ac:dyDescent="0.3">
      <c r="B39" s="16" t="str">
        <f t="shared" ca="1" si="0"/>
        <v/>
      </c>
      <c r="C39" s="83" t="str">
        <f ca="1">IF(OR(COPIA!$BU$1=1,COPIA!$BU$1=3),COPIA!CO32,IF(COPIA!$BU$1=2,COPIA!BZ32,IF(ROW()=COPIA!$BT$1,"TOTALE","")))</f>
        <v/>
      </c>
      <c r="D39" s="86" t="str">
        <f ca="1">IF(AND(OR(COPIA!$BU$1=1,COPIA!$BU$1=3),INDEX(COPIA!$BT$3:$BV$400,MATCH($C39,COPIA!$BT$3:$BT$400,0),2)&lt;&gt;0),INDEX(COPIA!$BT$3:$BV$400,MATCH($C39,COPIA!$BT$3:$BT$400,0),2),IF(AND(COPIA!$BU$1=2,INDEX(COPIA!$BZ$3:$CB$400,MATCH($C39,COPIA!$BZ$3:$BZ$400,0),2)&lt;&gt;0),INDEX(COPIA!$BZ$3:$CB$400,MATCH($C39,COPIA!$BZ$3:$BZ$400,0),2),""))</f>
        <v/>
      </c>
      <c r="E39" s="86" t="str">
        <f ca="1">IF(AND(OR(COPIA!$BU$1=1,COPIA!$BU$1=3),INDEX(COPIA!$BT$3:$BV$400,MATCH($C39,COPIA!$BT$3:$BT$400,0),3)&lt;&gt;0),INDEX(COPIA!$BT$3:$BV$400,MATCH($C39,COPIA!$BT$3:$BT$400,0),3),IF(AND(COPIA!$BU$1=2,INDEX(COPIA!$BZ$3:$CB$400,MATCH($C39,COPIA!$BZ$3:$BZ$400,0),3)&lt;&gt;0),INDEX(COPIA!$BZ$3:$CB$400,MATCH($C39,COPIA!$BZ$3:$BZ$400,0),3),""))</f>
        <v/>
      </c>
      <c r="F39" s="86" t="str">
        <f ca="1">IFERROR(IF(AND(COPIA!$BU$1=3,INDEX(COPIA!$BZ$3:$CB$400,MATCH($C39,COPIA!$BZ$3:$BZ$400,0),2)&lt;&gt;0),INDEX(COPIA!$BZ$3:$CB$400,MATCH($C39,COPIA!$BZ$3:$BZ$400,0),2),""),"")</f>
        <v/>
      </c>
      <c r="G39" s="86" t="str">
        <f ca="1">IFERROR(IF(AND(COPIA!$BU$1=3,INDEX(COPIA!$BZ$3:$CB$400,MATCH($C39,COPIA!$BZ$3:$BZ$400,0),3)&lt;&gt;0),INDEX(COPIA!$BZ$3:$CB$400,MATCH($C39,COPIA!$BZ$3:$BZ$400,0),3),""),"")</f>
        <v/>
      </c>
      <c r="H39" s="7" t="str">
        <f t="shared" ca="1" si="1"/>
        <v/>
      </c>
    </row>
    <row r="40" spans="2:8" ht="18" customHeight="1" x14ac:dyDescent="0.3">
      <c r="B40" s="16" t="str">
        <f t="shared" ca="1" si="0"/>
        <v/>
      </c>
      <c r="C40" s="83" t="str">
        <f ca="1">IF(OR(COPIA!$BU$1=1,COPIA!$BU$1=3),COPIA!CO33,IF(COPIA!$BU$1=2,COPIA!BZ33,IF(ROW()=COPIA!$BT$1,"TOTALE","")))</f>
        <v/>
      </c>
      <c r="D40" s="86" t="str">
        <f ca="1">IF(AND(OR(COPIA!$BU$1=1,COPIA!$BU$1=3),INDEX(COPIA!$BT$3:$BV$400,MATCH($C40,COPIA!$BT$3:$BT$400,0),2)&lt;&gt;0),INDEX(COPIA!$BT$3:$BV$400,MATCH($C40,COPIA!$BT$3:$BT$400,0),2),IF(AND(COPIA!$BU$1=2,INDEX(COPIA!$BZ$3:$CB$400,MATCH($C40,COPIA!$BZ$3:$BZ$400,0),2)&lt;&gt;0),INDEX(COPIA!$BZ$3:$CB$400,MATCH($C40,COPIA!$BZ$3:$BZ$400,0),2),""))</f>
        <v/>
      </c>
      <c r="E40" s="86" t="str">
        <f ca="1">IF(AND(OR(COPIA!$BU$1=1,COPIA!$BU$1=3),INDEX(COPIA!$BT$3:$BV$400,MATCH($C40,COPIA!$BT$3:$BT$400,0),3)&lt;&gt;0),INDEX(COPIA!$BT$3:$BV$400,MATCH($C40,COPIA!$BT$3:$BT$400,0),3),IF(AND(COPIA!$BU$1=2,INDEX(COPIA!$BZ$3:$CB$400,MATCH($C40,COPIA!$BZ$3:$BZ$400,0),3)&lt;&gt;0),INDEX(COPIA!$BZ$3:$CB$400,MATCH($C40,COPIA!$BZ$3:$BZ$400,0),3),""))</f>
        <v/>
      </c>
      <c r="F40" s="86" t="str">
        <f ca="1">IFERROR(IF(AND(COPIA!$BU$1=3,INDEX(COPIA!$BZ$3:$CB$400,MATCH($C40,COPIA!$BZ$3:$BZ$400,0),2)&lt;&gt;0),INDEX(COPIA!$BZ$3:$CB$400,MATCH($C40,COPIA!$BZ$3:$BZ$400,0),2),""),"")</f>
        <v/>
      </c>
      <c r="G40" s="86" t="str">
        <f ca="1">IFERROR(IF(AND(COPIA!$BU$1=3,INDEX(COPIA!$BZ$3:$CB$400,MATCH($C40,COPIA!$BZ$3:$BZ$400,0),3)&lt;&gt;0),INDEX(COPIA!$BZ$3:$CB$400,MATCH($C40,COPIA!$BZ$3:$BZ$400,0),3),""),"")</f>
        <v/>
      </c>
      <c r="H40" s="7" t="str">
        <f t="shared" ca="1" si="1"/>
        <v/>
      </c>
    </row>
    <row r="41" spans="2:8" ht="18" customHeight="1" x14ac:dyDescent="0.3">
      <c r="B41" s="16" t="str">
        <f t="shared" ca="1" si="0"/>
        <v/>
      </c>
      <c r="C41" s="83" t="str">
        <f ca="1">IF(OR(COPIA!$BU$1=1,COPIA!$BU$1=3),COPIA!CO34,IF(COPIA!$BU$1=2,COPIA!BZ34,IF(ROW()=COPIA!$BT$1,"TOTALE","")))</f>
        <v/>
      </c>
      <c r="D41" s="86" t="str">
        <f ca="1">IF(AND(OR(COPIA!$BU$1=1,COPIA!$BU$1=3),INDEX(COPIA!$BT$3:$BV$400,MATCH($C41,COPIA!$BT$3:$BT$400,0),2)&lt;&gt;0),INDEX(COPIA!$BT$3:$BV$400,MATCH($C41,COPIA!$BT$3:$BT$400,0),2),IF(AND(COPIA!$BU$1=2,INDEX(COPIA!$BZ$3:$CB$400,MATCH($C41,COPIA!$BZ$3:$BZ$400,0),2)&lt;&gt;0),INDEX(COPIA!$BZ$3:$CB$400,MATCH($C41,COPIA!$BZ$3:$BZ$400,0),2),""))</f>
        <v/>
      </c>
      <c r="E41" s="86" t="str">
        <f ca="1">IF(AND(OR(COPIA!$BU$1=1,COPIA!$BU$1=3),INDEX(COPIA!$BT$3:$BV$400,MATCH($C41,COPIA!$BT$3:$BT$400,0),3)&lt;&gt;0),INDEX(COPIA!$BT$3:$BV$400,MATCH($C41,COPIA!$BT$3:$BT$400,0),3),IF(AND(COPIA!$BU$1=2,INDEX(COPIA!$BZ$3:$CB$400,MATCH($C41,COPIA!$BZ$3:$BZ$400,0),3)&lt;&gt;0),INDEX(COPIA!$BZ$3:$CB$400,MATCH($C41,COPIA!$BZ$3:$BZ$400,0),3),""))</f>
        <v/>
      </c>
      <c r="F41" s="86" t="str">
        <f ca="1">IFERROR(IF(AND(COPIA!$BU$1=3,INDEX(COPIA!$BZ$3:$CB$400,MATCH($C41,COPIA!$BZ$3:$BZ$400,0),2)&lt;&gt;0),INDEX(COPIA!$BZ$3:$CB$400,MATCH($C41,COPIA!$BZ$3:$BZ$400,0),2),""),"")</f>
        <v/>
      </c>
      <c r="G41" s="86" t="str">
        <f ca="1">IFERROR(IF(AND(COPIA!$BU$1=3,INDEX(COPIA!$BZ$3:$CB$400,MATCH($C41,COPIA!$BZ$3:$BZ$400,0),3)&lt;&gt;0),INDEX(COPIA!$BZ$3:$CB$400,MATCH($C41,COPIA!$BZ$3:$BZ$400,0),3),""),"")</f>
        <v/>
      </c>
      <c r="H41" s="7" t="str">
        <f t="shared" ca="1" si="1"/>
        <v/>
      </c>
    </row>
    <row r="42" spans="2:8" ht="18" customHeight="1" x14ac:dyDescent="0.3">
      <c r="B42" s="16" t="str">
        <f t="shared" ca="1" si="0"/>
        <v/>
      </c>
      <c r="C42" s="83" t="str">
        <f ca="1">IF(OR(COPIA!$BU$1=1,COPIA!$BU$1=3),COPIA!CO35,IF(COPIA!$BU$1=2,COPIA!BZ35,IF(ROW()=COPIA!$BT$1,"TOTALE","")))</f>
        <v/>
      </c>
      <c r="D42" s="86" t="str">
        <f ca="1">IF(AND(OR(COPIA!$BU$1=1,COPIA!$BU$1=3),INDEX(COPIA!$BT$3:$BV$400,MATCH($C42,COPIA!$BT$3:$BT$400,0),2)&lt;&gt;0),INDEX(COPIA!$BT$3:$BV$400,MATCH($C42,COPIA!$BT$3:$BT$400,0),2),IF(AND(COPIA!$BU$1=2,INDEX(COPIA!$BZ$3:$CB$400,MATCH($C42,COPIA!$BZ$3:$BZ$400,0),2)&lt;&gt;0),INDEX(COPIA!$BZ$3:$CB$400,MATCH($C42,COPIA!$BZ$3:$BZ$400,0),2),""))</f>
        <v/>
      </c>
      <c r="E42" s="86" t="str">
        <f ca="1">IF(AND(OR(COPIA!$BU$1=1,COPIA!$BU$1=3),INDEX(COPIA!$BT$3:$BV$400,MATCH($C42,COPIA!$BT$3:$BT$400,0),3)&lt;&gt;0),INDEX(COPIA!$BT$3:$BV$400,MATCH($C42,COPIA!$BT$3:$BT$400,0),3),IF(AND(COPIA!$BU$1=2,INDEX(COPIA!$BZ$3:$CB$400,MATCH($C42,COPIA!$BZ$3:$BZ$400,0),3)&lt;&gt;0),INDEX(COPIA!$BZ$3:$CB$400,MATCH($C42,COPIA!$BZ$3:$BZ$400,0),3),""))</f>
        <v/>
      </c>
      <c r="F42" s="86" t="str">
        <f ca="1">IFERROR(IF(AND(COPIA!$BU$1=3,INDEX(COPIA!$BZ$3:$CB$400,MATCH($C42,COPIA!$BZ$3:$BZ$400,0),2)&lt;&gt;0),INDEX(COPIA!$BZ$3:$CB$400,MATCH($C42,COPIA!$BZ$3:$BZ$400,0),2),""),"")</f>
        <v/>
      </c>
      <c r="G42" s="86" t="str">
        <f ca="1">IFERROR(IF(AND(COPIA!$BU$1=3,INDEX(COPIA!$BZ$3:$CB$400,MATCH($C42,COPIA!$BZ$3:$BZ$400,0),3)&lt;&gt;0),INDEX(COPIA!$BZ$3:$CB$400,MATCH($C42,COPIA!$BZ$3:$BZ$400,0),3),""),"")</f>
        <v/>
      </c>
      <c r="H42" s="7" t="str">
        <f t="shared" ca="1" si="1"/>
        <v/>
      </c>
    </row>
    <row r="43" spans="2:8" ht="18" customHeight="1" x14ac:dyDescent="0.3">
      <c r="B43" s="16" t="str">
        <f t="shared" ca="1" si="0"/>
        <v/>
      </c>
      <c r="C43" s="83" t="str">
        <f ca="1">IF(OR(COPIA!$BU$1=1,COPIA!$BU$1=3),COPIA!CO36,IF(COPIA!$BU$1=2,COPIA!BZ36,IF(ROW()=COPIA!$BT$1,"TOTALE","")))</f>
        <v/>
      </c>
      <c r="D43" s="86" t="str">
        <f ca="1">IF(AND(OR(COPIA!$BU$1=1,COPIA!$BU$1=3),INDEX(COPIA!$BT$3:$BV$400,MATCH($C43,COPIA!$BT$3:$BT$400,0),2)&lt;&gt;0),INDEX(COPIA!$BT$3:$BV$400,MATCH($C43,COPIA!$BT$3:$BT$400,0),2),IF(AND(COPIA!$BU$1=2,INDEX(COPIA!$BZ$3:$CB$400,MATCH($C43,COPIA!$BZ$3:$BZ$400,0),2)&lt;&gt;0),INDEX(COPIA!$BZ$3:$CB$400,MATCH($C43,COPIA!$BZ$3:$BZ$400,0),2),""))</f>
        <v/>
      </c>
      <c r="E43" s="86" t="str">
        <f ca="1">IF(AND(OR(COPIA!$BU$1=1,COPIA!$BU$1=3),INDEX(COPIA!$BT$3:$BV$400,MATCH($C43,COPIA!$BT$3:$BT$400,0),3)&lt;&gt;0),INDEX(COPIA!$BT$3:$BV$400,MATCH($C43,COPIA!$BT$3:$BT$400,0),3),IF(AND(COPIA!$BU$1=2,INDEX(COPIA!$BZ$3:$CB$400,MATCH($C43,COPIA!$BZ$3:$BZ$400,0),3)&lt;&gt;0),INDEX(COPIA!$BZ$3:$CB$400,MATCH($C43,COPIA!$BZ$3:$BZ$400,0),3),""))</f>
        <v/>
      </c>
      <c r="F43" s="86" t="str">
        <f ca="1">IFERROR(IF(AND(COPIA!$BU$1=3,INDEX(COPIA!$BZ$3:$CB$400,MATCH($C43,COPIA!$BZ$3:$BZ$400,0),2)&lt;&gt;0),INDEX(COPIA!$BZ$3:$CB$400,MATCH($C43,COPIA!$BZ$3:$BZ$400,0),2),""),"")</f>
        <v/>
      </c>
      <c r="G43" s="86" t="str">
        <f ca="1">IFERROR(IF(AND(COPIA!$BU$1=3,INDEX(COPIA!$BZ$3:$CB$400,MATCH($C43,COPIA!$BZ$3:$BZ$400,0),3)&lt;&gt;0),INDEX(COPIA!$BZ$3:$CB$400,MATCH($C43,COPIA!$BZ$3:$BZ$400,0),3),""),"")</f>
        <v/>
      </c>
      <c r="H43" s="7" t="str">
        <f t="shared" ca="1" si="1"/>
        <v/>
      </c>
    </row>
    <row r="44" spans="2:8" ht="18" customHeight="1" x14ac:dyDescent="0.3">
      <c r="B44" s="16" t="str">
        <f t="shared" ca="1" si="0"/>
        <v/>
      </c>
      <c r="C44" s="83" t="str">
        <f ca="1">IF(OR(COPIA!$BU$1=1,COPIA!$BU$1=3),COPIA!CO37,IF(COPIA!$BU$1=2,COPIA!BZ37,IF(ROW()=COPIA!$BT$1,"TOTALE","")))</f>
        <v/>
      </c>
      <c r="D44" s="86" t="str">
        <f ca="1">IF(AND(OR(COPIA!$BU$1=1,COPIA!$BU$1=3),INDEX(COPIA!$BT$3:$BV$400,MATCH($C44,COPIA!$BT$3:$BT$400,0),2)&lt;&gt;0),INDEX(COPIA!$BT$3:$BV$400,MATCH($C44,COPIA!$BT$3:$BT$400,0),2),IF(AND(COPIA!$BU$1=2,INDEX(COPIA!$BZ$3:$CB$400,MATCH($C44,COPIA!$BZ$3:$BZ$400,0),2)&lt;&gt;0),INDEX(COPIA!$BZ$3:$CB$400,MATCH($C44,COPIA!$BZ$3:$BZ$400,0),2),""))</f>
        <v/>
      </c>
      <c r="E44" s="86" t="str">
        <f ca="1">IF(AND(OR(COPIA!$BU$1=1,COPIA!$BU$1=3),INDEX(COPIA!$BT$3:$BV$400,MATCH($C44,COPIA!$BT$3:$BT$400,0),3)&lt;&gt;0),INDEX(COPIA!$BT$3:$BV$400,MATCH($C44,COPIA!$BT$3:$BT$400,0),3),IF(AND(COPIA!$BU$1=2,INDEX(COPIA!$BZ$3:$CB$400,MATCH($C44,COPIA!$BZ$3:$BZ$400,0),3)&lt;&gt;0),INDEX(COPIA!$BZ$3:$CB$400,MATCH($C44,COPIA!$BZ$3:$BZ$400,0),3),""))</f>
        <v/>
      </c>
      <c r="F44" s="86" t="str">
        <f ca="1">IFERROR(IF(AND(COPIA!$BU$1=3,INDEX(COPIA!$BZ$3:$CB$400,MATCH($C44,COPIA!$BZ$3:$BZ$400,0),2)&lt;&gt;0),INDEX(COPIA!$BZ$3:$CB$400,MATCH($C44,COPIA!$BZ$3:$BZ$400,0),2),""),"")</f>
        <v/>
      </c>
      <c r="G44" s="86" t="str">
        <f ca="1">IFERROR(IF(AND(COPIA!$BU$1=3,INDEX(COPIA!$BZ$3:$CB$400,MATCH($C44,COPIA!$BZ$3:$BZ$400,0),3)&lt;&gt;0),INDEX(COPIA!$BZ$3:$CB$400,MATCH($C44,COPIA!$BZ$3:$BZ$400,0),3),""),"")</f>
        <v/>
      </c>
      <c r="H44" s="7" t="str">
        <f t="shared" ca="1" si="1"/>
        <v/>
      </c>
    </row>
    <row r="45" spans="2:8" ht="18" customHeight="1" x14ac:dyDescent="0.3">
      <c r="B45" s="16" t="str">
        <f t="shared" ca="1" si="0"/>
        <v/>
      </c>
      <c r="C45" s="83" t="str">
        <f ca="1">IF(OR(COPIA!$BU$1=1,COPIA!$BU$1=3),COPIA!CO38,IF(COPIA!$BU$1=2,COPIA!BZ38,IF(ROW()=COPIA!$BT$1,"TOTALE","")))</f>
        <v/>
      </c>
      <c r="D45" s="86" t="str">
        <f ca="1">IF(AND(OR(COPIA!$BU$1=1,COPIA!$BU$1=3),INDEX(COPIA!$BT$3:$BV$400,MATCH($C45,COPIA!$BT$3:$BT$400,0),2)&lt;&gt;0),INDEX(COPIA!$BT$3:$BV$400,MATCH($C45,COPIA!$BT$3:$BT$400,0),2),IF(AND(COPIA!$BU$1=2,INDEX(COPIA!$BZ$3:$CB$400,MATCH($C45,COPIA!$BZ$3:$BZ$400,0),2)&lt;&gt;0),INDEX(COPIA!$BZ$3:$CB$400,MATCH($C45,COPIA!$BZ$3:$BZ$400,0),2),""))</f>
        <v/>
      </c>
      <c r="E45" s="86" t="str">
        <f ca="1">IF(AND(OR(COPIA!$BU$1=1,COPIA!$BU$1=3),INDEX(COPIA!$BT$3:$BV$400,MATCH($C45,COPIA!$BT$3:$BT$400,0),3)&lt;&gt;0),INDEX(COPIA!$BT$3:$BV$400,MATCH($C45,COPIA!$BT$3:$BT$400,0),3),IF(AND(COPIA!$BU$1=2,INDEX(COPIA!$BZ$3:$CB$400,MATCH($C45,COPIA!$BZ$3:$BZ$400,0),3)&lt;&gt;0),INDEX(COPIA!$BZ$3:$CB$400,MATCH($C45,COPIA!$BZ$3:$BZ$400,0),3),""))</f>
        <v/>
      </c>
      <c r="F45" s="86" t="str">
        <f ca="1">IFERROR(IF(AND(COPIA!$BU$1=3,INDEX(COPIA!$BZ$3:$CB$400,MATCH($C45,COPIA!$BZ$3:$BZ$400,0),2)&lt;&gt;0),INDEX(COPIA!$BZ$3:$CB$400,MATCH($C45,COPIA!$BZ$3:$BZ$400,0),2),""),"")</f>
        <v/>
      </c>
      <c r="G45" s="86" t="str">
        <f ca="1">IFERROR(IF(AND(COPIA!$BU$1=3,INDEX(COPIA!$BZ$3:$CB$400,MATCH($C45,COPIA!$BZ$3:$BZ$400,0),3)&lt;&gt;0),INDEX(COPIA!$BZ$3:$CB$400,MATCH($C45,COPIA!$BZ$3:$BZ$400,0),3),""),"")</f>
        <v/>
      </c>
      <c r="H45" s="7" t="str">
        <f t="shared" ca="1" si="1"/>
        <v/>
      </c>
    </row>
    <row r="46" spans="2:8" ht="18" customHeight="1" x14ac:dyDescent="0.3">
      <c r="B46" s="16" t="str">
        <f t="shared" ca="1" si="0"/>
        <v/>
      </c>
      <c r="C46" s="83" t="str">
        <f ca="1">IF(OR(COPIA!$BU$1=1,COPIA!$BU$1=3),COPIA!CO39,IF(COPIA!$BU$1=2,COPIA!BZ39,IF(ROW()=COPIA!$BT$1,"TOTALE","")))</f>
        <v/>
      </c>
      <c r="D46" s="86" t="str">
        <f ca="1">IF(AND(OR(COPIA!$BU$1=1,COPIA!$BU$1=3),INDEX(COPIA!$BT$3:$BV$400,MATCH($C46,COPIA!$BT$3:$BT$400,0),2)&lt;&gt;0),INDEX(COPIA!$BT$3:$BV$400,MATCH($C46,COPIA!$BT$3:$BT$400,0),2),IF(AND(COPIA!$BU$1=2,INDEX(COPIA!$BZ$3:$CB$400,MATCH($C46,COPIA!$BZ$3:$BZ$400,0),2)&lt;&gt;0),INDEX(COPIA!$BZ$3:$CB$400,MATCH($C46,COPIA!$BZ$3:$BZ$400,0),2),""))</f>
        <v/>
      </c>
      <c r="E46" s="86" t="str">
        <f ca="1">IF(AND(OR(COPIA!$BU$1=1,COPIA!$BU$1=3),INDEX(COPIA!$BT$3:$BV$400,MATCH($C46,COPIA!$BT$3:$BT$400,0),3)&lt;&gt;0),INDEX(COPIA!$BT$3:$BV$400,MATCH($C46,COPIA!$BT$3:$BT$400,0),3),IF(AND(COPIA!$BU$1=2,INDEX(COPIA!$BZ$3:$CB$400,MATCH($C46,COPIA!$BZ$3:$BZ$400,0),3)&lt;&gt;0),INDEX(COPIA!$BZ$3:$CB$400,MATCH($C46,COPIA!$BZ$3:$BZ$400,0),3),""))</f>
        <v/>
      </c>
      <c r="F46" s="86" t="str">
        <f ca="1">IFERROR(IF(AND(COPIA!$BU$1=3,INDEX(COPIA!$BZ$3:$CB$400,MATCH($C46,COPIA!$BZ$3:$BZ$400,0),2)&lt;&gt;0),INDEX(COPIA!$BZ$3:$CB$400,MATCH($C46,COPIA!$BZ$3:$BZ$400,0),2),""),"")</f>
        <v/>
      </c>
      <c r="G46" s="86" t="str">
        <f ca="1">IFERROR(IF(AND(COPIA!$BU$1=3,INDEX(COPIA!$BZ$3:$CB$400,MATCH($C46,COPIA!$BZ$3:$BZ$400,0),3)&lt;&gt;0),INDEX(COPIA!$BZ$3:$CB$400,MATCH($C46,COPIA!$BZ$3:$BZ$400,0),3),""),"")</f>
        <v/>
      </c>
      <c r="H46" s="7" t="str">
        <f t="shared" ca="1" si="1"/>
        <v/>
      </c>
    </row>
    <row r="47" spans="2:8" ht="18" customHeight="1" x14ac:dyDescent="0.3">
      <c r="B47" s="16" t="str">
        <f t="shared" ca="1" si="0"/>
        <v/>
      </c>
      <c r="C47" s="83" t="str">
        <f ca="1">IF(OR(COPIA!$BU$1=1,COPIA!$BU$1=3),COPIA!CO40,IF(COPIA!$BU$1=2,COPIA!BZ40,IF(ROW()=COPIA!$BT$1,"TOTALE","")))</f>
        <v/>
      </c>
      <c r="D47" s="86" t="str">
        <f ca="1">IF(AND(OR(COPIA!$BU$1=1,COPIA!$BU$1=3),INDEX(COPIA!$BT$3:$BV$400,MATCH($C47,COPIA!$BT$3:$BT$400,0),2)&lt;&gt;0),INDEX(COPIA!$BT$3:$BV$400,MATCH($C47,COPIA!$BT$3:$BT$400,0),2),IF(AND(COPIA!$BU$1=2,INDEX(COPIA!$BZ$3:$CB$400,MATCH($C47,COPIA!$BZ$3:$BZ$400,0),2)&lt;&gt;0),INDEX(COPIA!$BZ$3:$CB$400,MATCH($C47,COPIA!$BZ$3:$BZ$400,0),2),""))</f>
        <v/>
      </c>
      <c r="E47" s="86" t="str">
        <f ca="1">IF(AND(OR(COPIA!$BU$1=1,COPIA!$BU$1=3),INDEX(COPIA!$BT$3:$BV$400,MATCH($C47,COPIA!$BT$3:$BT$400,0),3)&lt;&gt;0),INDEX(COPIA!$BT$3:$BV$400,MATCH($C47,COPIA!$BT$3:$BT$400,0),3),IF(AND(COPIA!$BU$1=2,INDEX(COPIA!$BZ$3:$CB$400,MATCH($C47,COPIA!$BZ$3:$BZ$400,0),3)&lt;&gt;0),INDEX(COPIA!$BZ$3:$CB$400,MATCH($C47,COPIA!$BZ$3:$BZ$400,0),3),""))</f>
        <v/>
      </c>
      <c r="F47" s="86" t="str">
        <f ca="1">IFERROR(IF(AND(COPIA!$BU$1=3,INDEX(COPIA!$BZ$3:$CB$400,MATCH($C47,COPIA!$BZ$3:$BZ$400,0),2)&lt;&gt;0),INDEX(COPIA!$BZ$3:$CB$400,MATCH($C47,COPIA!$BZ$3:$BZ$400,0),2),""),"")</f>
        <v/>
      </c>
      <c r="G47" s="86" t="str">
        <f ca="1">IFERROR(IF(AND(COPIA!$BU$1=3,INDEX(COPIA!$BZ$3:$CB$400,MATCH($C47,COPIA!$BZ$3:$BZ$400,0),3)&lt;&gt;0),INDEX(COPIA!$BZ$3:$CB$400,MATCH($C47,COPIA!$BZ$3:$BZ$400,0),3),""),"")</f>
        <v/>
      </c>
      <c r="H47" s="7" t="str">
        <f t="shared" ca="1" si="1"/>
        <v/>
      </c>
    </row>
    <row r="48" spans="2:8" ht="18" customHeight="1" x14ac:dyDescent="0.3">
      <c r="B48" s="16" t="str">
        <f t="shared" ca="1" si="0"/>
        <v/>
      </c>
      <c r="C48" s="83" t="str">
        <f ca="1">IF(OR(COPIA!$BU$1=1,COPIA!$BU$1=3),COPIA!CO41,IF(COPIA!$BU$1=2,COPIA!BZ41,IF(ROW()=COPIA!$BT$1,"TOTALE","")))</f>
        <v/>
      </c>
      <c r="D48" s="86" t="str">
        <f ca="1">IF(AND(OR(COPIA!$BU$1=1,COPIA!$BU$1=3),INDEX(COPIA!$BT$3:$BV$400,MATCH($C48,COPIA!$BT$3:$BT$400,0),2)&lt;&gt;0),INDEX(COPIA!$BT$3:$BV$400,MATCH($C48,COPIA!$BT$3:$BT$400,0),2),IF(AND(COPIA!$BU$1=2,INDEX(COPIA!$BZ$3:$CB$400,MATCH($C48,COPIA!$BZ$3:$BZ$400,0),2)&lt;&gt;0),INDEX(COPIA!$BZ$3:$CB$400,MATCH($C48,COPIA!$BZ$3:$BZ$400,0),2),""))</f>
        <v/>
      </c>
      <c r="E48" s="86" t="str">
        <f ca="1">IF(AND(OR(COPIA!$BU$1=1,COPIA!$BU$1=3),INDEX(COPIA!$BT$3:$BV$400,MATCH($C48,COPIA!$BT$3:$BT$400,0),3)&lt;&gt;0),INDEX(COPIA!$BT$3:$BV$400,MATCH($C48,COPIA!$BT$3:$BT$400,0),3),IF(AND(COPIA!$BU$1=2,INDEX(COPIA!$BZ$3:$CB$400,MATCH($C48,COPIA!$BZ$3:$BZ$400,0),3)&lt;&gt;0),INDEX(COPIA!$BZ$3:$CB$400,MATCH($C48,COPIA!$BZ$3:$BZ$400,0),3),""))</f>
        <v/>
      </c>
      <c r="F48" s="86" t="str">
        <f ca="1">IFERROR(IF(AND(COPIA!$BU$1=3,INDEX(COPIA!$BZ$3:$CB$400,MATCH($C48,COPIA!$BZ$3:$BZ$400,0),2)&lt;&gt;0),INDEX(COPIA!$BZ$3:$CB$400,MATCH($C48,COPIA!$BZ$3:$BZ$400,0),2),""),"")</f>
        <v/>
      </c>
      <c r="G48" s="86" t="str">
        <f ca="1">IFERROR(IF(AND(COPIA!$BU$1=3,INDEX(COPIA!$BZ$3:$CB$400,MATCH($C48,COPIA!$BZ$3:$BZ$400,0),3)&lt;&gt;0),INDEX(COPIA!$BZ$3:$CB$400,MATCH($C48,COPIA!$BZ$3:$BZ$400,0),3),""),"")</f>
        <v/>
      </c>
      <c r="H48" s="7" t="str">
        <f t="shared" ca="1" si="1"/>
        <v/>
      </c>
    </row>
    <row r="49" spans="2:8" ht="18" customHeight="1" x14ac:dyDescent="0.3">
      <c r="B49" s="16" t="str">
        <f t="shared" ca="1" si="0"/>
        <v/>
      </c>
      <c r="C49" s="83" t="str">
        <f ca="1">IF(OR(COPIA!$BU$1=1,COPIA!$BU$1=3),COPIA!CO42,IF(COPIA!$BU$1=2,COPIA!BZ42,IF(ROW()=COPIA!$BT$1,"TOTALE","")))</f>
        <v/>
      </c>
      <c r="D49" s="86" t="str">
        <f ca="1">IF(AND(OR(COPIA!$BU$1=1,COPIA!$BU$1=3),INDEX(COPIA!$BT$3:$BV$400,MATCH($C49,COPIA!$BT$3:$BT$400,0),2)&lt;&gt;0),INDEX(COPIA!$BT$3:$BV$400,MATCH($C49,COPIA!$BT$3:$BT$400,0),2),IF(AND(COPIA!$BU$1=2,INDEX(COPIA!$BZ$3:$CB$400,MATCH($C49,COPIA!$BZ$3:$BZ$400,0),2)&lt;&gt;0),INDEX(COPIA!$BZ$3:$CB$400,MATCH($C49,COPIA!$BZ$3:$BZ$400,0),2),""))</f>
        <v/>
      </c>
      <c r="E49" s="86" t="str">
        <f ca="1">IF(AND(OR(COPIA!$BU$1=1,COPIA!$BU$1=3),INDEX(COPIA!$BT$3:$BV$400,MATCH($C49,COPIA!$BT$3:$BT$400,0),3)&lt;&gt;0),INDEX(COPIA!$BT$3:$BV$400,MATCH($C49,COPIA!$BT$3:$BT$400,0),3),IF(AND(COPIA!$BU$1=2,INDEX(COPIA!$BZ$3:$CB$400,MATCH($C49,COPIA!$BZ$3:$BZ$400,0),3)&lt;&gt;0),INDEX(COPIA!$BZ$3:$CB$400,MATCH($C49,COPIA!$BZ$3:$BZ$400,0),3),""))</f>
        <v/>
      </c>
      <c r="F49" s="86" t="str">
        <f ca="1">IFERROR(IF(AND(COPIA!$BU$1=3,INDEX(COPIA!$BZ$3:$CB$400,MATCH($C49,COPIA!$BZ$3:$BZ$400,0),2)&lt;&gt;0),INDEX(COPIA!$BZ$3:$CB$400,MATCH($C49,COPIA!$BZ$3:$BZ$400,0),2),""),"")</f>
        <v/>
      </c>
      <c r="G49" s="86" t="str">
        <f ca="1">IFERROR(IF(AND(COPIA!$BU$1=3,INDEX(COPIA!$BZ$3:$CB$400,MATCH($C49,COPIA!$BZ$3:$BZ$400,0),3)&lt;&gt;0),INDEX(COPIA!$BZ$3:$CB$400,MATCH($C49,COPIA!$BZ$3:$BZ$400,0),3),""),"")</f>
        <v/>
      </c>
      <c r="H49" s="7" t="str">
        <f t="shared" ca="1" si="1"/>
        <v/>
      </c>
    </row>
    <row r="50" spans="2:8" ht="18" customHeight="1" x14ac:dyDescent="0.3">
      <c r="B50" s="16" t="str">
        <f t="shared" ca="1" si="0"/>
        <v/>
      </c>
      <c r="C50" s="83" t="str">
        <f ca="1">IF(OR(COPIA!$BU$1=1,COPIA!$BU$1=3),COPIA!CO43,IF(COPIA!$BU$1=2,COPIA!BZ43,IF(ROW()=COPIA!$BT$1,"TOTALE","")))</f>
        <v/>
      </c>
      <c r="D50" s="86" t="str">
        <f ca="1">IF(AND(OR(COPIA!$BU$1=1,COPIA!$BU$1=3),INDEX(COPIA!$BT$3:$BV$400,MATCH($C50,COPIA!$BT$3:$BT$400,0),2)&lt;&gt;0),INDEX(COPIA!$BT$3:$BV$400,MATCH($C50,COPIA!$BT$3:$BT$400,0),2),IF(AND(COPIA!$BU$1=2,INDEX(COPIA!$BZ$3:$CB$400,MATCH($C50,COPIA!$BZ$3:$BZ$400,0),2)&lt;&gt;0),INDEX(COPIA!$BZ$3:$CB$400,MATCH($C50,COPIA!$BZ$3:$BZ$400,0),2),""))</f>
        <v/>
      </c>
      <c r="E50" s="86" t="str">
        <f ca="1">IF(AND(OR(COPIA!$BU$1=1,COPIA!$BU$1=3),INDEX(COPIA!$BT$3:$BV$400,MATCH($C50,COPIA!$BT$3:$BT$400,0),3)&lt;&gt;0),INDEX(COPIA!$BT$3:$BV$400,MATCH($C50,COPIA!$BT$3:$BT$400,0),3),IF(AND(COPIA!$BU$1=2,INDEX(COPIA!$BZ$3:$CB$400,MATCH($C50,COPIA!$BZ$3:$BZ$400,0),3)&lt;&gt;0),INDEX(COPIA!$BZ$3:$CB$400,MATCH($C50,COPIA!$BZ$3:$BZ$400,0),3),""))</f>
        <v/>
      </c>
      <c r="F50" s="86" t="str">
        <f ca="1">IFERROR(IF(AND(COPIA!$BU$1=3,INDEX(COPIA!$BZ$3:$CB$400,MATCH($C50,COPIA!$BZ$3:$BZ$400,0),2)&lt;&gt;0),INDEX(COPIA!$BZ$3:$CB$400,MATCH($C50,COPIA!$BZ$3:$BZ$400,0),2),""),"")</f>
        <v/>
      </c>
      <c r="G50" s="86" t="str">
        <f ca="1">IFERROR(IF(AND(COPIA!$BU$1=3,INDEX(COPIA!$BZ$3:$CB$400,MATCH($C50,COPIA!$BZ$3:$BZ$400,0),3)&lt;&gt;0),INDEX(COPIA!$BZ$3:$CB$400,MATCH($C50,COPIA!$BZ$3:$BZ$400,0),3),""),"")</f>
        <v/>
      </c>
      <c r="H50" s="7" t="str">
        <f t="shared" ca="1" si="1"/>
        <v/>
      </c>
    </row>
    <row r="51" spans="2:8" ht="18" customHeight="1" x14ac:dyDescent="0.3">
      <c r="B51" s="16" t="str">
        <f t="shared" ca="1" si="0"/>
        <v/>
      </c>
      <c r="C51" s="83" t="str">
        <f ca="1">IF(OR(COPIA!$BU$1=1,COPIA!$BU$1=3),COPIA!CO44,IF(COPIA!$BU$1=2,COPIA!BZ44,IF(ROW()=COPIA!$BT$1,"TOTALE","")))</f>
        <v/>
      </c>
      <c r="D51" s="86" t="str">
        <f ca="1">IF(AND(OR(COPIA!$BU$1=1,COPIA!$BU$1=3),INDEX(COPIA!$BT$3:$BV$400,MATCH($C51,COPIA!$BT$3:$BT$400,0),2)&lt;&gt;0),INDEX(COPIA!$BT$3:$BV$400,MATCH($C51,COPIA!$BT$3:$BT$400,0),2),IF(AND(COPIA!$BU$1=2,INDEX(COPIA!$BZ$3:$CB$400,MATCH($C51,COPIA!$BZ$3:$BZ$400,0),2)&lt;&gt;0),INDEX(COPIA!$BZ$3:$CB$400,MATCH($C51,COPIA!$BZ$3:$BZ$400,0),2),""))</f>
        <v/>
      </c>
      <c r="E51" s="86" t="str">
        <f ca="1">IF(AND(OR(COPIA!$BU$1=1,COPIA!$BU$1=3),INDEX(COPIA!$BT$3:$BV$400,MATCH($C51,COPIA!$BT$3:$BT$400,0),3)&lt;&gt;0),INDEX(COPIA!$BT$3:$BV$400,MATCH($C51,COPIA!$BT$3:$BT$400,0),3),IF(AND(COPIA!$BU$1=2,INDEX(COPIA!$BZ$3:$CB$400,MATCH($C51,COPIA!$BZ$3:$BZ$400,0),3)&lt;&gt;0),INDEX(COPIA!$BZ$3:$CB$400,MATCH($C51,COPIA!$BZ$3:$BZ$400,0),3),""))</f>
        <v/>
      </c>
      <c r="F51" s="86" t="str">
        <f ca="1">IFERROR(IF(AND(COPIA!$BU$1=3,INDEX(COPIA!$BZ$3:$CB$400,MATCH($C51,COPIA!$BZ$3:$BZ$400,0),2)&lt;&gt;0),INDEX(COPIA!$BZ$3:$CB$400,MATCH($C51,COPIA!$BZ$3:$BZ$400,0),2),""),"")</f>
        <v/>
      </c>
      <c r="G51" s="86" t="str">
        <f ca="1">IFERROR(IF(AND(COPIA!$BU$1=3,INDEX(COPIA!$BZ$3:$CB$400,MATCH($C51,COPIA!$BZ$3:$BZ$400,0),3)&lt;&gt;0),INDEX(COPIA!$BZ$3:$CB$400,MATCH($C51,COPIA!$BZ$3:$BZ$400,0),3),""),"")</f>
        <v/>
      </c>
      <c r="H51" s="7" t="str">
        <f t="shared" ca="1" si="1"/>
        <v/>
      </c>
    </row>
    <row r="52" spans="2:8" ht="18" customHeight="1" x14ac:dyDescent="0.3">
      <c r="B52" s="16" t="str">
        <f t="shared" ca="1" si="0"/>
        <v/>
      </c>
      <c r="C52" s="83" t="str">
        <f ca="1">IF(OR(COPIA!$BU$1=1,COPIA!$BU$1=3),COPIA!CO45,IF(COPIA!$BU$1=2,COPIA!BZ45,IF(ROW()=COPIA!$BT$1,"TOTALE","")))</f>
        <v/>
      </c>
      <c r="D52" s="86" t="str">
        <f ca="1">IF(AND(OR(COPIA!$BU$1=1,COPIA!$BU$1=3),INDEX(COPIA!$BT$3:$BV$400,MATCH($C52,COPIA!$BT$3:$BT$400,0),2)&lt;&gt;0),INDEX(COPIA!$BT$3:$BV$400,MATCH($C52,COPIA!$BT$3:$BT$400,0),2),IF(AND(COPIA!$BU$1=2,INDEX(COPIA!$BZ$3:$CB$400,MATCH($C52,COPIA!$BZ$3:$BZ$400,0),2)&lt;&gt;0),INDEX(COPIA!$BZ$3:$CB$400,MATCH($C52,COPIA!$BZ$3:$BZ$400,0),2),""))</f>
        <v/>
      </c>
      <c r="E52" s="86" t="str">
        <f ca="1">IF(AND(OR(COPIA!$BU$1=1,COPIA!$BU$1=3),INDEX(COPIA!$BT$3:$BV$400,MATCH($C52,COPIA!$BT$3:$BT$400,0),3)&lt;&gt;0),INDEX(COPIA!$BT$3:$BV$400,MATCH($C52,COPIA!$BT$3:$BT$400,0),3),IF(AND(COPIA!$BU$1=2,INDEX(COPIA!$BZ$3:$CB$400,MATCH($C52,COPIA!$BZ$3:$BZ$400,0),3)&lt;&gt;0),INDEX(COPIA!$BZ$3:$CB$400,MATCH($C52,COPIA!$BZ$3:$BZ$400,0),3),""))</f>
        <v/>
      </c>
      <c r="F52" s="86" t="str">
        <f ca="1">IFERROR(IF(AND(COPIA!$BU$1=3,INDEX(COPIA!$BZ$3:$CB$400,MATCH($C52,COPIA!$BZ$3:$BZ$400,0),2)&lt;&gt;0),INDEX(COPIA!$BZ$3:$CB$400,MATCH($C52,COPIA!$BZ$3:$BZ$400,0),2),""),"")</f>
        <v/>
      </c>
      <c r="G52" s="86" t="str">
        <f ca="1">IFERROR(IF(AND(COPIA!$BU$1=3,INDEX(COPIA!$BZ$3:$CB$400,MATCH($C52,COPIA!$BZ$3:$BZ$400,0),3)&lt;&gt;0),INDEX(COPIA!$BZ$3:$CB$400,MATCH($C52,COPIA!$BZ$3:$BZ$400,0),3),""),"")</f>
        <v/>
      </c>
      <c r="H52" s="7" t="str">
        <f t="shared" ca="1" si="1"/>
        <v/>
      </c>
    </row>
    <row r="53" spans="2:8" ht="18" customHeight="1" x14ac:dyDescent="0.3">
      <c r="B53" s="16" t="str">
        <f t="shared" ca="1" si="0"/>
        <v/>
      </c>
      <c r="C53" s="83" t="str">
        <f ca="1">IF(OR(COPIA!$BU$1=1,COPIA!$BU$1=3),COPIA!CO46,IF(COPIA!$BU$1=2,COPIA!BZ46,IF(ROW()=COPIA!$BT$1,"TOTALE","")))</f>
        <v/>
      </c>
      <c r="D53" s="86" t="str">
        <f ca="1">IF(AND(OR(COPIA!$BU$1=1,COPIA!$BU$1=3),INDEX(COPIA!$BT$3:$BV$400,MATCH($C53,COPIA!$BT$3:$BT$400,0),2)&lt;&gt;0),INDEX(COPIA!$BT$3:$BV$400,MATCH($C53,COPIA!$BT$3:$BT$400,0),2),IF(AND(COPIA!$BU$1=2,INDEX(COPIA!$BZ$3:$CB$400,MATCH($C53,COPIA!$BZ$3:$BZ$400,0),2)&lt;&gt;0),INDEX(COPIA!$BZ$3:$CB$400,MATCH($C53,COPIA!$BZ$3:$BZ$400,0),2),""))</f>
        <v/>
      </c>
      <c r="E53" s="86" t="str">
        <f ca="1">IF(AND(OR(COPIA!$BU$1=1,COPIA!$BU$1=3),INDEX(COPIA!$BT$3:$BV$400,MATCH($C53,COPIA!$BT$3:$BT$400,0),3)&lt;&gt;0),INDEX(COPIA!$BT$3:$BV$400,MATCH($C53,COPIA!$BT$3:$BT$400,0),3),IF(AND(COPIA!$BU$1=2,INDEX(COPIA!$BZ$3:$CB$400,MATCH($C53,COPIA!$BZ$3:$BZ$400,0),3)&lt;&gt;0),INDEX(COPIA!$BZ$3:$CB$400,MATCH($C53,COPIA!$BZ$3:$BZ$400,0),3),""))</f>
        <v/>
      </c>
      <c r="F53" s="86" t="str">
        <f ca="1">IFERROR(IF(AND(COPIA!$BU$1=3,INDEX(COPIA!$BZ$3:$CB$400,MATCH($C53,COPIA!$BZ$3:$BZ$400,0),2)&lt;&gt;0),INDEX(COPIA!$BZ$3:$CB$400,MATCH($C53,COPIA!$BZ$3:$BZ$400,0),2),""),"")</f>
        <v/>
      </c>
      <c r="G53" s="86" t="str">
        <f ca="1">IFERROR(IF(AND(COPIA!$BU$1=3,INDEX(COPIA!$BZ$3:$CB$400,MATCH($C53,COPIA!$BZ$3:$BZ$400,0),3)&lt;&gt;0),INDEX(COPIA!$BZ$3:$CB$400,MATCH($C53,COPIA!$BZ$3:$BZ$400,0),3),""),"")</f>
        <v/>
      </c>
      <c r="H53" s="7" t="str">
        <f t="shared" ca="1" si="1"/>
        <v/>
      </c>
    </row>
    <row r="54" spans="2:8" ht="18" customHeight="1" x14ac:dyDescent="0.3">
      <c r="B54" s="16" t="str">
        <f t="shared" ca="1" si="0"/>
        <v/>
      </c>
      <c r="C54" s="83" t="str">
        <f ca="1">IF(OR(COPIA!$BU$1=1,COPIA!$BU$1=3),COPIA!CO47,IF(COPIA!$BU$1=2,COPIA!BZ47,IF(ROW()=COPIA!$BT$1,"TOTALE","")))</f>
        <v/>
      </c>
      <c r="D54" s="86" t="str">
        <f ca="1">IF(AND(OR(COPIA!$BU$1=1,COPIA!$BU$1=3),INDEX(COPIA!$BT$3:$BV$400,MATCH($C54,COPIA!$BT$3:$BT$400,0),2)&lt;&gt;0),INDEX(COPIA!$BT$3:$BV$400,MATCH($C54,COPIA!$BT$3:$BT$400,0),2),IF(AND(COPIA!$BU$1=2,INDEX(COPIA!$BZ$3:$CB$400,MATCH($C54,COPIA!$BZ$3:$BZ$400,0),2)&lt;&gt;0),INDEX(COPIA!$BZ$3:$CB$400,MATCH($C54,COPIA!$BZ$3:$BZ$400,0),2),""))</f>
        <v/>
      </c>
      <c r="E54" s="86" t="str">
        <f ca="1">IF(AND(OR(COPIA!$BU$1=1,COPIA!$BU$1=3),INDEX(COPIA!$BT$3:$BV$400,MATCH($C54,COPIA!$BT$3:$BT$400,0),3)&lt;&gt;0),INDEX(COPIA!$BT$3:$BV$400,MATCH($C54,COPIA!$BT$3:$BT$400,0),3),IF(AND(COPIA!$BU$1=2,INDEX(COPIA!$BZ$3:$CB$400,MATCH($C54,COPIA!$BZ$3:$BZ$400,0),3)&lt;&gt;0),INDEX(COPIA!$BZ$3:$CB$400,MATCH($C54,COPIA!$BZ$3:$BZ$400,0),3),""))</f>
        <v/>
      </c>
      <c r="F54" s="86" t="str">
        <f ca="1">IFERROR(IF(AND(COPIA!$BU$1=3,INDEX(COPIA!$BZ$3:$CB$400,MATCH($C54,COPIA!$BZ$3:$BZ$400,0),2)&lt;&gt;0),INDEX(COPIA!$BZ$3:$CB$400,MATCH($C54,COPIA!$BZ$3:$BZ$400,0),2),""),"")</f>
        <v/>
      </c>
      <c r="G54" s="86" t="str">
        <f ca="1">IFERROR(IF(AND(COPIA!$BU$1=3,INDEX(COPIA!$BZ$3:$CB$400,MATCH($C54,COPIA!$BZ$3:$BZ$400,0),3)&lt;&gt;0),INDEX(COPIA!$BZ$3:$CB$400,MATCH($C54,COPIA!$BZ$3:$BZ$400,0),3),""),"")</f>
        <v/>
      </c>
      <c r="H54" s="7" t="str">
        <f t="shared" ca="1" si="1"/>
        <v/>
      </c>
    </row>
    <row r="55" spans="2:8" ht="18" customHeight="1" x14ac:dyDescent="0.3">
      <c r="B55" s="16" t="str">
        <f t="shared" ca="1" si="0"/>
        <v/>
      </c>
      <c r="C55" s="83" t="str">
        <f ca="1">IF(OR(COPIA!$BU$1=1,COPIA!$BU$1=3),COPIA!CO48,IF(COPIA!$BU$1=2,COPIA!BZ48,IF(ROW()=COPIA!$BT$1,"TOTALE","")))</f>
        <v/>
      </c>
      <c r="D55" s="86" t="str">
        <f ca="1">IF(AND(OR(COPIA!$BU$1=1,COPIA!$BU$1=3),INDEX(COPIA!$BT$3:$BV$400,MATCH($C55,COPIA!$BT$3:$BT$400,0),2)&lt;&gt;0),INDEX(COPIA!$BT$3:$BV$400,MATCH($C55,COPIA!$BT$3:$BT$400,0),2),IF(AND(COPIA!$BU$1=2,INDEX(COPIA!$BZ$3:$CB$400,MATCH($C55,COPIA!$BZ$3:$BZ$400,0),2)&lt;&gt;0),INDEX(COPIA!$BZ$3:$CB$400,MATCH($C55,COPIA!$BZ$3:$BZ$400,0),2),""))</f>
        <v/>
      </c>
      <c r="E55" s="86" t="str">
        <f ca="1">IF(AND(OR(COPIA!$BU$1=1,COPIA!$BU$1=3),INDEX(COPIA!$BT$3:$BV$400,MATCH($C55,COPIA!$BT$3:$BT$400,0),3)&lt;&gt;0),INDEX(COPIA!$BT$3:$BV$400,MATCH($C55,COPIA!$BT$3:$BT$400,0),3),IF(AND(COPIA!$BU$1=2,INDEX(COPIA!$BZ$3:$CB$400,MATCH($C55,COPIA!$BZ$3:$BZ$400,0),3)&lt;&gt;0),INDEX(COPIA!$BZ$3:$CB$400,MATCH($C55,COPIA!$BZ$3:$BZ$400,0),3),""))</f>
        <v/>
      </c>
      <c r="F55" s="86" t="str">
        <f ca="1">IFERROR(IF(AND(COPIA!$BU$1=3,INDEX(COPIA!$BZ$3:$CB$400,MATCH($C55,COPIA!$BZ$3:$BZ$400,0),2)&lt;&gt;0),INDEX(COPIA!$BZ$3:$CB$400,MATCH($C55,COPIA!$BZ$3:$BZ$400,0),2),""),"")</f>
        <v/>
      </c>
      <c r="G55" s="86" t="str">
        <f ca="1">IFERROR(IF(AND(COPIA!$BU$1=3,INDEX(COPIA!$BZ$3:$CB$400,MATCH($C55,COPIA!$BZ$3:$BZ$400,0),3)&lt;&gt;0),INDEX(COPIA!$BZ$3:$CB$400,MATCH($C55,COPIA!$BZ$3:$BZ$400,0),3),""),"")</f>
        <v/>
      </c>
      <c r="H55" s="7" t="str">
        <f t="shared" ca="1" si="1"/>
        <v/>
      </c>
    </row>
    <row r="56" spans="2:8" ht="18" customHeight="1" x14ac:dyDescent="0.3">
      <c r="B56" s="16" t="str">
        <f t="shared" ca="1" si="0"/>
        <v/>
      </c>
      <c r="C56" s="83" t="str">
        <f ca="1">IF(OR(COPIA!$BU$1=1,COPIA!$BU$1=3),COPIA!CO49,IF(COPIA!$BU$1=2,COPIA!BZ49,IF(ROW()=COPIA!$BT$1,"TOTALE","")))</f>
        <v/>
      </c>
      <c r="D56" s="86" t="str">
        <f ca="1">IF(AND(OR(COPIA!$BU$1=1,COPIA!$BU$1=3),INDEX(COPIA!$BT$3:$BV$400,MATCH($C56,COPIA!$BT$3:$BT$400,0),2)&lt;&gt;0),INDEX(COPIA!$BT$3:$BV$400,MATCH($C56,COPIA!$BT$3:$BT$400,0),2),IF(AND(COPIA!$BU$1=2,INDEX(COPIA!$BZ$3:$CB$400,MATCH($C56,COPIA!$BZ$3:$BZ$400,0),2)&lt;&gt;0),INDEX(COPIA!$BZ$3:$CB$400,MATCH($C56,COPIA!$BZ$3:$BZ$400,0),2),""))</f>
        <v/>
      </c>
      <c r="E56" s="86" t="str">
        <f ca="1">IF(AND(OR(COPIA!$BU$1=1,COPIA!$BU$1=3),INDEX(COPIA!$BT$3:$BV$400,MATCH($C56,COPIA!$BT$3:$BT$400,0),3)&lt;&gt;0),INDEX(COPIA!$BT$3:$BV$400,MATCH($C56,COPIA!$BT$3:$BT$400,0),3),IF(AND(COPIA!$BU$1=2,INDEX(COPIA!$BZ$3:$CB$400,MATCH($C56,COPIA!$BZ$3:$BZ$400,0),3)&lt;&gt;0),INDEX(COPIA!$BZ$3:$CB$400,MATCH($C56,COPIA!$BZ$3:$BZ$400,0),3),""))</f>
        <v/>
      </c>
      <c r="F56" s="86" t="str">
        <f ca="1">IFERROR(IF(AND(COPIA!$BU$1=3,INDEX(COPIA!$BZ$3:$CB$400,MATCH($C56,COPIA!$BZ$3:$BZ$400,0),2)&lt;&gt;0),INDEX(COPIA!$BZ$3:$CB$400,MATCH($C56,COPIA!$BZ$3:$BZ$400,0),2),""),"")</f>
        <v/>
      </c>
      <c r="G56" s="86" t="str">
        <f ca="1">IFERROR(IF(AND(COPIA!$BU$1=3,INDEX(COPIA!$BZ$3:$CB$400,MATCH($C56,COPIA!$BZ$3:$BZ$400,0),3)&lt;&gt;0),INDEX(COPIA!$BZ$3:$CB$400,MATCH($C56,COPIA!$BZ$3:$BZ$400,0),3),""),"")</f>
        <v/>
      </c>
      <c r="H56" s="7" t="str">
        <f t="shared" ca="1" si="1"/>
        <v/>
      </c>
    </row>
    <row r="57" spans="2:8" ht="18" customHeight="1" x14ac:dyDescent="0.3">
      <c r="B57" s="16" t="str">
        <f t="shared" ca="1" si="0"/>
        <v/>
      </c>
      <c r="C57" s="83" t="str">
        <f ca="1">IF(OR(COPIA!$BU$1=1,COPIA!$BU$1=3),COPIA!CO50,IF(COPIA!$BU$1=2,COPIA!BZ50,IF(ROW()=COPIA!$BT$1,"TOTALE","")))</f>
        <v/>
      </c>
      <c r="D57" s="86" t="str">
        <f ca="1">IF(AND(OR(COPIA!$BU$1=1,COPIA!$BU$1=3),INDEX(COPIA!$BT$3:$BV$400,MATCH($C57,COPIA!$BT$3:$BT$400,0),2)&lt;&gt;0),INDEX(COPIA!$BT$3:$BV$400,MATCH($C57,COPIA!$BT$3:$BT$400,0),2),IF(AND(COPIA!$BU$1=2,INDEX(COPIA!$BZ$3:$CB$400,MATCH($C57,COPIA!$BZ$3:$BZ$400,0),2)&lt;&gt;0),INDEX(COPIA!$BZ$3:$CB$400,MATCH($C57,COPIA!$BZ$3:$BZ$400,0),2),""))</f>
        <v/>
      </c>
      <c r="E57" s="86" t="str">
        <f ca="1">IF(AND(OR(COPIA!$BU$1=1,COPIA!$BU$1=3),INDEX(COPIA!$BT$3:$BV$400,MATCH($C57,COPIA!$BT$3:$BT$400,0),3)&lt;&gt;0),INDEX(COPIA!$BT$3:$BV$400,MATCH($C57,COPIA!$BT$3:$BT$400,0),3),IF(AND(COPIA!$BU$1=2,INDEX(COPIA!$BZ$3:$CB$400,MATCH($C57,COPIA!$BZ$3:$BZ$400,0),3)&lt;&gt;0),INDEX(COPIA!$BZ$3:$CB$400,MATCH($C57,COPIA!$BZ$3:$BZ$400,0),3),""))</f>
        <v/>
      </c>
      <c r="F57" s="86" t="str">
        <f ca="1">IFERROR(IF(AND(COPIA!$BU$1=3,INDEX(COPIA!$BZ$3:$CB$400,MATCH($C57,COPIA!$BZ$3:$BZ$400,0),2)&lt;&gt;0),INDEX(COPIA!$BZ$3:$CB$400,MATCH($C57,COPIA!$BZ$3:$BZ$400,0),2),""),"")</f>
        <v/>
      </c>
      <c r="G57" s="86" t="str">
        <f ca="1">IFERROR(IF(AND(COPIA!$BU$1=3,INDEX(COPIA!$BZ$3:$CB$400,MATCH($C57,COPIA!$BZ$3:$BZ$400,0),3)&lt;&gt;0),INDEX(COPIA!$BZ$3:$CB$400,MATCH($C57,COPIA!$BZ$3:$BZ$400,0),3),""),"")</f>
        <v/>
      </c>
      <c r="H57" s="7" t="str">
        <f t="shared" ca="1" si="1"/>
        <v/>
      </c>
    </row>
    <row r="58" spans="2:8" ht="18" customHeight="1" x14ac:dyDescent="0.3">
      <c r="B58" s="16" t="str">
        <f t="shared" ca="1" si="0"/>
        <v/>
      </c>
      <c r="C58" s="83" t="str">
        <f ca="1">IF(OR(COPIA!$BU$1=1,COPIA!$BU$1=3),COPIA!CO51,IF(COPIA!$BU$1=2,COPIA!BZ51,IF(ROW()=COPIA!$BT$1,"TOTALE","")))</f>
        <v/>
      </c>
      <c r="D58" s="86" t="str">
        <f ca="1">IF(AND(OR(COPIA!$BU$1=1,COPIA!$BU$1=3),INDEX(COPIA!$BT$3:$BV$400,MATCH($C58,COPIA!$BT$3:$BT$400,0),2)&lt;&gt;0),INDEX(COPIA!$BT$3:$BV$400,MATCH($C58,COPIA!$BT$3:$BT$400,0),2),IF(AND(COPIA!$BU$1=2,INDEX(COPIA!$BZ$3:$CB$400,MATCH($C58,COPIA!$BZ$3:$BZ$400,0),2)&lt;&gt;0),INDEX(COPIA!$BZ$3:$CB$400,MATCH($C58,COPIA!$BZ$3:$BZ$400,0),2),""))</f>
        <v/>
      </c>
      <c r="E58" s="86" t="str">
        <f ca="1">IF(AND(OR(COPIA!$BU$1=1,COPIA!$BU$1=3),INDEX(COPIA!$BT$3:$BV$400,MATCH($C58,COPIA!$BT$3:$BT$400,0),3)&lt;&gt;0),INDEX(COPIA!$BT$3:$BV$400,MATCH($C58,COPIA!$BT$3:$BT$400,0),3),IF(AND(COPIA!$BU$1=2,INDEX(COPIA!$BZ$3:$CB$400,MATCH($C58,COPIA!$BZ$3:$BZ$400,0),3)&lt;&gt;0),INDEX(COPIA!$BZ$3:$CB$400,MATCH($C58,COPIA!$BZ$3:$BZ$400,0),3),""))</f>
        <v/>
      </c>
      <c r="F58" s="86" t="str">
        <f ca="1">IFERROR(IF(AND(COPIA!$BU$1=3,INDEX(COPIA!$BZ$3:$CB$400,MATCH($C58,COPIA!$BZ$3:$BZ$400,0),2)&lt;&gt;0),INDEX(COPIA!$BZ$3:$CB$400,MATCH($C58,COPIA!$BZ$3:$BZ$400,0),2),""),"")</f>
        <v/>
      </c>
      <c r="G58" s="86" t="str">
        <f ca="1">IFERROR(IF(AND(COPIA!$BU$1=3,INDEX(COPIA!$BZ$3:$CB$400,MATCH($C58,COPIA!$BZ$3:$BZ$400,0),3)&lt;&gt;0),INDEX(COPIA!$BZ$3:$CB$400,MATCH($C58,COPIA!$BZ$3:$BZ$400,0),3),""),"")</f>
        <v/>
      </c>
      <c r="H58" s="7" t="str">
        <f t="shared" ca="1" si="1"/>
        <v/>
      </c>
    </row>
    <row r="59" spans="2:8" ht="18" customHeight="1" x14ac:dyDescent="0.3">
      <c r="B59" s="16" t="str">
        <f t="shared" ca="1" si="0"/>
        <v/>
      </c>
      <c r="C59" s="83" t="str">
        <f ca="1">IF(OR(COPIA!$BU$1=1,COPIA!$BU$1=3),COPIA!CO52,IF(COPIA!$BU$1=2,COPIA!BZ52,IF(ROW()=COPIA!$BT$1,"TOTALE","")))</f>
        <v/>
      </c>
      <c r="D59" s="86" t="str">
        <f ca="1">IF(AND(OR(COPIA!$BU$1=1,COPIA!$BU$1=3),INDEX(COPIA!$BT$3:$BV$400,MATCH($C59,COPIA!$BT$3:$BT$400,0),2)&lt;&gt;0),INDEX(COPIA!$BT$3:$BV$400,MATCH($C59,COPIA!$BT$3:$BT$400,0),2),IF(AND(COPIA!$BU$1=2,INDEX(COPIA!$BZ$3:$CB$400,MATCH($C59,COPIA!$BZ$3:$BZ$400,0),2)&lt;&gt;0),INDEX(COPIA!$BZ$3:$CB$400,MATCH($C59,COPIA!$BZ$3:$BZ$400,0),2),""))</f>
        <v/>
      </c>
      <c r="E59" s="86" t="str">
        <f ca="1">IF(AND(OR(COPIA!$BU$1=1,COPIA!$BU$1=3),INDEX(COPIA!$BT$3:$BV$400,MATCH($C59,COPIA!$BT$3:$BT$400,0),3)&lt;&gt;0),INDEX(COPIA!$BT$3:$BV$400,MATCH($C59,COPIA!$BT$3:$BT$400,0),3),IF(AND(COPIA!$BU$1=2,INDEX(COPIA!$BZ$3:$CB$400,MATCH($C59,COPIA!$BZ$3:$BZ$400,0),3)&lt;&gt;0),INDEX(COPIA!$BZ$3:$CB$400,MATCH($C59,COPIA!$BZ$3:$BZ$400,0),3),""))</f>
        <v/>
      </c>
      <c r="F59" s="86" t="str">
        <f ca="1">IFERROR(IF(AND(COPIA!$BU$1=3,INDEX(COPIA!$BZ$3:$CB$400,MATCH($C59,COPIA!$BZ$3:$BZ$400,0),2)&lt;&gt;0),INDEX(COPIA!$BZ$3:$CB$400,MATCH($C59,COPIA!$BZ$3:$BZ$400,0),2),""),"")</f>
        <v/>
      </c>
      <c r="G59" s="86" t="str">
        <f ca="1">IFERROR(IF(AND(COPIA!$BU$1=3,INDEX(COPIA!$BZ$3:$CB$400,MATCH($C59,COPIA!$BZ$3:$BZ$400,0),3)&lt;&gt;0),INDEX(COPIA!$BZ$3:$CB$400,MATCH($C59,COPIA!$BZ$3:$BZ$400,0),3),""),"")</f>
        <v/>
      </c>
      <c r="H59" s="7" t="str">
        <f t="shared" ca="1" si="1"/>
        <v/>
      </c>
    </row>
    <row r="60" spans="2:8" ht="18" customHeight="1" x14ac:dyDescent="0.3">
      <c r="B60" s="16" t="str">
        <f t="shared" ca="1" si="0"/>
        <v/>
      </c>
      <c r="C60" s="83" t="str">
        <f ca="1">IF(OR(COPIA!$BU$1=1,COPIA!$BU$1=3),COPIA!CO53,IF(COPIA!$BU$1=2,COPIA!BZ53,IF(ROW()=COPIA!$BT$1,"TOTALE","")))</f>
        <v/>
      </c>
      <c r="D60" s="86" t="str">
        <f ca="1">IF(AND(OR(COPIA!$BU$1=1,COPIA!$BU$1=3),INDEX(COPIA!$BT$3:$BV$400,MATCH($C60,COPIA!$BT$3:$BT$400,0),2)&lt;&gt;0),INDEX(COPIA!$BT$3:$BV$400,MATCH($C60,COPIA!$BT$3:$BT$400,0),2),IF(AND(COPIA!$BU$1=2,INDEX(COPIA!$BZ$3:$CB$400,MATCH($C60,COPIA!$BZ$3:$BZ$400,0),2)&lt;&gt;0),INDEX(COPIA!$BZ$3:$CB$400,MATCH($C60,COPIA!$BZ$3:$BZ$400,0),2),""))</f>
        <v/>
      </c>
      <c r="E60" s="86" t="str">
        <f ca="1">IF(AND(OR(COPIA!$BU$1=1,COPIA!$BU$1=3),INDEX(COPIA!$BT$3:$BV$400,MATCH($C60,COPIA!$BT$3:$BT$400,0),3)&lt;&gt;0),INDEX(COPIA!$BT$3:$BV$400,MATCH($C60,COPIA!$BT$3:$BT$400,0),3),IF(AND(COPIA!$BU$1=2,INDEX(COPIA!$BZ$3:$CB$400,MATCH($C60,COPIA!$BZ$3:$BZ$400,0),3)&lt;&gt;0),INDEX(COPIA!$BZ$3:$CB$400,MATCH($C60,COPIA!$BZ$3:$BZ$400,0),3),""))</f>
        <v/>
      </c>
      <c r="F60" s="86" t="str">
        <f ca="1">IFERROR(IF(AND(COPIA!$BU$1=3,INDEX(COPIA!$BZ$3:$CB$400,MATCH($C60,COPIA!$BZ$3:$BZ$400,0),2)&lt;&gt;0),INDEX(COPIA!$BZ$3:$CB$400,MATCH($C60,COPIA!$BZ$3:$BZ$400,0),2),""),"")</f>
        <v/>
      </c>
      <c r="G60" s="86" t="str">
        <f ca="1">IFERROR(IF(AND(COPIA!$BU$1=3,INDEX(COPIA!$BZ$3:$CB$400,MATCH($C60,COPIA!$BZ$3:$BZ$400,0),3)&lt;&gt;0),INDEX(COPIA!$BZ$3:$CB$400,MATCH($C60,COPIA!$BZ$3:$BZ$400,0),3),""),"")</f>
        <v/>
      </c>
      <c r="H60" s="7" t="str">
        <f t="shared" ca="1" si="1"/>
        <v/>
      </c>
    </row>
    <row r="61" spans="2:8" ht="18" customHeight="1" x14ac:dyDescent="0.3">
      <c r="B61" s="16" t="str">
        <f t="shared" ca="1" si="0"/>
        <v/>
      </c>
      <c r="C61" s="83" t="str">
        <f ca="1">IF(OR(COPIA!$BU$1=1,COPIA!$BU$1=3),COPIA!CO54,IF(COPIA!$BU$1=2,COPIA!BZ54,IF(ROW()=COPIA!$BT$1,"TOTALE","")))</f>
        <v/>
      </c>
      <c r="D61" s="86" t="str">
        <f ca="1">IF(AND(OR(COPIA!$BU$1=1,COPIA!$BU$1=3),INDEX(COPIA!$BT$3:$BV$400,MATCH($C61,COPIA!$BT$3:$BT$400,0),2)&lt;&gt;0),INDEX(COPIA!$BT$3:$BV$400,MATCH($C61,COPIA!$BT$3:$BT$400,0),2),IF(AND(COPIA!$BU$1=2,INDEX(COPIA!$BZ$3:$CB$400,MATCH($C61,COPIA!$BZ$3:$BZ$400,0),2)&lt;&gt;0),INDEX(COPIA!$BZ$3:$CB$400,MATCH($C61,COPIA!$BZ$3:$BZ$400,0),2),""))</f>
        <v/>
      </c>
      <c r="E61" s="86" t="str">
        <f ca="1">IF(AND(OR(COPIA!$BU$1=1,COPIA!$BU$1=3),INDEX(COPIA!$BT$3:$BV$400,MATCH($C61,COPIA!$BT$3:$BT$400,0),3)&lt;&gt;0),INDEX(COPIA!$BT$3:$BV$400,MATCH($C61,COPIA!$BT$3:$BT$400,0),3),IF(AND(COPIA!$BU$1=2,INDEX(COPIA!$BZ$3:$CB$400,MATCH($C61,COPIA!$BZ$3:$BZ$400,0),3)&lt;&gt;0),INDEX(COPIA!$BZ$3:$CB$400,MATCH($C61,COPIA!$BZ$3:$BZ$400,0),3),""))</f>
        <v/>
      </c>
      <c r="F61" s="86" t="str">
        <f ca="1">IFERROR(IF(AND(COPIA!$BU$1=3,INDEX(COPIA!$BZ$3:$CB$400,MATCH($C61,COPIA!$BZ$3:$BZ$400,0),2)&lt;&gt;0),INDEX(COPIA!$BZ$3:$CB$400,MATCH($C61,COPIA!$BZ$3:$BZ$400,0),2),""),"")</f>
        <v/>
      </c>
      <c r="G61" s="86" t="str">
        <f ca="1">IFERROR(IF(AND(COPIA!$BU$1=3,INDEX(COPIA!$BZ$3:$CB$400,MATCH($C61,COPIA!$BZ$3:$BZ$400,0),3)&lt;&gt;0),INDEX(COPIA!$BZ$3:$CB$400,MATCH($C61,COPIA!$BZ$3:$BZ$400,0),3),""),"")</f>
        <v/>
      </c>
      <c r="H61" s="7" t="str">
        <f t="shared" ca="1" si="1"/>
        <v/>
      </c>
    </row>
    <row r="62" spans="2:8" ht="18" customHeight="1" x14ac:dyDescent="0.3">
      <c r="B62" s="16" t="str">
        <f t="shared" ca="1" si="0"/>
        <v/>
      </c>
      <c r="C62" s="83" t="str">
        <f ca="1">IF(OR(COPIA!$BU$1=1,COPIA!$BU$1=3),COPIA!CO55,IF(COPIA!$BU$1=2,COPIA!BZ55,IF(ROW()=COPIA!$BT$1,"TOTALE","")))</f>
        <v/>
      </c>
      <c r="D62" s="86" t="str">
        <f ca="1">IF(AND(OR(COPIA!$BU$1=1,COPIA!$BU$1=3),INDEX(COPIA!$BT$3:$BV$400,MATCH($C62,COPIA!$BT$3:$BT$400,0),2)&lt;&gt;0),INDEX(COPIA!$BT$3:$BV$400,MATCH($C62,COPIA!$BT$3:$BT$400,0),2),IF(AND(COPIA!$BU$1=2,INDEX(COPIA!$BZ$3:$CB$400,MATCH($C62,COPIA!$BZ$3:$BZ$400,0),2)&lt;&gt;0),INDEX(COPIA!$BZ$3:$CB$400,MATCH($C62,COPIA!$BZ$3:$BZ$400,0),2),""))</f>
        <v/>
      </c>
      <c r="E62" s="86" t="str">
        <f ca="1">IF(AND(OR(COPIA!$BU$1=1,COPIA!$BU$1=3),INDEX(COPIA!$BT$3:$BV$400,MATCH($C62,COPIA!$BT$3:$BT$400,0),3)&lt;&gt;0),INDEX(COPIA!$BT$3:$BV$400,MATCH($C62,COPIA!$BT$3:$BT$400,0),3),IF(AND(COPIA!$BU$1=2,INDEX(COPIA!$BZ$3:$CB$400,MATCH($C62,COPIA!$BZ$3:$BZ$400,0),3)&lt;&gt;0),INDEX(COPIA!$BZ$3:$CB$400,MATCH($C62,COPIA!$BZ$3:$BZ$400,0),3),""))</f>
        <v/>
      </c>
      <c r="F62" s="86" t="str">
        <f ca="1">IFERROR(IF(AND(COPIA!$BU$1=3,INDEX(COPIA!$BZ$3:$CB$400,MATCH($C62,COPIA!$BZ$3:$BZ$400,0),2)&lt;&gt;0),INDEX(COPIA!$BZ$3:$CB$400,MATCH($C62,COPIA!$BZ$3:$BZ$400,0),2),""),"")</f>
        <v/>
      </c>
      <c r="G62" s="86" t="str">
        <f ca="1">IFERROR(IF(AND(COPIA!$BU$1=3,INDEX(COPIA!$BZ$3:$CB$400,MATCH($C62,COPIA!$BZ$3:$BZ$400,0),3)&lt;&gt;0),INDEX(COPIA!$BZ$3:$CB$400,MATCH($C62,COPIA!$BZ$3:$BZ$400,0),3),""),"")</f>
        <v/>
      </c>
      <c r="H62" s="7" t="str">
        <f t="shared" ca="1" si="1"/>
        <v/>
      </c>
    </row>
    <row r="63" spans="2:8" ht="18" customHeight="1" x14ac:dyDescent="0.3">
      <c r="B63" s="16" t="str">
        <f t="shared" ca="1" si="0"/>
        <v/>
      </c>
      <c r="C63" s="83" t="str">
        <f ca="1">IF(OR(COPIA!$BU$1=1,COPIA!$BU$1=3),COPIA!CO56,IF(COPIA!$BU$1=2,COPIA!BZ56,IF(ROW()=COPIA!$BT$1,"TOTALE","")))</f>
        <v/>
      </c>
      <c r="D63" s="86" t="str">
        <f ca="1">IF(AND(OR(COPIA!$BU$1=1,COPIA!$BU$1=3),INDEX(COPIA!$BT$3:$BV$400,MATCH($C63,COPIA!$BT$3:$BT$400,0),2)&lt;&gt;0),INDEX(COPIA!$BT$3:$BV$400,MATCH($C63,COPIA!$BT$3:$BT$400,0),2),IF(AND(COPIA!$BU$1=2,INDEX(COPIA!$BZ$3:$CB$400,MATCH($C63,COPIA!$BZ$3:$BZ$400,0),2)&lt;&gt;0),INDEX(COPIA!$BZ$3:$CB$400,MATCH($C63,COPIA!$BZ$3:$BZ$400,0),2),""))</f>
        <v/>
      </c>
      <c r="E63" s="86" t="str">
        <f ca="1">IF(AND(OR(COPIA!$BU$1=1,COPIA!$BU$1=3),INDEX(COPIA!$BT$3:$BV$400,MATCH($C63,COPIA!$BT$3:$BT$400,0),3)&lt;&gt;0),INDEX(COPIA!$BT$3:$BV$400,MATCH($C63,COPIA!$BT$3:$BT$400,0),3),IF(AND(COPIA!$BU$1=2,INDEX(COPIA!$BZ$3:$CB$400,MATCH($C63,COPIA!$BZ$3:$BZ$400,0),3)&lt;&gt;0),INDEX(COPIA!$BZ$3:$CB$400,MATCH($C63,COPIA!$BZ$3:$BZ$400,0),3),""))</f>
        <v/>
      </c>
      <c r="F63" s="86" t="str">
        <f ca="1">IFERROR(IF(AND(COPIA!$BU$1=3,INDEX(COPIA!$BZ$3:$CB$400,MATCH($C63,COPIA!$BZ$3:$BZ$400,0),2)&lt;&gt;0),INDEX(COPIA!$BZ$3:$CB$400,MATCH($C63,COPIA!$BZ$3:$BZ$400,0),2),""),"")</f>
        <v/>
      </c>
      <c r="G63" s="86" t="str">
        <f ca="1">IFERROR(IF(AND(COPIA!$BU$1=3,INDEX(COPIA!$BZ$3:$CB$400,MATCH($C63,COPIA!$BZ$3:$BZ$400,0),3)&lt;&gt;0),INDEX(COPIA!$BZ$3:$CB$400,MATCH($C63,COPIA!$BZ$3:$BZ$400,0),3),""),"")</f>
        <v/>
      </c>
      <c r="H63" s="7" t="str">
        <f t="shared" ca="1" si="1"/>
        <v/>
      </c>
    </row>
    <row r="64" spans="2:8" ht="18" customHeight="1" x14ac:dyDescent="0.3">
      <c r="B64" s="16" t="str">
        <f t="shared" ca="1" si="0"/>
        <v/>
      </c>
      <c r="C64" s="83" t="str">
        <f ca="1">IF(OR(COPIA!$BU$1=1,COPIA!$BU$1=3),COPIA!CO57,IF(COPIA!$BU$1=2,COPIA!BZ57,IF(ROW()=COPIA!$BT$1,"TOTALE","")))</f>
        <v/>
      </c>
      <c r="D64" s="86" t="str">
        <f ca="1">IF(AND(OR(COPIA!$BU$1=1,COPIA!$BU$1=3),INDEX(COPIA!$BT$3:$BV$400,MATCH($C64,COPIA!$BT$3:$BT$400,0),2)&lt;&gt;0),INDEX(COPIA!$BT$3:$BV$400,MATCH($C64,COPIA!$BT$3:$BT$400,0),2),IF(AND(COPIA!$BU$1=2,INDEX(COPIA!$BZ$3:$CB$400,MATCH($C64,COPIA!$BZ$3:$BZ$400,0),2)&lt;&gt;0),INDEX(COPIA!$BZ$3:$CB$400,MATCH($C64,COPIA!$BZ$3:$BZ$400,0),2),""))</f>
        <v/>
      </c>
      <c r="E64" s="86" t="str">
        <f ca="1">IF(AND(OR(COPIA!$BU$1=1,COPIA!$BU$1=3),INDEX(COPIA!$BT$3:$BV$400,MATCH($C64,COPIA!$BT$3:$BT$400,0),3)&lt;&gt;0),INDEX(COPIA!$BT$3:$BV$400,MATCH($C64,COPIA!$BT$3:$BT$400,0),3),IF(AND(COPIA!$BU$1=2,INDEX(COPIA!$BZ$3:$CB$400,MATCH($C64,COPIA!$BZ$3:$BZ$400,0),3)&lt;&gt;0),INDEX(COPIA!$BZ$3:$CB$400,MATCH($C64,COPIA!$BZ$3:$BZ$400,0),3),""))</f>
        <v/>
      </c>
      <c r="F64" s="86" t="str">
        <f ca="1">IFERROR(IF(AND(COPIA!$BU$1=3,INDEX(COPIA!$BZ$3:$CB$400,MATCH($C64,COPIA!$BZ$3:$BZ$400,0),2)&lt;&gt;0),INDEX(COPIA!$BZ$3:$CB$400,MATCH($C64,COPIA!$BZ$3:$BZ$400,0),2),""),"")</f>
        <v/>
      </c>
      <c r="G64" s="86" t="str">
        <f ca="1">IFERROR(IF(AND(COPIA!$BU$1=3,INDEX(COPIA!$BZ$3:$CB$400,MATCH($C64,COPIA!$BZ$3:$BZ$400,0),3)&lt;&gt;0),INDEX(COPIA!$BZ$3:$CB$400,MATCH($C64,COPIA!$BZ$3:$BZ$400,0),3),""),"")</f>
        <v/>
      </c>
      <c r="H64" s="7" t="str">
        <f t="shared" ca="1" si="1"/>
        <v/>
      </c>
    </row>
    <row r="65" spans="2:8" ht="18" customHeight="1" x14ac:dyDescent="0.3">
      <c r="B65" s="16" t="str">
        <f t="shared" ca="1" si="0"/>
        <v/>
      </c>
      <c r="C65" s="83" t="str">
        <f ca="1">IF(OR(COPIA!$BU$1=1,COPIA!$BU$1=3),COPIA!CO58,IF(COPIA!$BU$1=2,COPIA!BZ58,IF(ROW()=COPIA!$BT$1,"TOTALE","")))</f>
        <v/>
      </c>
      <c r="D65" s="86" t="str">
        <f ca="1">IF(AND(OR(COPIA!$BU$1=1,COPIA!$BU$1=3),INDEX(COPIA!$BT$3:$BV$400,MATCH($C65,COPIA!$BT$3:$BT$400,0),2)&lt;&gt;0),INDEX(COPIA!$BT$3:$BV$400,MATCH($C65,COPIA!$BT$3:$BT$400,0),2),IF(AND(COPIA!$BU$1=2,INDEX(COPIA!$BZ$3:$CB$400,MATCH($C65,COPIA!$BZ$3:$BZ$400,0),2)&lt;&gt;0),INDEX(COPIA!$BZ$3:$CB$400,MATCH($C65,COPIA!$BZ$3:$BZ$400,0),2),""))</f>
        <v/>
      </c>
      <c r="E65" s="86" t="str">
        <f ca="1">IF(AND(OR(COPIA!$BU$1=1,COPIA!$BU$1=3),INDEX(COPIA!$BT$3:$BV$400,MATCH($C65,COPIA!$BT$3:$BT$400,0),3)&lt;&gt;0),INDEX(COPIA!$BT$3:$BV$400,MATCH($C65,COPIA!$BT$3:$BT$400,0),3),IF(AND(COPIA!$BU$1=2,INDEX(COPIA!$BZ$3:$CB$400,MATCH($C65,COPIA!$BZ$3:$BZ$400,0),3)&lt;&gt;0),INDEX(COPIA!$BZ$3:$CB$400,MATCH($C65,COPIA!$BZ$3:$BZ$400,0),3),""))</f>
        <v/>
      </c>
      <c r="F65" s="86" t="str">
        <f ca="1">IFERROR(IF(AND(COPIA!$BU$1=3,INDEX(COPIA!$BZ$3:$CB$400,MATCH($C65,COPIA!$BZ$3:$BZ$400,0),2)&lt;&gt;0),INDEX(COPIA!$BZ$3:$CB$400,MATCH($C65,COPIA!$BZ$3:$BZ$400,0),2),""),"")</f>
        <v/>
      </c>
      <c r="G65" s="86" t="str">
        <f ca="1">IFERROR(IF(AND(COPIA!$BU$1=3,INDEX(COPIA!$BZ$3:$CB$400,MATCH($C65,COPIA!$BZ$3:$BZ$400,0),3)&lt;&gt;0),INDEX(COPIA!$BZ$3:$CB$400,MATCH($C65,COPIA!$BZ$3:$BZ$400,0),3),""),"")</f>
        <v/>
      </c>
      <c r="H65" s="7" t="str">
        <f t="shared" ca="1" si="1"/>
        <v/>
      </c>
    </row>
    <row r="66" spans="2:8" ht="18" customHeight="1" x14ac:dyDescent="0.3">
      <c r="B66" s="16" t="str">
        <f t="shared" ca="1" si="0"/>
        <v/>
      </c>
      <c r="C66" s="83" t="str">
        <f ca="1">IF(OR(COPIA!$BU$1=1,COPIA!$BU$1=3),COPIA!CO59,IF(COPIA!$BU$1=2,COPIA!BZ59,IF(ROW()=COPIA!$BT$1,"TOTALE","")))</f>
        <v/>
      </c>
      <c r="D66" s="86" t="str">
        <f ca="1">IF(AND(OR(COPIA!$BU$1=1,COPIA!$BU$1=3),INDEX(COPIA!$BT$3:$BV$400,MATCH($C66,COPIA!$BT$3:$BT$400,0),2)&lt;&gt;0),INDEX(COPIA!$BT$3:$BV$400,MATCH($C66,COPIA!$BT$3:$BT$400,0),2),IF(AND(COPIA!$BU$1=2,INDEX(COPIA!$BZ$3:$CB$400,MATCH($C66,COPIA!$BZ$3:$BZ$400,0),2)&lt;&gt;0),INDEX(COPIA!$BZ$3:$CB$400,MATCH($C66,COPIA!$BZ$3:$BZ$400,0),2),""))</f>
        <v/>
      </c>
      <c r="E66" s="86" t="str">
        <f ca="1">IF(AND(OR(COPIA!$BU$1=1,COPIA!$BU$1=3),INDEX(COPIA!$BT$3:$BV$400,MATCH($C66,COPIA!$BT$3:$BT$400,0),3)&lt;&gt;0),INDEX(COPIA!$BT$3:$BV$400,MATCH($C66,COPIA!$BT$3:$BT$400,0),3),IF(AND(COPIA!$BU$1=2,INDEX(COPIA!$BZ$3:$CB$400,MATCH($C66,COPIA!$BZ$3:$BZ$400,0),3)&lt;&gt;0),INDEX(COPIA!$BZ$3:$CB$400,MATCH($C66,COPIA!$BZ$3:$BZ$400,0),3),""))</f>
        <v/>
      </c>
      <c r="F66" s="86" t="str">
        <f ca="1">IFERROR(IF(AND(COPIA!$BU$1=3,INDEX(COPIA!$BZ$3:$CB$400,MATCH($C66,COPIA!$BZ$3:$BZ$400,0),2)&lt;&gt;0),INDEX(COPIA!$BZ$3:$CB$400,MATCH($C66,COPIA!$BZ$3:$BZ$400,0),2),""),"")</f>
        <v/>
      </c>
      <c r="G66" s="86" t="str">
        <f ca="1">IFERROR(IF(AND(COPIA!$BU$1=3,INDEX(COPIA!$BZ$3:$CB$400,MATCH($C66,COPIA!$BZ$3:$BZ$400,0),3)&lt;&gt;0),INDEX(COPIA!$BZ$3:$CB$400,MATCH($C66,COPIA!$BZ$3:$BZ$400,0),3),""),"")</f>
        <v/>
      </c>
      <c r="H66" s="7" t="str">
        <f t="shared" ca="1" si="1"/>
        <v/>
      </c>
    </row>
    <row r="67" spans="2:8" ht="18" customHeight="1" x14ac:dyDescent="0.3">
      <c r="B67" s="16" t="str">
        <f t="shared" ca="1" si="0"/>
        <v/>
      </c>
      <c r="C67" s="83" t="str">
        <f ca="1">IF(OR(COPIA!$BU$1=1,COPIA!$BU$1=3),COPIA!CO60,IF(COPIA!$BU$1=2,COPIA!BZ60,IF(ROW()=COPIA!$BT$1,"TOTALE","")))</f>
        <v/>
      </c>
      <c r="D67" s="86" t="str">
        <f ca="1">IF(AND(OR(COPIA!$BU$1=1,COPIA!$BU$1=3),INDEX(COPIA!$BT$3:$BV$400,MATCH($C67,COPIA!$BT$3:$BT$400,0),2)&lt;&gt;0),INDEX(COPIA!$BT$3:$BV$400,MATCH($C67,COPIA!$BT$3:$BT$400,0),2),IF(AND(COPIA!$BU$1=2,INDEX(COPIA!$BZ$3:$CB$400,MATCH($C67,COPIA!$BZ$3:$BZ$400,0),2)&lt;&gt;0),INDEX(COPIA!$BZ$3:$CB$400,MATCH($C67,COPIA!$BZ$3:$BZ$400,0),2),""))</f>
        <v/>
      </c>
      <c r="E67" s="86" t="str">
        <f ca="1">IF(AND(OR(COPIA!$BU$1=1,COPIA!$BU$1=3),INDEX(COPIA!$BT$3:$BV$400,MATCH($C67,COPIA!$BT$3:$BT$400,0),3)&lt;&gt;0),INDEX(COPIA!$BT$3:$BV$400,MATCH($C67,COPIA!$BT$3:$BT$400,0),3),IF(AND(COPIA!$BU$1=2,INDEX(COPIA!$BZ$3:$CB$400,MATCH($C67,COPIA!$BZ$3:$BZ$400,0),3)&lt;&gt;0),INDEX(COPIA!$BZ$3:$CB$400,MATCH($C67,COPIA!$BZ$3:$BZ$400,0),3),""))</f>
        <v/>
      </c>
      <c r="F67" s="86" t="str">
        <f ca="1">IFERROR(IF(AND(COPIA!$BU$1=3,INDEX(COPIA!$BZ$3:$CB$400,MATCH($C67,COPIA!$BZ$3:$BZ$400,0),2)&lt;&gt;0),INDEX(COPIA!$BZ$3:$CB$400,MATCH($C67,COPIA!$BZ$3:$BZ$400,0),2),""),"")</f>
        <v/>
      </c>
      <c r="G67" s="86" t="str">
        <f ca="1">IFERROR(IF(AND(COPIA!$BU$1=3,INDEX(COPIA!$BZ$3:$CB$400,MATCH($C67,COPIA!$BZ$3:$BZ$400,0),3)&lt;&gt;0),INDEX(COPIA!$BZ$3:$CB$400,MATCH($C67,COPIA!$BZ$3:$BZ$400,0),3),""),"")</f>
        <v/>
      </c>
      <c r="H67" s="7" t="str">
        <f t="shared" ca="1" si="1"/>
        <v/>
      </c>
    </row>
    <row r="68" spans="2:8" ht="18" customHeight="1" x14ac:dyDescent="0.3">
      <c r="B68" s="16" t="str">
        <f t="shared" ca="1" si="0"/>
        <v/>
      </c>
      <c r="C68" s="83" t="str">
        <f ca="1">IF(OR(COPIA!$BU$1=1,COPIA!$BU$1=3),COPIA!CO61,IF(COPIA!$BU$1=2,COPIA!BZ61,IF(ROW()=COPIA!$BT$1,"TOTALE","")))</f>
        <v/>
      </c>
      <c r="D68" s="86" t="str">
        <f ca="1">IF(AND(OR(COPIA!$BU$1=1,COPIA!$BU$1=3),INDEX(COPIA!$BT$3:$BV$400,MATCH($C68,COPIA!$BT$3:$BT$400,0),2)&lt;&gt;0),INDEX(COPIA!$BT$3:$BV$400,MATCH($C68,COPIA!$BT$3:$BT$400,0),2),IF(AND(COPIA!$BU$1=2,INDEX(COPIA!$BZ$3:$CB$400,MATCH($C68,COPIA!$BZ$3:$BZ$400,0),2)&lt;&gt;0),INDEX(COPIA!$BZ$3:$CB$400,MATCH($C68,COPIA!$BZ$3:$BZ$400,0),2),""))</f>
        <v/>
      </c>
      <c r="E68" s="86" t="str">
        <f ca="1">IF(AND(OR(COPIA!$BU$1=1,COPIA!$BU$1=3),INDEX(COPIA!$BT$3:$BV$400,MATCH($C68,COPIA!$BT$3:$BT$400,0),3)&lt;&gt;0),INDEX(COPIA!$BT$3:$BV$400,MATCH($C68,COPIA!$BT$3:$BT$400,0),3),IF(AND(COPIA!$BU$1=2,INDEX(COPIA!$BZ$3:$CB$400,MATCH($C68,COPIA!$BZ$3:$BZ$400,0),3)&lt;&gt;0),INDEX(COPIA!$BZ$3:$CB$400,MATCH($C68,COPIA!$BZ$3:$BZ$400,0),3),""))</f>
        <v/>
      </c>
      <c r="F68" s="86" t="str">
        <f ca="1">IFERROR(IF(AND(COPIA!$BU$1=3,INDEX(COPIA!$BZ$3:$CB$400,MATCH($C68,COPIA!$BZ$3:$BZ$400,0),2)&lt;&gt;0),INDEX(COPIA!$BZ$3:$CB$400,MATCH($C68,COPIA!$BZ$3:$BZ$400,0),2),""),"")</f>
        <v/>
      </c>
      <c r="G68" s="86" t="str">
        <f ca="1">IFERROR(IF(AND(COPIA!$BU$1=3,INDEX(COPIA!$BZ$3:$CB$400,MATCH($C68,COPIA!$BZ$3:$BZ$400,0),3)&lt;&gt;0),INDEX(COPIA!$BZ$3:$CB$400,MATCH($C68,COPIA!$BZ$3:$BZ$400,0),3),""),"")</f>
        <v/>
      </c>
      <c r="H68" s="7" t="str">
        <f t="shared" ca="1" si="1"/>
        <v/>
      </c>
    </row>
    <row r="69" spans="2:8" ht="18" customHeight="1" x14ac:dyDescent="0.3">
      <c r="B69" s="16" t="str">
        <f t="shared" ca="1" si="0"/>
        <v/>
      </c>
      <c r="C69" s="83" t="str">
        <f ca="1">IF(OR(COPIA!$BU$1=1,COPIA!$BU$1=3),COPIA!CO62,IF(COPIA!$BU$1=2,COPIA!BZ62,IF(ROW()=COPIA!$BT$1,"TOTALE","")))</f>
        <v/>
      </c>
      <c r="D69" s="86" t="str">
        <f ca="1">IF(AND(OR(COPIA!$BU$1=1,COPIA!$BU$1=3),INDEX(COPIA!$BT$3:$BV$400,MATCH($C69,COPIA!$BT$3:$BT$400,0),2)&lt;&gt;0),INDEX(COPIA!$BT$3:$BV$400,MATCH($C69,COPIA!$BT$3:$BT$400,0),2),IF(AND(COPIA!$BU$1=2,INDEX(COPIA!$BZ$3:$CB$400,MATCH($C69,COPIA!$BZ$3:$BZ$400,0),2)&lt;&gt;0),INDEX(COPIA!$BZ$3:$CB$400,MATCH($C69,COPIA!$BZ$3:$BZ$400,0),2),""))</f>
        <v/>
      </c>
      <c r="E69" s="86" t="str">
        <f ca="1">IF(AND(OR(COPIA!$BU$1=1,COPIA!$BU$1=3),INDEX(COPIA!$BT$3:$BV$400,MATCH($C69,COPIA!$BT$3:$BT$400,0),3)&lt;&gt;0),INDEX(COPIA!$BT$3:$BV$400,MATCH($C69,COPIA!$BT$3:$BT$400,0),3),IF(AND(COPIA!$BU$1=2,INDEX(COPIA!$BZ$3:$CB$400,MATCH($C69,COPIA!$BZ$3:$BZ$400,0),3)&lt;&gt;0),INDEX(COPIA!$BZ$3:$CB$400,MATCH($C69,COPIA!$BZ$3:$BZ$400,0),3),""))</f>
        <v/>
      </c>
      <c r="F69" s="86" t="str">
        <f ca="1">IFERROR(IF(AND(COPIA!$BU$1=3,INDEX(COPIA!$BZ$3:$CB$400,MATCH($C69,COPIA!$BZ$3:$BZ$400,0),2)&lt;&gt;0),INDEX(COPIA!$BZ$3:$CB$400,MATCH($C69,COPIA!$BZ$3:$BZ$400,0),2),""),"")</f>
        <v/>
      </c>
      <c r="G69" s="86" t="str">
        <f ca="1">IFERROR(IF(AND(COPIA!$BU$1=3,INDEX(COPIA!$BZ$3:$CB$400,MATCH($C69,COPIA!$BZ$3:$BZ$400,0),3)&lt;&gt;0),INDEX(COPIA!$BZ$3:$CB$400,MATCH($C69,COPIA!$BZ$3:$BZ$400,0),3),""),"")</f>
        <v/>
      </c>
      <c r="H69" s="7" t="str">
        <f t="shared" ca="1" si="1"/>
        <v/>
      </c>
    </row>
    <row r="70" spans="2:8" ht="18" customHeight="1" x14ac:dyDescent="0.3">
      <c r="B70" s="16" t="str">
        <f t="shared" ca="1" si="0"/>
        <v/>
      </c>
      <c r="C70" s="83" t="str">
        <f ca="1">IF(OR(COPIA!$BU$1=1,COPIA!$BU$1=3),COPIA!CO63,IF(COPIA!$BU$1=2,COPIA!BZ63,IF(ROW()=COPIA!$BT$1,"TOTALE","")))</f>
        <v/>
      </c>
      <c r="D70" s="86" t="str">
        <f ca="1">IF(AND(OR(COPIA!$BU$1=1,COPIA!$BU$1=3),INDEX(COPIA!$BT$3:$BV$400,MATCH($C70,COPIA!$BT$3:$BT$400,0),2)&lt;&gt;0),INDEX(COPIA!$BT$3:$BV$400,MATCH($C70,COPIA!$BT$3:$BT$400,0),2),IF(AND(COPIA!$BU$1=2,INDEX(COPIA!$BZ$3:$CB$400,MATCH($C70,COPIA!$BZ$3:$BZ$400,0),2)&lt;&gt;0),INDEX(COPIA!$BZ$3:$CB$400,MATCH($C70,COPIA!$BZ$3:$BZ$400,0),2),""))</f>
        <v/>
      </c>
      <c r="E70" s="86" t="str">
        <f ca="1">IF(AND(OR(COPIA!$BU$1=1,COPIA!$BU$1=3),INDEX(COPIA!$BT$3:$BV$400,MATCH($C70,COPIA!$BT$3:$BT$400,0),3)&lt;&gt;0),INDEX(COPIA!$BT$3:$BV$400,MATCH($C70,COPIA!$BT$3:$BT$400,0),3),IF(AND(COPIA!$BU$1=2,INDEX(COPIA!$BZ$3:$CB$400,MATCH($C70,COPIA!$BZ$3:$BZ$400,0),3)&lt;&gt;0),INDEX(COPIA!$BZ$3:$CB$400,MATCH($C70,COPIA!$BZ$3:$BZ$400,0),3),""))</f>
        <v/>
      </c>
      <c r="F70" s="86" t="str">
        <f ca="1">IFERROR(IF(AND(COPIA!$BU$1=3,INDEX(COPIA!$BZ$3:$CB$400,MATCH($C70,COPIA!$BZ$3:$BZ$400,0),2)&lt;&gt;0),INDEX(COPIA!$BZ$3:$CB$400,MATCH($C70,COPIA!$BZ$3:$BZ$400,0),2),""),"")</f>
        <v/>
      </c>
      <c r="G70" s="86" t="str">
        <f ca="1">IFERROR(IF(AND(COPIA!$BU$1=3,INDEX(COPIA!$BZ$3:$CB$400,MATCH($C70,COPIA!$BZ$3:$BZ$400,0),3)&lt;&gt;0),INDEX(COPIA!$BZ$3:$CB$400,MATCH($C70,COPIA!$BZ$3:$BZ$400,0),3),""),"")</f>
        <v/>
      </c>
      <c r="H70" s="7" t="str">
        <f t="shared" ca="1" si="1"/>
        <v/>
      </c>
    </row>
    <row r="71" spans="2:8" ht="18" customHeight="1" x14ac:dyDescent="0.3">
      <c r="B71" s="16" t="str">
        <f t="shared" ca="1" si="0"/>
        <v/>
      </c>
      <c r="C71" s="83" t="str">
        <f ca="1">IF(OR(COPIA!$BU$1=1,COPIA!$BU$1=3),COPIA!CO64,IF(COPIA!$BU$1=2,COPIA!BZ64,IF(ROW()=COPIA!$BT$1,"TOTALE","")))</f>
        <v/>
      </c>
      <c r="D71" s="86" t="str">
        <f ca="1">IF(AND(OR(COPIA!$BU$1=1,COPIA!$BU$1=3),INDEX(COPIA!$BT$3:$BV$400,MATCH($C71,COPIA!$BT$3:$BT$400,0),2)&lt;&gt;0),INDEX(COPIA!$BT$3:$BV$400,MATCH($C71,COPIA!$BT$3:$BT$400,0),2),IF(AND(COPIA!$BU$1=2,INDEX(COPIA!$BZ$3:$CB$400,MATCH($C71,COPIA!$BZ$3:$BZ$400,0),2)&lt;&gt;0),INDEX(COPIA!$BZ$3:$CB$400,MATCH($C71,COPIA!$BZ$3:$BZ$400,0),2),""))</f>
        <v/>
      </c>
      <c r="E71" s="86" t="str">
        <f ca="1">IF(AND(OR(COPIA!$BU$1=1,COPIA!$BU$1=3),INDEX(COPIA!$BT$3:$BV$400,MATCH($C71,COPIA!$BT$3:$BT$400,0),3)&lt;&gt;0),INDEX(COPIA!$BT$3:$BV$400,MATCH($C71,COPIA!$BT$3:$BT$400,0),3),IF(AND(COPIA!$BU$1=2,INDEX(COPIA!$BZ$3:$CB$400,MATCH($C71,COPIA!$BZ$3:$BZ$400,0),3)&lt;&gt;0),INDEX(COPIA!$BZ$3:$CB$400,MATCH($C71,COPIA!$BZ$3:$BZ$400,0),3),""))</f>
        <v/>
      </c>
      <c r="F71" s="86" t="str">
        <f ca="1">IFERROR(IF(AND(COPIA!$BU$1=3,INDEX(COPIA!$BZ$3:$CB$400,MATCH($C71,COPIA!$BZ$3:$BZ$400,0),2)&lt;&gt;0),INDEX(COPIA!$BZ$3:$CB$400,MATCH($C71,COPIA!$BZ$3:$BZ$400,0),2),""),"")</f>
        <v/>
      </c>
      <c r="G71" s="86" t="str">
        <f ca="1">IFERROR(IF(AND(COPIA!$BU$1=3,INDEX(COPIA!$BZ$3:$CB$400,MATCH($C71,COPIA!$BZ$3:$BZ$400,0),3)&lt;&gt;0),INDEX(COPIA!$BZ$3:$CB$400,MATCH($C71,COPIA!$BZ$3:$BZ$400,0),3),""),"")</f>
        <v/>
      </c>
      <c r="H71" s="7" t="str">
        <f t="shared" ca="1" si="1"/>
        <v/>
      </c>
    </row>
    <row r="72" spans="2:8" ht="18" customHeight="1" x14ac:dyDescent="0.3">
      <c r="B72" s="16" t="str">
        <f t="shared" ca="1" si="0"/>
        <v/>
      </c>
      <c r="C72" s="83" t="str">
        <f ca="1">IF(OR(COPIA!$BU$1=1,COPIA!$BU$1=3),COPIA!CO65,IF(COPIA!$BU$1=2,COPIA!BZ65,IF(ROW()=COPIA!$BT$1,"TOTALE","")))</f>
        <v/>
      </c>
      <c r="D72" s="86" t="str">
        <f ca="1">IF(AND(OR(COPIA!$BU$1=1,COPIA!$BU$1=3),INDEX(COPIA!$BT$3:$BV$400,MATCH($C72,COPIA!$BT$3:$BT$400,0),2)&lt;&gt;0),INDEX(COPIA!$BT$3:$BV$400,MATCH($C72,COPIA!$BT$3:$BT$400,0),2),IF(AND(COPIA!$BU$1=2,INDEX(COPIA!$BZ$3:$CB$400,MATCH($C72,COPIA!$BZ$3:$BZ$400,0),2)&lt;&gt;0),INDEX(COPIA!$BZ$3:$CB$400,MATCH($C72,COPIA!$BZ$3:$BZ$400,0),2),""))</f>
        <v/>
      </c>
      <c r="E72" s="86" t="str">
        <f ca="1">IF(AND(OR(COPIA!$BU$1=1,COPIA!$BU$1=3),INDEX(COPIA!$BT$3:$BV$400,MATCH($C72,COPIA!$BT$3:$BT$400,0),3)&lt;&gt;0),INDEX(COPIA!$BT$3:$BV$400,MATCH($C72,COPIA!$BT$3:$BT$400,0),3),IF(AND(COPIA!$BU$1=2,INDEX(COPIA!$BZ$3:$CB$400,MATCH($C72,COPIA!$BZ$3:$BZ$400,0),3)&lt;&gt;0),INDEX(COPIA!$BZ$3:$CB$400,MATCH($C72,COPIA!$BZ$3:$BZ$400,0),3),""))</f>
        <v/>
      </c>
      <c r="F72" s="86" t="str">
        <f ca="1">IFERROR(IF(AND(COPIA!$BU$1=3,INDEX(COPIA!$BZ$3:$CB$400,MATCH($C72,COPIA!$BZ$3:$BZ$400,0),2)&lt;&gt;0),INDEX(COPIA!$BZ$3:$CB$400,MATCH($C72,COPIA!$BZ$3:$BZ$400,0),2),""),"")</f>
        <v/>
      </c>
      <c r="G72" s="86" t="str">
        <f ca="1">IFERROR(IF(AND(COPIA!$BU$1=3,INDEX(COPIA!$BZ$3:$CB$400,MATCH($C72,COPIA!$BZ$3:$BZ$400,0),3)&lt;&gt;0),INDEX(COPIA!$BZ$3:$CB$400,MATCH($C72,COPIA!$BZ$3:$BZ$400,0),3),""),"")</f>
        <v/>
      </c>
      <c r="H72" s="7" t="str">
        <f t="shared" ca="1" si="1"/>
        <v/>
      </c>
    </row>
    <row r="73" spans="2:8" ht="18" customHeight="1" x14ac:dyDescent="0.3">
      <c r="B73" s="16" t="str">
        <f t="shared" ca="1" si="0"/>
        <v/>
      </c>
      <c r="C73" s="83" t="str">
        <f ca="1">IF(OR(COPIA!$BU$1=1,COPIA!$BU$1=3),COPIA!CO66,IF(COPIA!$BU$1=2,COPIA!BZ66,IF(ROW()=COPIA!$BT$1,"TOTALE","")))</f>
        <v/>
      </c>
      <c r="D73" s="86" t="str">
        <f ca="1">IF(AND(OR(COPIA!$BU$1=1,COPIA!$BU$1=3),INDEX(COPIA!$BT$3:$BV$400,MATCH($C73,COPIA!$BT$3:$BT$400,0),2)&lt;&gt;0),INDEX(COPIA!$BT$3:$BV$400,MATCH($C73,COPIA!$BT$3:$BT$400,0),2),IF(AND(COPIA!$BU$1=2,INDEX(COPIA!$BZ$3:$CB$400,MATCH($C73,COPIA!$BZ$3:$BZ$400,0),2)&lt;&gt;0),INDEX(COPIA!$BZ$3:$CB$400,MATCH($C73,COPIA!$BZ$3:$BZ$400,0),2),""))</f>
        <v/>
      </c>
      <c r="E73" s="86" t="str">
        <f ca="1">IF(AND(OR(COPIA!$BU$1=1,COPIA!$BU$1=3),INDEX(COPIA!$BT$3:$BV$400,MATCH($C73,COPIA!$BT$3:$BT$400,0),3)&lt;&gt;0),INDEX(COPIA!$BT$3:$BV$400,MATCH($C73,COPIA!$BT$3:$BT$400,0),3),IF(AND(COPIA!$BU$1=2,INDEX(COPIA!$BZ$3:$CB$400,MATCH($C73,COPIA!$BZ$3:$BZ$400,0),3)&lt;&gt;0),INDEX(COPIA!$BZ$3:$CB$400,MATCH($C73,COPIA!$BZ$3:$BZ$400,0),3),""))</f>
        <v/>
      </c>
      <c r="F73" s="86" t="str">
        <f ca="1">IFERROR(IF(AND(COPIA!$BU$1=3,INDEX(COPIA!$BZ$3:$CB$400,MATCH($C73,COPIA!$BZ$3:$BZ$400,0),2)&lt;&gt;0),INDEX(COPIA!$BZ$3:$CB$400,MATCH($C73,COPIA!$BZ$3:$BZ$400,0),2),""),"")</f>
        <v/>
      </c>
      <c r="G73" s="86" t="str">
        <f ca="1">IFERROR(IF(AND(COPIA!$BU$1=3,INDEX(COPIA!$BZ$3:$CB$400,MATCH($C73,COPIA!$BZ$3:$BZ$400,0),3)&lt;&gt;0),INDEX(COPIA!$BZ$3:$CB$400,MATCH($C73,COPIA!$BZ$3:$BZ$400,0),3),""),"")</f>
        <v/>
      </c>
      <c r="H73" s="7" t="str">
        <f t="shared" ca="1" si="1"/>
        <v/>
      </c>
    </row>
    <row r="74" spans="2:8" ht="18" customHeight="1" x14ac:dyDescent="0.3">
      <c r="B74" s="16" t="str">
        <f t="shared" ref="B74:B137" ca="1" si="2">IF(C74=" …………….","……",IFERROR(INDEX(PDC,MATCH(C74,DEN_PDC,0),1),0))</f>
        <v/>
      </c>
      <c r="C74" s="83" t="str">
        <f ca="1">IF(OR(COPIA!$BU$1=1,COPIA!$BU$1=3),COPIA!CO67,IF(COPIA!$BU$1=2,COPIA!BZ67,IF(ROW()=COPIA!$BT$1,"TOTALE","")))</f>
        <v/>
      </c>
      <c r="D74" s="86" t="str">
        <f ca="1">IF(AND(OR(COPIA!$BU$1=1,COPIA!$BU$1=3),INDEX(COPIA!$BT$3:$BV$400,MATCH($C74,COPIA!$BT$3:$BT$400,0),2)&lt;&gt;0),INDEX(COPIA!$BT$3:$BV$400,MATCH($C74,COPIA!$BT$3:$BT$400,0),2),IF(AND(COPIA!$BU$1=2,INDEX(COPIA!$BZ$3:$CB$400,MATCH($C74,COPIA!$BZ$3:$BZ$400,0),2)&lt;&gt;0),INDEX(COPIA!$BZ$3:$CB$400,MATCH($C74,COPIA!$BZ$3:$BZ$400,0),2),""))</f>
        <v/>
      </c>
      <c r="E74" s="86" t="str">
        <f ca="1">IF(AND(OR(COPIA!$BU$1=1,COPIA!$BU$1=3),INDEX(COPIA!$BT$3:$BV$400,MATCH($C74,COPIA!$BT$3:$BT$400,0),3)&lt;&gt;0),INDEX(COPIA!$BT$3:$BV$400,MATCH($C74,COPIA!$BT$3:$BT$400,0),3),IF(AND(COPIA!$BU$1=2,INDEX(COPIA!$BZ$3:$CB$400,MATCH($C74,COPIA!$BZ$3:$BZ$400,0),3)&lt;&gt;0),INDEX(COPIA!$BZ$3:$CB$400,MATCH($C74,COPIA!$BZ$3:$BZ$400,0),3),""))</f>
        <v/>
      </c>
      <c r="F74" s="86" t="str">
        <f ca="1">IFERROR(IF(AND(COPIA!$BU$1=3,INDEX(COPIA!$BZ$3:$CB$400,MATCH($C74,COPIA!$BZ$3:$BZ$400,0),2)&lt;&gt;0),INDEX(COPIA!$BZ$3:$CB$400,MATCH($C74,COPIA!$BZ$3:$BZ$400,0),2),""),"")</f>
        <v/>
      </c>
      <c r="G74" s="86" t="str">
        <f ca="1">IFERROR(IF(AND(COPIA!$BU$1=3,INDEX(COPIA!$BZ$3:$CB$400,MATCH($C74,COPIA!$BZ$3:$BZ$400,0),3)&lt;&gt;0),INDEX(COPIA!$BZ$3:$CB$400,MATCH($C74,COPIA!$BZ$3:$BZ$400,0),3),""),"")</f>
        <v/>
      </c>
      <c r="H74" s="7" t="str">
        <f t="shared" ca="1" si="1"/>
        <v/>
      </c>
    </row>
    <row r="75" spans="2:8" ht="18" customHeight="1" x14ac:dyDescent="0.3">
      <c r="B75" s="16" t="str">
        <f t="shared" ca="1" si="2"/>
        <v/>
      </c>
      <c r="C75" s="83" t="str">
        <f ca="1">IF(OR(COPIA!$BU$1=1,COPIA!$BU$1=3),COPIA!CO68,IF(COPIA!$BU$1=2,COPIA!BZ68,IF(ROW()=COPIA!$BT$1,"TOTALE","")))</f>
        <v/>
      </c>
      <c r="D75" s="86" t="str">
        <f ca="1">IF(AND(OR(COPIA!$BU$1=1,COPIA!$BU$1=3),INDEX(COPIA!$BT$3:$BV$400,MATCH($C75,COPIA!$BT$3:$BT$400,0),2)&lt;&gt;0),INDEX(COPIA!$BT$3:$BV$400,MATCH($C75,COPIA!$BT$3:$BT$400,0),2),IF(AND(COPIA!$BU$1=2,INDEX(COPIA!$BZ$3:$CB$400,MATCH($C75,COPIA!$BZ$3:$BZ$400,0),2)&lt;&gt;0),INDEX(COPIA!$BZ$3:$CB$400,MATCH($C75,COPIA!$BZ$3:$BZ$400,0),2),""))</f>
        <v/>
      </c>
      <c r="E75" s="86" t="str">
        <f ca="1">IF(AND(OR(COPIA!$BU$1=1,COPIA!$BU$1=3),INDEX(COPIA!$BT$3:$BV$400,MATCH($C75,COPIA!$BT$3:$BT$400,0),3)&lt;&gt;0),INDEX(COPIA!$BT$3:$BV$400,MATCH($C75,COPIA!$BT$3:$BT$400,0),3),IF(AND(COPIA!$BU$1=2,INDEX(COPIA!$BZ$3:$CB$400,MATCH($C75,COPIA!$BZ$3:$BZ$400,0),3)&lt;&gt;0),INDEX(COPIA!$BZ$3:$CB$400,MATCH($C75,COPIA!$BZ$3:$BZ$400,0),3),""))</f>
        <v/>
      </c>
      <c r="F75" s="86" t="str">
        <f ca="1">IFERROR(IF(AND(COPIA!$BU$1=3,INDEX(COPIA!$BZ$3:$CB$400,MATCH($C75,COPIA!$BZ$3:$BZ$400,0),2)&lt;&gt;0),INDEX(COPIA!$BZ$3:$CB$400,MATCH($C75,COPIA!$BZ$3:$BZ$400,0),2),""),"")</f>
        <v/>
      </c>
      <c r="G75" s="86" t="str">
        <f ca="1">IFERROR(IF(AND(COPIA!$BU$1=3,INDEX(COPIA!$BZ$3:$CB$400,MATCH($C75,COPIA!$BZ$3:$BZ$400,0),3)&lt;&gt;0),INDEX(COPIA!$BZ$3:$CB$400,MATCH($C75,COPIA!$BZ$3:$BZ$400,0),3),""),"")</f>
        <v/>
      </c>
      <c r="H75" s="7" t="str">
        <f t="shared" ref="H75:H138" ca="1" si="3">IF(C75&lt;&gt;"",ROW(),"")</f>
        <v/>
      </c>
    </row>
    <row r="76" spans="2:8" ht="18" customHeight="1" x14ac:dyDescent="0.3">
      <c r="B76" s="16" t="str">
        <f t="shared" ca="1" si="2"/>
        <v/>
      </c>
      <c r="C76" s="83" t="str">
        <f ca="1">IF(OR(COPIA!$BU$1=1,COPIA!$BU$1=3),COPIA!CO69,IF(COPIA!$BU$1=2,COPIA!BZ69,IF(ROW()=COPIA!$BT$1,"TOTALE","")))</f>
        <v/>
      </c>
      <c r="D76" s="86" t="str">
        <f ca="1">IF(AND(OR(COPIA!$BU$1=1,COPIA!$BU$1=3),INDEX(COPIA!$BT$3:$BV$400,MATCH($C76,COPIA!$BT$3:$BT$400,0),2)&lt;&gt;0),INDEX(COPIA!$BT$3:$BV$400,MATCH($C76,COPIA!$BT$3:$BT$400,0),2),IF(AND(COPIA!$BU$1=2,INDEX(COPIA!$BZ$3:$CB$400,MATCH($C76,COPIA!$BZ$3:$BZ$400,0),2)&lt;&gt;0),INDEX(COPIA!$BZ$3:$CB$400,MATCH($C76,COPIA!$BZ$3:$BZ$400,0),2),""))</f>
        <v/>
      </c>
      <c r="E76" s="86" t="str">
        <f ca="1">IF(AND(OR(COPIA!$BU$1=1,COPIA!$BU$1=3),INDEX(COPIA!$BT$3:$BV$400,MATCH($C76,COPIA!$BT$3:$BT$400,0),3)&lt;&gt;0),INDEX(COPIA!$BT$3:$BV$400,MATCH($C76,COPIA!$BT$3:$BT$400,0),3),IF(AND(COPIA!$BU$1=2,INDEX(COPIA!$BZ$3:$CB$400,MATCH($C76,COPIA!$BZ$3:$BZ$400,0),3)&lt;&gt;0),INDEX(COPIA!$BZ$3:$CB$400,MATCH($C76,COPIA!$BZ$3:$BZ$400,0),3),""))</f>
        <v/>
      </c>
      <c r="F76" s="86" t="str">
        <f ca="1">IFERROR(IF(AND(COPIA!$BU$1=3,INDEX(COPIA!$BZ$3:$CB$400,MATCH($C76,COPIA!$BZ$3:$BZ$400,0),2)&lt;&gt;0),INDEX(COPIA!$BZ$3:$CB$400,MATCH($C76,COPIA!$BZ$3:$BZ$400,0),2),""),"")</f>
        <v/>
      </c>
      <c r="G76" s="86" t="str">
        <f ca="1">IFERROR(IF(AND(COPIA!$BU$1=3,INDEX(COPIA!$BZ$3:$CB$400,MATCH($C76,COPIA!$BZ$3:$BZ$400,0),3)&lt;&gt;0),INDEX(COPIA!$BZ$3:$CB$400,MATCH($C76,COPIA!$BZ$3:$BZ$400,0),3),""),"")</f>
        <v/>
      </c>
      <c r="H76" s="7" t="str">
        <f t="shared" ca="1" si="3"/>
        <v/>
      </c>
    </row>
    <row r="77" spans="2:8" ht="18" customHeight="1" x14ac:dyDescent="0.3">
      <c r="B77" s="16" t="str">
        <f t="shared" ca="1" si="2"/>
        <v/>
      </c>
      <c r="C77" s="83" t="str">
        <f ca="1">IF(OR(COPIA!$BU$1=1,COPIA!$BU$1=3),COPIA!CO70,IF(COPIA!$BU$1=2,COPIA!BZ70,IF(ROW()=COPIA!$BT$1,"TOTALE","")))</f>
        <v/>
      </c>
      <c r="D77" s="86" t="str">
        <f ca="1">IF(AND(OR(COPIA!$BU$1=1,COPIA!$BU$1=3),INDEX(COPIA!$BT$3:$BV$400,MATCH($C77,COPIA!$BT$3:$BT$400,0),2)&lt;&gt;0),INDEX(COPIA!$BT$3:$BV$400,MATCH($C77,COPIA!$BT$3:$BT$400,0),2),IF(AND(COPIA!$BU$1=2,INDEX(COPIA!$BZ$3:$CB$400,MATCH($C77,COPIA!$BZ$3:$BZ$400,0),2)&lt;&gt;0),INDEX(COPIA!$BZ$3:$CB$400,MATCH($C77,COPIA!$BZ$3:$BZ$400,0),2),""))</f>
        <v/>
      </c>
      <c r="E77" s="86" t="str">
        <f ca="1">IF(AND(OR(COPIA!$BU$1=1,COPIA!$BU$1=3),INDEX(COPIA!$BT$3:$BV$400,MATCH($C77,COPIA!$BT$3:$BT$400,0),3)&lt;&gt;0),INDEX(COPIA!$BT$3:$BV$400,MATCH($C77,COPIA!$BT$3:$BT$400,0),3),IF(AND(COPIA!$BU$1=2,INDEX(COPIA!$BZ$3:$CB$400,MATCH($C77,COPIA!$BZ$3:$BZ$400,0),3)&lt;&gt;0),INDEX(COPIA!$BZ$3:$CB$400,MATCH($C77,COPIA!$BZ$3:$BZ$400,0),3),""))</f>
        <v/>
      </c>
      <c r="F77" s="86" t="str">
        <f ca="1">IFERROR(IF(AND(COPIA!$BU$1=3,INDEX(COPIA!$BZ$3:$CB$400,MATCH($C77,COPIA!$BZ$3:$BZ$400,0),2)&lt;&gt;0),INDEX(COPIA!$BZ$3:$CB$400,MATCH($C77,COPIA!$BZ$3:$BZ$400,0),2),""),"")</f>
        <v/>
      </c>
      <c r="G77" s="86" t="str">
        <f ca="1">IFERROR(IF(AND(COPIA!$BU$1=3,INDEX(COPIA!$BZ$3:$CB$400,MATCH($C77,COPIA!$BZ$3:$BZ$400,0),3)&lt;&gt;0),INDEX(COPIA!$BZ$3:$CB$400,MATCH($C77,COPIA!$BZ$3:$BZ$400,0),3),""),"")</f>
        <v/>
      </c>
      <c r="H77" s="7" t="str">
        <f t="shared" ca="1" si="3"/>
        <v/>
      </c>
    </row>
    <row r="78" spans="2:8" ht="18" customHeight="1" x14ac:dyDescent="0.3">
      <c r="B78" s="16" t="str">
        <f t="shared" ca="1" si="2"/>
        <v/>
      </c>
      <c r="C78" s="83" t="str">
        <f ca="1">IF(OR(COPIA!$BU$1=1,COPIA!$BU$1=3),COPIA!CO71,IF(COPIA!$BU$1=2,COPIA!BZ71,IF(ROW()=COPIA!$BT$1,"TOTALE","")))</f>
        <v/>
      </c>
      <c r="D78" s="86" t="str">
        <f ca="1">IF(AND(OR(COPIA!$BU$1=1,COPIA!$BU$1=3),INDEX(COPIA!$BT$3:$BV$400,MATCH($C78,COPIA!$BT$3:$BT$400,0),2)&lt;&gt;0),INDEX(COPIA!$BT$3:$BV$400,MATCH($C78,COPIA!$BT$3:$BT$400,0),2),IF(AND(COPIA!$BU$1=2,INDEX(COPIA!$BZ$3:$CB$400,MATCH($C78,COPIA!$BZ$3:$BZ$400,0),2)&lt;&gt;0),INDEX(COPIA!$BZ$3:$CB$400,MATCH($C78,COPIA!$BZ$3:$BZ$400,0),2),""))</f>
        <v/>
      </c>
      <c r="E78" s="86" t="str">
        <f ca="1">IF(AND(OR(COPIA!$BU$1=1,COPIA!$BU$1=3),INDEX(COPIA!$BT$3:$BV$400,MATCH($C78,COPIA!$BT$3:$BT$400,0),3)&lt;&gt;0),INDEX(COPIA!$BT$3:$BV$400,MATCH($C78,COPIA!$BT$3:$BT$400,0),3),IF(AND(COPIA!$BU$1=2,INDEX(COPIA!$BZ$3:$CB$400,MATCH($C78,COPIA!$BZ$3:$BZ$400,0),3)&lt;&gt;0),INDEX(COPIA!$BZ$3:$CB$400,MATCH($C78,COPIA!$BZ$3:$BZ$400,0),3),""))</f>
        <v/>
      </c>
      <c r="F78" s="86" t="str">
        <f ca="1">IFERROR(IF(AND(COPIA!$BU$1=3,INDEX(COPIA!$BZ$3:$CB$400,MATCH($C78,COPIA!$BZ$3:$BZ$400,0),2)&lt;&gt;0),INDEX(COPIA!$BZ$3:$CB$400,MATCH($C78,COPIA!$BZ$3:$BZ$400,0),2),""),"")</f>
        <v/>
      </c>
      <c r="G78" s="86" t="str">
        <f ca="1">IFERROR(IF(AND(COPIA!$BU$1=3,INDEX(COPIA!$BZ$3:$CB$400,MATCH($C78,COPIA!$BZ$3:$BZ$400,0),3)&lt;&gt;0),INDEX(COPIA!$BZ$3:$CB$400,MATCH($C78,COPIA!$BZ$3:$BZ$400,0),3),""),"")</f>
        <v/>
      </c>
      <c r="H78" s="7" t="str">
        <f t="shared" ca="1" si="3"/>
        <v/>
      </c>
    </row>
    <row r="79" spans="2:8" ht="18" customHeight="1" x14ac:dyDescent="0.3">
      <c r="B79" s="16" t="str">
        <f t="shared" ca="1" si="2"/>
        <v/>
      </c>
      <c r="C79" s="83" t="str">
        <f ca="1">IF(OR(COPIA!$BU$1=1,COPIA!$BU$1=3),COPIA!CO72,IF(COPIA!$BU$1=2,COPIA!BZ72,IF(ROW()=COPIA!$BT$1,"TOTALE","")))</f>
        <v/>
      </c>
      <c r="D79" s="86" t="str">
        <f ca="1">IF(AND(OR(COPIA!$BU$1=1,COPIA!$BU$1=3),INDEX(COPIA!$BT$3:$BV$400,MATCH($C79,COPIA!$BT$3:$BT$400,0),2)&lt;&gt;0),INDEX(COPIA!$BT$3:$BV$400,MATCH($C79,COPIA!$BT$3:$BT$400,0),2),IF(AND(COPIA!$BU$1=2,INDEX(COPIA!$BZ$3:$CB$400,MATCH($C79,COPIA!$BZ$3:$BZ$400,0),2)&lt;&gt;0),INDEX(COPIA!$BZ$3:$CB$400,MATCH($C79,COPIA!$BZ$3:$BZ$400,0),2),""))</f>
        <v/>
      </c>
      <c r="E79" s="86" t="str">
        <f ca="1">IF(AND(OR(COPIA!$BU$1=1,COPIA!$BU$1=3),INDEX(COPIA!$BT$3:$BV$400,MATCH($C79,COPIA!$BT$3:$BT$400,0),3)&lt;&gt;0),INDEX(COPIA!$BT$3:$BV$400,MATCH($C79,COPIA!$BT$3:$BT$400,0),3),IF(AND(COPIA!$BU$1=2,INDEX(COPIA!$BZ$3:$CB$400,MATCH($C79,COPIA!$BZ$3:$BZ$400,0),3)&lt;&gt;0),INDEX(COPIA!$BZ$3:$CB$400,MATCH($C79,COPIA!$BZ$3:$BZ$400,0),3),""))</f>
        <v/>
      </c>
      <c r="F79" s="86" t="str">
        <f ca="1">IFERROR(IF(AND(COPIA!$BU$1=3,INDEX(COPIA!$BZ$3:$CB$400,MATCH($C79,COPIA!$BZ$3:$BZ$400,0),2)&lt;&gt;0),INDEX(COPIA!$BZ$3:$CB$400,MATCH($C79,COPIA!$BZ$3:$BZ$400,0),2),""),"")</f>
        <v/>
      </c>
      <c r="G79" s="86" t="str">
        <f ca="1">IFERROR(IF(AND(COPIA!$BU$1=3,INDEX(COPIA!$BZ$3:$CB$400,MATCH($C79,COPIA!$BZ$3:$BZ$400,0),3)&lt;&gt;0),INDEX(COPIA!$BZ$3:$CB$400,MATCH($C79,COPIA!$BZ$3:$BZ$400,0),3),""),"")</f>
        <v/>
      </c>
      <c r="H79" s="7" t="str">
        <f t="shared" ca="1" si="3"/>
        <v/>
      </c>
    </row>
    <row r="80" spans="2:8" ht="18" customHeight="1" x14ac:dyDescent="0.3">
      <c r="B80" s="16" t="str">
        <f t="shared" ca="1" si="2"/>
        <v/>
      </c>
      <c r="C80" s="83" t="str">
        <f ca="1">IF(OR(COPIA!$BU$1=1,COPIA!$BU$1=3),COPIA!CO73,IF(COPIA!$BU$1=2,COPIA!BZ73,IF(ROW()=COPIA!$BT$1,"TOTALE","")))</f>
        <v/>
      </c>
      <c r="D80" s="86" t="str">
        <f ca="1">IF(AND(OR(COPIA!$BU$1=1,COPIA!$BU$1=3),INDEX(COPIA!$BT$3:$BV$400,MATCH($C80,COPIA!$BT$3:$BT$400,0),2)&lt;&gt;0),INDEX(COPIA!$BT$3:$BV$400,MATCH($C80,COPIA!$BT$3:$BT$400,0),2),IF(AND(COPIA!$BU$1=2,INDEX(COPIA!$BZ$3:$CB$400,MATCH($C80,COPIA!$BZ$3:$BZ$400,0),2)&lt;&gt;0),INDEX(COPIA!$BZ$3:$CB$400,MATCH($C80,COPIA!$BZ$3:$BZ$400,0),2),""))</f>
        <v/>
      </c>
      <c r="E80" s="86" t="str">
        <f ca="1">IF(AND(OR(COPIA!$BU$1=1,COPIA!$BU$1=3),INDEX(COPIA!$BT$3:$BV$400,MATCH($C80,COPIA!$BT$3:$BT$400,0),3)&lt;&gt;0),INDEX(COPIA!$BT$3:$BV$400,MATCH($C80,COPIA!$BT$3:$BT$400,0),3),IF(AND(COPIA!$BU$1=2,INDEX(COPIA!$BZ$3:$CB$400,MATCH($C80,COPIA!$BZ$3:$BZ$400,0),3)&lt;&gt;0),INDEX(COPIA!$BZ$3:$CB$400,MATCH($C80,COPIA!$BZ$3:$BZ$400,0),3),""))</f>
        <v/>
      </c>
      <c r="F80" s="86" t="str">
        <f ca="1">IFERROR(IF(AND(COPIA!$BU$1=3,INDEX(COPIA!$BZ$3:$CB$400,MATCH($C80,COPIA!$BZ$3:$BZ$400,0),2)&lt;&gt;0),INDEX(COPIA!$BZ$3:$CB$400,MATCH($C80,COPIA!$BZ$3:$BZ$400,0),2),""),"")</f>
        <v/>
      </c>
      <c r="G80" s="86" t="str">
        <f ca="1">IFERROR(IF(AND(COPIA!$BU$1=3,INDEX(COPIA!$BZ$3:$CB$400,MATCH($C80,COPIA!$BZ$3:$BZ$400,0),3)&lt;&gt;0),INDEX(COPIA!$BZ$3:$CB$400,MATCH($C80,COPIA!$BZ$3:$BZ$400,0),3),""),"")</f>
        <v/>
      </c>
      <c r="H80" s="7" t="str">
        <f t="shared" ca="1" si="3"/>
        <v/>
      </c>
    </row>
    <row r="81" spans="2:8" ht="18" customHeight="1" x14ac:dyDescent="0.3">
      <c r="B81" s="16" t="str">
        <f t="shared" ca="1" si="2"/>
        <v/>
      </c>
      <c r="C81" s="83" t="str">
        <f ca="1">IF(OR(COPIA!$BU$1=1,COPIA!$BU$1=3),COPIA!CO74,IF(COPIA!$BU$1=2,COPIA!BZ74,IF(ROW()=COPIA!$BT$1,"TOTALE","")))</f>
        <v/>
      </c>
      <c r="D81" s="86" t="str">
        <f ca="1">IF(AND(OR(COPIA!$BU$1=1,COPIA!$BU$1=3),INDEX(COPIA!$BT$3:$BV$400,MATCH($C81,COPIA!$BT$3:$BT$400,0),2)&lt;&gt;0),INDEX(COPIA!$BT$3:$BV$400,MATCH($C81,COPIA!$BT$3:$BT$400,0),2),IF(AND(COPIA!$BU$1=2,INDEX(COPIA!$BZ$3:$CB$400,MATCH($C81,COPIA!$BZ$3:$BZ$400,0),2)&lt;&gt;0),INDEX(COPIA!$BZ$3:$CB$400,MATCH($C81,COPIA!$BZ$3:$BZ$400,0),2),""))</f>
        <v/>
      </c>
      <c r="E81" s="86" t="str">
        <f ca="1">IF(AND(OR(COPIA!$BU$1=1,COPIA!$BU$1=3),INDEX(COPIA!$BT$3:$BV$400,MATCH($C81,COPIA!$BT$3:$BT$400,0),3)&lt;&gt;0),INDEX(COPIA!$BT$3:$BV$400,MATCH($C81,COPIA!$BT$3:$BT$400,0),3),IF(AND(COPIA!$BU$1=2,INDEX(COPIA!$BZ$3:$CB$400,MATCH($C81,COPIA!$BZ$3:$BZ$400,0),3)&lt;&gt;0),INDEX(COPIA!$BZ$3:$CB$400,MATCH($C81,COPIA!$BZ$3:$BZ$400,0),3),""))</f>
        <v/>
      </c>
      <c r="F81" s="86" t="str">
        <f ca="1">IFERROR(IF(AND(COPIA!$BU$1=3,INDEX(COPIA!$BZ$3:$CB$400,MATCH($C81,COPIA!$BZ$3:$BZ$400,0),2)&lt;&gt;0),INDEX(COPIA!$BZ$3:$CB$400,MATCH($C81,COPIA!$BZ$3:$BZ$400,0),2),""),"")</f>
        <v/>
      </c>
      <c r="G81" s="86" t="str">
        <f ca="1">IFERROR(IF(AND(COPIA!$BU$1=3,INDEX(COPIA!$BZ$3:$CB$400,MATCH($C81,COPIA!$BZ$3:$BZ$400,0),3)&lt;&gt;0),INDEX(COPIA!$BZ$3:$CB$400,MATCH($C81,COPIA!$BZ$3:$BZ$400,0),3),""),"")</f>
        <v/>
      </c>
      <c r="H81" s="7" t="str">
        <f t="shared" ca="1" si="3"/>
        <v/>
      </c>
    </row>
    <row r="82" spans="2:8" ht="18" customHeight="1" x14ac:dyDescent="0.3">
      <c r="B82" s="16" t="str">
        <f t="shared" ca="1" si="2"/>
        <v/>
      </c>
      <c r="C82" s="83" t="str">
        <f ca="1">IF(OR(COPIA!$BU$1=1,COPIA!$BU$1=3),COPIA!CO75,IF(COPIA!$BU$1=2,COPIA!BZ75,IF(ROW()=COPIA!$BT$1,"TOTALE","")))</f>
        <v/>
      </c>
      <c r="D82" s="86" t="str">
        <f ca="1">IF(AND(OR(COPIA!$BU$1=1,COPIA!$BU$1=3),INDEX(COPIA!$BT$3:$BV$400,MATCH($C82,COPIA!$BT$3:$BT$400,0),2)&lt;&gt;0),INDEX(COPIA!$BT$3:$BV$400,MATCH($C82,COPIA!$BT$3:$BT$400,0),2),IF(AND(COPIA!$BU$1=2,INDEX(COPIA!$BZ$3:$CB$400,MATCH($C82,COPIA!$BZ$3:$BZ$400,0),2)&lt;&gt;0),INDEX(COPIA!$BZ$3:$CB$400,MATCH($C82,COPIA!$BZ$3:$BZ$400,0),2),""))</f>
        <v/>
      </c>
      <c r="E82" s="86" t="str">
        <f ca="1">IF(AND(OR(COPIA!$BU$1=1,COPIA!$BU$1=3),INDEX(COPIA!$BT$3:$BV$400,MATCH($C82,COPIA!$BT$3:$BT$400,0),3)&lt;&gt;0),INDEX(COPIA!$BT$3:$BV$400,MATCH($C82,COPIA!$BT$3:$BT$400,0),3),IF(AND(COPIA!$BU$1=2,INDEX(COPIA!$BZ$3:$CB$400,MATCH($C82,COPIA!$BZ$3:$BZ$400,0),3)&lt;&gt;0),INDEX(COPIA!$BZ$3:$CB$400,MATCH($C82,COPIA!$BZ$3:$BZ$400,0),3),""))</f>
        <v/>
      </c>
      <c r="F82" s="86" t="str">
        <f ca="1">IFERROR(IF(AND(COPIA!$BU$1=3,INDEX(COPIA!$BZ$3:$CB$400,MATCH($C82,COPIA!$BZ$3:$BZ$400,0),2)&lt;&gt;0),INDEX(COPIA!$BZ$3:$CB$400,MATCH($C82,COPIA!$BZ$3:$BZ$400,0),2),""),"")</f>
        <v/>
      </c>
      <c r="G82" s="86" t="str">
        <f ca="1">IFERROR(IF(AND(COPIA!$BU$1=3,INDEX(COPIA!$BZ$3:$CB$400,MATCH($C82,COPIA!$BZ$3:$BZ$400,0),3)&lt;&gt;0),INDEX(COPIA!$BZ$3:$CB$400,MATCH($C82,COPIA!$BZ$3:$BZ$400,0),3),""),"")</f>
        <v/>
      </c>
      <c r="H82" s="7" t="str">
        <f t="shared" ca="1" si="3"/>
        <v/>
      </c>
    </row>
    <row r="83" spans="2:8" ht="18" customHeight="1" x14ac:dyDescent="0.3">
      <c r="B83" s="16" t="str">
        <f t="shared" ca="1" si="2"/>
        <v/>
      </c>
      <c r="C83" s="83" t="str">
        <f ca="1">IF(OR(COPIA!$BU$1=1,COPIA!$BU$1=3),COPIA!CO76,IF(COPIA!$BU$1=2,COPIA!BZ76,IF(ROW()=COPIA!$BT$1,"TOTALE","")))</f>
        <v/>
      </c>
      <c r="D83" s="86" t="str">
        <f ca="1">IF(AND(OR(COPIA!$BU$1=1,COPIA!$BU$1=3),INDEX(COPIA!$BT$3:$BV$400,MATCH($C83,COPIA!$BT$3:$BT$400,0),2)&lt;&gt;0),INDEX(COPIA!$BT$3:$BV$400,MATCH($C83,COPIA!$BT$3:$BT$400,0),2),IF(AND(COPIA!$BU$1=2,INDEX(COPIA!$BZ$3:$CB$400,MATCH($C83,COPIA!$BZ$3:$BZ$400,0),2)&lt;&gt;0),INDEX(COPIA!$BZ$3:$CB$400,MATCH($C83,COPIA!$BZ$3:$BZ$400,0),2),""))</f>
        <v/>
      </c>
      <c r="E83" s="86" t="str">
        <f ca="1">IF(AND(OR(COPIA!$BU$1=1,COPIA!$BU$1=3),INDEX(COPIA!$BT$3:$BV$400,MATCH($C83,COPIA!$BT$3:$BT$400,0),3)&lt;&gt;0),INDEX(COPIA!$BT$3:$BV$400,MATCH($C83,COPIA!$BT$3:$BT$400,0),3),IF(AND(COPIA!$BU$1=2,INDEX(COPIA!$BZ$3:$CB$400,MATCH($C83,COPIA!$BZ$3:$BZ$400,0),3)&lt;&gt;0),INDEX(COPIA!$BZ$3:$CB$400,MATCH($C83,COPIA!$BZ$3:$BZ$400,0),3),""))</f>
        <v/>
      </c>
      <c r="F83" s="86" t="str">
        <f ca="1">IFERROR(IF(AND(COPIA!$BU$1=3,INDEX(COPIA!$BZ$3:$CB$400,MATCH($C83,COPIA!$BZ$3:$BZ$400,0),2)&lt;&gt;0),INDEX(COPIA!$BZ$3:$CB$400,MATCH($C83,COPIA!$BZ$3:$BZ$400,0),2),""),"")</f>
        <v/>
      </c>
      <c r="G83" s="86" t="str">
        <f ca="1">IFERROR(IF(AND(COPIA!$BU$1=3,INDEX(COPIA!$BZ$3:$CB$400,MATCH($C83,COPIA!$BZ$3:$BZ$400,0),3)&lt;&gt;0),INDEX(COPIA!$BZ$3:$CB$400,MATCH($C83,COPIA!$BZ$3:$BZ$400,0),3),""),"")</f>
        <v/>
      </c>
      <c r="H83" s="7" t="str">
        <f t="shared" ca="1" si="3"/>
        <v/>
      </c>
    </row>
    <row r="84" spans="2:8" ht="18" customHeight="1" x14ac:dyDescent="0.3">
      <c r="B84" s="16" t="str">
        <f t="shared" ca="1" si="2"/>
        <v/>
      </c>
      <c r="C84" s="83" t="str">
        <f ca="1">IF(OR(COPIA!$BU$1=1,COPIA!$BU$1=3),COPIA!CO77,IF(COPIA!$BU$1=2,COPIA!BZ77,IF(ROW()=COPIA!$BT$1,"TOTALE","")))</f>
        <v/>
      </c>
      <c r="D84" s="86" t="str">
        <f ca="1">IF(AND(OR(COPIA!$BU$1=1,COPIA!$BU$1=3),INDEX(COPIA!$BT$3:$BV$400,MATCH($C84,COPIA!$BT$3:$BT$400,0),2)&lt;&gt;0),INDEX(COPIA!$BT$3:$BV$400,MATCH($C84,COPIA!$BT$3:$BT$400,0),2),IF(AND(COPIA!$BU$1=2,INDEX(COPIA!$BZ$3:$CB$400,MATCH($C84,COPIA!$BZ$3:$BZ$400,0),2)&lt;&gt;0),INDEX(COPIA!$BZ$3:$CB$400,MATCH($C84,COPIA!$BZ$3:$BZ$400,0),2),""))</f>
        <v/>
      </c>
      <c r="E84" s="86" t="str">
        <f ca="1">IF(AND(OR(COPIA!$BU$1=1,COPIA!$BU$1=3),INDEX(COPIA!$BT$3:$BV$400,MATCH($C84,COPIA!$BT$3:$BT$400,0),3)&lt;&gt;0),INDEX(COPIA!$BT$3:$BV$400,MATCH($C84,COPIA!$BT$3:$BT$400,0),3),IF(AND(COPIA!$BU$1=2,INDEX(COPIA!$BZ$3:$CB$400,MATCH($C84,COPIA!$BZ$3:$BZ$400,0),3)&lt;&gt;0),INDEX(COPIA!$BZ$3:$CB$400,MATCH($C84,COPIA!$BZ$3:$BZ$400,0),3),""))</f>
        <v/>
      </c>
      <c r="F84" s="86" t="str">
        <f ca="1">IFERROR(IF(AND(COPIA!$BU$1=3,INDEX(COPIA!$BZ$3:$CB$400,MATCH($C84,COPIA!$BZ$3:$BZ$400,0),2)&lt;&gt;0),INDEX(COPIA!$BZ$3:$CB$400,MATCH($C84,COPIA!$BZ$3:$BZ$400,0),2),""),"")</f>
        <v/>
      </c>
      <c r="G84" s="86" t="str">
        <f ca="1">IFERROR(IF(AND(COPIA!$BU$1=3,INDEX(COPIA!$BZ$3:$CB$400,MATCH($C84,COPIA!$BZ$3:$BZ$400,0),3)&lt;&gt;0),INDEX(COPIA!$BZ$3:$CB$400,MATCH($C84,COPIA!$BZ$3:$BZ$400,0),3),""),"")</f>
        <v/>
      </c>
      <c r="H84" s="7" t="str">
        <f t="shared" ca="1" si="3"/>
        <v/>
      </c>
    </row>
    <row r="85" spans="2:8" ht="18" customHeight="1" x14ac:dyDescent="0.3">
      <c r="B85" s="16" t="str">
        <f t="shared" ca="1" si="2"/>
        <v/>
      </c>
      <c r="C85" s="83" t="str">
        <f ca="1">IF(OR(COPIA!$BU$1=1,COPIA!$BU$1=3),COPIA!CO78,IF(COPIA!$BU$1=2,COPIA!BZ78,IF(ROW()=COPIA!$BT$1,"TOTALE","")))</f>
        <v/>
      </c>
      <c r="D85" s="86" t="str">
        <f ca="1">IF(AND(OR(COPIA!$BU$1=1,COPIA!$BU$1=3),INDEX(COPIA!$BT$3:$BV$400,MATCH($C85,COPIA!$BT$3:$BT$400,0),2)&lt;&gt;0),INDEX(COPIA!$BT$3:$BV$400,MATCH($C85,COPIA!$BT$3:$BT$400,0),2),IF(AND(COPIA!$BU$1=2,INDEX(COPIA!$BZ$3:$CB$400,MATCH($C85,COPIA!$BZ$3:$BZ$400,0),2)&lt;&gt;0),INDEX(COPIA!$BZ$3:$CB$400,MATCH($C85,COPIA!$BZ$3:$BZ$400,0),2),""))</f>
        <v/>
      </c>
      <c r="E85" s="86" t="str">
        <f ca="1">IF(AND(OR(COPIA!$BU$1=1,COPIA!$BU$1=3),INDEX(COPIA!$BT$3:$BV$400,MATCH($C85,COPIA!$BT$3:$BT$400,0),3)&lt;&gt;0),INDEX(COPIA!$BT$3:$BV$400,MATCH($C85,COPIA!$BT$3:$BT$400,0),3),IF(AND(COPIA!$BU$1=2,INDEX(COPIA!$BZ$3:$CB$400,MATCH($C85,COPIA!$BZ$3:$BZ$400,0),3)&lt;&gt;0),INDEX(COPIA!$BZ$3:$CB$400,MATCH($C85,COPIA!$BZ$3:$BZ$400,0),3),""))</f>
        <v/>
      </c>
      <c r="F85" s="86" t="str">
        <f ca="1">IFERROR(IF(AND(COPIA!$BU$1=3,INDEX(COPIA!$BZ$3:$CB$400,MATCH($C85,COPIA!$BZ$3:$BZ$400,0),2)&lt;&gt;0),INDEX(COPIA!$BZ$3:$CB$400,MATCH($C85,COPIA!$BZ$3:$BZ$400,0),2),""),"")</f>
        <v/>
      </c>
      <c r="G85" s="86" t="str">
        <f ca="1">IFERROR(IF(AND(COPIA!$BU$1=3,INDEX(COPIA!$BZ$3:$CB$400,MATCH($C85,COPIA!$BZ$3:$BZ$400,0),3)&lt;&gt;0),INDEX(COPIA!$BZ$3:$CB$400,MATCH($C85,COPIA!$BZ$3:$BZ$400,0),3),""),"")</f>
        <v/>
      </c>
      <c r="H85" s="7" t="str">
        <f t="shared" ca="1" si="3"/>
        <v/>
      </c>
    </row>
    <row r="86" spans="2:8" ht="18" customHeight="1" x14ac:dyDescent="0.3">
      <c r="B86" s="16" t="str">
        <f t="shared" ca="1" si="2"/>
        <v/>
      </c>
      <c r="C86" s="83" t="str">
        <f ca="1">IF(OR(COPIA!$BU$1=1,COPIA!$BU$1=3),COPIA!CO79,IF(COPIA!$BU$1=2,COPIA!BZ79,IF(ROW()=COPIA!$BT$1,"TOTALE","")))</f>
        <v/>
      </c>
      <c r="D86" s="86" t="str">
        <f ca="1">IF(AND(OR(COPIA!$BU$1=1,COPIA!$BU$1=3),INDEX(COPIA!$BT$3:$BV$400,MATCH($C86,COPIA!$BT$3:$BT$400,0),2)&lt;&gt;0),INDEX(COPIA!$BT$3:$BV$400,MATCH($C86,COPIA!$BT$3:$BT$400,0),2),IF(AND(COPIA!$BU$1=2,INDEX(COPIA!$BZ$3:$CB$400,MATCH($C86,COPIA!$BZ$3:$BZ$400,0),2)&lt;&gt;0),INDEX(COPIA!$BZ$3:$CB$400,MATCH($C86,COPIA!$BZ$3:$BZ$400,0),2),""))</f>
        <v/>
      </c>
      <c r="E86" s="86" t="str">
        <f ca="1">IF(AND(OR(COPIA!$BU$1=1,COPIA!$BU$1=3),INDEX(COPIA!$BT$3:$BV$400,MATCH($C86,COPIA!$BT$3:$BT$400,0),3)&lt;&gt;0),INDEX(COPIA!$BT$3:$BV$400,MATCH($C86,COPIA!$BT$3:$BT$400,0),3),IF(AND(COPIA!$BU$1=2,INDEX(COPIA!$BZ$3:$CB$400,MATCH($C86,COPIA!$BZ$3:$BZ$400,0),3)&lt;&gt;0),INDEX(COPIA!$BZ$3:$CB$400,MATCH($C86,COPIA!$BZ$3:$BZ$400,0),3),""))</f>
        <v/>
      </c>
      <c r="F86" s="86" t="str">
        <f ca="1">IFERROR(IF(AND(COPIA!$BU$1=3,INDEX(COPIA!$BZ$3:$CB$400,MATCH($C86,COPIA!$BZ$3:$BZ$400,0),2)&lt;&gt;0),INDEX(COPIA!$BZ$3:$CB$400,MATCH($C86,COPIA!$BZ$3:$BZ$400,0),2),""),"")</f>
        <v/>
      </c>
      <c r="G86" s="86" t="str">
        <f ca="1">IFERROR(IF(AND(COPIA!$BU$1=3,INDEX(COPIA!$BZ$3:$CB$400,MATCH($C86,COPIA!$BZ$3:$BZ$400,0),3)&lt;&gt;0),INDEX(COPIA!$BZ$3:$CB$400,MATCH($C86,COPIA!$BZ$3:$BZ$400,0),3),""),"")</f>
        <v/>
      </c>
      <c r="H86" s="7" t="str">
        <f t="shared" ca="1" si="3"/>
        <v/>
      </c>
    </row>
    <row r="87" spans="2:8" ht="18" customHeight="1" x14ac:dyDescent="0.3">
      <c r="B87" s="16" t="str">
        <f t="shared" ca="1" si="2"/>
        <v/>
      </c>
      <c r="C87" s="83" t="str">
        <f ca="1">IF(OR(COPIA!$BU$1=1,COPIA!$BU$1=3),COPIA!CO80,IF(COPIA!$BU$1=2,COPIA!BZ80,IF(ROW()=COPIA!$BT$1,"TOTALE","")))</f>
        <v/>
      </c>
      <c r="D87" s="86" t="str">
        <f ca="1">IF(AND(OR(COPIA!$BU$1=1,COPIA!$BU$1=3),INDEX(COPIA!$BT$3:$BV$400,MATCH($C87,COPIA!$BT$3:$BT$400,0),2)&lt;&gt;0),INDEX(COPIA!$BT$3:$BV$400,MATCH($C87,COPIA!$BT$3:$BT$400,0),2),IF(AND(COPIA!$BU$1=2,INDEX(COPIA!$BZ$3:$CB$400,MATCH($C87,COPIA!$BZ$3:$BZ$400,0),2)&lt;&gt;0),INDEX(COPIA!$BZ$3:$CB$400,MATCH($C87,COPIA!$BZ$3:$BZ$400,0),2),""))</f>
        <v/>
      </c>
      <c r="E87" s="86" t="str">
        <f ca="1">IF(AND(OR(COPIA!$BU$1=1,COPIA!$BU$1=3),INDEX(COPIA!$BT$3:$BV$400,MATCH($C87,COPIA!$BT$3:$BT$400,0),3)&lt;&gt;0),INDEX(COPIA!$BT$3:$BV$400,MATCH($C87,COPIA!$BT$3:$BT$400,0),3),IF(AND(COPIA!$BU$1=2,INDEX(COPIA!$BZ$3:$CB$400,MATCH($C87,COPIA!$BZ$3:$BZ$400,0),3)&lt;&gt;0),INDEX(COPIA!$BZ$3:$CB$400,MATCH($C87,COPIA!$BZ$3:$BZ$400,0),3),""))</f>
        <v/>
      </c>
      <c r="F87" s="86" t="str">
        <f ca="1">IFERROR(IF(AND(COPIA!$BU$1=3,INDEX(COPIA!$BZ$3:$CB$400,MATCH($C87,COPIA!$BZ$3:$BZ$400,0),2)&lt;&gt;0),INDEX(COPIA!$BZ$3:$CB$400,MATCH($C87,COPIA!$BZ$3:$BZ$400,0),2),""),"")</f>
        <v/>
      </c>
      <c r="G87" s="86" t="str">
        <f ca="1">IFERROR(IF(AND(COPIA!$BU$1=3,INDEX(COPIA!$BZ$3:$CB$400,MATCH($C87,COPIA!$BZ$3:$BZ$400,0),3)&lt;&gt;0),INDEX(COPIA!$BZ$3:$CB$400,MATCH($C87,COPIA!$BZ$3:$BZ$400,0),3),""),"")</f>
        <v/>
      </c>
      <c r="H87" s="7" t="str">
        <f t="shared" ca="1" si="3"/>
        <v/>
      </c>
    </row>
    <row r="88" spans="2:8" ht="18" customHeight="1" x14ac:dyDescent="0.3">
      <c r="B88" s="16" t="str">
        <f t="shared" ca="1" si="2"/>
        <v/>
      </c>
      <c r="C88" s="83" t="str">
        <f ca="1">IF(OR(COPIA!$BU$1=1,COPIA!$BU$1=3),COPIA!CO81,IF(COPIA!$BU$1=2,COPIA!BZ81,IF(ROW()=COPIA!$BT$1,"TOTALE","")))</f>
        <v/>
      </c>
      <c r="D88" s="86" t="str">
        <f ca="1">IF(AND(OR(COPIA!$BU$1=1,COPIA!$BU$1=3),INDEX(COPIA!$BT$3:$BV$400,MATCH($C88,COPIA!$BT$3:$BT$400,0),2)&lt;&gt;0),INDEX(COPIA!$BT$3:$BV$400,MATCH($C88,COPIA!$BT$3:$BT$400,0),2),IF(AND(COPIA!$BU$1=2,INDEX(COPIA!$BZ$3:$CB$400,MATCH($C88,COPIA!$BZ$3:$BZ$400,0),2)&lt;&gt;0),INDEX(COPIA!$BZ$3:$CB$400,MATCH($C88,COPIA!$BZ$3:$BZ$400,0),2),""))</f>
        <v/>
      </c>
      <c r="E88" s="86" t="str">
        <f ca="1">IF(AND(OR(COPIA!$BU$1=1,COPIA!$BU$1=3),INDEX(COPIA!$BT$3:$BV$400,MATCH($C88,COPIA!$BT$3:$BT$400,0),3)&lt;&gt;0),INDEX(COPIA!$BT$3:$BV$400,MATCH($C88,COPIA!$BT$3:$BT$400,0),3),IF(AND(COPIA!$BU$1=2,INDEX(COPIA!$BZ$3:$CB$400,MATCH($C88,COPIA!$BZ$3:$BZ$400,0),3)&lt;&gt;0),INDEX(COPIA!$BZ$3:$CB$400,MATCH($C88,COPIA!$BZ$3:$BZ$400,0),3),""))</f>
        <v/>
      </c>
      <c r="F88" s="86" t="str">
        <f ca="1">IFERROR(IF(AND(COPIA!$BU$1=3,INDEX(COPIA!$BZ$3:$CB$400,MATCH($C88,COPIA!$BZ$3:$BZ$400,0),2)&lt;&gt;0),INDEX(COPIA!$BZ$3:$CB$400,MATCH($C88,COPIA!$BZ$3:$BZ$400,0),2),""),"")</f>
        <v/>
      </c>
      <c r="G88" s="86" t="str">
        <f ca="1">IFERROR(IF(AND(COPIA!$BU$1=3,INDEX(COPIA!$BZ$3:$CB$400,MATCH($C88,COPIA!$BZ$3:$BZ$400,0),3)&lt;&gt;0),INDEX(COPIA!$BZ$3:$CB$400,MATCH($C88,COPIA!$BZ$3:$BZ$400,0),3),""),"")</f>
        <v/>
      </c>
      <c r="H88" s="7" t="str">
        <f t="shared" ca="1" si="3"/>
        <v/>
      </c>
    </row>
    <row r="89" spans="2:8" ht="18" customHeight="1" x14ac:dyDescent="0.3">
      <c r="B89" s="16" t="str">
        <f t="shared" ca="1" si="2"/>
        <v/>
      </c>
      <c r="C89" s="83" t="str">
        <f ca="1">IF(OR(COPIA!$BU$1=1,COPIA!$BU$1=3),COPIA!CO82,IF(COPIA!$BU$1=2,COPIA!BZ82,IF(ROW()=COPIA!$BT$1,"TOTALE","")))</f>
        <v/>
      </c>
      <c r="D89" s="86" t="str">
        <f ca="1">IF(AND(OR(COPIA!$BU$1=1,COPIA!$BU$1=3),INDEX(COPIA!$BT$3:$BV$400,MATCH($C89,COPIA!$BT$3:$BT$400,0),2)&lt;&gt;0),INDEX(COPIA!$BT$3:$BV$400,MATCH($C89,COPIA!$BT$3:$BT$400,0),2),IF(AND(COPIA!$BU$1=2,INDEX(COPIA!$BZ$3:$CB$400,MATCH($C89,COPIA!$BZ$3:$BZ$400,0),2)&lt;&gt;0),INDEX(COPIA!$BZ$3:$CB$400,MATCH($C89,COPIA!$BZ$3:$BZ$400,0),2),""))</f>
        <v/>
      </c>
      <c r="E89" s="86" t="str">
        <f ca="1">IF(AND(OR(COPIA!$BU$1=1,COPIA!$BU$1=3),INDEX(COPIA!$BT$3:$BV$400,MATCH($C89,COPIA!$BT$3:$BT$400,0),3)&lt;&gt;0),INDEX(COPIA!$BT$3:$BV$400,MATCH($C89,COPIA!$BT$3:$BT$400,0),3),IF(AND(COPIA!$BU$1=2,INDEX(COPIA!$BZ$3:$CB$400,MATCH($C89,COPIA!$BZ$3:$BZ$400,0),3)&lt;&gt;0),INDEX(COPIA!$BZ$3:$CB$400,MATCH($C89,COPIA!$BZ$3:$BZ$400,0),3),""))</f>
        <v/>
      </c>
      <c r="F89" s="86" t="str">
        <f ca="1">IFERROR(IF(AND(COPIA!$BU$1=3,INDEX(COPIA!$BZ$3:$CB$400,MATCH($C89,COPIA!$BZ$3:$BZ$400,0),2)&lt;&gt;0),INDEX(COPIA!$BZ$3:$CB$400,MATCH($C89,COPIA!$BZ$3:$BZ$400,0),2),""),"")</f>
        <v/>
      </c>
      <c r="G89" s="86" t="str">
        <f ca="1">IFERROR(IF(AND(COPIA!$BU$1=3,INDEX(COPIA!$BZ$3:$CB$400,MATCH($C89,COPIA!$BZ$3:$BZ$400,0),3)&lt;&gt;0),INDEX(COPIA!$BZ$3:$CB$400,MATCH($C89,COPIA!$BZ$3:$BZ$400,0),3),""),"")</f>
        <v/>
      </c>
      <c r="H89" s="7" t="str">
        <f t="shared" ca="1" si="3"/>
        <v/>
      </c>
    </row>
    <row r="90" spans="2:8" ht="18" customHeight="1" x14ac:dyDescent="0.3">
      <c r="B90" s="16" t="str">
        <f t="shared" ca="1" si="2"/>
        <v/>
      </c>
      <c r="C90" s="83" t="str">
        <f ca="1">IF(OR(COPIA!$BU$1=1,COPIA!$BU$1=3),COPIA!CO83,IF(COPIA!$BU$1=2,COPIA!BZ83,IF(ROW()=COPIA!$BT$1,"TOTALE","")))</f>
        <v/>
      </c>
      <c r="D90" s="86" t="str">
        <f ca="1">IF(AND(OR(COPIA!$BU$1=1,COPIA!$BU$1=3),INDEX(COPIA!$BT$3:$BV$400,MATCH($C90,COPIA!$BT$3:$BT$400,0),2)&lt;&gt;0),INDEX(COPIA!$BT$3:$BV$400,MATCH($C90,COPIA!$BT$3:$BT$400,0),2),IF(AND(COPIA!$BU$1=2,INDEX(COPIA!$BZ$3:$CB$400,MATCH($C90,COPIA!$BZ$3:$BZ$400,0),2)&lt;&gt;0),INDEX(COPIA!$BZ$3:$CB$400,MATCH($C90,COPIA!$BZ$3:$BZ$400,0),2),""))</f>
        <v/>
      </c>
      <c r="E90" s="86" t="str">
        <f ca="1">IF(AND(OR(COPIA!$BU$1=1,COPIA!$BU$1=3),INDEX(COPIA!$BT$3:$BV$400,MATCH($C90,COPIA!$BT$3:$BT$400,0),3)&lt;&gt;0),INDEX(COPIA!$BT$3:$BV$400,MATCH($C90,COPIA!$BT$3:$BT$400,0),3),IF(AND(COPIA!$BU$1=2,INDEX(COPIA!$BZ$3:$CB$400,MATCH($C90,COPIA!$BZ$3:$BZ$400,0),3)&lt;&gt;0),INDEX(COPIA!$BZ$3:$CB$400,MATCH($C90,COPIA!$BZ$3:$BZ$400,0),3),""))</f>
        <v/>
      </c>
      <c r="F90" s="86" t="str">
        <f ca="1">IFERROR(IF(AND(COPIA!$BU$1=3,INDEX(COPIA!$BZ$3:$CB$400,MATCH($C90,COPIA!$BZ$3:$BZ$400,0),2)&lt;&gt;0),INDEX(COPIA!$BZ$3:$CB$400,MATCH($C90,COPIA!$BZ$3:$BZ$400,0),2),""),"")</f>
        <v/>
      </c>
      <c r="G90" s="86" t="str">
        <f ca="1">IFERROR(IF(AND(COPIA!$BU$1=3,INDEX(COPIA!$BZ$3:$CB$400,MATCH($C90,COPIA!$BZ$3:$BZ$400,0),3)&lt;&gt;0),INDEX(COPIA!$BZ$3:$CB$400,MATCH($C90,COPIA!$BZ$3:$BZ$400,0),3),""),"")</f>
        <v/>
      </c>
      <c r="H90" s="7" t="str">
        <f t="shared" ca="1" si="3"/>
        <v/>
      </c>
    </row>
    <row r="91" spans="2:8" ht="18" customHeight="1" x14ac:dyDescent="0.3">
      <c r="B91" s="16" t="str">
        <f t="shared" ca="1" si="2"/>
        <v/>
      </c>
      <c r="C91" s="83" t="str">
        <f ca="1">IF(OR(COPIA!$BU$1=1,COPIA!$BU$1=3),COPIA!CO84,IF(COPIA!$BU$1=2,COPIA!BZ84,IF(ROW()=COPIA!$BT$1,"TOTALE","")))</f>
        <v/>
      </c>
      <c r="D91" s="86" t="str">
        <f ca="1">IF(AND(OR(COPIA!$BU$1=1,COPIA!$BU$1=3),INDEX(COPIA!$BT$3:$BV$400,MATCH($C91,COPIA!$BT$3:$BT$400,0),2)&lt;&gt;0),INDEX(COPIA!$BT$3:$BV$400,MATCH($C91,COPIA!$BT$3:$BT$400,0),2),IF(AND(COPIA!$BU$1=2,INDEX(COPIA!$BZ$3:$CB$400,MATCH($C91,COPIA!$BZ$3:$BZ$400,0),2)&lt;&gt;0),INDEX(COPIA!$BZ$3:$CB$400,MATCH($C91,COPIA!$BZ$3:$BZ$400,0),2),""))</f>
        <v/>
      </c>
      <c r="E91" s="86" t="str">
        <f ca="1">IF(AND(OR(COPIA!$BU$1=1,COPIA!$BU$1=3),INDEX(COPIA!$BT$3:$BV$400,MATCH($C91,COPIA!$BT$3:$BT$400,0),3)&lt;&gt;0),INDEX(COPIA!$BT$3:$BV$400,MATCH($C91,COPIA!$BT$3:$BT$400,0),3),IF(AND(COPIA!$BU$1=2,INDEX(COPIA!$BZ$3:$CB$400,MATCH($C91,COPIA!$BZ$3:$BZ$400,0),3)&lt;&gt;0),INDEX(COPIA!$BZ$3:$CB$400,MATCH($C91,COPIA!$BZ$3:$BZ$400,0),3),""))</f>
        <v/>
      </c>
      <c r="F91" s="86" t="str">
        <f ca="1">IFERROR(IF(AND(COPIA!$BU$1=3,INDEX(COPIA!$BZ$3:$CB$400,MATCH($C91,COPIA!$BZ$3:$BZ$400,0),2)&lt;&gt;0),INDEX(COPIA!$BZ$3:$CB$400,MATCH($C91,COPIA!$BZ$3:$BZ$400,0),2),""),"")</f>
        <v/>
      </c>
      <c r="G91" s="86" t="str">
        <f ca="1">IFERROR(IF(AND(COPIA!$BU$1=3,INDEX(COPIA!$BZ$3:$CB$400,MATCH($C91,COPIA!$BZ$3:$BZ$400,0),3)&lt;&gt;0),INDEX(COPIA!$BZ$3:$CB$400,MATCH($C91,COPIA!$BZ$3:$BZ$400,0),3),""),"")</f>
        <v/>
      </c>
      <c r="H91" s="7" t="str">
        <f t="shared" ca="1" si="3"/>
        <v/>
      </c>
    </row>
    <row r="92" spans="2:8" ht="18" customHeight="1" x14ac:dyDescent="0.3">
      <c r="B92" s="16" t="str">
        <f t="shared" ca="1" si="2"/>
        <v/>
      </c>
      <c r="C92" s="83" t="str">
        <f ca="1">IF(OR(COPIA!$BU$1=1,COPIA!$BU$1=3),COPIA!CO85,IF(COPIA!$BU$1=2,COPIA!BZ85,IF(ROW()=COPIA!$BT$1,"TOTALE","")))</f>
        <v/>
      </c>
      <c r="D92" s="86" t="str">
        <f ca="1">IF(AND(OR(COPIA!$BU$1=1,COPIA!$BU$1=3),INDEX(COPIA!$BT$3:$BV$400,MATCH($C92,COPIA!$BT$3:$BT$400,0),2)&lt;&gt;0),INDEX(COPIA!$BT$3:$BV$400,MATCH($C92,COPIA!$BT$3:$BT$400,0),2),IF(AND(COPIA!$BU$1=2,INDEX(COPIA!$BZ$3:$CB$400,MATCH($C92,COPIA!$BZ$3:$BZ$400,0),2)&lt;&gt;0),INDEX(COPIA!$BZ$3:$CB$400,MATCH($C92,COPIA!$BZ$3:$BZ$400,0),2),""))</f>
        <v/>
      </c>
      <c r="E92" s="86" t="str">
        <f ca="1">IF(AND(OR(COPIA!$BU$1=1,COPIA!$BU$1=3),INDEX(COPIA!$BT$3:$BV$400,MATCH($C92,COPIA!$BT$3:$BT$400,0),3)&lt;&gt;0),INDEX(COPIA!$BT$3:$BV$400,MATCH($C92,COPIA!$BT$3:$BT$400,0),3),IF(AND(COPIA!$BU$1=2,INDEX(COPIA!$BZ$3:$CB$400,MATCH($C92,COPIA!$BZ$3:$BZ$400,0),3)&lt;&gt;0),INDEX(COPIA!$BZ$3:$CB$400,MATCH($C92,COPIA!$BZ$3:$BZ$400,0),3),""))</f>
        <v/>
      </c>
      <c r="F92" s="86" t="str">
        <f ca="1">IFERROR(IF(AND(COPIA!$BU$1=3,INDEX(COPIA!$BZ$3:$CB$400,MATCH($C92,COPIA!$BZ$3:$BZ$400,0),2)&lt;&gt;0),INDEX(COPIA!$BZ$3:$CB$400,MATCH($C92,COPIA!$BZ$3:$BZ$400,0),2),""),"")</f>
        <v/>
      </c>
      <c r="G92" s="86" t="str">
        <f ca="1">IFERROR(IF(AND(COPIA!$BU$1=3,INDEX(COPIA!$BZ$3:$CB$400,MATCH($C92,COPIA!$BZ$3:$BZ$400,0),3)&lt;&gt;0),INDEX(COPIA!$BZ$3:$CB$400,MATCH($C92,COPIA!$BZ$3:$BZ$400,0),3),""),"")</f>
        <v/>
      </c>
      <c r="H92" s="7" t="str">
        <f t="shared" ca="1" si="3"/>
        <v/>
      </c>
    </row>
    <row r="93" spans="2:8" ht="18" customHeight="1" x14ac:dyDescent="0.3">
      <c r="B93" s="16" t="str">
        <f t="shared" ca="1" si="2"/>
        <v/>
      </c>
      <c r="C93" s="83" t="str">
        <f ca="1">IF(OR(COPIA!$BU$1=1,COPIA!$BU$1=3),COPIA!CO86,IF(COPIA!$BU$1=2,COPIA!BZ86,IF(ROW()=COPIA!$BT$1,"TOTALE","")))</f>
        <v/>
      </c>
      <c r="D93" s="86" t="str">
        <f ca="1">IF(AND(OR(COPIA!$BU$1=1,COPIA!$BU$1=3),INDEX(COPIA!$BT$3:$BV$400,MATCH($C93,COPIA!$BT$3:$BT$400,0),2)&lt;&gt;0),INDEX(COPIA!$BT$3:$BV$400,MATCH($C93,COPIA!$BT$3:$BT$400,0),2),IF(AND(COPIA!$BU$1=2,INDEX(COPIA!$BZ$3:$CB$400,MATCH($C93,COPIA!$BZ$3:$BZ$400,0),2)&lt;&gt;0),INDEX(COPIA!$BZ$3:$CB$400,MATCH($C93,COPIA!$BZ$3:$BZ$400,0),2),""))</f>
        <v/>
      </c>
      <c r="E93" s="86" t="str">
        <f ca="1">IF(AND(OR(COPIA!$BU$1=1,COPIA!$BU$1=3),INDEX(COPIA!$BT$3:$BV$400,MATCH($C93,COPIA!$BT$3:$BT$400,0),3)&lt;&gt;0),INDEX(COPIA!$BT$3:$BV$400,MATCH($C93,COPIA!$BT$3:$BT$400,0),3),IF(AND(COPIA!$BU$1=2,INDEX(COPIA!$BZ$3:$CB$400,MATCH($C93,COPIA!$BZ$3:$BZ$400,0),3)&lt;&gt;0),INDEX(COPIA!$BZ$3:$CB$400,MATCH($C93,COPIA!$BZ$3:$BZ$400,0),3),""))</f>
        <v/>
      </c>
      <c r="F93" s="86" t="str">
        <f ca="1">IFERROR(IF(AND(COPIA!$BU$1=3,INDEX(COPIA!$BZ$3:$CB$400,MATCH($C93,COPIA!$BZ$3:$BZ$400,0),2)&lt;&gt;0),INDEX(COPIA!$BZ$3:$CB$400,MATCH($C93,COPIA!$BZ$3:$BZ$400,0),2),""),"")</f>
        <v/>
      </c>
      <c r="G93" s="86" t="str">
        <f ca="1">IFERROR(IF(AND(COPIA!$BU$1=3,INDEX(COPIA!$BZ$3:$CB$400,MATCH($C93,COPIA!$BZ$3:$BZ$400,0),3)&lt;&gt;0),INDEX(COPIA!$BZ$3:$CB$400,MATCH($C93,COPIA!$BZ$3:$BZ$400,0),3),""),"")</f>
        <v/>
      </c>
      <c r="H93" s="7" t="str">
        <f t="shared" ca="1" si="3"/>
        <v/>
      </c>
    </row>
    <row r="94" spans="2:8" ht="18" customHeight="1" x14ac:dyDescent="0.3">
      <c r="B94" s="16" t="str">
        <f t="shared" ca="1" si="2"/>
        <v/>
      </c>
      <c r="C94" s="83" t="str">
        <f ca="1">IF(OR(COPIA!$BU$1=1,COPIA!$BU$1=3),COPIA!CO87,IF(COPIA!$BU$1=2,COPIA!BZ87,IF(ROW()=COPIA!$BT$1,"TOTALE","")))</f>
        <v/>
      </c>
      <c r="D94" s="86" t="str">
        <f ca="1">IF(AND(OR(COPIA!$BU$1=1,COPIA!$BU$1=3),INDEX(COPIA!$BT$3:$BV$400,MATCH($C94,COPIA!$BT$3:$BT$400,0),2)&lt;&gt;0),INDEX(COPIA!$BT$3:$BV$400,MATCH($C94,COPIA!$BT$3:$BT$400,0),2),IF(AND(COPIA!$BU$1=2,INDEX(COPIA!$BZ$3:$CB$400,MATCH($C94,COPIA!$BZ$3:$BZ$400,0),2)&lt;&gt;0),INDEX(COPIA!$BZ$3:$CB$400,MATCH($C94,COPIA!$BZ$3:$BZ$400,0),2),""))</f>
        <v/>
      </c>
      <c r="E94" s="86" t="str">
        <f ca="1">IF(AND(OR(COPIA!$BU$1=1,COPIA!$BU$1=3),INDEX(COPIA!$BT$3:$BV$400,MATCH($C94,COPIA!$BT$3:$BT$400,0),3)&lt;&gt;0),INDEX(COPIA!$BT$3:$BV$400,MATCH($C94,COPIA!$BT$3:$BT$400,0),3),IF(AND(COPIA!$BU$1=2,INDEX(COPIA!$BZ$3:$CB$400,MATCH($C94,COPIA!$BZ$3:$BZ$400,0),3)&lt;&gt;0),INDEX(COPIA!$BZ$3:$CB$400,MATCH($C94,COPIA!$BZ$3:$BZ$400,0),3),""))</f>
        <v/>
      </c>
      <c r="F94" s="86" t="str">
        <f ca="1">IFERROR(IF(AND(COPIA!$BU$1=3,INDEX(COPIA!$BZ$3:$CB$400,MATCH($C94,COPIA!$BZ$3:$BZ$400,0),2)&lt;&gt;0),INDEX(COPIA!$BZ$3:$CB$400,MATCH($C94,COPIA!$BZ$3:$BZ$400,0),2),""),"")</f>
        <v/>
      </c>
      <c r="G94" s="86" t="str">
        <f ca="1">IFERROR(IF(AND(COPIA!$BU$1=3,INDEX(COPIA!$BZ$3:$CB$400,MATCH($C94,COPIA!$BZ$3:$BZ$400,0),3)&lt;&gt;0),INDEX(COPIA!$BZ$3:$CB$400,MATCH($C94,COPIA!$BZ$3:$BZ$400,0),3),""),"")</f>
        <v/>
      </c>
      <c r="H94" s="7" t="str">
        <f t="shared" ca="1" si="3"/>
        <v/>
      </c>
    </row>
    <row r="95" spans="2:8" ht="18" customHeight="1" x14ac:dyDescent="0.3">
      <c r="B95" s="16" t="str">
        <f t="shared" ca="1" si="2"/>
        <v/>
      </c>
      <c r="C95" s="83" t="str">
        <f ca="1">IF(OR(COPIA!$BU$1=1,COPIA!$BU$1=3),COPIA!CO88,IF(COPIA!$BU$1=2,COPIA!BZ88,IF(ROW()=COPIA!$BT$1,"TOTALE","")))</f>
        <v/>
      </c>
      <c r="D95" s="86" t="str">
        <f ca="1">IF(AND(OR(COPIA!$BU$1=1,COPIA!$BU$1=3),INDEX(COPIA!$BT$3:$BV$400,MATCH($C95,COPIA!$BT$3:$BT$400,0),2)&lt;&gt;0),INDEX(COPIA!$BT$3:$BV$400,MATCH($C95,COPIA!$BT$3:$BT$400,0),2),IF(AND(COPIA!$BU$1=2,INDEX(COPIA!$BZ$3:$CB$400,MATCH($C95,COPIA!$BZ$3:$BZ$400,0),2)&lt;&gt;0),INDEX(COPIA!$BZ$3:$CB$400,MATCH($C95,COPIA!$BZ$3:$BZ$400,0),2),""))</f>
        <v/>
      </c>
      <c r="E95" s="86" t="str">
        <f ca="1">IF(AND(OR(COPIA!$BU$1=1,COPIA!$BU$1=3),INDEX(COPIA!$BT$3:$BV$400,MATCH($C95,COPIA!$BT$3:$BT$400,0),3)&lt;&gt;0),INDEX(COPIA!$BT$3:$BV$400,MATCH($C95,COPIA!$BT$3:$BT$400,0),3),IF(AND(COPIA!$BU$1=2,INDEX(COPIA!$BZ$3:$CB$400,MATCH($C95,COPIA!$BZ$3:$BZ$400,0),3)&lt;&gt;0),INDEX(COPIA!$BZ$3:$CB$400,MATCH($C95,COPIA!$BZ$3:$BZ$400,0),3),""))</f>
        <v/>
      </c>
      <c r="F95" s="86" t="str">
        <f ca="1">IFERROR(IF(AND(COPIA!$BU$1=3,INDEX(COPIA!$BZ$3:$CB$400,MATCH($C95,COPIA!$BZ$3:$BZ$400,0),2)&lt;&gt;0),INDEX(COPIA!$BZ$3:$CB$400,MATCH($C95,COPIA!$BZ$3:$BZ$400,0),2),""),"")</f>
        <v/>
      </c>
      <c r="G95" s="86" t="str">
        <f ca="1">IFERROR(IF(AND(COPIA!$BU$1=3,INDEX(COPIA!$BZ$3:$CB$400,MATCH($C95,COPIA!$BZ$3:$BZ$400,0),3)&lt;&gt;0),INDEX(COPIA!$BZ$3:$CB$400,MATCH($C95,COPIA!$BZ$3:$BZ$400,0),3),""),"")</f>
        <v/>
      </c>
      <c r="H95" s="7" t="str">
        <f t="shared" ca="1" si="3"/>
        <v/>
      </c>
    </row>
    <row r="96" spans="2:8" ht="18" customHeight="1" x14ac:dyDescent="0.3">
      <c r="B96" s="16" t="str">
        <f t="shared" ca="1" si="2"/>
        <v/>
      </c>
      <c r="C96" s="83" t="str">
        <f ca="1">IF(OR(COPIA!$BU$1=1,COPIA!$BU$1=3),COPIA!CO89,IF(COPIA!$BU$1=2,COPIA!BZ89,IF(ROW()=COPIA!$BT$1,"TOTALE","")))</f>
        <v/>
      </c>
      <c r="D96" s="86" t="str">
        <f ca="1">IF(AND(OR(COPIA!$BU$1=1,COPIA!$BU$1=3),INDEX(COPIA!$BT$3:$BV$400,MATCH($C96,COPIA!$BT$3:$BT$400,0),2)&lt;&gt;0),INDEX(COPIA!$BT$3:$BV$400,MATCH($C96,COPIA!$BT$3:$BT$400,0),2),IF(AND(COPIA!$BU$1=2,INDEX(COPIA!$BZ$3:$CB$400,MATCH($C96,COPIA!$BZ$3:$BZ$400,0),2)&lt;&gt;0),INDEX(COPIA!$BZ$3:$CB$400,MATCH($C96,COPIA!$BZ$3:$BZ$400,0),2),""))</f>
        <v/>
      </c>
      <c r="E96" s="86" t="str">
        <f ca="1">IF(AND(OR(COPIA!$BU$1=1,COPIA!$BU$1=3),INDEX(COPIA!$BT$3:$BV$400,MATCH($C96,COPIA!$BT$3:$BT$400,0),3)&lt;&gt;0),INDEX(COPIA!$BT$3:$BV$400,MATCH($C96,COPIA!$BT$3:$BT$400,0),3),IF(AND(COPIA!$BU$1=2,INDEX(COPIA!$BZ$3:$CB$400,MATCH($C96,COPIA!$BZ$3:$BZ$400,0),3)&lt;&gt;0),INDEX(COPIA!$BZ$3:$CB$400,MATCH($C96,COPIA!$BZ$3:$BZ$400,0),3),""))</f>
        <v/>
      </c>
      <c r="F96" s="86" t="str">
        <f ca="1">IFERROR(IF(AND(COPIA!$BU$1=3,INDEX(COPIA!$BZ$3:$CB$400,MATCH($C96,COPIA!$BZ$3:$BZ$400,0),2)&lt;&gt;0),INDEX(COPIA!$BZ$3:$CB$400,MATCH($C96,COPIA!$BZ$3:$BZ$400,0),2),""),"")</f>
        <v/>
      </c>
      <c r="G96" s="86" t="str">
        <f ca="1">IFERROR(IF(AND(COPIA!$BU$1=3,INDEX(COPIA!$BZ$3:$CB$400,MATCH($C96,COPIA!$BZ$3:$BZ$400,0),3)&lt;&gt;0),INDEX(COPIA!$BZ$3:$CB$400,MATCH($C96,COPIA!$BZ$3:$BZ$400,0),3),""),"")</f>
        <v/>
      </c>
      <c r="H96" s="7" t="str">
        <f t="shared" ca="1" si="3"/>
        <v/>
      </c>
    </row>
    <row r="97" spans="2:8" ht="18" customHeight="1" x14ac:dyDescent="0.3">
      <c r="B97" s="16" t="str">
        <f t="shared" ca="1" si="2"/>
        <v/>
      </c>
      <c r="C97" s="83" t="str">
        <f ca="1">IF(OR(COPIA!$BU$1=1,COPIA!$BU$1=3),COPIA!CO90,IF(COPIA!$BU$1=2,COPIA!BZ90,IF(ROW()=COPIA!$BT$1,"TOTALE","")))</f>
        <v/>
      </c>
      <c r="D97" s="86" t="str">
        <f ca="1">IF(AND(OR(COPIA!$BU$1=1,COPIA!$BU$1=3),INDEX(COPIA!$BT$3:$BV$400,MATCH($C97,COPIA!$BT$3:$BT$400,0),2)&lt;&gt;0),INDEX(COPIA!$BT$3:$BV$400,MATCH($C97,COPIA!$BT$3:$BT$400,0),2),IF(AND(COPIA!$BU$1=2,INDEX(COPIA!$BZ$3:$CB$400,MATCH($C97,COPIA!$BZ$3:$BZ$400,0),2)&lt;&gt;0),INDEX(COPIA!$BZ$3:$CB$400,MATCH($C97,COPIA!$BZ$3:$BZ$400,0),2),""))</f>
        <v/>
      </c>
      <c r="E97" s="86" t="str">
        <f ca="1">IF(AND(OR(COPIA!$BU$1=1,COPIA!$BU$1=3),INDEX(COPIA!$BT$3:$BV$400,MATCH($C97,COPIA!$BT$3:$BT$400,0),3)&lt;&gt;0),INDEX(COPIA!$BT$3:$BV$400,MATCH($C97,COPIA!$BT$3:$BT$400,0),3),IF(AND(COPIA!$BU$1=2,INDEX(COPIA!$BZ$3:$CB$400,MATCH($C97,COPIA!$BZ$3:$BZ$400,0),3)&lt;&gt;0),INDEX(COPIA!$BZ$3:$CB$400,MATCH($C97,COPIA!$BZ$3:$BZ$400,0),3),""))</f>
        <v/>
      </c>
      <c r="F97" s="86" t="str">
        <f ca="1">IFERROR(IF(AND(COPIA!$BU$1=3,INDEX(COPIA!$BZ$3:$CB$400,MATCH($C97,COPIA!$BZ$3:$BZ$400,0),2)&lt;&gt;0),INDEX(COPIA!$BZ$3:$CB$400,MATCH($C97,COPIA!$BZ$3:$BZ$400,0),2),""),"")</f>
        <v/>
      </c>
      <c r="G97" s="86" t="str">
        <f ca="1">IFERROR(IF(AND(COPIA!$BU$1=3,INDEX(COPIA!$BZ$3:$CB$400,MATCH($C97,COPIA!$BZ$3:$BZ$400,0),3)&lt;&gt;0),INDEX(COPIA!$BZ$3:$CB$400,MATCH($C97,COPIA!$BZ$3:$BZ$400,0),3),""),"")</f>
        <v/>
      </c>
      <c r="H97" s="7" t="str">
        <f t="shared" ca="1" si="3"/>
        <v/>
      </c>
    </row>
    <row r="98" spans="2:8" ht="18" customHeight="1" x14ac:dyDescent="0.3">
      <c r="B98" s="16" t="str">
        <f t="shared" ca="1" si="2"/>
        <v/>
      </c>
      <c r="C98" s="83" t="str">
        <f ca="1">IF(OR(COPIA!$BU$1=1,COPIA!$BU$1=3),COPIA!CO91,IF(COPIA!$BU$1=2,COPIA!BZ91,IF(ROW()=COPIA!$BT$1,"TOTALE","")))</f>
        <v/>
      </c>
      <c r="D98" s="86" t="str">
        <f ca="1">IF(AND(OR(COPIA!$BU$1=1,COPIA!$BU$1=3),INDEX(COPIA!$BT$3:$BV$400,MATCH($C98,COPIA!$BT$3:$BT$400,0),2)&lt;&gt;0),INDEX(COPIA!$BT$3:$BV$400,MATCH($C98,COPIA!$BT$3:$BT$400,0),2),IF(AND(COPIA!$BU$1=2,INDEX(COPIA!$BZ$3:$CB$400,MATCH($C98,COPIA!$BZ$3:$BZ$400,0),2)&lt;&gt;0),INDEX(COPIA!$BZ$3:$CB$400,MATCH($C98,COPIA!$BZ$3:$BZ$400,0),2),""))</f>
        <v/>
      </c>
      <c r="E98" s="86" t="str">
        <f ca="1">IF(AND(OR(COPIA!$BU$1=1,COPIA!$BU$1=3),INDEX(COPIA!$BT$3:$BV$400,MATCH($C98,COPIA!$BT$3:$BT$400,0),3)&lt;&gt;0),INDEX(COPIA!$BT$3:$BV$400,MATCH($C98,COPIA!$BT$3:$BT$400,0),3),IF(AND(COPIA!$BU$1=2,INDEX(COPIA!$BZ$3:$CB$400,MATCH($C98,COPIA!$BZ$3:$BZ$400,0),3)&lt;&gt;0),INDEX(COPIA!$BZ$3:$CB$400,MATCH($C98,COPIA!$BZ$3:$BZ$400,0),3),""))</f>
        <v/>
      </c>
      <c r="F98" s="86" t="str">
        <f ca="1">IFERROR(IF(AND(COPIA!$BU$1=3,INDEX(COPIA!$BZ$3:$CB$400,MATCH($C98,COPIA!$BZ$3:$BZ$400,0),2)&lt;&gt;0),INDEX(COPIA!$BZ$3:$CB$400,MATCH($C98,COPIA!$BZ$3:$BZ$400,0),2),""),"")</f>
        <v/>
      </c>
      <c r="G98" s="86" t="str">
        <f ca="1">IFERROR(IF(AND(COPIA!$BU$1=3,INDEX(COPIA!$BZ$3:$CB$400,MATCH($C98,COPIA!$BZ$3:$BZ$400,0),3)&lt;&gt;0),INDEX(COPIA!$BZ$3:$CB$400,MATCH($C98,COPIA!$BZ$3:$BZ$400,0),3),""),"")</f>
        <v/>
      </c>
      <c r="H98" s="7" t="str">
        <f t="shared" ca="1" si="3"/>
        <v/>
      </c>
    </row>
    <row r="99" spans="2:8" ht="18" customHeight="1" x14ac:dyDescent="0.3">
      <c r="B99" s="16" t="str">
        <f t="shared" ca="1" si="2"/>
        <v/>
      </c>
      <c r="C99" s="83" t="str">
        <f ca="1">IF(OR(COPIA!$BU$1=1,COPIA!$BU$1=3),COPIA!CO92,IF(COPIA!$BU$1=2,COPIA!BZ92,IF(ROW()=COPIA!$BT$1,"TOTALE","")))</f>
        <v/>
      </c>
      <c r="D99" s="86" t="str">
        <f ca="1">IF(AND(OR(COPIA!$BU$1=1,COPIA!$BU$1=3),INDEX(COPIA!$BT$3:$BV$400,MATCH($C99,COPIA!$BT$3:$BT$400,0),2)&lt;&gt;0),INDEX(COPIA!$BT$3:$BV$400,MATCH($C99,COPIA!$BT$3:$BT$400,0),2),IF(AND(COPIA!$BU$1=2,INDEX(COPIA!$BZ$3:$CB$400,MATCH($C99,COPIA!$BZ$3:$BZ$400,0),2)&lt;&gt;0),INDEX(COPIA!$BZ$3:$CB$400,MATCH($C99,COPIA!$BZ$3:$BZ$400,0),2),""))</f>
        <v/>
      </c>
      <c r="E99" s="86" t="str">
        <f ca="1">IF(AND(OR(COPIA!$BU$1=1,COPIA!$BU$1=3),INDEX(COPIA!$BT$3:$BV$400,MATCH($C99,COPIA!$BT$3:$BT$400,0),3)&lt;&gt;0),INDEX(COPIA!$BT$3:$BV$400,MATCH($C99,COPIA!$BT$3:$BT$400,0),3),IF(AND(COPIA!$BU$1=2,INDEX(COPIA!$BZ$3:$CB$400,MATCH($C99,COPIA!$BZ$3:$BZ$400,0),3)&lt;&gt;0),INDEX(COPIA!$BZ$3:$CB$400,MATCH($C99,COPIA!$BZ$3:$BZ$400,0),3),""))</f>
        <v/>
      </c>
      <c r="F99" s="86" t="str">
        <f ca="1">IFERROR(IF(AND(COPIA!$BU$1=3,INDEX(COPIA!$BZ$3:$CB$400,MATCH($C99,COPIA!$BZ$3:$BZ$400,0),2)&lt;&gt;0),INDEX(COPIA!$BZ$3:$CB$400,MATCH($C99,COPIA!$BZ$3:$BZ$400,0),2),""),"")</f>
        <v/>
      </c>
      <c r="G99" s="86" t="str">
        <f ca="1">IFERROR(IF(AND(COPIA!$BU$1=3,INDEX(COPIA!$BZ$3:$CB$400,MATCH($C99,COPIA!$BZ$3:$BZ$400,0),3)&lt;&gt;0),INDEX(COPIA!$BZ$3:$CB$400,MATCH($C99,COPIA!$BZ$3:$BZ$400,0),3),""),"")</f>
        <v/>
      </c>
      <c r="H99" s="7" t="str">
        <f t="shared" ca="1" si="3"/>
        <v/>
      </c>
    </row>
    <row r="100" spans="2:8" ht="18" customHeight="1" x14ac:dyDescent="0.3">
      <c r="B100" s="16" t="str">
        <f t="shared" ca="1" si="2"/>
        <v/>
      </c>
      <c r="C100" s="83" t="str">
        <f ca="1">IF(OR(COPIA!$BU$1=1,COPIA!$BU$1=3),COPIA!CO93,IF(COPIA!$BU$1=2,COPIA!BZ93,IF(ROW()=COPIA!$BT$1,"TOTALE","")))</f>
        <v/>
      </c>
      <c r="D100" s="86" t="str">
        <f ca="1">IF(AND(OR(COPIA!$BU$1=1,COPIA!$BU$1=3),INDEX(COPIA!$BT$3:$BV$400,MATCH($C100,COPIA!$BT$3:$BT$400,0),2)&lt;&gt;0),INDEX(COPIA!$BT$3:$BV$400,MATCH($C100,COPIA!$BT$3:$BT$400,0),2),IF(AND(COPIA!$BU$1=2,INDEX(COPIA!$BZ$3:$CB$400,MATCH($C100,COPIA!$BZ$3:$BZ$400,0),2)&lt;&gt;0),INDEX(COPIA!$BZ$3:$CB$400,MATCH($C100,COPIA!$BZ$3:$BZ$400,0),2),""))</f>
        <v/>
      </c>
      <c r="E100" s="86" t="str">
        <f ca="1">IF(AND(OR(COPIA!$BU$1=1,COPIA!$BU$1=3),INDEX(COPIA!$BT$3:$BV$400,MATCH($C100,COPIA!$BT$3:$BT$400,0),3)&lt;&gt;0),INDEX(COPIA!$BT$3:$BV$400,MATCH($C100,COPIA!$BT$3:$BT$400,0),3),IF(AND(COPIA!$BU$1=2,INDEX(COPIA!$BZ$3:$CB$400,MATCH($C100,COPIA!$BZ$3:$BZ$400,0),3)&lt;&gt;0),INDEX(COPIA!$BZ$3:$CB$400,MATCH($C100,COPIA!$BZ$3:$BZ$400,0),3),""))</f>
        <v/>
      </c>
      <c r="F100" s="86" t="str">
        <f ca="1">IFERROR(IF(AND(COPIA!$BU$1=3,INDEX(COPIA!$BZ$3:$CB$400,MATCH($C100,COPIA!$BZ$3:$BZ$400,0),2)&lt;&gt;0),INDEX(COPIA!$BZ$3:$CB$400,MATCH($C100,COPIA!$BZ$3:$BZ$400,0),2),""),"")</f>
        <v/>
      </c>
      <c r="G100" s="86" t="str">
        <f ca="1">IFERROR(IF(AND(COPIA!$BU$1=3,INDEX(COPIA!$BZ$3:$CB$400,MATCH($C100,COPIA!$BZ$3:$BZ$400,0),3)&lt;&gt;0),INDEX(COPIA!$BZ$3:$CB$400,MATCH($C100,COPIA!$BZ$3:$BZ$400,0),3),""),"")</f>
        <v/>
      </c>
      <c r="H100" s="7" t="str">
        <f t="shared" ca="1" si="3"/>
        <v/>
      </c>
    </row>
    <row r="101" spans="2:8" ht="18" customHeight="1" x14ac:dyDescent="0.3">
      <c r="B101" s="16" t="str">
        <f t="shared" ca="1" si="2"/>
        <v/>
      </c>
      <c r="C101" s="83" t="str">
        <f ca="1">IF(OR(COPIA!$BU$1=1,COPIA!$BU$1=3),COPIA!CO94,IF(COPIA!$BU$1=2,COPIA!BZ94,IF(ROW()=COPIA!$BT$1,"TOTALE","")))</f>
        <v/>
      </c>
      <c r="D101" s="86" t="str">
        <f ca="1">IF(AND(OR(COPIA!$BU$1=1,COPIA!$BU$1=3),INDEX(COPIA!$BT$3:$BV$400,MATCH($C101,COPIA!$BT$3:$BT$400,0),2)&lt;&gt;0),INDEX(COPIA!$BT$3:$BV$400,MATCH($C101,COPIA!$BT$3:$BT$400,0),2),IF(AND(COPIA!$BU$1=2,INDEX(COPIA!$BZ$3:$CB$400,MATCH($C101,COPIA!$BZ$3:$BZ$400,0),2)&lt;&gt;0),INDEX(COPIA!$BZ$3:$CB$400,MATCH($C101,COPIA!$BZ$3:$BZ$400,0),2),""))</f>
        <v/>
      </c>
      <c r="E101" s="86" t="str">
        <f ca="1">IF(AND(OR(COPIA!$BU$1=1,COPIA!$BU$1=3),INDEX(COPIA!$BT$3:$BV$400,MATCH($C101,COPIA!$BT$3:$BT$400,0),3)&lt;&gt;0),INDEX(COPIA!$BT$3:$BV$400,MATCH($C101,COPIA!$BT$3:$BT$400,0),3),IF(AND(COPIA!$BU$1=2,INDEX(COPIA!$BZ$3:$CB$400,MATCH($C101,COPIA!$BZ$3:$BZ$400,0),3)&lt;&gt;0),INDEX(COPIA!$BZ$3:$CB$400,MATCH($C101,COPIA!$BZ$3:$BZ$400,0),3),""))</f>
        <v/>
      </c>
      <c r="F101" s="86" t="str">
        <f ca="1">IFERROR(IF(AND(COPIA!$BU$1=3,INDEX(COPIA!$BZ$3:$CB$400,MATCH($C101,COPIA!$BZ$3:$BZ$400,0),2)&lt;&gt;0),INDEX(COPIA!$BZ$3:$CB$400,MATCH($C101,COPIA!$BZ$3:$BZ$400,0),2),""),"")</f>
        <v/>
      </c>
      <c r="G101" s="86" t="str">
        <f ca="1">IFERROR(IF(AND(COPIA!$BU$1=3,INDEX(COPIA!$BZ$3:$CB$400,MATCH($C101,COPIA!$BZ$3:$BZ$400,0),3)&lt;&gt;0),INDEX(COPIA!$BZ$3:$CB$400,MATCH($C101,COPIA!$BZ$3:$BZ$400,0),3),""),"")</f>
        <v/>
      </c>
      <c r="H101" s="7" t="str">
        <f t="shared" ca="1" si="3"/>
        <v/>
      </c>
    </row>
    <row r="102" spans="2:8" ht="18" customHeight="1" x14ac:dyDescent="0.3">
      <c r="B102" s="16" t="str">
        <f t="shared" ca="1" si="2"/>
        <v/>
      </c>
      <c r="C102" s="83" t="str">
        <f ca="1">IF(OR(COPIA!$BU$1=1,COPIA!$BU$1=3),COPIA!CO95,IF(COPIA!$BU$1=2,COPIA!BZ95,IF(ROW()=COPIA!$BT$1,"TOTALE","")))</f>
        <v/>
      </c>
      <c r="D102" s="86" t="str">
        <f ca="1">IF(AND(OR(COPIA!$BU$1=1,COPIA!$BU$1=3),INDEX(COPIA!$BT$3:$BV$400,MATCH($C102,COPIA!$BT$3:$BT$400,0),2)&lt;&gt;0),INDEX(COPIA!$BT$3:$BV$400,MATCH($C102,COPIA!$BT$3:$BT$400,0),2),IF(AND(COPIA!$BU$1=2,INDEX(COPIA!$BZ$3:$CB$400,MATCH($C102,COPIA!$BZ$3:$BZ$400,0),2)&lt;&gt;0),INDEX(COPIA!$BZ$3:$CB$400,MATCH($C102,COPIA!$BZ$3:$BZ$400,0),2),""))</f>
        <v/>
      </c>
      <c r="E102" s="86" t="str">
        <f ca="1">IF(AND(OR(COPIA!$BU$1=1,COPIA!$BU$1=3),INDEX(COPIA!$BT$3:$BV$400,MATCH($C102,COPIA!$BT$3:$BT$400,0),3)&lt;&gt;0),INDEX(COPIA!$BT$3:$BV$400,MATCH($C102,COPIA!$BT$3:$BT$400,0),3),IF(AND(COPIA!$BU$1=2,INDEX(COPIA!$BZ$3:$CB$400,MATCH($C102,COPIA!$BZ$3:$BZ$400,0),3)&lt;&gt;0),INDEX(COPIA!$BZ$3:$CB$400,MATCH($C102,COPIA!$BZ$3:$BZ$400,0),3),""))</f>
        <v/>
      </c>
      <c r="F102" s="86" t="str">
        <f ca="1">IFERROR(IF(AND(COPIA!$BU$1=3,INDEX(COPIA!$BZ$3:$CB$400,MATCH($C102,COPIA!$BZ$3:$BZ$400,0),2)&lt;&gt;0),INDEX(COPIA!$BZ$3:$CB$400,MATCH($C102,COPIA!$BZ$3:$BZ$400,0),2),""),"")</f>
        <v/>
      </c>
      <c r="G102" s="86" t="str">
        <f ca="1">IFERROR(IF(AND(COPIA!$BU$1=3,INDEX(COPIA!$BZ$3:$CB$400,MATCH($C102,COPIA!$BZ$3:$BZ$400,0),3)&lt;&gt;0),INDEX(COPIA!$BZ$3:$CB$400,MATCH($C102,COPIA!$BZ$3:$BZ$400,0),3),""),"")</f>
        <v/>
      </c>
      <c r="H102" s="7" t="str">
        <f t="shared" ca="1" si="3"/>
        <v/>
      </c>
    </row>
    <row r="103" spans="2:8" ht="18" customHeight="1" x14ac:dyDescent="0.3">
      <c r="B103" s="16" t="str">
        <f t="shared" ca="1" si="2"/>
        <v/>
      </c>
      <c r="C103" s="83" t="str">
        <f ca="1">IF(OR(COPIA!$BU$1=1,COPIA!$BU$1=3),COPIA!CO96,IF(COPIA!$BU$1=2,COPIA!BZ96,IF(ROW()=COPIA!$BT$1,"TOTALE","")))</f>
        <v/>
      </c>
      <c r="D103" s="86" t="str">
        <f ca="1">IF(AND(OR(COPIA!$BU$1=1,COPIA!$BU$1=3),INDEX(COPIA!$BT$3:$BV$400,MATCH($C103,COPIA!$BT$3:$BT$400,0),2)&lt;&gt;0),INDEX(COPIA!$BT$3:$BV$400,MATCH($C103,COPIA!$BT$3:$BT$400,0),2),IF(AND(COPIA!$BU$1=2,INDEX(COPIA!$BZ$3:$CB$400,MATCH($C103,COPIA!$BZ$3:$BZ$400,0),2)&lt;&gt;0),INDEX(COPIA!$BZ$3:$CB$400,MATCH($C103,COPIA!$BZ$3:$BZ$400,0),2),""))</f>
        <v/>
      </c>
      <c r="E103" s="86" t="str">
        <f ca="1">IF(AND(OR(COPIA!$BU$1=1,COPIA!$BU$1=3),INDEX(COPIA!$BT$3:$BV$400,MATCH($C103,COPIA!$BT$3:$BT$400,0),3)&lt;&gt;0),INDEX(COPIA!$BT$3:$BV$400,MATCH($C103,COPIA!$BT$3:$BT$400,0),3),IF(AND(COPIA!$BU$1=2,INDEX(COPIA!$BZ$3:$CB$400,MATCH($C103,COPIA!$BZ$3:$BZ$400,0),3)&lt;&gt;0),INDEX(COPIA!$BZ$3:$CB$400,MATCH($C103,COPIA!$BZ$3:$BZ$400,0),3),""))</f>
        <v/>
      </c>
      <c r="F103" s="86" t="str">
        <f ca="1">IFERROR(IF(AND(COPIA!$BU$1=3,INDEX(COPIA!$BZ$3:$CB$400,MATCH($C103,COPIA!$BZ$3:$BZ$400,0),2)&lt;&gt;0),INDEX(COPIA!$BZ$3:$CB$400,MATCH($C103,COPIA!$BZ$3:$BZ$400,0),2),""),"")</f>
        <v/>
      </c>
      <c r="G103" s="86" t="str">
        <f ca="1">IFERROR(IF(AND(COPIA!$BU$1=3,INDEX(COPIA!$BZ$3:$CB$400,MATCH($C103,COPIA!$BZ$3:$BZ$400,0),3)&lt;&gt;0),INDEX(COPIA!$BZ$3:$CB$400,MATCH($C103,COPIA!$BZ$3:$BZ$400,0),3),""),"")</f>
        <v/>
      </c>
      <c r="H103" s="7" t="str">
        <f t="shared" ca="1" si="3"/>
        <v/>
      </c>
    </row>
    <row r="104" spans="2:8" ht="18" customHeight="1" x14ac:dyDescent="0.3">
      <c r="B104" s="16" t="str">
        <f t="shared" ca="1" si="2"/>
        <v/>
      </c>
      <c r="C104" s="83" t="str">
        <f ca="1">IF(OR(COPIA!$BU$1=1,COPIA!$BU$1=3),COPIA!CO97,IF(COPIA!$BU$1=2,COPIA!BZ97,IF(ROW()=COPIA!$BT$1,"TOTALE","")))</f>
        <v/>
      </c>
      <c r="D104" s="86" t="str">
        <f ca="1">IF(AND(OR(COPIA!$BU$1=1,COPIA!$BU$1=3),INDEX(COPIA!$BT$3:$BV$400,MATCH($C104,COPIA!$BT$3:$BT$400,0),2)&lt;&gt;0),INDEX(COPIA!$BT$3:$BV$400,MATCH($C104,COPIA!$BT$3:$BT$400,0),2),IF(AND(COPIA!$BU$1=2,INDEX(COPIA!$BZ$3:$CB$400,MATCH($C104,COPIA!$BZ$3:$BZ$400,0),2)&lt;&gt;0),INDEX(COPIA!$BZ$3:$CB$400,MATCH($C104,COPIA!$BZ$3:$BZ$400,0),2),""))</f>
        <v/>
      </c>
      <c r="E104" s="86" t="str">
        <f ca="1">IF(AND(OR(COPIA!$BU$1=1,COPIA!$BU$1=3),INDEX(COPIA!$BT$3:$BV$400,MATCH($C104,COPIA!$BT$3:$BT$400,0),3)&lt;&gt;0),INDEX(COPIA!$BT$3:$BV$400,MATCH($C104,COPIA!$BT$3:$BT$400,0),3),IF(AND(COPIA!$BU$1=2,INDEX(COPIA!$BZ$3:$CB$400,MATCH($C104,COPIA!$BZ$3:$BZ$400,0),3)&lt;&gt;0),INDEX(COPIA!$BZ$3:$CB$400,MATCH($C104,COPIA!$BZ$3:$BZ$400,0),3),""))</f>
        <v/>
      </c>
      <c r="F104" s="86" t="str">
        <f ca="1">IFERROR(IF(AND(COPIA!$BU$1=3,INDEX(COPIA!$BZ$3:$CB$400,MATCH($C104,COPIA!$BZ$3:$BZ$400,0),2)&lt;&gt;0),INDEX(COPIA!$BZ$3:$CB$400,MATCH($C104,COPIA!$BZ$3:$BZ$400,0),2),""),"")</f>
        <v/>
      </c>
      <c r="G104" s="86" t="str">
        <f ca="1">IFERROR(IF(AND(COPIA!$BU$1=3,INDEX(COPIA!$BZ$3:$CB$400,MATCH($C104,COPIA!$BZ$3:$BZ$400,0),3)&lt;&gt;0),INDEX(COPIA!$BZ$3:$CB$400,MATCH($C104,COPIA!$BZ$3:$BZ$400,0),3),""),"")</f>
        <v/>
      </c>
      <c r="H104" s="7" t="str">
        <f t="shared" ca="1" si="3"/>
        <v/>
      </c>
    </row>
    <row r="105" spans="2:8" ht="18" customHeight="1" x14ac:dyDescent="0.3">
      <c r="B105" s="16" t="str">
        <f t="shared" ca="1" si="2"/>
        <v/>
      </c>
      <c r="C105" s="83" t="str">
        <f ca="1">IF(OR(COPIA!$BU$1=1,COPIA!$BU$1=3),COPIA!CO98,IF(COPIA!$BU$1=2,COPIA!BZ98,IF(ROW()=COPIA!$BT$1,"TOTALE","")))</f>
        <v/>
      </c>
      <c r="D105" s="86" t="str">
        <f ca="1">IF(AND(OR(COPIA!$BU$1=1,COPIA!$BU$1=3),INDEX(COPIA!$BT$3:$BV$400,MATCH($C105,COPIA!$BT$3:$BT$400,0),2)&lt;&gt;0),INDEX(COPIA!$BT$3:$BV$400,MATCH($C105,COPIA!$BT$3:$BT$400,0),2),IF(AND(COPIA!$BU$1=2,INDEX(COPIA!$BZ$3:$CB$400,MATCH($C105,COPIA!$BZ$3:$BZ$400,0),2)&lt;&gt;0),INDEX(COPIA!$BZ$3:$CB$400,MATCH($C105,COPIA!$BZ$3:$BZ$400,0),2),""))</f>
        <v/>
      </c>
      <c r="E105" s="86" t="str">
        <f ca="1">IF(AND(OR(COPIA!$BU$1=1,COPIA!$BU$1=3),INDEX(COPIA!$BT$3:$BV$400,MATCH($C105,COPIA!$BT$3:$BT$400,0),3)&lt;&gt;0),INDEX(COPIA!$BT$3:$BV$400,MATCH($C105,COPIA!$BT$3:$BT$400,0),3),IF(AND(COPIA!$BU$1=2,INDEX(COPIA!$BZ$3:$CB$400,MATCH($C105,COPIA!$BZ$3:$BZ$400,0),3)&lt;&gt;0),INDEX(COPIA!$BZ$3:$CB$400,MATCH($C105,COPIA!$BZ$3:$BZ$400,0),3),""))</f>
        <v/>
      </c>
      <c r="F105" s="86" t="str">
        <f ca="1">IFERROR(IF(AND(COPIA!$BU$1=3,INDEX(COPIA!$BZ$3:$CB$400,MATCH($C105,COPIA!$BZ$3:$BZ$400,0),2)&lt;&gt;0),INDEX(COPIA!$BZ$3:$CB$400,MATCH($C105,COPIA!$BZ$3:$BZ$400,0),2),""),"")</f>
        <v/>
      </c>
      <c r="G105" s="86" t="str">
        <f ca="1">IFERROR(IF(AND(COPIA!$BU$1=3,INDEX(COPIA!$BZ$3:$CB$400,MATCH($C105,COPIA!$BZ$3:$BZ$400,0),3)&lt;&gt;0),INDEX(COPIA!$BZ$3:$CB$400,MATCH($C105,COPIA!$BZ$3:$BZ$400,0),3),""),"")</f>
        <v/>
      </c>
      <c r="H105" s="7" t="str">
        <f t="shared" ca="1" si="3"/>
        <v/>
      </c>
    </row>
    <row r="106" spans="2:8" ht="18" customHeight="1" x14ac:dyDescent="0.3">
      <c r="B106" s="16" t="str">
        <f t="shared" ca="1" si="2"/>
        <v/>
      </c>
      <c r="C106" s="83" t="str">
        <f ca="1">IF(OR(COPIA!$BU$1=1,COPIA!$BU$1=3),COPIA!CO99,IF(COPIA!$BU$1=2,COPIA!BZ99,IF(ROW()=COPIA!$BT$1,"TOTALE","")))</f>
        <v/>
      </c>
      <c r="D106" s="86" t="str">
        <f ca="1">IF(AND(OR(COPIA!$BU$1=1,COPIA!$BU$1=3),INDEX(COPIA!$BT$3:$BV$400,MATCH($C106,COPIA!$BT$3:$BT$400,0),2)&lt;&gt;0),INDEX(COPIA!$BT$3:$BV$400,MATCH($C106,COPIA!$BT$3:$BT$400,0),2),IF(AND(COPIA!$BU$1=2,INDEX(COPIA!$BZ$3:$CB$400,MATCH($C106,COPIA!$BZ$3:$BZ$400,0),2)&lt;&gt;0),INDEX(COPIA!$BZ$3:$CB$400,MATCH($C106,COPIA!$BZ$3:$BZ$400,0),2),""))</f>
        <v/>
      </c>
      <c r="E106" s="86" t="str">
        <f ca="1">IF(AND(OR(COPIA!$BU$1=1,COPIA!$BU$1=3),INDEX(COPIA!$BT$3:$BV$400,MATCH($C106,COPIA!$BT$3:$BT$400,0),3)&lt;&gt;0),INDEX(COPIA!$BT$3:$BV$400,MATCH($C106,COPIA!$BT$3:$BT$400,0),3),IF(AND(COPIA!$BU$1=2,INDEX(COPIA!$BZ$3:$CB$400,MATCH($C106,COPIA!$BZ$3:$BZ$400,0),3)&lt;&gt;0),INDEX(COPIA!$BZ$3:$CB$400,MATCH($C106,COPIA!$BZ$3:$BZ$400,0),3),""))</f>
        <v/>
      </c>
      <c r="F106" s="86" t="str">
        <f ca="1">IFERROR(IF(AND(COPIA!$BU$1=3,INDEX(COPIA!$BZ$3:$CB$400,MATCH($C106,COPIA!$BZ$3:$BZ$400,0),2)&lt;&gt;0),INDEX(COPIA!$BZ$3:$CB$400,MATCH($C106,COPIA!$BZ$3:$BZ$400,0),2),""),"")</f>
        <v/>
      </c>
      <c r="G106" s="86" t="str">
        <f ca="1">IFERROR(IF(AND(COPIA!$BU$1=3,INDEX(COPIA!$BZ$3:$CB$400,MATCH($C106,COPIA!$BZ$3:$BZ$400,0),3)&lt;&gt;0),INDEX(COPIA!$BZ$3:$CB$400,MATCH($C106,COPIA!$BZ$3:$BZ$400,0),3),""),"")</f>
        <v/>
      </c>
      <c r="H106" s="7" t="str">
        <f t="shared" ca="1" si="3"/>
        <v/>
      </c>
    </row>
    <row r="107" spans="2:8" ht="18" customHeight="1" x14ac:dyDescent="0.3">
      <c r="B107" s="16" t="str">
        <f t="shared" ca="1" si="2"/>
        <v/>
      </c>
      <c r="C107" s="83" t="str">
        <f ca="1">IF(OR(COPIA!$BU$1=1,COPIA!$BU$1=3),COPIA!CO100,IF(COPIA!$BU$1=2,COPIA!BZ100,IF(ROW()=COPIA!$BT$1,"TOTALE","")))</f>
        <v/>
      </c>
      <c r="D107" s="86" t="str">
        <f ca="1">IF(AND(OR(COPIA!$BU$1=1,COPIA!$BU$1=3),INDEX(COPIA!$BT$3:$BV$400,MATCH($C107,COPIA!$BT$3:$BT$400,0),2)&lt;&gt;0),INDEX(COPIA!$BT$3:$BV$400,MATCH($C107,COPIA!$BT$3:$BT$400,0),2),IF(AND(COPIA!$BU$1=2,INDEX(COPIA!$BZ$3:$CB$400,MATCH($C107,COPIA!$BZ$3:$BZ$400,0),2)&lt;&gt;0),INDEX(COPIA!$BZ$3:$CB$400,MATCH($C107,COPIA!$BZ$3:$BZ$400,0),2),""))</f>
        <v/>
      </c>
      <c r="E107" s="86" t="str">
        <f ca="1">IF(AND(OR(COPIA!$BU$1=1,COPIA!$BU$1=3),INDEX(COPIA!$BT$3:$BV$400,MATCH($C107,COPIA!$BT$3:$BT$400,0),3)&lt;&gt;0),INDEX(COPIA!$BT$3:$BV$400,MATCH($C107,COPIA!$BT$3:$BT$400,0),3),IF(AND(COPIA!$BU$1=2,INDEX(COPIA!$BZ$3:$CB$400,MATCH($C107,COPIA!$BZ$3:$BZ$400,0),3)&lt;&gt;0),INDEX(COPIA!$BZ$3:$CB$400,MATCH($C107,COPIA!$BZ$3:$BZ$400,0),3),""))</f>
        <v/>
      </c>
      <c r="F107" s="86" t="str">
        <f ca="1">IFERROR(IF(AND(COPIA!$BU$1=3,INDEX(COPIA!$BZ$3:$CB$400,MATCH($C107,COPIA!$BZ$3:$BZ$400,0),2)&lt;&gt;0),INDEX(COPIA!$BZ$3:$CB$400,MATCH($C107,COPIA!$BZ$3:$BZ$400,0),2),""),"")</f>
        <v/>
      </c>
      <c r="G107" s="86" t="str">
        <f ca="1">IFERROR(IF(AND(COPIA!$BU$1=3,INDEX(COPIA!$BZ$3:$CB$400,MATCH($C107,COPIA!$BZ$3:$BZ$400,0),3)&lt;&gt;0),INDEX(COPIA!$BZ$3:$CB$400,MATCH($C107,COPIA!$BZ$3:$BZ$400,0),3),""),"")</f>
        <v/>
      </c>
      <c r="H107" s="7" t="str">
        <f t="shared" ca="1" si="3"/>
        <v/>
      </c>
    </row>
    <row r="108" spans="2:8" ht="18" customHeight="1" x14ac:dyDescent="0.3">
      <c r="B108" s="16" t="str">
        <f t="shared" ca="1" si="2"/>
        <v/>
      </c>
      <c r="C108" s="83" t="str">
        <f ca="1">IF(OR(COPIA!$BU$1=1,COPIA!$BU$1=3),COPIA!CO101,IF(COPIA!$BU$1=2,COPIA!BZ101,IF(ROW()=COPIA!$BT$1,"TOTALE","")))</f>
        <v/>
      </c>
      <c r="D108" s="86" t="str">
        <f ca="1">IF(AND(OR(COPIA!$BU$1=1,COPIA!$BU$1=3),INDEX(COPIA!$BT$3:$BV$400,MATCH($C108,COPIA!$BT$3:$BT$400,0),2)&lt;&gt;0),INDEX(COPIA!$BT$3:$BV$400,MATCH($C108,COPIA!$BT$3:$BT$400,0),2),IF(AND(COPIA!$BU$1=2,INDEX(COPIA!$BZ$3:$CB$400,MATCH($C108,COPIA!$BZ$3:$BZ$400,0),2)&lt;&gt;0),INDEX(COPIA!$BZ$3:$CB$400,MATCH($C108,COPIA!$BZ$3:$BZ$400,0),2),""))</f>
        <v/>
      </c>
      <c r="E108" s="86" t="str">
        <f ca="1">IF(AND(OR(COPIA!$BU$1=1,COPIA!$BU$1=3),INDEX(COPIA!$BT$3:$BV$400,MATCH($C108,COPIA!$BT$3:$BT$400,0),3)&lt;&gt;0),INDEX(COPIA!$BT$3:$BV$400,MATCH($C108,COPIA!$BT$3:$BT$400,0),3),IF(AND(COPIA!$BU$1=2,INDEX(COPIA!$BZ$3:$CB$400,MATCH($C108,COPIA!$BZ$3:$BZ$400,0),3)&lt;&gt;0),INDEX(COPIA!$BZ$3:$CB$400,MATCH($C108,COPIA!$BZ$3:$BZ$400,0),3),""))</f>
        <v/>
      </c>
      <c r="F108" s="86" t="str">
        <f ca="1">IFERROR(IF(AND(COPIA!$BU$1=3,INDEX(COPIA!$BZ$3:$CB$400,MATCH($C108,COPIA!$BZ$3:$BZ$400,0),2)&lt;&gt;0),INDEX(COPIA!$BZ$3:$CB$400,MATCH($C108,COPIA!$BZ$3:$BZ$400,0),2),""),"")</f>
        <v/>
      </c>
      <c r="G108" s="86" t="str">
        <f ca="1">IFERROR(IF(AND(COPIA!$BU$1=3,INDEX(COPIA!$BZ$3:$CB$400,MATCH($C108,COPIA!$BZ$3:$BZ$400,0),3)&lt;&gt;0),INDEX(COPIA!$BZ$3:$CB$400,MATCH($C108,COPIA!$BZ$3:$BZ$400,0),3),""),"")</f>
        <v/>
      </c>
      <c r="H108" s="7" t="str">
        <f t="shared" ca="1" si="3"/>
        <v/>
      </c>
    </row>
    <row r="109" spans="2:8" ht="18" customHeight="1" x14ac:dyDescent="0.3">
      <c r="B109" s="16" t="str">
        <f t="shared" ca="1" si="2"/>
        <v/>
      </c>
      <c r="C109" s="83" t="str">
        <f ca="1">IF(OR(COPIA!$BU$1=1,COPIA!$BU$1=3),COPIA!CO102,IF(COPIA!$BU$1=2,COPIA!BZ102,IF(ROW()=COPIA!$BT$1,"TOTALE","")))</f>
        <v/>
      </c>
      <c r="D109" s="86" t="str">
        <f ca="1">IF(AND(OR(COPIA!$BU$1=1,COPIA!$BU$1=3),INDEX(COPIA!$BT$3:$BV$400,MATCH($C109,COPIA!$BT$3:$BT$400,0),2)&lt;&gt;0),INDEX(COPIA!$BT$3:$BV$400,MATCH($C109,COPIA!$BT$3:$BT$400,0),2),IF(AND(COPIA!$BU$1=2,INDEX(COPIA!$BZ$3:$CB$400,MATCH($C109,COPIA!$BZ$3:$BZ$400,0),2)&lt;&gt;0),INDEX(COPIA!$BZ$3:$CB$400,MATCH($C109,COPIA!$BZ$3:$BZ$400,0),2),""))</f>
        <v/>
      </c>
      <c r="E109" s="86" t="str">
        <f ca="1">IF(AND(OR(COPIA!$BU$1=1,COPIA!$BU$1=3),INDEX(COPIA!$BT$3:$BV$400,MATCH($C109,COPIA!$BT$3:$BT$400,0),3)&lt;&gt;0),INDEX(COPIA!$BT$3:$BV$400,MATCH($C109,COPIA!$BT$3:$BT$400,0),3),IF(AND(COPIA!$BU$1=2,INDEX(COPIA!$BZ$3:$CB$400,MATCH($C109,COPIA!$BZ$3:$BZ$400,0),3)&lt;&gt;0),INDEX(COPIA!$BZ$3:$CB$400,MATCH($C109,COPIA!$BZ$3:$BZ$400,0),3),""))</f>
        <v/>
      </c>
      <c r="F109" s="86" t="str">
        <f ca="1">IFERROR(IF(AND(COPIA!$BU$1=3,INDEX(COPIA!$BZ$3:$CB$400,MATCH($C109,COPIA!$BZ$3:$BZ$400,0),2)&lt;&gt;0),INDEX(COPIA!$BZ$3:$CB$400,MATCH($C109,COPIA!$BZ$3:$BZ$400,0),2),""),"")</f>
        <v/>
      </c>
      <c r="G109" s="86" t="str">
        <f ca="1">IFERROR(IF(AND(COPIA!$BU$1=3,INDEX(COPIA!$BZ$3:$CB$400,MATCH($C109,COPIA!$BZ$3:$BZ$400,0),3)&lt;&gt;0),INDEX(COPIA!$BZ$3:$CB$400,MATCH($C109,COPIA!$BZ$3:$BZ$400,0),3),""),"")</f>
        <v/>
      </c>
      <c r="H109" s="7" t="str">
        <f t="shared" ca="1" si="3"/>
        <v/>
      </c>
    </row>
    <row r="110" spans="2:8" ht="18" customHeight="1" x14ac:dyDescent="0.3">
      <c r="B110" s="16" t="str">
        <f t="shared" ca="1" si="2"/>
        <v/>
      </c>
      <c r="C110" s="83" t="str">
        <f ca="1">IF(OR(COPIA!$BU$1=1,COPIA!$BU$1=3),COPIA!CO103,IF(COPIA!$BU$1=2,COPIA!BZ103,IF(ROW()=COPIA!$BT$1,"TOTALE","")))</f>
        <v/>
      </c>
      <c r="D110" s="86" t="str">
        <f ca="1">IF(AND(OR(COPIA!$BU$1=1,COPIA!$BU$1=3),INDEX(COPIA!$BT$3:$BV$400,MATCH($C110,COPIA!$BT$3:$BT$400,0),2)&lt;&gt;0),INDEX(COPIA!$BT$3:$BV$400,MATCH($C110,COPIA!$BT$3:$BT$400,0),2),IF(AND(COPIA!$BU$1=2,INDEX(COPIA!$BZ$3:$CB$400,MATCH($C110,COPIA!$BZ$3:$BZ$400,0),2)&lt;&gt;0),INDEX(COPIA!$BZ$3:$CB$400,MATCH($C110,COPIA!$BZ$3:$BZ$400,0),2),""))</f>
        <v/>
      </c>
      <c r="E110" s="86" t="str">
        <f ca="1">IF(AND(OR(COPIA!$BU$1=1,COPIA!$BU$1=3),INDEX(COPIA!$BT$3:$BV$400,MATCH($C110,COPIA!$BT$3:$BT$400,0),3)&lt;&gt;0),INDEX(COPIA!$BT$3:$BV$400,MATCH($C110,COPIA!$BT$3:$BT$400,0),3),IF(AND(COPIA!$BU$1=2,INDEX(COPIA!$BZ$3:$CB$400,MATCH($C110,COPIA!$BZ$3:$BZ$400,0),3)&lt;&gt;0),INDEX(COPIA!$BZ$3:$CB$400,MATCH($C110,COPIA!$BZ$3:$BZ$400,0),3),""))</f>
        <v/>
      </c>
      <c r="F110" s="86" t="str">
        <f ca="1">IFERROR(IF(AND(COPIA!$BU$1=3,INDEX(COPIA!$BZ$3:$CB$400,MATCH($C110,COPIA!$BZ$3:$BZ$400,0),2)&lt;&gt;0),INDEX(COPIA!$BZ$3:$CB$400,MATCH($C110,COPIA!$BZ$3:$BZ$400,0),2),""),"")</f>
        <v/>
      </c>
      <c r="G110" s="86" t="str">
        <f ca="1">IFERROR(IF(AND(COPIA!$BU$1=3,INDEX(COPIA!$BZ$3:$CB$400,MATCH($C110,COPIA!$BZ$3:$BZ$400,0),3)&lt;&gt;0),INDEX(COPIA!$BZ$3:$CB$400,MATCH($C110,COPIA!$BZ$3:$BZ$400,0),3),""),"")</f>
        <v/>
      </c>
      <c r="H110" s="7" t="str">
        <f t="shared" ca="1" si="3"/>
        <v/>
      </c>
    </row>
    <row r="111" spans="2:8" ht="18" customHeight="1" x14ac:dyDescent="0.3">
      <c r="B111" s="16" t="str">
        <f t="shared" ca="1" si="2"/>
        <v/>
      </c>
      <c r="C111" s="83" t="str">
        <f ca="1">IF(OR(COPIA!$BU$1=1,COPIA!$BU$1=3),COPIA!CO104,IF(COPIA!$BU$1=2,COPIA!BZ104,IF(ROW()=COPIA!$BT$1,"TOTALE","")))</f>
        <v/>
      </c>
      <c r="D111" s="86" t="str">
        <f ca="1">IF(AND(OR(COPIA!$BU$1=1,COPIA!$BU$1=3),INDEX(COPIA!$BT$3:$BV$400,MATCH($C111,COPIA!$BT$3:$BT$400,0),2)&lt;&gt;0),INDEX(COPIA!$BT$3:$BV$400,MATCH($C111,COPIA!$BT$3:$BT$400,0),2),IF(AND(COPIA!$BU$1=2,INDEX(COPIA!$BZ$3:$CB$400,MATCH($C111,COPIA!$BZ$3:$BZ$400,0),2)&lt;&gt;0),INDEX(COPIA!$BZ$3:$CB$400,MATCH($C111,COPIA!$BZ$3:$BZ$400,0),2),""))</f>
        <v/>
      </c>
      <c r="E111" s="86" t="str">
        <f ca="1">IF(AND(OR(COPIA!$BU$1=1,COPIA!$BU$1=3),INDEX(COPIA!$BT$3:$BV$400,MATCH($C111,COPIA!$BT$3:$BT$400,0),3)&lt;&gt;0),INDEX(COPIA!$BT$3:$BV$400,MATCH($C111,COPIA!$BT$3:$BT$400,0),3),IF(AND(COPIA!$BU$1=2,INDEX(COPIA!$BZ$3:$CB$400,MATCH($C111,COPIA!$BZ$3:$BZ$400,0),3)&lt;&gt;0),INDEX(COPIA!$BZ$3:$CB$400,MATCH($C111,COPIA!$BZ$3:$BZ$400,0),3),""))</f>
        <v/>
      </c>
      <c r="F111" s="86" t="str">
        <f ca="1">IFERROR(IF(AND(COPIA!$BU$1=3,INDEX(COPIA!$BZ$3:$CB$400,MATCH($C111,COPIA!$BZ$3:$BZ$400,0),2)&lt;&gt;0),INDEX(COPIA!$BZ$3:$CB$400,MATCH($C111,COPIA!$BZ$3:$BZ$400,0),2),""),"")</f>
        <v/>
      </c>
      <c r="G111" s="86" t="str">
        <f ca="1">IFERROR(IF(AND(COPIA!$BU$1=3,INDEX(COPIA!$BZ$3:$CB$400,MATCH($C111,COPIA!$BZ$3:$BZ$400,0),3)&lt;&gt;0),INDEX(COPIA!$BZ$3:$CB$400,MATCH($C111,COPIA!$BZ$3:$BZ$400,0),3),""),"")</f>
        <v/>
      </c>
      <c r="H111" s="7" t="str">
        <f t="shared" ca="1" si="3"/>
        <v/>
      </c>
    </row>
    <row r="112" spans="2:8" ht="18" customHeight="1" x14ac:dyDescent="0.3">
      <c r="B112" s="16" t="str">
        <f t="shared" ca="1" si="2"/>
        <v/>
      </c>
      <c r="C112" s="83" t="str">
        <f ca="1">IF(OR(COPIA!$BU$1=1,COPIA!$BU$1=3),COPIA!CO105,IF(COPIA!$BU$1=2,COPIA!BZ105,IF(ROW()=COPIA!$BT$1,"TOTALE","")))</f>
        <v/>
      </c>
      <c r="D112" s="86" t="str">
        <f ca="1">IF(AND(OR(COPIA!$BU$1=1,COPIA!$BU$1=3),INDEX(COPIA!$BT$3:$BV$400,MATCH($C112,COPIA!$BT$3:$BT$400,0),2)&lt;&gt;0),INDEX(COPIA!$BT$3:$BV$400,MATCH($C112,COPIA!$BT$3:$BT$400,0),2),IF(AND(COPIA!$BU$1=2,INDEX(COPIA!$BZ$3:$CB$400,MATCH($C112,COPIA!$BZ$3:$BZ$400,0),2)&lt;&gt;0),INDEX(COPIA!$BZ$3:$CB$400,MATCH($C112,COPIA!$BZ$3:$BZ$400,0),2),""))</f>
        <v/>
      </c>
      <c r="E112" s="86" t="str">
        <f ca="1">IF(AND(OR(COPIA!$BU$1=1,COPIA!$BU$1=3),INDEX(COPIA!$BT$3:$BV$400,MATCH($C112,COPIA!$BT$3:$BT$400,0),3)&lt;&gt;0),INDEX(COPIA!$BT$3:$BV$400,MATCH($C112,COPIA!$BT$3:$BT$400,0),3),IF(AND(COPIA!$BU$1=2,INDEX(COPIA!$BZ$3:$CB$400,MATCH($C112,COPIA!$BZ$3:$BZ$400,0),3)&lt;&gt;0),INDEX(COPIA!$BZ$3:$CB$400,MATCH($C112,COPIA!$BZ$3:$BZ$400,0),3),""))</f>
        <v/>
      </c>
      <c r="F112" s="86" t="str">
        <f ca="1">IFERROR(IF(AND(COPIA!$BU$1=3,INDEX(COPIA!$BZ$3:$CB$400,MATCH($C112,COPIA!$BZ$3:$BZ$400,0),2)&lt;&gt;0),INDEX(COPIA!$BZ$3:$CB$400,MATCH($C112,COPIA!$BZ$3:$BZ$400,0),2),""),"")</f>
        <v/>
      </c>
      <c r="G112" s="86" t="str">
        <f ca="1">IFERROR(IF(AND(COPIA!$BU$1=3,INDEX(COPIA!$BZ$3:$CB$400,MATCH($C112,COPIA!$BZ$3:$BZ$400,0),3)&lt;&gt;0),INDEX(COPIA!$BZ$3:$CB$400,MATCH($C112,COPIA!$BZ$3:$BZ$400,0),3),""),"")</f>
        <v/>
      </c>
      <c r="H112" s="7" t="str">
        <f t="shared" ca="1" si="3"/>
        <v/>
      </c>
    </row>
    <row r="113" spans="2:8" ht="18" customHeight="1" x14ac:dyDescent="0.3">
      <c r="B113" s="16" t="str">
        <f t="shared" ca="1" si="2"/>
        <v/>
      </c>
      <c r="C113" s="83" t="str">
        <f ca="1">IF(OR(COPIA!$BU$1=1,COPIA!$BU$1=3),COPIA!CO106,IF(COPIA!$BU$1=2,COPIA!BZ106,IF(ROW()=COPIA!$BT$1,"TOTALE","")))</f>
        <v/>
      </c>
      <c r="D113" s="86" t="str">
        <f ca="1">IF(AND(OR(COPIA!$BU$1=1,COPIA!$BU$1=3),INDEX(COPIA!$BT$3:$BV$400,MATCH($C113,COPIA!$BT$3:$BT$400,0),2)&lt;&gt;0),INDEX(COPIA!$BT$3:$BV$400,MATCH($C113,COPIA!$BT$3:$BT$400,0),2),IF(AND(COPIA!$BU$1=2,INDEX(COPIA!$BZ$3:$CB$400,MATCH($C113,COPIA!$BZ$3:$BZ$400,0),2)&lt;&gt;0),INDEX(COPIA!$BZ$3:$CB$400,MATCH($C113,COPIA!$BZ$3:$BZ$400,0),2),""))</f>
        <v/>
      </c>
      <c r="E113" s="86" t="str">
        <f ca="1">IF(AND(OR(COPIA!$BU$1=1,COPIA!$BU$1=3),INDEX(COPIA!$BT$3:$BV$400,MATCH($C113,COPIA!$BT$3:$BT$400,0),3)&lt;&gt;0),INDEX(COPIA!$BT$3:$BV$400,MATCH($C113,COPIA!$BT$3:$BT$400,0),3),IF(AND(COPIA!$BU$1=2,INDEX(COPIA!$BZ$3:$CB$400,MATCH($C113,COPIA!$BZ$3:$BZ$400,0),3)&lt;&gt;0),INDEX(COPIA!$BZ$3:$CB$400,MATCH($C113,COPIA!$BZ$3:$BZ$400,0),3),""))</f>
        <v/>
      </c>
      <c r="F113" s="86" t="str">
        <f ca="1">IFERROR(IF(AND(COPIA!$BU$1=3,INDEX(COPIA!$BZ$3:$CB$400,MATCH($C113,COPIA!$BZ$3:$BZ$400,0),2)&lt;&gt;0),INDEX(COPIA!$BZ$3:$CB$400,MATCH($C113,COPIA!$BZ$3:$BZ$400,0),2),""),"")</f>
        <v/>
      </c>
      <c r="G113" s="86" t="str">
        <f ca="1">IFERROR(IF(AND(COPIA!$BU$1=3,INDEX(COPIA!$BZ$3:$CB$400,MATCH($C113,COPIA!$BZ$3:$BZ$400,0),3)&lt;&gt;0),INDEX(COPIA!$BZ$3:$CB$400,MATCH($C113,COPIA!$BZ$3:$BZ$400,0),3),""),"")</f>
        <v/>
      </c>
      <c r="H113" s="7" t="str">
        <f t="shared" ca="1" si="3"/>
        <v/>
      </c>
    </row>
    <row r="114" spans="2:8" ht="18" customHeight="1" x14ac:dyDescent="0.3">
      <c r="B114" s="16" t="str">
        <f t="shared" ca="1" si="2"/>
        <v/>
      </c>
      <c r="C114" s="83" t="str">
        <f ca="1">IF(OR(COPIA!$BU$1=1,COPIA!$BU$1=3),COPIA!CO107,IF(COPIA!$BU$1=2,COPIA!BZ107,IF(ROW()=COPIA!$BT$1,"TOTALE","")))</f>
        <v/>
      </c>
      <c r="D114" s="86" t="str">
        <f ca="1">IF(AND(OR(COPIA!$BU$1=1,COPIA!$BU$1=3),INDEX(COPIA!$BT$3:$BV$400,MATCH($C114,COPIA!$BT$3:$BT$400,0),2)&lt;&gt;0),INDEX(COPIA!$BT$3:$BV$400,MATCH($C114,COPIA!$BT$3:$BT$400,0),2),IF(AND(COPIA!$BU$1=2,INDEX(COPIA!$BZ$3:$CB$400,MATCH($C114,COPIA!$BZ$3:$BZ$400,0),2)&lt;&gt;0),INDEX(COPIA!$BZ$3:$CB$400,MATCH($C114,COPIA!$BZ$3:$BZ$400,0),2),""))</f>
        <v/>
      </c>
      <c r="E114" s="86" t="str">
        <f ca="1">IF(AND(OR(COPIA!$BU$1=1,COPIA!$BU$1=3),INDEX(COPIA!$BT$3:$BV$400,MATCH($C114,COPIA!$BT$3:$BT$400,0),3)&lt;&gt;0),INDEX(COPIA!$BT$3:$BV$400,MATCH($C114,COPIA!$BT$3:$BT$400,0),3),IF(AND(COPIA!$BU$1=2,INDEX(COPIA!$BZ$3:$CB$400,MATCH($C114,COPIA!$BZ$3:$BZ$400,0),3)&lt;&gt;0),INDEX(COPIA!$BZ$3:$CB$400,MATCH($C114,COPIA!$BZ$3:$BZ$400,0),3),""))</f>
        <v/>
      </c>
      <c r="F114" s="86" t="str">
        <f ca="1">IFERROR(IF(AND(COPIA!$BU$1=3,INDEX(COPIA!$BZ$3:$CB$400,MATCH($C114,COPIA!$BZ$3:$BZ$400,0),2)&lt;&gt;0),INDEX(COPIA!$BZ$3:$CB$400,MATCH($C114,COPIA!$BZ$3:$BZ$400,0),2),""),"")</f>
        <v/>
      </c>
      <c r="G114" s="86" t="str">
        <f ca="1">IFERROR(IF(AND(COPIA!$BU$1=3,INDEX(COPIA!$BZ$3:$CB$400,MATCH($C114,COPIA!$BZ$3:$BZ$400,0),3)&lt;&gt;0),INDEX(COPIA!$BZ$3:$CB$400,MATCH($C114,COPIA!$BZ$3:$BZ$400,0),3),""),"")</f>
        <v/>
      </c>
      <c r="H114" s="7" t="str">
        <f t="shared" ca="1" si="3"/>
        <v/>
      </c>
    </row>
    <row r="115" spans="2:8" ht="18" customHeight="1" x14ac:dyDescent="0.3">
      <c r="B115" s="16" t="str">
        <f t="shared" ca="1" si="2"/>
        <v/>
      </c>
      <c r="C115" s="83" t="str">
        <f ca="1">IF(OR(COPIA!$BU$1=1,COPIA!$BU$1=3),COPIA!CO108,IF(COPIA!$BU$1=2,COPIA!BZ108,IF(ROW()=COPIA!$BT$1,"TOTALE","")))</f>
        <v/>
      </c>
      <c r="D115" s="86" t="str">
        <f ca="1">IF(AND(OR(COPIA!$BU$1=1,COPIA!$BU$1=3),INDEX(COPIA!$BT$3:$BV$400,MATCH($C115,COPIA!$BT$3:$BT$400,0),2)&lt;&gt;0),INDEX(COPIA!$BT$3:$BV$400,MATCH($C115,COPIA!$BT$3:$BT$400,0),2),IF(AND(COPIA!$BU$1=2,INDEX(COPIA!$BZ$3:$CB$400,MATCH($C115,COPIA!$BZ$3:$BZ$400,0),2)&lt;&gt;0),INDEX(COPIA!$BZ$3:$CB$400,MATCH($C115,COPIA!$BZ$3:$BZ$400,0),2),""))</f>
        <v/>
      </c>
      <c r="E115" s="86" t="str">
        <f ca="1">IF(AND(OR(COPIA!$BU$1=1,COPIA!$BU$1=3),INDEX(COPIA!$BT$3:$BV$400,MATCH($C115,COPIA!$BT$3:$BT$400,0),3)&lt;&gt;0),INDEX(COPIA!$BT$3:$BV$400,MATCH($C115,COPIA!$BT$3:$BT$400,0),3),IF(AND(COPIA!$BU$1=2,INDEX(COPIA!$BZ$3:$CB$400,MATCH($C115,COPIA!$BZ$3:$BZ$400,0),3)&lt;&gt;0),INDEX(COPIA!$BZ$3:$CB$400,MATCH($C115,COPIA!$BZ$3:$BZ$400,0),3),""))</f>
        <v/>
      </c>
      <c r="F115" s="86" t="str">
        <f ca="1">IFERROR(IF(AND(COPIA!$BU$1=3,INDEX(COPIA!$BZ$3:$CB$400,MATCH($C115,COPIA!$BZ$3:$BZ$400,0),2)&lt;&gt;0),INDEX(COPIA!$BZ$3:$CB$400,MATCH($C115,COPIA!$BZ$3:$BZ$400,0),2),""),"")</f>
        <v/>
      </c>
      <c r="G115" s="86" t="str">
        <f ca="1">IFERROR(IF(AND(COPIA!$BU$1=3,INDEX(COPIA!$BZ$3:$CB$400,MATCH($C115,COPIA!$BZ$3:$BZ$400,0),3)&lt;&gt;0),INDEX(COPIA!$BZ$3:$CB$400,MATCH($C115,COPIA!$BZ$3:$BZ$400,0),3),""),"")</f>
        <v/>
      </c>
      <c r="H115" s="7" t="str">
        <f t="shared" ca="1" si="3"/>
        <v/>
      </c>
    </row>
    <row r="116" spans="2:8" ht="18" customHeight="1" x14ac:dyDescent="0.3">
      <c r="B116" s="16" t="str">
        <f t="shared" ca="1" si="2"/>
        <v/>
      </c>
      <c r="C116" s="83" t="str">
        <f ca="1">IF(OR(COPIA!$BU$1=1,COPIA!$BU$1=3),COPIA!CO109,IF(COPIA!$BU$1=2,COPIA!BZ109,IF(ROW()=COPIA!$BT$1,"TOTALE","")))</f>
        <v/>
      </c>
      <c r="D116" s="86" t="str">
        <f ca="1">IF(AND(OR(COPIA!$BU$1=1,COPIA!$BU$1=3),INDEX(COPIA!$BT$3:$BV$400,MATCH($C116,COPIA!$BT$3:$BT$400,0),2)&lt;&gt;0),INDEX(COPIA!$BT$3:$BV$400,MATCH($C116,COPIA!$BT$3:$BT$400,0),2),IF(AND(COPIA!$BU$1=2,INDEX(COPIA!$BZ$3:$CB$400,MATCH($C116,COPIA!$BZ$3:$BZ$400,0),2)&lt;&gt;0),INDEX(COPIA!$BZ$3:$CB$400,MATCH($C116,COPIA!$BZ$3:$BZ$400,0),2),""))</f>
        <v/>
      </c>
      <c r="E116" s="86" t="str">
        <f ca="1">IF(AND(OR(COPIA!$BU$1=1,COPIA!$BU$1=3),INDEX(COPIA!$BT$3:$BV$400,MATCH($C116,COPIA!$BT$3:$BT$400,0),3)&lt;&gt;0),INDEX(COPIA!$BT$3:$BV$400,MATCH($C116,COPIA!$BT$3:$BT$400,0),3),IF(AND(COPIA!$BU$1=2,INDEX(COPIA!$BZ$3:$CB$400,MATCH($C116,COPIA!$BZ$3:$BZ$400,0),3)&lt;&gt;0),INDEX(COPIA!$BZ$3:$CB$400,MATCH($C116,COPIA!$BZ$3:$BZ$400,0),3),""))</f>
        <v/>
      </c>
      <c r="F116" s="86" t="str">
        <f ca="1">IFERROR(IF(AND(COPIA!$BU$1=3,INDEX(COPIA!$BZ$3:$CB$400,MATCH($C116,COPIA!$BZ$3:$BZ$400,0),2)&lt;&gt;0),INDEX(COPIA!$BZ$3:$CB$400,MATCH($C116,COPIA!$BZ$3:$BZ$400,0),2),""),"")</f>
        <v/>
      </c>
      <c r="G116" s="86" t="str">
        <f ca="1">IFERROR(IF(AND(COPIA!$BU$1=3,INDEX(COPIA!$BZ$3:$CB$400,MATCH($C116,COPIA!$BZ$3:$BZ$400,0),3)&lt;&gt;0),INDEX(COPIA!$BZ$3:$CB$400,MATCH($C116,COPIA!$BZ$3:$BZ$400,0),3),""),"")</f>
        <v/>
      </c>
      <c r="H116" s="7" t="str">
        <f t="shared" ca="1" si="3"/>
        <v/>
      </c>
    </row>
    <row r="117" spans="2:8" ht="18" customHeight="1" x14ac:dyDescent="0.3">
      <c r="B117" s="16" t="str">
        <f t="shared" ca="1" si="2"/>
        <v/>
      </c>
      <c r="C117" s="83" t="str">
        <f ca="1">IF(OR(COPIA!$BU$1=1,COPIA!$BU$1=3),COPIA!CO110,IF(COPIA!$BU$1=2,COPIA!BZ110,IF(ROW()=COPIA!$BT$1,"TOTALE","")))</f>
        <v/>
      </c>
      <c r="D117" s="86" t="str">
        <f ca="1">IF(AND(OR(COPIA!$BU$1=1,COPIA!$BU$1=3),INDEX(COPIA!$BT$3:$BV$400,MATCH($C117,COPIA!$BT$3:$BT$400,0),2)&lt;&gt;0),INDEX(COPIA!$BT$3:$BV$400,MATCH($C117,COPIA!$BT$3:$BT$400,0),2),IF(AND(COPIA!$BU$1=2,INDEX(COPIA!$BZ$3:$CB$400,MATCH($C117,COPIA!$BZ$3:$BZ$400,0),2)&lt;&gt;0),INDEX(COPIA!$BZ$3:$CB$400,MATCH($C117,COPIA!$BZ$3:$BZ$400,0),2),""))</f>
        <v/>
      </c>
      <c r="E117" s="86" t="str">
        <f ca="1">IF(AND(OR(COPIA!$BU$1=1,COPIA!$BU$1=3),INDEX(COPIA!$BT$3:$BV$400,MATCH($C117,COPIA!$BT$3:$BT$400,0),3)&lt;&gt;0),INDEX(COPIA!$BT$3:$BV$400,MATCH($C117,COPIA!$BT$3:$BT$400,0),3),IF(AND(COPIA!$BU$1=2,INDEX(COPIA!$BZ$3:$CB$400,MATCH($C117,COPIA!$BZ$3:$BZ$400,0),3)&lt;&gt;0),INDEX(COPIA!$BZ$3:$CB$400,MATCH($C117,COPIA!$BZ$3:$BZ$400,0),3),""))</f>
        <v/>
      </c>
      <c r="F117" s="86" t="str">
        <f ca="1">IFERROR(IF(AND(COPIA!$BU$1=3,INDEX(COPIA!$BZ$3:$CB$400,MATCH($C117,COPIA!$BZ$3:$BZ$400,0),2)&lt;&gt;0),INDEX(COPIA!$BZ$3:$CB$400,MATCH($C117,COPIA!$BZ$3:$BZ$400,0),2),""),"")</f>
        <v/>
      </c>
      <c r="G117" s="86" t="str">
        <f ca="1">IFERROR(IF(AND(COPIA!$BU$1=3,INDEX(COPIA!$BZ$3:$CB$400,MATCH($C117,COPIA!$BZ$3:$BZ$400,0),3)&lt;&gt;0),INDEX(COPIA!$BZ$3:$CB$400,MATCH($C117,COPIA!$BZ$3:$BZ$400,0),3),""),"")</f>
        <v/>
      </c>
      <c r="H117" s="7" t="str">
        <f t="shared" ca="1" si="3"/>
        <v/>
      </c>
    </row>
    <row r="118" spans="2:8" ht="18" customHeight="1" x14ac:dyDescent="0.3">
      <c r="B118" s="16" t="str">
        <f t="shared" ca="1" si="2"/>
        <v/>
      </c>
      <c r="C118" s="83" t="str">
        <f ca="1">IF(OR(COPIA!$BU$1=1,COPIA!$BU$1=3),COPIA!CO111,IF(COPIA!$BU$1=2,COPIA!BZ111,IF(ROW()=COPIA!$BT$1,"TOTALE","")))</f>
        <v/>
      </c>
      <c r="D118" s="86" t="str">
        <f ca="1">IF(AND(OR(COPIA!$BU$1=1,COPIA!$BU$1=3),INDEX(COPIA!$BT$3:$BV$400,MATCH($C118,COPIA!$BT$3:$BT$400,0),2)&lt;&gt;0),INDEX(COPIA!$BT$3:$BV$400,MATCH($C118,COPIA!$BT$3:$BT$400,0),2),IF(AND(COPIA!$BU$1=2,INDEX(COPIA!$BZ$3:$CB$400,MATCH($C118,COPIA!$BZ$3:$BZ$400,0),2)&lt;&gt;0),INDEX(COPIA!$BZ$3:$CB$400,MATCH($C118,COPIA!$BZ$3:$BZ$400,0),2),""))</f>
        <v/>
      </c>
      <c r="E118" s="86" t="str">
        <f ca="1">IF(AND(OR(COPIA!$BU$1=1,COPIA!$BU$1=3),INDEX(COPIA!$BT$3:$BV$400,MATCH($C118,COPIA!$BT$3:$BT$400,0),3)&lt;&gt;0),INDEX(COPIA!$BT$3:$BV$400,MATCH($C118,COPIA!$BT$3:$BT$400,0),3),IF(AND(COPIA!$BU$1=2,INDEX(COPIA!$BZ$3:$CB$400,MATCH($C118,COPIA!$BZ$3:$BZ$400,0),3)&lt;&gt;0),INDEX(COPIA!$BZ$3:$CB$400,MATCH($C118,COPIA!$BZ$3:$BZ$400,0),3),""))</f>
        <v/>
      </c>
      <c r="F118" s="86" t="str">
        <f ca="1">IFERROR(IF(AND(COPIA!$BU$1=3,INDEX(COPIA!$BZ$3:$CB$400,MATCH($C118,COPIA!$BZ$3:$BZ$400,0),2)&lt;&gt;0),INDEX(COPIA!$BZ$3:$CB$400,MATCH($C118,COPIA!$BZ$3:$BZ$400,0),2),""),"")</f>
        <v/>
      </c>
      <c r="G118" s="86" t="str">
        <f ca="1">IFERROR(IF(AND(COPIA!$BU$1=3,INDEX(COPIA!$BZ$3:$CB$400,MATCH($C118,COPIA!$BZ$3:$BZ$400,0),3)&lt;&gt;0),INDEX(COPIA!$BZ$3:$CB$400,MATCH($C118,COPIA!$BZ$3:$BZ$400,0),3),""),"")</f>
        <v/>
      </c>
      <c r="H118" s="7" t="str">
        <f t="shared" ca="1" si="3"/>
        <v/>
      </c>
    </row>
    <row r="119" spans="2:8" ht="18" customHeight="1" x14ac:dyDescent="0.3">
      <c r="B119" s="16" t="str">
        <f t="shared" ca="1" si="2"/>
        <v/>
      </c>
      <c r="C119" s="83" t="str">
        <f ca="1">IF(OR(COPIA!$BU$1=1,COPIA!$BU$1=3),COPIA!CO112,IF(COPIA!$BU$1=2,COPIA!BZ112,IF(ROW()=COPIA!$BT$1,"TOTALE","")))</f>
        <v/>
      </c>
      <c r="D119" s="86" t="str">
        <f ca="1">IF(AND(OR(COPIA!$BU$1=1,COPIA!$BU$1=3),INDEX(COPIA!$BT$3:$BV$400,MATCH($C119,COPIA!$BT$3:$BT$400,0),2)&lt;&gt;0),INDEX(COPIA!$BT$3:$BV$400,MATCH($C119,COPIA!$BT$3:$BT$400,0),2),IF(AND(COPIA!$BU$1=2,INDEX(COPIA!$BZ$3:$CB$400,MATCH($C119,COPIA!$BZ$3:$BZ$400,0),2)&lt;&gt;0),INDEX(COPIA!$BZ$3:$CB$400,MATCH($C119,COPIA!$BZ$3:$BZ$400,0),2),""))</f>
        <v/>
      </c>
      <c r="E119" s="86" t="str">
        <f ca="1">IF(AND(OR(COPIA!$BU$1=1,COPIA!$BU$1=3),INDEX(COPIA!$BT$3:$BV$400,MATCH($C119,COPIA!$BT$3:$BT$400,0),3)&lt;&gt;0),INDEX(COPIA!$BT$3:$BV$400,MATCH($C119,COPIA!$BT$3:$BT$400,0),3),IF(AND(COPIA!$BU$1=2,INDEX(COPIA!$BZ$3:$CB$400,MATCH($C119,COPIA!$BZ$3:$BZ$400,0),3)&lt;&gt;0),INDEX(COPIA!$BZ$3:$CB$400,MATCH($C119,COPIA!$BZ$3:$BZ$400,0),3),""))</f>
        <v/>
      </c>
      <c r="F119" s="86" t="str">
        <f ca="1">IFERROR(IF(AND(COPIA!$BU$1=3,INDEX(COPIA!$BZ$3:$CB$400,MATCH($C119,COPIA!$BZ$3:$BZ$400,0),2)&lt;&gt;0),INDEX(COPIA!$BZ$3:$CB$400,MATCH($C119,COPIA!$BZ$3:$BZ$400,0),2),""),"")</f>
        <v/>
      </c>
      <c r="G119" s="86" t="str">
        <f ca="1">IFERROR(IF(AND(COPIA!$BU$1=3,INDEX(COPIA!$BZ$3:$CB$400,MATCH($C119,COPIA!$BZ$3:$BZ$400,0),3)&lt;&gt;0),INDEX(COPIA!$BZ$3:$CB$400,MATCH($C119,COPIA!$BZ$3:$BZ$400,0),3),""),"")</f>
        <v/>
      </c>
      <c r="H119" s="7" t="str">
        <f t="shared" ca="1" si="3"/>
        <v/>
      </c>
    </row>
    <row r="120" spans="2:8" ht="18" customHeight="1" x14ac:dyDescent="0.3">
      <c r="B120" s="16" t="str">
        <f t="shared" ca="1" si="2"/>
        <v/>
      </c>
      <c r="C120" s="83" t="str">
        <f ca="1">IF(OR(COPIA!$BU$1=1,COPIA!$BU$1=3),COPIA!CO113,IF(COPIA!$BU$1=2,COPIA!BZ113,IF(ROW()=COPIA!$BT$1,"TOTALE","")))</f>
        <v/>
      </c>
      <c r="D120" s="86" t="str">
        <f ca="1">IF(AND(OR(COPIA!$BU$1=1,COPIA!$BU$1=3),INDEX(COPIA!$BT$3:$BV$400,MATCH($C120,COPIA!$BT$3:$BT$400,0),2)&lt;&gt;0),INDEX(COPIA!$BT$3:$BV$400,MATCH($C120,COPIA!$BT$3:$BT$400,0),2),IF(AND(COPIA!$BU$1=2,INDEX(COPIA!$BZ$3:$CB$400,MATCH($C120,COPIA!$BZ$3:$BZ$400,0),2)&lt;&gt;0),INDEX(COPIA!$BZ$3:$CB$400,MATCH($C120,COPIA!$BZ$3:$BZ$400,0),2),""))</f>
        <v/>
      </c>
      <c r="E120" s="86" t="str">
        <f ca="1">IF(AND(OR(COPIA!$BU$1=1,COPIA!$BU$1=3),INDEX(COPIA!$BT$3:$BV$400,MATCH($C120,COPIA!$BT$3:$BT$400,0),3)&lt;&gt;0),INDEX(COPIA!$BT$3:$BV$400,MATCH($C120,COPIA!$BT$3:$BT$400,0),3),IF(AND(COPIA!$BU$1=2,INDEX(COPIA!$BZ$3:$CB$400,MATCH($C120,COPIA!$BZ$3:$BZ$400,0),3)&lt;&gt;0),INDEX(COPIA!$BZ$3:$CB$400,MATCH($C120,COPIA!$BZ$3:$BZ$400,0),3),""))</f>
        <v/>
      </c>
      <c r="F120" s="86" t="str">
        <f ca="1">IFERROR(IF(AND(COPIA!$BU$1=3,INDEX(COPIA!$BZ$3:$CB$400,MATCH($C120,COPIA!$BZ$3:$BZ$400,0),2)&lt;&gt;0),INDEX(COPIA!$BZ$3:$CB$400,MATCH($C120,COPIA!$BZ$3:$BZ$400,0),2),""),"")</f>
        <v/>
      </c>
      <c r="G120" s="86" t="str">
        <f ca="1">IFERROR(IF(AND(COPIA!$BU$1=3,INDEX(COPIA!$BZ$3:$CB$400,MATCH($C120,COPIA!$BZ$3:$BZ$400,0),3)&lt;&gt;0),INDEX(COPIA!$BZ$3:$CB$400,MATCH($C120,COPIA!$BZ$3:$BZ$400,0),3),""),"")</f>
        <v/>
      </c>
      <c r="H120" s="7" t="str">
        <f t="shared" ca="1" si="3"/>
        <v/>
      </c>
    </row>
    <row r="121" spans="2:8" ht="18" customHeight="1" x14ac:dyDescent="0.3">
      <c r="B121" s="16" t="str">
        <f t="shared" ca="1" si="2"/>
        <v/>
      </c>
      <c r="C121" s="83" t="str">
        <f ca="1">IF(OR(COPIA!$BU$1=1,COPIA!$BU$1=3),COPIA!CO114,IF(COPIA!$BU$1=2,COPIA!BZ114,IF(ROW()=COPIA!$BT$1,"TOTALE","")))</f>
        <v/>
      </c>
      <c r="D121" s="86" t="str">
        <f ca="1">IF(AND(OR(COPIA!$BU$1=1,COPIA!$BU$1=3),INDEX(COPIA!$BT$3:$BV$400,MATCH($C121,COPIA!$BT$3:$BT$400,0),2)&lt;&gt;0),INDEX(COPIA!$BT$3:$BV$400,MATCH($C121,COPIA!$BT$3:$BT$400,0),2),IF(AND(COPIA!$BU$1=2,INDEX(COPIA!$BZ$3:$CB$400,MATCH($C121,COPIA!$BZ$3:$BZ$400,0),2)&lt;&gt;0),INDEX(COPIA!$BZ$3:$CB$400,MATCH($C121,COPIA!$BZ$3:$BZ$400,0),2),""))</f>
        <v/>
      </c>
      <c r="E121" s="86" t="str">
        <f ca="1">IF(AND(OR(COPIA!$BU$1=1,COPIA!$BU$1=3),INDEX(COPIA!$BT$3:$BV$400,MATCH($C121,COPIA!$BT$3:$BT$400,0),3)&lt;&gt;0),INDEX(COPIA!$BT$3:$BV$400,MATCH($C121,COPIA!$BT$3:$BT$400,0),3),IF(AND(COPIA!$BU$1=2,INDEX(COPIA!$BZ$3:$CB$400,MATCH($C121,COPIA!$BZ$3:$BZ$400,0),3)&lt;&gt;0),INDEX(COPIA!$BZ$3:$CB$400,MATCH($C121,COPIA!$BZ$3:$BZ$400,0),3),""))</f>
        <v/>
      </c>
      <c r="F121" s="86" t="str">
        <f ca="1">IFERROR(IF(AND(COPIA!$BU$1=3,INDEX(COPIA!$BZ$3:$CB$400,MATCH($C121,COPIA!$BZ$3:$BZ$400,0),2)&lt;&gt;0),INDEX(COPIA!$BZ$3:$CB$400,MATCH($C121,COPIA!$BZ$3:$BZ$400,0),2),""),"")</f>
        <v/>
      </c>
      <c r="G121" s="86" t="str">
        <f ca="1">IFERROR(IF(AND(COPIA!$BU$1=3,INDEX(COPIA!$BZ$3:$CB$400,MATCH($C121,COPIA!$BZ$3:$BZ$400,0),3)&lt;&gt;0),INDEX(COPIA!$BZ$3:$CB$400,MATCH($C121,COPIA!$BZ$3:$BZ$400,0),3),""),"")</f>
        <v/>
      </c>
      <c r="H121" s="7" t="str">
        <f t="shared" ca="1" si="3"/>
        <v/>
      </c>
    </row>
    <row r="122" spans="2:8" ht="18" customHeight="1" x14ac:dyDescent="0.3">
      <c r="B122" s="16" t="str">
        <f t="shared" ca="1" si="2"/>
        <v/>
      </c>
      <c r="C122" s="83" t="str">
        <f ca="1">IF(OR(COPIA!$BU$1=1,COPIA!$BU$1=3),COPIA!CO115,IF(COPIA!$BU$1=2,COPIA!BZ115,IF(ROW()=COPIA!$BT$1,"TOTALE","")))</f>
        <v/>
      </c>
      <c r="D122" s="86" t="str">
        <f ca="1">IF(AND(OR(COPIA!$BU$1=1,COPIA!$BU$1=3),INDEX(COPIA!$BT$3:$BV$400,MATCH($C122,COPIA!$BT$3:$BT$400,0),2)&lt;&gt;0),INDEX(COPIA!$BT$3:$BV$400,MATCH($C122,COPIA!$BT$3:$BT$400,0),2),IF(AND(COPIA!$BU$1=2,INDEX(COPIA!$BZ$3:$CB$400,MATCH($C122,COPIA!$BZ$3:$BZ$400,0),2)&lt;&gt;0),INDEX(COPIA!$BZ$3:$CB$400,MATCH($C122,COPIA!$BZ$3:$BZ$400,0),2),""))</f>
        <v/>
      </c>
      <c r="E122" s="86" t="str">
        <f ca="1">IF(AND(OR(COPIA!$BU$1=1,COPIA!$BU$1=3),INDEX(COPIA!$BT$3:$BV$400,MATCH($C122,COPIA!$BT$3:$BT$400,0),3)&lt;&gt;0),INDEX(COPIA!$BT$3:$BV$400,MATCH($C122,COPIA!$BT$3:$BT$400,0),3),IF(AND(COPIA!$BU$1=2,INDEX(COPIA!$BZ$3:$CB$400,MATCH($C122,COPIA!$BZ$3:$BZ$400,0),3)&lt;&gt;0),INDEX(COPIA!$BZ$3:$CB$400,MATCH($C122,COPIA!$BZ$3:$BZ$400,0),3),""))</f>
        <v/>
      </c>
      <c r="F122" s="86" t="str">
        <f ca="1">IFERROR(IF(AND(COPIA!$BU$1=3,INDEX(COPIA!$BZ$3:$CB$400,MATCH($C122,COPIA!$BZ$3:$BZ$400,0),2)&lt;&gt;0),INDEX(COPIA!$BZ$3:$CB$400,MATCH($C122,COPIA!$BZ$3:$BZ$400,0),2),""),"")</f>
        <v/>
      </c>
      <c r="G122" s="86" t="str">
        <f ca="1">IFERROR(IF(AND(COPIA!$BU$1=3,INDEX(COPIA!$BZ$3:$CB$400,MATCH($C122,COPIA!$BZ$3:$BZ$400,0),3)&lt;&gt;0),INDEX(COPIA!$BZ$3:$CB$400,MATCH($C122,COPIA!$BZ$3:$BZ$400,0),3),""),"")</f>
        <v/>
      </c>
      <c r="H122" s="7" t="str">
        <f t="shared" ca="1" si="3"/>
        <v/>
      </c>
    </row>
    <row r="123" spans="2:8" ht="18" customHeight="1" x14ac:dyDescent="0.3">
      <c r="B123" s="16" t="str">
        <f t="shared" ca="1" si="2"/>
        <v/>
      </c>
      <c r="C123" s="83" t="str">
        <f ca="1">IF(OR(COPIA!$BU$1=1,COPIA!$BU$1=3),COPIA!CO116,IF(COPIA!$BU$1=2,COPIA!BZ116,IF(ROW()=COPIA!$BT$1,"TOTALE","")))</f>
        <v/>
      </c>
      <c r="D123" s="86" t="str">
        <f ca="1">IF(AND(OR(COPIA!$BU$1=1,COPIA!$BU$1=3),INDEX(COPIA!$BT$3:$BV$400,MATCH($C123,COPIA!$BT$3:$BT$400,0),2)&lt;&gt;0),INDEX(COPIA!$BT$3:$BV$400,MATCH($C123,COPIA!$BT$3:$BT$400,0),2),IF(AND(COPIA!$BU$1=2,INDEX(COPIA!$BZ$3:$CB$400,MATCH($C123,COPIA!$BZ$3:$BZ$400,0),2)&lt;&gt;0),INDEX(COPIA!$BZ$3:$CB$400,MATCH($C123,COPIA!$BZ$3:$BZ$400,0),2),""))</f>
        <v/>
      </c>
      <c r="E123" s="86" t="str">
        <f ca="1">IF(AND(OR(COPIA!$BU$1=1,COPIA!$BU$1=3),INDEX(COPIA!$BT$3:$BV$400,MATCH($C123,COPIA!$BT$3:$BT$400,0),3)&lt;&gt;0),INDEX(COPIA!$BT$3:$BV$400,MATCH($C123,COPIA!$BT$3:$BT$400,0),3),IF(AND(COPIA!$BU$1=2,INDEX(COPIA!$BZ$3:$CB$400,MATCH($C123,COPIA!$BZ$3:$BZ$400,0),3)&lt;&gt;0),INDEX(COPIA!$BZ$3:$CB$400,MATCH($C123,COPIA!$BZ$3:$BZ$400,0),3),""))</f>
        <v/>
      </c>
      <c r="F123" s="86" t="str">
        <f ca="1">IFERROR(IF(AND(COPIA!$BU$1=3,INDEX(COPIA!$BZ$3:$CB$400,MATCH($C123,COPIA!$BZ$3:$BZ$400,0),2)&lt;&gt;0),INDEX(COPIA!$BZ$3:$CB$400,MATCH($C123,COPIA!$BZ$3:$BZ$400,0),2),""),"")</f>
        <v/>
      </c>
      <c r="G123" s="86" t="str">
        <f ca="1">IFERROR(IF(AND(COPIA!$BU$1=3,INDEX(COPIA!$BZ$3:$CB$400,MATCH($C123,COPIA!$BZ$3:$BZ$400,0),3)&lt;&gt;0),INDEX(COPIA!$BZ$3:$CB$400,MATCH($C123,COPIA!$BZ$3:$BZ$400,0),3),""),"")</f>
        <v/>
      </c>
      <c r="H123" s="7" t="str">
        <f t="shared" ca="1" si="3"/>
        <v/>
      </c>
    </row>
    <row r="124" spans="2:8" ht="18" customHeight="1" x14ac:dyDescent="0.3">
      <c r="B124" s="16" t="str">
        <f t="shared" ca="1" si="2"/>
        <v/>
      </c>
      <c r="C124" s="83" t="str">
        <f ca="1">IF(OR(COPIA!$BU$1=1,COPIA!$BU$1=3),COPIA!CO117,IF(COPIA!$BU$1=2,COPIA!BZ117,IF(ROW()=COPIA!$BT$1,"TOTALE","")))</f>
        <v/>
      </c>
      <c r="D124" s="86" t="str">
        <f ca="1">IF(AND(OR(COPIA!$BU$1=1,COPIA!$BU$1=3),INDEX(COPIA!$BT$3:$BV$400,MATCH($C124,COPIA!$BT$3:$BT$400,0),2)&lt;&gt;0),INDEX(COPIA!$BT$3:$BV$400,MATCH($C124,COPIA!$BT$3:$BT$400,0),2),IF(AND(COPIA!$BU$1=2,INDEX(COPIA!$BZ$3:$CB$400,MATCH($C124,COPIA!$BZ$3:$BZ$400,0),2)&lt;&gt;0),INDEX(COPIA!$BZ$3:$CB$400,MATCH($C124,COPIA!$BZ$3:$BZ$400,0),2),""))</f>
        <v/>
      </c>
      <c r="E124" s="86" t="str">
        <f ca="1">IF(AND(OR(COPIA!$BU$1=1,COPIA!$BU$1=3),INDEX(COPIA!$BT$3:$BV$400,MATCH($C124,COPIA!$BT$3:$BT$400,0),3)&lt;&gt;0),INDEX(COPIA!$BT$3:$BV$400,MATCH($C124,COPIA!$BT$3:$BT$400,0),3),IF(AND(COPIA!$BU$1=2,INDEX(COPIA!$BZ$3:$CB$400,MATCH($C124,COPIA!$BZ$3:$BZ$400,0),3)&lt;&gt;0),INDEX(COPIA!$BZ$3:$CB$400,MATCH($C124,COPIA!$BZ$3:$BZ$400,0),3),""))</f>
        <v/>
      </c>
      <c r="F124" s="86" t="str">
        <f ca="1">IFERROR(IF(AND(COPIA!$BU$1=3,INDEX(COPIA!$BZ$3:$CB$400,MATCH($C124,COPIA!$BZ$3:$BZ$400,0),2)&lt;&gt;0),INDEX(COPIA!$BZ$3:$CB$400,MATCH($C124,COPIA!$BZ$3:$BZ$400,0),2),""),"")</f>
        <v/>
      </c>
      <c r="G124" s="86" t="str">
        <f ca="1">IFERROR(IF(AND(COPIA!$BU$1=3,INDEX(COPIA!$BZ$3:$CB$400,MATCH($C124,COPIA!$BZ$3:$BZ$400,0),3)&lt;&gt;0),INDEX(COPIA!$BZ$3:$CB$400,MATCH($C124,COPIA!$BZ$3:$BZ$400,0),3),""),"")</f>
        <v/>
      </c>
      <c r="H124" s="7" t="str">
        <f t="shared" ca="1" si="3"/>
        <v/>
      </c>
    </row>
    <row r="125" spans="2:8" ht="18" customHeight="1" x14ac:dyDescent="0.3">
      <c r="B125" s="16" t="str">
        <f t="shared" ca="1" si="2"/>
        <v/>
      </c>
      <c r="C125" s="83" t="str">
        <f ca="1">IF(OR(COPIA!$BU$1=1,COPIA!$BU$1=3),COPIA!CO118,IF(COPIA!$BU$1=2,COPIA!BZ118,IF(ROW()=COPIA!$BT$1,"TOTALE","")))</f>
        <v/>
      </c>
      <c r="D125" s="86" t="str">
        <f ca="1">IF(AND(OR(COPIA!$BU$1=1,COPIA!$BU$1=3),INDEX(COPIA!$BT$3:$BV$400,MATCH($C125,COPIA!$BT$3:$BT$400,0),2)&lt;&gt;0),INDEX(COPIA!$BT$3:$BV$400,MATCH($C125,COPIA!$BT$3:$BT$400,0),2),IF(AND(COPIA!$BU$1=2,INDEX(COPIA!$BZ$3:$CB$400,MATCH($C125,COPIA!$BZ$3:$BZ$400,0),2)&lt;&gt;0),INDEX(COPIA!$BZ$3:$CB$400,MATCH($C125,COPIA!$BZ$3:$BZ$400,0),2),""))</f>
        <v/>
      </c>
      <c r="E125" s="86" t="str">
        <f ca="1">IF(AND(OR(COPIA!$BU$1=1,COPIA!$BU$1=3),INDEX(COPIA!$BT$3:$BV$400,MATCH($C125,COPIA!$BT$3:$BT$400,0),3)&lt;&gt;0),INDEX(COPIA!$BT$3:$BV$400,MATCH($C125,COPIA!$BT$3:$BT$400,0),3),IF(AND(COPIA!$BU$1=2,INDEX(COPIA!$BZ$3:$CB$400,MATCH($C125,COPIA!$BZ$3:$BZ$400,0),3)&lt;&gt;0),INDEX(COPIA!$BZ$3:$CB$400,MATCH($C125,COPIA!$BZ$3:$BZ$400,0),3),""))</f>
        <v/>
      </c>
      <c r="F125" s="86" t="str">
        <f ca="1">IFERROR(IF(AND(COPIA!$BU$1=3,INDEX(COPIA!$BZ$3:$CB$400,MATCH($C125,COPIA!$BZ$3:$BZ$400,0),2)&lt;&gt;0),INDEX(COPIA!$BZ$3:$CB$400,MATCH($C125,COPIA!$BZ$3:$BZ$400,0),2),""),"")</f>
        <v/>
      </c>
      <c r="G125" s="86" t="str">
        <f ca="1">IFERROR(IF(AND(COPIA!$BU$1=3,INDEX(COPIA!$BZ$3:$CB$400,MATCH($C125,COPIA!$BZ$3:$BZ$400,0),3)&lt;&gt;0),INDEX(COPIA!$BZ$3:$CB$400,MATCH($C125,COPIA!$BZ$3:$BZ$400,0),3),""),"")</f>
        <v/>
      </c>
      <c r="H125" s="7" t="str">
        <f t="shared" ca="1" si="3"/>
        <v/>
      </c>
    </row>
    <row r="126" spans="2:8" ht="18" customHeight="1" x14ac:dyDescent="0.3">
      <c r="B126" s="16" t="str">
        <f t="shared" ca="1" si="2"/>
        <v/>
      </c>
      <c r="C126" s="83" t="str">
        <f ca="1">IF(OR(COPIA!$BU$1=1,COPIA!$BU$1=3),COPIA!CO119,IF(COPIA!$BU$1=2,COPIA!BZ119,IF(ROW()=COPIA!$BT$1,"TOTALE","")))</f>
        <v/>
      </c>
      <c r="D126" s="86" t="str">
        <f ca="1">IF(AND(OR(COPIA!$BU$1=1,COPIA!$BU$1=3),INDEX(COPIA!$BT$3:$BV$400,MATCH($C126,COPIA!$BT$3:$BT$400,0),2)&lt;&gt;0),INDEX(COPIA!$BT$3:$BV$400,MATCH($C126,COPIA!$BT$3:$BT$400,0),2),IF(AND(COPIA!$BU$1=2,INDEX(COPIA!$BZ$3:$CB$400,MATCH($C126,COPIA!$BZ$3:$BZ$400,0),2)&lt;&gt;0),INDEX(COPIA!$BZ$3:$CB$400,MATCH($C126,COPIA!$BZ$3:$BZ$400,0),2),""))</f>
        <v/>
      </c>
      <c r="E126" s="86" t="str">
        <f ca="1">IF(AND(OR(COPIA!$BU$1=1,COPIA!$BU$1=3),INDEX(COPIA!$BT$3:$BV$400,MATCH($C126,COPIA!$BT$3:$BT$400,0),3)&lt;&gt;0),INDEX(COPIA!$BT$3:$BV$400,MATCH($C126,COPIA!$BT$3:$BT$400,0),3),IF(AND(COPIA!$BU$1=2,INDEX(COPIA!$BZ$3:$CB$400,MATCH($C126,COPIA!$BZ$3:$BZ$400,0),3)&lt;&gt;0),INDEX(COPIA!$BZ$3:$CB$400,MATCH($C126,COPIA!$BZ$3:$BZ$400,0),3),""))</f>
        <v/>
      </c>
      <c r="F126" s="86" t="str">
        <f ca="1">IFERROR(IF(AND(COPIA!$BU$1=3,INDEX(COPIA!$BZ$3:$CB$400,MATCH($C126,COPIA!$BZ$3:$BZ$400,0),2)&lt;&gt;0),INDEX(COPIA!$BZ$3:$CB$400,MATCH($C126,COPIA!$BZ$3:$BZ$400,0),2),""),"")</f>
        <v/>
      </c>
      <c r="G126" s="86" t="str">
        <f ca="1">IFERROR(IF(AND(COPIA!$BU$1=3,INDEX(COPIA!$BZ$3:$CB$400,MATCH($C126,COPIA!$BZ$3:$BZ$400,0),3)&lt;&gt;0),INDEX(COPIA!$BZ$3:$CB$400,MATCH($C126,COPIA!$BZ$3:$BZ$400,0),3),""),"")</f>
        <v/>
      </c>
      <c r="H126" s="7" t="str">
        <f t="shared" ca="1" si="3"/>
        <v/>
      </c>
    </row>
    <row r="127" spans="2:8" ht="18" customHeight="1" x14ac:dyDescent="0.3">
      <c r="B127" s="16" t="str">
        <f t="shared" ca="1" si="2"/>
        <v/>
      </c>
      <c r="C127" s="83" t="str">
        <f ca="1">IF(OR(COPIA!$BU$1=1,COPIA!$BU$1=3),COPIA!CO120,IF(COPIA!$BU$1=2,COPIA!BZ120,IF(ROW()=COPIA!$BT$1,"TOTALE","")))</f>
        <v/>
      </c>
      <c r="D127" s="86" t="str">
        <f ca="1">IF(AND(OR(COPIA!$BU$1=1,COPIA!$BU$1=3),INDEX(COPIA!$BT$3:$BV$400,MATCH($C127,COPIA!$BT$3:$BT$400,0),2)&lt;&gt;0),INDEX(COPIA!$BT$3:$BV$400,MATCH($C127,COPIA!$BT$3:$BT$400,0),2),IF(AND(COPIA!$BU$1=2,INDEX(COPIA!$BZ$3:$CB$400,MATCH($C127,COPIA!$BZ$3:$BZ$400,0),2)&lt;&gt;0),INDEX(COPIA!$BZ$3:$CB$400,MATCH($C127,COPIA!$BZ$3:$BZ$400,0),2),""))</f>
        <v/>
      </c>
      <c r="E127" s="86" t="str">
        <f ca="1">IF(AND(OR(COPIA!$BU$1=1,COPIA!$BU$1=3),INDEX(COPIA!$BT$3:$BV$400,MATCH($C127,COPIA!$BT$3:$BT$400,0),3)&lt;&gt;0),INDEX(COPIA!$BT$3:$BV$400,MATCH($C127,COPIA!$BT$3:$BT$400,0),3),IF(AND(COPIA!$BU$1=2,INDEX(COPIA!$BZ$3:$CB$400,MATCH($C127,COPIA!$BZ$3:$BZ$400,0),3)&lt;&gt;0),INDEX(COPIA!$BZ$3:$CB$400,MATCH($C127,COPIA!$BZ$3:$BZ$400,0),3),""))</f>
        <v/>
      </c>
      <c r="F127" s="86" t="str">
        <f ca="1">IFERROR(IF(AND(COPIA!$BU$1=3,INDEX(COPIA!$BZ$3:$CB$400,MATCH($C127,COPIA!$BZ$3:$BZ$400,0),2)&lt;&gt;0),INDEX(COPIA!$BZ$3:$CB$400,MATCH($C127,COPIA!$BZ$3:$BZ$400,0),2),""),"")</f>
        <v/>
      </c>
      <c r="G127" s="86" t="str">
        <f ca="1">IFERROR(IF(AND(COPIA!$BU$1=3,INDEX(COPIA!$BZ$3:$CB$400,MATCH($C127,COPIA!$BZ$3:$BZ$400,0),3)&lt;&gt;0),INDEX(COPIA!$BZ$3:$CB$400,MATCH($C127,COPIA!$BZ$3:$BZ$400,0),3),""),"")</f>
        <v/>
      </c>
      <c r="H127" s="7" t="str">
        <f t="shared" ca="1" si="3"/>
        <v/>
      </c>
    </row>
    <row r="128" spans="2:8" ht="18" customHeight="1" x14ac:dyDescent="0.3">
      <c r="B128" s="16" t="str">
        <f t="shared" ca="1" si="2"/>
        <v/>
      </c>
      <c r="C128" s="83" t="str">
        <f ca="1">IF(OR(COPIA!$BU$1=1,COPIA!$BU$1=3),COPIA!CO121,IF(COPIA!$BU$1=2,COPIA!BZ121,IF(ROW()=COPIA!$BT$1,"TOTALE","")))</f>
        <v/>
      </c>
      <c r="D128" s="86" t="str">
        <f ca="1">IF(AND(OR(COPIA!$BU$1=1,COPIA!$BU$1=3),INDEX(COPIA!$BT$3:$BV$400,MATCH($C128,COPIA!$BT$3:$BT$400,0),2)&lt;&gt;0),INDEX(COPIA!$BT$3:$BV$400,MATCH($C128,COPIA!$BT$3:$BT$400,0),2),IF(AND(COPIA!$BU$1=2,INDEX(COPIA!$BZ$3:$CB$400,MATCH($C128,COPIA!$BZ$3:$BZ$400,0),2)&lt;&gt;0),INDEX(COPIA!$BZ$3:$CB$400,MATCH($C128,COPIA!$BZ$3:$BZ$400,0),2),""))</f>
        <v/>
      </c>
      <c r="E128" s="86" t="str">
        <f ca="1">IF(AND(OR(COPIA!$BU$1=1,COPIA!$BU$1=3),INDEX(COPIA!$BT$3:$BV$400,MATCH($C128,COPIA!$BT$3:$BT$400,0),3)&lt;&gt;0),INDEX(COPIA!$BT$3:$BV$400,MATCH($C128,COPIA!$BT$3:$BT$400,0),3),IF(AND(COPIA!$BU$1=2,INDEX(COPIA!$BZ$3:$CB$400,MATCH($C128,COPIA!$BZ$3:$BZ$400,0),3)&lt;&gt;0),INDEX(COPIA!$BZ$3:$CB$400,MATCH($C128,COPIA!$BZ$3:$BZ$400,0),3),""))</f>
        <v/>
      </c>
      <c r="F128" s="86" t="str">
        <f ca="1">IFERROR(IF(AND(COPIA!$BU$1=3,INDEX(COPIA!$BZ$3:$CB$400,MATCH($C128,COPIA!$BZ$3:$BZ$400,0),2)&lt;&gt;0),INDEX(COPIA!$BZ$3:$CB$400,MATCH($C128,COPIA!$BZ$3:$BZ$400,0),2),""),"")</f>
        <v/>
      </c>
      <c r="G128" s="86" t="str">
        <f ca="1">IFERROR(IF(AND(COPIA!$BU$1=3,INDEX(COPIA!$BZ$3:$CB$400,MATCH($C128,COPIA!$BZ$3:$BZ$400,0),3)&lt;&gt;0),INDEX(COPIA!$BZ$3:$CB$400,MATCH($C128,COPIA!$BZ$3:$BZ$400,0),3),""),"")</f>
        <v/>
      </c>
      <c r="H128" s="7" t="str">
        <f t="shared" ca="1" si="3"/>
        <v/>
      </c>
    </row>
    <row r="129" spans="2:8" ht="18" customHeight="1" x14ac:dyDescent="0.3">
      <c r="B129" s="16" t="str">
        <f t="shared" ca="1" si="2"/>
        <v/>
      </c>
      <c r="C129" s="83" t="str">
        <f ca="1">IF(OR(COPIA!$BU$1=1,COPIA!$BU$1=3),COPIA!CO122,IF(COPIA!$BU$1=2,COPIA!BZ122,IF(ROW()=COPIA!$BT$1,"TOTALE","")))</f>
        <v/>
      </c>
      <c r="D129" s="86" t="str">
        <f ca="1">IF(AND(OR(COPIA!$BU$1=1,COPIA!$BU$1=3),INDEX(COPIA!$BT$3:$BV$400,MATCH($C129,COPIA!$BT$3:$BT$400,0),2)&lt;&gt;0),INDEX(COPIA!$BT$3:$BV$400,MATCH($C129,COPIA!$BT$3:$BT$400,0),2),IF(AND(COPIA!$BU$1=2,INDEX(COPIA!$BZ$3:$CB$400,MATCH($C129,COPIA!$BZ$3:$BZ$400,0),2)&lt;&gt;0),INDEX(COPIA!$BZ$3:$CB$400,MATCH($C129,COPIA!$BZ$3:$BZ$400,0),2),""))</f>
        <v/>
      </c>
      <c r="E129" s="86" t="str">
        <f ca="1">IF(AND(OR(COPIA!$BU$1=1,COPIA!$BU$1=3),INDEX(COPIA!$BT$3:$BV$400,MATCH($C129,COPIA!$BT$3:$BT$400,0),3)&lt;&gt;0),INDEX(COPIA!$BT$3:$BV$400,MATCH($C129,COPIA!$BT$3:$BT$400,0),3),IF(AND(COPIA!$BU$1=2,INDEX(COPIA!$BZ$3:$CB$400,MATCH($C129,COPIA!$BZ$3:$BZ$400,0),3)&lt;&gt;0),INDEX(COPIA!$BZ$3:$CB$400,MATCH($C129,COPIA!$BZ$3:$BZ$400,0),3),""))</f>
        <v/>
      </c>
      <c r="F129" s="86" t="str">
        <f ca="1">IFERROR(IF(AND(COPIA!$BU$1=3,INDEX(COPIA!$BZ$3:$CB$400,MATCH($C129,COPIA!$BZ$3:$BZ$400,0),2)&lt;&gt;0),INDEX(COPIA!$BZ$3:$CB$400,MATCH($C129,COPIA!$BZ$3:$BZ$400,0),2),""),"")</f>
        <v/>
      </c>
      <c r="G129" s="86" t="str">
        <f ca="1">IFERROR(IF(AND(COPIA!$BU$1=3,INDEX(COPIA!$BZ$3:$CB$400,MATCH($C129,COPIA!$BZ$3:$BZ$400,0),3)&lt;&gt;0),INDEX(COPIA!$BZ$3:$CB$400,MATCH($C129,COPIA!$BZ$3:$BZ$400,0),3),""),"")</f>
        <v/>
      </c>
      <c r="H129" s="7" t="str">
        <f t="shared" ca="1" si="3"/>
        <v/>
      </c>
    </row>
    <row r="130" spans="2:8" ht="18" customHeight="1" x14ac:dyDescent="0.3">
      <c r="B130" s="16" t="str">
        <f t="shared" ca="1" si="2"/>
        <v/>
      </c>
      <c r="C130" s="83" t="str">
        <f ca="1">IF(OR(COPIA!$BU$1=1,COPIA!$BU$1=3),COPIA!CO123,IF(COPIA!$BU$1=2,COPIA!BZ123,IF(ROW()=COPIA!$BT$1,"TOTALE","")))</f>
        <v/>
      </c>
      <c r="D130" s="86" t="str">
        <f ca="1">IF(AND(OR(COPIA!$BU$1=1,COPIA!$BU$1=3),INDEX(COPIA!$BT$3:$BV$400,MATCH($C130,COPIA!$BT$3:$BT$400,0),2)&lt;&gt;0),INDEX(COPIA!$BT$3:$BV$400,MATCH($C130,COPIA!$BT$3:$BT$400,0),2),IF(AND(COPIA!$BU$1=2,INDEX(COPIA!$BZ$3:$CB$400,MATCH($C130,COPIA!$BZ$3:$BZ$400,0),2)&lt;&gt;0),INDEX(COPIA!$BZ$3:$CB$400,MATCH($C130,COPIA!$BZ$3:$BZ$400,0),2),""))</f>
        <v/>
      </c>
      <c r="E130" s="86" t="str">
        <f ca="1">IF(AND(OR(COPIA!$BU$1=1,COPIA!$BU$1=3),INDEX(COPIA!$BT$3:$BV$400,MATCH($C130,COPIA!$BT$3:$BT$400,0),3)&lt;&gt;0),INDEX(COPIA!$BT$3:$BV$400,MATCH($C130,COPIA!$BT$3:$BT$400,0),3),IF(AND(COPIA!$BU$1=2,INDEX(COPIA!$BZ$3:$CB$400,MATCH($C130,COPIA!$BZ$3:$BZ$400,0),3)&lt;&gt;0),INDEX(COPIA!$BZ$3:$CB$400,MATCH($C130,COPIA!$BZ$3:$BZ$400,0),3),""))</f>
        <v/>
      </c>
      <c r="F130" s="86" t="str">
        <f ca="1">IFERROR(IF(AND(COPIA!$BU$1=3,INDEX(COPIA!$BZ$3:$CB$400,MATCH($C130,COPIA!$BZ$3:$BZ$400,0),2)&lt;&gt;0),INDEX(COPIA!$BZ$3:$CB$400,MATCH($C130,COPIA!$BZ$3:$BZ$400,0),2),""),"")</f>
        <v/>
      </c>
      <c r="G130" s="86" t="str">
        <f ca="1">IFERROR(IF(AND(COPIA!$BU$1=3,INDEX(COPIA!$BZ$3:$CB$400,MATCH($C130,COPIA!$BZ$3:$BZ$400,0),3)&lt;&gt;0),INDEX(COPIA!$BZ$3:$CB$400,MATCH($C130,COPIA!$BZ$3:$BZ$400,0),3),""),"")</f>
        <v/>
      </c>
      <c r="H130" s="7" t="str">
        <f t="shared" ca="1" si="3"/>
        <v/>
      </c>
    </row>
    <row r="131" spans="2:8" ht="18" customHeight="1" x14ac:dyDescent="0.3">
      <c r="B131" s="16" t="str">
        <f t="shared" ca="1" si="2"/>
        <v/>
      </c>
      <c r="C131" s="83" t="str">
        <f ca="1">IF(OR(COPIA!$BU$1=1,COPIA!$BU$1=3),COPIA!CO124,IF(COPIA!$BU$1=2,COPIA!BZ124,IF(ROW()=COPIA!$BT$1,"TOTALE","")))</f>
        <v/>
      </c>
      <c r="D131" s="86" t="str">
        <f ca="1">IF(AND(OR(COPIA!$BU$1=1,COPIA!$BU$1=3),INDEX(COPIA!$BT$3:$BV$400,MATCH($C131,COPIA!$BT$3:$BT$400,0),2)&lt;&gt;0),INDEX(COPIA!$BT$3:$BV$400,MATCH($C131,COPIA!$BT$3:$BT$400,0),2),IF(AND(COPIA!$BU$1=2,INDEX(COPIA!$BZ$3:$CB$400,MATCH($C131,COPIA!$BZ$3:$BZ$400,0),2)&lt;&gt;0),INDEX(COPIA!$BZ$3:$CB$400,MATCH($C131,COPIA!$BZ$3:$BZ$400,0),2),""))</f>
        <v/>
      </c>
      <c r="E131" s="86" t="str">
        <f ca="1">IF(AND(OR(COPIA!$BU$1=1,COPIA!$BU$1=3),INDEX(COPIA!$BT$3:$BV$400,MATCH($C131,COPIA!$BT$3:$BT$400,0),3)&lt;&gt;0),INDEX(COPIA!$BT$3:$BV$400,MATCH($C131,COPIA!$BT$3:$BT$400,0),3),IF(AND(COPIA!$BU$1=2,INDEX(COPIA!$BZ$3:$CB$400,MATCH($C131,COPIA!$BZ$3:$BZ$400,0),3)&lt;&gt;0),INDEX(COPIA!$BZ$3:$CB$400,MATCH($C131,COPIA!$BZ$3:$BZ$400,0),3),""))</f>
        <v/>
      </c>
      <c r="F131" s="86" t="str">
        <f ca="1">IFERROR(IF(AND(COPIA!$BU$1=3,INDEX(COPIA!$BZ$3:$CB$400,MATCH($C131,COPIA!$BZ$3:$BZ$400,0),2)&lt;&gt;0),INDEX(COPIA!$BZ$3:$CB$400,MATCH($C131,COPIA!$BZ$3:$BZ$400,0),2),""),"")</f>
        <v/>
      </c>
      <c r="G131" s="86" t="str">
        <f ca="1">IFERROR(IF(AND(COPIA!$BU$1=3,INDEX(COPIA!$BZ$3:$CB$400,MATCH($C131,COPIA!$BZ$3:$BZ$400,0),3)&lt;&gt;0),INDEX(COPIA!$BZ$3:$CB$400,MATCH($C131,COPIA!$BZ$3:$BZ$400,0),3),""),"")</f>
        <v/>
      </c>
      <c r="H131" s="7" t="str">
        <f t="shared" ca="1" si="3"/>
        <v/>
      </c>
    </row>
    <row r="132" spans="2:8" ht="18" customHeight="1" x14ac:dyDescent="0.3">
      <c r="B132" s="16" t="str">
        <f t="shared" ca="1" si="2"/>
        <v/>
      </c>
      <c r="C132" s="83" t="str">
        <f ca="1">IF(OR(COPIA!$BU$1=1,COPIA!$BU$1=3),COPIA!CO125,IF(COPIA!$BU$1=2,COPIA!BZ125,IF(ROW()=COPIA!$BT$1,"TOTALE","")))</f>
        <v/>
      </c>
      <c r="D132" s="86" t="str">
        <f ca="1">IF(AND(OR(COPIA!$BU$1=1,COPIA!$BU$1=3),INDEX(COPIA!$BT$3:$BV$400,MATCH($C132,COPIA!$BT$3:$BT$400,0),2)&lt;&gt;0),INDEX(COPIA!$BT$3:$BV$400,MATCH($C132,COPIA!$BT$3:$BT$400,0),2),IF(AND(COPIA!$BU$1=2,INDEX(COPIA!$BZ$3:$CB$400,MATCH($C132,COPIA!$BZ$3:$BZ$400,0),2)&lt;&gt;0),INDEX(COPIA!$BZ$3:$CB$400,MATCH($C132,COPIA!$BZ$3:$BZ$400,0),2),""))</f>
        <v/>
      </c>
      <c r="E132" s="86" t="str">
        <f ca="1">IF(AND(OR(COPIA!$BU$1=1,COPIA!$BU$1=3),INDEX(COPIA!$BT$3:$BV$400,MATCH($C132,COPIA!$BT$3:$BT$400,0),3)&lt;&gt;0),INDEX(COPIA!$BT$3:$BV$400,MATCH($C132,COPIA!$BT$3:$BT$400,0),3),IF(AND(COPIA!$BU$1=2,INDEX(COPIA!$BZ$3:$CB$400,MATCH($C132,COPIA!$BZ$3:$BZ$400,0),3)&lt;&gt;0),INDEX(COPIA!$BZ$3:$CB$400,MATCH($C132,COPIA!$BZ$3:$BZ$400,0),3),""))</f>
        <v/>
      </c>
      <c r="F132" s="86" t="str">
        <f ca="1">IFERROR(IF(AND(COPIA!$BU$1=3,INDEX(COPIA!$BZ$3:$CB$400,MATCH($C132,COPIA!$BZ$3:$BZ$400,0),2)&lt;&gt;0),INDEX(COPIA!$BZ$3:$CB$400,MATCH($C132,COPIA!$BZ$3:$BZ$400,0),2),""),"")</f>
        <v/>
      </c>
      <c r="G132" s="86" t="str">
        <f ca="1">IFERROR(IF(AND(COPIA!$BU$1=3,INDEX(COPIA!$BZ$3:$CB$400,MATCH($C132,COPIA!$BZ$3:$BZ$400,0),3)&lt;&gt;0),INDEX(COPIA!$BZ$3:$CB$400,MATCH($C132,COPIA!$BZ$3:$BZ$400,0),3),""),"")</f>
        <v/>
      </c>
      <c r="H132" s="7" t="str">
        <f t="shared" ca="1" si="3"/>
        <v/>
      </c>
    </row>
    <row r="133" spans="2:8" ht="18" customHeight="1" x14ac:dyDescent="0.3">
      <c r="B133" s="16" t="str">
        <f t="shared" ca="1" si="2"/>
        <v/>
      </c>
      <c r="C133" s="83" t="str">
        <f ca="1">IF(OR(COPIA!$BU$1=1,COPIA!$BU$1=3),COPIA!CO126,IF(COPIA!$BU$1=2,COPIA!BZ126,IF(ROW()=COPIA!$BT$1,"TOTALE","")))</f>
        <v/>
      </c>
      <c r="D133" s="86" t="str">
        <f ca="1">IF(AND(OR(COPIA!$BU$1=1,COPIA!$BU$1=3),INDEX(COPIA!$BT$3:$BV$400,MATCH($C133,COPIA!$BT$3:$BT$400,0),2)&lt;&gt;0),INDEX(COPIA!$BT$3:$BV$400,MATCH($C133,COPIA!$BT$3:$BT$400,0),2),IF(AND(COPIA!$BU$1=2,INDEX(COPIA!$BZ$3:$CB$400,MATCH($C133,COPIA!$BZ$3:$BZ$400,0),2)&lt;&gt;0),INDEX(COPIA!$BZ$3:$CB$400,MATCH($C133,COPIA!$BZ$3:$BZ$400,0),2),""))</f>
        <v/>
      </c>
      <c r="E133" s="86" t="str">
        <f ca="1">IF(AND(OR(COPIA!$BU$1=1,COPIA!$BU$1=3),INDEX(COPIA!$BT$3:$BV$400,MATCH($C133,COPIA!$BT$3:$BT$400,0),3)&lt;&gt;0),INDEX(COPIA!$BT$3:$BV$400,MATCH($C133,COPIA!$BT$3:$BT$400,0),3),IF(AND(COPIA!$BU$1=2,INDEX(COPIA!$BZ$3:$CB$400,MATCH($C133,COPIA!$BZ$3:$BZ$400,0),3)&lt;&gt;0),INDEX(COPIA!$BZ$3:$CB$400,MATCH($C133,COPIA!$BZ$3:$BZ$400,0),3),""))</f>
        <v/>
      </c>
      <c r="F133" s="86" t="str">
        <f ca="1">IFERROR(IF(AND(COPIA!$BU$1=3,INDEX(COPIA!$BZ$3:$CB$400,MATCH($C133,COPIA!$BZ$3:$BZ$400,0),2)&lt;&gt;0),INDEX(COPIA!$BZ$3:$CB$400,MATCH($C133,COPIA!$BZ$3:$BZ$400,0),2),""),"")</f>
        <v/>
      </c>
      <c r="G133" s="86" t="str">
        <f ca="1">IFERROR(IF(AND(COPIA!$BU$1=3,INDEX(COPIA!$BZ$3:$CB$400,MATCH($C133,COPIA!$BZ$3:$BZ$400,0),3)&lt;&gt;0),INDEX(COPIA!$BZ$3:$CB$400,MATCH($C133,COPIA!$BZ$3:$BZ$400,0),3),""),"")</f>
        <v/>
      </c>
      <c r="H133" s="7" t="str">
        <f t="shared" ca="1" si="3"/>
        <v/>
      </c>
    </row>
    <row r="134" spans="2:8" ht="18" customHeight="1" x14ac:dyDescent="0.3">
      <c r="B134" s="16" t="str">
        <f t="shared" ca="1" si="2"/>
        <v/>
      </c>
      <c r="C134" s="83" t="str">
        <f ca="1">IF(OR(COPIA!$BU$1=1,COPIA!$BU$1=3),COPIA!CO127,IF(COPIA!$BU$1=2,COPIA!BZ127,IF(ROW()=COPIA!$BT$1,"TOTALE","")))</f>
        <v/>
      </c>
      <c r="D134" s="86" t="str">
        <f ca="1">IF(AND(OR(COPIA!$BU$1=1,COPIA!$BU$1=3),INDEX(COPIA!$BT$3:$BV$400,MATCH($C134,COPIA!$BT$3:$BT$400,0),2)&lt;&gt;0),INDEX(COPIA!$BT$3:$BV$400,MATCH($C134,COPIA!$BT$3:$BT$400,0),2),IF(AND(COPIA!$BU$1=2,INDEX(COPIA!$BZ$3:$CB$400,MATCH($C134,COPIA!$BZ$3:$BZ$400,0),2)&lt;&gt;0),INDEX(COPIA!$BZ$3:$CB$400,MATCH($C134,COPIA!$BZ$3:$BZ$400,0),2),""))</f>
        <v/>
      </c>
      <c r="E134" s="86" t="str">
        <f ca="1">IF(AND(OR(COPIA!$BU$1=1,COPIA!$BU$1=3),INDEX(COPIA!$BT$3:$BV$400,MATCH($C134,COPIA!$BT$3:$BT$400,0),3)&lt;&gt;0),INDEX(COPIA!$BT$3:$BV$400,MATCH($C134,COPIA!$BT$3:$BT$400,0),3),IF(AND(COPIA!$BU$1=2,INDEX(COPIA!$BZ$3:$CB$400,MATCH($C134,COPIA!$BZ$3:$BZ$400,0),3)&lt;&gt;0),INDEX(COPIA!$BZ$3:$CB$400,MATCH($C134,COPIA!$BZ$3:$BZ$400,0),3),""))</f>
        <v/>
      </c>
      <c r="F134" s="86" t="str">
        <f ca="1">IFERROR(IF(AND(COPIA!$BU$1=3,INDEX(COPIA!$BZ$3:$CB$400,MATCH($C134,COPIA!$BZ$3:$BZ$400,0),2)&lt;&gt;0),INDEX(COPIA!$BZ$3:$CB$400,MATCH($C134,COPIA!$BZ$3:$BZ$400,0),2),""),"")</f>
        <v/>
      </c>
      <c r="G134" s="86" t="str">
        <f ca="1">IFERROR(IF(AND(COPIA!$BU$1=3,INDEX(COPIA!$BZ$3:$CB$400,MATCH($C134,COPIA!$BZ$3:$BZ$400,0),3)&lt;&gt;0),INDEX(COPIA!$BZ$3:$CB$400,MATCH($C134,COPIA!$BZ$3:$BZ$400,0),3),""),"")</f>
        <v/>
      </c>
      <c r="H134" s="7" t="str">
        <f t="shared" ca="1" si="3"/>
        <v/>
      </c>
    </row>
    <row r="135" spans="2:8" ht="18" customHeight="1" x14ac:dyDescent="0.3">
      <c r="B135" s="16" t="str">
        <f t="shared" ca="1" si="2"/>
        <v/>
      </c>
      <c r="C135" s="83" t="str">
        <f ca="1">IF(OR(COPIA!$BU$1=1,COPIA!$BU$1=3),COPIA!CO128,IF(COPIA!$BU$1=2,COPIA!BZ128,IF(ROW()=COPIA!$BT$1,"TOTALE","")))</f>
        <v/>
      </c>
      <c r="D135" s="86" t="str">
        <f ca="1">IF(AND(OR(COPIA!$BU$1=1,COPIA!$BU$1=3),INDEX(COPIA!$BT$3:$BV$400,MATCH($C135,COPIA!$BT$3:$BT$400,0),2)&lt;&gt;0),INDEX(COPIA!$BT$3:$BV$400,MATCH($C135,COPIA!$BT$3:$BT$400,0),2),IF(AND(COPIA!$BU$1=2,INDEX(COPIA!$BZ$3:$CB$400,MATCH($C135,COPIA!$BZ$3:$BZ$400,0),2)&lt;&gt;0),INDEX(COPIA!$BZ$3:$CB$400,MATCH($C135,COPIA!$BZ$3:$BZ$400,0),2),""))</f>
        <v/>
      </c>
      <c r="E135" s="86" t="str">
        <f ca="1">IF(AND(OR(COPIA!$BU$1=1,COPIA!$BU$1=3),INDEX(COPIA!$BT$3:$BV$400,MATCH($C135,COPIA!$BT$3:$BT$400,0),3)&lt;&gt;0),INDEX(COPIA!$BT$3:$BV$400,MATCH($C135,COPIA!$BT$3:$BT$400,0),3),IF(AND(COPIA!$BU$1=2,INDEX(COPIA!$BZ$3:$CB$400,MATCH($C135,COPIA!$BZ$3:$BZ$400,0),3)&lt;&gt;0),INDEX(COPIA!$BZ$3:$CB$400,MATCH($C135,COPIA!$BZ$3:$BZ$400,0),3),""))</f>
        <v/>
      </c>
      <c r="F135" s="86" t="str">
        <f ca="1">IFERROR(IF(AND(COPIA!$BU$1=3,INDEX(COPIA!$BZ$3:$CB$400,MATCH($C135,COPIA!$BZ$3:$BZ$400,0),2)&lt;&gt;0),INDEX(COPIA!$BZ$3:$CB$400,MATCH($C135,COPIA!$BZ$3:$BZ$400,0),2),""),"")</f>
        <v/>
      </c>
      <c r="G135" s="86" t="str">
        <f ca="1">IFERROR(IF(AND(COPIA!$BU$1=3,INDEX(COPIA!$BZ$3:$CB$400,MATCH($C135,COPIA!$BZ$3:$BZ$400,0),3)&lt;&gt;0),INDEX(COPIA!$BZ$3:$CB$400,MATCH($C135,COPIA!$BZ$3:$BZ$400,0),3),""),"")</f>
        <v/>
      </c>
      <c r="H135" s="7" t="str">
        <f t="shared" ca="1" si="3"/>
        <v/>
      </c>
    </row>
    <row r="136" spans="2:8" ht="18" customHeight="1" x14ac:dyDescent="0.3">
      <c r="B136" s="16" t="str">
        <f t="shared" ca="1" si="2"/>
        <v/>
      </c>
      <c r="C136" s="83" t="str">
        <f ca="1">IF(OR(COPIA!$BU$1=1,COPIA!$BU$1=3),COPIA!CO129,IF(COPIA!$BU$1=2,COPIA!BZ129,IF(ROW()=COPIA!$BT$1,"TOTALE","")))</f>
        <v/>
      </c>
      <c r="D136" s="86" t="str">
        <f ca="1">IF(AND(OR(COPIA!$BU$1=1,COPIA!$BU$1=3),INDEX(COPIA!$BT$3:$BV$400,MATCH($C136,COPIA!$BT$3:$BT$400,0),2)&lt;&gt;0),INDEX(COPIA!$BT$3:$BV$400,MATCH($C136,COPIA!$BT$3:$BT$400,0),2),IF(AND(COPIA!$BU$1=2,INDEX(COPIA!$BZ$3:$CB$400,MATCH($C136,COPIA!$BZ$3:$BZ$400,0),2)&lt;&gt;0),INDEX(COPIA!$BZ$3:$CB$400,MATCH($C136,COPIA!$BZ$3:$BZ$400,0),2),""))</f>
        <v/>
      </c>
      <c r="E136" s="86" t="str">
        <f ca="1">IF(AND(OR(COPIA!$BU$1=1,COPIA!$BU$1=3),INDEX(COPIA!$BT$3:$BV$400,MATCH($C136,COPIA!$BT$3:$BT$400,0),3)&lt;&gt;0),INDEX(COPIA!$BT$3:$BV$400,MATCH($C136,COPIA!$BT$3:$BT$400,0),3),IF(AND(COPIA!$BU$1=2,INDEX(COPIA!$BZ$3:$CB$400,MATCH($C136,COPIA!$BZ$3:$BZ$400,0),3)&lt;&gt;0),INDEX(COPIA!$BZ$3:$CB$400,MATCH($C136,COPIA!$BZ$3:$BZ$400,0),3),""))</f>
        <v/>
      </c>
      <c r="F136" s="86" t="str">
        <f ca="1">IFERROR(IF(AND(COPIA!$BU$1=3,INDEX(COPIA!$BZ$3:$CB$400,MATCH($C136,COPIA!$BZ$3:$BZ$400,0),2)&lt;&gt;0),INDEX(COPIA!$BZ$3:$CB$400,MATCH($C136,COPIA!$BZ$3:$BZ$400,0),2),""),"")</f>
        <v/>
      </c>
      <c r="G136" s="86" t="str">
        <f ca="1">IFERROR(IF(AND(COPIA!$BU$1=3,INDEX(COPIA!$BZ$3:$CB$400,MATCH($C136,COPIA!$BZ$3:$BZ$400,0),3)&lt;&gt;0),INDEX(COPIA!$BZ$3:$CB$400,MATCH($C136,COPIA!$BZ$3:$BZ$400,0),3),""),"")</f>
        <v/>
      </c>
      <c r="H136" s="7" t="str">
        <f t="shared" ca="1" si="3"/>
        <v/>
      </c>
    </row>
    <row r="137" spans="2:8" ht="18" customHeight="1" x14ac:dyDescent="0.3">
      <c r="B137" s="16" t="str">
        <f t="shared" ca="1" si="2"/>
        <v/>
      </c>
      <c r="C137" s="83" t="str">
        <f ca="1">IF(OR(COPIA!$BU$1=1,COPIA!$BU$1=3),COPIA!CO130,IF(COPIA!$BU$1=2,COPIA!BZ130,IF(ROW()=COPIA!$BT$1,"TOTALE","")))</f>
        <v/>
      </c>
      <c r="D137" s="86" t="str">
        <f ca="1">IF(AND(OR(COPIA!$BU$1=1,COPIA!$BU$1=3),INDEX(COPIA!$BT$3:$BV$400,MATCH($C137,COPIA!$BT$3:$BT$400,0),2)&lt;&gt;0),INDEX(COPIA!$BT$3:$BV$400,MATCH($C137,COPIA!$BT$3:$BT$400,0),2),IF(AND(COPIA!$BU$1=2,INDEX(COPIA!$BZ$3:$CB$400,MATCH($C137,COPIA!$BZ$3:$BZ$400,0),2)&lt;&gt;0),INDEX(COPIA!$BZ$3:$CB$400,MATCH($C137,COPIA!$BZ$3:$BZ$400,0),2),""))</f>
        <v/>
      </c>
      <c r="E137" s="86" t="str">
        <f ca="1">IF(AND(OR(COPIA!$BU$1=1,COPIA!$BU$1=3),INDEX(COPIA!$BT$3:$BV$400,MATCH($C137,COPIA!$BT$3:$BT$400,0),3)&lt;&gt;0),INDEX(COPIA!$BT$3:$BV$400,MATCH($C137,COPIA!$BT$3:$BT$400,0),3),IF(AND(COPIA!$BU$1=2,INDEX(COPIA!$BZ$3:$CB$400,MATCH($C137,COPIA!$BZ$3:$BZ$400,0),3)&lt;&gt;0),INDEX(COPIA!$BZ$3:$CB$400,MATCH($C137,COPIA!$BZ$3:$BZ$400,0),3),""))</f>
        <v/>
      </c>
      <c r="F137" s="86" t="str">
        <f ca="1">IFERROR(IF(AND(COPIA!$BU$1=3,INDEX(COPIA!$BZ$3:$CB$400,MATCH($C137,COPIA!$BZ$3:$BZ$400,0),2)&lt;&gt;0),INDEX(COPIA!$BZ$3:$CB$400,MATCH($C137,COPIA!$BZ$3:$BZ$400,0),2),""),"")</f>
        <v/>
      </c>
      <c r="G137" s="86" t="str">
        <f ca="1">IFERROR(IF(AND(COPIA!$BU$1=3,INDEX(COPIA!$BZ$3:$CB$400,MATCH($C137,COPIA!$BZ$3:$BZ$400,0),3)&lt;&gt;0),INDEX(COPIA!$BZ$3:$CB$400,MATCH($C137,COPIA!$BZ$3:$BZ$400,0),3),""),"")</f>
        <v/>
      </c>
      <c r="H137" s="7" t="str">
        <f t="shared" ca="1" si="3"/>
        <v/>
      </c>
    </row>
    <row r="138" spans="2:8" ht="18" customHeight="1" x14ac:dyDescent="0.3">
      <c r="B138" s="16" t="str">
        <f t="shared" ref="B138:B201" ca="1" si="4">IF(C138=" …………….","……",IFERROR(INDEX(PDC,MATCH(C138,DEN_PDC,0),1),0))</f>
        <v/>
      </c>
      <c r="C138" s="83" t="str">
        <f ca="1">IF(OR(COPIA!$BU$1=1,COPIA!$BU$1=3),COPIA!CO131,IF(COPIA!$BU$1=2,COPIA!BZ131,IF(ROW()=COPIA!$BT$1,"TOTALE","")))</f>
        <v/>
      </c>
      <c r="D138" s="86" t="str">
        <f ca="1">IF(AND(OR(COPIA!$BU$1=1,COPIA!$BU$1=3),INDEX(COPIA!$BT$3:$BV$400,MATCH($C138,COPIA!$BT$3:$BT$400,0),2)&lt;&gt;0),INDEX(COPIA!$BT$3:$BV$400,MATCH($C138,COPIA!$BT$3:$BT$400,0),2),IF(AND(COPIA!$BU$1=2,INDEX(COPIA!$BZ$3:$CB$400,MATCH($C138,COPIA!$BZ$3:$BZ$400,0),2)&lt;&gt;0),INDEX(COPIA!$BZ$3:$CB$400,MATCH($C138,COPIA!$BZ$3:$BZ$400,0),2),""))</f>
        <v/>
      </c>
      <c r="E138" s="86" t="str">
        <f ca="1">IF(AND(OR(COPIA!$BU$1=1,COPIA!$BU$1=3),INDEX(COPIA!$BT$3:$BV$400,MATCH($C138,COPIA!$BT$3:$BT$400,0),3)&lt;&gt;0),INDEX(COPIA!$BT$3:$BV$400,MATCH($C138,COPIA!$BT$3:$BT$400,0),3),IF(AND(COPIA!$BU$1=2,INDEX(COPIA!$BZ$3:$CB$400,MATCH($C138,COPIA!$BZ$3:$BZ$400,0),3)&lt;&gt;0),INDEX(COPIA!$BZ$3:$CB$400,MATCH($C138,COPIA!$BZ$3:$BZ$400,0),3),""))</f>
        <v/>
      </c>
      <c r="F138" s="86" t="str">
        <f ca="1">IFERROR(IF(AND(COPIA!$BU$1=3,INDEX(COPIA!$BZ$3:$CB$400,MATCH($C138,COPIA!$BZ$3:$BZ$400,0),2)&lt;&gt;0),INDEX(COPIA!$BZ$3:$CB$400,MATCH($C138,COPIA!$BZ$3:$BZ$400,0),2),""),"")</f>
        <v/>
      </c>
      <c r="G138" s="86" t="str">
        <f ca="1">IFERROR(IF(AND(COPIA!$BU$1=3,INDEX(COPIA!$BZ$3:$CB$400,MATCH($C138,COPIA!$BZ$3:$BZ$400,0),3)&lt;&gt;0),INDEX(COPIA!$BZ$3:$CB$400,MATCH($C138,COPIA!$BZ$3:$BZ$400,0),3),""),"")</f>
        <v/>
      </c>
      <c r="H138" s="7" t="str">
        <f t="shared" ca="1" si="3"/>
        <v/>
      </c>
    </row>
    <row r="139" spans="2:8" ht="18" customHeight="1" x14ac:dyDescent="0.3">
      <c r="B139" s="16" t="str">
        <f t="shared" ca="1" si="4"/>
        <v/>
      </c>
      <c r="C139" s="83" t="str">
        <f ca="1">IF(OR(COPIA!$BU$1=1,COPIA!$BU$1=3),COPIA!CO132,IF(COPIA!$BU$1=2,COPIA!BZ132,IF(ROW()=COPIA!$BT$1,"TOTALE","")))</f>
        <v/>
      </c>
      <c r="D139" s="86" t="str">
        <f ca="1">IF(AND(OR(COPIA!$BU$1=1,COPIA!$BU$1=3),INDEX(COPIA!$BT$3:$BV$400,MATCH($C139,COPIA!$BT$3:$BT$400,0),2)&lt;&gt;0),INDEX(COPIA!$BT$3:$BV$400,MATCH($C139,COPIA!$BT$3:$BT$400,0),2),IF(AND(COPIA!$BU$1=2,INDEX(COPIA!$BZ$3:$CB$400,MATCH($C139,COPIA!$BZ$3:$BZ$400,0),2)&lt;&gt;0),INDEX(COPIA!$BZ$3:$CB$400,MATCH($C139,COPIA!$BZ$3:$BZ$400,0),2),""))</f>
        <v/>
      </c>
      <c r="E139" s="86" t="str">
        <f ca="1">IF(AND(OR(COPIA!$BU$1=1,COPIA!$BU$1=3),INDEX(COPIA!$BT$3:$BV$400,MATCH($C139,COPIA!$BT$3:$BT$400,0),3)&lt;&gt;0),INDEX(COPIA!$BT$3:$BV$400,MATCH($C139,COPIA!$BT$3:$BT$400,0),3),IF(AND(COPIA!$BU$1=2,INDEX(COPIA!$BZ$3:$CB$400,MATCH($C139,COPIA!$BZ$3:$BZ$400,0),3)&lt;&gt;0),INDEX(COPIA!$BZ$3:$CB$400,MATCH($C139,COPIA!$BZ$3:$BZ$400,0),3),""))</f>
        <v/>
      </c>
      <c r="F139" s="86" t="str">
        <f ca="1">IFERROR(IF(AND(COPIA!$BU$1=3,INDEX(COPIA!$BZ$3:$CB$400,MATCH($C139,COPIA!$BZ$3:$BZ$400,0),2)&lt;&gt;0),INDEX(COPIA!$BZ$3:$CB$400,MATCH($C139,COPIA!$BZ$3:$BZ$400,0),2),""),"")</f>
        <v/>
      </c>
      <c r="G139" s="86" t="str">
        <f ca="1">IFERROR(IF(AND(COPIA!$BU$1=3,INDEX(COPIA!$BZ$3:$CB$400,MATCH($C139,COPIA!$BZ$3:$BZ$400,0),3)&lt;&gt;0),INDEX(COPIA!$BZ$3:$CB$400,MATCH($C139,COPIA!$BZ$3:$BZ$400,0),3),""),"")</f>
        <v/>
      </c>
      <c r="H139" s="7" t="str">
        <f t="shared" ref="H139:H202" ca="1" si="5">IF(C139&lt;&gt;"",ROW(),"")</f>
        <v/>
      </c>
    </row>
    <row r="140" spans="2:8" ht="18" customHeight="1" x14ac:dyDescent="0.3">
      <c r="B140" s="16" t="str">
        <f t="shared" ca="1" si="4"/>
        <v/>
      </c>
      <c r="C140" s="83" t="str">
        <f ca="1">IF(OR(COPIA!$BU$1=1,COPIA!$BU$1=3),COPIA!CO133,IF(COPIA!$BU$1=2,COPIA!BZ133,IF(ROW()=COPIA!$BT$1,"TOTALE","")))</f>
        <v/>
      </c>
      <c r="D140" s="86" t="str">
        <f ca="1">IF(AND(OR(COPIA!$BU$1=1,COPIA!$BU$1=3),INDEX(COPIA!$BT$3:$BV$400,MATCH($C140,COPIA!$BT$3:$BT$400,0),2)&lt;&gt;0),INDEX(COPIA!$BT$3:$BV$400,MATCH($C140,COPIA!$BT$3:$BT$400,0),2),IF(AND(COPIA!$BU$1=2,INDEX(COPIA!$BZ$3:$CB$400,MATCH($C140,COPIA!$BZ$3:$BZ$400,0),2)&lt;&gt;0),INDEX(COPIA!$BZ$3:$CB$400,MATCH($C140,COPIA!$BZ$3:$BZ$400,0),2),""))</f>
        <v/>
      </c>
      <c r="E140" s="86" t="str">
        <f ca="1">IF(AND(OR(COPIA!$BU$1=1,COPIA!$BU$1=3),INDEX(COPIA!$BT$3:$BV$400,MATCH($C140,COPIA!$BT$3:$BT$400,0),3)&lt;&gt;0),INDEX(COPIA!$BT$3:$BV$400,MATCH($C140,COPIA!$BT$3:$BT$400,0),3),IF(AND(COPIA!$BU$1=2,INDEX(COPIA!$BZ$3:$CB$400,MATCH($C140,COPIA!$BZ$3:$BZ$400,0),3)&lt;&gt;0),INDEX(COPIA!$BZ$3:$CB$400,MATCH($C140,COPIA!$BZ$3:$BZ$400,0),3),""))</f>
        <v/>
      </c>
      <c r="F140" s="86" t="str">
        <f ca="1">IFERROR(IF(AND(COPIA!$BU$1=3,INDEX(COPIA!$BZ$3:$CB$400,MATCH($C140,COPIA!$BZ$3:$BZ$400,0),2)&lt;&gt;0),INDEX(COPIA!$BZ$3:$CB$400,MATCH($C140,COPIA!$BZ$3:$BZ$400,0),2),""),"")</f>
        <v/>
      </c>
      <c r="G140" s="86" t="str">
        <f ca="1">IFERROR(IF(AND(COPIA!$BU$1=3,INDEX(COPIA!$BZ$3:$CB$400,MATCH($C140,COPIA!$BZ$3:$BZ$400,0),3)&lt;&gt;0),INDEX(COPIA!$BZ$3:$CB$400,MATCH($C140,COPIA!$BZ$3:$BZ$400,0),3),""),"")</f>
        <v/>
      </c>
      <c r="H140" s="7" t="str">
        <f t="shared" ca="1" si="5"/>
        <v/>
      </c>
    </row>
    <row r="141" spans="2:8" ht="18" customHeight="1" x14ac:dyDescent="0.3">
      <c r="B141" s="16" t="str">
        <f t="shared" ca="1" si="4"/>
        <v/>
      </c>
      <c r="C141" s="83" t="str">
        <f ca="1">IF(OR(COPIA!$BU$1=1,COPIA!$BU$1=3),COPIA!CO134,IF(COPIA!$BU$1=2,COPIA!BZ134,IF(ROW()=COPIA!$BT$1,"TOTALE","")))</f>
        <v/>
      </c>
      <c r="D141" s="86" t="str">
        <f ca="1">IF(AND(OR(COPIA!$BU$1=1,COPIA!$BU$1=3),INDEX(COPIA!$BT$3:$BV$400,MATCH($C141,COPIA!$BT$3:$BT$400,0),2)&lt;&gt;0),INDEX(COPIA!$BT$3:$BV$400,MATCH($C141,COPIA!$BT$3:$BT$400,0),2),IF(AND(COPIA!$BU$1=2,INDEX(COPIA!$BZ$3:$CB$400,MATCH($C141,COPIA!$BZ$3:$BZ$400,0),2)&lt;&gt;0),INDEX(COPIA!$BZ$3:$CB$400,MATCH($C141,COPIA!$BZ$3:$BZ$400,0),2),""))</f>
        <v/>
      </c>
      <c r="E141" s="86" t="str">
        <f ca="1">IF(AND(OR(COPIA!$BU$1=1,COPIA!$BU$1=3),INDEX(COPIA!$BT$3:$BV$400,MATCH($C141,COPIA!$BT$3:$BT$400,0),3)&lt;&gt;0),INDEX(COPIA!$BT$3:$BV$400,MATCH($C141,COPIA!$BT$3:$BT$400,0),3),IF(AND(COPIA!$BU$1=2,INDEX(COPIA!$BZ$3:$CB$400,MATCH($C141,COPIA!$BZ$3:$BZ$400,0),3)&lt;&gt;0),INDEX(COPIA!$BZ$3:$CB$400,MATCH($C141,COPIA!$BZ$3:$BZ$400,0),3),""))</f>
        <v/>
      </c>
      <c r="F141" s="86" t="str">
        <f ca="1">IFERROR(IF(AND(COPIA!$BU$1=3,INDEX(COPIA!$BZ$3:$CB$400,MATCH($C141,COPIA!$BZ$3:$BZ$400,0),2)&lt;&gt;0),INDEX(COPIA!$BZ$3:$CB$400,MATCH($C141,COPIA!$BZ$3:$BZ$400,0),2),""),"")</f>
        <v/>
      </c>
      <c r="G141" s="86" t="str">
        <f ca="1">IFERROR(IF(AND(COPIA!$BU$1=3,INDEX(COPIA!$BZ$3:$CB$400,MATCH($C141,COPIA!$BZ$3:$BZ$400,0),3)&lt;&gt;0),INDEX(COPIA!$BZ$3:$CB$400,MATCH($C141,COPIA!$BZ$3:$BZ$400,0),3),""),"")</f>
        <v/>
      </c>
      <c r="H141" s="7" t="str">
        <f t="shared" ca="1" si="5"/>
        <v/>
      </c>
    </row>
    <row r="142" spans="2:8" ht="18" customHeight="1" x14ac:dyDescent="0.3">
      <c r="B142" s="16" t="str">
        <f t="shared" ca="1" si="4"/>
        <v/>
      </c>
      <c r="C142" s="83" t="str">
        <f ca="1">IF(OR(COPIA!$BU$1=1,COPIA!$BU$1=3),COPIA!CO135,IF(COPIA!$BU$1=2,COPIA!BZ135,IF(ROW()=COPIA!$BT$1,"TOTALE","")))</f>
        <v/>
      </c>
      <c r="D142" s="86" t="str">
        <f ca="1">IF(AND(OR(COPIA!$BU$1=1,COPIA!$BU$1=3),INDEX(COPIA!$BT$3:$BV$400,MATCH($C142,COPIA!$BT$3:$BT$400,0),2)&lt;&gt;0),INDEX(COPIA!$BT$3:$BV$400,MATCH($C142,COPIA!$BT$3:$BT$400,0),2),IF(AND(COPIA!$BU$1=2,INDEX(COPIA!$BZ$3:$CB$400,MATCH($C142,COPIA!$BZ$3:$BZ$400,0),2)&lt;&gt;0),INDEX(COPIA!$BZ$3:$CB$400,MATCH($C142,COPIA!$BZ$3:$BZ$400,0),2),""))</f>
        <v/>
      </c>
      <c r="E142" s="86" t="str">
        <f ca="1">IF(AND(OR(COPIA!$BU$1=1,COPIA!$BU$1=3),INDEX(COPIA!$BT$3:$BV$400,MATCH($C142,COPIA!$BT$3:$BT$400,0),3)&lt;&gt;0),INDEX(COPIA!$BT$3:$BV$400,MATCH($C142,COPIA!$BT$3:$BT$400,0),3),IF(AND(COPIA!$BU$1=2,INDEX(COPIA!$BZ$3:$CB$400,MATCH($C142,COPIA!$BZ$3:$BZ$400,0),3)&lt;&gt;0),INDEX(COPIA!$BZ$3:$CB$400,MATCH($C142,COPIA!$BZ$3:$BZ$400,0),3),""))</f>
        <v/>
      </c>
      <c r="F142" s="86" t="str">
        <f ca="1">IFERROR(IF(AND(COPIA!$BU$1=3,INDEX(COPIA!$BZ$3:$CB$400,MATCH($C142,COPIA!$BZ$3:$BZ$400,0),2)&lt;&gt;0),INDEX(COPIA!$BZ$3:$CB$400,MATCH($C142,COPIA!$BZ$3:$BZ$400,0),2),""),"")</f>
        <v/>
      </c>
      <c r="G142" s="86" t="str">
        <f ca="1">IFERROR(IF(AND(COPIA!$BU$1=3,INDEX(COPIA!$BZ$3:$CB$400,MATCH($C142,COPIA!$BZ$3:$BZ$400,0),3)&lt;&gt;0),INDEX(COPIA!$BZ$3:$CB$400,MATCH($C142,COPIA!$BZ$3:$BZ$400,0),3),""),"")</f>
        <v/>
      </c>
      <c r="H142" s="7" t="str">
        <f t="shared" ca="1" si="5"/>
        <v/>
      </c>
    </row>
    <row r="143" spans="2:8" ht="18" customHeight="1" x14ac:dyDescent="0.3">
      <c r="B143" s="16" t="str">
        <f t="shared" ca="1" si="4"/>
        <v/>
      </c>
      <c r="C143" s="83" t="str">
        <f ca="1">IF(OR(COPIA!$BU$1=1,COPIA!$BU$1=3),COPIA!CO136,IF(COPIA!$BU$1=2,COPIA!BZ136,IF(ROW()=COPIA!$BT$1,"TOTALE","")))</f>
        <v/>
      </c>
      <c r="D143" s="86" t="str">
        <f ca="1">IF(AND(OR(COPIA!$BU$1=1,COPIA!$BU$1=3),INDEX(COPIA!$BT$3:$BV$400,MATCH($C143,COPIA!$BT$3:$BT$400,0),2)&lt;&gt;0),INDEX(COPIA!$BT$3:$BV$400,MATCH($C143,COPIA!$BT$3:$BT$400,0),2),IF(AND(COPIA!$BU$1=2,INDEX(COPIA!$BZ$3:$CB$400,MATCH($C143,COPIA!$BZ$3:$BZ$400,0),2)&lt;&gt;0),INDEX(COPIA!$BZ$3:$CB$400,MATCH($C143,COPIA!$BZ$3:$BZ$400,0),2),""))</f>
        <v/>
      </c>
      <c r="E143" s="86" t="str">
        <f ca="1">IF(AND(OR(COPIA!$BU$1=1,COPIA!$BU$1=3),INDEX(COPIA!$BT$3:$BV$400,MATCH($C143,COPIA!$BT$3:$BT$400,0),3)&lt;&gt;0),INDEX(COPIA!$BT$3:$BV$400,MATCH($C143,COPIA!$BT$3:$BT$400,0),3),IF(AND(COPIA!$BU$1=2,INDEX(COPIA!$BZ$3:$CB$400,MATCH($C143,COPIA!$BZ$3:$BZ$400,0),3)&lt;&gt;0),INDEX(COPIA!$BZ$3:$CB$400,MATCH($C143,COPIA!$BZ$3:$BZ$400,0),3),""))</f>
        <v/>
      </c>
      <c r="F143" s="86" t="str">
        <f ca="1">IFERROR(IF(AND(COPIA!$BU$1=3,INDEX(COPIA!$BZ$3:$CB$400,MATCH($C143,COPIA!$BZ$3:$BZ$400,0),2)&lt;&gt;0),INDEX(COPIA!$BZ$3:$CB$400,MATCH($C143,COPIA!$BZ$3:$BZ$400,0),2),""),"")</f>
        <v/>
      </c>
      <c r="G143" s="86" t="str">
        <f ca="1">IFERROR(IF(AND(COPIA!$BU$1=3,INDEX(COPIA!$BZ$3:$CB$400,MATCH($C143,COPIA!$BZ$3:$BZ$400,0),3)&lt;&gt;0),INDEX(COPIA!$BZ$3:$CB$400,MATCH($C143,COPIA!$BZ$3:$BZ$400,0),3),""),"")</f>
        <v/>
      </c>
      <c r="H143" s="7" t="str">
        <f t="shared" ca="1" si="5"/>
        <v/>
      </c>
    </row>
    <row r="144" spans="2:8" ht="18" customHeight="1" x14ac:dyDescent="0.3">
      <c r="B144" s="16" t="str">
        <f t="shared" ca="1" si="4"/>
        <v/>
      </c>
      <c r="C144" s="83" t="str">
        <f ca="1">IF(OR(COPIA!$BU$1=1,COPIA!$BU$1=3),COPIA!CO137,IF(COPIA!$BU$1=2,COPIA!BZ137,IF(ROW()=COPIA!$BT$1,"TOTALE","")))</f>
        <v/>
      </c>
      <c r="D144" s="86" t="str">
        <f ca="1">IF(AND(OR(COPIA!$BU$1=1,COPIA!$BU$1=3),INDEX(COPIA!$BT$3:$BV$400,MATCH($C144,COPIA!$BT$3:$BT$400,0),2)&lt;&gt;0),INDEX(COPIA!$BT$3:$BV$400,MATCH($C144,COPIA!$BT$3:$BT$400,0),2),IF(AND(COPIA!$BU$1=2,INDEX(COPIA!$BZ$3:$CB$400,MATCH($C144,COPIA!$BZ$3:$BZ$400,0),2)&lt;&gt;0),INDEX(COPIA!$BZ$3:$CB$400,MATCH($C144,COPIA!$BZ$3:$BZ$400,0),2),""))</f>
        <v/>
      </c>
      <c r="E144" s="86" t="str">
        <f ca="1">IF(AND(OR(COPIA!$BU$1=1,COPIA!$BU$1=3),INDEX(COPIA!$BT$3:$BV$400,MATCH($C144,COPIA!$BT$3:$BT$400,0),3)&lt;&gt;0),INDEX(COPIA!$BT$3:$BV$400,MATCH($C144,COPIA!$BT$3:$BT$400,0),3),IF(AND(COPIA!$BU$1=2,INDEX(COPIA!$BZ$3:$CB$400,MATCH($C144,COPIA!$BZ$3:$BZ$400,0),3)&lt;&gt;0),INDEX(COPIA!$BZ$3:$CB$400,MATCH($C144,COPIA!$BZ$3:$BZ$400,0),3),""))</f>
        <v/>
      </c>
      <c r="F144" s="86" t="str">
        <f ca="1">IFERROR(IF(AND(COPIA!$BU$1=3,INDEX(COPIA!$BZ$3:$CB$400,MATCH($C144,COPIA!$BZ$3:$BZ$400,0),2)&lt;&gt;0),INDEX(COPIA!$BZ$3:$CB$400,MATCH($C144,COPIA!$BZ$3:$BZ$400,0),2),""),"")</f>
        <v/>
      </c>
      <c r="G144" s="86" t="str">
        <f ca="1">IFERROR(IF(AND(COPIA!$BU$1=3,INDEX(COPIA!$BZ$3:$CB$400,MATCH($C144,COPIA!$BZ$3:$BZ$400,0),3)&lt;&gt;0),INDEX(COPIA!$BZ$3:$CB$400,MATCH($C144,COPIA!$BZ$3:$BZ$400,0),3),""),"")</f>
        <v/>
      </c>
      <c r="H144" s="7" t="str">
        <f t="shared" ca="1" si="5"/>
        <v/>
      </c>
    </row>
    <row r="145" spans="2:8" ht="18" customHeight="1" x14ac:dyDescent="0.3">
      <c r="B145" s="16" t="str">
        <f t="shared" ca="1" si="4"/>
        <v/>
      </c>
      <c r="C145" s="83" t="str">
        <f ca="1">IF(OR(COPIA!$BU$1=1,COPIA!$BU$1=3),COPIA!CO138,IF(COPIA!$BU$1=2,COPIA!BZ138,IF(ROW()=COPIA!$BT$1,"TOTALE","")))</f>
        <v/>
      </c>
      <c r="D145" s="86" t="str">
        <f ca="1">IF(AND(OR(COPIA!$BU$1=1,COPIA!$BU$1=3),INDEX(COPIA!$BT$3:$BV$400,MATCH($C145,COPIA!$BT$3:$BT$400,0),2)&lt;&gt;0),INDEX(COPIA!$BT$3:$BV$400,MATCH($C145,COPIA!$BT$3:$BT$400,0),2),IF(AND(COPIA!$BU$1=2,INDEX(COPIA!$BZ$3:$CB$400,MATCH($C145,COPIA!$BZ$3:$BZ$400,0),2)&lt;&gt;0),INDEX(COPIA!$BZ$3:$CB$400,MATCH($C145,COPIA!$BZ$3:$BZ$400,0),2),""))</f>
        <v/>
      </c>
      <c r="E145" s="86" t="str">
        <f ca="1">IF(AND(OR(COPIA!$BU$1=1,COPIA!$BU$1=3),INDEX(COPIA!$BT$3:$BV$400,MATCH($C145,COPIA!$BT$3:$BT$400,0),3)&lt;&gt;0),INDEX(COPIA!$BT$3:$BV$400,MATCH($C145,COPIA!$BT$3:$BT$400,0),3),IF(AND(COPIA!$BU$1=2,INDEX(COPIA!$BZ$3:$CB$400,MATCH($C145,COPIA!$BZ$3:$BZ$400,0),3)&lt;&gt;0),INDEX(COPIA!$BZ$3:$CB$400,MATCH($C145,COPIA!$BZ$3:$BZ$400,0),3),""))</f>
        <v/>
      </c>
      <c r="F145" s="86" t="str">
        <f ca="1">IFERROR(IF(AND(COPIA!$BU$1=3,INDEX(COPIA!$BZ$3:$CB$400,MATCH($C145,COPIA!$BZ$3:$BZ$400,0),2)&lt;&gt;0),INDEX(COPIA!$BZ$3:$CB$400,MATCH($C145,COPIA!$BZ$3:$BZ$400,0),2),""),"")</f>
        <v/>
      </c>
      <c r="G145" s="86" t="str">
        <f ca="1">IFERROR(IF(AND(COPIA!$BU$1=3,INDEX(COPIA!$BZ$3:$CB$400,MATCH($C145,COPIA!$BZ$3:$BZ$400,0),3)&lt;&gt;0),INDEX(COPIA!$BZ$3:$CB$400,MATCH($C145,COPIA!$BZ$3:$BZ$400,0),3),""),"")</f>
        <v/>
      </c>
      <c r="H145" s="7" t="str">
        <f t="shared" ca="1" si="5"/>
        <v/>
      </c>
    </row>
    <row r="146" spans="2:8" ht="18" customHeight="1" x14ac:dyDescent="0.3">
      <c r="B146" s="16" t="str">
        <f t="shared" ca="1" si="4"/>
        <v/>
      </c>
      <c r="C146" s="83" t="str">
        <f ca="1">IF(OR(COPIA!$BU$1=1,COPIA!$BU$1=3),COPIA!CO139,IF(COPIA!$BU$1=2,COPIA!BZ139,IF(ROW()=COPIA!$BT$1,"TOTALE","")))</f>
        <v/>
      </c>
      <c r="D146" s="86" t="str">
        <f ca="1">IF(AND(OR(COPIA!$BU$1=1,COPIA!$BU$1=3),INDEX(COPIA!$BT$3:$BV$400,MATCH($C146,COPIA!$BT$3:$BT$400,0),2)&lt;&gt;0),INDEX(COPIA!$BT$3:$BV$400,MATCH($C146,COPIA!$BT$3:$BT$400,0),2),IF(AND(COPIA!$BU$1=2,INDEX(COPIA!$BZ$3:$CB$400,MATCH($C146,COPIA!$BZ$3:$BZ$400,0),2)&lt;&gt;0),INDEX(COPIA!$BZ$3:$CB$400,MATCH($C146,COPIA!$BZ$3:$BZ$400,0),2),""))</f>
        <v/>
      </c>
      <c r="E146" s="86" t="str">
        <f ca="1">IF(AND(OR(COPIA!$BU$1=1,COPIA!$BU$1=3),INDEX(COPIA!$BT$3:$BV$400,MATCH($C146,COPIA!$BT$3:$BT$400,0),3)&lt;&gt;0),INDEX(COPIA!$BT$3:$BV$400,MATCH($C146,COPIA!$BT$3:$BT$400,0),3),IF(AND(COPIA!$BU$1=2,INDEX(COPIA!$BZ$3:$CB$400,MATCH($C146,COPIA!$BZ$3:$BZ$400,0),3)&lt;&gt;0),INDEX(COPIA!$BZ$3:$CB$400,MATCH($C146,COPIA!$BZ$3:$BZ$400,0),3),""))</f>
        <v/>
      </c>
      <c r="F146" s="86" t="str">
        <f ca="1">IFERROR(IF(AND(COPIA!$BU$1=3,INDEX(COPIA!$BZ$3:$CB$400,MATCH($C146,COPIA!$BZ$3:$BZ$400,0),2)&lt;&gt;0),INDEX(COPIA!$BZ$3:$CB$400,MATCH($C146,COPIA!$BZ$3:$BZ$400,0),2),""),"")</f>
        <v/>
      </c>
      <c r="G146" s="86" t="str">
        <f ca="1">IFERROR(IF(AND(COPIA!$BU$1=3,INDEX(COPIA!$BZ$3:$CB$400,MATCH($C146,COPIA!$BZ$3:$BZ$400,0),3)&lt;&gt;0),INDEX(COPIA!$BZ$3:$CB$400,MATCH($C146,COPIA!$BZ$3:$BZ$400,0),3),""),"")</f>
        <v/>
      </c>
      <c r="H146" s="7" t="str">
        <f t="shared" ca="1" si="5"/>
        <v/>
      </c>
    </row>
    <row r="147" spans="2:8" ht="18" customHeight="1" x14ac:dyDescent="0.3">
      <c r="B147" s="16" t="str">
        <f t="shared" ca="1" si="4"/>
        <v/>
      </c>
      <c r="C147" s="83" t="str">
        <f ca="1">IF(OR(COPIA!$BU$1=1,COPIA!$BU$1=3),COPIA!CO140,IF(COPIA!$BU$1=2,COPIA!BZ140,IF(ROW()=COPIA!$BT$1,"TOTALE","")))</f>
        <v/>
      </c>
      <c r="D147" s="86" t="str">
        <f ca="1">IF(AND(OR(COPIA!$BU$1=1,COPIA!$BU$1=3),INDEX(COPIA!$BT$3:$BV$400,MATCH($C147,COPIA!$BT$3:$BT$400,0),2)&lt;&gt;0),INDEX(COPIA!$BT$3:$BV$400,MATCH($C147,COPIA!$BT$3:$BT$400,0),2),IF(AND(COPIA!$BU$1=2,INDEX(COPIA!$BZ$3:$CB$400,MATCH($C147,COPIA!$BZ$3:$BZ$400,0),2)&lt;&gt;0),INDEX(COPIA!$BZ$3:$CB$400,MATCH($C147,COPIA!$BZ$3:$BZ$400,0),2),""))</f>
        <v/>
      </c>
      <c r="E147" s="86" t="str">
        <f ca="1">IF(AND(OR(COPIA!$BU$1=1,COPIA!$BU$1=3),INDEX(COPIA!$BT$3:$BV$400,MATCH($C147,COPIA!$BT$3:$BT$400,0),3)&lt;&gt;0),INDEX(COPIA!$BT$3:$BV$400,MATCH($C147,COPIA!$BT$3:$BT$400,0),3),IF(AND(COPIA!$BU$1=2,INDEX(COPIA!$BZ$3:$CB$400,MATCH($C147,COPIA!$BZ$3:$BZ$400,0),3)&lt;&gt;0),INDEX(COPIA!$BZ$3:$CB$400,MATCH($C147,COPIA!$BZ$3:$BZ$400,0),3),""))</f>
        <v/>
      </c>
      <c r="F147" s="86" t="str">
        <f ca="1">IFERROR(IF(AND(COPIA!$BU$1=3,INDEX(COPIA!$BZ$3:$CB$400,MATCH($C147,COPIA!$BZ$3:$BZ$400,0),2)&lt;&gt;0),INDEX(COPIA!$BZ$3:$CB$400,MATCH($C147,COPIA!$BZ$3:$BZ$400,0),2),""),"")</f>
        <v/>
      </c>
      <c r="G147" s="86" t="str">
        <f ca="1">IFERROR(IF(AND(COPIA!$BU$1=3,INDEX(COPIA!$BZ$3:$CB$400,MATCH($C147,COPIA!$BZ$3:$BZ$400,0),3)&lt;&gt;0),INDEX(COPIA!$BZ$3:$CB$400,MATCH($C147,COPIA!$BZ$3:$BZ$400,0),3),""),"")</f>
        <v/>
      </c>
      <c r="H147" s="7" t="str">
        <f t="shared" ca="1" si="5"/>
        <v/>
      </c>
    </row>
    <row r="148" spans="2:8" ht="18" customHeight="1" x14ac:dyDescent="0.3">
      <c r="B148" s="16" t="str">
        <f t="shared" ca="1" si="4"/>
        <v/>
      </c>
      <c r="C148" s="83" t="str">
        <f ca="1">IF(OR(COPIA!$BU$1=1,COPIA!$BU$1=3),COPIA!CO141,IF(COPIA!$BU$1=2,COPIA!BZ141,IF(ROW()=COPIA!$BT$1,"TOTALE","")))</f>
        <v/>
      </c>
      <c r="D148" s="86" t="str">
        <f ca="1">IF(AND(OR(COPIA!$BU$1=1,COPIA!$BU$1=3),INDEX(COPIA!$BT$3:$BV$400,MATCH($C148,COPIA!$BT$3:$BT$400,0),2)&lt;&gt;0),INDEX(COPIA!$BT$3:$BV$400,MATCH($C148,COPIA!$BT$3:$BT$400,0),2),IF(AND(COPIA!$BU$1=2,INDEX(COPIA!$BZ$3:$CB$400,MATCH($C148,COPIA!$BZ$3:$BZ$400,0),2)&lt;&gt;0),INDEX(COPIA!$BZ$3:$CB$400,MATCH($C148,COPIA!$BZ$3:$BZ$400,0),2),""))</f>
        <v/>
      </c>
      <c r="E148" s="86" t="str">
        <f ca="1">IF(AND(OR(COPIA!$BU$1=1,COPIA!$BU$1=3),INDEX(COPIA!$BT$3:$BV$400,MATCH($C148,COPIA!$BT$3:$BT$400,0),3)&lt;&gt;0),INDEX(COPIA!$BT$3:$BV$400,MATCH($C148,COPIA!$BT$3:$BT$400,0),3),IF(AND(COPIA!$BU$1=2,INDEX(COPIA!$BZ$3:$CB$400,MATCH($C148,COPIA!$BZ$3:$BZ$400,0),3)&lt;&gt;0),INDEX(COPIA!$BZ$3:$CB$400,MATCH($C148,COPIA!$BZ$3:$BZ$400,0),3),""))</f>
        <v/>
      </c>
      <c r="F148" s="86" t="str">
        <f ca="1">IFERROR(IF(AND(COPIA!$BU$1=3,INDEX(COPIA!$BZ$3:$CB$400,MATCH($C148,COPIA!$BZ$3:$BZ$400,0),2)&lt;&gt;0),INDEX(COPIA!$BZ$3:$CB$400,MATCH($C148,COPIA!$BZ$3:$BZ$400,0),2),""),"")</f>
        <v/>
      </c>
      <c r="G148" s="86" t="str">
        <f ca="1">IFERROR(IF(AND(COPIA!$BU$1=3,INDEX(COPIA!$BZ$3:$CB$400,MATCH($C148,COPIA!$BZ$3:$BZ$400,0),3)&lt;&gt;0),INDEX(COPIA!$BZ$3:$CB$400,MATCH($C148,COPIA!$BZ$3:$BZ$400,0),3),""),"")</f>
        <v/>
      </c>
      <c r="H148" s="7" t="str">
        <f t="shared" ca="1" si="5"/>
        <v/>
      </c>
    </row>
    <row r="149" spans="2:8" ht="18" customHeight="1" x14ac:dyDescent="0.3">
      <c r="B149" s="16" t="str">
        <f t="shared" ca="1" si="4"/>
        <v/>
      </c>
      <c r="C149" s="83" t="str">
        <f ca="1">IF(OR(COPIA!$BU$1=1,COPIA!$BU$1=3),COPIA!CO142,IF(COPIA!$BU$1=2,COPIA!BZ142,IF(ROW()=COPIA!$BT$1,"TOTALE","")))</f>
        <v/>
      </c>
      <c r="D149" s="86" t="str">
        <f ca="1">IF(AND(OR(COPIA!$BU$1=1,COPIA!$BU$1=3),INDEX(COPIA!$BT$3:$BV$400,MATCH($C149,COPIA!$BT$3:$BT$400,0),2)&lt;&gt;0),INDEX(COPIA!$BT$3:$BV$400,MATCH($C149,COPIA!$BT$3:$BT$400,0),2),IF(AND(COPIA!$BU$1=2,INDEX(COPIA!$BZ$3:$CB$400,MATCH($C149,COPIA!$BZ$3:$BZ$400,0),2)&lt;&gt;0),INDEX(COPIA!$BZ$3:$CB$400,MATCH($C149,COPIA!$BZ$3:$BZ$400,0),2),""))</f>
        <v/>
      </c>
      <c r="E149" s="86" t="str">
        <f ca="1">IF(AND(OR(COPIA!$BU$1=1,COPIA!$BU$1=3),INDEX(COPIA!$BT$3:$BV$400,MATCH($C149,COPIA!$BT$3:$BT$400,0),3)&lt;&gt;0),INDEX(COPIA!$BT$3:$BV$400,MATCH($C149,COPIA!$BT$3:$BT$400,0),3),IF(AND(COPIA!$BU$1=2,INDEX(COPIA!$BZ$3:$CB$400,MATCH($C149,COPIA!$BZ$3:$BZ$400,0),3)&lt;&gt;0),INDEX(COPIA!$BZ$3:$CB$400,MATCH($C149,COPIA!$BZ$3:$BZ$400,0),3),""))</f>
        <v/>
      </c>
      <c r="F149" s="86" t="str">
        <f ca="1">IFERROR(IF(AND(COPIA!$BU$1=3,INDEX(COPIA!$BZ$3:$CB$400,MATCH($C149,COPIA!$BZ$3:$BZ$400,0),2)&lt;&gt;0),INDEX(COPIA!$BZ$3:$CB$400,MATCH($C149,COPIA!$BZ$3:$BZ$400,0),2),""),"")</f>
        <v/>
      </c>
      <c r="G149" s="86" t="str">
        <f ca="1">IFERROR(IF(AND(COPIA!$BU$1=3,INDEX(COPIA!$BZ$3:$CB$400,MATCH($C149,COPIA!$BZ$3:$BZ$400,0),3)&lt;&gt;0),INDEX(COPIA!$BZ$3:$CB$400,MATCH($C149,COPIA!$BZ$3:$BZ$400,0),3),""),"")</f>
        <v/>
      </c>
      <c r="H149" s="7" t="str">
        <f t="shared" ca="1" si="5"/>
        <v/>
      </c>
    </row>
    <row r="150" spans="2:8" ht="18" customHeight="1" x14ac:dyDescent="0.3">
      <c r="B150" s="16" t="str">
        <f t="shared" ca="1" si="4"/>
        <v/>
      </c>
      <c r="C150" s="83" t="str">
        <f ca="1">IF(OR(COPIA!$BU$1=1,COPIA!$BU$1=3),COPIA!CO143,IF(COPIA!$BU$1=2,COPIA!BZ143,IF(ROW()=COPIA!$BT$1,"TOTALE","")))</f>
        <v/>
      </c>
      <c r="D150" s="86" t="str">
        <f ca="1">IF(AND(OR(COPIA!$BU$1=1,COPIA!$BU$1=3),INDEX(COPIA!$BT$3:$BV$400,MATCH($C150,COPIA!$BT$3:$BT$400,0),2)&lt;&gt;0),INDEX(COPIA!$BT$3:$BV$400,MATCH($C150,COPIA!$BT$3:$BT$400,0),2),IF(AND(COPIA!$BU$1=2,INDEX(COPIA!$BZ$3:$CB$400,MATCH($C150,COPIA!$BZ$3:$BZ$400,0),2)&lt;&gt;0),INDEX(COPIA!$BZ$3:$CB$400,MATCH($C150,COPIA!$BZ$3:$BZ$400,0),2),""))</f>
        <v/>
      </c>
      <c r="E150" s="86" t="str">
        <f ca="1">IF(AND(OR(COPIA!$BU$1=1,COPIA!$BU$1=3),INDEX(COPIA!$BT$3:$BV$400,MATCH($C150,COPIA!$BT$3:$BT$400,0),3)&lt;&gt;0),INDEX(COPIA!$BT$3:$BV$400,MATCH($C150,COPIA!$BT$3:$BT$400,0),3),IF(AND(COPIA!$BU$1=2,INDEX(COPIA!$BZ$3:$CB$400,MATCH($C150,COPIA!$BZ$3:$BZ$400,0),3)&lt;&gt;0),INDEX(COPIA!$BZ$3:$CB$400,MATCH($C150,COPIA!$BZ$3:$BZ$400,0),3),""))</f>
        <v/>
      </c>
      <c r="F150" s="86" t="str">
        <f ca="1">IFERROR(IF(AND(COPIA!$BU$1=3,INDEX(COPIA!$BZ$3:$CB$400,MATCH($C150,COPIA!$BZ$3:$BZ$400,0),2)&lt;&gt;0),INDEX(COPIA!$BZ$3:$CB$400,MATCH($C150,COPIA!$BZ$3:$BZ$400,0),2),""),"")</f>
        <v/>
      </c>
      <c r="G150" s="86" t="str">
        <f ca="1">IFERROR(IF(AND(COPIA!$BU$1=3,INDEX(COPIA!$BZ$3:$CB$400,MATCH($C150,COPIA!$BZ$3:$BZ$400,0),3)&lt;&gt;0),INDEX(COPIA!$BZ$3:$CB$400,MATCH($C150,COPIA!$BZ$3:$BZ$400,0),3),""),"")</f>
        <v/>
      </c>
      <c r="H150" s="7" t="str">
        <f t="shared" ca="1" si="5"/>
        <v/>
      </c>
    </row>
    <row r="151" spans="2:8" ht="18" customHeight="1" x14ac:dyDescent="0.3">
      <c r="B151" s="16" t="str">
        <f t="shared" ca="1" si="4"/>
        <v/>
      </c>
      <c r="C151" s="83" t="str">
        <f ca="1">IF(OR(COPIA!$BU$1=1,COPIA!$BU$1=3),COPIA!CO144,IF(COPIA!$BU$1=2,COPIA!BZ144,IF(ROW()=COPIA!$BT$1,"TOTALE","")))</f>
        <v/>
      </c>
      <c r="D151" s="86" t="str">
        <f ca="1">IF(AND(OR(COPIA!$BU$1=1,COPIA!$BU$1=3),INDEX(COPIA!$BT$3:$BV$400,MATCH($C151,COPIA!$BT$3:$BT$400,0),2)&lt;&gt;0),INDEX(COPIA!$BT$3:$BV$400,MATCH($C151,COPIA!$BT$3:$BT$400,0),2),IF(AND(COPIA!$BU$1=2,INDEX(COPIA!$BZ$3:$CB$400,MATCH($C151,COPIA!$BZ$3:$BZ$400,0),2)&lt;&gt;0),INDEX(COPIA!$BZ$3:$CB$400,MATCH($C151,COPIA!$BZ$3:$BZ$400,0),2),""))</f>
        <v/>
      </c>
      <c r="E151" s="86" t="str">
        <f ca="1">IF(AND(OR(COPIA!$BU$1=1,COPIA!$BU$1=3),INDEX(COPIA!$BT$3:$BV$400,MATCH($C151,COPIA!$BT$3:$BT$400,0),3)&lt;&gt;0),INDEX(COPIA!$BT$3:$BV$400,MATCH($C151,COPIA!$BT$3:$BT$400,0),3),IF(AND(COPIA!$BU$1=2,INDEX(COPIA!$BZ$3:$CB$400,MATCH($C151,COPIA!$BZ$3:$BZ$400,0),3)&lt;&gt;0),INDEX(COPIA!$BZ$3:$CB$400,MATCH($C151,COPIA!$BZ$3:$BZ$400,0),3),""))</f>
        <v/>
      </c>
      <c r="F151" s="86" t="str">
        <f ca="1">IFERROR(IF(AND(COPIA!$BU$1=3,INDEX(COPIA!$BZ$3:$CB$400,MATCH($C151,COPIA!$BZ$3:$BZ$400,0),2)&lt;&gt;0),INDEX(COPIA!$BZ$3:$CB$400,MATCH($C151,COPIA!$BZ$3:$BZ$400,0),2),""),"")</f>
        <v/>
      </c>
      <c r="G151" s="86" t="str">
        <f ca="1">IFERROR(IF(AND(COPIA!$BU$1=3,INDEX(COPIA!$BZ$3:$CB$400,MATCH($C151,COPIA!$BZ$3:$BZ$400,0),3)&lt;&gt;0),INDEX(COPIA!$BZ$3:$CB$400,MATCH($C151,COPIA!$BZ$3:$BZ$400,0),3),""),"")</f>
        <v/>
      </c>
      <c r="H151" s="7" t="str">
        <f t="shared" ca="1" si="5"/>
        <v/>
      </c>
    </row>
    <row r="152" spans="2:8" ht="18" customHeight="1" x14ac:dyDescent="0.3">
      <c r="B152" s="16" t="str">
        <f t="shared" ca="1" si="4"/>
        <v/>
      </c>
      <c r="C152" s="83" t="str">
        <f ca="1">IF(OR(COPIA!$BU$1=1,COPIA!$BU$1=3),COPIA!CO145,IF(COPIA!$BU$1=2,COPIA!BZ145,IF(ROW()=COPIA!$BT$1,"TOTALE","")))</f>
        <v/>
      </c>
      <c r="D152" s="86" t="str">
        <f ca="1">IF(AND(OR(COPIA!$BU$1=1,COPIA!$BU$1=3),INDEX(COPIA!$BT$3:$BV$400,MATCH($C152,COPIA!$BT$3:$BT$400,0),2)&lt;&gt;0),INDEX(COPIA!$BT$3:$BV$400,MATCH($C152,COPIA!$BT$3:$BT$400,0),2),IF(AND(COPIA!$BU$1=2,INDEX(COPIA!$BZ$3:$CB$400,MATCH($C152,COPIA!$BZ$3:$BZ$400,0),2)&lt;&gt;0),INDEX(COPIA!$BZ$3:$CB$400,MATCH($C152,COPIA!$BZ$3:$BZ$400,0),2),""))</f>
        <v/>
      </c>
      <c r="E152" s="86" t="str">
        <f ca="1">IF(AND(OR(COPIA!$BU$1=1,COPIA!$BU$1=3),INDEX(COPIA!$BT$3:$BV$400,MATCH($C152,COPIA!$BT$3:$BT$400,0),3)&lt;&gt;0),INDEX(COPIA!$BT$3:$BV$400,MATCH($C152,COPIA!$BT$3:$BT$400,0),3),IF(AND(COPIA!$BU$1=2,INDEX(COPIA!$BZ$3:$CB$400,MATCH($C152,COPIA!$BZ$3:$BZ$400,0),3)&lt;&gt;0),INDEX(COPIA!$BZ$3:$CB$400,MATCH($C152,COPIA!$BZ$3:$BZ$400,0),3),""))</f>
        <v/>
      </c>
      <c r="F152" s="86" t="str">
        <f ca="1">IFERROR(IF(AND(COPIA!$BU$1=3,INDEX(COPIA!$BZ$3:$CB$400,MATCH($C152,COPIA!$BZ$3:$BZ$400,0),2)&lt;&gt;0),INDEX(COPIA!$BZ$3:$CB$400,MATCH($C152,COPIA!$BZ$3:$BZ$400,0),2),""),"")</f>
        <v/>
      </c>
      <c r="G152" s="86" t="str">
        <f ca="1">IFERROR(IF(AND(COPIA!$BU$1=3,INDEX(COPIA!$BZ$3:$CB$400,MATCH($C152,COPIA!$BZ$3:$BZ$400,0),3)&lt;&gt;0),INDEX(COPIA!$BZ$3:$CB$400,MATCH($C152,COPIA!$BZ$3:$BZ$400,0),3),""),"")</f>
        <v/>
      </c>
      <c r="H152" s="7" t="str">
        <f t="shared" ca="1" si="5"/>
        <v/>
      </c>
    </row>
    <row r="153" spans="2:8" ht="18" customHeight="1" x14ac:dyDescent="0.3">
      <c r="B153" s="16" t="str">
        <f t="shared" ca="1" si="4"/>
        <v/>
      </c>
      <c r="C153" s="83" t="str">
        <f ca="1">IF(OR(COPIA!$BU$1=1,COPIA!$BU$1=3),COPIA!CO146,IF(COPIA!$BU$1=2,COPIA!BZ146,IF(ROW()=COPIA!$BT$1,"TOTALE","")))</f>
        <v/>
      </c>
      <c r="D153" s="86" t="str">
        <f ca="1">IF(AND(OR(COPIA!$BU$1=1,COPIA!$BU$1=3),INDEX(COPIA!$BT$3:$BV$400,MATCH($C153,COPIA!$BT$3:$BT$400,0),2)&lt;&gt;0),INDEX(COPIA!$BT$3:$BV$400,MATCH($C153,COPIA!$BT$3:$BT$400,0),2),IF(AND(COPIA!$BU$1=2,INDEX(COPIA!$BZ$3:$CB$400,MATCH($C153,COPIA!$BZ$3:$BZ$400,0),2)&lt;&gt;0),INDEX(COPIA!$BZ$3:$CB$400,MATCH($C153,COPIA!$BZ$3:$BZ$400,0),2),""))</f>
        <v/>
      </c>
      <c r="E153" s="86" t="str">
        <f ca="1">IF(AND(OR(COPIA!$BU$1=1,COPIA!$BU$1=3),INDEX(COPIA!$BT$3:$BV$400,MATCH($C153,COPIA!$BT$3:$BT$400,0),3)&lt;&gt;0),INDEX(COPIA!$BT$3:$BV$400,MATCH($C153,COPIA!$BT$3:$BT$400,0),3),IF(AND(COPIA!$BU$1=2,INDEX(COPIA!$BZ$3:$CB$400,MATCH($C153,COPIA!$BZ$3:$BZ$400,0),3)&lt;&gt;0),INDEX(COPIA!$BZ$3:$CB$400,MATCH($C153,COPIA!$BZ$3:$BZ$400,0),3),""))</f>
        <v/>
      </c>
      <c r="F153" s="86" t="str">
        <f ca="1">IFERROR(IF(AND(COPIA!$BU$1=3,INDEX(COPIA!$BZ$3:$CB$400,MATCH($C153,COPIA!$BZ$3:$BZ$400,0),2)&lt;&gt;0),INDEX(COPIA!$BZ$3:$CB$400,MATCH($C153,COPIA!$BZ$3:$BZ$400,0),2),""),"")</f>
        <v/>
      </c>
      <c r="G153" s="86" t="str">
        <f ca="1">IFERROR(IF(AND(COPIA!$BU$1=3,INDEX(COPIA!$BZ$3:$CB$400,MATCH($C153,COPIA!$BZ$3:$BZ$400,0),3)&lt;&gt;0),INDEX(COPIA!$BZ$3:$CB$400,MATCH($C153,COPIA!$BZ$3:$BZ$400,0),3),""),"")</f>
        <v/>
      </c>
      <c r="H153" s="7" t="str">
        <f t="shared" ca="1" si="5"/>
        <v/>
      </c>
    </row>
    <row r="154" spans="2:8" ht="18" customHeight="1" x14ac:dyDescent="0.3">
      <c r="B154" s="16" t="str">
        <f t="shared" ca="1" si="4"/>
        <v/>
      </c>
      <c r="C154" s="83" t="str">
        <f ca="1">IF(OR(COPIA!$BU$1=1,COPIA!$BU$1=3),COPIA!CO147,IF(COPIA!$BU$1=2,COPIA!BZ147,IF(ROW()=COPIA!$BT$1,"TOTALE","")))</f>
        <v/>
      </c>
      <c r="D154" s="86" t="str">
        <f ca="1">IF(AND(OR(COPIA!$BU$1=1,COPIA!$BU$1=3),INDEX(COPIA!$BT$3:$BV$400,MATCH($C154,COPIA!$BT$3:$BT$400,0),2)&lt;&gt;0),INDEX(COPIA!$BT$3:$BV$400,MATCH($C154,COPIA!$BT$3:$BT$400,0),2),IF(AND(COPIA!$BU$1=2,INDEX(COPIA!$BZ$3:$CB$400,MATCH($C154,COPIA!$BZ$3:$BZ$400,0),2)&lt;&gt;0),INDEX(COPIA!$BZ$3:$CB$400,MATCH($C154,COPIA!$BZ$3:$BZ$400,0),2),""))</f>
        <v/>
      </c>
      <c r="E154" s="86" t="str">
        <f ca="1">IF(AND(OR(COPIA!$BU$1=1,COPIA!$BU$1=3),INDEX(COPIA!$BT$3:$BV$400,MATCH($C154,COPIA!$BT$3:$BT$400,0),3)&lt;&gt;0),INDEX(COPIA!$BT$3:$BV$400,MATCH($C154,COPIA!$BT$3:$BT$400,0),3),IF(AND(COPIA!$BU$1=2,INDEX(COPIA!$BZ$3:$CB$400,MATCH($C154,COPIA!$BZ$3:$BZ$400,0),3)&lt;&gt;0),INDEX(COPIA!$BZ$3:$CB$400,MATCH($C154,COPIA!$BZ$3:$BZ$400,0),3),""))</f>
        <v/>
      </c>
      <c r="F154" s="86" t="str">
        <f ca="1">IFERROR(IF(AND(COPIA!$BU$1=3,INDEX(COPIA!$BZ$3:$CB$400,MATCH($C154,COPIA!$BZ$3:$BZ$400,0),2)&lt;&gt;0),INDEX(COPIA!$BZ$3:$CB$400,MATCH($C154,COPIA!$BZ$3:$BZ$400,0),2),""),"")</f>
        <v/>
      </c>
      <c r="G154" s="86" t="str">
        <f ca="1">IFERROR(IF(AND(COPIA!$BU$1=3,INDEX(COPIA!$BZ$3:$CB$400,MATCH($C154,COPIA!$BZ$3:$BZ$400,0),3)&lt;&gt;0),INDEX(COPIA!$BZ$3:$CB$400,MATCH($C154,COPIA!$BZ$3:$BZ$400,0),3),""),"")</f>
        <v/>
      </c>
      <c r="H154" s="7" t="str">
        <f t="shared" ca="1" si="5"/>
        <v/>
      </c>
    </row>
    <row r="155" spans="2:8" ht="18" customHeight="1" x14ac:dyDescent="0.3">
      <c r="B155" s="16" t="str">
        <f t="shared" ca="1" si="4"/>
        <v/>
      </c>
      <c r="C155" s="83" t="str">
        <f ca="1">IF(OR(COPIA!$BU$1=1,COPIA!$BU$1=3),COPIA!CO148,IF(COPIA!$BU$1=2,COPIA!BZ148,IF(ROW()=COPIA!$BT$1,"TOTALE","")))</f>
        <v/>
      </c>
      <c r="D155" s="86" t="str">
        <f ca="1">IF(AND(OR(COPIA!$BU$1=1,COPIA!$BU$1=3),INDEX(COPIA!$BT$3:$BV$400,MATCH($C155,COPIA!$BT$3:$BT$400,0),2)&lt;&gt;0),INDEX(COPIA!$BT$3:$BV$400,MATCH($C155,COPIA!$BT$3:$BT$400,0),2),IF(AND(COPIA!$BU$1=2,INDEX(COPIA!$BZ$3:$CB$400,MATCH($C155,COPIA!$BZ$3:$BZ$400,0),2)&lt;&gt;0),INDEX(COPIA!$BZ$3:$CB$400,MATCH($C155,COPIA!$BZ$3:$BZ$400,0),2),""))</f>
        <v/>
      </c>
      <c r="E155" s="86" t="str">
        <f ca="1">IF(AND(OR(COPIA!$BU$1=1,COPIA!$BU$1=3),INDEX(COPIA!$BT$3:$BV$400,MATCH($C155,COPIA!$BT$3:$BT$400,0),3)&lt;&gt;0),INDEX(COPIA!$BT$3:$BV$400,MATCH($C155,COPIA!$BT$3:$BT$400,0),3),IF(AND(COPIA!$BU$1=2,INDEX(COPIA!$BZ$3:$CB$400,MATCH($C155,COPIA!$BZ$3:$BZ$400,0),3)&lt;&gt;0),INDEX(COPIA!$BZ$3:$CB$400,MATCH($C155,COPIA!$BZ$3:$BZ$400,0),3),""))</f>
        <v/>
      </c>
      <c r="F155" s="86" t="str">
        <f ca="1">IFERROR(IF(AND(COPIA!$BU$1=3,INDEX(COPIA!$BZ$3:$CB$400,MATCH($C155,COPIA!$BZ$3:$BZ$400,0),2)&lt;&gt;0),INDEX(COPIA!$BZ$3:$CB$400,MATCH($C155,COPIA!$BZ$3:$BZ$400,0),2),""),"")</f>
        <v/>
      </c>
      <c r="G155" s="86" t="str">
        <f ca="1">IFERROR(IF(AND(COPIA!$BU$1=3,INDEX(COPIA!$BZ$3:$CB$400,MATCH($C155,COPIA!$BZ$3:$BZ$400,0),3)&lt;&gt;0),INDEX(COPIA!$BZ$3:$CB$400,MATCH($C155,COPIA!$BZ$3:$BZ$400,0),3),""),"")</f>
        <v/>
      </c>
      <c r="H155" s="7" t="str">
        <f t="shared" ca="1" si="5"/>
        <v/>
      </c>
    </row>
    <row r="156" spans="2:8" ht="18" customHeight="1" x14ac:dyDescent="0.3">
      <c r="B156" s="16" t="str">
        <f t="shared" ca="1" si="4"/>
        <v/>
      </c>
      <c r="C156" s="83" t="str">
        <f ca="1">IF(OR(COPIA!$BU$1=1,COPIA!$BU$1=3),COPIA!CO149,IF(COPIA!$BU$1=2,COPIA!BZ149,IF(ROW()=COPIA!$BT$1,"TOTALE","")))</f>
        <v/>
      </c>
      <c r="D156" s="86" t="str">
        <f ca="1">IF(AND(OR(COPIA!$BU$1=1,COPIA!$BU$1=3),INDEX(COPIA!$BT$3:$BV$400,MATCH($C156,COPIA!$BT$3:$BT$400,0),2)&lt;&gt;0),INDEX(COPIA!$BT$3:$BV$400,MATCH($C156,COPIA!$BT$3:$BT$400,0),2),IF(AND(COPIA!$BU$1=2,INDEX(COPIA!$BZ$3:$CB$400,MATCH($C156,COPIA!$BZ$3:$BZ$400,0),2)&lt;&gt;0),INDEX(COPIA!$BZ$3:$CB$400,MATCH($C156,COPIA!$BZ$3:$BZ$400,0),2),""))</f>
        <v/>
      </c>
      <c r="E156" s="86" t="str">
        <f ca="1">IF(AND(OR(COPIA!$BU$1=1,COPIA!$BU$1=3),INDEX(COPIA!$BT$3:$BV$400,MATCH($C156,COPIA!$BT$3:$BT$400,0),3)&lt;&gt;0),INDEX(COPIA!$BT$3:$BV$400,MATCH($C156,COPIA!$BT$3:$BT$400,0),3),IF(AND(COPIA!$BU$1=2,INDEX(COPIA!$BZ$3:$CB$400,MATCH($C156,COPIA!$BZ$3:$BZ$400,0),3)&lt;&gt;0),INDEX(COPIA!$BZ$3:$CB$400,MATCH($C156,COPIA!$BZ$3:$BZ$400,0),3),""))</f>
        <v/>
      </c>
      <c r="F156" s="86" t="str">
        <f ca="1">IFERROR(IF(AND(COPIA!$BU$1=3,INDEX(COPIA!$BZ$3:$CB$400,MATCH($C156,COPIA!$BZ$3:$BZ$400,0),2)&lt;&gt;0),INDEX(COPIA!$BZ$3:$CB$400,MATCH($C156,COPIA!$BZ$3:$BZ$400,0),2),""),"")</f>
        <v/>
      </c>
      <c r="G156" s="86" t="str">
        <f ca="1">IFERROR(IF(AND(COPIA!$BU$1=3,INDEX(COPIA!$BZ$3:$CB$400,MATCH($C156,COPIA!$BZ$3:$BZ$400,0),3)&lt;&gt;0),INDEX(COPIA!$BZ$3:$CB$400,MATCH($C156,COPIA!$BZ$3:$BZ$400,0),3),""),"")</f>
        <v/>
      </c>
      <c r="H156" s="7" t="str">
        <f t="shared" ca="1" si="5"/>
        <v/>
      </c>
    </row>
    <row r="157" spans="2:8" ht="18" customHeight="1" x14ac:dyDescent="0.3">
      <c r="B157" s="16" t="str">
        <f t="shared" ca="1" si="4"/>
        <v/>
      </c>
      <c r="C157" s="83" t="str">
        <f ca="1">IF(OR(COPIA!$BU$1=1,COPIA!$BU$1=3),COPIA!CO150,IF(COPIA!$BU$1=2,COPIA!BZ150,IF(ROW()=COPIA!$BT$1,"TOTALE","")))</f>
        <v/>
      </c>
      <c r="D157" s="86" t="str">
        <f ca="1">IF(AND(OR(COPIA!$BU$1=1,COPIA!$BU$1=3),INDEX(COPIA!$BT$3:$BV$400,MATCH($C157,COPIA!$BT$3:$BT$400,0),2)&lt;&gt;0),INDEX(COPIA!$BT$3:$BV$400,MATCH($C157,COPIA!$BT$3:$BT$400,0),2),IF(AND(COPIA!$BU$1=2,INDEX(COPIA!$BZ$3:$CB$400,MATCH($C157,COPIA!$BZ$3:$BZ$400,0),2)&lt;&gt;0),INDEX(COPIA!$BZ$3:$CB$400,MATCH($C157,COPIA!$BZ$3:$BZ$400,0),2),""))</f>
        <v/>
      </c>
      <c r="E157" s="86" t="str">
        <f ca="1">IF(AND(OR(COPIA!$BU$1=1,COPIA!$BU$1=3),INDEX(COPIA!$BT$3:$BV$400,MATCH($C157,COPIA!$BT$3:$BT$400,0),3)&lt;&gt;0),INDEX(COPIA!$BT$3:$BV$400,MATCH($C157,COPIA!$BT$3:$BT$400,0),3),IF(AND(COPIA!$BU$1=2,INDEX(COPIA!$BZ$3:$CB$400,MATCH($C157,COPIA!$BZ$3:$BZ$400,0),3)&lt;&gt;0),INDEX(COPIA!$BZ$3:$CB$400,MATCH($C157,COPIA!$BZ$3:$BZ$400,0),3),""))</f>
        <v/>
      </c>
      <c r="F157" s="86" t="str">
        <f ca="1">IFERROR(IF(AND(COPIA!$BU$1=3,INDEX(COPIA!$BZ$3:$CB$400,MATCH($C157,COPIA!$BZ$3:$BZ$400,0),2)&lt;&gt;0),INDEX(COPIA!$BZ$3:$CB$400,MATCH($C157,COPIA!$BZ$3:$BZ$400,0),2),""),"")</f>
        <v/>
      </c>
      <c r="G157" s="86" t="str">
        <f ca="1">IFERROR(IF(AND(COPIA!$BU$1=3,INDEX(COPIA!$BZ$3:$CB$400,MATCH($C157,COPIA!$BZ$3:$BZ$400,0),3)&lt;&gt;0),INDEX(COPIA!$BZ$3:$CB$400,MATCH($C157,COPIA!$BZ$3:$BZ$400,0),3),""),"")</f>
        <v/>
      </c>
      <c r="H157" s="7" t="str">
        <f t="shared" ca="1" si="5"/>
        <v/>
      </c>
    </row>
    <row r="158" spans="2:8" ht="18" customHeight="1" x14ac:dyDescent="0.3">
      <c r="B158" s="16" t="str">
        <f t="shared" ca="1" si="4"/>
        <v/>
      </c>
      <c r="C158" s="83" t="str">
        <f ca="1">IF(OR(COPIA!$BU$1=1,COPIA!$BU$1=3),COPIA!CO151,IF(COPIA!$BU$1=2,COPIA!BZ151,IF(ROW()=COPIA!$BT$1,"TOTALE","")))</f>
        <v/>
      </c>
      <c r="D158" s="86" t="str">
        <f ca="1">IF(AND(OR(COPIA!$BU$1=1,COPIA!$BU$1=3),INDEX(COPIA!$BT$3:$BV$400,MATCH($C158,COPIA!$BT$3:$BT$400,0),2)&lt;&gt;0),INDEX(COPIA!$BT$3:$BV$400,MATCH($C158,COPIA!$BT$3:$BT$400,0),2),IF(AND(COPIA!$BU$1=2,INDEX(COPIA!$BZ$3:$CB$400,MATCH($C158,COPIA!$BZ$3:$BZ$400,0),2)&lt;&gt;0),INDEX(COPIA!$BZ$3:$CB$400,MATCH($C158,COPIA!$BZ$3:$BZ$400,0),2),""))</f>
        <v/>
      </c>
      <c r="E158" s="86" t="str">
        <f ca="1">IF(AND(OR(COPIA!$BU$1=1,COPIA!$BU$1=3),INDEX(COPIA!$BT$3:$BV$400,MATCH($C158,COPIA!$BT$3:$BT$400,0),3)&lt;&gt;0),INDEX(COPIA!$BT$3:$BV$400,MATCH($C158,COPIA!$BT$3:$BT$400,0),3),IF(AND(COPIA!$BU$1=2,INDEX(COPIA!$BZ$3:$CB$400,MATCH($C158,COPIA!$BZ$3:$BZ$400,0),3)&lt;&gt;0),INDEX(COPIA!$BZ$3:$CB$400,MATCH($C158,COPIA!$BZ$3:$BZ$400,0),3),""))</f>
        <v/>
      </c>
      <c r="F158" s="86" t="str">
        <f ca="1">IFERROR(IF(AND(COPIA!$BU$1=3,INDEX(COPIA!$BZ$3:$CB$400,MATCH($C158,COPIA!$BZ$3:$BZ$400,0),2)&lt;&gt;0),INDEX(COPIA!$BZ$3:$CB$400,MATCH($C158,COPIA!$BZ$3:$BZ$400,0),2),""),"")</f>
        <v/>
      </c>
      <c r="G158" s="86" t="str">
        <f ca="1">IFERROR(IF(AND(COPIA!$BU$1=3,INDEX(COPIA!$BZ$3:$CB$400,MATCH($C158,COPIA!$BZ$3:$BZ$400,0),3)&lt;&gt;0),INDEX(COPIA!$BZ$3:$CB$400,MATCH($C158,COPIA!$BZ$3:$BZ$400,0),3),""),"")</f>
        <v/>
      </c>
      <c r="H158" s="7" t="str">
        <f t="shared" ca="1" si="5"/>
        <v/>
      </c>
    </row>
    <row r="159" spans="2:8" ht="18" customHeight="1" x14ac:dyDescent="0.3">
      <c r="B159" s="16" t="str">
        <f t="shared" ca="1" si="4"/>
        <v/>
      </c>
      <c r="C159" s="83" t="str">
        <f ca="1">IF(OR(COPIA!$BU$1=1,COPIA!$BU$1=3),COPIA!CO152,IF(COPIA!$BU$1=2,COPIA!BZ152,IF(ROW()=COPIA!$BT$1,"TOTALE","")))</f>
        <v/>
      </c>
      <c r="D159" s="86" t="str">
        <f ca="1">IF(AND(OR(COPIA!$BU$1=1,COPIA!$BU$1=3),INDEX(COPIA!$BT$3:$BV$400,MATCH($C159,COPIA!$BT$3:$BT$400,0),2)&lt;&gt;0),INDEX(COPIA!$BT$3:$BV$400,MATCH($C159,COPIA!$BT$3:$BT$400,0),2),IF(AND(COPIA!$BU$1=2,INDEX(COPIA!$BZ$3:$CB$400,MATCH($C159,COPIA!$BZ$3:$BZ$400,0),2)&lt;&gt;0),INDEX(COPIA!$BZ$3:$CB$400,MATCH($C159,COPIA!$BZ$3:$BZ$400,0),2),""))</f>
        <v/>
      </c>
      <c r="E159" s="86" t="str">
        <f ca="1">IF(AND(OR(COPIA!$BU$1=1,COPIA!$BU$1=3),INDEX(COPIA!$BT$3:$BV$400,MATCH($C159,COPIA!$BT$3:$BT$400,0),3)&lt;&gt;0),INDEX(COPIA!$BT$3:$BV$400,MATCH($C159,COPIA!$BT$3:$BT$400,0),3),IF(AND(COPIA!$BU$1=2,INDEX(COPIA!$BZ$3:$CB$400,MATCH($C159,COPIA!$BZ$3:$BZ$400,0),3)&lt;&gt;0),INDEX(COPIA!$BZ$3:$CB$400,MATCH($C159,COPIA!$BZ$3:$BZ$400,0),3),""))</f>
        <v/>
      </c>
      <c r="F159" s="86" t="str">
        <f ca="1">IFERROR(IF(AND(COPIA!$BU$1=3,INDEX(COPIA!$BZ$3:$CB$400,MATCH($C159,COPIA!$BZ$3:$BZ$400,0),2)&lt;&gt;0),INDEX(COPIA!$BZ$3:$CB$400,MATCH($C159,COPIA!$BZ$3:$BZ$400,0),2),""),"")</f>
        <v/>
      </c>
      <c r="G159" s="86" t="str">
        <f ca="1">IFERROR(IF(AND(COPIA!$BU$1=3,INDEX(COPIA!$BZ$3:$CB$400,MATCH($C159,COPIA!$BZ$3:$BZ$400,0),3)&lt;&gt;0),INDEX(COPIA!$BZ$3:$CB$400,MATCH($C159,COPIA!$BZ$3:$BZ$400,0),3),""),"")</f>
        <v/>
      </c>
      <c r="H159" s="7" t="str">
        <f t="shared" ca="1" si="5"/>
        <v/>
      </c>
    </row>
    <row r="160" spans="2:8" ht="18" customHeight="1" x14ac:dyDescent="0.3">
      <c r="B160" s="16" t="str">
        <f t="shared" ca="1" si="4"/>
        <v/>
      </c>
      <c r="C160" s="83" t="str">
        <f ca="1">IF(OR(COPIA!$BU$1=1,COPIA!$BU$1=3),COPIA!CO153,IF(COPIA!$BU$1=2,COPIA!BZ153,IF(ROW()=COPIA!$BT$1,"TOTALE","")))</f>
        <v/>
      </c>
      <c r="D160" s="86" t="str">
        <f ca="1">IF(AND(OR(COPIA!$BU$1=1,COPIA!$BU$1=3),INDEX(COPIA!$BT$3:$BV$400,MATCH($C160,COPIA!$BT$3:$BT$400,0),2)&lt;&gt;0),INDEX(COPIA!$BT$3:$BV$400,MATCH($C160,COPIA!$BT$3:$BT$400,0),2),IF(AND(COPIA!$BU$1=2,INDEX(COPIA!$BZ$3:$CB$400,MATCH($C160,COPIA!$BZ$3:$BZ$400,0),2)&lt;&gt;0),INDEX(COPIA!$BZ$3:$CB$400,MATCH($C160,COPIA!$BZ$3:$BZ$400,0),2),""))</f>
        <v/>
      </c>
      <c r="E160" s="86" t="str">
        <f ca="1">IF(AND(OR(COPIA!$BU$1=1,COPIA!$BU$1=3),INDEX(COPIA!$BT$3:$BV$400,MATCH($C160,COPIA!$BT$3:$BT$400,0),3)&lt;&gt;0),INDEX(COPIA!$BT$3:$BV$400,MATCH($C160,COPIA!$BT$3:$BT$400,0),3),IF(AND(COPIA!$BU$1=2,INDEX(COPIA!$BZ$3:$CB$400,MATCH($C160,COPIA!$BZ$3:$BZ$400,0),3)&lt;&gt;0),INDEX(COPIA!$BZ$3:$CB$400,MATCH($C160,COPIA!$BZ$3:$BZ$400,0),3),""))</f>
        <v/>
      </c>
      <c r="F160" s="86" t="str">
        <f ca="1">IFERROR(IF(AND(COPIA!$BU$1=3,INDEX(COPIA!$BZ$3:$CB$400,MATCH($C160,COPIA!$BZ$3:$BZ$400,0),2)&lt;&gt;0),INDEX(COPIA!$BZ$3:$CB$400,MATCH($C160,COPIA!$BZ$3:$BZ$400,0),2),""),"")</f>
        <v/>
      </c>
      <c r="G160" s="86" t="str">
        <f ca="1">IFERROR(IF(AND(COPIA!$BU$1=3,INDEX(COPIA!$BZ$3:$CB$400,MATCH($C160,COPIA!$BZ$3:$BZ$400,0),3)&lt;&gt;0),INDEX(COPIA!$BZ$3:$CB$400,MATCH($C160,COPIA!$BZ$3:$BZ$400,0),3),""),"")</f>
        <v/>
      </c>
      <c r="H160" s="7" t="str">
        <f t="shared" ca="1" si="5"/>
        <v/>
      </c>
    </row>
    <row r="161" spans="2:8" ht="18" customHeight="1" x14ac:dyDescent="0.3">
      <c r="B161" s="16" t="str">
        <f t="shared" ca="1" si="4"/>
        <v/>
      </c>
      <c r="C161" s="83" t="str">
        <f ca="1">IF(OR(COPIA!$BU$1=1,COPIA!$BU$1=3),COPIA!CO154,IF(COPIA!$BU$1=2,COPIA!BZ154,IF(ROW()=COPIA!$BT$1,"TOTALE","")))</f>
        <v/>
      </c>
      <c r="D161" s="86" t="str">
        <f ca="1">IF(AND(OR(COPIA!$BU$1=1,COPIA!$BU$1=3),INDEX(COPIA!$BT$3:$BV$400,MATCH($C161,COPIA!$BT$3:$BT$400,0),2)&lt;&gt;0),INDEX(COPIA!$BT$3:$BV$400,MATCH($C161,COPIA!$BT$3:$BT$400,0),2),IF(AND(COPIA!$BU$1=2,INDEX(COPIA!$BZ$3:$CB$400,MATCH($C161,COPIA!$BZ$3:$BZ$400,0),2)&lt;&gt;0),INDEX(COPIA!$BZ$3:$CB$400,MATCH($C161,COPIA!$BZ$3:$BZ$400,0),2),""))</f>
        <v/>
      </c>
      <c r="E161" s="86" t="str">
        <f ca="1">IF(AND(OR(COPIA!$BU$1=1,COPIA!$BU$1=3),INDEX(COPIA!$BT$3:$BV$400,MATCH($C161,COPIA!$BT$3:$BT$400,0),3)&lt;&gt;0),INDEX(COPIA!$BT$3:$BV$400,MATCH($C161,COPIA!$BT$3:$BT$400,0),3),IF(AND(COPIA!$BU$1=2,INDEX(COPIA!$BZ$3:$CB$400,MATCH($C161,COPIA!$BZ$3:$BZ$400,0),3)&lt;&gt;0),INDEX(COPIA!$BZ$3:$CB$400,MATCH($C161,COPIA!$BZ$3:$BZ$400,0),3),""))</f>
        <v/>
      </c>
      <c r="F161" s="86" t="str">
        <f ca="1">IFERROR(IF(AND(COPIA!$BU$1=3,INDEX(COPIA!$BZ$3:$CB$400,MATCH($C161,COPIA!$BZ$3:$BZ$400,0),2)&lt;&gt;0),INDEX(COPIA!$BZ$3:$CB$400,MATCH($C161,COPIA!$BZ$3:$BZ$400,0),2),""),"")</f>
        <v/>
      </c>
      <c r="G161" s="86" t="str">
        <f ca="1">IFERROR(IF(AND(COPIA!$BU$1=3,INDEX(COPIA!$BZ$3:$CB$400,MATCH($C161,COPIA!$BZ$3:$BZ$400,0),3)&lt;&gt;0),INDEX(COPIA!$BZ$3:$CB$400,MATCH($C161,COPIA!$BZ$3:$BZ$400,0),3),""),"")</f>
        <v/>
      </c>
      <c r="H161" s="7" t="str">
        <f t="shared" ca="1" si="5"/>
        <v/>
      </c>
    </row>
    <row r="162" spans="2:8" ht="18" customHeight="1" x14ac:dyDescent="0.3">
      <c r="B162" s="16" t="str">
        <f t="shared" ca="1" si="4"/>
        <v/>
      </c>
      <c r="C162" s="83" t="str">
        <f ca="1">IF(OR(COPIA!$BU$1=1,COPIA!$BU$1=3),COPIA!CO155,IF(COPIA!$BU$1=2,COPIA!BZ155,IF(ROW()=COPIA!$BT$1,"TOTALE","")))</f>
        <v/>
      </c>
      <c r="D162" s="86" t="str">
        <f ca="1">IF(AND(OR(COPIA!$BU$1=1,COPIA!$BU$1=3),INDEX(COPIA!$BT$3:$BV$400,MATCH($C162,COPIA!$BT$3:$BT$400,0),2)&lt;&gt;0),INDEX(COPIA!$BT$3:$BV$400,MATCH($C162,COPIA!$BT$3:$BT$400,0),2),IF(AND(COPIA!$BU$1=2,INDEX(COPIA!$BZ$3:$CB$400,MATCH($C162,COPIA!$BZ$3:$BZ$400,0),2)&lt;&gt;0),INDEX(COPIA!$BZ$3:$CB$400,MATCH($C162,COPIA!$BZ$3:$BZ$400,0),2),""))</f>
        <v/>
      </c>
      <c r="E162" s="86" t="str">
        <f ca="1">IF(AND(OR(COPIA!$BU$1=1,COPIA!$BU$1=3),INDEX(COPIA!$BT$3:$BV$400,MATCH($C162,COPIA!$BT$3:$BT$400,0),3)&lt;&gt;0),INDEX(COPIA!$BT$3:$BV$400,MATCH($C162,COPIA!$BT$3:$BT$400,0),3),IF(AND(COPIA!$BU$1=2,INDEX(COPIA!$BZ$3:$CB$400,MATCH($C162,COPIA!$BZ$3:$BZ$400,0),3)&lt;&gt;0),INDEX(COPIA!$BZ$3:$CB$400,MATCH($C162,COPIA!$BZ$3:$BZ$400,0),3),""))</f>
        <v/>
      </c>
      <c r="F162" s="86" t="str">
        <f ca="1">IFERROR(IF(AND(COPIA!$BU$1=3,INDEX(COPIA!$BZ$3:$CB$400,MATCH($C162,COPIA!$BZ$3:$BZ$400,0),2)&lt;&gt;0),INDEX(COPIA!$BZ$3:$CB$400,MATCH($C162,COPIA!$BZ$3:$BZ$400,0),2),""),"")</f>
        <v/>
      </c>
      <c r="G162" s="86" t="str">
        <f ca="1">IFERROR(IF(AND(COPIA!$BU$1=3,INDEX(COPIA!$BZ$3:$CB$400,MATCH($C162,COPIA!$BZ$3:$BZ$400,0),3)&lt;&gt;0),INDEX(COPIA!$BZ$3:$CB$400,MATCH($C162,COPIA!$BZ$3:$BZ$400,0),3),""),"")</f>
        <v/>
      </c>
      <c r="H162" s="7" t="str">
        <f t="shared" ca="1" si="5"/>
        <v/>
      </c>
    </row>
    <row r="163" spans="2:8" ht="18" customHeight="1" x14ac:dyDescent="0.3">
      <c r="B163" s="16" t="str">
        <f t="shared" ca="1" si="4"/>
        <v/>
      </c>
      <c r="C163" s="83" t="str">
        <f ca="1">IF(OR(COPIA!$BU$1=1,COPIA!$BU$1=3),COPIA!CO156,IF(COPIA!$BU$1=2,COPIA!BZ156,IF(ROW()=COPIA!$BT$1,"TOTALE","")))</f>
        <v/>
      </c>
      <c r="D163" s="86" t="str">
        <f ca="1">IF(AND(OR(COPIA!$BU$1=1,COPIA!$BU$1=3),INDEX(COPIA!$BT$3:$BV$400,MATCH($C163,COPIA!$BT$3:$BT$400,0),2)&lt;&gt;0),INDEX(COPIA!$BT$3:$BV$400,MATCH($C163,COPIA!$BT$3:$BT$400,0),2),IF(AND(COPIA!$BU$1=2,INDEX(COPIA!$BZ$3:$CB$400,MATCH($C163,COPIA!$BZ$3:$BZ$400,0),2)&lt;&gt;0),INDEX(COPIA!$BZ$3:$CB$400,MATCH($C163,COPIA!$BZ$3:$BZ$400,0),2),""))</f>
        <v/>
      </c>
      <c r="E163" s="86" t="str">
        <f ca="1">IF(AND(OR(COPIA!$BU$1=1,COPIA!$BU$1=3),INDEX(COPIA!$BT$3:$BV$400,MATCH($C163,COPIA!$BT$3:$BT$400,0),3)&lt;&gt;0),INDEX(COPIA!$BT$3:$BV$400,MATCH($C163,COPIA!$BT$3:$BT$400,0),3),IF(AND(COPIA!$BU$1=2,INDEX(COPIA!$BZ$3:$CB$400,MATCH($C163,COPIA!$BZ$3:$BZ$400,0),3)&lt;&gt;0),INDEX(COPIA!$BZ$3:$CB$400,MATCH($C163,COPIA!$BZ$3:$BZ$400,0),3),""))</f>
        <v/>
      </c>
      <c r="F163" s="86" t="str">
        <f ca="1">IFERROR(IF(AND(COPIA!$BU$1=3,INDEX(COPIA!$BZ$3:$CB$400,MATCH($C163,COPIA!$BZ$3:$BZ$400,0),2)&lt;&gt;0),INDEX(COPIA!$BZ$3:$CB$400,MATCH($C163,COPIA!$BZ$3:$BZ$400,0),2),""),"")</f>
        <v/>
      </c>
      <c r="G163" s="86" t="str">
        <f ca="1">IFERROR(IF(AND(COPIA!$BU$1=3,INDEX(COPIA!$BZ$3:$CB$400,MATCH($C163,COPIA!$BZ$3:$BZ$400,0),3)&lt;&gt;0),INDEX(COPIA!$BZ$3:$CB$400,MATCH($C163,COPIA!$BZ$3:$BZ$400,0),3),""),"")</f>
        <v/>
      </c>
      <c r="H163" s="7" t="str">
        <f t="shared" ca="1" si="5"/>
        <v/>
      </c>
    </row>
    <row r="164" spans="2:8" ht="18" customHeight="1" x14ac:dyDescent="0.3">
      <c r="B164" s="16" t="str">
        <f t="shared" ca="1" si="4"/>
        <v/>
      </c>
      <c r="C164" s="83" t="str">
        <f ca="1">IF(OR(COPIA!$BU$1=1,COPIA!$BU$1=3),COPIA!CO157,IF(COPIA!$BU$1=2,COPIA!BZ157,IF(ROW()=COPIA!$BT$1,"TOTALE","")))</f>
        <v/>
      </c>
      <c r="D164" s="86" t="str">
        <f ca="1">IF(AND(OR(COPIA!$BU$1=1,COPIA!$BU$1=3),INDEX(COPIA!$BT$3:$BV$400,MATCH($C164,COPIA!$BT$3:$BT$400,0),2)&lt;&gt;0),INDEX(COPIA!$BT$3:$BV$400,MATCH($C164,COPIA!$BT$3:$BT$400,0),2),IF(AND(COPIA!$BU$1=2,INDEX(COPIA!$BZ$3:$CB$400,MATCH($C164,COPIA!$BZ$3:$BZ$400,0),2)&lt;&gt;0),INDEX(COPIA!$BZ$3:$CB$400,MATCH($C164,COPIA!$BZ$3:$BZ$400,0),2),""))</f>
        <v/>
      </c>
      <c r="E164" s="86" t="str">
        <f ca="1">IF(AND(OR(COPIA!$BU$1=1,COPIA!$BU$1=3),INDEX(COPIA!$BT$3:$BV$400,MATCH($C164,COPIA!$BT$3:$BT$400,0),3)&lt;&gt;0),INDEX(COPIA!$BT$3:$BV$400,MATCH($C164,COPIA!$BT$3:$BT$400,0),3),IF(AND(COPIA!$BU$1=2,INDEX(COPIA!$BZ$3:$CB$400,MATCH($C164,COPIA!$BZ$3:$BZ$400,0),3)&lt;&gt;0),INDEX(COPIA!$BZ$3:$CB$400,MATCH($C164,COPIA!$BZ$3:$BZ$400,0),3),""))</f>
        <v/>
      </c>
      <c r="F164" s="86" t="str">
        <f ca="1">IFERROR(IF(AND(COPIA!$BU$1=3,INDEX(COPIA!$BZ$3:$CB$400,MATCH($C164,COPIA!$BZ$3:$BZ$400,0),2)&lt;&gt;0),INDEX(COPIA!$BZ$3:$CB$400,MATCH($C164,COPIA!$BZ$3:$BZ$400,0),2),""),"")</f>
        <v/>
      </c>
      <c r="G164" s="86" t="str">
        <f ca="1">IFERROR(IF(AND(COPIA!$BU$1=3,INDEX(COPIA!$BZ$3:$CB$400,MATCH($C164,COPIA!$BZ$3:$BZ$400,0),3)&lt;&gt;0),INDEX(COPIA!$BZ$3:$CB$400,MATCH($C164,COPIA!$BZ$3:$BZ$400,0),3),""),"")</f>
        <v/>
      </c>
      <c r="H164" s="7" t="str">
        <f t="shared" ca="1" si="5"/>
        <v/>
      </c>
    </row>
    <row r="165" spans="2:8" ht="18" customHeight="1" x14ac:dyDescent="0.3">
      <c r="B165" s="16" t="str">
        <f t="shared" ca="1" si="4"/>
        <v/>
      </c>
      <c r="C165" s="83" t="str">
        <f ca="1">IF(OR(COPIA!$BU$1=1,COPIA!$BU$1=3),COPIA!CO158,IF(COPIA!$BU$1=2,COPIA!BZ158,IF(ROW()=COPIA!$BT$1,"TOTALE","")))</f>
        <v/>
      </c>
      <c r="D165" s="86" t="str">
        <f ca="1">IF(AND(OR(COPIA!$BU$1=1,COPIA!$BU$1=3),INDEX(COPIA!$BT$3:$BV$400,MATCH($C165,COPIA!$BT$3:$BT$400,0),2)&lt;&gt;0),INDEX(COPIA!$BT$3:$BV$400,MATCH($C165,COPIA!$BT$3:$BT$400,0),2),IF(AND(COPIA!$BU$1=2,INDEX(COPIA!$BZ$3:$CB$400,MATCH($C165,COPIA!$BZ$3:$BZ$400,0),2)&lt;&gt;0),INDEX(COPIA!$BZ$3:$CB$400,MATCH($C165,COPIA!$BZ$3:$BZ$400,0),2),""))</f>
        <v/>
      </c>
      <c r="E165" s="86" t="str">
        <f ca="1">IF(AND(OR(COPIA!$BU$1=1,COPIA!$BU$1=3),INDEX(COPIA!$BT$3:$BV$400,MATCH($C165,COPIA!$BT$3:$BT$400,0),3)&lt;&gt;0),INDEX(COPIA!$BT$3:$BV$400,MATCH($C165,COPIA!$BT$3:$BT$400,0),3),IF(AND(COPIA!$BU$1=2,INDEX(COPIA!$BZ$3:$CB$400,MATCH($C165,COPIA!$BZ$3:$BZ$400,0),3)&lt;&gt;0),INDEX(COPIA!$BZ$3:$CB$400,MATCH($C165,COPIA!$BZ$3:$BZ$400,0),3),""))</f>
        <v/>
      </c>
      <c r="F165" s="86" t="str">
        <f ca="1">IFERROR(IF(AND(COPIA!$BU$1=3,INDEX(COPIA!$BZ$3:$CB$400,MATCH($C165,COPIA!$BZ$3:$BZ$400,0),2)&lt;&gt;0),INDEX(COPIA!$BZ$3:$CB$400,MATCH($C165,COPIA!$BZ$3:$BZ$400,0),2),""),"")</f>
        <v/>
      </c>
      <c r="G165" s="86" t="str">
        <f ca="1">IFERROR(IF(AND(COPIA!$BU$1=3,INDEX(COPIA!$BZ$3:$CB$400,MATCH($C165,COPIA!$BZ$3:$BZ$400,0),3)&lt;&gt;0),INDEX(COPIA!$BZ$3:$CB$400,MATCH($C165,COPIA!$BZ$3:$BZ$400,0),3),""),"")</f>
        <v/>
      </c>
      <c r="H165" s="7" t="str">
        <f t="shared" ca="1" si="5"/>
        <v/>
      </c>
    </row>
    <row r="166" spans="2:8" ht="18" customHeight="1" x14ac:dyDescent="0.3">
      <c r="B166" s="16" t="str">
        <f t="shared" ca="1" si="4"/>
        <v/>
      </c>
      <c r="C166" s="83" t="str">
        <f ca="1">IF(OR(COPIA!$BU$1=1,COPIA!$BU$1=3),COPIA!CO159,IF(COPIA!$BU$1=2,COPIA!BZ159,IF(ROW()=COPIA!$BT$1,"TOTALE","")))</f>
        <v/>
      </c>
      <c r="D166" s="86" t="str">
        <f ca="1">IF(AND(OR(COPIA!$BU$1=1,COPIA!$BU$1=3),INDEX(COPIA!$BT$3:$BV$400,MATCH($C166,COPIA!$BT$3:$BT$400,0),2)&lt;&gt;0),INDEX(COPIA!$BT$3:$BV$400,MATCH($C166,COPIA!$BT$3:$BT$400,0),2),IF(AND(COPIA!$BU$1=2,INDEX(COPIA!$BZ$3:$CB$400,MATCH($C166,COPIA!$BZ$3:$BZ$400,0),2)&lt;&gt;0),INDEX(COPIA!$BZ$3:$CB$400,MATCH($C166,COPIA!$BZ$3:$BZ$400,0),2),""))</f>
        <v/>
      </c>
      <c r="E166" s="86" t="str">
        <f ca="1">IF(AND(OR(COPIA!$BU$1=1,COPIA!$BU$1=3),INDEX(COPIA!$BT$3:$BV$400,MATCH($C166,COPIA!$BT$3:$BT$400,0),3)&lt;&gt;0),INDEX(COPIA!$BT$3:$BV$400,MATCH($C166,COPIA!$BT$3:$BT$400,0),3),IF(AND(COPIA!$BU$1=2,INDEX(COPIA!$BZ$3:$CB$400,MATCH($C166,COPIA!$BZ$3:$BZ$400,0),3)&lt;&gt;0),INDEX(COPIA!$BZ$3:$CB$400,MATCH($C166,COPIA!$BZ$3:$BZ$400,0),3),""))</f>
        <v/>
      </c>
      <c r="F166" s="86" t="str">
        <f ca="1">IFERROR(IF(AND(COPIA!$BU$1=3,INDEX(COPIA!$BZ$3:$CB$400,MATCH($C166,COPIA!$BZ$3:$BZ$400,0),2)&lt;&gt;0),INDEX(COPIA!$BZ$3:$CB$400,MATCH($C166,COPIA!$BZ$3:$BZ$400,0),2),""),"")</f>
        <v/>
      </c>
      <c r="G166" s="86" t="str">
        <f ca="1">IFERROR(IF(AND(COPIA!$BU$1=3,INDEX(COPIA!$BZ$3:$CB$400,MATCH($C166,COPIA!$BZ$3:$BZ$400,0),3)&lt;&gt;0),INDEX(COPIA!$BZ$3:$CB$400,MATCH($C166,COPIA!$BZ$3:$BZ$400,0),3),""),"")</f>
        <v/>
      </c>
      <c r="H166" s="7" t="str">
        <f t="shared" ca="1" si="5"/>
        <v/>
      </c>
    </row>
    <row r="167" spans="2:8" ht="18" customHeight="1" x14ac:dyDescent="0.3">
      <c r="B167" s="16" t="str">
        <f t="shared" ca="1" si="4"/>
        <v/>
      </c>
      <c r="C167" s="83" t="str">
        <f ca="1">IF(OR(COPIA!$BU$1=1,COPIA!$BU$1=3),COPIA!CO160,IF(COPIA!$BU$1=2,COPIA!BZ160,IF(ROW()=COPIA!$BT$1,"TOTALE","")))</f>
        <v/>
      </c>
      <c r="D167" s="86" t="str">
        <f ca="1">IF(AND(OR(COPIA!$BU$1=1,COPIA!$BU$1=3),INDEX(COPIA!$BT$3:$BV$400,MATCH($C167,COPIA!$BT$3:$BT$400,0),2)&lt;&gt;0),INDEX(COPIA!$BT$3:$BV$400,MATCH($C167,COPIA!$BT$3:$BT$400,0),2),IF(AND(COPIA!$BU$1=2,INDEX(COPIA!$BZ$3:$CB$400,MATCH($C167,COPIA!$BZ$3:$BZ$400,0),2)&lt;&gt;0),INDEX(COPIA!$BZ$3:$CB$400,MATCH($C167,COPIA!$BZ$3:$BZ$400,0),2),""))</f>
        <v/>
      </c>
      <c r="E167" s="86" t="str">
        <f ca="1">IF(AND(OR(COPIA!$BU$1=1,COPIA!$BU$1=3),INDEX(COPIA!$BT$3:$BV$400,MATCH($C167,COPIA!$BT$3:$BT$400,0),3)&lt;&gt;0),INDEX(COPIA!$BT$3:$BV$400,MATCH($C167,COPIA!$BT$3:$BT$400,0),3),IF(AND(COPIA!$BU$1=2,INDEX(COPIA!$BZ$3:$CB$400,MATCH($C167,COPIA!$BZ$3:$BZ$400,0),3)&lt;&gt;0),INDEX(COPIA!$BZ$3:$CB$400,MATCH($C167,COPIA!$BZ$3:$BZ$400,0),3),""))</f>
        <v/>
      </c>
      <c r="F167" s="86" t="str">
        <f ca="1">IFERROR(IF(AND(COPIA!$BU$1=3,INDEX(COPIA!$BZ$3:$CB$400,MATCH($C167,COPIA!$BZ$3:$BZ$400,0),2)&lt;&gt;0),INDEX(COPIA!$BZ$3:$CB$400,MATCH($C167,COPIA!$BZ$3:$BZ$400,0),2),""),"")</f>
        <v/>
      </c>
      <c r="G167" s="86" t="str">
        <f ca="1">IFERROR(IF(AND(COPIA!$BU$1=3,INDEX(COPIA!$BZ$3:$CB$400,MATCH($C167,COPIA!$BZ$3:$BZ$400,0),3)&lt;&gt;0),INDEX(COPIA!$BZ$3:$CB$400,MATCH($C167,COPIA!$BZ$3:$BZ$400,0),3),""),"")</f>
        <v/>
      </c>
      <c r="H167" s="7" t="str">
        <f t="shared" ca="1" si="5"/>
        <v/>
      </c>
    </row>
    <row r="168" spans="2:8" ht="18" customHeight="1" x14ac:dyDescent="0.3">
      <c r="B168" s="16" t="str">
        <f t="shared" ca="1" si="4"/>
        <v/>
      </c>
      <c r="C168" s="83" t="str">
        <f ca="1">IF(OR(COPIA!$BU$1=1,COPIA!$BU$1=3),COPIA!CO161,IF(COPIA!$BU$1=2,COPIA!BZ161,IF(ROW()=COPIA!$BT$1,"TOTALE","")))</f>
        <v/>
      </c>
      <c r="D168" s="86" t="str">
        <f ca="1">IF(AND(OR(COPIA!$BU$1=1,COPIA!$BU$1=3),INDEX(COPIA!$BT$3:$BV$400,MATCH($C168,COPIA!$BT$3:$BT$400,0),2)&lt;&gt;0),INDEX(COPIA!$BT$3:$BV$400,MATCH($C168,COPIA!$BT$3:$BT$400,0),2),IF(AND(COPIA!$BU$1=2,INDEX(COPIA!$BZ$3:$CB$400,MATCH($C168,COPIA!$BZ$3:$BZ$400,0),2)&lt;&gt;0),INDEX(COPIA!$BZ$3:$CB$400,MATCH($C168,COPIA!$BZ$3:$BZ$400,0),2),""))</f>
        <v/>
      </c>
      <c r="E168" s="86" t="str">
        <f ca="1">IF(AND(OR(COPIA!$BU$1=1,COPIA!$BU$1=3),INDEX(COPIA!$BT$3:$BV$400,MATCH($C168,COPIA!$BT$3:$BT$400,0),3)&lt;&gt;0),INDEX(COPIA!$BT$3:$BV$400,MATCH($C168,COPIA!$BT$3:$BT$400,0),3),IF(AND(COPIA!$BU$1=2,INDEX(COPIA!$BZ$3:$CB$400,MATCH($C168,COPIA!$BZ$3:$BZ$400,0),3)&lt;&gt;0),INDEX(COPIA!$BZ$3:$CB$400,MATCH($C168,COPIA!$BZ$3:$BZ$400,0),3),""))</f>
        <v/>
      </c>
      <c r="F168" s="86" t="str">
        <f ca="1">IFERROR(IF(AND(COPIA!$BU$1=3,INDEX(COPIA!$BZ$3:$CB$400,MATCH($C168,COPIA!$BZ$3:$BZ$400,0),2)&lt;&gt;0),INDEX(COPIA!$BZ$3:$CB$400,MATCH($C168,COPIA!$BZ$3:$BZ$400,0),2),""),"")</f>
        <v/>
      </c>
      <c r="G168" s="86" t="str">
        <f ca="1">IFERROR(IF(AND(COPIA!$BU$1=3,INDEX(COPIA!$BZ$3:$CB$400,MATCH($C168,COPIA!$BZ$3:$BZ$400,0),3)&lt;&gt;0),INDEX(COPIA!$BZ$3:$CB$400,MATCH($C168,COPIA!$BZ$3:$BZ$400,0),3),""),"")</f>
        <v/>
      </c>
      <c r="H168" s="7" t="str">
        <f t="shared" ca="1" si="5"/>
        <v/>
      </c>
    </row>
    <row r="169" spans="2:8" ht="18" customHeight="1" x14ac:dyDescent="0.3">
      <c r="B169" s="16" t="str">
        <f t="shared" ca="1" si="4"/>
        <v/>
      </c>
      <c r="C169" s="83" t="str">
        <f ca="1">IF(OR(COPIA!$BU$1=1,COPIA!$BU$1=3),COPIA!CO162,IF(COPIA!$BU$1=2,COPIA!BZ162,IF(ROW()=COPIA!$BT$1,"TOTALE","")))</f>
        <v/>
      </c>
      <c r="D169" s="86" t="str">
        <f ca="1">IF(AND(OR(COPIA!$BU$1=1,COPIA!$BU$1=3),INDEX(COPIA!$BT$3:$BV$400,MATCH($C169,COPIA!$BT$3:$BT$400,0),2)&lt;&gt;0),INDEX(COPIA!$BT$3:$BV$400,MATCH($C169,COPIA!$BT$3:$BT$400,0),2),IF(AND(COPIA!$BU$1=2,INDEX(COPIA!$BZ$3:$CB$400,MATCH($C169,COPIA!$BZ$3:$BZ$400,0),2)&lt;&gt;0),INDEX(COPIA!$BZ$3:$CB$400,MATCH($C169,COPIA!$BZ$3:$BZ$400,0),2),""))</f>
        <v/>
      </c>
      <c r="E169" s="86" t="str">
        <f ca="1">IF(AND(OR(COPIA!$BU$1=1,COPIA!$BU$1=3),INDEX(COPIA!$BT$3:$BV$400,MATCH($C169,COPIA!$BT$3:$BT$400,0),3)&lt;&gt;0),INDEX(COPIA!$BT$3:$BV$400,MATCH($C169,COPIA!$BT$3:$BT$400,0),3),IF(AND(COPIA!$BU$1=2,INDEX(COPIA!$BZ$3:$CB$400,MATCH($C169,COPIA!$BZ$3:$BZ$400,0),3)&lt;&gt;0),INDEX(COPIA!$BZ$3:$CB$400,MATCH($C169,COPIA!$BZ$3:$BZ$400,0),3),""))</f>
        <v/>
      </c>
      <c r="F169" s="86" t="str">
        <f ca="1">IFERROR(IF(AND(COPIA!$BU$1=3,INDEX(COPIA!$BZ$3:$CB$400,MATCH($C169,COPIA!$BZ$3:$BZ$400,0),2)&lt;&gt;0),INDEX(COPIA!$BZ$3:$CB$400,MATCH($C169,COPIA!$BZ$3:$BZ$400,0),2),""),"")</f>
        <v/>
      </c>
      <c r="G169" s="86" t="str">
        <f ca="1">IFERROR(IF(AND(COPIA!$BU$1=3,INDEX(COPIA!$BZ$3:$CB$400,MATCH($C169,COPIA!$BZ$3:$BZ$400,0),3)&lt;&gt;0),INDEX(COPIA!$BZ$3:$CB$400,MATCH($C169,COPIA!$BZ$3:$BZ$400,0),3),""),"")</f>
        <v/>
      </c>
      <c r="H169" s="7" t="str">
        <f t="shared" ca="1" si="5"/>
        <v/>
      </c>
    </row>
    <row r="170" spans="2:8" ht="18" customHeight="1" x14ac:dyDescent="0.3">
      <c r="B170" s="16" t="str">
        <f t="shared" ca="1" si="4"/>
        <v/>
      </c>
      <c r="C170" s="83" t="str">
        <f ca="1">IF(OR(COPIA!$BU$1=1,COPIA!$BU$1=3),COPIA!CO163,IF(COPIA!$BU$1=2,COPIA!BZ163,IF(ROW()=COPIA!$BT$1,"TOTALE","")))</f>
        <v/>
      </c>
      <c r="D170" s="86" t="str">
        <f ca="1">IF(AND(OR(COPIA!$BU$1=1,COPIA!$BU$1=3),INDEX(COPIA!$BT$3:$BV$400,MATCH($C170,COPIA!$BT$3:$BT$400,0),2)&lt;&gt;0),INDEX(COPIA!$BT$3:$BV$400,MATCH($C170,COPIA!$BT$3:$BT$400,0),2),IF(AND(COPIA!$BU$1=2,INDEX(COPIA!$BZ$3:$CB$400,MATCH($C170,COPIA!$BZ$3:$BZ$400,0),2)&lt;&gt;0),INDEX(COPIA!$BZ$3:$CB$400,MATCH($C170,COPIA!$BZ$3:$BZ$400,0),2),""))</f>
        <v/>
      </c>
      <c r="E170" s="86" t="str">
        <f ca="1">IF(AND(OR(COPIA!$BU$1=1,COPIA!$BU$1=3),INDEX(COPIA!$BT$3:$BV$400,MATCH($C170,COPIA!$BT$3:$BT$400,0),3)&lt;&gt;0),INDEX(COPIA!$BT$3:$BV$400,MATCH($C170,COPIA!$BT$3:$BT$400,0),3),IF(AND(COPIA!$BU$1=2,INDEX(COPIA!$BZ$3:$CB$400,MATCH($C170,COPIA!$BZ$3:$BZ$400,0),3)&lt;&gt;0),INDEX(COPIA!$BZ$3:$CB$400,MATCH($C170,COPIA!$BZ$3:$BZ$400,0),3),""))</f>
        <v/>
      </c>
      <c r="F170" s="86" t="str">
        <f ca="1">IFERROR(IF(AND(COPIA!$BU$1=3,INDEX(COPIA!$BZ$3:$CB$400,MATCH($C170,COPIA!$BZ$3:$BZ$400,0),2)&lt;&gt;0),INDEX(COPIA!$BZ$3:$CB$400,MATCH($C170,COPIA!$BZ$3:$BZ$400,0),2),""),"")</f>
        <v/>
      </c>
      <c r="G170" s="86" t="str">
        <f ca="1">IFERROR(IF(AND(COPIA!$BU$1=3,INDEX(COPIA!$BZ$3:$CB$400,MATCH($C170,COPIA!$BZ$3:$BZ$400,0),3)&lt;&gt;0),INDEX(COPIA!$BZ$3:$CB$400,MATCH($C170,COPIA!$BZ$3:$BZ$400,0),3),""),"")</f>
        <v/>
      </c>
      <c r="H170" s="7" t="str">
        <f t="shared" ca="1" si="5"/>
        <v/>
      </c>
    </row>
    <row r="171" spans="2:8" ht="18" customHeight="1" x14ac:dyDescent="0.3">
      <c r="B171" s="16" t="str">
        <f t="shared" ca="1" si="4"/>
        <v/>
      </c>
      <c r="C171" s="83" t="str">
        <f ca="1">IF(OR(COPIA!$BU$1=1,COPIA!$BU$1=3),COPIA!CO164,IF(COPIA!$BU$1=2,COPIA!BZ164,IF(ROW()=COPIA!$BT$1,"TOTALE","")))</f>
        <v/>
      </c>
      <c r="D171" s="86" t="str">
        <f ca="1">IF(AND(OR(COPIA!$BU$1=1,COPIA!$BU$1=3),INDEX(COPIA!$BT$3:$BV$400,MATCH($C171,COPIA!$BT$3:$BT$400,0),2)&lt;&gt;0),INDEX(COPIA!$BT$3:$BV$400,MATCH($C171,COPIA!$BT$3:$BT$400,0),2),IF(AND(COPIA!$BU$1=2,INDEX(COPIA!$BZ$3:$CB$400,MATCH($C171,COPIA!$BZ$3:$BZ$400,0),2)&lt;&gt;0),INDEX(COPIA!$BZ$3:$CB$400,MATCH($C171,COPIA!$BZ$3:$BZ$400,0),2),""))</f>
        <v/>
      </c>
      <c r="E171" s="86" t="str">
        <f ca="1">IF(AND(OR(COPIA!$BU$1=1,COPIA!$BU$1=3),INDEX(COPIA!$BT$3:$BV$400,MATCH($C171,COPIA!$BT$3:$BT$400,0),3)&lt;&gt;0),INDEX(COPIA!$BT$3:$BV$400,MATCH($C171,COPIA!$BT$3:$BT$400,0),3),IF(AND(COPIA!$BU$1=2,INDEX(COPIA!$BZ$3:$CB$400,MATCH($C171,COPIA!$BZ$3:$BZ$400,0),3)&lt;&gt;0),INDEX(COPIA!$BZ$3:$CB$400,MATCH($C171,COPIA!$BZ$3:$BZ$400,0),3),""))</f>
        <v/>
      </c>
      <c r="F171" s="86" t="str">
        <f ca="1">IFERROR(IF(AND(COPIA!$BU$1=3,INDEX(COPIA!$BZ$3:$CB$400,MATCH($C171,COPIA!$BZ$3:$BZ$400,0),2)&lt;&gt;0),INDEX(COPIA!$BZ$3:$CB$400,MATCH($C171,COPIA!$BZ$3:$BZ$400,0),2),""),"")</f>
        <v/>
      </c>
      <c r="G171" s="86" t="str">
        <f ca="1">IFERROR(IF(AND(COPIA!$BU$1=3,INDEX(COPIA!$BZ$3:$CB$400,MATCH($C171,COPIA!$BZ$3:$BZ$400,0),3)&lt;&gt;0),INDEX(COPIA!$BZ$3:$CB$400,MATCH($C171,COPIA!$BZ$3:$BZ$400,0),3),""),"")</f>
        <v/>
      </c>
      <c r="H171" s="7" t="str">
        <f t="shared" ca="1" si="5"/>
        <v/>
      </c>
    </row>
    <row r="172" spans="2:8" ht="18" customHeight="1" x14ac:dyDescent="0.3">
      <c r="B172" s="16" t="str">
        <f t="shared" ca="1" si="4"/>
        <v/>
      </c>
      <c r="C172" s="83" t="str">
        <f ca="1">IF(OR(COPIA!$BU$1=1,COPIA!$BU$1=3),COPIA!CO165,IF(COPIA!$BU$1=2,COPIA!BZ165,IF(ROW()=COPIA!$BT$1,"TOTALE","")))</f>
        <v/>
      </c>
      <c r="D172" s="86" t="str">
        <f ca="1">IF(AND(OR(COPIA!$BU$1=1,COPIA!$BU$1=3),INDEX(COPIA!$BT$3:$BV$400,MATCH($C172,COPIA!$BT$3:$BT$400,0),2)&lt;&gt;0),INDEX(COPIA!$BT$3:$BV$400,MATCH($C172,COPIA!$BT$3:$BT$400,0),2),IF(AND(COPIA!$BU$1=2,INDEX(COPIA!$BZ$3:$CB$400,MATCH($C172,COPIA!$BZ$3:$BZ$400,0),2)&lt;&gt;0),INDEX(COPIA!$BZ$3:$CB$400,MATCH($C172,COPIA!$BZ$3:$BZ$400,0),2),""))</f>
        <v/>
      </c>
      <c r="E172" s="86" t="str">
        <f ca="1">IF(AND(OR(COPIA!$BU$1=1,COPIA!$BU$1=3),INDEX(COPIA!$BT$3:$BV$400,MATCH($C172,COPIA!$BT$3:$BT$400,0),3)&lt;&gt;0),INDEX(COPIA!$BT$3:$BV$400,MATCH($C172,COPIA!$BT$3:$BT$400,0),3),IF(AND(COPIA!$BU$1=2,INDEX(COPIA!$BZ$3:$CB$400,MATCH($C172,COPIA!$BZ$3:$BZ$400,0),3)&lt;&gt;0),INDEX(COPIA!$BZ$3:$CB$400,MATCH($C172,COPIA!$BZ$3:$BZ$400,0),3),""))</f>
        <v/>
      </c>
      <c r="F172" s="86" t="str">
        <f ca="1">IFERROR(IF(AND(COPIA!$BU$1=3,INDEX(COPIA!$BZ$3:$CB$400,MATCH($C172,COPIA!$BZ$3:$BZ$400,0),2)&lt;&gt;0),INDEX(COPIA!$BZ$3:$CB$400,MATCH($C172,COPIA!$BZ$3:$BZ$400,0),2),""),"")</f>
        <v/>
      </c>
      <c r="G172" s="86" t="str">
        <f ca="1">IFERROR(IF(AND(COPIA!$BU$1=3,INDEX(COPIA!$BZ$3:$CB$400,MATCH($C172,COPIA!$BZ$3:$BZ$400,0),3)&lt;&gt;0),INDEX(COPIA!$BZ$3:$CB$400,MATCH($C172,COPIA!$BZ$3:$BZ$400,0),3),""),"")</f>
        <v/>
      </c>
      <c r="H172" s="7" t="str">
        <f t="shared" ca="1" si="5"/>
        <v/>
      </c>
    </row>
    <row r="173" spans="2:8" ht="18" customHeight="1" x14ac:dyDescent="0.3">
      <c r="B173" s="16" t="str">
        <f t="shared" ca="1" si="4"/>
        <v/>
      </c>
      <c r="C173" s="83" t="str">
        <f ca="1">IF(OR(COPIA!$BU$1=1,COPIA!$BU$1=3),COPIA!CO166,IF(COPIA!$BU$1=2,COPIA!BZ166,IF(ROW()=COPIA!$BT$1,"TOTALE","")))</f>
        <v/>
      </c>
      <c r="D173" s="86" t="str">
        <f ca="1">IF(AND(OR(COPIA!$BU$1=1,COPIA!$BU$1=3),INDEX(COPIA!$BT$3:$BV$400,MATCH($C173,COPIA!$BT$3:$BT$400,0),2)&lt;&gt;0),INDEX(COPIA!$BT$3:$BV$400,MATCH($C173,COPIA!$BT$3:$BT$400,0),2),IF(AND(COPIA!$BU$1=2,INDEX(COPIA!$BZ$3:$CB$400,MATCH($C173,COPIA!$BZ$3:$BZ$400,0),2)&lt;&gt;0),INDEX(COPIA!$BZ$3:$CB$400,MATCH($C173,COPIA!$BZ$3:$BZ$400,0),2),""))</f>
        <v/>
      </c>
      <c r="E173" s="86" t="str">
        <f ca="1">IF(AND(OR(COPIA!$BU$1=1,COPIA!$BU$1=3),INDEX(COPIA!$BT$3:$BV$400,MATCH($C173,COPIA!$BT$3:$BT$400,0),3)&lt;&gt;0),INDEX(COPIA!$BT$3:$BV$400,MATCH($C173,COPIA!$BT$3:$BT$400,0),3),IF(AND(COPIA!$BU$1=2,INDEX(COPIA!$BZ$3:$CB$400,MATCH($C173,COPIA!$BZ$3:$BZ$400,0),3)&lt;&gt;0),INDEX(COPIA!$BZ$3:$CB$400,MATCH($C173,COPIA!$BZ$3:$BZ$400,0),3),""))</f>
        <v/>
      </c>
      <c r="F173" s="86" t="str">
        <f ca="1">IFERROR(IF(AND(COPIA!$BU$1=3,INDEX(COPIA!$BZ$3:$CB$400,MATCH($C173,COPIA!$BZ$3:$BZ$400,0),2)&lt;&gt;0),INDEX(COPIA!$BZ$3:$CB$400,MATCH($C173,COPIA!$BZ$3:$BZ$400,0),2),""),"")</f>
        <v/>
      </c>
      <c r="G173" s="86" t="str">
        <f ca="1">IFERROR(IF(AND(COPIA!$BU$1=3,INDEX(COPIA!$BZ$3:$CB$400,MATCH($C173,COPIA!$BZ$3:$BZ$400,0),3)&lt;&gt;0),INDEX(COPIA!$BZ$3:$CB$400,MATCH($C173,COPIA!$BZ$3:$BZ$400,0),3),""),"")</f>
        <v/>
      </c>
      <c r="H173" s="7" t="str">
        <f t="shared" ca="1" si="5"/>
        <v/>
      </c>
    </row>
    <row r="174" spans="2:8" ht="18" customHeight="1" x14ac:dyDescent="0.3">
      <c r="B174" s="16" t="str">
        <f t="shared" ca="1" si="4"/>
        <v/>
      </c>
      <c r="C174" s="83" t="str">
        <f ca="1">IF(OR(COPIA!$BU$1=1,COPIA!$BU$1=3),COPIA!CO167,IF(COPIA!$BU$1=2,COPIA!BZ167,IF(ROW()=COPIA!$BT$1,"TOTALE","")))</f>
        <v/>
      </c>
      <c r="D174" s="86" t="str">
        <f ca="1">IF(AND(OR(COPIA!$BU$1=1,COPIA!$BU$1=3),INDEX(COPIA!$BT$3:$BV$400,MATCH($C174,COPIA!$BT$3:$BT$400,0),2)&lt;&gt;0),INDEX(COPIA!$BT$3:$BV$400,MATCH($C174,COPIA!$BT$3:$BT$400,0),2),IF(AND(COPIA!$BU$1=2,INDEX(COPIA!$BZ$3:$CB$400,MATCH($C174,COPIA!$BZ$3:$BZ$400,0),2)&lt;&gt;0),INDEX(COPIA!$BZ$3:$CB$400,MATCH($C174,COPIA!$BZ$3:$BZ$400,0),2),""))</f>
        <v/>
      </c>
      <c r="E174" s="86" t="str">
        <f ca="1">IF(AND(OR(COPIA!$BU$1=1,COPIA!$BU$1=3),INDEX(COPIA!$BT$3:$BV$400,MATCH($C174,COPIA!$BT$3:$BT$400,0),3)&lt;&gt;0),INDEX(COPIA!$BT$3:$BV$400,MATCH($C174,COPIA!$BT$3:$BT$400,0),3),IF(AND(COPIA!$BU$1=2,INDEX(COPIA!$BZ$3:$CB$400,MATCH($C174,COPIA!$BZ$3:$BZ$400,0),3)&lt;&gt;0),INDEX(COPIA!$BZ$3:$CB$400,MATCH($C174,COPIA!$BZ$3:$BZ$400,0),3),""))</f>
        <v/>
      </c>
      <c r="F174" s="86" t="str">
        <f ca="1">IFERROR(IF(AND(COPIA!$BU$1=3,INDEX(COPIA!$BZ$3:$CB$400,MATCH($C174,COPIA!$BZ$3:$BZ$400,0),2)&lt;&gt;0),INDEX(COPIA!$BZ$3:$CB$400,MATCH($C174,COPIA!$BZ$3:$BZ$400,0),2),""),"")</f>
        <v/>
      </c>
      <c r="G174" s="86" t="str">
        <f ca="1">IFERROR(IF(AND(COPIA!$BU$1=3,INDEX(COPIA!$BZ$3:$CB$400,MATCH($C174,COPIA!$BZ$3:$BZ$400,0),3)&lt;&gt;0),INDEX(COPIA!$BZ$3:$CB$400,MATCH($C174,COPIA!$BZ$3:$BZ$400,0),3),""),"")</f>
        <v/>
      </c>
      <c r="H174" s="7" t="str">
        <f t="shared" ca="1" si="5"/>
        <v/>
      </c>
    </row>
    <row r="175" spans="2:8" ht="18" customHeight="1" x14ac:dyDescent="0.3">
      <c r="B175" s="16" t="str">
        <f t="shared" ca="1" si="4"/>
        <v/>
      </c>
      <c r="C175" s="83" t="str">
        <f ca="1">IF(OR(COPIA!$BU$1=1,COPIA!$BU$1=3),COPIA!CO168,IF(COPIA!$BU$1=2,COPIA!BZ168,IF(ROW()=COPIA!$BT$1,"TOTALE","")))</f>
        <v/>
      </c>
      <c r="D175" s="86" t="str">
        <f ca="1">IF(AND(OR(COPIA!$BU$1=1,COPIA!$BU$1=3),INDEX(COPIA!$BT$3:$BV$400,MATCH($C175,COPIA!$BT$3:$BT$400,0),2)&lt;&gt;0),INDEX(COPIA!$BT$3:$BV$400,MATCH($C175,COPIA!$BT$3:$BT$400,0),2),IF(AND(COPIA!$BU$1=2,INDEX(COPIA!$BZ$3:$CB$400,MATCH($C175,COPIA!$BZ$3:$BZ$400,0),2)&lt;&gt;0),INDEX(COPIA!$BZ$3:$CB$400,MATCH($C175,COPIA!$BZ$3:$BZ$400,0),2),""))</f>
        <v/>
      </c>
      <c r="E175" s="86" t="str">
        <f ca="1">IF(AND(OR(COPIA!$BU$1=1,COPIA!$BU$1=3),INDEX(COPIA!$BT$3:$BV$400,MATCH($C175,COPIA!$BT$3:$BT$400,0),3)&lt;&gt;0),INDEX(COPIA!$BT$3:$BV$400,MATCH($C175,COPIA!$BT$3:$BT$400,0),3),IF(AND(COPIA!$BU$1=2,INDEX(COPIA!$BZ$3:$CB$400,MATCH($C175,COPIA!$BZ$3:$BZ$400,0),3)&lt;&gt;0),INDEX(COPIA!$BZ$3:$CB$400,MATCH($C175,COPIA!$BZ$3:$BZ$400,0),3),""))</f>
        <v/>
      </c>
      <c r="F175" s="86" t="str">
        <f ca="1">IFERROR(IF(AND(COPIA!$BU$1=3,INDEX(COPIA!$BZ$3:$CB$400,MATCH($C175,COPIA!$BZ$3:$BZ$400,0),2)&lt;&gt;0),INDEX(COPIA!$BZ$3:$CB$400,MATCH($C175,COPIA!$BZ$3:$BZ$400,0),2),""),"")</f>
        <v/>
      </c>
      <c r="G175" s="86" t="str">
        <f ca="1">IFERROR(IF(AND(COPIA!$BU$1=3,INDEX(COPIA!$BZ$3:$CB$400,MATCH($C175,COPIA!$BZ$3:$BZ$400,0),3)&lt;&gt;0),INDEX(COPIA!$BZ$3:$CB$400,MATCH($C175,COPIA!$BZ$3:$BZ$400,0),3),""),"")</f>
        <v/>
      </c>
      <c r="H175" s="7" t="str">
        <f t="shared" ca="1" si="5"/>
        <v/>
      </c>
    </row>
    <row r="176" spans="2:8" ht="18" customHeight="1" x14ac:dyDescent="0.3">
      <c r="B176" s="16" t="str">
        <f t="shared" ca="1" si="4"/>
        <v/>
      </c>
      <c r="C176" s="83" t="str">
        <f ca="1">IF(OR(COPIA!$BU$1=1,COPIA!$BU$1=3),COPIA!CO169,IF(COPIA!$BU$1=2,COPIA!BZ169,IF(ROW()=COPIA!$BT$1,"TOTALE","")))</f>
        <v/>
      </c>
      <c r="D176" s="86" t="str">
        <f ca="1">IF(AND(OR(COPIA!$BU$1=1,COPIA!$BU$1=3),INDEX(COPIA!$BT$3:$BV$400,MATCH($C176,COPIA!$BT$3:$BT$400,0),2)&lt;&gt;0),INDEX(COPIA!$BT$3:$BV$400,MATCH($C176,COPIA!$BT$3:$BT$400,0),2),IF(AND(COPIA!$BU$1=2,INDEX(COPIA!$BZ$3:$CB$400,MATCH($C176,COPIA!$BZ$3:$BZ$400,0),2)&lt;&gt;0),INDEX(COPIA!$BZ$3:$CB$400,MATCH($C176,COPIA!$BZ$3:$BZ$400,0),2),""))</f>
        <v/>
      </c>
      <c r="E176" s="86" t="str">
        <f ca="1">IF(AND(OR(COPIA!$BU$1=1,COPIA!$BU$1=3),INDEX(COPIA!$BT$3:$BV$400,MATCH($C176,COPIA!$BT$3:$BT$400,0),3)&lt;&gt;0),INDEX(COPIA!$BT$3:$BV$400,MATCH($C176,COPIA!$BT$3:$BT$400,0),3),IF(AND(COPIA!$BU$1=2,INDEX(COPIA!$BZ$3:$CB$400,MATCH($C176,COPIA!$BZ$3:$BZ$400,0),3)&lt;&gt;0),INDEX(COPIA!$BZ$3:$CB$400,MATCH($C176,COPIA!$BZ$3:$BZ$400,0),3),""))</f>
        <v/>
      </c>
      <c r="F176" s="86" t="str">
        <f ca="1">IFERROR(IF(AND(COPIA!$BU$1=3,INDEX(COPIA!$BZ$3:$CB$400,MATCH($C176,COPIA!$BZ$3:$BZ$400,0),2)&lt;&gt;0),INDEX(COPIA!$BZ$3:$CB$400,MATCH($C176,COPIA!$BZ$3:$BZ$400,0),2),""),"")</f>
        <v/>
      </c>
      <c r="G176" s="86" t="str">
        <f ca="1">IFERROR(IF(AND(COPIA!$BU$1=3,INDEX(COPIA!$BZ$3:$CB$400,MATCH($C176,COPIA!$BZ$3:$BZ$400,0),3)&lt;&gt;0),INDEX(COPIA!$BZ$3:$CB$400,MATCH($C176,COPIA!$BZ$3:$BZ$400,0),3),""),"")</f>
        <v/>
      </c>
      <c r="H176" s="7" t="str">
        <f t="shared" ca="1" si="5"/>
        <v/>
      </c>
    </row>
    <row r="177" spans="2:8" ht="18" customHeight="1" x14ac:dyDescent="0.3">
      <c r="B177" s="16" t="str">
        <f t="shared" ca="1" si="4"/>
        <v/>
      </c>
      <c r="C177" s="83" t="str">
        <f ca="1">IF(OR(COPIA!$BU$1=1,COPIA!$BU$1=3),COPIA!CO170,IF(COPIA!$BU$1=2,COPIA!BZ170,IF(ROW()=COPIA!$BT$1,"TOTALE","")))</f>
        <v/>
      </c>
      <c r="D177" s="86" t="str">
        <f ca="1">IF(AND(OR(COPIA!$BU$1=1,COPIA!$BU$1=3),INDEX(COPIA!$BT$3:$BV$400,MATCH($C177,COPIA!$BT$3:$BT$400,0),2)&lt;&gt;0),INDEX(COPIA!$BT$3:$BV$400,MATCH($C177,COPIA!$BT$3:$BT$400,0),2),IF(AND(COPIA!$BU$1=2,INDEX(COPIA!$BZ$3:$CB$400,MATCH($C177,COPIA!$BZ$3:$BZ$400,0),2)&lt;&gt;0),INDEX(COPIA!$BZ$3:$CB$400,MATCH($C177,COPIA!$BZ$3:$BZ$400,0),2),""))</f>
        <v/>
      </c>
      <c r="E177" s="86" t="str">
        <f ca="1">IF(AND(OR(COPIA!$BU$1=1,COPIA!$BU$1=3),INDEX(COPIA!$BT$3:$BV$400,MATCH($C177,COPIA!$BT$3:$BT$400,0),3)&lt;&gt;0),INDEX(COPIA!$BT$3:$BV$400,MATCH($C177,COPIA!$BT$3:$BT$400,0),3),IF(AND(COPIA!$BU$1=2,INDEX(COPIA!$BZ$3:$CB$400,MATCH($C177,COPIA!$BZ$3:$BZ$400,0),3)&lt;&gt;0),INDEX(COPIA!$BZ$3:$CB$400,MATCH($C177,COPIA!$BZ$3:$BZ$400,0),3),""))</f>
        <v/>
      </c>
      <c r="F177" s="86" t="str">
        <f ca="1">IFERROR(IF(AND(COPIA!$BU$1=3,INDEX(COPIA!$BZ$3:$CB$400,MATCH($C177,COPIA!$BZ$3:$BZ$400,0),2)&lt;&gt;0),INDEX(COPIA!$BZ$3:$CB$400,MATCH($C177,COPIA!$BZ$3:$BZ$400,0),2),""),"")</f>
        <v/>
      </c>
      <c r="G177" s="86" t="str">
        <f ca="1">IFERROR(IF(AND(COPIA!$BU$1=3,INDEX(COPIA!$BZ$3:$CB$400,MATCH($C177,COPIA!$BZ$3:$BZ$400,0),3)&lt;&gt;0),INDEX(COPIA!$BZ$3:$CB$400,MATCH($C177,COPIA!$BZ$3:$BZ$400,0),3),""),"")</f>
        <v/>
      </c>
      <c r="H177" s="7" t="str">
        <f t="shared" ca="1" si="5"/>
        <v/>
      </c>
    </row>
    <row r="178" spans="2:8" ht="18" customHeight="1" x14ac:dyDescent="0.3">
      <c r="B178" s="16" t="str">
        <f t="shared" ca="1" si="4"/>
        <v/>
      </c>
      <c r="C178" s="83" t="str">
        <f ca="1">IF(OR(COPIA!$BU$1=1,COPIA!$BU$1=3),COPIA!CO171,IF(COPIA!$BU$1=2,COPIA!BZ171,IF(ROW()=COPIA!$BT$1,"TOTALE","")))</f>
        <v/>
      </c>
      <c r="D178" s="86" t="str">
        <f ca="1">IF(AND(OR(COPIA!$BU$1=1,COPIA!$BU$1=3),INDEX(COPIA!$BT$3:$BV$400,MATCH($C178,COPIA!$BT$3:$BT$400,0),2)&lt;&gt;0),INDEX(COPIA!$BT$3:$BV$400,MATCH($C178,COPIA!$BT$3:$BT$400,0),2),IF(AND(COPIA!$BU$1=2,INDEX(COPIA!$BZ$3:$CB$400,MATCH($C178,COPIA!$BZ$3:$BZ$400,0),2)&lt;&gt;0),INDEX(COPIA!$BZ$3:$CB$400,MATCH($C178,COPIA!$BZ$3:$BZ$400,0),2),""))</f>
        <v/>
      </c>
      <c r="E178" s="86" t="str">
        <f ca="1">IF(AND(OR(COPIA!$BU$1=1,COPIA!$BU$1=3),INDEX(COPIA!$BT$3:$BV$400,MATCH($C178,COPIA!$BT$3:$BT$400,0),3)&lt;&gt;0),INDEX(COPIA!$BT$3:$BV$400,MATCH($C178,COPIA!$BT$3:$BT$400,0),3),IF(AND(COPIA!$BU$1=2,INDEX(COPIA!$BZ$3:$CB$400,MATCH($C178,COPIA!$BZ$3:$BZ$400,0),3)&lt;&gt;0),INDEX(COPIA!$BZ$3:$CB$400,MATCH($C178,COPIA!$BZ$3:$BZ$400,0),3),""))</f>
        <v/>
      </c>
      <c r="F178" s="86" t="str">
        <f ca="1">IFERROR(IF(AND(COPIA!$BU$1=3,INDEX(COPIA!$BZ$3:$CB$400,MATCH($C178,COPIA!$BZ$3:$BZ$400,0),2)&lt;&gt;0),INDEX(COPIA!$BZ$3:$CB$400,MATCH($C178,COPIA!$BZ$3:$BZ$400,0),2),""),"")</f>
        <v/>
      </c>
      <c r="G178" s="86" t="str">
        <f ca="1">IFERROR(IF(AND(COPIA!$BU$1=3,INDEX(COPIA!$BZ$3:$CB$400,MATCH($C178,COPIA!$BZ$3:$BZ$400,0),3)&lt;&gt;0),INDEX(COPIA!$BZ$3:$CB$400,MATCH($C178,COPIA!$BZ$3:$BZ$400,0),3),""),"")</f>
        <v/>
      </c>
      <c r="H178" s="7" t="str">
        <f t="shared" ca="1" si="5"/>
        <v/>
      </c>
    </row>
    <row r="179" spans="2:8" ht="18" customHeight="1" x14ac:dyDescent="0.3">
      <c r="B179" s="16" t="str">
        <f t="shared" ca="1" si="4"/>
        <v/>
      </c>
      <c r="C179" s="83" t="str">
        <f ca="1">IF(OR(COPIA!$BU$1=1,COPIA!$BU$1=3),COPIA!CO172,IF(COPIA!$BU$1=2,COPIA!BZ172,IF(ROW()=COPIA!$BT$1,"TOTALE","")))</f>
        <v/>
      </c>
      <c r="D179" s="86" t="str">
        <f ca="1">IF(AND(OR(COPIA!$BU$1=1,COPIA!$BU$1=3),INDEX(COPIA!$BT$3:$BV$400,MATCH($C179,COPIA!$BT$3:$BT$400,0),2)&lt;&gt;0),INDEX(COPIA!$BT$3:$BV$400,MATCH($C179,COPIA!$BT$3:$BT$400,0),2),IF(AND(COPIA!$BU$1=2,INDEX(COPIA!$BZ$3:$CB$400,MATCH($C179,COPIA!$BZ$3:$BZ$400,0),2)&lt;&gt;0),INDEX(COPIA!$BZ$3:$CB$400,MATCH($C179,COPIA!$BZ$3:$BZ$400,0),2),""))</f>
        <v/>
      </c>
      <c r="E179" s="86" t="str">
        <f ca="1">IF(AND(OR(COPIA!$BU$1=1,COPIA!$BU$1=3),INDEX(COPIA!$BT$3:$BV$400,MATCH($C179,COPIA!$BT$3:$BT$400,0),3)&lt;&gt;0),INDEX(COPIA!$BT$3:$BV$400,MATCH($C179,COPIA!$BT$3:$BT$400,0),3),IF(AND(COPIA!$BU$1=2,INDEX(COPIA!$BZ$3:$CB$400,MATCH($C179,COPIA!$BZ$3:$BZ$400,0),3)&lt;&gt;0),INDEX(COPIA!$BZ$3:$CB$400,MATCH($C179,COPIA!$BZ$3:$BZ$400,0),3),""))</f>
        <v/>
      </c>
      <c r="F179" s="86" t="str">
        <f ca="1">IFERROR(IF(AND(COPIA!$BU$1=3,INDEX(COPIA!$BZ$3:$CB$400,MATCH($C179,COPIA!$BZ$3:$BZ$400,0),2)&lt;&gt;0),INDEX(COPIA!$BZ$3:$CB$400,MATCH($C179,COPIA!$BZ$3:$BZ$400,0),2),""),"")</f>
        <v/>
      </c>
      <c r="G179" s="86" t="str">
        <f ca="1">IFERROR(IF(AND(COPIA!$BU$1=3,INDEX(COPIA!$BZ$3:$CB$400,MATCH($C179,COPIA!$BZ$3:$BZ$400,0),3)&lt;&gt;0),INDEX(COPIA!$BZ$3:$CB$400,MATCH($C179,COPIA!$BZ$3:$BZ$400,0),3),""),"")</f>
        <v/>
      </c>
      <c r="H179" s="7" t="str">
        <f t="shared" ca="1" si="5"/>
        <v/>
      </c>
    </row>
    <row r="180" spans="2:8" ht="18" customHeight="1" x14ac:dyDescent="0.3">
      <c r="B180" s="16" t="str">
        <f t="shared" ca="1" si="4"/>
        <v/>
      </c>
      <c r="C180" s="83" t="str">
        <f ca="1">IF(OR(COPIA!$BU$1=1,COPIA!$BU$1=3),COPIA!CO173,IF(COPIA!$BU$1=2,COPIA!BZ173,IF(ROW()=COPIA!$BT$1,"TOTALE","")))</f>
        <v/>
      </c>
      <c r="D180" s="86" t="str">
        <f ca="1">IF(AND(OR(COPIA!$BU$1=1,COPIA!$BU$1=3),INDEX(COPIA!$BT$3:$BV$400,MATCH($C180,COPIA!$BT$3:$BT$400,0),2)&lt;&gt;0),INDEX(COPIA!$BT$3:$BV$400,MATCH($C180,COPIA!$BT$3:$BT$400,0),2),IF(AND(COPIA!$BU$1=2,INDEX(COPIA!$BZ$3:$CB$400,MATCH($C180,COPIA!$BZ$3:$BZ$400,0),2)&lt;&gt;0),INDEX(COPIA!$BZ$3:$CB$400,MATCH($C180,COPIA!$BZ$3:$BZ$400,0),2),""))</f>
        <v/>
      </c>
      <c r="E180" s="86" t="str">
        <f ca="1">IF(AND(OR(COPIA!$BU$1=1,COPIA!$BU$1=3),INDEX(COPIA!$BT$3:$BV$400,MATCH($C180,COPIA!$BT$3:$BT$400,0),3)&lt;&gt;0),INDEX(COPIA!$BT$3:$BV$400,MATCH($C180,COPIA!$BT$3:$BT$400,0),3),IF(AND(COPIA!$BU$1=2,INDEX(COPIA!$BZ$3:$CB$400,MATCH($C180,COPIA!$BZ$3:$BZ$400,0),3)&lt;&gt;0),INDEX(COPIA!$BZ$3:$CB$400,MATCH($C180,COPIA!$BZ$3:$BZ$400,0),3),""))</f>
        <v/>
      </c>
      <c r="F180" s="86" t="str">
        <f ca="1">IFERROR(IF(AND(COPIA!$BU$1=3,INDEX(COPIA!$BZ$3:$CB$400,MATCH($C180,COPIA!$BZ$3:$BZ$400,0),2)&lt;&gt;0),INDEX(COPIA!$BZ$3:$CB$400,MATCH($C180,COPIA!$BZ$3:$BZ$400,0),2),""),"")</f>
        <v/>
      </c>
      <c r="G180" s="86" t="str">
        <f ca="1">IFERROR(IF(AND(COPIA!$BU$1=3,INDEX(COPIA!$BZ$3:$CB$400,MATCH($C180,COPIA!$BZ$3:$BZ$400,0),3)&lt;&gt;0),INDEX(COPIA!$BZ$3:$CB$400,MATCH($C180,COPIA!$BZ$3:$BZ$400,0),3),""),"")</f>
        <v/>
      </c>
      <c r="H180" s="7" t="str">
        <f t="shared" ca="1" si="5"/>
        <v/>
      </c>
    </row>
    <row r="181" spans="2:8" ht="18" customHeight="1" x14ac:dyDescent="0.3">
      <c r="B181" s="16" t="str">
        <f t="shared" ca="1" si="4"/>
        <v/>
      </c>
      <c r="C181" s="83" t="str">
        <f ca="1">IF(OR(COPIA!$BU$1=1,COPIA!$BU$1=3),COPIA!CO174,IF(COPIA!$BU$1=2,COPIA!BZ174,IF(ROW()=COPIA!$BT$1,"TOTALE","")))</f>
        <v/>
      </c>
      <c r="D181" s="86" t="str">
        <f ca="1">IF(AND(OR(COPIA!$BU$1=1,COPIA!$BU$1=3),INDEX(COPIA!$BT$3:$BV$400,MATCH($C181,COPIA!$BT$3:$BT$400,0),2)&lt;&gt;0),INDEX(COPIA!$BT$3:$BV$400,MATCH($C181,COPIA!$BT$3:$BT$400,0),2),IF(AND(COPIA!$BU$1=2,INDEX(COPIA!$BZ$3:$CB$400,MATCH($C181,COPIA!$BZ$3:$BZ$400,0),2)&lt;&gt;0),INDEX(COPIA!$BZ$3:$CB$400,MATCH($C181,COPIA!$BZ$3:$BZ$400,0),2),""))</f>
        <v/>
      </c>
      <c r="E181" s="86" t="str">
        <f ca="1">IF(AND(OR(COPIA!$BU$1=1,COPIA!$BU$1=3),INDEX(COPIA!$BT$3:$BV$400,MATCH($C181,COPIA!$BT$3:$BT$400,0),3)&lt;&gt;0),INDEX(COPIA!$BT$3:$BV$400,MATCH($C181,COPIA!$BT$3:$BT$400,0),3),IF(AND(COPIA!$BU$1=2,INDEX(COPIA!$BZ$3:$CB$400,MATCH($C181,COPIA!$BZ$3:$BZ$400,0),3)&lt;&gt;0),INDEX(COPIA!$BZ$3:$CB$400,MATCH($C181,COPIA!$BZ$3:$BZ$400,0),3),""))</f>
        <v/>
      </c>
      <c r="F181" s="86" t="str">
        <f ca="1">IFERROR(IF(AND(COPIA!$BU$1=3,INDEX(COPIA!$BZ$3:$CB$400,MATCH($C181,COPIA!$BZ$3:$BZ$400,0),2)&lt;&gt;0),INDEX(COPIA!$BZ$3:$CB$400,MATCH($C181,COPIA!$BZ$3:$BZ$400,0),2),""),"")</f>
        <v/>
      </c>
      <c r="G181" s="86" t="str">
        <f ca="1">IFERROR(IF(AND(COPIA!$BU$1=3,INDEX(COPIA!$BZ$3:$CB$400,MATCH($C181,COPIA!$BZ$3:$BZ$400,0),3)&lt;&gt;0),INDEX(COPIA!$BZ$3:$CB$400,MATCH($C181,COPIA!$BZ$3:$BZ$400,0),3),""),"")</f>
        <v/>
      </c>
      <c r="H181" s="7" t="str">
        <f t="shared" ca="1" si="5"/>
        <v/>
      </c>
    </row>
    <row r="182" spans="2:8" ht="18" customHeight="1" x14ac:dyDescent="0.3">
      <c r="B182" s="16" t="str">
        <f t="shared" ca="1" si="4"/>
        <v/>
      </c>
      <c r="C182" s="83" t="str">
        <f ca="1">IF(OR(COPIA!$BU$1=1,COPIA!$BU$1=3),COPIA!CO175,IF(COPIA!$BU$1=2,COPIA!BZ175,IF(ROW()=COPIA!$BT$1,"TOTALE","")))</f>
        <v/>
      </c>
      <c r="D182" s="86" t="str">
        <f ca="1">IF(AND(OR(COPIA!$BU$1=1,COPIA!$BU$1=3),INDEX(COPIA!$BT$3:$BV$400,MATCH($C182,COPIA!$BT$3:$BT$400,0),2)&lt;&gt;0),INDEX(COPIA!$BT$3:$BV$400,MATCH($C182,COPIA!$BT$3:$BT$400,0),2),IF(AND(COPIA!$BU$1=2,INDEX(COPIA!$BZ$3:$CB$400,MATCH($C182,COPIA!$BZ$3:$BZ$400,0),2)&lt;&gt;0),INDEX(COPIA!$BZ$3:$CB$400,MATCH($C182,COPIA!$BZ$3:$BZ$400,0),2),""))</f>
        <v/>
      </c>
      <c r="E182" s="86" t="str">
        <f ca="1">IF(AND(OR(COPIA!$BU$1=1,COPIA!$BU$1=3),INDEX(COPIA!$BT$3:$BV$400,MATCH($C182,COPIA!$BT$3:$BT$400,0),3)&lt;&gt;0),INDEX(COPIA!$BT$3:$BV$400,MATCH($C182,COPIA!$BT$3:$BT$400,0),3),IF(AND(COPIA!$BU$1=2,INDEX(COPIA!$BZ$3:$CB$400,MATCH($C182,COPIA!$BZ$3:$BZ$400,0),3)&lt;&gt;0),INDEX(COPIA!$BZ$3:$CB$400,MATCH($C182,COPIA!$BZ$3:$BZ$400,0),3),""))</f>
        <v/>
      </c>
      <c r="F182" s="86" t="str">
        <f ca="1">IFERROR(IF(AND(COPIA!$BU$1=3,INDEX(COPIA!$BZ$3:$CB$400,MATCH($C182,COPIA!$BZ$3:$BZ$400,0),2)&lt;&gt;0),INDEX(COPIA!$BZ$3:$CB$400,MATCH($C182,COPIA!$BZ$3:$BZ$400,0),2),""),"")</f>
        <v/>
      </c>
      <c r="G182" s="86" t="str">
        <f ca="1">IFERROR(IF(AND(COPIA!$BU$1=3,INDEX(COPIA!$BZ$3:$CB$400,MATCH($C182,COPIA!$BZ$3:$BZ$400,0),3)&lt;&gt;0),INDEX(COPIA!$BZ$3:$CB$400,MATCH($C182,COPIA!$BZ$3:$BZ$400,0),3),""),"")</f>
        <v/>
      </c>
      <c r="H182" s="7" t="str">
        <f t="shared" ca="1" si="5"/>
        <v/>
      </c>
    </row>
    <row r="183" spans="2:8" ht="18" customHeight="1" x14ac:dyDescent="0.3">
      <c r="B183" s="16" t="str">
        <f t="shared" ca="1" si="4"/>
        <v/>
      </c>
      <c r="C183" s="83" t="str">
        <f ca="1">IF(OR(COPIA!$BU$1=1,COPIA!$BU$1=3),COPIA!CO176,IF(COPIA!$BU$1=2,COPIA!BZ176,IF(ROW()=COPIA!$BT$1,"TOTALE","")))</f>
        <v/>
      </c>
      <c r="D183" s="86" t="str">
        <f ca="1">IF(AND(OR(COPIA!$BU$1=1,COPIA!$BU$1=3),INDEX(COPIA!$BT$3:$BV$400,MATCH($C183,COPIA!$BT$3:$BT$400,0),2)&lt;&gt;0),INDEX(COPIA!$BT$3:$BV$400,MATCH($C183,COPIA!$BT$3:$BT$400,0),2),IF(AND(COPIA!$BU$1=2,INDEX(COPIA!$BZ$3:$CB$400,MATCH($C183,COPIA!$BZ$3:$BZ$400,0),2)&lt;&gt;0),INDEX(COPIA!$BZ$3:$CB$400,MATCH($C183,COPIA!$BZ$3:$BZ$400,0),2),""))</f>
        <v/>
      </c>
      <c r="E183" s="86" t="str">
        <f ca="1">IF(AND(OR(COPIA!$BU$1=1,COPIA!$BU$1=3),INDEX(COPIA!$BT$3:$BV$400,MATCH($C183,COPIA!$BT$3:$BT$400,0),3)&lt;&gt;0),INDEX(COPIA!$BT$3:$BV$400,MATCH($C183,COPIA!$BT$3:$BT$400,0),3),IF(AND(COPIA!$BU$1=2,INDEX(COPIA!$BZ$3:$CB$400,MATCH($C183,COPIA!$BZ$3:$BZ$400,0),3)&lt;&gt;0),INDEX(COPIA!$BZ$3:$CB$400,MATCH($C183,COPIA!$BZ$3:$BZ$400,0),3),""))</f>
        <v/>
      </c>
      <c r="F183" s="86" t="str">
        <f ca="1">IFERROR(IF(AND(COPIA!$BU$1=3,INDEX(COPIA!$BZ$3:$CB$400,MATCH($C183,COPIA!$BZ$3:$BZ$400,0),2)&lt;&gt;0),INDEX(COPIA!$BZ$3:$CB$400,MATCH($C183,COPIA!$BZ$3:$BZ$400,0),2),""),"")</f>
        <v/>
      </c>
      <c r="G183" s="86" t="str">
        <f ca="1">IFERROR(IF(AND(COPIA!$BU$1=3,INDEX(COPIA!$BZ$3:$CB$400,MATCH($C183,COPIA!$BZ$3:$BZ$400,0),3)&lt;&gt;0),INDEX(COPIA!$BZ$3:$CB$400,MATCH($C183,COPIA!$BZ$3:$BZ$400,0),3),""),"")</f>
        <v/>
      </c>
      <c r="H183" s="7" t="str">
        <f t="shared" ca="1" si="5"/>
        <v/>
      </c>
    </row>
    <row r="184" spans="2:8" ht="18" customHeight="1" x14ac:dyDescent="0.3">
      <c r="B184" s="16" t="str">
        <f t="shared" ca="1" si="4"/>
        <v/>
      </c>
      <c r="C184" s="83" t="str">
        <f ca="1">IF(OR(COPIA!$BU$1=1,COPIA!$BU$1=3),COPIA!CO177,IF(COPIA!$BU$1=2,COPIA!BZ177,IF(ROW()=COPIA!$BT$1,"TOTALE","")))</f>
        <v/>
      </c>
      <c r="D184" s="86" t="str">
        <f ca="1">IF(AND(OR(COPIA!$BU$1=1,COPIA!$BU$1=3),INDEX(COPIA!$BT$3:$BV$400,MATCH($C184,COPIA!$BT$3:$BT$400,0),2)&lt;&gt;0),INDEX(COPIA!$BT$3:$BV$400,MATCH($C184,COPIA!$BT$3:$BT$400,0),2),IF(AND(COPIA!$BU$1=2,INDEX(COPIA!$BZ$3:$CB$400,MATCH($C184,COPIA!$BZ$3:$BZ$400,0),2)&lt;&gt;0),INDEX(COPIA!$BZ$3:$CB$400,MATCH($C184,COPIA!$BZ$3:$BZ$400,0),2),""))</f>
        <v/>
      </c>
      <c r="E184" s="86" t="str">
        <f ca="1">IF(AND(OR(COPIA!$BU$1=1,COPIA!$BU$1=3),INDEX(COPIA!$BT$3:$BV$400,MATCH($C184,COPIA!$BT$3:$BT$400,0),3)&lt;&gt;0),INDEX(COPIA!$BT$3:$BV$400,MATCH($C184,COPIA!$BT$3:$BT$400,0),3),IF(AND(COPIA!$BU$1=2,INDEX(COPIA!$BZ$3:$CB$400,MATCH($C184,COPIA!$BZ$3:$BZ$400,0),3)&lt;&gt;0),INDEX(COPIA!$BZ$3:$CB$400,MATCH($C184,COPIA!$BZ$3:$BZ$400,0),3),""))</f>
        <v/>
      </c>
      <c r="F184" s="86" t="str">
        <f ca="1">IFERROR(IF(AND(COPIA!$BU$1=3,INDEX(COPIA!$BZ$3:$CB$400,MATCH($C184,COPIA!$BZ$3:$BZ$400,0),2)&lt;&gt;0),INDEX(COPIA!$BZ$3:$CB$400,MATCH($C184,COPIA!$BZ$3:$BZ$400,0),2),""),"")</f>
        <v/>
      </c>
      <c r="G184" s="86" t="str">
        <f ca="1">IFERROR(IF(AND(COPIA!$BU$1=3,INDEX(COPIA!$BZ$3:$CB$400,MATCH($C184,COPIA!$BZ$3:$BZ$400,0),3)&lt;&gt;0),INDEX(COPIA!$BZ$3:$CB$400,MATCH($C184,COPIA!$BZ$3:$BZ$400,0),3),""),"")</f>
        <v/>
      </c>
      <c r="H184" s="7" t="str">
        <f t="shared" ca="1" si="5"/>
        <v/>
      </c>
    </row>
    <row r="185" spans="2:8" ht="18" customHeight="1" x14ac:dyDescent="0.3">
      <c r="B185" s="16" t="str">
        <f t="shared" ca="1" si="4"/>
        <v/>
      </c>
      <c r="C185" s="83" t="str">
        <f ca="1">IF(OR(COPIA!$BU$1=1,COPIA!$BU$1=3),COPIA!CO178,IF(COPIA!$BU$1=2,COPIA!BZ178,IF(ROW()=COPIA!$BT$1,"TOTALE","")))</f>
        <v/>
      </c>
      <c r="D185" s="86" t="str">
        <f ca="1">IF(AND(OR(COPIA!$BU$1=1,COPIA!$BU$1=3),INDEX(COPIA!$BT$3:$BV$400,MATCH($C185,COPIA!$BT$3:$BT$400,0),2)&lt;&gt;0),INDEX(COPIA!$BT$3:$BV$400,MATCH($C185,COPIA!$BT$3:$BT$400,0),2),IF(AND(COPIA!$BU$1=2,INDEX(COPIA!$BZ$3:$CB$400,MATCH($C185,COPIA!$BZ$3:$BZ$400,0),2)&lt;&gt;0),INDEX(COPIA!$BZ$3:$CB$400,MATCH($C185,COPIA!$BZ$3:$BZ$400,0),2),""))</f>
        <v/>
      </c>
      <c r="E185" s="86" t="str">
        <f ca="1">IF(AND(OR(COPIA!$BU$1=1,COPIA!$BU$1=3),INDEX(COPIA!$BT$3:$BV$400,MATCH($C185,COPIA!$BT$3:$BT$400,0),3)&lt;&gt;0),INDEX(COPIA!$BT$3:$BV$400,MATCH($C185,COPIA!$BT$3:$BT$400,0),3),IF(AND(COPIA!$BU$1=2,INDEX(COPIA!$BZ$3:$CB$400,MATCH($C185,COPIA!$BZ$3:$BZ$400,0),3)&lt;&gt;0),INDEX(COPIA!$BZ$3:$CB$400,MATCH($C185,COPIA!$BZ$3:$BZ$400,0),3),""))</f>
        <v/>
      </c>
      <c r="F185" s="86" t="str">
        <f ca="1">IFERROR(IF(AND(COPIA!$BU$1=3,INDEX(COPIA!$BZ$3:$CB$400,MATCH($C185,COPIA!$BZ$3:$BZ$400,0),2)&lt;&gt;0),INDEX(COPIA!$BZ$3:$CB$400,MATCH($C185,COPIA!$BZ$3:$BZ$400,0),2),""),"")</f>
        <v/>
      </c>
      <c r="G185" s="86" t="str">
        <f ca="1">IFERROR(IF(AND(COPIA!$BU$1=3,INDEX(COPIA!$BZ$3:$CB$400,MATCH($C185,COPIA!$BZ$3:$BZ$400,0),3)&lt;&gt;0),INDEX(COPIA!$BZ$3:$CB$400,MATCH($C185,COPIA!$BZ$3:$BZ$400,0),3),""),"")</f>
        <v/>
      </c>
      <c r="H185" s="7" t="str">
        <f t="shared" ca="1" si="5"/>
        <v/>
      </c>
    </row>
    <row r="186" spans="2:8" ht="18" customHeight="1" x14ac:dyDescent="0.3">
      <c r="B186" s="16" t="str">
        <f t="shared" ca="1" si="4"/>
        <v/>
      </c>
      <c r="C186" s="83" t="str">
        <f ca="1">IF(OR(COPIA!$BU$1=1,COPIA!$BU$1=3),COPIA!CO179,IF(COPIA!$BU$1=2,COPIA!BZ179,IF(ROW()=COPIA!$BT$1,"TOTALE","")))</f>
        <v/>
      </c>
      <c r="D186" s="86" t="str">
        <f ca="1">IF(AND(OR(COPIA!$BU$1=1,COPIA!$BU$1=3),INDEX(COPIA!$BT$3:$BV$400,MATCH($C186,COPIA!$BT$3:$BT$400,0),2)&lt;&gt;0),INDEX(COPIA!$BT$3:$BV$400,MATCH($C186,COPIA!$BT$3:$BT$400,0),2),IF(AND(COPIA!$BU$1=2,INDEX(COPIA!$BZ$3:$CB$400,MATCH($C186,COPIA!$BZ$3:$BZ$400,0),2)&lt;&gt;0),INDEX(COPIA!$BZ$3:$CB$400,MATCH($C186,COPIA!$BZ$3:$BZ$400,0),2),""))</f>
        <v/>
      </c>
      <c r="E186" s="86" t="str">
        <f ca="1">IF(AND(OR(COPIA!$BU$1=1,COPIA!$BU$1=3),INDEX(COPIA!$BT$3:$BV$400,MATCH($C186,COPIA!$BT$3:$BT$400,0),3)&lt;&gt;0),INDEX(COPIA!$BT$3:$BV$400,MATCH($C186,COPIA!$BT$3:$BT$400,0),3),IF(AND(COPIA!$BU$1=2,INDEX(COPIA!$BZ$3:$CB$400,MATCH($C186,COPIA!$BZ$3:$BZ$400,0),3)&lt;&gt;0),INDEX(COPIA!$BZ$3:$CB$400,MATCH($C186,COPIA!$BZ$3:$BZ$400,0),3),""))</f>
        <v/>
      </c>
      <c r="F186" s="86" t="str">
        <f ca="1">IFERROR(IF(AND(COPIA!$BU$1=3,INDEX(COPIA!$BZ$3:$CB$400,MATCH($C186,COPIA!$BZ$3:$BZ$400,0),2)&lt;&gt;0),INDEX(COPIA!$BZ$3:$CB$400,MATCH($C186,COPIA!$BZ$3:$BZ$400,0),2),""),"")</f>
        <v/>
      </c>
      <c r="G186" s="86" t="str">
        <f ca="1">IFERROR(IF(AND(COPIA!$BU$1=3,INDEX(COPIA!$BZ$3:$CB$400,MATCH($C186,COPIA!$BZ$3:$BZ$400,0),3)&lt;&gt;0),INDEX(COPIA!$BZ$3:$CB$400,MATCH($C186,COPIA!$BZ$3:$BZ$400,0),3),""),"")</f>
        <v/>
      </c>
      <c r="H186" s="7" t="str">
        <f t="shared" ca="1" si="5"/>
        <v/>
      </c>
    </row>
    <row r="187" spans="2:8" ht="18" customHeight="1" x14ac:dyDescent="0.3">
      <c r="B187" s="16" t="str">
        <f t="shared" ca="1" si="4"/>
        <v/>
      </c>
      <c r="C187" s="83" t="str">
        <f ca="1">IF(OR(COPIA!$BU$1=1,COPIA!$BU$1=3),COPIA!CO180,IF(COPIA!$BU$1=2,COPIA!BZ180,IF(ROW()=COPIA!$BT$1,"TOTALE","")))</f>
        <v/>
      </c>
      <c r="D187" s="86" t="str">
        <f ca="1">IF(AND(OR(COPIA!$BU$1=1,COPIA!$BU$1=3),INDEX(COPIA!$BT$3:$BV$400,MATCH($C187,COPIA!$BT$3:$BT$400,0),2)&lt;&gt;0),INDEX(COPIA!$BT$3:$BV$400,MATCH($C187,COPIA!$BT$3:$BT$400,0),2),IF(AND(COPIA!$BU$1=2,INDEX(COPIA!$BZ$3:$CB$400,MATCH($C187,COPIA!$BZ$3:$BZ$400,0),2)&lt;&gt;0),INDEX(COPIA!$BZ$3:$CB$400,MATCH($C187,COPIA!$BZ$3:$BZ$400,0),2),""))</f>
        <v/>
      </c>
      <c r="E187" s="86" t="str">
        <f ca="1">IF(AND(OR(COPIA!$BU$1=1,COPIA!$BU$1=3),INDEX(COPIA!$BT$3:$BV$400,MATCH($C187,COPIA!$BT$3:$BT$400,0),3)&lt;&gt;0),INDEX(COPIA!$BT$3:$BV$400,MATCH($C187,COPIA!$BT$3:$BT$400,0),3),IF(AND(COPIA!$BU$1=2,INDEX(COPIA!$BZ$3:$CB$400,MATCH($C187,COPIA!$BZ$3:$BZ$400,0),3)&lt;&gt;0),INDEX(COPIA!$BZ$3:$CB$400,MATCH($C187,COPIA!$BZ$3:$BZ$400,0),3),""))</f>
        <v/>
      </c>
      <c r="F187" s="86" t="str">
        <f ca="1">IFERROR(IF(AND(COPIA!$BU$1=3,INDEX(COPIA!$BZ$3:$CB$400,MATCH($C187,COPIA!$BZ$3:$BZ$400,0),2)&lt;&gt;0),INDEX(COPIA!$BZ$3:$CB$400,MATCH($C187,COPIA!$BZ$3:$BZ$400,0),2),""),"")</f>
        <v/>
      </c>
      <c r="G187" s="86" t="str">
        <f ca="1">IFERROR(IF(AND(COPIA!$BU$1=3,INDEX(COPIA!$BZ$3:$CB$400,MATCH($C187,COPIA!$BZ$3:$BZ$400,0),3)&lt;&gt;0),INDEX(COPIA!$BZ$3:$CB$400,MATCH($C187,COPIA!$BZ$3:$BZ$400,0),3),""),"")</f>
        <v/>
      </c>
      <c r="H187" s="7" t="str">
        <f t="shared" ca="1" si="5"/>
        <v/>
      </c>
    </row>
    <row r="188" spans="2:8" ht="18" customHeight="1" x14ac:dyDescent="0.3">
      <c r="B188" s="16" t="str">
        <f t="shared" ca="1" si="4"/>
        <v/>
      </c>
      <c r="C188" s="83" t="str">
        <f ca="1">IF(OR(COPIA!$BU$1=1,COPIA!$BU$1=3),COPIA!CO181,IF(COPIA!$BU$1=2,COPIA!BZ181,IF(ROW()=COPIA!$BT$1,"TOTALE","")))</f>
        <v/>
      </c>
      <c r="D188" s="86" t="str">
        <f ca="1">IF(AND(OR(COPIA!$BU$1=1,COPIA!$BU$1=3),INDEX(COPIA!$BT$3:$BV$400,MATCH($C188,COPIA!$BT$3:$BT$400,0),2)&lt;&gt;0),INDEX(COPIA!$BT$3:$BV$400,MATCH($C188,COPIA!$BT$3:$BT$400,0),2),IF(AND(COPIA!$BU$1=2,INDEX(COPIA!$BZ$3:$CB$400,MATCH($C188,COPIA!$BZ$3:$BZ$400,0),2)&lt;&gt;0),INDEX(COPIA!$BZ$3:$CB$400,MATCH($C188,COPIA!$BZ$3:$BZ$400,0),2),""))</f>
        <v/>
      </c>
      <c r="E188" s="86" t="str">
        <f ca="1">IF(AND(OR(COPIA!$BU$1=1,COPIA!$BU$1=3),INDEX(COPIA!$BT$3:$BV$400,MATCH($C188,COPIA!$BT$3:$BT$400,0),3)&lt;&gt;0),INDEX(COPIA!$BT$3:$BV$400,MATCH($C188,COPIA!$BT$3:$BT$400,0),3),IF(AND(COPIA!$BU$1=2,INDEX(COPIA!$BZ$3:$CB$400,MATCH($C188,COPIA!$BZ$3:$BZ$400,0),3)&lt;&gt;0),INDEX(COPIA!$BZ$3:$CB$400,MATCH($C188,COPIA!$BZ$3:$BZ$400,0),3),""))</f>
        <v/>
      </c>
      <c r="F188" s="86" t="str">
        <f ca="1">IFERROR(IF(AND(COPIA!$BU$1=3,INDEX(COPIA!$BZ$3:$CB$400,MATCH($C188,COPIA!$BZ$3:$BZ$400,0),2)&lt;&gt;0),INDEX(COPIA!$BZ$3:$CB$400,MATCH($C188,COPIA!$BZ$3:$BZ$400,0),2),""),"")</f>
        <v/>
      </c>
      <c r="G188" s="86" t="str">
        <f ca="1">IFERROR(IF(AND(COPIA!$BU$1=3,INDEX(COPIA!$BZ$3:$CB$400,MATCH($C188,COPIA!$BZ$3:$BZ$400,0),3)&lt;&gt;0),INDEX(COPIA!$BZ$3:$CB$400,MATCH($C188,COPIA!$BZ$3:$BZ$400,0),3),""),"")</f>
        <v/>
      </c>
      <c r="H188" s="7" t="str">
        <f t="shared" ca="1" si="5"/>
        <v/>
      </c>
    </row>
    <row r="189" spans="2:8" ht="18" customHeight="1" x14ac:dyDescent="0.3">
      <c r="B189" s="16" t="str">
        <f t="shared" ca="1" si="4"/>
        <v/>
      </c>
      <c r="C189" s="83" t="str">
        <f ca="1">IF(OR(COPIA!$BU$1=1,COPIA!$BU$1=3),COPIA!CO182,IF(COPIA!$BU$1=2,COPIA!BZ182,IF(ROW()=COPIA!$BT$1,"TOTALE","")))</f>
        <v/>
      </c>
      <c r="D189" s="86" t="str">
        <f ca="1">IF(AND(OR(COPIA!$BU$1=1,COPIA!$BU$1=3),INDEX(COPIA!$BT$3:$BV$400,MATCH($C189,COPIA!$BT$3:$BT$400,0),2)&lt;&gt;0),INDEX(COPIA!$BT$3:$BV$400,MATCH($C189,COPIA!$BT$3:$BT$400,0),2),IF(AND(COPIA!$BU$1=2,INDEX(COPIA!$BZ$3:$CB$400,MATCH($C189,COPIA!$BZ$3:$BZ$400,0),2)&lt;&gt;0),INDEX(COPIA!$BZ$3:$CB$400,MATCH($C189,COPIA!$BZ$3:$BZ$400,0),2),""))</f>
        <v/>
      </c>
      <c r="E189" s="86" t="str">
        <f ca="1">IF(AND(OR(COPIA!$BU$1=1,COPIA!$BU$1=3),INDEX(COPIA!$BT$3:$BV$400,MATCH($C189,COPIA!$BT$3:$BT$400,0),3)&lt;&gt;0),INDEX(COPIA!$BT$3:$BV$400,MATCH($C189,COPIA!$BT$3:$BT$400,0),3),IF(AND(COPIA!$BU$1=2,INDEX(COPIA!$BZ$3:$CB$400,MATCH($C189,COPIA!$BZ$3:$BZ$400,0),3)&lt;&gt;0),INDEX(COPIA!$BZ$3:$CB$400,MATCH($C189,COPIA!$BZ$3:$BZ$400,0),3),""))</f>
        <v/>
      </c>
      <c r="F189" s="86" t="str">
        <f ca="1">IFERROR(IF(AND(COPIA!$BU$1=3,INDEX(COPIA!$BZ$3:$CB$400,MATCH($C189,COPIA!$BZ$3:$BZ$400,0),2)&lt;&gt;0),INDEX(COPIA!$BZ$3:$CB$400,MATCH($C189,COPIA!$BZ$3:$BZ$400,0),2),""),"")</f>
        <v/>
      </c>
      <c r="G189" s="86" t="str">
        <f ca="1">IFERROR(IF(AND(COPIA!$BU$1=3,INDEX(COPIA!$BZ$3:$CB$400,MATCH($C189,COPIA!$BZ$3:$BZ$400,0),3)&lt;&gt;0),INDEX(COPIA!$BZ$3:$CB$400,MATCH($C189,COPIA!$BZ$3:$BZ$400,0),3),""),"")</f>
        <v/>
      </c>
      <c r="H189" s="7" t="str">
        <f t="shared" ca="1" si="5"/>
        <v/>
      </c>
    </row>
    <row r="190" spans="2:8" ht="18" customHeight="1" x14ac:dyDescent="0.3">
      <c r="B190" s="16" t="str">
        <f t="shared" ca="1" si="4"/>
        <v/>
      </c>
      <c r="C190" s="83" t="str">
        <f ca="1">IF(OR(COPIA!$BU$1=1,COPIA!$BU$1=3),COPIA!CO183,IF(COPIA!$BU$1=2,COPIA!BZ183,IF(ROW()=COPIA!$BT$1,"TOTALE","")))</f>
        <v/>
      </c>
      <c r="D190" s="86" t="str">
        <f ca="1">IF(AND(OR(COPIA!$BU$1=1,COPIA!$BU$1=3),INDEX(COPIA!$BT$3:$BV$400,MATCH($C190,COPIA!$BT$3:$BT$400,0),2)&lt;&gt;0),INDEX(COPIA!$BT$3:$BV$400,MATCH($C190,COPIA!$BT$3:$BT$400,0),2),IF(AND(COPIA!$BU$1=2,INDEX(COPIA!$BZ$3:$CB$400,MATCH($C190,COPIA!$BZ$3:$BZ$400,0),2)&lt;&gt;0),INDEX(COPIA!$BZ$3:$CB$400,MATCH($C190,COPIA!$BZ$3:$BZ$400,0),2),""))</f>
        <v/>
      </c>
      <c r="E190" s="86" t="str">
        <f ca="1">IF(AND(OR(COPIA!$BU$1=1,COPIA!$BU$1=3),INDEX(COPIA!$BT$3:$BV$400,MATCH($C190,COPIA!$BT$3:$BT$400,0),3)&lt;&gt;0),INDEX(COPIA!$BT$3:$BV$400,MATCH($C190,COPIA!$BT$3:$BT$400,0),3),IF(AND(COPIA!$BU$1=2,INDEX(COPIA!$BZ$3:$CB$400,MATCH($C190,COPIA!$BZ$3:$BZ$400,0),3)&lt;&gt;0),INDEX(COPIA!$BZ$3:$CB$400,MATCH($C190,COPIA!$BZ$3:$BZ$400,0),3),""))</f>
        <v/>
      </c>
      <c r="F190" s="86" t="str">
        <f ca="1">IFERROR(IF(AND(COPIA!$BU$1=3,INDEX(COPIA!$BZ$3:$CB$400,MATCH($C190,COPIA!$BZ$3:$BZ$400,0),2)&lt;&gt;0),INDEX(COPIA!$BZ$3:$CB$400,MATCH($C190,COPIA!$BZ$3:$BZ$400,0),2),""),"")</f>
        <v/>
      </c>
      <c r="G190" s="86" t="str">
        <f ca="1">IFERROR(IF(AND(COPIA!$BU$1=3,INDEX(COPIA!$BZ$3:$CB$400,MATCH($C190,COPIA!$BZ$3:$BZ$400,0),3)&lt;&gt;0),INDEX(COPIA!$BZ$3:$CB$400,MATCH($C190,COPIA!$BZ$3:$BZ$400,0),3),""),"")</f>
        <v/>
      </c>
      <c r="H190" s="7" t="str">
        <f t="shared" ca="1" si="5"/>
        <v/>
      </c>
    </row>
    <row r="191" spans="2:8" ht="18" customHeight="1" x14ac:dyDescent="0.3">
      <c r="B191" s="16" t="str">
        <f t="shared" ca="1" si="4"/>
        <v/>
      </c>
      <c r="C191" s="83" t="str">
        <f ca="1">IF(OR(COPIA!$BU$1=1,COPIA!$BU$1=3),COPIA!CO184,IF(COPIA!$BU$1=2,COPIA!BZ184,IF(ROW()=COPIA!$BT$1,"TOTALE","")))</f>
        <v/>
      </c>
      <c r="D191" s="86" t="str">
        <f ca="1">IF(AND(OR(COPIA!$BU$1=1,COPIA!$BU$1=3),INDEX(COPIA!$BT$3:$BV$400,MATCH($C191,COPIA!$BT$3:$BT$400,0),2)&lt;&gt;0),INDEX(COPIA!$BT$3:$BV$400,MATCH($C191,COPIA!$BT$3:$BT$400,0),2),IF(AND(COPIA!$BU$1=2,INDEX(COPIA!$BZ$3:$CB$400,MATCH($C191,COPIA!$BZ$3:$BZ$400,0),2)&lt;&gt;0),INDEX(COPIA!$BZ$3:$CB$400,MATCH($C191,COPIA!$BZ$3:$BZ$400,0),2),""))</f>
        <v/>
      </c>
      <c r="E191" s="86" t="str">
        <f ca="1">IF(AND(OR(COPIA!$BU$1=1,COPIA!$BU$1=3),INDEX(COPIA!$BT$3:$BV$400,MATCH($C191,COPIA!$BT$3:$BT$400,0),3)&lt;&gt;0),INDEX(COPIA!$BT$3:$BV$400,MATCH($C191,COPIA!$BT$3:$BT$400,0),3),IF(AND(COPIA!$BU$1=2,INDEX(COPIA!$BZ$3:$CB$400,MATCH($C191,COPIA!$BZ$3:$BZ$400,0),3)&lt;&gt;0),INDEX(COPIA!$BZ$3:$CB$400,MATCH($C191,COPIA!$BZ$3:$BZ$400,0),3),""))</f>
        <v/>
      </c>
      <c r="F191" s="86" t="str">
        <f ca="1">IFERROR(IF(AND(COPIA!$BU$1=3,INDEX(COPIA!$BZ$3:$CB$400,MATCH($C191,COPIA!$BZ$3:$BZ$400,0),2)&lt;&gt;0),INDEX(COPIA!$BZ$3:$CB$400,MATCH($C191,COPIA!$BZ$3:$BZ$400,0),2),""),"")</f>
        <v/>
      </c>
      <c r="G191" s="86" t="str">
        <f ca="1">IFERROR(IF(AND(COPIA!$BU$1=3,INDEX(COPIA!$BZ$3:$CB$400,MATCH($C191,COPIA!$BZ$3:$BZ$400,0),3)&lt;&gt;0),INDEX(COPIA!$BZ$3:$CB$400,MATCH($C191,COPIA!$BZ$3:$BZ$400,0),3),""),"")</f>
        <v/>
      </c>
      <c r="H191" s="7" t="str">
        <f t="shared" ca="1" si="5"/>
        <v/>
      </c>
    </row>
    <row r="192" spans="2:8" ht="18" customHeight="1" x14ac:dyDescent="0.3">
      <c r="B192" s="16" t="str">
        <f t="shared" ca="1" si="4"/>
        <v/>
      </c>
      <c r="C192" s="83" t="str">
        <f ca="1">IF(OR(COPIA!$BU$1=1,COPIA!$BU$1=3),COPIA!CO185,IF(COPIA!$BU$1=2,COPIA!BZ185,IF(ROW()=COPIA!$BT$1,"TOTALE","")))</f>
        <v/>
      </c>
      <c r="D192" s="86" t="str">
        <f ca="1">IF(AND(OR(COPIA!$BU$1=1,COPIA!$BU$1=3),INDEX(COPIA!$BT$3:$BV$400,MATCH($C192,COPIA!$BT$3:$BT$400,0),2)&lt;&gt;0),INDEX(COPIA!$BT$3:$BV$400,MATCH($C192,COPIA!$BT$3:$BT$400,0),2),IF(AND(COPIA!$BU$1=2,INDEX(COPIA!$BZ$3:$CB$400,MATCH($C192,COPIA!$BZ$3:$BZ$400,0),2)&lt;&gt;0),INDEX(COPIA!$BZ$3:$CB$400,MATCH($C192,COPIA!$BZ$3:$BZ$400,0),2),""))</f>
        <v/>
      </c>
      <c r="E192" s="86" t="str">
        <f ca="1">IF(AND(OR(COPIA!$BU$1=1,COPIA!$BU$1=3),INDEX(COPIA!$BT$3:$BV$400,MATCH($C192,COPIA!$BT$3:$BT$400,0),3)&lt;&gt;0),INDEX(COPIA!$BT$3:$BV$400,MATCH($C192,COPIA!$BT$3:$BT$400,0),3),IF(AND(COPIA!$BU$1=2,INDEX(COPIA!$BZ$3:$CB$400,MATCH($C192,COPIA!$BZ$3:$BZ$400,0),3)&lt;&gt;0),INDEX(COPIA!$BZ$3:$CB$400,MATCH($C192,COPIA!$BZ$3:$BZ$400,0),3),""))</f>
        <v/>
      </c>
      <c r="F192" s="86" t="str">
        <f ca="1">IFERROR(IF(AND(COPIA!$BU$1=3,INDEX(COPIA!$BZ$3:$CB$400,MATCH($C192,COPIA!$BZ$3:$BZ$400,0),2)&lt;&gt;0),INDEX(COPIA!$BZ$3:$CB$400,MATCH($C192,COPIA!$BZ$3:$BZ$400,0),2),""),"")</f>
        <v/>
      </c>
      <c r="G192" s="86" t="str">
        <f ca="1">IFERROR(IF(AND(COPIA!$BU$1=3,INDEX(COPIA!$BZ$3:$CB$400,MATCH($C192,COPIA!$BZ$3:$BZ$400,0),3)&lt;&gt;0),INDEX(COPIA!$BZ$3:$CB$400,MATCH($C192,COPIA!$BZ$3:$BZ$400,0),3),""),"")</f>
        <v/>
      </c>
      <c r="H192" s="7" t="str">
        <f t="shared" ca="1" si="5"/>
        <v/>
      </c>
    </row>
    <row r="193" spans="2:8" ht="18" customHeight="1" x14ac:dyDescent="0.3">
      <c r="B193" s="16" t="str">
        <f t="shared" ca="1" si="4"/>
        <v/>
      </c>
      <c r="C193" s="83" t="str">
        <f ca="1">IF(OR(COPIA!$BU$1=1,COPIA!$BU$1=3),COPIA!CO186,IF(COPIA!$BU$1=2,COPIA!BZ186,IF(ROW()=COPIA!$BT$1,"TOTALE","")))</f>
        <v/>
      </c>
      <c r="D193" s="86" t="str">
        <f ca="1">IF(AND(OR(COPIA!$BU$1=1,COPIA!$BU$1=3),INDEX(COPIA!$BT$3:$BV$400,MATCH($C193,COPIA!$BT$3:$BT$400,0),2)&lt;&gt;0),INDEX(COPIA!$BT$3:$BV$400,MATCH($C193,COPIA!$BT$3:$BT$400,0),2),IF(AND(COPIA!$BU$1=2,INDEX(COPIA!$BZ$3:$CB$400,MATCH($C193,COPIA!$BZ$3:$BZ$400,0),2)&lt;&gt;0),INDEX(COPIA!$BZ$3:$CB$400,MATCH($C193,COPIA!$BZ$3:$BZ$400,0),2),""))</f>
        <v/>
      </c>
      <c r="E193" s="86" t="str">
        <f ca="1">IF(AND(OR(COPIA!$BU$1=1,COPIA!$BU$1=3),INDEX(COPIA!$BT$3:$BV$400,MATCH($C193,COPIA!$BT$3:$BT$400,0),3)&lt;&gt;0),INDEX(COPIA!$BT$3:$BV$400,MATCH($C193,COPIA!$BT$3:$BT$400,0),3),IF(AND(COPIA!$BU$1=2,INDEX(COPIA!$BZ$3:$CB$400,MATCH($C193,COPIA!$BZ$3:$BZ$400,0),3)&lt;&gt;0),INDEX(COPIA!$BZ$3:$CB$400,MATCH($C193,COPIA!$BZ$3:$BZ$400,0),3),""))</f>
        <v/>
      </c>
      <c r="F193" s="86" t="str">
        <f ca="1">IFERROR(IF(AND(COPIA!$BU$1=3,INDEX(COPIA!$BZ$3:$CB$400,MATCH($C193,COPIA!$BZ$3:$BZ$400,0),2)&lt;&gt;0),INDEX(COPIA!$BZ$3:$CB$400,MATCH($C193,COPIA!$BZ$3:$BZ$400,0),2),""),"")</f>
        <v/>
      </c>
      <c r="G193" s="86" t="str">
        <f ca="1">IFERROR(IF(AND(COPIA!$BU$1=3,INDEX(COPIA!$BZ$3:$CB$400,MATCH($C193,COPIA!$BZ$3:$BZ$400,0),3)&lt;&gt;0),INDEX(COPIA!$BZ$3:$CB$400,MATCH($C193,COPIA!$BZ$3:$BZ$400,0),3),""),"")</f>
        <v/>
      </c>
      <c r="H193" s="7" t="str">
        <f t="shared" ca="1" si="5"/>
        <v/>
      </c>
    </row>
    <row r="194" spans="2:8" ht="18" customHeight="1" x14ac:dyDescent="0.3">
      <c r="B194" s="16" t="str">
        <f t="shared" ca="1" si="4"/>
        <v/>
      </c>
      <c r="C194" s="83" t="str">
        <f ca="1">IF(OR(COPIA!$BU$1=1,COPIA!$BU$1=3),COPIA!CO187,IF(COPIA!$BU$1=2,COPIA!BZ187,IF(ROW()=COPIA!$BT$1,"TOTALE","")))</f>
        <v/>
      </c>
      <c r="D194" s="86" t="str">
        <f ca="1">IF(AND(OR(COPIA!$BU$1=1,COPIA!$BU$1=3),INDEX(COPIA!$BT$3:$BV$400,MATCH($C194,COPIA!$BT$3:$BT$400,0),2)&lt;&gt;0),INDEX(COPIA!$BT$3:$BV$400,MATCH($C194,COPIA!$BT$3:$BT$400,0),2),IF(AND(COPIA!$BU$1=2,INDEX(COPIA!$BZ$3:$CB$400,MATCH($C194,COPIA!$BZ$3:$BZ$400,0),2)&lt;&gt;0),INDEX(COPIA!$BZ$3:$CB$400,MATCH($C194,COPIA!$BZ$3:$BZ$400,0),2),""))</f>
        <v/>
      </c>
      <c r="E194" s="86" t="str">
        <f ca="1">IF(AND(OR(COPIA!$BU$1=1,COPIA!$BU$1=3),INDEX(COPIA!$BT$3:$BV$400,MATCH($C194,COPIA!$BT$3:$BT$400,0),3)&lt;&gt;0),INDEX(COPIA!$BT$3:$BV$400,MATCH($C194,COPIA!$BT$3:$BT$400,0),3),IF(AND(COPIA!$BU$1=2,INDEX(COPIA!$BZ$3:$CB$400,MATCH($C194,COPIA!$BZ$3:$BZ$400,0),3)&lt;&gt;0),INDEX(COPIA!$BZ$3:$CB$400,MATCH($C194,COPIA!$BZ$3:$BZ$400,0),3),""))</f>
        <v/>
      </c>
      <c r="F194" s="86" t="str">
        <f ca="1">IFERROR(IF(AND(COPIA!$BU$1=3,INDEX(COPIA!$BZ$3:$CB$400,MATCH($C194,COPIA!$BZ$3:$BZ$400,0),2)&lt;&gt;0),INDEX(COPIA!$BZ$3:$CB$400,MATCH($C194,COPIA!$BZ$3:$BZ$400,0),2),""),"")</f>
        <v/>
      </c>
      <c r="G194" s="86" t="str">
        <f ca="1">IFERROR(IF(AND(COPIA!$BU$1=3,INDEX(COPIA!$BZ$3:$CB$400,MATCH($C194,COPIA!$BZ$3:$BZ$400,0),3)&lt;&gt;0),INDEX(COPIA!$BZ$3:$CB$400,MATCH($C194,COPIA!$BZ$3:$BZ$400,0),3),""),"")</f>
        <v/>
      </c>
      <c r="H194" s="7" t="str">
        <f t="shared" ca="1" si="5"/>
        <v/>
      </c>
    </row>
    <row r="195" spans="2:8" ht="18" customHeight="1" x14ac:dyDescent="0.3">
      <c r="B195" s="16" t="str">
        <f t="shared" ca="1" si="4"/>
        <v/>
      </c>
      <c r="C195" s="83" t="str">
        <f ca="1">IF(OR(COPIA!$BU$1=1,COPIA!$BU$1=3),COPIA!CO188,IF(COPIA!$BU$1=2,COPIA!BZ188,IF(ROW()=COPIA!$BT$1,"TOTALE","")))</f>
        <v/>
      </c>
      <c r="D195" s="86" t="str">
        <f ca="1">IF(AND(OR(COPIA!$BU$1=1,COPIA!$BU$1=3),INDEX(COPIA!$BT$3:$BV$400,MATCH($C195,COPIA!$BT$3:$BT$400,0),2)&lt;&gt;0),INDEX(COPIA!$BT$3:$BV$400,MATCH($C195,COPIA!$BT$3:$BT$400,0),2),IF(AND(COPIA!$BU$1=2,INDEX(COPIA!$BZ$3:$CB$400,MATCH($C195,COPIA!$BZ$3:$BZ$400,0),2)&lt;&gt;0),INDEX(COPIA!$BZ$3:$CB$400,MATCH($C195,COPIA!$BZ$3:$BZ$400,0),2),""))</f>
        <v/>
      </c>
      <c r="E195" s="86" t="str">
        <f ca="1">IF(AND(OR(COPIA!$BU$1=1,COPIA!$BU$1=3),INDEX(COPIA!$BT$3:$BV$400,MATCH($C195,COPIA!$BT$3:$BT$400,0),3)&lt;&gt;0),INDEX(COPIA!$BT$3:$BV$400,MATCH($C195,COPIA!$BT$3:$BT$400,0),3),IF(AND(COPIA!$BU$1=2,INDEX(COPIA!$BZ$3:$CB$400,MATCH($C195,COPIA!$BZ$3:$BZ$400,0),3)&lt;&gt;0),INDEX(COPIA!$BZ$3:$CB$400,MATCH($C195,COPIA!$BZ$3:$BZ$400,0),3),""))</f>
        <v/>
      </c>
      <c r="F195" s="86" t="str">
        <f ca="1">IFERROR(IF(AND(COPIA!$BU$1=3,INDEX(COPIA!$BZ$3:$CB$400,MATCH($C195,COPIA!$BZ$3:$BZ$400,0),2)&lt;&gt;0),INDEX(COPIA!$BZ$3:$CB$400,MATCH($C195,COPIA!$BZ$3:$BZ$400,0),2),""),"")</f>
        <v/>
      </c>
      <c r="G195" s="86" t="str">
        <f ca="1">IFERROR(IF(AND(COPIA!$BU$1=3,INDEX(COPIA!$BZ$3:$CB$400,MATCH($C195,COPIA!$BZ$3:$BZ$400,0),3)&lt;&gt;0),INDEX(COPIA!$BZ$3:$CB$400,MATCH($C195,COPIA!$BZ$3:$BZ$400,0),3),""),"")</f>
        <v/>
      </c>
      <c r="H195" s="7" t="str">
        <f t="shared" ca="1" si="5"/>
        <v/>
      </c>
    </row>
    <row r="196" spans="2:8" ht="18" customHeight="1" x14ac:dyDescent="0.3">
      <c r="B196" s="16" t="str">
        <f t="shared" ca="1" si="4"/>
        <v/>
      </c>
      <c r="C196" s="83" t="str">
        <f ca="1">IF(OR(COPIA!$BU$1=1,COPIA!$BU$1=3),COPIA!CO189,IF(COPIA!$BU$1=2,COPIA!BZ189,IF(ROW()=COPIA!$BT$1,"TOTALE","")))</f>
        <v/>
      </c>
      <c r="D196" s="86" t="str">
        <f ca="1">IF(AND(OR(COPIA!$BU$1=1,COPIA!$BU$1=3),INDEX(COPIA!$BT$3:$BV$400,MATCH($C196,COPIA!$BT$3:$BT$400,0),2)&lt;&gt;0),INDEX(COPIA!$BT$3:$BV$400,MATCH($C196,COPIA!$BT$3:$BT$400,0),2),IF(AND(COPIA!$BU$1=2,INDEX(COPIA!$BZ$3:$CB$400,MATCH($C196,COPIA!$BZ$3:$BZ$400,0),2)&lt;&gt;0),INDEX(COPIA!$BZ$3:$CB$400,MATCH($C196,COPIA!$BZ$3:$BZ$400,0),2),""))</f>
        <v/>
      </c>
      <c r="E196" s="86" t="str">
        <f ca="1">IF(AND(OR(COPIA!$BU$1=1,COPIA!$BU$1=3),INDEX(COPIA!$BT$3:$BV$400,MATCH($C196,COPIA!$BT$3:$BT$400,0),3)&lt;&gt;0),INDEX(COPIA!$BT$3:$BV$400,MATCH($C196,COPIA!$BT$3:$BT$400,0),3),IF(AND(COPIA!$BU$1=2,INDEX(COPIA!$BZ$3:$CB$400,MATCH($C196,COPIA!$BZ$3:$BZ$400,0),3)&lt;&gt;0),INDEX(COPIA!$BZ$3:$CB$400,MATCH($C196,COPIA!$BZ$3:$BZ$400,0),3),""))</f>
        <v/>
      </c>
      <c r="F196" s="86" t="str">
        <f ca="1">IFERROR(IF(AND(COPIA!$BU$1=3,INDEX(COPIA!$BZ$3:$CB$400,MATCH($C196,COPIA!$BZ$3:$BZ$400,0),2)&lt;&gt;0),INDEX(COPIA!$BZ$3:$CB$400,MATCH($C196,COPIA!$BZ$3:$BZ$400,0),2),""),"")</f>
        <v/>
      </c>
      <c r="G196" s="86" t="str">
        <f ca="1">IFERROR(IF(AND(COPIA!$BU$1=3,INDEX(COPIA!$BZ$3:$CB$400,MATCH($C196,COPIA!$BZ$3:$BZ$400,0),3)&lt;&gt;0),INDEX(COPIA!$BZ$3:$CB$400,MATCH($C196,COPIA!$BZ$3:$BZ$400,0),3),""),"")</f>
        <v/>
      </c>
      <c r="H196" s="7" t="str">
        <f t="shared" ca="1" si="5"/>
        <v/>
      </c>
    </row>
    <row r="197" spans="2:8" ht="18" customHeight="1" x14ac:dyDescent="0.3">
      <c r="B197" s="16" t="str">
        <f t="shared" ca="1" si="4"/>
        <v/>
      </c>
      <c r="C197" s="83" t="str">
        <f ca="1">IF(OR(COPIA!$BU$1=1,COPIA!$BU$1=3),COPIA!CO190,IF(COPIA!$BU$1=2,COPIA!BZ190,IF(ROW()=COPIA!$BT$1,"TOTALE","")))</f>
        <v/>
      </c>
      <c r="D197" s="86" t="str">
        <f ca="1">IF(AND(OR(COPIA!$BU$1=1,COPIA!$BU$1=3),INDEX(COPIA!$BT$3:$BV$400,MATCH($C197,COPIA!$BT$3:$BT$400,0),2)&lt;&gt;0),INDEX(COPIA!$BT$3:$BV$400,MATCH($C197,COPIA!$BT$3:$BT$400,0),2),IF(AND(COPIA!$BU$1=2,INDEX(COPIA!$BZ$3:$CB$400,MATCH($C197,COPIA!$BZ$3:$BZ$400,0),2)&lt;&gt;0),INDEX(COPIA!$BZ$3:$CB$400,MATCH($C197,COPIA!$BZ$3:$BZ$400,0),2),""))</f>
        <v/>
      </c>
      <c r="E197" s="86" t="str">
        <f ca="1">IF(AND(OR(COPIA!$BU$1=1,COPIA!$BU$1=3),INDEX(COPIA!$BT$3:$BV$400,MATCH($C197,COPIA!$BT$3:$BT$400,0),3)&lt;&gt;0),INDEX(COPIA!$BT$3:$BV$400,MATCH($C197,COPIA!$BT$3:$BT$400,0),3),IF(AND(COPIA!$BU$1=2,INDEX(COPIA!$BZ$3:$CB$400,MATCH($C197,COPIA!$BZ$3:$BZ$400,0),3)&lt;&gt;0),INDEX(COPIA!$BZ$3:$CB$400,MATCH($C197,COPIA!$BZ$3:$BZ$400,0),3),""))</f>
        <v/>
      </c>
      <c r="F197" s="86" t="str">
        <f ca="1">IFERROR(IF(AND(COPIA!$BU$1=3,INDEX(COPIA!$BZ$3:$CB$400,MATCH($C197,COPIA!$BZ$3:$BZ$400,0),2)&lt;&gt;0),INDEX(COPIA!$BZ$3:$CB$400,MATCH($C197,COPIA!$BZ$3:$BZ$400,0),2),""),"")</f>
        <v/>
      </c>
      <c r="G197" s="86" t="str">
        <f ca="1">IFERROR(IF(AND(COPIA!$BU$1=3,INDEX(COPIA!$BZ$3:$CB$400,MATCH($C197,COPIA!$BZ$3:$BZ$400,0),3)&lt;&gt;0),INDEX(COPIA!$BZ$3:$CB$400,MATCH($C197,COPIA!$BZ$3:$BZ$400,0),3),""),"")</f>
        <v/>
      </c>
      <c r="H197" s="7" t="str">
        <f t="shared" ca="1" si="5"/>
        <v/>
      </c>
    </row>
    <row r="198" spans="2:8" ht="18" customHeight="1" x14ac:dyDescent="0.3">
      <c r="B198" s="16" t="str">
        <f t="shared" ca="1" si="4"/>
        <v/>
      </c>
      <c r="C198" s="83" t="str">
        <f ca="1">IF(OR(COPIA!$BU$1=1,COPIA!$BU$1=3),COPIA!CO191,IF(COPIA!$BU$1=2,COPIA!BZ191,IF(ROW()=COPIA!$BT$1,"TOTALE","")))</f>
        <v/>
      </c>
      <c r="D198" s="86" t="str">
        <f ca="1">IF(AND(OR(COPIA!$BU$1=1,COPIA!$BU$1=3),INDEX(COPIA!$BT$3:$BV$400,MATCH($C198,COPIA!$BT$3:$BT$400,0),2)&lt;&gt;0),INDEX(COPIA!$BT$3:$BV$400,MATCH($C198,COPIA!$BT$3:$BT$400,0),2),IF(AND(COPIA!$BU$1=2,INDEX(COPIA!$BZ$3:$CB$400,MATCH($C198,COPIA!$BZ$3:$BZ$400,0),2)&lt;&gt;0),INDEX(COPIA!$BZ$3:$CB$400,MATCH($C198,COPIA!$BZ$3:$BZ$400,0),2),""))</f>
        <v/>
      </c>
      <c r="E198" s="86" t="str">
        <f ca="1">IF(AND(OR(COPIA!$BU$1=1,COPIA!$BU$1=3),INDEX(COPIA!$BT$3:$BV$400,MATCH($C198,COPIA!$BT$3:$BT$400,0),3)&lt;&gt;0),INDEX(COPIA!$BT$3:$BV$400,MATCH($C198,COPIA!$BT$3:$BT$400,0),3),IF(AND(COPIA!$BU$1=2,INDEX(COPIA!$BZ$3:$CB$400,MATCH($C198,COPIA!$BZ$3:$BZ$400,0),3)&lt;&gt;0),INDEX(COPIA!$BZ$3:$CB$400,MATCH($C198,COPIA!$BZ$3:$BZ$400,0),3),""))</f>
        <v/>
      </c>
      <c r="F198" s="86" t="str">
        <f ca="1">IFERROR(IF(AND(COPIA!$BU$1=3,INDEX(COPIA!$BZ$3:$CB$400,MATCH($C198,COPIA!$BZ$3:$BZ$400,0),2)&lt;&gt;0),INDEX(COPIA!$BZ$3:$CB$400,MATCH($C198,COPIA!$BZ$3:$BZ$400,0),2),""),"")</f>
        <v/>
      </c>
      <c r="G198" s="86" t="str">
        <f ca="1">IFERROR(IF(AND(COPIA!$BU$1=3,INDEX(COPIA!$BZ$3:$CB$400,MATCH($C198,COPIA!$BZ$3:$BZ$400,0),3)&lt;&gt;0),INDEX(COPIA!$BZ$3:$CB$400,MATCH($C198,COPIA!$BZ$3:$BZ$400,0),3),""),"")</f>
        <v/>
      </c>
      <c r="H198" s="7" t="str">
        <f t="shared" ca="1" si="5"/>
        <v/>
      </c>
    </row>
    <row r="199" spans="2:8" ht="18" customHeight="1" x14ac:dyDescent="0.3">
      <c r="B199" s="16" t="str">
        <f t="shared" ca="1" si="4"/>
        <v/>
      </c>
      <c r="C199" s="83" t="str">
        <f ca="1">IF(OR(COPIA!$BU$1=1,COPIA!$BU$1=3),COPIA!CO192,IF(COPIA!$BU$1=2,COPIA!BZ192,IF(ROW()=COPIA!$BT$1,"TOTALE","")))</f>
        <v/>
      </c>
      <c r="D199" s="86" t="str">
        <f ca="1">IF(AND(OR(COPIA!$BU$1=1,COPIA!$BU$1=3),INDEX(COPIA!$BT$3:$BV$400,MATCH($C199,COPIA!$BT$3:$BT$400,0),2)&lt;&gt;0),INDEX(COPIA!$BT$3:$BV$400,MATCH($C199,COPIA!$BT$3:$BT$400,0),2),IF(AND(COPIA!$BU$1=2,INDEX(COPIA!$BZ$3:$CB$400,MATCH($C199,COPIA!$BZ$3:$BZ$400,0),2)&lt;&gt;0),INDEX(COPIA!$BZ$3:$CB$400,MATCH($C199,COPIA!$BZ$3:$BZ$400,0),2),""))</f>
        <v/>
      </c>
      <c r="E199" s="86" t="str">
        <f ca="1">IF(AND(OR(COPIA!$BU$1=1,COPIA!$BU$1=3),INDEX(COPIA!$BT$3:$BV$400,MATCH($C199,COPIA!$BT$3:$BT$400,0),3)&lt;&gt;0),INDEX(COPIA!$BT$3:$BV$400,MATCH($C199,COPIA!$BT$3:$BT$400,0),3),IF(AND(COPIA!$BU$1=2,INDEX(COPIA!$BZ$3:$CB$400,MATCH($C199,COPIA!$BZ$3:$BZ$400,0),3)&lt;&gt;0),INDEX(COPIA!$BZ$3:$CB$400,MATCH($C199,COPIA!$BZ$3:$BZ$400,0),3),""))</f>
        <v/>
      </c>
      <c r="F199" s="86" t="str">
        <f ca="1">IFERROR(IF(AND(COPIA!$BU$1=3,INDEX(COPIA!$BZ$3:$CB$400,MATCH($C199,COPIA!$BZ$3:$BZ$400,0),2)&lt;&gt;0),INDEX(COPIA!$BZ$3:$CB$400,MATCH($C199,COPIA!$BZ$3:$BZ$400,0),2),""),"")</f>
        <v/>
      </c>
      <c r="G199" s="86" t="str">
        <f ca="1">IFERROR(IF(AND(COPIA!$BU$1=3,INDEX(COPIA!$BZ$3:$CB$400,MATCH($C199,COPIA!$BZ$3:$BZ$400,0),3)&lt;&gt;0),INDEX(COPIA!$BZ$3:$CB$400,MATCH($C199,COPIA!$BZ$3:$BZ$400,0),3),""),"")</f>
        <v/>
      </c>
      <c r="H199" s="7" t="str">
        <f t="shared" ca="1" si="5"/>
        <v/>
      </c>
    </row>
    <row r="200" spans="2:8" ht="18" customHeight="1" x14ac:dyDescent="0.3">
      <c r="B200" s="16" t="str">
        <f t="shared" ca="1" si="4"/>
        <v/>
      </c>
      <c r="C200" s="83" t="str">
        <f ca="1">IF(OR(COPIA!$BU$1=1,COPIA!$BU$1=3),COPIA!CO193,IF(COPIA!$BU$1=2,COPIA!BZ193,IF(ROW()=COPIA!$BT$1,"TOTALE","")))</f>
        <v/>
      </c>
      <c r="D200" s="86" t="str">
        <f ca="1">IF(AND(OR(COPIA!$BU$1=1,COPIA!$BU$1=3),INDEX(COPIA!$BT$3:$BV$400,MATCH($C200,COPIA!$BT$3:$BT$400,0),2)&lt;&gt;0),INDEX(COPIA!$BT$3:$BV$400,MATCH($C200,COPIA!$BT$3:$BT$400,0),2),IF(AND(COPIA!$BU$1=2,INDEX(COPIA!$BZ$3:$CB$400,MATCH($C200,COPIA!$BZ$3:$BZ$400,0),2)&lt;&gt;0),INDEX(COPIA!$BZ$3:$CB$400,MATCH($C200,COPIA!$BZ$3:$BZ$400,0),2),""))</f>
        <v/>
      </c>
      <c r="E200" s="86" t="str">
        <f ca="1">IF(AND(OR(COPIA!$BU$1=1,COPIA!$BU$1=3),INDEX(COPIA!$BT$3:$BV$400,MATCH($C200,COPIA!$BT$3:$BT$400,0),3)&lt;&gt;0),INDEX(COPIA!$BT$3:$BV$400,MATCH($C200,COPIA!$BT$3:$BT$400,0),3),IF(AND(COPIA!$BU$1=2,INDEX(COPIA!$BZ$3:$CB$400,MATCH($C200,COPIA!$BZ$3:$BZ$400,0),3)&lt;&gt;0),INDEX(COPIA!$BZ$3:$CB$400,MATCH($C200,COPIA!$BZ$3:$BZ$400,0),3),""))</f>
        <v/>
      </c>
      <c r="F200" s="86" t="str">
        <f ca="1">IFERROR(IF(AND(COPIA!$BU$1=3,INDEX(COPIA!$BZ$3:$CB$400,MATCH($C200,COPIA!$BZ$3:$BZ$400,0),2)&lt;&gt;0),INDEX(COPIA!$BZ$3:$CB$400,MATCH($C200,COPIA!$BZ$3:$BZ$400,0),2),""),"")</f>
        <v/>
      </c>
      <c r="G200" s="86" t="str">
        <f ca="1">IFERROR(IF(AND(COPIA!$BU$1=3,INDEX(COPIA!$BZ$3:$CB$400,MATCH($C200,COPIA!$BZ$3:$BZ$400,0),3)&lt;&gt;0),INDEX(COPIA!$BZ$3:$CB$400,MATCH($C200,COPIA!$BZ$3:$BZ$400,0),3),""),"")</f>
        <v/>
      </c>
      <c r="H200" s="7" t="str">
        <f t="shared" ca="1" si="5"/>
        <v/>
      </c>
    </row>
    <row r="201" spans="2:8" ht="18" customHeight="1" x14ac:dyDescent="0.3">
      <c r="B201" s="16" t="str">
        <f t="shared" ca="1" si="4"/>
        <v/>
      </c>
      <c r="C201" s="83" t="str">
        <f ca="1">IF(OR(COPIA!$BU$1=1,COPIA!$BU$1=3),COPIA!CO194,IF(COPIA!$BU$1=2,COPIA!BZ194,IF(ROW()=COPIA!$BT$1,"TOTALE","")))</f>
        <v/>
      </c>
      <c r="D201" s="86" t="str">
        <f ca="1">IF(AND(OR(COPIA!$BU$1=1,COPIA!$BU$1=3),INDEX(COPIA!$BT$3:$BV$400,MATCH($C201,COPIA!$BT$3:$BT$400,0),2)&lt;&gt;0),INDEX(COPIA!$BT$3:$BV$400,MATCH($C201,COPIA!$BT$3:$BT$400,0),2),IF(AND(COPIA!$BU$1=2,INDEX(COPIA!$BZ$3:$CB$400,MATCH($C201,COPIA!$BZ$3:$BZ$400,0),2)&lt;&gt;0),INDEX(COPIA!$BZ$3:$CB$400,MATCH($C201,COPIA!$BZ$3:$BZ$400,0),2),""))</f>
        <v/>
      </c>
      <c r="E201" s="86" t="str">
        <f ca="1">IF(AND(OR(COPIA!$BU$1=1,COPIA!$BU$1=3),INDEX(COPIA!$BT$3:$BV$400,MATCH($C201,COPIA!$BT$3:$BT$400,0),3)&lt;&gt;0),INDEX(COPIA!$BT$3:$BV$400,MATCH($C201,COPIA!$BT$3:$BT$400,0),3),IF(AND(COPIA!$BU$1=2,INDEX(COPIA!$BZ$3:$CB$400,MATCH($C201,COPIA!$BZ$3:$BZ$400,0),3)&lt;&gt;0),INDEX(COPIA!$BZ$3:$CB$400,MATCH($C201,COPIA!$BZ$3:$BZ$400,0),3),""))</f>
        <v/>
      </c>
      <c r="F201" s="86" t="str">
        <f ca="1">IFERROR(IF(AND(COPIA!$BU$1=3,INDEX(COPIA!$BZ$3:$CB$400,MATCH($C201,COPIA!$BZ$3:$BZ$400,0),2)&lt;&gt;0),INDEX(COPIA!$BZ$3:$CB$400,MATCH($C201,COPIA!$BZ$3:$BZ$400,0),2),""),"")</f>
        <v/>
      </c>
      <c r="G201" s="86" t="str">
        <f ca="1">IFERROR(IF(AND(COPIA!$BU$1=3,INDEX(COPIA!$BZ$3:$CB$400,MATCH($C201,COPIA!$BZ$3:$BZ$400,0),3)&lt;&gt;0),INDEX(COPIA!$BZ$3:$CB$400,MATCH($C201,COPIA!$BZ$3:$BZ$400,0),3),""),"")</f>
        <v/>
      </c>
      <c r="H201" s="7" t="str">
        <f t="shared" ca="1" si="5"/>
        <v/>
      </c>
    </row>
    <row r="202" spans="2:8" ht="18" customHeight="1" x14ac:dyDescent="0.3">
      <c r="B202" s="16" t="str">
        <f t="shared" ref="B202:B265" ca="1" si="6">IF(C202=" …………….","……",IFERROR(INDEX(PDC,MATCH(C202,DEN_PDC,0),1),0))</f>
        <v/>
      </c>
      <c r="C202" s="83" t="str">
        <f ca="1">IF(OR(COPIA!$BU$1=1,COPIA!$BU$1=3),COPIA!CO195,IF(COPIA!$BU$1=2,COPIA!BZ195,IF(ROW()=COPIA!$BT$1,"TOTALE","")))</f>
        <v/>
      </c>
      <c r="D202" s="86" t="str">
        <f ca="1">IF(AND(OR(COPIA!$BU$1=1,COPIA!$BU$1=3),INDEX(COPIA!$BT$3:$BV$400,MATCH($C202,COPIA!$BT$3:$BT$400,0),2)&lt;&gt;0),INDEX(COPIA!$BT$3:$BV$400,MATCH($C202,COPIA!$BT$3:$BT$400,0),2),IF(AND(COPIA!$BU$1=2,INDEX(COPIA!$BZ$3:$CB$400,MATCH($C202,COPIA!$BZ$3:$BZ$400,0),2)&lt;&gt;0),INDEX(COPIA!$BZ$3:$CB$400,MATCH($C202,COPIA!$BZ$3:$BZ$400,0),2),""))</f>
        <v/>
      </c>
      <c r="E202" s="86" t="str">
        <f ca="1">IF(AND(OR(COPIA!$BU$1=1,COPIA!$BU$1=3),INDEX(COPIA!$BT$3:$BV$400,MATCH($C202,COPIA!$BT$3:$BT$400,0),3)&lt;&gt;0),INDEX(COPIA!$BT$3:$BV$400,MATCH($C202,COPIA!$BT$3:$BT$400,0),3),IF(AND(COPIA!$BU$1=2,INDEX(COPIA!$BZ$3:$CB$400,MATCH($C202,COPIA!$BZ$3:$BZ$400,0),3)&lt;&gt;0),INDEX(COPIA!$BZ$3:$CB$400,MATCH($C202,COPIA!$BZ$3:$BZ$400,0),3),""))</f>
        <v/>
      </c>
      <c r="F202" s="86" t="str">
        <f ca="1">IFERROR(IF(AND(COPIA!$BU$1=3,INDEX(COPIA!$BZ$3:$CB$400,MATCH($C202,COPIA!$BZ$3:$BZ$400,0),2)&lt;&gt;0),INDEX(COPIA!$BZ$3:$CB$400,MATCH($C202,COPIA!$BZ$3:$BZ$400,0),2),""),"")</f>
        <v/>
      </c>
      <c r="G202" s="86" t="str">
        <f ca="1">IFERROR(IF(AND(COPIA!$BU$1=3,INDEX(COPIA!$BZ$3:$CB$400,MATCH($C202,COPIA!$BZ$3:$BZ$400,0),3)&lt;&gt;0),INDEX(COPIA!$BZ$3:$CB$400,MATCH($C202,COPIA!$BZ$3:$BZ$400,0),3),""),"")</f>
        <v/>
      </c>
      <c r="H202" s="7" t="str">
        <f t="shared" ca="1" si="5"/>
        <v/>
      </c>
    </row>
    <row r="203" spans="2:8" ht="18" customHeight="1" x14ac:dyDescent="0.3">
      <c r="B203" s="16" t="str">
        <f t="shared" ca="1" si="6"/>
        <v/>
      </c>
      <c r="C203" s="83" t="str">
        <f ca="1">IF(OR(COPIA!$BU$1=1,COPIA!$BU$1=3),COPIA!CO196,IF(COPIA!$BU$1=2,COPIA!BZ196,IF(ROW()=COPIA!$BT$1,"TOTALE","")))</f>
        <v/>
      </c>
      <c r="D203" s="86" t="str">
        <f ca="1">IF(AND(OR(COPIA!$BU$1=1,COPIA!$BU$1=3),INDEX(COPIA!$BT$3:$BV$400,MATCH($C203,COPIA!$BT$3:$BT$400,0),2)&lt;&gt;0),INDEX(COPIA!$BT$3:$BV$400,MATCH($C203,COPIA!$BT$3:$BT$400,0),2),IF(AND(COPIA!$BU$1=2,INDEX(COPIA!$BZ$3:$CB$400,MATCH($C203,COPIA!$BZ$3:$BZ$400,0),2)&lt;&gt;0),INDEX(COPIA!$BZ$3:$CB$400,MATCH($C203,COPIA!$BZ$3:$BZ$400,0),2),""))</f>
        <v/>
      </c>
      <c r="E203" s="86" t="str">
        <f ca="1">IF(AND(OR(COPIA!$BU$1=1,COPIA!$BU$1=3),INDEX(COPIA!$BT$3:$BV$400,MATCH($C203,COPIA!$BT$3:$BT$400,0),3)&lt;&gt;0),INDEX(COPIA!$BT$3:$BV$400,MATCH($C203,COPIA!$BT$3:$BT$400,0),3),IF(AND(COPIA!$BU$1=2,INDEX(COPIA!$BZ$3:$CB$400,MATCH($C203,COPIA!$BZ$3:$BZ$400,0),3)&lt;&gt;0),INDEX(COPIA!$BZ$3:$CB$400,MATCH($C203,COPIA!$BZ$3:$BZ$400,0),3),""))</f>
        <v/>
      </c>
      <c r="F203" s="86" t="str">
        <f ca="1">IFERROR(IF(AND(COPIA!$BU$1=3,INDEX(COPIA!$BZ$3:$CB$400,MATCH($C203,COPIA!$BZ$3:$BZ$400,0),2)&lt;&gt;0),INDEX(COPIA!$BZ$3:$CB$400,MATCH($C203,COPIA!$BZ$3:$BZ$400,0),2),""),"")</f>
        <v/>
      </c>
      <c r="G203" s="86" t="str">
        <f ca="1">IFERROR(IF(AND(COPIA!$BU$1=3,INDEX(COPIA!$BZ$3:$CB$400,MATCH($C203,COPIA!$BZ$3:$BZ$400,0),3)&lt;&gt;0),INDEX(COPIA!$BZ$3:$CB$400,MATCH($C203,COPIA!$BZ$3:$BZ$400,0),3),""),"")</f>
        <v/>
      </c>
      <c r="H203" s="7" t="str">
        <f t="shared" ref="H203:H233" ca="1" si="7">IF(C203&lt;&gt;"",ROW(),"")</f>
        <v/>
      </c>
    </row>
    <row r="204" spans="2:8" ht="18" customHeight="1" x14ac:dyDescent="0.3">
      <c r="B204" s="16" t="str">
        <f t="shared" ca="1" si="6"/>
        <v/>
      </c>
      <c r="C204" s="83" t="str">
        <f ca="1">IF(OR(COPIA!$BU$1=1,COPIA!$BU$1=3),COPIA!CO197,IF(COPIA!$BU$1=2,COPIA!BZ197,IF(ROW()=COPIA!$BT$1,"TOTALE","")))</f>
        <v/>
      </c>
      <c r="D204" s="86" t="str">
        <f ca="1">IF(AND(OR(COPIA!$BU$1=1,COPIA!$BU$1=3),INDEX(COPIA!$BT$3:$BV$400,MATCH($C204,COPIA!$BT$3:$BT$400,0),2)&lt;&gt;0),INDEX(COPIA!$BT$3:$BV$400,MATCH($C204,COPIA!$BT$3:$BT$400,0),2),IF(AND(COPIA!$BU$1=2,INDEX(COPIA!$BZ$3:$CB$400,MATCH($C204,COPIA!$BZ$3:$BZ$400,0),2)&lt;&gt;0),INDEX(COPIA!$BZ$3:$CB$400,MATCH($C204,COPIA!$BZ$3:$BZ$400,0),2),""))</f>
        <v/>
      </c>
      <c r="E204" s="86" t="str">
        <f ca="1">IF(AND(OR(COPIA!$BU$1=1,COPIA!$BU$1=3),INDEX(COPIA!$BT$3:$BV$400,MATCH($C204,COPIA!$BT$3:$BT$400,0),3)&lt;&gt;0),INDEX(COPIA!$BT$3:$BV$400,MATCH($C204,COPIA!$BT$3:$BT$400,0),3),IF(AND(COPIA!$BU$1=2,INDEX(COPIA!$BZ$3:$CB$400,MATCH($C204,COPIA!$BZ$3:$BZ$400,0),3)&lt;&gt;0),INDEX(COPIA!$BZ$3:$CB$400,MATCH($C204,COPIA!$BZ$3:$BZ$400,0),3),""))</f>
        <v/>
      </c>
      <c r="F204" s="86" t="str">
        <f ca="1">IFERROR(IF(AND(COPIA!$BU$1=3,INDEX(COPIA!$BZ$3:$CB$400,MATCH($C204,COPIA!$BZ$3:$BZ$400,0),2)&lt;&gt;0),INDEX(COPIA!$BZ$3:$CB$400,MATCH($C204,COPIA!$BZ$3:$BZ$400,0),2),""),"")</f>
        <v/>
      </c>
      <c r="G204" s="86" t="str">
        <f ca="1">IFERROR(IF(AND(COPIA!$BU$1=3,INDEX(COPIA!$BZ$3:$CB$400,MATCH($C204,COPIA!$BZ$3:$BZ$400,0),3)&lt;&gt;0),INDEX(COPIA!$BZ$3:$CB$400,MATCH($C204,COPIA!$BZ$3:$BZ$400,0),3),""),"")</f>
        <v/>
      </c>
      <c r="H204" s="7" t="str">
        <f t="shared" ca="1" si="7"/>
        <v/>
      </c>
    </row>
    <row r="205" spans="2:8" ht="18" customHeight="1" x14ac:dyDescent="0.3">
      <c r="B205" s="16" t="str">
        <f t="shared" ca="1" si="6"/>
        <v/>
      </c>
      <c r="C205" s="83" t="str">
        <f ca="1">IF(OR(COPIA!$BU$1=1,COPIA!$BU$1=3),COPIA!CO198,IF(COPIA!$BU$1=2,COPIA!BZ198,IF(ROW()=COPIA!$BT$1,"TOTALE","")))</f>
        <v/>
      </c>
      <c r="D205" s="86" t="str">
        <f ca="1">IF(AND(OR(COPIA!$BU$1=1,COPIA!$BU$1=3),INDEX(COPIA!$BT$3:$BV$400,MATCH($C205,COPIA!$BT$3:$BT$400,0),2)&lt;&gt;0),INDEX(COPIA!$BT$3:$BV$400,MATCH($C205,COPIA!$BT$3:$BT$400,0),2),IF(AND(COPIA!$BU$1=2,INDEX(COPIA!$BZ$3:$CB$400,MATCH($C205,COPIA!$BZ$3:$BZ$400,0),2)&lt;&gt;0),INDEX(COPIA!$BZ$3:$CB$400,MATCH($C205,COPIA!$BZ$3:$BZ$400,0),2),""))</f>
        <v/>
      </c>
      <c r="E205" s="86" t="str">
        <f ca="1">IF(AND(OR(COPIA!$BU$1=1,COPIA!$BU$1=3),INDEX(COPIA!$BT$3:$BV$400,MATCH($C205,COPIA!$BT$3:$BT$400,0),3)&lt;&gt;0),INDEX(COPIA!$BT$3:$BV$400,MATCH($C205,COPIA!$BT$3:$BT$400,0),3),IF(AND(COPIA!$BU$1=2,INDEX(COPIA!$BZ$3:$CB$400,MATCH($C205,COPIA!$BZ$3:$BZ$400,0),3)&lt;&gt;0),INDEX(COPIA!$BZ$3:$CB$400,MATCH($C205,COPIA!$BZ$3:$BZ$400,0),3),""))</f>
        <v/>
      </c>
      <c r="F205" s="86" t="str">
        <f ca="1">IFERROR(IF(AND(COPIA!$BU$1=3,INDEX(COPIA!$BZ$3:$CB$400,MATCH($C205,COPIA!$BZ$3:$BZ$400,0),2)&lt;&gt;0),INDEX(COPIA!$BZ$3:$CB$400,MATCH($C205,COPIA!$BZ$3:$BZ$400,0),2),""),"")</f>
        <v/>
      </c>
      <c r="G205" s="86" t="str">
        <f ca="1">IFERROR(IF(AND(COPIA!$BU$1=3,INDEX(COPIA!$BZ$3:$CB$400,MATCH($C205,COPIA!$BZ$3:$BZ$400,0),3)&lt;&gt;0),INDEX(COPIA!$BZ$3:$CB$400,MATCH($C205,COPIA!$BZ$3:$BZ$400,0),3),""),"")</f>
        <v/>
      </c>
      <c r="H205" s="7" t="str">
        <f t="shared" ca="1" si="7"/>
        <v/>
      </c>
    </row>
    <row r="206" spans="2:8" ht="18" customHeight="1" x14ac:dyDescent="0.3">
      <c r="B206" s="16" t="str">
        <f t="shared" ca="1" si="6"/>
        <v/>
      </c>
      <c r="C206" s="83" t="str">
        <f ca="1">IF(OR(COPIA!$BU$1=1,COPIA!$BU$1=3),COPIA!CO199,IF(COPIA!$BU$1=2,COPIA!BZ199,IF(ROW()=COPIA!$BT$1,"TOTALE","")))</f>
        <v/>
      </c>
      <c r="D206" s="86" t="str">
        <f ca="1">IF(AND(OR(COPIA!$BU$1=1,COPIA!$BU$1=3),INDEX(COPIA!$BT$3:$BV$400,MATCH($C206,COPIA!$BT$3:$BT$400,0),2)&lt;&gt;0),INDEX(COPIA!$BT$3:$BV$400,MATCH($C206,COPIA!$BT$3:$BT$400,0),2),IF(AND(COPIA!$BU$1=2,INDEX(COPIA!$BZ$3:$CB$400,MATCH($C206,COPIA!$BZ$3:$BZ$400,0),2)&lt;&gt;0),INDEX(COPIA!$BZ$3:$CB$400,MATCH($C206,COPIA!$BZ$3:$BZ$400,0),2),""))</f>
        <v/>
      </c>
      <c r="E206" s="86" t="str">
        <f ca="1">IF(AND(OR(COPIA!$BU$1=1,COPIA!$BU$1=3),INDEX(COPIA!$BT$3:$BV$400,MATCH($C206,COPIA!$BT$3:$BT$400,0),3)&lt;&gt;0),INDEX(COPIA!$BT$3:$BV$400,MATCH($C206,COPIA!$BT$3:$BT$400,0),3),IF(AND(COPIA!$BU$1=2,INDEX(COPIA!$BZ$3:$CB$400,MATCH($C206,COPIA!$BZ$3:$BZ$400,0),3)&lt;&gt;0),INDEX(COPIA!$BZ$3:$CB$400,MATCH($C206,COPIA!$BZ$3:$BZ$400,0),3),""))</f>
        <v/>
      </c>
      <c r="F206" s="86" t="str">
        <f ca="1">IFERROR(IF(AND(COPIA!$BU$1=3,INDEX(COPIA!$BZ$3:$CB$400,MATCH($C206,COPIA!$BZ$3:$BZ$400,0),2)&lt;&gt;0),INDEX(COPIA!$BZ$3:$CB$400,MATCH($C206,COPIA!$BZ$3:$BZ$400,0),2),""),"")</f>
        <v/>
      </c>
      <c r="G206" s="86" t="str">
        <f ca="1">IFERROR(IF(AND(COPIA!$BU$1=3,INDEX(COPIA!$BZ$3:$CB$400,MATCH($C206,COPIA!$BZ$3:$BZ$400,0),3)&lt;&gt;0),INDEX(COPIA!$BZ$3:$CB$400,MATCH($C206,COPIA!$BZ$3:$BZ$400,0),3),""),"")</f>
        <v/>
      </c>
      <c r="H206" s="7" t="str">
        <f t="shared" ca="1" si="7"/>
        <v/>
      </c>
    </row>
    <row r="207" spans="2:8" ht="18" customHeight="1" x14ac:dyDescent="0.3">
      <c r="B207" s="16" t="str">
        <f t="shared" ca="1" si="6"/>
        <v/>
      </c>
      <c r="C207" s="83" t="str">
        <f ca="1">IF(OR(COPIA!$BU$1=1,COPIA!$BU$1=3),COPIA!CO200,IF(COPIA!$BU$1=2,COPIA!BZ200,IF(ROW()=COPIA!$BT$1,"TOTALE","")))</f>
        <v/>
      </c>
      <c r="D207" s="86" t="str">
        <f ca="1">IF(AND(OR(COPIA!$BU$1=1,COPIA!$BU$1=3),INDEX(COPIA!$BT$3:$BV$400,MATCH($C207,COPIA!$BT$3:$BT$400,0),2)&lt;&gt;0),INDEX(COPIA!$BT$3:$BV$400,MATCH($C207,COPIA!$BT$3:$BT$400,0),2),IF(AND(COPIA!$BU$1=2,INDEX(COPIA!$BZ$3:$CB$400,MATCH($C207,COPIA!$BZ$3:$BZ$400,0),2)&lt;&gt;0),INDEX(COPIA!$BZ$3:$CB$400,MATCH($C207,COPIA!$BZ$3:$BZ$400,0),2),""))</f>
        <v/>
      </c>
      <c r="E207" s="86" t="str">
        <f ca="1">IF(AND(OR(COPIA!$BU$1=1,COPIA!$BU$1=3),INDEX(COPIA!$BT$3:$BV$400,MATCH($C207,COPIA!$BT$3:$BT$400,0),3)&lt;&gt;0),INDEX(COPIA!$BT$3:$BV$400,MATCH($C207,COPIA!$BT$3:$BT$400,0),3),IF(AND(COPIA!$BU$1=2,INDEX(COPIA!$BZ$3:$CB$400,MATCH($C207,COPIA!$BZ$3:$BZ$400,0),3)&lt;&gt;0),INDEX(COPIA!$BZ$3:$CB$400,MATCH($C207,COPIA!$BZ$3:$BZ$400,0),3),""))</f>
        <v/>
      </c>
      <c r="F207" s="86" t="str">
        <f ca="1">IFERROR(IF(AND(COPIA!$BU$1=3,INDEX(COPIA!$BZ$3:$CB$400,MATCH($C207,COPIA!$BZ$3:$BZ$400,0),2)&lt;&gt;0),INDEX(COPIA!$BZ$3:$CB$400,MATCH($C207,COPIA!$BZ$3:$BZ$400,0),2),""),"")</f>
        <v/>
      </c>
      <c r="G207" s="86" t="str">
        <f ca="1">IFERROR(IF(AND(COPIA!$BU$1=3,INDEX(COPIA!$BZ$3:$CB$400,MATCH($C207,COPIA!$BZ$3:$BZ$400,0),3)&lt;&gt;0),INDEX(COPIA!$BZ$3:$CB$400,MATCH($C207,COPIA!$BZ$3:$BZ$400,0),3),""),"")</f>
        <v/>
      </c>
      <c r="H207" s="7" t="str">
        <f t="shared" ca="1" si="7"/>
        <v/>
      </c>
    </row>
    <row r="208" spans="2:8" ht="18" customHeight="1" x14ac:dyDescent="0.3">
      <c r="B208" s="16" t="str">
        <f t="shared" ca="1" si="6"/>
        <v/>
      </c>
      <c r="C208" s="83" t="str">
        <f ca="1">IF(OR(COPIA!$BU$1=1,COPIA!$BU$1=3),COPIA!CO201,IF(COPIA!$BU$1=2,COPIA!BZ201,IF(ROW()=COPIA!$BT$1,"TOTALE","")))</f>
        <v/>
      </c>
      <c r="D208" s="86" t="str">
        <f ca="1">IF(AND(OR(COPIA!$BU$1=1,COPIA!$BU$1=3),INDEX(COPIA!$BT$3:$BV$400,MATCH($C208,COPIA!$BT$3:$BT$400,0),2)&lt;&gt;0),INDEX(COPIA!$BT$3:$BV$400,MATCH($C208,COPIA!$BT$3:$BT$400,0),2),IF(AND(COPIA!$BU$1=2,INDEX(COPIA!$BZ$3:$CB$400,MATCH($C208,COPIA!$BZ$3:$BZ$400,0),2)&lt;&gt;0),INDEX(COPIA!$BZ$3:$CB$400,MATCH($C208,COPIA!$BZ$3:$BZ$400,0),2),""))</f>
        <v/>
      </c>
      <c r="E208" s="86" t="str">
        <f ca="1">IF(AND(OR(COPIA!$BU$1=1,COPIA!$BU$1=3),INDEX(COPIA!$BT$3:$BV$400,MATCH($C208,COPIA!$BT$3:$BT$400,0),3)&lt;&gt;0),INDEX(COPIA!$BT$3:$BV$400,MATCH($C208,COPIA!$BT$3:$BT$400,0),3),IF(AND(COPIA!$BU$1=2,INDEX(COPIA!$BZ$3:$CB$400,MATCH($C208,COPIA!$BZ$3:$BZ$400,0),3)&lt;&gt;0),INDEX(COPIA!$BZ$3:$CB$400,MATCH($C208,COPIA!$BZ$3:$BZ$400,0),3),""))</f>
        <v/>
      </c>
      <c r="F208" s="86" t="str">
        <f ca="1">IFERROR(IF(AND(COPIA!$BU$1=3,INDEX(COPIA!$BZ$3:$CB$400,MATCH($C208,COPIA!$BZ$3:$BZ$400,0),2)&lt;&gt;0),INDEX(COPIA!$BZ$3:$CB$400,MATCH($C208,COPIA!$BZ$3:$BZ$400,0),2),""),"")</f>
        <v/>
      </c>
      <c r="G208" s="86" t="str">
        <f ca="1">IFERROR(IF(AND(COPIA!$BU$1=3,INDEX(COPIA!$BZ$3:$CB$400,MATCH($C208,COPIA!$BZ$3:$BZ$400,0),3)&lt;&gt;0),INDEX(COPIA!$BZ$3:$CB$400,MATCH($C208,COPIA!$BZ$3:$BZ$400,0),3),""),"")</f>
        <v/>
      </c>
      <c r="H208" s="7" t="str">
        <f t="shared" ca="1" si="7"/>
        <v/>
      </c>
    </row>
    <row r="209" spans="2:8" ht="18" customHeight="1" x14ac:dyDescent="0.3">
      <c r="B209" s="16" t="str">
        <f t="shared" ca="1" si="6"/>
        <v/>
      </c>
      <c r="C209" s="83" t="str">
        <f ca="1">IF(OR(COPIA!$BU$1=1,COPIA!$BU$1=3),COPIA!CO202,IF(COPIA!$BU$1=2,COPIA!BZ202,IF(ROW()=COPIA!$BT$1,"TOTALE","")))</f>
        <v/>
      </c>
      <c r="D209" s="86" t="str">
        <f ca="1">IF(AND(OR(COPIA!$BU$1=1,COPIA!$BU$1=3),INDEX(COPIA!$BT$3:$BV$400,MATCH($C209,COPIA!$BT$3:$BT$400,0),2)&lt;&gt;0),INDEX(COPIA!$BT$3:$BV$400,MATCH($C209,COPIA!$BT$3:$BT$400,0),2),IF(AND(COPIA!$BU$1=2,INDEX(COPIA!$BZ$3:$CB$400,MATCH($C209,COPIA!$BZ$3:$BZ$400,0),2)&lt;&gt;0),INDEX(COPIA!$BZ$3:$CB$400,MATCH($C209,COPIA!$BZ$3:$BZ$400,0),2),""))</f>
        <v/>
      </c>
      <c r="E209" s="86" t="str">
        <f ca="1">IF(AND(OR(COPIA!$BU$1=1,COPIA!$BU$1=3),INDEX(COPIA!$BT$3:$BV$400,MATCH($C209,COPIA!$BT$3:$BT$400,0),3)&lt;&gt;0),INDEX(COPIA!$BT$3:$BV$400,MATCH($C209,COPIA!$BT$3:$BT$400,0),3),IF(AND(COPIA!$BU$1=2,INDEX(COPIA!$BZ$3:$CB$400,MATCH($C209,COPIA!$BZ$3:$BZ$400,0),3)&lt;&gt;0),INDEX(COPIA!$BZ$3:$CB$400,MATCH($C209,COPIA!$BZ$3:$BZ$400,0),3),""))</f>
        <v/>
      </c>
      <c r="F209" s="86" t="str">
        <f ca="1">IFERROR(IF(AND(COPIA!$BU$1=3,INDEX(COPIA!$BZ$3:$CB$400,MATCH($C209,COPIA!$BZ$3:$BZ$400,0),2)&lt;&gt;0),INDEX(COPIA!$BZ$3:$CB$400,MATCH($C209,COPIA!$BZ$3:$BZ$400,0),2),""),"")</f>
        <v/>
      </c>
      <c r="G209" s="86" t="str">
        <f ca="1">IFERROR(IF(AND(COPIA!$BU$1=3,INDEX(COPIA!$BZ$3:$CB$400,MATCH($C209,COPIA!$BZ$3:$BZ$400,0),3)&lt;&gt;0),INDEX(COPIA!$BZ$3:$CB$400,MATCH($C209,COPIA!$BZ$3:$BZ$400,0),3),""),"")</f>
        <v/>
      </c>
      <c r="H209" s="7" t="str">
        <f t="shared" ca="1" si="7"/>
        <v/>
      </c>
    </row>
    <row r="210" spans="2:8" ht="18" customHeight="1" x14ac:dyDescent="0.3">
      <c r="B210" s="16" t="str">
        <f t="shared" ca="1" si="6"/>
        <v/>
      </c>
      <c r="C210" s="83" t="str">
        <f ca="1">IF(OR(COPIA!$BU$1=1,COPIA!$BU$1=3),COPIA!CO203,IF(COPIA!$BU$1=2,COPIA!BZ203,IF(ROW()=COPIA!$BT$1,"TOTALE","")))</f>
        <v/>
      </c>
      <c r="D210" s="86" t="str">
        <f ca="1">IF(AND(OR(COPIA!$BU$1=1,COPIA!$BU$1=3),INDEX(COPIA!$BT$3:$BV$400,MATCH($C210,COPIA!$BT$3:$BT$400,0),2)&lt;&gt;0),INDEX(COPIA!$BT$3:$BV$400,MATCH($C210,COPIA!$BT$3:$BT$400,0),2),IF(AND(COPIA!$BU$1=2,INDEX(COPIA!$BZ$3:$CB$400,MATCH($C210,COPIA!$BZ$3:$BZ$400,0),2)&lt;&gt;0),INDEX(COPIA!$BZ$3:$CB$400,MATCH($C210,COPIA!$BZ$3:$BZ$400,0),2),""))</f>
        <v/>
      </c>
      <c r="E210" s="86" t="str">
        <f ca="1">IF(AND(OR(COPIA!$BU$1=1,COPIA!$BU$1=3),INDEX(COPIA!$BT$3:$BV$400,MATCH($C210,COPIA!$BT$3:$BT$400,0),3)&lt;&gt;0),INDEX(COPIA!$BT$3:$BV$400,MATCH($C210,COPIA!$BT$3:$BT$400,0),3),IF(AND(COPIA!$BU$1=2,INDEX(COPIA!$BZ$3:$CB$400,MATCH($C210,COPIA!$BZ$3:$BZ$400,0),3)&lt;&gt;0),INDEX(COPIA!$BZ$3:$CB$400,MATCH($C210,COPIA!$BZ$3:$BZ$400,0),3),""))</f>
        <v/>
      </c>
      <c r="F210" s="86" t="str">
        <f ca="1">IFERROR(IF(AND(COPIA!$BU$1=3,INDEX(COPIA!$BZ$3:$CB$400,MATCH($C210,COPIA!$BZ$3:$BZ$400,0),2)&lt;&gt;0),INDEX(COPIA!$BZ$3:$CB$400,MATCH($C210,COPIA!$BZ$3:$BZ$400,0),2),""),"")</f>
        <v/>
      </c>
      <c r="G210" s="86" t="str">
        <f ca="1">IFERROR(IF(AND(COPIA!$BU$1=3,INDEX(COPIA!$BZ$3:$CB$400,MATCH($C210,COPIA!$BZ$3:$BZ$400,0),3)&lt;&gt;0),INDEX(COPIA!$BZ$3:$CB$400,MATCH($C210,COPIA!$BZ$3:$BZ$400,0),3),""),"")</f>
        <v/>
      </c>
      <c r="H210" s="7" t="str">
        <f t="shared" ca="1" si="7"/>
        <v/>
      </c>
    </row>
    <row r="211" spans="2:8" ht="18" customHeight="1" x14ac:dyDescent="0.3">
      <c r="B211" s="16" t="str">
        <f t="shared" ca="1" si="6"/>
        <v/>
      </c>
      <c r="C211" s="83" t="str">
        <f ca="1">IF(OR(COPIA!$BU$1=1,COPIA!$BU$1=3),COPIA!CO204,IF(COPIA!$BU$1=2,COPIA!BZ204,IF(ROW()=COPIA!$BT$1,"TOTALE","")))</f>
        <v/>
      </c>
      <c r="D211" s="86" t="str">
        <f ca="1">IF(AND(OR(COPIA!$BU$1=1,COPIA!$BU$1=3),INDEX(COPIA!$BT$3:$BV$400,MATCH($C211,COPIA!$BT$3:$BT$400,0),2)&lt;&gt;0),INDEX(COPIA!$BT$3:$BV$400,MATCH($C211,COPIA!$BT$3:$BT$400,0),2),IF(AND(COPIA!$BU$1=2,INDEX(COPIA!$BZ$3:$CB$400,MATCH($C211,COPIA!$BZ$3:$BZ$400,0),2)&lt;&gt;0),INDEX(COPIA!$BZ$3:$CB$400,MATCH($C211,COPIA!$BZ$3:$BZ$400,0),2),""))</f>
        <v/>
      </c>
      <c r="E211" s="86" t="str">
        <f ca="1">IF(AND(OR(COPIA!$BU$1=1,COPIA!$BU$1=3),INDEX(COPIA!$BT$3:$BV$400,MATCH($C211,COPIA!$BT$3:$BT$400,0),3)&lt;&gt;0),INDEX(COPIA!$BT$3:$BV$400,MATCH($C211,COPIA!$BT$3:$BT$400,0),3),IF(AND(COPIA!$BU$1=2,INDEX(COPIA!$BZ$3:$CB$400,MATCH($C211,COPIA!$BZ$3:$BZ$400,0),3)&lt;&gt;0),INDEX(COPIA!$BZ$3:$CB$400,MATCH($C211,COPIA!$BZ$3:$BZ$400,0),3),""))</f>
        <v/>
      </c>
      <c r="F211" s="86" t="str">
        <f ca="1">IFERROR(IF(AND(COPIA!$BU$1=3,INDEX(COPIA!$BZ$3:$CB$400,MATCH($C211,COPIA!$BZ$3:$BZ$400,0),2)&lt;&gt;0),INDEX(COPIA!$BZ$3:$CB$400,MATCH($C211,COPIA!$BZ$3:$BZ$400,0),2),""),"")</f>
        <v/>
      </c>
      <c r="G211" s="86" t="str">
        <f ca="1">IFERROR(IF(AND(COPIA!$BU$1=3,INDEX(COPIA!$BZ$3:$CB$400,MATCH($C211,COPIA!$BZ$3:$BZ$400,0),3)&lt;&gt;0),INDEX(COPIA!$BZ$3:$CB$400,MATCH($C211,COPIA!$BZ$3:$BZ$400,0),3),""),"")</f>
        <v/>
      </c>
      <c r="H211" s="7" t="str">
        <f t="shared" ca="1" si="7"/>
        <v/>
      </c>
    </row>
    <row r="212" spans="2:8" ht="18" customHeight="1" x14ac:dyDescent="0.3">
      <c r="B212" s="16" t="str">
        <f t="shared" ca="1" si="6"/>
        <v/>
      </c>
      <c r="C212" s="83" t="str">
        <f ca="1">IF(OR(COPIA!$BU$1=1,COPIA!$BU$1=3),COPIA!CO205,IF(COPIA!$BU$1=2,COPIA!BZ205,IF(ROW()=COPIA!$BT$1,"TOTALE","")))</f>
        <v/>
      </c>
      <c r="D212" s="86" t="str">
        <f ca="1">IF(AND(OR(COPIA!$BU$1=1,COPIA!$BU$1=3),INDEX(COPIA!$BT$3:$BV$400,MATCH($C212,COPIA!$BT$3:$BT$400,0),2)&lt;&gt;0),INDEX(COPIA!$BT$3:$BV$400,MATCH($C212,COPIA!$BT$3:$BT$400,0),2),IF(AND(COPIA!$BU$1=2,INDEX(COPIA!$BZ$3:$CB$400,MATCH($C212,COPIA!$BZ$3:$BZ$400,0),2)&lt;&gt;0),INDEX(COPIA!$BZ$3:$CB$400,MATCH($C212,COPIA!$BZ$3:$BZ$400,0),2),""))</f>
        <v/>
      </c>
      <c r="E212" s="86" t="str">
        <f ca="1">IF(AND(OR(COPIA!$BU$1=1,COPIA!$BU$1=3),INDEX(COPIA!$BT$3:$BV$400,MATCH($C212,COPIA!$BT$3:$BT$400,0),3)&lt;&gt;0),INDEX(COPIA!$BT$3:$BV$400,MATCH($C212,COPIA!$BT$3:$BT$400,0),3),IF(AND(COPIA!$BU$1=2,INDEX(COPIA!$BZ$3:$CB$400,MATCH($C212,COPIA!$BZ$3:$BZ$400,0),3)&lt;&gt;0),INDEX(COPIA!$BZ$3:$CB$400,MATCH($C212,COPIA!$BZ$3:$BZ$400,0),3),""))</f>
        <v/>
      </c>
      <c r="F212" s="86" t="str">
        <f ca="1">IFERROR(IF(AND(COPIA!$BU$1=3,INDEX(COPIA!$BZ$3:$CB$400,MATCH($C212,COPIA!$BZ$3:$BZ$400,0),2)&lt;&gt;0),INDEX(COPIA!$BZ$3:$CB$400,MATCH($C212,COPIA!$BZ$3:$BZ$400,0),2),""),"")</f>
        <v/>
      </c>
      <c r="G212" s="86" t="str">
        <f ca="1">IFERROR(IF(AND(COPIA!$BU$1=3,INDEX(COPIA!$BZ$3:$CB$400,MATCH($C212,COPIA!$BZ$3:$BZ$400,0),3)&lt;&gt;0),INDEX(COPIA!$BZ$3:$CB$400,MATCH($C212,COPIA!$BZ$3:$BZ$400,0),3),""),"")</f>
        <v/>
      </c>
      <c r="H212" s="7" t="str">
        <f t="shared" ca="1" si="7"/>
        <v/>
      </c>
    </row>
    <row r="213" spans="2:8" ht="18" customHeight="1" x14ac:dyDescent="0.3">
      <c r="B213" s="16" t="str">
        <f t="shared" ca="1" si="6"/>
        <v/>
      </c>
      <c r="C213" s="83" t="str">
        <f ca="1">IF(OR(COPIA!$BU$1=1,COPIA!$BU$1=3),COPIA!CO206,IF(COPIA!$BU$1=2,COPIA!BZ206,IF(ROW()=COPIA!$BT$1,"TOTALE","")))</f>
        <v/>
      </c>
      <c r="D213" s="86" t="str">
        <f ca="1">IF(AND(OR(COPIA!$BU$1=1,COPIA!$BU$1=3),INDEX(COPIA!$BT$3:$BV$400,MATCH($C213,COPIA!$BT$3:$BT$400,0),2)&lt;&gt;0),INDEX(COPIA!$BT$3:$BV$400,MATCH($C213,COPIA!$BT$3:$BT$400,0),2),IF(AND(COPIA!$BU$1=2,INDEX(COPIA!$BZ$3:$CB$400,MATCH($C213,COPIA!$BZ$3:$BZ$400,0),2)&lt;&gt;0),INDEX(COPIA!$BZ$3:$CB$400,MATCH($C213,COPIA!$BZ$3:$BZ$400,0),2),""))</f>
        <v/>
      </c>
      <c r="E213" s="86" t="str">
        <f ca="1">IF(AND(OR(COPIA!$BU$1=1,COPIA!$BU$1=3),INDEX(COPIA!$BT$3:$BV$400,MATCH($C213,COPIA!$BT$3:$BT$400,0),3)&lt;&gt;0),INDEX(COPIA!$BT$3:$BV$400,MATCH($C213,COPIA!$BT$3:$BT$400,0),3),IF(AND(COPIA!$BU$1=2,INDEX(COPIA!$BZ$3:$CB$400,MATCH($C213,COPIA!$BZ$3:$BZ$400,0),3)&lt;&gt;0),INDEX(COPIA!$BZ$3:$CB$400,MATCH($C213,COPIA!$BZ$3:$BZ$400,0),3),""))</f>
        <v/>
      </c>
      <c r="F213" s="86" t="str">
        <f ca="1">IFERROR(IF(AND(COPIA!$BU$1=3,INDEX(COPIA!$BZ$3:$CB$400,MATCH($C213,COPIA!$BZ$3:$BZ$400,0),2)&lt;&gt;0),INDEX(COPIA!$BZ$3:$CB$400,MATCH($C213,COPIA!$BZ$3:$BZ$400,0),2),""),"")</f>
        <v/>
      </c>
      <c r="G213" s="86" t="str">
        <f ca="1">IFERROR(IF(AND(COPIA!$BU$1=3,INDEX(COPIA!$BZ$3:$CB$400,MATCH($C213,COPIA!$BZ$3:$BZ$400,0),3)&lt;&gt;0),INDEX(COPIA!$BZ$3:$CB$400,MATCH($C213,COPIA!$BZ$3:$BZ$400,0),3),""),"")</f>
        <v/>
      </c>
      <c r="H213" s="7" t="str">
        <f t="shared" ca="1" si="7"/>
        <v/>
      </c>
    </row>
    <row r="214" spans="2:8" ht="18" customHeight="1" x14ac:dyDescent="0.3">
      <c r="B214" s="16" t="str">
        <f t="shared" ca="1" si="6"/>
        <v/>
      </c>
      <c r="C214" s="83" t="str">
        <f ca="1">IF(OR(COPIA!$BU$1=1,COPIA!$BU$1=3),COPIA!CO207,IF(COPIA!$BU$1=2,COPIA!BZ207,IF(ROW()=COPIA!$BT$1,"TOTALE","")))</f>
        <v/>
      </c>
      <c r="D214" s="86" t="str">
        <f ca="1">IF(AND(OR(COPIA!$BU$1=1,COPIA!$BU$1=3),INDEX(COPIA!$BT$3:$BV$400,MATCH($C214,COPIA!$BT$3:$BT$400,0),2)&lt;&gt;0),INDEX(COPIA!$BT$3:$BV$400,MATCH($C214,COPIA!$BT$3:$BT$400,0),2),IF(AND(COPIA!$BU$1=2,INDEX(COPIA!$BZ$3:$CB$400,MATCH($C214,COPIA!$BZ$3:$BZ$400,0),2)&lt;&gt;0),INDEX(COPIA!$BZ$3:$CB$400,MATCH($C214,COPIA!$BZ$3:$BZ$400,0),2),""))</f>
        <v/>
      </c>
      <c r="E214" s="86" t="str">
        <f ca="1">IF(AND(OR(COPIA!$BU$1=1,COPIA!$BU$1=3),INDEX(COPIA!$BT$3:$BV$400,MATCH($C214,COPIA!$BT$3:$BT$400,0),3)&lt;&gt;0),INDEX(COPIA!$BT$3:$BV$400,MATCH($C214,COPIA!$BT$3:$BT$400,0),3),IF(AND(COPIA!$BU$1=2,INDEX(COPIA!$BZ$3:$CB$400,MATCH($C214,COPIA!$BZ$3:$BZ$400,0),3)&lt;&gt;0),INDEX(COPIA!$BZ$3:$CB$400,MATCH($C214,COPIA!$BZ$3:$BZ$400,0),3),""))</f>
        <v/>
      </c>
      <c r="F214" s="86" t="str">
        <f ca="1">IFERROR(IF(AND(COPIA!$BU$1=3,INDEX(COPIA!$BZ$3:$CB$400,MATCH($C214,COPIA!$BZ$3:$BZ$400,0),2)&lt;&gt;0),INDEX(COPIA!$BZ$3:$CB$400,MATCH($C214,COPIA!$BZ$3:$BZ$400,0),2),""),"")</f>
        <v/>
      </c>
      <c r="G214" s="86" t="str">
        <f ca="1">IFERROR(IF(AND(COPIA!$BU$1=3,INDEX(COPIA!$BZ$3:$CB$400,MATCH($C214,COPIA!$BZ$3:$BZ$400,0),3)&lt;&gt;0),INDEX(COPIA!$BZ$3:$CB$400,MATCH($C214,COPIA!$BZ$3:$BZ$400,0),3),""),"")</f>
        <v/>
      </c>
      <c r="H214" s="7" t="str">
        <f t="shared" ca="1" si="7"/>
        <v/>
      </c>
    </row>
    <row r="215" spans="2:8" ht="18" customHeight="1" x14ac:dyDescent="0.3">
      <c r="B215" s="16" t="str">
        <f t="shared" ca="1" si="6"/>
        <v/>
      </c>
      <c r="C215" s="83" t="str">
        <f ca="1">IF(OR(COPIA!$BU$1=1,COPIA!$BU$1=3),COPIA!CO208,IF(COPIA!$BU$1=2,COPIA!BZ208,IF(ROW()=COPIA!$BT$1,"TOTALE","")))</f>
        <v/>
      </c>
      <c r="D215" s="86" t="str">
        <f ca="1">IF(AND(OR(COPIA!$BU$1=1,COPIA!$BU$1=3),INDEX(COPIA!$BT$3:$BV$400,MATCH($C215,COPIA!$BT$3:$BT$400,0),2)&lt;&gt;0),INDEX(COPIA!$BT$3:$BV$400,MATCH($C215,COPIA!$BT$3:$BT$400,0),2),IF(AND(COPIA!$BU$1=2,INDEX(COPIA!$BZ$3:$CB$400,MATCH($C215,COPIA!$BZ$3:$BZ$400,0),2)&lt;&gt;0),INDEX(COPIA!$BZ$3:$CB$400,MATCH($C215,COPIA!$BZ$3:$BZ$400,0),2),""))</f>
        <v/>
      </c>
      <c r="E215" s="86" t="str">
        <f ca="1">IF(AND(OR(COPIA!$BU$1=1,COPIA!$BU$1=3),INDEX(COPIA!$BT$3:$BV$400,MATCH($C215,COPIA!$BT$3:$BT$400,0),3)&lt;&gt;0),INDEX(COPIA!$BT$3:$BV$400,MATCH($C215,COPIA!$BT$3:$BT$400,0),3),IF(AND(COPIA!$BU$1=2,INDEX(COPIA!$BZ$3:$CB$400,MATCH($C215,COPIA!$BZ$3:$BZ$400,0),3)&lt;&gt;0),INDEX(COPIA!$BZ$3:$CB$400,MATCH($C215,COPIA!$BZ$3:$BZ$400,0),3),""))</f>
        <v/>
      </c>
      <c r="F215" s="86" t="str">
        <f ca="1">IFERROR(IF(AND(COPIA!$BU$1=3,INDEX(COPIA!$BZ$3:$CB$400,MATCH($C215,COPIA!$BZ$3:$BZ$400,0),2)&lt;&gt;0),INDEX(COPIA!$BZ$3:$CB$400,MATCH($C215,COPIA!$BZ$3:$BZ$400,0),2),""),"")</f>
        <v/>
      </c>
      <c r="G215" s="86" t="str">
        <f ca="1">IFERROR(IF(AND(COPIA!$BU$1=3,INDEX(COPIA!$BZ$3:$CB$400,MATCH($C215,COPIA!$BZ$3:$BZ$400,0),3)&lt;&gt;0),INDEX(COPIA!$BZ$3:$CB$400,MATCH($C215,COPIA!$BZ$3:$BZ$400,0),3),""),"")</f>
        <v/>
      </c>
      <c r="H215" s="7" t="str">
        <f t="shared" ca="1" si="7"/>
        <v/>
      </c>
    </row>
    <row r="216" spans="2:8" ht="18" customHeight="1" x14ac:dyDescent="0.3">
      <c r="B216" s="16" t="str">
        <f t="shared" ca="1" si="6"/>
        <v/>
      </c>
      <c r="C216" s="83" t="str">
        <f ca="1">IF(OR(COPIA!$BU$1=1,COPIA!$BU$1=3),COPIA!CO209,IF(COPIA!$BU$1=2,COPIA!BZ209,IF(ROW()=COPIA!$BT$1,"TOTALE","")))</f>
        <v/>
      </c>
      <c r="D216" s="86" t="str">
        <f ca="1">IF(AND(OR(COPIA!$BU$1=1,COPIA!$BU$1=3),INDEX(COPIA!$BT$3:$BV$400,MATCH($C216,COPIA!$BT$3:$BT$400,0),2)&lt;&gt;0),INDEX(COPIA!$BT$3:$BV$400,MATCH($C216,COPIA!$BT$3:$BT$400,0),2),IF(AND(COPIA!$BU$1=2,INDEX(COPIA!$BZ$3:$CB$400,MATCH($C216,COPIA!$BZ$3:$BZ$400,0),2)&lt;&gt;0),INDEX(COPIA!$BZ$3:$CB$400,MATCH($C216,COPIA!$BZ$3:$BZ$400,0),2),""))</f>
        <v/>
      </c>
      <c r="E216" s="86" t="str">
        <f ca="1">IF(AND(OR(COPIA!$BU$1=1,COPIA!$BU$1=3),INDEX(COPIA!$BT$3:$BV$400,MATCH($C216,COPIA!$BT$3:$BT$400,0),3)&lt;&gt;0),INDEX(COPIA!$BT$3:$BV$400,MATCH($C216,COPIA!$BT$3:$BT$400,0),3),IF(AND(COPIA!$BU$1=2,INDEX(COPIA!$BZ$3:$CB$400,MATCH($C216,COPIA!$BZ$3:$BZ$400,0),3)&lt;&gt;0),INDEX(COPIA!$BZ$3:$CB$400,MATCH($C216,COPIA!$BZ$3:$BZ$400,0),3),""))</f>
        <v/>
      </c>
      <c r="F216" s="86" t="str">
        <f ca="1">IFERROR(IF(AND(COPIA!$BU$1=3,INDEX(COPIA!$BZ$3:$CB$400,MATCH($C216,COPIA!$BZ$3:$BZ$400,0),2)&lt;&gt;0),INDEX(COPIA!$BZ$3:$CB$400,MATCH($C216,COPIA!$BZ$3:$BZ$400,0),2),""),"")</f>
        <v/>
      </c>
      <c r="G216" s="86" t="str">
        <f ca="1">IFERROR(IF(AND(COPIA!$BU$1=3,INDEX(COPIA!$BZ$3:$CB$400,MATCH($C216,COPIA!$BZ$3:$BZ$400,0),3)&lt;&gt;0),INDEX(COPIA!$BZ$3:$CB$400,MATCH($C216,COPIA!$BZ$3:$BZ$400,0),3),""),"")</f>
        <v/>
      </c>
      <c r="H216" s="7" t="str">
        <f t="shared" ca="1" si="7"/>
        <v/>
      </c>
    </row>
    <row r="217" spans="2:8" ht="18" customHeight="1" x14ac:dyDescent="0.3">
      <c r="B217" s="16" t="str">
        <f t="shared" ca="1" si="6"/>
        <v/>
      </c>
      <c r="C217" s="83" t="str">
        <f ca="1">IF(OR(COPIA!$BU$1=1,COPIA!$BU$1=3),COPIA!CO210,IF(COPIA!$BU$1=2,COPIA!BZ210,IF(ROW()=COPIA!$BT$1,"TOTALE","")))</f>
        <v/>
      </c>
      <c r="D217" s="86" t="str">
        <f ca="1">IF(AND(OR(COPIA!$BU$1=1,COPIA!$BU$1=3),INDEX(COPIA!$BT$3:$BV$400,MATCH($C217,COPIA!$BT$3:$BT$400,0),2)&lt;&gt;0),INDEX(COPIA!$BT$3:$BV$400,MATCH($C217,COPIA!$BT$3:$BT$400,0),2),IF(AND(COPIA!$BU$1=2,INDEX(COPIA!$BZ$3:$CB$400,MATCH($C217,COPIA!$BZ$3:$BZ$400,0),2)&lt;&gt;0),INDEX(COPIA!$BZ$3:$CB$400,MATCH($C217,COPIA!$BZ$3:$BZ$400,0),2),""))</f>
        <v/>
      </c>
      <c r="E217" s="86" t="str">
        <f ca="1">IF(AND(OR(COPIA!$BU$1=1,COPIA!$BU$1=3),INDEX(COPIA!$BT$3:$BV$400,MATCH($C217,COPIA!$BT$3:$BT$400,0),3)&lt;&gt;0),INDEX(COPIA!$BT$3:$BV$400,MATCH($C217,COPIA!$BT$3:$BT$400,0),3),IF(AND(COPIA!$BU$1=2,INDEX(COPIA!$BZ$3:$CB$400,MATCH($C217,COPIA!$BZ$3:$BZ$400,0),3)&lt;&gt;0),INDEX(COPIA!$BZ$3:$CB$400,MATCH($C217,COPIA!$BZ$3:$BZ$400,0),3),""))</f>
        <v/>
      </c>
      <c r="F217" s="86" t="str">
        <f ca="1">IFERROR(IF(AND(COPIA!$BU$1=3,INDEX(COPIA!$BZ$3:$CB$400,MATCH($C217,COPIA!$BZ$3:$BZ$400,0),2)&lt;&gt;0),INDEX(COPIA!$BZ$3:$CB$400,MATCH($C217,COPIA!$BZ$3:$BZ$400,0),2),""),"")</f>
        <v/>
      </c>
      <c r="G217" s="86" t="str">
        <f ca="1">IFERROR(IF(AND(COPIA!$BU$1=3,INDEX(COPIA!$BZ$3:$CB$400,MATCH($C217,COPIA!$BZ$3:$BZ$400,0),3)&lt;&gt;0),INDEX(COPIA!$BZ$3:$CB$400,MATCH($C217,COPIA!$BZ$3:$BZ$400,0),3),""),"")</f>
        <v/>
      </c>
      <c r="H217" s="7" t="str">
        <f t="shared" ca="1" si="7"/>
        <v/>
      </c>
    </row>
    <row r="218" spans="2:8" ht="18" customHeight="1" x14ac:dyDescent="0.3">
      <c r="B218" s="16" t="str">
        <f t="shared" ca="1" si="6"/>
        <v/>
      </c>
      <c r="C218" s="83" t="str">
        <f ca="1">IF(OR(COPIA!$BU$1=1,COPIA!$BU$1=3),COPIA!CO211,IF(COPIA!$BU$1=2,COPIA!BZ211,IF(ROW()=COPIA!$BT$1,"TOTALE","")))</f>
        <v/>
      </c>
      <c r="D218" s="86" t="str">
        <f ca="1">IF(AND(OR(COPIA!$BU$1=1,COPIA!$BU$1=3),INDEX(COPIA!$BT$3:$BV$400,MATCH($C218,COPIA!$BT$3:$BT$400,0),2)&lt;&gt;0),INDEX(COPIA!$BT$3:$BV$400,MATCH($C218,COPIA!$BT$3:$BT$400,0),2),IF(AND(COPIA!$BU$1=2,INDEX(COPIA!$BZ$3:$CB$400,MATCH($C218,COPIA!$BZ$3:$BZ$400,0),2)&lt;&gt;0),INDEX(COPIA!$BZ$3:$CB$400,MATCH($C218,COPIA!$BZ$3:$BZ$400,0),2),""))</f>
        <v/>
      </c>
      <c r="E218" s="86" t="str">
        <f ca="1">IF(AND(OR(COPIA!$BU$1=1,COPIA!$BU$1=3),INDEX(COPIA!$BT$3:$BV$400,MATCH($C218,COPIA!$BT$3:$BT$400,0),3)&lt;&gt;0),INDEX(COPIA!$BT$3:$BV$400,MATCH($C218,COPIA!$BT$3:$BT$400,0),3),IF(AND(COPIA!$BU$1=2,INDEX(COPIA!$BZ$3:$CB$400,MATCH($C218,COPIA!$BZ$3:$BZ$400,0),3)&lt;&gt;0),INDEX(COPIA!$BZ$3:$CB$400,MATCH($C218,COPIA!$BZ$3:$BZ$400,0),3),""))</f>
        <v/>
      </c>
      <c r="F218" s="86" t="str">
        <f ca="1">IFERROR(IF(AND(COPIA!$BU$1=3,INDEX(COPIA!$BZ$3:$CB$400,MATCH($C218,COPIA!$BZ$3:$BZ$400,0),2)&lt;&gt;0),INDEX(COPIA!$BZ$3:$CB$400,MATCH($C218,COPIA!$BZ$3:$BZ$400,0),2),""),"")</f>
        <v/>
      </c>
      <c r="G218" s="86" t="str">
        <f ca="1">IFERROR(IF(AND(COPIA!$BU$1=3,INDEX(COPIA!$BZ$3:$CB$400,MATCH($C218,COPIA!$BZ$3:$BZ$400,0),3)&lt;&gt;0),INDEX(COPIA!$BZ$3:$CB$400,MATCH($C218,COPIA!$BZ$3:$BZ$400,0),3),""),"")</f>
        <v/>
      </c>
      <c r="H218" s="7" t="str">
        <f t="shared" ca="1" si="7"/>
        <v/>
      </c>
    </row>
    <row r="219" spans="2:8" ht="18" customHeight="1" x14ac:dyDescent="0.3">
      <c r="B219" s="16" t="str">
        <f t="shared" ca="1" si="6"/>
        <v/>
      </c>
      <c r="C219" s="83" t="str">
        <f ca="1">IF(OR(COPIA!$BU$1=1,COPIA!$BU$1=3),COPIA!CO212,IF(COPIA!$BU$1=2,COPIA!BZ212,IF(ROW()=COPIA!$BT$1,"TOTALE","")))</f>
        <v/>
      </c>
      <c r="D219" s="86" t="str">
        <f ca="1">IF(AND(OR(COPIA!$BU$1=1,COPIA!$BU$1=3),INDEX(COPIA!$BT$3:$BV$400,MATCH($C219,COPIA!$BT$3:$BT$400,0),2)&lt;&gt;0),INDEX(COPIA!$BT$3:$BV$400,MATCH($C219,COPIA!$BT$3:$BT$400,0),2),IF(AND(COPIA!$BU$1=2,INDEX(COPIA!$BZ$3:$CB$400,MATCH($C219,COPIA!$BZ$3:$BZ$400,0),2)&lt;&gt;0),INDEX(COPIA!$BZ$3:$CB$400,MATCH($C219,COPIA!$BZ$3:$BZ$400,0),2),""))</f>
        <v/>
      </c>
      <c r="E219" s="86" t="str">
        <f ca="1">IF(AND(OR(COPIA!$BU$1=1,COPIA!$BU$1=3),INDEX(COPIA!$BT$3:$BV$400,MATCH($C219,COPIA!$BT$3:$BT$400,0),3)&lt;&gt;0),INDEX(COPIA!$BT$3:$BV$400,MATCH($C219,COPIA!$BT$3:$BT$400,0),3),IF(AND(COPIA!$BU$1=2,INDEX(COPIA!$BZ$3:$CB$400,MATCH($C219,COPIA!$BZ$3:$BZ$400,0),3)&lt;&gt;0),INDEX(COPIA!$BZ$3:$CB$400,MATCH($C219,COPIA!$BZ$3:$BZ$400,0),3),""))</f>
        <v/>
      </c>
      <c r="F219" s="86" t="str">
        <f ca="1">IFERROR(IF(AND(COPIA!$BU$1=3,INDEX(COPIA!$BZ$3:$CB$400,MATCH($C219,COPIA!$BZ$3:$BZ$400,0),2)&lt;&gt;0),INDEX(COPIA!$BZ$3:$CB$400,MATCH($C219,COPIA!$BZ$3:$BZ$400,0),2),""),"")</f>
        <v/>
      </c>
      <c r="G219" s="86" t="str">
        <f ca="1">IFERROR(IF(AND(COPIA!$BU$1=3,INDEX(COPIA!$BZ$3:$CB$400,MATCH($C219,COPIA!$BZ$3:$BZ$400,0),3)&lt;&gt;0),INDEX(COPIA!$BZ$3:$CB$400,MATCH($C219,COPIA!$BZ$3:$BZ$400,0),3),""),"")</f>
        <v/>
      </c>
      <c r="H219" s="7" t="str">
        <f t="shared" ca="1" si="7"/>
        <v/>
      </c>
    </row>
    <row r="220" spans="2:8" ht="18" customHeight="1" x14ac:dyDescent="0.3">
      <c r="B220" s="16" t="str">
        <f t="shared" ca="1" si="6"/>
        <v/>
      </c>
      <c r="C220" s="83" t="str">
        <f ca="1">IF(OR(COPIA!$BU$1=1,COPIA!$BU$1=3),COPIA!CO213,IF(COPIA!$BU$1=2,COPIA!BZ213,IF(ROW()=COPIA!$BT$1,"TOTALE","")))</f>
        <v/>
      </c>
      <c r="D220" s="86" t="str">
        <f ca="1">IF(AND(OR(COPIA!$BU$1=1,COPIA!$BU$1=3),INDEX(COPIA!$BT$3:$BV$400,MATCH($C220,COPIA!$BT$3:$BT$400,0),2)&lt;&gt;0),INDEX(COPIA!$BT$3:$BV$400,MATCH($C220,COPIA!$BT$3:$BT$400,0),2),IF(AND(COPIA!$BU$1=2,INDEX(COPIA!$BZ$3:$CB$400,MATCH($C220,COPIA!$BZ$3:$BZ$400,0),2)&lt;&gt;0),INDEX(COPIA!$BZ$3:$CB$400,MATCH($C220,COPIA!$BZ$3:$BZ$400,0),2),""))</f>
        <v/>
      </c>
      <c r="E220" s="86" t="str">
        <f ca="1">IF(AND(OR(COPIA!$BU$1=1,COPIA!$BU$1=3),INDEX(COPIA!$BT$3:$BV$400,MATCH($C220,COPIA!$BT$3:$BT$400,0),3)&lt;&gt;0),INDEX(COPIA!$BT$3:$BV$400,MATCH($C220,COPIA!$BT$3:$BT$400,0),3),IF(AND(COPIA!$BU$1=2,INDEX(COPIA!$BZ$3:$CB$400,MATCH($C220,COPIA!$BZ$3:$BZ$400,0),3)&lt;&gt;0),INDEX(COPIA!$BZ$3:$CB$400,MATCH($C220,COPIA!$BZ$3:$BZ$400,0),3),""))</f>
        <v/>
      </c>
      <c r="F220" s="86" t="str">
        <f ca="1">IFERROR(IF(AND(COPIA!$BU$1=3,INDEX(COPIA!$BZ$3:$CB$400,MATCH($C220,COPIA!$BZ$3:$BZ$400,0),2)&lt;&gt;0),INDEX(COPIA!$BZ$3:$CB$400,MATCH($C220,COPIA!$BZ$3:$BZ$400,0),2),""),"")</f>
        <v/>
      </c>
      <c r="G220" s="86" t="str">
        <f ca="1">IFERROR(IF(AND(COPIA!$BU$1=3,INDEX(COPIA!$BZ$3:$CB$400,MATCH($C220,COPIA!$BZ$3:$BZ$400,0),3)&lt;&gt;0),INDEX(COPIA!$BZ$3:$CB$400,MATCH($C220,COPIA!$BZ$3:$BZ$400,0),3),""),"")</f>
        <v/>
      </c>
      <c r="H220" s="7" t="str">
        <f t="shared" ca="1" si="7"/>
        <v/>
      </c>
    </row>
    <row r="221" spans="2:8" ht="18" customHeight="1" x14ac:dyDescent="0.3">
      <c r="B221" s="16" t="str">
        <f t="shared" ca="1" si="6"/>
        <v/>
      </c>
      <c r="C221" s="83" t="str">
        <f ca="1">IF(OR(COPIA!$BU$1=1,COPIA!$BU$1=3),COPIA!CO214,IF(COPIA!$BU$1=2,COPIA!BZ214,IF(ROW()=COPIA!$BT$1,"TOTALE","")))</f>
        <v/>
      </c>
      <c r="D221" s="86" t="str">
        <f ca="1">IF(AND(OR(COPIA!$BU$1=1,COPIA!$BU$1=3),INDEX(COPIA!$BT$3:$BV$400,MATCH($C221,COPIA!$BT$3:$BT$400,0),2)&lt;&gt;0),INDEX(COPIA!$BT$3:$BV$400,MATCH($C221,COPIA!$BT$3:$BT$400,0),2),IF(AND(COPIA!$BU$1=2,INDEX(COPIA!$BZ$3:$CB$400,MATCH($C221,COPIA!$BZ$3:$BZ$400,0),2)&lt;&gt;0),INDEX(COPIA!$BZ$3:$CB$400,MATCH($C221,COPIA!$BZ$3:$BZ$400,0),2),""))</f>
        <v/>
      </c>
      <c r="E221" s="86" t="str">
        <f ca="1">IF(AND(OR(COPIA!$BU$1=1,COPIA!$BU$1=3),INDEX(COPIA!$BT$3:$BV$400,MATCH($C221,COPIA!$BT$3:$BT$400,0),3)&lt;&gt;0),INDEX(COPIA!$BT$3:$BV$400,MATCH($C221,COPIA!$BT$3:$BT$400,0),3),IF(AND(COPIA!$BU$1=2,INDEX(COPIA!$BZ$3:$CB$400,MATCH($C221,COPIA!$BZ$3:$BZ$400,0),3)&lt;&gt;0),INDEX(COPIA!$BZ$3:$CB$400,MATCH($C221,COPIA!$BZ$3:$BZ$400,0),3),""))</f>
        <v/>
      </c>
      <c r="F221" s="86" t="str">
        <f ca="1">IFERROR(IF(AND(COPIA!$BU$1=3,INDEX(COPIA!$BZ$3:$CB$400,MATCH($C221,COPIA!$BZ$3:$BZ$400,0),2)&lt;&gt;0),INDEX(COPIA!$BZ$3:$CB$400,MATCH($C221,COPIA!$BZ$3:$BZ$400,0),2),""),"")</f>
        <v/>
      </c>
      <c r="G221" s="86" t="str">
        <f ca="1">IFERROR(IF(AND(COPIA!$BU$1=3,INDEX(COPIA!$BZ$3:$CB$400,MATCH($C221,COPIA!$BZ$3:$BZ$400,0),3)&lt;&gt;0),INDEX(COPIA!$BZ$3:$CB$400,MATCH($C221,COPIA!$BZ$3:$BZ$400,0),3),""),"")</f>
        <v/>
      </c>
      <c r="H221" s="7" t="str">
        <f t="shared" ca="1" si="7"/>
        <v/>
      </c>
    </row>
    <row r="222" spans="2:8" ht="18" customHeight="1" x14ac:dyDescent="0.3">
      <c r="B222" s="16" t="str">
        <f t="shared" ca="1" si="6"/>
        <v/>
      </c>
      <c r="C222" s="83" t="str">
        <f ca="1">IF(OR(COPIA!$BU$1=1,COPIA!$BU$1=3),COPIA!CO215,IF(COPIA!$BU$1=2,COPIA!BZ215,IF(ROW()=COPIA!$BT$1,"TOTALE","")))</f>
        <v/>
      </c>
      <c r="D222" s="86" t="str">
        <f ca="1">IF(AND(OR(COPIA!$BU$1=1,COPIA!$BU$1=3),INDEX(COPIA!$BT$3:$BV$400,MATCH($C222,COPIA!$BT$3:$BT$400,0),2)&lt;&gt;0),INDEX(COPIA!$BT$3:$BV$400,MATCH($C222,COPIA!$BT$3:$BT$400,0),2),IF(AND(COPIA!$BU$1=2,INDEX(COPIA!$BZ$3:$CB$400,MATCH($C222,COPIA!$BZ$3:$BZ$400,0),2)&lt;&gt;0),INDEX(COPIA!$BZ$3:$CB$400,MATCH($C222,COPIA!$BZ$3:$BZ$400,0),2),""))</f>
        <v/>
      </c>
      <c r="E222" s="86" t="str">
        <f ca="1">IF(AND(OR(COPIA!$BU$1=1,COPIA!$BU$1=3),INDEX(COPIA!$BT$3:$BV$400,MATCH($C222,COPIA!$BT$3:$BT$400,0),3)&lt;&gt;0),INDEX(COPIA!$BT$3:$BV$400,MATCH($C222,COPIA!$BT$3:$BT$400,0),3),IF(AND(COPIA!$BU$1=2,INDEX(COPIA!$BZ$3:$CB$400,MATCH($C222,COPIA!$BZ$3:$BZ$400,0),3)&lt;&gt;0),INDEX(COPIA!$BZ$3:$CB$400,MATCH($C222,COPIA!$BZ$3:$BZ$400,0),3),""))</f>
        <v/>
      </c>
      <c r="F222" s="86" t="str">
        <f ca="1">IFERROR(IF(AND(COPIA!$BU$1=3,INDEX(COPIA!$BZ$3:$CB$400,MATCH($C222,COPIA!$BZ$3:$BZ$400,0),2)&lt;&gt;0),INDEX(COPIA!$BZ$3:$CB$400,MATCH($C222,COPIA!$BZ$3:$BZ$400,0),2),""),"")</f>
        <v/>
      </c>
      <c r="G222" s="86" t="str">
        <f ca="1">IFERROR(IF(AND(COPIA!$BU$1=3,INDEX(COPIA!$BZ$3:$CB$400,MATCH($C222,COPIA!$BZ$3:$BZ$400,0),3)&lt;&gt;0),INDEX(COPIA!$BZ$3:$CB$400,MATCH($C222,COPIA!$BZ$3:$BZ$400,0),3),""),"")</f>
        <v/>
      </c>
      <c r="H222" s="7" t="str">
        <f t="shared" ca="1" si="7"/>
        <v/>
      </c>
    </row>
    <row r="223" spans="2:8" ht="18" customHeight="1" x14ac:dyDescent="0.3">
      <c r="B223" s="16" t="str">
        <f t="shared" ca="1" si="6"/>
        <v/>
      </c>
      <c r="C223" s="83" t="str">
        <f ca="1">IF(OR(COPIA!$BU$1=1,COPIA!$BU$1=3),COPIA!CO216,IF(COPIA!$BU$1=2,COPIA!BZ216,IF(ROW()=COPIA!$BT$1,"TOTALE","")))</f>
        <v/>
      </c>
      <c r="D223" s="86" t="str">
        <f ca="1">IF(AND(OR(COPIA!$BU$1=1,COPIA!$BU$1=3),INDEX(COPIA!$BT$3:$BV$400,MATCH($C223,COPIA!$BT$3:$BT$400,0),2)&lt;&gt;0),INDEX(COPIA!$BT$3:$BV$400,MATCH($C223,COPIA!$BT$3:$BT$400,0),2),IF(AND(COPIA!$BU$1=2,INDEX(COPIA!$BZ$3:$CB$400,MATCH($C223,COPIA!$BZ$3:$BZ$400,0),2)&lt;&gt;0),INDEX(COPIA!$BZ$3:$CB$400,MATCH($C223,COPIA!$BZ$3:$BZ$400,0),2),""))</f>
        <v/>
      </c>
      <c r="E223" s="86" t="str">
        <f ca="1">IF(AND(OR(COPIA!$BU$1=1,COPIA!$BU$1=3),INDEX(COPIA!$BT$3:$BV$400,MATCH($C223,COPIA!$BT$3:$BT$400,0),3)&lt;&gt;0),INDEX(COPIA!$BT$3:$BV$400,MATCH($C223,COPIA!$BT$3:$BT$400,0),3),IF(AND(COPIA!$BU$1=2,INDEX(COPIA!$BZ$3:$CB$400,MATCH($C223,COPIA!$BZ$3:$BZ$400,0),3)&lt;&gt;0),INDEX(COPIA!$BZ$3:$CB$400,MATCH($C223,COPIA!$BZ$3:$BZ$400,0),3),""))</f>
        <v/>
      </c>
      <c r="F223" s="86" t="str">
        <f ca="1">IFERROR(IF(AND(COPIA!$BU$1=3,INDEX(COPIA!$BZ$3:$CB$400,MATCH($C223,COPIA!$BZ$3:$BZ$400,0),2)&lt;&gt;0),INDEX(COPIA!$BZ$3:$CB$400,MATCH($C223,COPIA!$BZ$3:$BZ$400,0),2),""),"")</f>
        <v/>
      </c>
      <c r="G223" s="86" t="str">
        <f ca="1">IFERROR(IF(AND(COPIA!$BU$1=3,INDEX(COPIA!$BZ$3:$CB$400,MATCH($C223,COPIA!$BZ$3:$BZ$400,0),3)&lt;&gt;0),INDEX(COPIA!$BZ$3:$CB$400,MATCH($C223,COPIA!$BZ$3:$BZ$400,0),3),""),"")</f>
        <v/>
      </c>
      <c r="H223" s="7" t="str">
        <f t="shared" ca="1" si="7"/>
        <v/>
      </c>
    </row>
    <row r="224" spans="2:8" ht="18" customHeight="1" x14ac:dyDescent="0.3">
      <c r="B224" s="16" t="str">
        <f t="shared" ca="1" si="6"/>
        <v/>
      </c>
      <c r="C224" s="83" t="str">
        <f ca="1">IF(OR(COPIA!$BU$1=1,COPIA!$BU$1=3),COPIA!CO217,IF(COPIA!$BU$1=2,COPIA!BZ217,IF(ROW()=COPIA!$BT$1,"TOTALE","")))</f>
        <v/>
      </c>
      <c r="D224" s="86" t="str">
        <f ca="1">IF(AND(OR(COPIA!$BU$1=1,COPIA!$BU$1=3),INDEX(COPIA!$BT$3:$BV$400,MATCH($C224,COPIA!$BT$3:$BT$400,0),2)&lt;&gt;0),INDEX(COPIA!$BT$3:$BV$400,MATCH($C224,COPIA!$BT$3:$BT$400,0),2),IF(AND(COPIA!$BU$1=2,INDEX(COPIA!$BZ$3:$CB$400,MATCH($C224,COPIA!$BZ$3:$BZ$400,0),2)&lt;&gt;0),INDEX(COPIA!$BZ$3:$CB$400,MATCH($C224,COPIA!$BZ$3:$BZ$400,0),2),""))</f>
        <v/>
      </c>
      <c r="E224" s="86" t="str">
        <f ca="1">IF(AND(OR(COPIA!$BU$1=1,COPIA!$BU$1=3),INDEX(COPIA!$BT$3:$BV$400,MATCH($C224,COPIA!$BT$3:$BT$400,0),3)&lt;&gt;0),INDEX(COPIA!$BT$3:$BV$400,MATCH($C224,COPIA!$BT$3:$BT$400,0),3),IF(AND(COPIA!$BU$1=2,INDEX(COPIA!$BZ$3:$CB$400,MATCH($C224,COPIA!$BZ$3:$BZ$400,0),3)&lt;&gt;0),INDEX(COPIA!$BZ$3:$CB$400,MATCH($C224,COPIA!$BZ$3:$BZ$400,0),3),""))</f>
        <v/>
      </c>
      <c r="F224" s="86" t="str">
        <f ca="1">IFERROR(IF(AND(COPIA!$BU$1=3,INDEX(COPIA!$BZ$3:$CB$400,MATCH($C224,COPIA!$BZ$3:$BZ$400,0),2)&lt;&gt;0),INDEX(COPIA!$BZ$3:$CB$400,MATCH($C224,COPIA!$BZ$3:$BZ$400,0),2),""),"")</f>
        <v/>
      </c>
      <c r="G224" s="86" t="str">
        <f ca="1">IFERROR(IF(AND(COPIA!$BU$1=3,INDEX(COPIA!$BZ$3:$CB$400,MATCH($C224,COPIA!$BZ$3:$BZ$400,0),3)&lt;&gt;0),INDEX(COPIA!$BZ$3:$CB$400,MATCH($C224,COPIA!$BZ$3:$BZ$400,0),3),""),"")</f>
        <v/>
      </c>
      <c r="H224" s="7" t="str">
        <f t="shared" ca="1" si="7"/>
        <v/>
      </c>
    </row>
    <row r="225" spans="2:8" ht="18" customHeight="1" x14ac:dyDescent="0.3">
      <c r="B225" s="16" t="str">
        <f t="shared" ca="1" si="6"/>
        <v/>
      </c>
      <c r="C225" s="83" t="str">
        <f ca="1">IF(OR(COPIA!$BU$1=1,COPIA!$BU$1=3),COPIA!CO218,IF(COPIA!$BU$1=2,COPIA!BZ218,IF(ROW()=COPIA!$BT$1,"TOTALE","")))</f>
        <v/>
      </c>
      <c r="D225" s="86" t="str">
        <f ca="1">IF(AND(OR(COPIA!$BU$1=1,COPIA!$BU$1=3),INDEX(COPIA!$BT$3:$BV$400,MATCH($C225,COPIA!$BT$3:$BT$400,0),2)&lt;&gt;0),INDEX(COPIA!$BT$3:$BV$400,MATCH($C225,COPIA!$BT$3:$BT$400,0),2),IF(AND(COPIA!$BU$1=2,INDEX(COPIA!$BZ$3:$CB$400,MATCH($C225,COPIA!$BZ$3:$BZ$400,0),2)&lt;&gt;0),INDEX(COPIA!$BZ$3:$CB$400,MATCH($C225,COPIA!$BZ$3:$BZ$400,0),2),""))</f>
        <v/>
      </c>
      <c r="E225" s="86" t="str">
        <f ca="1">IF(AND(OR(COPIA!$BU$1=1,COPIA!$BU$1=3),INDEX(COPIA!$BT$3:$BV$400,MATCH($C225,COPIA!$BT$3:$BT$400,0),3)&lt;&gt;0),INDEX(COPIA!$BT$3:$BV$400,MATCH($C225,COPIA!$BT$3:$BT$400,0),3),IF(AND(COPIA!$BU$1=2,INDEX(COPIA!$BZ$3:$CB$400,MATCH($C225,COPIA!$BZ$3:$BZ$400,0),3)&lt;&gt;0),INDEX(COPIA!$BZ$3:$CB$400,MATCH($C225,COPIA!$BZ$3:$BZ$400,0),3),""))</f>
        <v/>
      </c>
      <c r="F225" s="86" t="str">
        <f ca="1">IFERROR(IF(AND(COPIA!$BU$1=3,INDEX(COPIA!$BZ$3:$CB$400,MATCH($C225,COPIA!$BZ$3:$BZ$400,0),2)&lt;&gt;0),INDEX(COPIA!$BZ$3:$CB$400,MATCH($C225,COPIA!$BZ$3:$BZ$400,0),2),""),"")</f>
        <v/>
      </c>
      <c r="G225" s="86" t="str">
        <f ca="1">IFERROR(IF(AND(COPIA!$BU$1=3,INDEX(COPIA!$BZ$3:$CB$400,MATCH($C225,COPIA!$BZ$3:$BZ$400,0),3)&lt;&gt;0),INDEX(COPIA!$BZ$3:$CB$400,MATCH($C225,COPIA!$BZ$3:$BZ$400,0),3),""),"")</f>
        <v/>
      </c>
      <c r="H225" s="7" t="str">
        <f t="shared" ca="1" si="7"/>
        <v/>
      </c>
    </row>
    <row r="226" spans="2:8" ht="18" customHeight="1" x14ac:dyDescent="0.3">
      <c r="B226" s="16" t="str">
        <f t="shared" ca="1" si="6"/>
        <v/>
      </c>
      <c r="C226" s="83" t="str">
        <f ca="1">IF(OR(COPIA!$BU$1=1,COPIA!$BU$1=3),COPIA!CO219,IF(COPIA!$BU$1=2,COPIA!BZ219,IF(ROW()=COPIA!$BT$1,"TOTALE","")))</f>
        <v/>
      </c>
      <c r="D226" s="86" t="str">
        <f ca="1">IF(AND(OR(COPIA!$BU$1=1,COPIA!$BU$1=3),INDEX(COPIA!$BT$3:$BV$400,MATCH($C226,COPIA!$BT$3:$BT$400,0),2)&lt;&gt;0),INDEX(COPIA!$BT$3:$BV$400,MATCH($C226,COPIA!$BT$3:$BT$400,0),2),IF(AND(COPIA!$BU$1=2,INDEX(COPIA!$BZ$3:$CB$400,MATCH($C226,COPIA!$BZ$3:$BZ$400,0),2)&lt;&gt;0),INDEX(COPIA!$BZ$3:$CB$400,MATCH($C226,COPIA!$BZ$3:$BZ$400,0),2),""))</f>
        <v/>
      </c>
      <c r="E226" s="86" t="str">
        <f ca="1">IF(AND(OR(COPIA!$BU$1=1,COPIA!$BU$1=3),INDEX(COPIA!$BT$3:$BV$400,MATCH($C226,COPIA!$BT$3:$BT$400,0),3)&lt;&gt;0),INDEX(COPIA!$BT$3:$BV$400,MATCH($C226,COPIA!$BT$3:$BT$400,0),3),IF(AND(COPIA!$BU$1=2,INDEX(COPIA!$BZ$3:$CB$400,MATCH($C226,COPIA!$BZ$3:$BZ$400,0),3)&lt;&gt;0),INDEX(COPIA!$BZ$3:$CB$400,MATCH($C226,COPIA!$BZ$3:$BZ$400,0),3),""))</f>
        <v/>
      </c>
      <c r="F226" s="86" t="str">
        <f ca="1">IFERROR(IF(AND(COPIA!$BU$1=3,INDEX(COPIA!$BZ$3:$CB$400,MATCH($C226,COPIA!$BZ$3:$BZ$400,0),2)&lt;&gt;0),INDEX(COPIA!$BZ$3:$CB$400,MATCH($C226,COPIA!$BZ$3:$BZ$400,0),2),""),"")</f>
        <v/>
      </c>
      <c r="G226" s="86" t="str">
        <f ca="1">IFERROR(IF(AND(COPIA!$BU$1=3,INDEX(COPIA!$BZ$3:$CB$400,MATCH($C226,COPIA!$BZ$3:$BZ$400,0),3)&lt;&gt;0),INDEX(COPIA!$BZ$3:$CB$400,MATCH($C226,COPIA!$BZ$3:$BZ$400,0),3),""),"")</f>
        <v/>
      </c>
      <c r="H226" s="7" t="str">
        <f t="shared" ca="1" si="7"/>
        <v/>
      </c>
    </row>
    <row r="227" spans="2:8" ht="18" customHeight="1" x14ac:dyDescent="0.3">
      <c r="B227" s="16" t="str">
        <f t="shared" ca="1" si="6"/>
        <v/>
      </c>
      <c r="C227" s="83" t="str">
        <f ca="1">IF(OR(COPIA!$BU$1=1,COPIA!$BU$1=3),COPIA!CO220,IF(COPIA!$BU$1=2,COPIA!BZ220,IF(ROW()=COPIA!$BT$1,"TOTALE","")))</f>
        <v/>
      </c>
      <c r="D227" s="86" t="str">
        <f ca="1">IF(AND(OR(COPIA!$BU$1=1,COPIA!$BU$1=3),INDEX(COPIA!$BT$3:$BV$400,MATCH($C227,COPIA!$BT$3:$BT$400,0),2)&lt;&gt;0),INDEX(COPIA!$BT$3:$BV$400,MATCH($C227,COPIA!$BT$3:$BT$400,0),2),IF(AND(COPIA!$BU$1=2,INDEX(COPIA!$BZ$3:$CB$400,MATCH($C227,COPIA!$BZ$3:$BZ$400,0),2)&lt;&gt;0),INDEX(COPIA!$BZ$3:$CB$400,MATCH($C227,COPIA!$BZ$3:$BZ$400,0),2),""))</f>
        <v/>
      </c>
      <c r="E227" s="86" t="str">
        <f ca="1">IF(AND(OR(COPIA!$BU$1=1,COPIA!$BU$1=3),INDEX(COPIA!$BT$3:$BV$400,MATCH($C227,COPIA!$BT$3:$BT$400,0),3)&lt;&gt;0),INDEX(COPIA!$BT$3:$BV$400,MATCH($C227,COPIA!$BT$3:$BT$400,0),3),IF(AND(COPIA!$BU$1=2,INDEX(COPIA!$BZ$3:$CB$400,MATCH($C227,COPIA!$BZ$3:$BZ$400,0),3)&lt;&gt;0),INDEX(COPIA!$BZ$3:$CB$400,MATCH($C227,COPIA!$BZ$3:$BZ$400,0),3),""))</f>
        <v/>
      </c>
      <c r="F227" s="86" t="str">
        <f ca="1">IFERROR(IF(AND(COPIA!$BU$1=3,INDEX(COPIA!$BZ$3:$CB$400,MATCH($C227,COPIA!$BZ$3:$BZ$400,0),2)&lt;&gt;0),INDEX(COPIA!$BZ$3:$CB$400,MATCH($C227,COPIA!$BZ$3:$BZ$400,0),2),""),"")</f>
        <v/>
      </c>
      <c r="G227" s="86" t="str">
        <f ca="1">IFERROR(IF(AND(COPIA!$BU$1=3,INDEX(COPIA!$BZ$3:$CB$400,MATCH($C227,COPIA!$BZ$3:$BZ$400,0),3)&lt;&gt;0),INDEX(COPIA!$BZ$3:$CB$400,MATCH($C227,COPIA!$BZ$3:$BZ$400,0),3),""),"")</f>
        <v/>
      </c>
      <c r="H227" s="7" t="str">
        <f t="shared" ca="1" si="7"/>
        <v/>
      </c>
    </row>
    <row r="228" spans="2:8" ht="18" customHeight="1" x14ac:dyDescent="0.3">
      <c r="B228" s="16" t="str">
        <f t="shared" ca="1" si="6"/>
        <v/>
      </c>
      <c r="C228" s="83" t="str">
        <f ca="1">IF(OR(COPIA!$BU$1=1,COPIA!$BU$1=3),COPIA!CO221,IF(COPIA!$BU$1=2,COPIA!BZ221,IF(ROW()=COPIA!$BT$1,"TOTALE","")))</f>
        <v/>
      </c>
      <c r="D228" s="86" t="str">
        <f ca="1">IF(AND(OR(COPIA!$BU$1=1,COPIA!$BU$1=3),INDEX(COPIA!$BT$3:$BV$400,MATCH($C228,COPIA!$BT$3:$BT$400,0),2)&lt;&gt;0),INDEX(COPIA!$BT$3:$BV$400,MATCH($C228,COPIA!$BT$3:$BT$400,0),2),IF(AND(COPIA!$BU$1=2,INDEX(COPIA!$BZ$3:$CB$400,MATCH($C228,COPIA!$BZ$3:$BZ$400,0),2)&lt;&gt;0),INDEX(COPIA!$BZ$3:$CB$400,MATCH($C228,COPIA!$BZ$3:$BZ$400,0),2),""))</f>
        <v/>
      </c>
      <c r="E228" s="86" t="str">
        <f ca="1">IF(AND(OR(COPIA!$BU$1=1,COPIA!$BU$1=3),INDEX(COPIA!$BT$3:$BV$400,MATCH($C228,COPIA!$BT$3:$BT$400,0),3)&lt;&gt;0),INDEX(COPIA!$BT$3:$BV$400,MATCH($C228,COPIA!$BT$3:$BT$400,0),3),IF(AND(COPIA!$BU$1=2,INDEX(COPIA!$BZ$3:$CB$400,MATCH($C228,COPIA!$BZ$3:$BZ$400,0),3)&lt;&gt;0),INDEX(COPIA!$BZ$3:$CB$400,MATCH($C228,COPIA!$BZ$3:$BZ$400,0),3),""))</f>
        <v/>
      </c>
      <c r="F228" s="86" t="str">
        <f ca="1">IFERROR(IF(AND(COPIA!$BU$1=3,INDEX(COPIA!$BZ$3:$CB$400,MATCH($C228,COPIA!$BZ$3:$BZ$400,0),2)&lt;&gt;0),INDEX(COPIA!$BZ$3:$CB$400,MATCH($C228,COPIA!$BZ$3:$BZ$400,0),2),""),"")</f>
        <v/>
      </c>
      <c r="G228" s="86" t="str">
        <f ca="1">IFERROR(IF(AND(COPIA!$BU$1=3,INDEX(COPIA!$BZ$3:$CB$400,MATCH($C228,COPIA!$BZ$3:$BZ$400,0),3)&lt;&gt;0),INDEX(COPIA!$BZ$3:$CB$400,MATCH($C228,COPIA!$BZ$3:$BZ$400,0),3),""),"")</f>
        <v/>
      </c>
      <c r="H228" s="7" t="str">
        <f t="shared" ca="1" si="7"/>
        <v/>
      </c>
    </row>
    <row r="229" spans="2:8" ht="18" customHeight="1" x14ac:dyDescent="0.3">
      <c r="B229" s="16" t="str">
        <f t="shared" ca="1" si="6"/>
        <v/>
      </c>
      <c r="C229" s="83" t="str">
        <f ca="1">IF(OR(COPIA!$BU$1=1,COPIA!$BU$1=3),COPIA!CO222,IF(COPIA!$BU$1=2,COPIA!BZ222,IF(ROW()=COPIA!$BT$1,"TOTALE","")))</f>
        <v/>
      </c>
      <c r="D229" s="86" t="str">
        <f ca="1">IF(AND(OR(COPIA!$BU$1=1,COPIA!$BU$1=3),INDEX(COPIA!$BT$3:$BV$400,MATCH($C229,COPIA!$BT$3:$BT$400,0),2)&lt;&gt;0),INDEX(COPIA!$BT$3:$BV$400,MATCH($C229,COPIA!$BT$3:$BT$400,0),2),IF(AND(COPIA!$BU$1=2,INDEX(COPIA!$BZ$3:$CB$400,MATCH($C229,COPIA!$BZ$3:$BZ$400,0),2)&lt;&gt;0),INDEX(COPIA!$BZ$3:$CB$400,MATCH($C229,COPIA!$BZ$3:$BZ$400,0),2),""))</f>
        <v/>
      </c>
      <c r="E229" s="86" t="str">
        <f ca="1">IF(AND(OR(COPIA!$BU$1=1,COPIA!$BU$1=3),INDEX(COPIA!$BT$3:$BV$400,MATCH($C229,COPIA!$BT$3:$BT$400,0),3)&lt;&gt;0),INDEX(COPIA!$BT$3:$BV$400,MATCH($C229,COPIA!$BT$3:$BT$400,0),3),IF(AND(COPIA!$BU$1=2,INDEX(COPIA!$BZ$3:$CB$400,MATCH($C229,COPIA!$BZ$3:$BZ$400,0),3)&lt;&gt;0),INDEX(COPIA!$BZ$3:$CB$400,MATCH($C229,COPIA!$BZ$3:$BZ$400,0),3),""))</f>
        <v/>
      </c>
      <c r="F229" s="86" t="str">
        <f ca="1">IFERROR(IF(AND(COPIA!$BU$1=3,INDEX(COPIA!$BZ$3:$CB$400,MATCH($C229,COPIA!$BZ$3:$BZ$400,0),2)&lt;&gt;0),INDEX(COPIA!$BZ$3:$CB$400,MATCH($C229,COPIA!$BZ$3:$BZ$400,0),2),""),"")</f>
        <v/>
      </c>
      <c r="G229" s="86" t="str">
        <f ca="1">IFERROR(IF(AND(COPIA!$BU$1=3,INDEX(COPIA!$BZ$3:$CB$400,MATCH($C229,COPIA!$BZ$3:$BZ$400,0),3)&lt;&gt;0),INDEX(COPIA!$BZ$3:$CB$400,MATCH($C229,COPIA!$BZ$3:$BZ$400,0),3),""),"")</f>
        <v/>
      </c>
      <c r="H229" s="7" t="str">
        <f t="shared" ca="1" si="7"/>
        <v/>
      </c>
    </row>
    <row r="230" spans="2:8" ht="18" customHeight="1" x14ac:dyDescent="0.3">
      <c r="B230" s="16" t="str">
        <f t="shared" ca="1" si="6"/>
        <v/>
      </c>
      <c r="C230" s="83" t="str">
        <f ca="1">IF(OR(COPIA!$BU$1=1,COPIA!$BU$1=3),COPIA!CO223,IF(COPIA!$BU$1=2,COPIA!BZ223,IF(ROW()=COPIA!$BT$1,"TOTALE","")))</f>
        <v/>
      </c>
      <c r="D230" s="86" t="str">
        <f ca="1">IF(AND(OR(COPIA!$BU$1=1,COPIA!$BU$1=3),INDEX(COPIA!$BT$3:$BV$400,MATCH($C230,COPIA!$BT$3:$BT$400,0),2)&lt;&gt;0),INDEX(COPIA!$BT$3:$BV$400,MATCH($C230,COPIA!$BT$3:$BT$400,0),2),IF(AND(COPIA!$BU$1=2,INDEX(COPIA!$BZ$3:$CB$400,MATCH($C230,COPIA!$BZ$3:$BZ$400,0),2)&lt;&gt;0),INDEX(COPIA!$BZ$3:$CB$400,MATCH($C230,COPIA!$BZ$3:$BZ$400,0),2),""))</f>
        <v/>
      </c>
      <c r="E230" s="86" t="str">
        <f ca="1">IF(AND(OR(COPIA!$BU$1=1,COPIA!$BU$1=3),INDEX(COPIA!$BT$3:$BV$400,MATCH($C230,COPIA!$BT$3:$BT$400,0),3)&lt;&gt;0),INDEX(COPIA!$BT$3:$BV$400,MATCH($C230,COPIA!$BT$3:$BT$400,0),3),IF(AND(COPIA!$BU$1=2,INDEX(COPIA!$BZ$3:$CB$400,MATCH($C230,COPIA!$BZ$3:$BZ$400,0),3)&lt;&gt;0),INDEX(COPIA!$BZ$3:$CB$400,MATCH($C230,COPIA!$BZ$3:$BZ$400,0),3),""))</f>
        <v/>
      </c>
      <c r="F230" s="86" t="str">
        <f ca="1">IFERROR(IF(AND(COPIA!$BU$1=3,INDEX(COPIA!$BZ$3:$CB$400,MATCH($C230,COPIA!$BZ$3:$BZ$400,0),2)&lt;&gt;0),INDEX(COPIA!$BZ$3:$CB$400,MATCH($C230,COPIA!$BZ$3:$BZ$400,0),2),""),"")</f>
        <v/>
      </c>
      <c r="G230" s="86" t="str">
        <f ca="1">IFERROR(IF(AND(COPIA!$BU$1=3,INDEX(COPIA!$BZ$3:$CB$400,MATCH($C230,COPIA!$BZ$3:$BZ$400,0),3)&lt;&gt;0),INDEX(COPIA!$BZ$3:$CB$400,MATCH($C230,COPIA!$BZ$3:$BZ$400,0),3),""),"")</f>
        <v/>
      </c>
      <c r="H230" s="7" t="str">
        <f t="shared" ca="1" si="7"/>
        <v/>
      </c>
    </row>
    <row r="231" spans="2:8" ht="18" customHeight="1" x14ac:dyDescent="0.3">
      <c r="B231" s="16" t="str">
        <f t="shared" ca="1" si="6"/>
        <v/>
      </c>
      <c r="C231" s="83" t="str">
        <f ca="1">IF(OR(COPIA!$BU$1=1,COPIA!$BU$1=3),COPIA!CO224,IF(COPIA!$BU$1=2,COPIA!BZ224,IF(ROW()=COPIA!$BT$1,"TOTALE","")))</f>
        <v/>
      </c>
      <c r="D231" s="86" t="str">
        <f ca="1">IF(AND(OR(COPIA!$BU$1=1,COPIA!$BU$1=3),INDEX(COPIA!$BT$3:$BV$400,MATCH($C231,COPIA!$BT$3:$BT$400,0),2)&lt;&gt;0),INDEX(COPIA!$BT$3:$BV$400,MATCH($C231,COPIA!$BT$3:$BT$400,0),2),IF(AND(COPIA!$BU$1=2,INDEX(COPIA!$BZ$3:$CB$400,MATCH($C231,COPIA!$BZ$3:$BZ$400,0),2)&lt;&gt;0),INDEX(COPIA!$BZ$3:$CB$400,MATCH($C231,COPIA!$BZ$3:$BZ$400,0),2),""))</f>
        <v/>
      </c>
      <c r="E231" s="86" t="str">
        <f ca="1">IF(AND(OR(COPIA!$BU$1=1,COPIA!$BU$1=3),INDEX(COPIA!$BT$3:$BV$400,MATCH($C231,COPIA!$BT$3:$BT$400,0),3)&lt;&gt;0),INDEX(COPIA!$BT$3:$BV$400,MATCH($C231,COPIA!$BT$3:$BT$400,0),3),IF(AND(COPIA!$BU$1=2,INDEX(COPIA!$BZ$3:$CB$400,MATCH($C231,COPIA!$BZ$3:$BZ$400,0),3)&lt;&gt;0),INDEX(COPIA!$BZ$3:$CB$400,MATCH($C231,COPIA!$BZ$3:$BZ$400,0),3),""))</f>
        <v/>
      </c>
      <c r="F231" s="86" t="str">
        <f ca="1">IFERROR(IF(AND(COPIA!$BU$1=3,INDEX(COPIA!$BZ$3:$CB$400,MATCH($C231,COPIA!$BZ$3:$BZ$400,0),2)&lt;&gt;0),INDEX(COPIA!$BZ$3:$CB$400,MATCH($C231,COPIA!$BZ$3:$BZ$400,0),2),""),"")</f>
        <v/>
      </c>
      <c r="G231" s="86" t="str">
        <f ca="1">IFERROR(IF(AND(COPIA!$BU$1=3,INDEX(COPIA!$BZ$3:$CB$400,MATCH($C231,COPIA!$BZ$3:$BZ$400,0),3)&lt;&gt;0),INDEX(COPIA!$BZ$3:$CB$400,MATCH($C231,COPIA!$BZ$3:$BZ$400,0),3),""),"")</f>
        <v/>
      </c>
      <c r="H231" s="7" t="str">
        <f t="shared" ca="1" si="7"/>
        <v/>
      </c>
    </row>
    <row r="232" spans="2:8" ht="18" customHeight="1" x14ac:dyDescent="0.3">
      <c r="B232" s="16" t="str">
        <f t="shared" ca="1" si="6"/>
        <v/>
      </c>
      <c r="C232" s="83" t="str">
        <f ca="1">IF(OR(COPIA!$BU$1=1,COPIA!$BU$1=3),COPIA!CO225,IF(COPIA!$BU$1=2,COPIA!BZ225,IF(ROW()=COPIA!$BT$1,"TOTALE","")))</f>
        <v/>
      </c>
      <c r="D232" s="86" t="str">
        <f ca="1">IF(AND(OR(COPIA!$BU$1=1,COPIA!$BU$1=3),INDEX(COPIA!$BT$3:$BV$400,MATCH($C232,COPIA!$BT$3:$BT$400,0),2)&lt;&gt;0),INDEX(COPIA!$BT$3:$BV$400,MATCH($C232,COPIA!$BT$3:$BT$400,0),2),IF(AND(COPIA!$BU$1=2,INDEX(COPIA!$BZ$3:$CB$400,MATCH($C232,COPIA!$BZ$3:$BZ$400,0),2)&lt;&gt;0),INDEX(COPIA!$BZ$3:$CB$400,MATCH($C232,COPIA!$BZ$3:$BZ$400,0),2),""))</f>
        <v/>
      </c>
      <c r="E232" s="86" t="str">
        <f ca="1">IF(AND(OR(COPIA!$BU$1=1,COPIA!$BU$1=3),INDEX(COPIA!$BT$3:$BV$400,MATCH($C232,COPIA!$BT$3:$BT$400,0),3)&lt;&gt;0),INDEX(COPIA!$BT$3:$BV$400,MATCH($C232,COPIA!$BT$3:$BT$400,0),3),IF(AND(COPIA!$BU$1=2,INDEX(COPIA!$BZ$3:$CB$400,MATCH($C232,COPIA!$BZ$3:$BZ$400,0),3)&lt;&gt;0),INDEX(COPIA!$BZ$3:$CB$400,MATCH($C232,COPIA!$BZ$3:$BZ$400,0),3),""))</f>
        <v/>
      </c>
      <c r="F232" s="86" t="str">
        <f ca="1">IFERROR(IF(AND(COPIA!$BU$1=3,INDEX(COPIA!$BZ$3:$CB$400,MATCH($C232,COPIA!$BZ$3:$BZ$400,0),2)&lt;&gt;0),INDEX(COPIA!$BZ$3:$CB$400,MATCH($C232,COPIA!$BZ$3:$BZ$400,0),2),""),"")</f>
        <v/>
      </c>
      <c r="G232" s="86" t="str">
        <f ca="1">IFERROR(IF(AND(COPIA!$BU$1=3,INDEX(COPIA!$BZ$3:$CB$400,MATCH($C232,COPIA!$BZ$3:$BZ$400,0),3)&lt;&gt;0),INDEX(COPIA!$BZ$3:$CB$400,MATCH($C232,COPIA!$BZ$3:$BZ$400,0),3),""),"")</f>
        <v/>
      </c>
      <c r="H232" s="7" t="str">
        <f t="shared" ca="1" si="7"/>
        <v/>
      </c>
    </row>
    <row r="233" spans="2:8" ht="18" customHeight="1" x14ac:dyDescent="0.3">
      <c r="B233" s="16" t="str">
        <f t="shared" ca="1" si="6"/>
        <v/>
      </c>
      <c r="C233" s="83" t="str">
        <f ca="1">IF(OR(COPIA!$BU$1=1,COPIA!$BU$1=3),COPIA!CO226,IF(COPIA!$BU$1=2,COPIA!BZ226,IF(ROW()=COPIA!$BT$1,"TOTALE","")))</f>
        <v/>
      </c>
      <c r="D233" s="86" t="str">
        <f ca="1">IF(AND(OR(COPIA!$BU$1=1,COPIA!$BU$1=3),INDEX(COPIA!$BT$3:$BV$400,MATCH($C233,COPIA!$BT$3:$BT$400,0),2)&lt;&gt;0),INDEX(COPIA!$BT$3:$BV$400,MATCH($C233,COPIA!$BT$3:$BT$400,0),2),IF(AND(COPIA!$BU$1=2,INDEX(COPIA!$BZ$3:$CB$400,MATCH($C233,COPIA!$BZ$3:$BZ$400,0),2)&lt;&gt;0),INDEX(COPIA!$BZ$3:$CB$400,MATCH($C233,COPIA!$BZ$3:$BZ$400,0),2),""))</f>
        <v/>
      </c>
      <c r="E233" s="86" t="str">
        <f ca="1">IF(AND(OR(COPIA!$BU$1=1,COPIA!$BU$1=3),INDEX(COPIA!$BT$3:$BV$400,MATCH($C233,COPIA!$BT$3:$BT$400,0),3)&lt;&gt;0),INDEX(COPIA!$BT$3:$BV$400,MATCH($C233,COPIA!$BT$3:$BT$400,0),3),IF(AND(COPIA!$BU$1=2,INDEX(COPIA!$BZ$3:$CB$400,MATCH($C233,COPIA!$BZ$3:$BZ$400,0),3)&lt;&gt;0),INDEX(COPIA!$BZ$3:$CB$400,MATCH($C233,COPIA!$BZ$3:$BZ$400,0),3),""))</f>
        <v/>
      </c>
      <c r="F233" s="86" t="str">
        <f ca="1">IFERROR(IF(AND(COPIA!$BU$1=3,INDEX(COPIA!$BZ$3:$CB$400,MATCH($C233,COPIA!$BZ$3:$BZ$400,0),2)&lt;&gt;0),INDEX(COPIA!$BZ$3:$CB$400,MATCH($C233,COPIA!$BZ$3:$BZ$400,0),2),""),"")</f>
        <v/>
      </c>
      <c r="G233" s="86" t="str">
        <f ca="1">IFERROR(IF(AND(COPIA!$BU$1=3,INDEX(COPIA!$BZ$3:$CB$400,MATCH($C233,COPIA!$BZ$3:$BZ$400,0),3)&lt;&gt;0),INDEX(COPIA!$BZ$3:$CB$400,MATCH($C233,COPIA!$BZ$3:$BZ$400,0),3),""),"")</f>
        <v/>
      </c>
      <c r="H233" s="7" t="str">
        <f t="shared" ca="1" si="7"/>
        <v/>
      </c>
    </row>
    <row r="234" spans="2:8" ht="18" customHeight="1" x14ac:dyDescent="0.3">
      <c r="B234" s="16" t="str">
        <f t="shared" ca="1" si="6"/>
        <v/>
      </c>
      <c r="C234" s="83" t="str">
        <f ca="1">IF(OR(COPIA!$BU$1=1,COPIA!$BU$1=3),COPIA!CO227,IF(COPIA!$BU$1=2,COPIA!BZ227,IF(ROW()=COPIA!$BT$1,"TOTALE","")))</f>
        <v/>
      </c>
      <c r="D234" s="86" t="str">
        <f ca="1">IF(AND(OR(COPIA!$BU$1=1,COPIA!$BU$1=3),INDEX(COPIA!$BT$3:$BV$400,MATCH($C234,COPIA!$BT$3:$BT$400,0),2)&lt;&gt;0),INDEX(COPIA!$BT$3:$BV$400,MATCH($C234,COPIA!$BT$3:$BT$400,0),2),IF(AND(COPIA!$BU$1=2,INDEX(COPIA!$BZ$3:$CB$400,MATCH($C234,COPIA!$BZ$3:$BZ$400,0),2)&lt;&gt;0),INDEX(COPIA!$BZ$3:$CB$400,MATCH($C234,COPIA!$BZ$3:$BZ$400,0),2),""))</f>
        <v/>
      </c>
      <c r="E234" s="86" t="str">
        <f ca="1">IF(AND(OR(COPIA!$BU$1=1,COPIA!$BU$1=3),INDEX(COPIA!$BT$3:$BV$400,MATCH($C234,COPIA!$BT$3:$BT$400,0),3)&lt;&gt;0),INDEX(COPIA!$BT$3:$BV$400,MATCH($C234,COPIA!$BT$3:$BT$400,0),3),IF(AND(COPIA!$BU$1=2,INDEX(COPIA!$BZ$3:$CB$400,MATCH($C234,COPIA!$BZ$3:$BZ$400,0),3)&lt;&gt;0),INDEX(COPIA!$BZ$3:$CB$400,MATCH($C234,COPIA!$BZ$3:$BZ$400,0),3),""))</f>
        <v/>
      </c>
      <c r="F234" s="86" t="str">
        <f ca="1">IFERROR(IF(AND(COPIA!$BU$1=3,INDEX(COPIA!$BZ$3:$CB$400,MATCH($C234,COPIA!$BZ$3:$BZ$400,0),2)&lt;&gt;0),INDEX(COPIA!$BZ$3:$CB$400,MATCH($C234,COPIA!$BZ$3:$BZ$400,0),2),""),"")</f>
        <v/>
      </c>
      <c r="G234" s="86" t="str">
        <f ca="1">IFERROR(IF(AND(COPIA!$BU$1=3,INDEX(COPIA!$BZ$3:$CB$400,MATCH($C234,COPIA!$BZ$3:$BZ$400,0),3)&lt;&gt;0),INDEX(COPIA!$BZ$3:$CB$400,MATCH($C234,COPIA!$BZ$3:$BZ$400,0),3),""),"")</f>
        <v/>
      </c>
      <c r="H234" s="7" t="str">
        <f ca="1">IF(C234&lt;&gt;"",ROW(),"")</f>
        <v/>
      </c>
    </row>
    <row r="235" spans="2:8" ht="18" customHeight="1" x14ac:dyDescent="0.3">
      <c r="B235" s="16" t="str">
        <f t="shared" ca="1" si="6"/>
        <v/>
      </c>
      <c r="C235" s="83" t="str">
        <f ca="1">IF(OR(COPIA!$BU$1=1,COPIA!$BU$1=3),COPIA!CO228,IF(COPIA!$BU$1=2,COPIA!BZ228,IF(ROW()=COPIA!$BT$1,"TOTALE","")))</f>
        <v/>
      </c>
      <c r="D235" s="86" t="str">
        <f ca="1">IF(AND(OR(COPIA!$BU$1=1,COPIA!$BU$1=3),INDEX(COPIA!$BT$3:$BV$400,MATCH($C235,COPIA!$BT$3:$BT$400,0),2)&lt;&gt;0),INDEX(COPIA!$BT$3:$BV$400,MATCH($C235,COPIA!$BT$3:$BT$400,0),2),IF(AND(COPIA!$BU$1=2,INDEX(COPIA!$BZ$3:$CB$400,MATCH($C235,COPIA!$BZ$3:$BZ$400,0),2)&lt;&gt;0),INDEX(COPIA!$BZ$3:$CB$400,MATCH($C235,COPIA!$BZ$3:$BZ$400,0),2),""))</f>
        <v/>
      </c>
      <c r="E235" s="86" t="str">
        <f ca="1">IF(AND(OR(COPIA!$BU$1=1,COPIA!$BU$1=3),INDEX(COPIA!$BT$3:$BV$400,MATCH($C235,COPIA!$BT$3:$BT$400,0),3)&lt;&gt;0),INDEX(COPIA!$BT$3:$BV$400,MATCH($C235,COPIA!$BT$3:$BT$400,0),3),IF(AND(COPIA!$BU$1=2,INDEX(COPIA!$BZ$3:$CB$400,MATCH($C235,COPIA!$BZ$3:$BZ$400,0),3)&lt;&gt;0),INDEX(COPIA!$BZ$3:$CB$400,MATCH($C235,COPIA!$BZ$3:$BZ$400,0),3),""))</f>
        <v/>
      </c>
      <c r="F235" s="86" t="str">
        <f ca="1">IFERROR(IF(AND(COPIA!$BU$1=3,INDEX(COPIA!$BZ$3:$CB$400,MATCH($C235,COPIA!$BZ$3:$BZ$400,0),2)&lt;&gt;0),INDEX(COPIA!$BZ$3:$CB$400,MATCH($C235,COPIA!$BZ$3:$BZ$400,0),2),""),"")</f>
        <v/>
      </c>
      <c r="G235" s="86" t="str">
        <f ca="1">IFERROR(IF(AND(COPIA!$BU$1=3,INDEX(COPIA!$BZ$3:$CB$400,MATCH($C235,COPIA!$BZ$3:$BZ$400,0),3)&lt;&gt;0),INDEX(COPIA!$BZ$3:$CB$400,MATCH($C235,COPIA!$BZ$3:$BZ$400,0),3),""),"")</f>
        <v/>
      </c>
      <c r="H235" s="7" t="str">
        <f t="shared" ref="H235:H273" ca="1" si="8">IF(C235&lt;&gt;"",ROW(),"")</f>
        <v/>
      </c>
    </row>
    <row r="236" spans="2:8" ht="18" customHeight="1" x14ac:dyDescent="0.3">
      <c r="B236" s="16" t="str">
        <f t="shared" ca="1" si="6"/>
        <v/>
      </c>
      <c r="C236" s="83" t="str">
        <f ca="1">IF(OR(COPIA!$BU$1=1,COPIA!$BU$1=3),COPIA!CO229,IF(COPIA!$BU$1=2,COPIA!BZ229,IF(ROW()=COPIA!$BT$1,"TOTALE","")))</f>
        <v/>
      </c>
      <c r="D236" s="86" t="str">
        <f ca="1">IF(AND(OR(COPIA!$BU$1=1,COPIA!$BU$1=3),INDEX(COPIA!$BT$3:$BV$400,MATCH($C236,COPIA!$BT$3:$BT$400,0),2)&lt;&gt;0),INDEX(COPIA!$BT$3:$BV$400,MATCH($C236,COPIA!$BT$3:$BT$400,0),2),IF(AND(COPIA!$BU$1=2,INDEX(COPIA!$BZ$3:$CB$400,MATCH($C236,COPIA!$BZ$3:$BZ$400,0),2)&lt;&gt;0),INDEX(COPIA!$BZ$3:$CB$400,MATCH($C236,COPIA!$BZ$3:$BZ$400,0),2),""))</f>
        <v/>
      </c>
      <c r="E236" s="86" t="str">
        <f ca="1">IF(AND(OR(COPIA!$BU$1=1,COPIA!$BU$1=3),INDEX(COPIA!$BT$3:$BV$400,MATCH($C236,COPIA!$BT$3:$BT$400,0),3)&lt;&gt;0),INDEX(COPIA!$BT$3:$BV$400,MATCH($C236,COPIA!$BT$3:$BT$400,0),3),IF(AND(COPIA!$BU$1=2,INDEX(COPIA!$BZ$3:$CB$400,MATCH($C236,COPIA!$BZ$3:$BZ$400,0),3)&lt;&gt;0),INDEX(COPIA!$BZ$3:$CB$400,MATCH($C236,COPIA!$BZ$3:$BZ$400,0),3),""))</f>
        <v/>
      </c>
      <c r="F236" s="86" t="str">
        <f ca="1">IFERROR(IF(AND(COPIA!$BU$1=3,INDEX(COPIA!$BZ$3:$CB$400,MATCH($C236,COPIA!$BZ$3:$BZ$400,0),2)&lt;&gt;0),INDEX(COPIA!$BZ$3:$CB$400,MATCH($C236,COPIA!$BZ$3:$BZ$400,0),2),""),"")</f>
        <v/>
      </c>
      <c r="G236" s="86" t="str">
        <f ca="1">IFERROR(IF(AND(COPIA!$BU$1=3,INDEX(COPIA!$BZ$3:$CB$400,MATCH($C236,COPIA!$BZ$3:$BZ$400,0),3)&lt;&gt;0),INDEX(COPIA!$BZ$3:$CB$400,MATCH($C236,COPIA!$BZ$3:$BZ$400,0),3),""),"")</f>
        <v/>
      </c>
      <c r="H236" s="7" t="str">
        <f t="shared" ca="1" si="8"/>
        <v/>
      </c>
    </row>
    <row r="237" spans="2:8" ht="18" customHeight="1" x14ac:dyDescent="0.3">
      <c r="B237" s="16" t="str">
        <f t="shared" ca="1" si="6"/>
        <v/>
      </c>
      <c r="C237" s="83" t="str">
        <f ca="1">IF(OR(COPIA!$BU$1=1,COPIA!$BU$1=3),COPIA!CO230,IF(COPIA!$BU$1=2,COPIA!BZ230,IF(ROW()=COPIA!$BT$1,"TOTALE","")))</f>
        <v/>
      </c>
      <c r="D237" s="86" t="str">
        <f ca="1">IF(AND(OR(COPIA!$BU$1=1,COPIA!$BU$1=3),INDEX(COPIA!$BT$3:$BV$400,MATCH($C237,COPIA!$BT$3:$BT$400,0),2)&lt;&gt;0),INDEX(COPIA!$BT$3:$BV$400,MATCH($C237,COPIA!$BT$3:$BT$400,0),2),IF(AND(COPIA!$BU$1=2,INDEX(COPIA!$BZ$3:$CB$400,MATCH($C237,COPIA!$BZ$3:$BZ$400,0),2)&lt;&gt;0),INDEX(COPIA!$BZ$3:$CB$400,MATCH($C237,COPIA!$BZ$3:$BZ$400,0),2),""))</f>
        <v/>
      </c>
      <c r="E237" s="86" t="str">
        <f ca="1">IF(AND(OR(COPIA!$BU$1=1,COPIA!$BU$1=3),INDEX(COPIA!$BT$3:$BV$400,MATCH($C237,COPIA!$BT$3:$BT$400,0),3)&lt;&gt;0),INDEX(COPIA!$BT$3:$BV$400,MATCH($C237,COPIA!$BT$3:$BT$400,0),3),IF(AND(COPIA!$BU$1=2,INDEX(COPIA!$BZ$3:$CB$400,MATCH($C237,COPIA!$BZ$3:$BZ$400,0),3)&lt;&gt;0),INDEX(COPIA!$BZ$3:$CB$400,MATCH($C237,COPIA!$BZ$3:$BZ$400,0),3),""))</f>
        <v/>
      </c>
      <c r="F237" s="86" t="str">
        <f ca="1">IFERROR(IF(AND(COPIA!$BU$1=3,INDEX(COPIA!$BZ$3:$CB$400,MATCH($C237,COPIA!$BZ$3:$BZ$400,0),2)&lt;&gt;0),INDEX(COPIA!$BZ$3:$CB$400,MATCH($C237,COPIA!$BZ$3:$BZ$400,0),2),""),"")</f>
        <v/>
      </c>
      <c r="G237" s="86" t="str">
        <f ca="1">IFERROR(IF(AND(COPIA!$BU$1=3,INDEX(COPIA!$BZ$3:$CB$400,MATCH($C237,COPIA!$BZ$3:$BZ$400,0),3)&lt;&gt;0),INDEX(COPIA!$BZ$3:$CB$400,MATCH($C237,COPIA!$BZ$3:$BZ$400,0),3),""),"")</f>
        <v/>
      </c>
      <c r="H237" s="7" t="str">
        <f t="shared" ca="1" si="8"/>
        <v/>
      </c>
    </row>
    <row r="238" spans="2:8" ht="18" customHeight="1" x14ac:dyDescent="0.3">
      <c r="B238" s="16" t="str">
        <f t="shared" ca="1" si="6"/>
        <v/>
      </c>
      <c r="C238" s="83" t="str">
        <f ca="1">IF(OR(COPIA!$BU$1=1,COPIA!$BU$1=3),COPIA!CO231,IF(COPIA!$BU$1=2,COPIA!BZ231,IF(ROW()=COPIA!$BT$1,"TOTALE","")))</f>
        <v/>
      </c>
      <c r="D238" s="86" t="str">
        <f ca="1">IF(AND(OR(COPIA!$BU$1=1,COPIA!$BU$1=3),INDEX(COPIA!$BT$3:$BV$400,MATCH($C238,COPIA!$BT$3:$BT$400,0),2)&lt;&gt;0),INDEX(COPIA!$BT$3:$BV$400,MATCH($C238,COPIA!$BT$3:$BT$400,0),2),IF(AND(COPIA!$BU$1=2,INDEX(COPIA!$BZ$3:$CB$400,MATCH($C238,COPIA!$BZ$3:$BZ$400,0),2)&lt;&gt;0),INDEX(COPIA!$BZ$3:$CB$400,MATCH($C238,COPIA!$BZ$3:$BZ$400,0),2),""))</f>
        <v/>
      </c>
      <c r="E238" s="86" t="str">
        <f ca="1">IF(AND(OR(COPIA!$BU$1=1,COPIA!$BU$1=3),INDEX(COPIA!$BT$3:$BV$400,MATCH($C238,COPIA!$BT$3:$BT$400,0),3)&lt;&gt;0),INDEX(COPIA!$BT$3:$BV$400,MATCH($C238,COPIA!$BT$3:$BT$400,0),3),IF(AND(COPIA!$BU$1=2,INDEX(COPIA!$BZ$3:$CB$400,MATCH($C238,COPIA!$BZ$3:$BZ$400,0),3)&lt;&gt;0),INDEX(COPIA!$BZ$3:$CB$400,MATCH($C238,COPIA!$BZ$3:$BZ$400,0),3),""))</f>
        <v/>
      </c>
      <c r="F238" s="86" t="str">
        <f ca="1">IFERROR(IF(AND(COPIA!$BU$1=3,INDEX(COPIA!$BZ$3:$CB$400,MATCH($C238,COPIA!$BZ$3:$BZ$400,0),2)&lt;&gt;0),INDEX(COPIA!$BZ$3:$CB$400,MATCH($C238,COPIA!$BZ$3:$BZ$400,0),2),""),"")</f>
        <v/>
      </c>
      <c r="G238" s="86" t="str">
        <f ca="1">IFERROR(IF(AND(COPIA!$BU$1=3,INDEX(COPIA!$BZ$3:$CB$400,MATCH($C238,COPIA!$BZ$3:$BZ$400,0),3)&lt;&gt;0),INDEX(COPIA!$BZ$3:$CB$400,MATCH($C238,COPIA!$BZ$3:$BZ$400,0),3),""),"")</f>
        <v/>
      </c>
      <c r="H238" s="7" t="str">
        <f t="shared" ca="1" si="8"/>
        <v/>
      </c>
    </row>
    <row r="239" spans="2:8" ht="18" customHeight="1" x14ac:dyDescent="0.3">
      <c r="B239" s="16" t="str">
        <f t="shared" ca="1" si="6"/>
        <v/>
      </c>
      <c r="C239" s="83" t="str">
        <f ca="1">IF(OR(COPIA!$BU$1=1,COPIA!$BU$1=3),COPIA!CO232,IF(COPIA!$BU$1=2,COPIA!BZ232,IF(ROW()=COPIA!$BT$1,"TOTALE","")))</f>
        <v/>
      </c>
      <c r="D239" s="86" t="str">
        <f ca="1">IF(AND(OR(COPIA!$BU$1=1,COPIA!$BU$1=3),INDEX(COPIA!$BT$3:$BV$400,MATCH($C239,COPIA!$BT$3:$BT$400,0),2)&lt;&gt;0),INDEX(COPIA!$BT$3:$BV$400,MATCH($C239,COPIA!$BT$3:$BT$400,0),2),IF(AND(COPIA!$BU$1=2,INDEX(COPIA!$BZ$3:$CB$400,MATCH($C239,COPIA!$BZ$3:$BZ$400,0),2)&lt;&gt;0),INDEX(COPIA!$BZ$3:$CB$400,MATCH($C239,COPIA!$BZ$3:$BZ$400,0),2),""))</f>
        <v/>
      </c>
      <c r="E239" s="86" t="str">
        <f ca="1">IF(AND(OR(COPIA!$BU$1=1,COPIA!$BU$1=3),INDEX(COPIA!$BT$3:$BV$400,MATCH($C239,COPIA!$BT$3:$BT$400,0),3)&lt;&gt;0),INDEX(COPIA!$BT$3:$BV$400,MATCH($C239,COPIA!$BT$3:$BT$400,0),3),IF(AND(COPIA!$BU$1=2,INDEX(COPIA!$BZ$3:$CB$400,MATCH($C239,COPIA!$BZ$3:$BZ$400,0),3)&lt;&gt;0),INDEX(COPIA!$BZ$3:$CB$400,MATCH($C239,COPIA!$BZ$3:$BZ$400,0),3),""))</f>
        <v/>
      </c>
      <c r="F239" s="86" t="str">
        <f ca="1">IFERROR(IF(AND(COPIA!$BU$1=3,INDEX(COPIA!$BZ$3:$CB$400,MATCH($C239,COPIA!$BZ$3:$BZ$400,0),2)&lt;&gt;0),INDEX(COPIA!$BZ$3:$CB$400,MATCH($C239,COPIA!$BZ$3:$BZ$400,0),2),""),"")</f>
        <v/>
      </c>
      <c r="G239" s="86" t="str">
        <f ca="1">IFERROR(IF(AND(COPIA!$BU$1=3,INDEX(COPIA!$BZ$3:$CB$400,MATCH($C239,COPIA!$BZ$3:$BZ$400,0),3)&lt;&gt;0),INDEX(COPIA!$BZ$3:$CB$400,MATCH($C239,COPIA!$BZ$3:$BZ$400,0),3),""),"")</f>
        <v/>
      </c>
      <c r="H239" s="7" t="str">
        <f t="shared" ca="1" si="8"/>
        <v/>
      </c>
    </row>
    <row r="240" spans="2:8" ht="18" customHeight="1" x14ac:dyDescent="0.3">
      <c r="B240" s="16" t="str">
        <f t="shared" ca="1" si="6"/>
        <v/>
      </c>
      <c r="C240" s="83" t="str">
        <f ca="1">IF(OR(COPIA!$BU$1=1,COPIA!$BU$1=3),COPIA!CO233,IF(COPIA!$BU$1=2,COPIA!BZ233,IF(ROW()=COPIA!$BT$1,"TOTALE","")))</f>
        <v/>
      </c>
      <c r="D240" s="86" t="str">
        <f ca="1">IF(AND(OR(COPIA!$BU$1=1,COPIA!$BU$1=3),INDEX(COPIA!$BT$3:$BV$400,MATCH($C240,COPIA!$BT$3:$BT$400,0),2)&lt;&gt;0),INDEX(COPIA!$BT$3:$BV$400,MATCH($C240,COPIA!$BT$3:$BT$400,0),2),IF(AND(COPIA!$BU$1=2,INDEX(COPIA!$BZ$3:$CB$400,MATCH($C240,COPIA!$BZ$3:$BZ$400,0),2)&lt;&gt;0),INDEX(COPIA!$BZ$3:$CB$400,MATCH($C240,COPIA!$BZ$3:$BZ$400,0),2),""))</f>
        <v/>
      </c>
      <c r="E240" s="86" t="str">
        <f ca="1">IF(AND(OR(COPIA!$BU$1=1,COPIA!$BU$1=3),INDEX(COPIA!$BT$3:$BV$400,MATCH($C240,COPIA!$BT$3:$BT$400,0),3)&lt;&gt;0),INDEX(COPIA!$BT$3:$BV$400,MATCH($C240,COPIA!$BT$3:$BT$400,0),3),IF(AND(COPIA!$BU$1=2,INDEX(COPIA!$BZ$3:$CB$400,MATCH($C240,COPIA!$BZ$3:$BZ$400,0),3)&lt;&gt;0),INDEX(COPIA!$BZ$3:$CB$400,MATCH($C240,COPIA!$BZ$3:$BZ$400,0),3),""))</f>
        <v/>
      </c>
      <c r="F240" s="86" t="str">
        <f ca="1">IFERROR(IF(AND(COPIA!$BU$1=3,INDEX(COPIA!$BZ$3:$CB$400,MATCH($C240,COPIA!$BZ$3:$BZ$400,0),2)&lt;&gt;0),INDEX(COPIA!$BZ$3:$CB$400,MATCH($C240,COPIA!$BZ$3:$BZ$400,0),2),""),"")</f>
        <v/>
      </c>
      <c r="G240" s="86" t="str">
        <f ca="1">IFERROR(IF(AND(COPIA!$BU$1=3,INDEX(COPIA!$BZ$3:$CB$400,MATCH($C240,COPIA!$BZ$3:$BZ$400,0),3)&lt;&gt;0),INDEX(COPIA!$BZ$3:$CB$400,MATCH($C240,COPIA!$BZ$3:$BZ$400,0),3),""),"")</f>
        <v/>
      </c>
      <c r="H240" s="7" t="str">
        <f t="shared" ca="1" si="8"/>
        <v/>
      </c>
    </row>
    <row r="241" spans="2:8" ht="18" customHeight="1" x14ac:dyDescent="0.3">
      <c r="B241" s="16" t="str">
        <f t="shared" ca="1" si="6"/>
        <v/>
      </c>
      <c r="C241" s="83" t="str">
        <f ca="1">IF(OR(COPIA!$BU$1=1,COPIA!$BU$1=3),COPIA!CO234,IF(COPIA!$BU$1=2,COPIA!BZ234,IF(ROW()=COPIA!$BT$1,"TOTALE","")))</f>
        <v/>
      </c>
      <c r="D241" s="86" t="str">
        <f ca="1">IF(AND(OR(COPIA!$BU$1=1,COPIA!$BU$1=3),INDEX(COPIA!$BT$3:$BV$400,MATCH($C241,COPIA!$BT$3:$BT$400,0),2)&lt;&gt;0),INDEX(COPIA!$BT$3:$BV$400,MATCH($C241,COPIA!$BT$3:$BT$400,0),2),IF(AND(COPIA!$BU$1=2,INDEX(COPIA!$BZ$3:$CB$400,MATCH($C241,COPIA!$BZ$3:$BZ$400,0),2)&lt;&gt;0),INDEX(COPIA!$BZ$3:$CB$400,MATCH($C241,COPIA!$BZ$3:$BZ$400,0),2),""))</f>
        <v/>
      </c>
      <c r="E241" s="86" t="str">
        <f ca="1">IF(AND(OR(COPIA!$BU$1=1,COPIA!$BU$1=3),INDEX(COPIA!$BT$3:$BV$400,MATCH($C241,COPIA!$BT$3:$BT$400,0),3)&lt;&gt;0),INDEX(COPIA!$BT$3:$BV$400,MATCH($C241,COPIA!$BT$3:$BT$400,0),3),IF(AND(COPIA!$BU$1=2,INDEX(COPIA!$BZ$3:$CB$400,MATCH($C241,COPIA!$BZ$3:$BZ$400,0),3)&lt;&gt;0),INDEX(COPIA!$BZ$3:$CB$400,MATCH($C241,COPIA!$BZ$3:$BZ$400,0),3),""))</f>
        <v/>
      </c>
      <c r="F241" s="86" t="str">
        <f ca="1">IFERROR(IF(AND(COPIA!$BU$1=3,INDEX(COPIA!$BZ$3:$CB$400,MATCH($C241,COPIA!$BZ$3:$BZ$400,0),2)&lt;&gt;0),INDEX(COPIA!$BZ$3:$CB$400,MATCH($C241,COPIA!$BZ$3:$BZ$400,0),2),""),"")</f>
        <v/>
      </c>
      <c r="G241" s="86" t="str">
        <f ca="1">IFERROR(IF(AND(COPIA!$BU$1=3,INDEX(COPIA!$BZ$3:$CB$400,MATCH($C241,COPIA!$BZ$3:$BZ$400,0),3)&lt;&gt;0),INDEX(COPIA!$BZ$3:$CB$400,MATCH($C241,COPIA!$BZ$3:$BZ$400,0),3),""),"")</f>
        <v/>
      </c>
      <c r="H241" s="7" t="str">
        <f t="shared" ca="1" si="8"/>
        <v/>
      </c>
    </row>
    <row r="242" spans="2:8" ht="18" customHeight="1" x14ac:dyDescent="0.3">
      <c r="B242" s="16" t="str">
        <f t="shared" ca="1" si="6"/>
        <v/>
      </c>
      <c r="C242" s="83" t="str">
        <f ca="1">IF(OR(COPIA!$BU$1=1,COPIA!$BU$1=3),COPIA!CO235,IF(COPIA!$BU$1=2,COPIA!BZ235,IF(ROW()=COPIA!$BT$1,"TOTALE","")))</f>
        <v/>
      </c>
      <c r="D242" s="86" t="str">
        <f ca="1">IF(AND(OR(COPIA!$BU$1=1,COPIA!$BU$1=3),INDEX(COPIA!$BT$3:$BV$400,MATCH($C242,COPIA!$BT$3:$BT$400,0),2)&lt;&gt;0),INDEX(COPIA!$BT$3:$BV$400,MATCH($C242,COPIA!$BT$3:$BT$400,0),2),IF(AND(COPIA!$BU$1=2,INDEX(COPIA!$BZ$3:$CB$400,MATCH($C242,COPIA!$BZ$3:$BZ$400,0),2)&lt;&gt;0),INDEX(COPIA!$BZ$3:$CB$400,MATCH($C242,COPIA!$BZ$3:$BZ$400,0),2),""))</f>
        <v/>
      </c>
      <c r="E242" s="86" t="str">
        <f ca="1">IF(AND(OR(COPIA!$BU$1=1,COPIA!$BU$1=3),INDEX(COPIA!$BT$3:$BV$400,MATCH($C242,COPIA!$BT$3:$BT$400,0),3)&lt;&gt;0),INDEX(COPIA!$BT$3:$BV$400,MATCH($C242,COPIA!$BT$3:$BT$400,0),3),IF(AND(COPIA!$BU$1=2,INDEX(COPIA!$BZ$3:$CB$400,MATCH($C242,COPIA!$BZ$3:$BZ$400,0),3)&lt;&gt;0),INDEX(COPIA!$BZ$3:$CB$400,MATCH($C242,COPIA!$BZ$3:$BZ$400,0),3),""))</f>
        <v/>
      </c>
      <c r="F242" s="86" t="str">
        <f ca="1">IFERROR(IF(AND(COPIA!$BU$1=3,INDEX(COPIA!$BZ$3:$CB$400,MATCH($C242,COPIA!$BZ$3:$BZ$400,0),2)&lt;&gt;0),INDEX(COPIA!$BZ$3:$CB$400,MATCH($C242,COPIA!$BZ$3:$BZ$400,0),2),""),"")</f>
        <v/>
      </c>
      <c r="G242" s="86" t="str">
        <f ca="1">IFERROR(IF(AND(COPIA!$BU$1=3,INDEX(COPIA!$BZ$3:$CB$400,MATCH($C242,COPIA!$BZ$3:$BZ$400,0),3)&lt;&gt;0),INDEX(COPIA!$BZ$3:$CB$400,MATCH($C242,COPIA!$BZ$3:$BZ$400,0),3),""),"")</f>
        <v/>
      </c>
      <c r="H242" s="7" t="str">
        <f t="shared" ca="1" si="8"/>
        <v/>
      </c>
    </row>
    <row r="243" spans="2:8" ht="18" customHeight="1" x14ac:dyDescent="0.3">
      <c r="B243" s="16" t="str">
        <f t="shared" ca="1" si="6"/>
        <v/>
      </c>
      <c r="C243" s="83" t="str">
        <f ca="1">IF(OR(COPIA!$BU$1=1,COPIA!$BU$1=3),COPIA!CO236,IF(COPIA!$BU$1=2,COPIA!BZ236,IF(ROW()=COPIA!$BT$1,"TOTALE","")))</f>
        <v/>
      </c>
      <c r="D243" s="86" t="str">
        <f ca="1">IF(AND(OR(COPIA!$BU$1=1,COPIA!$BU$1=3),INDEX(COPIA!$BT$3:$BV$400,MATCH($C243,COPIA!$BT$3:$BT$400,0),2)&lt;&gt;0),INDEX(COPIA!$BT$3:$BV$400,MATCH($C243,COPIA!$BT$3:$BT$400,0),2),IF(AND(COPIA!$BU$1=2,INDEX(COPIA!$BZ$3:$CB$400,MATCH($C243,COPIA!$BZ$3:$BZ$400,0),2)&lt;&gt;0),INDEX(COPIA!$BZ$3:$CB$400,MATCH($C243,COPIA!$BZ$3:$BZ$400,0),2),""))</f>
        <v/>
      </c>
      <c r="E243" s="86" t="str">
        <f ca="1">IF(AND(OR(COPIA!$BU$1=1,COPIA!$BU$1=3),INDEX(COPIA!$BT$3:$BV$400,MATCH($C243,COPIA!$BT$3:$BT$400,0),3)&lt;&gt;0),INDEX(COPIA!$BT$3:$BV$400,MATCH($C243,COPIA!$BT$3:$BT$400,0),3),IF(AND(COPIA!$BU$1=2,INDEX(COPIA!$BZ$3:$CB$400,MATCH($C243,COPIA!$BZ$3:$BZ$400,0),3)&lt;&gt;0),INDEX(COPIA!$BZ$3:$CB$400,MATCH($C243,COPIA!$BZ$3:$BZ$400,0),3),""))</f>
        <v/>
      </c>
      <c r="F243" s="86" t="str">
        <f ca="1">IFERROR(IF(AND(COPIA!$BU$1=3,INDEX(COPIA!$BZ$3:$CB$400,MATCH($C243,COPIA!$BZ$3:$BZ$400,0),2)&lt;&gt;0),INDEX(COPIA!$BZ$3:$CB$400,MATCH($C243,COPIA!$BZ$3:$BZ$400,0),2),""),"")</f>
        <v/>
      </c>
      <c r="G243" s="86" t="str">
        <f ca="1">IFERROR(IF(AND(COPIA!$BU$1=3,INDEX(COPIA!$BZ$3:$CB$400,MATCH($C243,COPIA!$BZ$3:$BZ$400,0),3)&lt;&gt;0),INDEX(COPIA!$BZ$3:$CB$400,MATCH($C243,COPIA!$BZ$3:$BZ$400,0),3),""),"")</f>
        <v/>
      </c>
      <c r="H243" s="7" t="str">
        <f t="shared" ca="1" si="8"/>
        <v/>
      </c>
    </row>
    <row r="244" spans="2:8" ht="18" customHeight="1" x14ac:dyDescent="0.3">
      <c r="B244" s="16" t="str">
        <f t="shared" ca="1" si="6"/>
        <v/>
      </c>
      <c r="C244" s="83" t="str">
        <f ca="1">IF(OR(COPIA!$BU$1=1,COPIA!$BU$1=3),COPIA!CO237,IF(COPIA!$BU$1=2,COPIA!BZ237,IF(ROW()=COPIA!$BT$1,"TOTALE","")))</f>
        <v/>
      </c>
      <c r="D244" s="86" t="str">
        <f ca="1">IF(AND(OR(COPIA!$BU$1=1,COPIA!$BU$1=3),INDEX(COPIA!$BT$3:$BV$400,MATCH($C244,COPIA!$BT$3:$BT$400,0),2)&lt;&gt;0),INDEX(COPIA!$BT$3:$BV$400,MATCH($C244,COPIA!$BT$3:$BT$400,0),2),IF(AND(COPIA!$BU$1=2,INDEX(COPIA!$BZ$3:$CB$400,MATCH($C244,COPIA!$BZ$3:$BZ$400,0),2)&lt;&gt;0),INDEX(COPIA!$BZ$3:$CB$400,MATCH($C244,COPIA!$BZ$3:$BZ$400,0),2),""))</f>
        <v/>
      </c>
      <c r="E244" s="86" t="str">
        <f ca="1">IF(AND(OR(COPIA!$BU$1=1,COPIA!$BU$1=3),INDEX(COPIA!$BT$3:$BV$400,MATCH($C244,COPIA!$BT$3:$BT$400,0),3)&lt;&gt;0),INDEX(COPIA!$BT$3:$BV$400,MATCH($C244,COPIA!$BT$3:$BT$400,0),3),IF(AND(COPIA!$BU$1=2,INDEX(COPIA!$BZ$3:$CB$400,MATCH($C244,COPIA!$BZ$3:$BZ$400,0),3)&lt;&gt;0),INDEX(COPIA!$BZ$3:$CB$400,MATCH($C244,COPIA!$BZ$3:$BZ$400,0),3),""))</f>
        <v/>
      </c>
      <c r="F244" s="86" t="str">
        <f ca="1">IFERROR(IF(AND(COPIA!$BU$1=3,INDEX(COPIA!$BZ$3:$CB$400,MATCH($C244,COPIA!$BZ$3:$BZ$400,0),2)&lt;&gt;0),INDEX(COPIA!$BZ$3:$CB$400,MATCH($C244,COPIA!$BZ$3:$BZ$400,0),2),""),"")</f>
        <v/>
      </c>
      <c r="G244" s="86" t="str">
        <f ca="1">IFERROR(IF(AND(COPIA!$BU$1=3,INDEX(COPIA!$BZ$3:$CB$400,MATCH($C244,COPIA!$BZ$3:$BZ$400,0),3)&lt;&gt;0),INDEX(COPIA!$BZ$3:$CB$400,MATCH($C244,COPIA!$BZ$3:$BZ$400,0),3),""),"")</f>
        <v/>
      </c>
      <c r="H244" s="7" t="str">
        <f t="shared" ca="1" si="8"/>
        <v/>
      </c>
    </row>
    <row r="245" spans="2:8" ht="18" customHeight="1" x14ac:dyDescent="0.3">
      <c r="B245" s="16" t="str">
        <f t="shared" ca="1" si="6"/>
        <v/>
      </c>
      <c r="C245" s="83" t="str">
        <f ca="1">IF(OR(COPIA!$BU$1=1,COPIA!$BU$1=3),COPIA!CO238,IF(COPIA!$BU$1=2,COPIA!BZ238,IF(ROW()=COPIA!$BT$1,"TOTALE","")))</f>
        <v/>
      </c>
      <c r="D245" s="86" t="str">
        <f ca="1">IF(AND(OR(COPIA!$BU$1=1,COPIA!$BU$1=3),INDEX(COPIA!$BT$3:$BV$400,MATCH($C245,COPIA!$BT$3:$BT$400,0),2)&lt;&gt;0),INDEX(COPIA!$BT$3:$BV$400,MATCH($C245,COPIA!$BT$3:$BT$400,0),2),IF(AND(COPIA!$BU$1=2,INDEX(COPIA!$BZ$3:$CB$400,MATCH($C245,COPIA!$BZ$3:$BZ$400,0),2)&lt;&gt;0),INDEX(COPIA!$BZ$3:$CB$400,MATCH($C245,COPIA!$BZ$3:$BZ$400,0),2),""))</f>
        <v/>
      </c>
      <c r="E245" s="86" t="str">
        <f ca="1">IF(AND(OR(COPIA!$BU$1=1,COPIA!$BU$1=3),INDEX(COPIA!$BT$3:$BV$400,MATCH($C245,COPIA!$BT$3:$BT$400,0),3)&lt;&gt;0),INDEX(COPIA!$BT$3:$BV$400,MATCH($C245,COPIA!$BT$3:$BT$400,0),3),IF(AND(COPIA!$BU$1=2,INDEX(COPIA!$BZ$3:$CB$400,MATCH($C245,COPIA!$BZ$3:$BZ$400,0),3)&lt;&gt;0),INDEX(COPIA!$BZ$3:$CB$400,MATCH($C245,COPIA!$BZ$3:$BZ$400,0),3),""))</f>
        <v/>
      </c>
      <c r="F245" s="86" t="str">
        <f ca="1">IFERROR(IF(AND(COPIA!$BU$1=3,INDEX(COPIA!$BZ$3:$CB$400,MATCH($C245,COPIA!$BZ$3:$BZ$400,0),2)&lt;&gt;0),INDEX(COPIA!$BZ$3:$CB$400,MATCH($C245,COPIA!$BZ$3:$BZ$400,0),2),""),"")</f>
        <v/>
      </c>
      <c r="G245" s="86" t="str">
        <f ca="1">IFERROR(IF(AND(COPIA!$BU$1=3,INDEX(COPIA!$BZ$3:$CB$400,MATCH($C245,COPIA!$BZ$3:$BZ$400,0),3)&lt;&gt;0),INDEX(COPIA!$BZ$3:$CB$400,MATCH($C245,COPIA!$BZ$3:$BZ$400,0),3),""),"")</f>
        <v/>
      </c>
      <c r="H245" s="7" t="str">
        <f t="shared" ca="1" si="8"/>
        <v/>
      </c>
    </row>
    <row r="246" spans="2:8" ht="18" customHeight="1" x14ac:dyDescent="0.3">
      <c r="B246" s="16" t="str">
        <f t="shared" ca="1" si="6"/>
        <v/>
      </c>
      <c r="C246" s="83" t="str">
        <f ca="1">IF(OR(COPIA!$BU$1=1,COPIA!$BU$1=3),COPIA!CO239,IF(COPIA!$BU$1=2,COPIA!BZ239,IF(ROW()=COPIA!$BT$1,"TOTALE","")))</f>
        <v/>
      </c>
      <c r="D246" s="86" t="str">
        <f ca="1">IF(AND(OR(COPIA!$BU$1=1,COPIA!$BU$1=3),INDEX(COPIA!$BT$3:$BV$400,MATCH($C246,COPIA!$BT$3:$BT$400,0),2)&lt;&gt;0),INDEX(COPIA!$BT$3:$BV$400,MATCH($C246,COPIA!$BT$3:$BT$400,0),2),IF(AND(COPIA!$BU$1=2,INDEX(COPIA!$BZ$3:$CB$400,MATCH($C246,COPIA!$BZ$3:$BZ$400,0),2)&lt;&gt;0),INDEX(COPIA!$BZ$3:$CB$400,MATCH($C246,COPIA!$BZ$3:$BZ$400,0),2),""))</f>
        <v/>
      </c>
      <c r="E246" s="86" t="str">
        <f ca="1">IF(AND(OR(COPIA!$BU$1=1,COPIA!$BU$1=3),INDEX(COPIA!$BT$3:$BV$400,MATCH($C246,COPIA!$BT$3:$BT$400,0),3)&lt;&gt;0),INDEX(COPIA!$BT$3:$BV$400,MATCH($C246,COPIA!$BT$3:$BT$400,0),3),IF(AND(COPIA!$BU$1=2,INDEX(COPIA!$BZ$3:$CB$400,MATCH($C246,COPIA!$BZ$3:$BZ$400,0),3)&lt;&gt;0),INDEX(COPIA!$BZ$3:$CB$400,MATCH($C246,COPIA!$BZ$3:$BZ$400,0),3),""))</f>
        <v/>
      </c>
      <c r="F246" s="86" t="str">
        <f ca="1">IFERROR(IF(AND(COPIA!$BU$1=3,INDEX(COPIA!$BZ$3:$CB$400,MATCH($C246,COPIA!$BZ$3:$BZ$400,0),2)&lt;&gt;0),INDEX(COPIA!$BZ$3:$CB$400,MATCH($C246,COPIA!$BZ$3:$BZ$400,0),2),""),"")</f>
        <v/>
      </c>
      <c r="G246" s="86" t="str">
        <f ca="1">IFERROR(IF(AND(COPIA!$BU$1=3,INDEX(COPIA!$BZ$3:$CB$400,MATCH($C246,COPIA!$BZ$3:$BZ$400,0),3)&lt;&gt;0),INDEX(COPIA!$BZ$3:$CB$400,MATCH($C246,COPIA!$BZ$3:$BZ$400,0),3),""),"")</f>
        <v/>
      </c>
      <c r="H246" s="7" t="str">
        <f t="shared" ca="1" si="8"/>
        <v/>
      </c>
    </row>
    <row r="247" spans="2:8" ht="18" customHeight="1" x14ac:dyDescent="0.3">
      <c r="B247" s="16" t="str">
        <f t="shared" ca="1" si="6"/>
        <v/>
      </c>
      <c r="C247" s="83" t="str">
        <f ca="1">IF(OR(COPIA!$BU$1=1,COPIA!$BU$1=3),COPIA!CO240,IF(COPIA!$BU$1=2,COPIA!BZ240,IF(ROW()=COPIA!$BT$1,"TOTALE","")))</f>
        <v/>
      </c>
      <c r="D247" s="86" t="str">
        <f ca="1">IF(AND(OR(COPIA!$BU$1=1,COPIA!$BU$1=3),INDEX(COPIA!$BT$3:$BV$400,MATCH($C247,COPIA!$BT$3:$BT$400,0),2)&lt;&gt;0),INDEX(COPIA!$BT$3:$BV$400,MATCH($C247,COPIA!$BT$3:$BT$400,0),2),IF(AND(COPIA!$BU$1=2,INDEX(COPIA!$BZ$3:$CB$400,MATCH($C247,COPIA!$BZ$3:$BZ$400,0),2)&lt;&gt;0),INDEX(COPIA!$BZ$3:$CB$400,MATCH($C247,COPIA!$BZ$3:$BZ$400,0),2),""))</f>
        <v/>
      </c>
      <c r="E247" s="86" t="str">
        <f ca="1">IF(AND(OR(COPIA!$BU$1=1,COPIA!$BU$1=3),INDEX(COPIA!$BT$3:$BV$400,MATCH($C247,COPIA!$BT$3:$BT$400,0),3)&lt;&gt;0),INDEX(COPIA!$BT$3:$BV$400,MATCH($C247,COPIA!$BT$3:$BT$400,0),3),IF(AND(COPIA!$BU$1=2,INDEX(COPIA!$BZ$3:$CB$400,MATCH($C247,COPIA!$BZ$3:$BZ$400,0),3)&lt;&gt;0),INDEX(COPIA!$BZ$3:$CB$400,MATCH($C247,COPIA!$BZ$3:$BZ$400,0),3),""))</f>
        <v/>
      </c>
      <c r="F247" s="86" t="str">
        <f ca="1">IFERROR(IF(AND(COPIA!$BU$1=3,INDEX(COPIA!$BZ$3:$CB$400,MATCH($C247,COPIA!$BZ$3:$BZ$400,0),2)&lt;&gt;0),INDEX(COPIA!$BZ$3:$CB$400,MATCH($C247,COPIA!$BZ$3:$BZ$400,0),2),""),"")</f>
        <v/>
      </c>
      <c r="G247" s="86" t="str">
        <f ca="1">IFERROR(IF(AND(COPIA!$BU$1=3,INDEX(COPIA!$BZ$3:$CB$400,MATCH($C247,COPIA!$BZ$3:$BZ$400,0),3)&lt;&gt;0),INDEX(COPIA!$BZ$3:$CB$400,MATCH($C247,COPIA!$BZ$3:$BZ$400,0),3),""),"")</f>
        <v/>
      </c>
      <c r="H247" s="7" t="str">
        <f t="shared" ca="1" si="8"/>
        <v/>
      </c>
    </row>
    <row r="248" spans="2:8" ht="18" customHeight="1" x14ac:dyDescent="0.3">
      <c r="B248" s="16" t="str">
        <f t="shared" ca="1" si="6"/>
        <v/>
      </c>
      <c r="C248" s="83" t="str">
        <f ca="1">IF(OR(COPIA!$BU$1=1,COPIA!$BU$1=3),COPIA!CO241,IF(COPIA!$BU$1=2,COPIA!BZ241,IF(ROW()=COPIA!$BT$1,"TOTALE","")))</f>
        <v/>
      </c>
      <c r="D248" s="86" t="str">
        <f ca="1">IF(AND(OR(COPIA!$BU$1=1,COPIA!$BU$1=3),INDEX(COPIA!$BT$3:$BV$400,MATCH($C248,COPIA!$BT$3:$BT$400,0),2)&lt;&gt;0),INDEX(COPIA!$BT$3:$BV$400,MATCH($C248,COPIA!$BT$3:$BT$400,0),2),IF(AND(COPIA!$BU$1=2,INDEX(COPIA!$BZ$3:$CB$400,MATCH($C248,COPIA!$BZ$3:$BZ$400,0),2)&lt;&gt;0),INDEX(COPIA!$BZ$3:$CB$400,MATCH($C248,COPIA!$BZ$3:$BZ$400,0),2),""))</f>
        <v/>
      </c>
      <c r="E248" s="86" t="str">
        <f ca="1">IF(AND(OR(COPIA!$BU$1=1,COPIA!$BU$1=3),INDEX(COPIA!$BT$3:$BV$400,MATCH($C248,COPIA!$BT$3:$BT$400,0),3)&lt;&gt;0),INDEX(COPIA!$BT$3:$BV$400,MATCH($C248,COPIA!$BT$3:$BT$400,0),3),IF(AND(COPIA!$BU$1=2,INDEX(COPIA!$BZ$3:$CB$400,MATCH($C248,COPIA!$BZ$3:$BZ$400,0),3)&lt;&gt;0),INDEX(COPIA!$BZ$3:$CB$400,MATCH($C248,COPIA!$BZ$3:$BZ$400,0),3),""))</f>
        <v/>
      </c>
      <c r="F248" s="86" t="str">
        <f ca="1">IFERROR(IF(AND(COPIA!$BU$1=3,INDEX(COPIA!$BZ$3:$CB$400,MATCH($C248,COPIA!$BZ$3:$BZ$400,0),2)&lt;&gt;0),INDEX(COPIA!$BZ$3:$CB$400,MATCH($C248,COPIA!$BZ$3:$BZ$400,0),2),""),"")</f>
        <v/>
      </c>
      <c r="G248" s="86" t="str">
        <f ca="1">IFERROR(IF(AND(COPIA!$BU$1=3,INDEX(COPIA!$BZ$3:$CB$400,MATCH($C248,COPIA!$BZ$3:$BZ$400,0),3)&lt;&gt;0),INDEX(COPIA!$BZ$3:$CB$400,MATCH($C248,COPIA!$BZ$3:$BZ$400,0),3),""),"")</f>
        <v/>
      </c>
      <c r="H248" s="7" t="str">
        <f t="shared" ca="1" si="8"/>
        <v/>
      </c>
    </row>
    <row r="249" spans="2:8" ht="18" customHeight="1" x14ac:dyDescent="0.3">
      <c r="B249" s="16" t="str">
        <f t="shared" ca="1" si="6"/>
        <v/>
      </c>
      <c r="C249" s="83" t="str">
        <f ca="1">IF(OR(COPIA!$BU$1=1,COPIA!$BU$1=3),COPIA!CO242,IF(COPIA!$BU$1=2,COPIA!BZ242,IF(ROW()=COPIA!$BT$1,"TOTALE","")))</f>
        <v/>
      </c>
      <c r="D249" s="86" t="str">
        <f ca="1">IF(AND(OR(COPIA!$BU$1=1,COPIA!$BU$1=3),INDEX(COPIA!$BT$3:$BV$400,MATCH($C249,COPIA!$BT$3:$BT$400,0),2)&lt;&gt;0),INDEX(COPIA!$BT$3:$BV$400,MATCH($C249,COPIA!$BT$3:$BT$400,0),2),IF(AND(COPIA!$BU$1=2,INDEX(COPIA!$BZ$3:$CB$400,MATCH($C249,COPIA!$BZ$3:$BZ$400,0),2)&lt;&gt;0),INDEX(COPIA!$BZ$3:$CB$400,MATCH($C249,COPIA!$BZ$3:$BZ$400,0),2),""))</f>
        <v/>
      </c>
      <c r="E249" s="86" t="str">
        <f ca="1">IF(AND(OR(COPIA!$BU$1=1,COPIA!$BU$1=3),INDEX(COPIA!$BT$3:$BV$400,MATCH($C249,COPIA!$BT$3:$BT$400,0),3)&lt;&gt;0),INDEX(COPIA!$BT$3:$BV$400,MATCH($C249,COPIA!$BT$3:$BT$400,0),3),IF(AND(COPIA!$BU$1=2,INDEX(COPIA!$BZ$3:$CB$400,MATCH($C249,COPIA!$BZ$3:$BZ$400,0),3)&lt;&gt;0),INDEX(COPIA!$BZ$3:$CB$400,MATCH($C249,COPIA!$BZ$3:$BZ$400,0),3),""))</f>
        <v/>
      </c>
      <c r="F249" s="86" t="str">
        <f ca="1">IFERROR(IF(AND(COPIA!$BU$1=3,INDEX(COPIA!$BZ$3:$CB$400,MATCH($C249,COPIA!$BZ$3:$BZ$400,0),2)&lt;&gt;0),INDEX(COPIA!$BZ$3:$CB$400,MATCH($C249,COPIA!$BZ$3:$BZ$400,0),2),""),"")</f>
        <v/>
      </c>
      <c r="G249" s="86" t="str">
        <f ca="1">IFERROR(IF(AND(COPIA!$BU$1=3,INDEX(COPIA!$BZ$3:$CB$400,MATCH($C249,COPIA!$BZ$3:$BZ$400,0),3)&lt;&gt;0),INDEX(COPIA!$BZ$3:$CB$400,MATCH($C249,COPIA!$BZ$3:$BZ$400,0),3),""),"")</f>
        <v/>
      </c>
      <c r="H249" s="7" t="str">
        <f t="shared" ca="1" si="8"/>
        <v/>
      </c>
    </row>
    <row r="250" spans="2:8" ht="18" customHeight="1" x14ac:dyDescent="0.3">
      <c r="B250" s="16" t="str">
        <f t="shared" ca="1" si="6"/>
        <v/>
      </c>
      <c r="C250" s="83" t="str">
        <f ca="1">IF(OR(COPIA!$BU$1=1,COPIA!$BU$1=3),COPIA!CO243,IF(COPIA!$BU$1=2,COPIA!BZ243,IF(ROW()=COPIA!$BT$1,"TOTALE","")))</f>
        <v/>
      </c>
      <c r="D250" s="86" t="str">
        <f ca="1">IF(AND(OR(COPIA!$BU$1=1,COPIA!$BU$1=3),INDEX(COPIA!$BT$3:$BV$400,MATCH($C250,COPIA!$BT$3:$BT$400,0),2)&lt;&gt;0),INDEX(COPIA!$BT$3:$BV$400,MATCH($C250,COPIA!$BT$3:$BT$400,0),2),IF(AND(COPIA!$BU$1=2,INDEX(COPIA!$BZ$3:$CB$400,MATCH($C250,COPIA!$BZ$3:$BZ$400,0),2)&lt;&gt;0),INDEX(COPIA!$BZ$3:$CB$400,MATCH($C250,COPIA!$BZ$3:$BZ$400,0),2),""))</f>
        <v/>
      </c>
      <c r="E250" s="86" t="str">
        <f ca="1">IF(AND(OR(COPIA!$BU$1=1,COPIA!$BU$1=3),INDEX(COPIA!$BT$3:$BV$400,MATCH($C250,COPIA!$BT$3:$BT$400,0),3)&lt;&gt;0),INDEX(COPIA!$BT$3:$BV$400,MATCH($C250,COPIA!$BT$3:$BT$400,0),3),IF(AND(COPIA!$BU$1=2,INDEX(COPIA!$BZ$3:$CB$400,MATCH($C250,COPIA!$BZ$3:$BZ$400,0),3)&lt;&gt;0),INDEX(COPIA!$BZ$3:$CB$400,MATCH($C250,COPIA!$BZ$3:$BZ$400,0),3),""))</f>
        <v/>
      </c>
      <c r="F250" s="86" t="str">
        <f ca="1">IFERROR(IF(AND(COPIA!$BU$1=3,INDEX(COPIA!$BZ$3:$CB$400,MATCH($C250,COPIA!$BZ$3:$BZ$400,0),2)&lt;&gt;0),INDEX(COPIA!$BZ$3:$CB$400,MATCH($C250,COPIA!$BZ$3:$BZ$400,0),2),""),"")</f>
        <v/>
      </c>
      <c r="G250" s="86" t="str">
        <f ca="1">IFERROR(IF(AND(COPIA!$BU$1=3,INDEX(COPIA!$BZ$3:$CB$400,MATCH($C250,COPIA!$BZ$3:$BZ$400,0),3)&lt;&gt;0),INDEX(COPIA!$BZ$3:$CB$400,MATCH($C250,COPIA!$BZ$3:$BZ$400,0),3),""),"")</f>
        <v/>
      </c>
      <c r="H250" s="7" t="str">
        <f t="shared" ca="1" si="8"/>
        <v/>
      </c>
    </row>
    <row r="251" spans="2:8" ht="18" customHeight="1" x14ac:dyDescent="0.3">
      <c r="B251" s="16" t="str">
        <f t="shared" ca="1" si="6"/>
        <v/>
      </c>
      <c r="C251" s="83" t="str">
        <f ca="1">IF(OR(COPIA!$BU$1=1,COPIA!$BU$1=3),COPIA!CO244,IF(COPIA!$BU$1=2,COPIA!BZ244,IF(ROW()=COPIA!$BT$1,"TOTALE","")))</f>
        <v/>
      </c>
      <c r="D251" s="86" t="str">
        <f ca="1">IF(AND(OR(COPIA!$BU$1=1,COPIA!$BU$1=3),INDEX(COPIA!$BT$3:$BV$400,MATCH($C251,COPIA!$BT$3:$BT$400,0),2)&lt;&gt;0),INDEX(COPIA!$BT$3:$BV$400,MATCH($C251,COPIA!$BT$3:$BT$400,0),2),IF(AND(COPIA!$BU$1=2,INDEX(COPIA!$BZ$3:$CB$400,MATCH($C251,COPIA!$BZ$3:$BZ$400,0),2)&lt;&gt;0),INDEX(COPIA!$BZ$3:$CB$400,MATCH($C251,COPIA!$BZ$3:$BZ$400,0),2),""))</f>
        <v/>
      </c>
      <c r="E251" s="86" t="str">
        <f ca="1">IF(AND(OR(COPIA!$BU$1=1,COPIA!$BU$1=3),INDEX(COPIA!$BT$3:$BV$400,MATCH($C251,COPIA!$BT$3:$BT$400,0),3)&lt;&gt;0),INDEX(COPIA!$BT$3:$BV$400,MATCH($C251,COPIA!$BT$3:$BT$400,0),3),IF(AND(COPIA!$BU$1=2,INDEX(COPIA!$BZ$3:$CB$400,MATCH($C251,COPIA!$BZ$3:$BZ$400,0),3)&lt;&gt;0),INDEX(COPIA!$BZ$3:$CB$400,MATCH($C251,COPIA!$BZ$3:$BZ$400,0),3),""))</f>
        <v/>
      </c>
      <c r="F251" s="86" t="str">
        <f ca="1">IFERROR(IF(AND(COPIA!$BU$1=3,INDEX(COPIA!$BZ$3:$CB$400,MATCH($C251,COPIA!$BZ$3:$BZ$400,0),2)&lt;&gt;0),INDEX(COPIA!$BZ$3:$CB$400,MATCH($C251,COPIA!$BZ$3:$BZ$400,0),2),""),"")</f>
        <v/>
      </c>
      <c r="G251" s="86" t="str">
        <f ca="1">IFERROR(IF(AND(COPIA!$BU$1=3,INDEX(COPIA!$BZ$3:$CB$400,MATCH($C251,COPIA!$BZ$3:$BZ$400,0),3)&lt;&gt;0),INDEX(COPIA!$BZ$3:$CB$400,MATCH($C251,COPIA!$BZ$3:$BZ$400,0),3),""),"")</f>
        <v/>
      </c>
      <c r="H251" s="7" t="str">
        <f t="shared" ca="1" si="8"/>
        <v/>
      </c>
    </row>
    <row r="252" spans="2:8" ht="18" customHeight="1" x14ac:dyDescent="0.3">
      <c r="B252" s="16" t="str">
        <f t="shared" ca="1" si="6"/>
        <v/>
      </c>
      <c r="C252" s="83" t="str">
        <f ca="1">IF(OR(COPIA!$BU$1=1,COPIA!$BU$1=3),COPIA!CO245,IF(COPIA!$BU$1=2,COPIA!BZ245,IF(ROW()=COPIA!$BT$1,"TOTALE","")))</f>
        <v/>
      </c>
      <c r="D252" s="86" t="str">
        <f ca="1">IF(AND(OR(COPIA!$BU$1=1,COPIA!$BU$1=3),INDEX(COPIA!$BT$3:$BV$400,MATCH($C252,COPIA!$BT$3:$BT$400,0),2)&lt;&gt;0),INDEX(COPIA!$BT$3:$BV$400,MATCH($C252,COPIA!$BT$3:$BT$400,0),2),IF(AND(COPIA!$BU$1=2,INDEX(COPIA!$BZ$3:$CB$400,MATCH($C252,COPIA!$BZ$3:$BZ$400,0),2)&lt;&gt;0),INDEX(COPIA!$BZ$3:$CB$400,MATCH($C252,COPIA!$BZ$3:$BZ$400,0),2),""))</f>
        <v/>
      </c>
      <c r="E252" s="86" t="str">
        <f ca="1">IF(AND(OR(COPIA!$BU$1=1,COPIA!$BU$1=3),INDEX(COPIA!$BT$3:$BV$400,MATCH($C252,COPIA!$BT$3:$BT$400,0),3)&lt;&gt;0),INDEX(COPIA!$BT$3:$BV$400,MATCH($C252,COPIA!$BT$3:$BT$400,0),3),IF(AND(COPIA!$BU$1=2,INDEX(COPIA!$BZ$3:$CB$400,MATCH($C252,COPIA!$BZ$3:$BZ$400,0),3)&lt;&gt;0),INDEX(COPIA!$BZ$3:$CB$400,MATCH($C252,COPIA!$BZ$3:$BZ$400,0),3),""))</f>
        <v/>
      </c>
      <c r="F252" s="86" t="str">
        <f ca="1">IFERROR(IF(AND(COPIA!$BU$1=3,INDEX(COPIA!$BZ$3:$CB$400,MATCH($C252,COPIA!$BZ$3:$BZ$400,0),2)&lt;&gt;0),INDEX(COPIA!$BZ$3:$CB$400,MATCH($C252,COPIA!$BZ$3:$BZ$400,0),2),""),"")</f>
        <v/>
      </c>
      <c r="G252" s="86" t="str">
        <f ca="1">IFERROR(IF(AND(COPIA!$BU$1=3,INDEX(COPIA!$BZ$3:$CB$400,MATCH($C252,COPIA!$BZ$3:$BZ$400,0),3)&lt;&gt;0),INDEX(COPIA!$BZ$3:$CB$400,MATCH($C252,COPIA!$BZ$3:$BZ$400,0),3),""),"")</f>
        <v/>
      </c>
      <c r="H252" s="7" t="str">
        <f t="shared" ca="1" si="8"/>
        <v/>
      </c>
    </row>
    <row r="253" spans="2:8" ht="18" customHeight="1" x14ac:dyDescent="0.3">
      <c r="B253" s="16" t="str">
        <f t="shared" ca="1" si="6"/>
        <v/>
      </c>
      <c r="C253" s="83" t="str">
        <f ca="1">IF(OR(COPIA!$BU$1=1,COPIA!$BU$1=3),COPIA!CO246,IF(COPIA!$BU$1=2,COPIA!BZ246,IF(ROW()=COPIA!$BT$1,"TOTALE","")))</f>
        <v/>
      </c>
      <c r="D253" s="86" t="str">
        <f ca="1">IF(AND(OR(COPIA!$BU$1=1,COPIA!$BU$1=3),INDEX(COPIA!$BT$3:$BV$400,MATCH($C253,COPIA!$BT$3:$BT$400,0),2)&lt;&gt;0),INDEX(COPIA!$BT$3:$BV$400,MATCH($C253,COPIA!$BT$3:$BT$400,0),2),IF(AND(COPIA!$BU$1=2,INDEX(COPIA!$BZ$3:$CB$400,MATCH($C253,COPIA!$BZ$3:$BZ$400,0),2)&lt;&gt;0),INDEX(COPIA!$BZ$3:$CB$400,MATCH($C253,COPIA!$BZ$3:$BZ$400,0),2),""))</f>
        <v/>
      </c>
      <c r="E253" s="86" t="str">
        <f ca="1">IF(AND(OR(COPIA!$BU$1=1,COPIA!$BU$1=3),INDEX(COPIA!$BT$3:$BV$400,MATCH($C253,COPIA!$BT$3:$BT$400,0),3)&lt;&gt;0),INDEX(COPIA!$BT$3:$BV$400,MATCH($C253,COPIA!$BT$3:$BT$400,0),3),IF(AND(COPIA!$BU$1=2,INDEX(COPIA!$BZ$3:$CB$400,MATCH($C253,COPIA!$BZ$3:$BZ$400,0),3)&lt;&gt;0),INDEX(COPIA!$BZ$3:$CB$400,MATCH($C253,COPIA!$BZ$3:$BZ$400,0),3),""))</f>
        <v/>
      </c>
      <c r="F253" s="86" t="str">
        <f ca="1">IFERROR(IF(AND(COPIA!$BU$1=3,INDEX(COPIA!$BZ$3:$CB$400,MATCH($C253,COPIA!$BZ$3:$BZ$400,0),2)&lt;&gt;0),INDEX(COPIA!$BZ$3:$CB$400,MATCH($C253,COPIA!$BZ$3:$BZ$400,0),2),""),"")</f>
        <v/>
      </c>
      <c r="G253" s="86" t="str">
        <f ca="1">IFERROR(IF(AND(COPIA!$BU$1=3,INDEX(COPIA!$BZ$3:$CB$400,MATCH($C253,COPIA!$BZ$3:$BZ$400,0),3)&lt;&gt;0),INDEX(COPIA!$BZ$3:$CB$400,MATCH($C253,COPIA!$BZ$3:$BZ$400,0),3),""),"")</f>
        <v/>
      </c>
      <c r="H253" s="7" t="str">
        <f t="shared" ca="1" si="8"/>
        <v/>
      </c>
    </row>
    <row r="254" spans="2:8" ht="18" customHeight="1" x14ac:dyDescent="0.3">
      <c r="B254" s="16" t="str">
        <f t="shared" ca="1" si="6"/>
        <v/>
      </c>
      <c r="C254" s="83" t="str">
        <f ca="1">IF(OR(COPIA!$BU$1=1,COPIA!$BU$1=3),COPIA!CO247,IF(COPIA!$BU$1=2,COPIA!BZ247,IF(ROW()=COPIA!$BT$1,"TOTALE","")))</f>
        <v/>
      </c>
      <c r="D254" s="86" t="str">
        <f ca="1">IF(AND(OR(COPIA!$BU$1=1,COPIA!$BU$1=3),INDEX(COPIA!$BT$3:$BV$400,MATCH($C254,COPIA!$BT$3:$BT$400,0),2)&lt;&gt;0),INDEX(COPIA!$BT$3:$BV$400,MATCH($C254,COPIA!$BT$3:$BT$400,0),2),IF(AND(COPIA!$BU$1=2,INDEX(COPIA!$BZ$3:$CB$400,MATCH($C254,COPIA!$BZ$3:$BZ$400,0),2)&lt;&gt;0),INDEX(COPIA!$BZ$3:$CB$400,MATCH($C254,COPIA!$BZ$3:$BZ$400,0),2),""))</f>
        <v/>
      </c>
      <c r="E254" s="86" t="str">
        <f ca="1">IF(AND(OR(COPIA!$BU$1=1,COPIA!$BU$1=3),INDEX(COPIA!$BT$3:$BV$400,MATCH($C254,COPIA!$BT$3:$BT$400,0),3)&lt;&gt;0),INDEX(COPIA!$BT$3:$BV$400,MATCH($C254,COPIA!$BT$3:$BT$400,0),3),IF(AND(COPIA!$BU$1=2,INDEX(COPIA!$BZ$3:$CB$400,MATCH($C254,COPIA!$BZ$3:$BZ$400,0),3)&lt;&gt;0),INDEX(COPIA!$BZ$3:$CB$400,MATCH($C254,COPIA!$BZ$3:$BZ$400,0),3),""))</f>
        <v/>
      </c>
      <c r="F254" s="86" t="str">
        <f ca="1">IFERROR(IF(AND(COPIA!$BU$1=3,INDEX(COPIA!$BZ$3:$CB$400,MATCH($C254,COPIA!$BZ$3:$BZ$400,0),2)&lt;&gt;0),INDEX(COPIA!$BZ$3:$CB$400,MATCH($C254,COPIA!$BZ$3:$BZ$400,0),2),""),"")</f>
        <v/>
      </c>
      <c r="G254" s="86" t="str">
        <f ca="1">IFERROR(IF(AND(COPIA!$BU$1=3,INDEX(COPIA!$BZ$3:$CB$400,MATCH($C254,COPIA!$BZ$3:$BZ$400,0),3)&lt;&gt;0),INDEX(COPIA!$BZ$3:$CB$400,MATCH($C254,COPIA!$BZ$3:$BZ$400,0),3),""),"")</f>
        <v/>
      </c>
      <c r="H254" s="7" t="str">
        <f t="shared" ca="1" si="8"/>
        <v/>
      </c>
    </row>
    <row r="255" spans="2:8" ht="18" customHeight="1" x14ac:dyDescent="0.3">
      <c r="B255" s="16" t="str">
        <f t="shared" ca="1" si="6"/>
        <v/>
      </c>
      <c r="C255" s="83" t="str">
        <f ca="1">IF(OR(COPIA!$BU$1=1,COPIA!$BU$1=3),COPIA!CO248,IF(COPIA!$BU$1=2,COPIA!BZ248,IF(ROW()=COPIA!$BT$1,"TOTALE","")))</f>
        <v/>
      </c>
      <c r="D255" s="86" t="str">
        <f ca="1">IF(AND(OR(COPIA!$BU$1=1,COPIA!$BU$1=3),INDEX(COPIA!$BT$3:$BV$400,MATCH($C255,COPIA!$BT$3:$BT$400,0),2)&lt;&gt;0),INDEX(COPIA!$BT$3:$BV$400,MATCH($C255,COPIA!$BT$3:$BT$400,0),2),IF(AND(COPIA!$BU$1=2,INDEX(COPIA!$BZ$3:$CB$400,MATCH($C255,COPIA!$BZ$3:$BZ$400,0),2)&lt;&gt;0),INDEX(COPIA!$BZ$3:$CB$400,MATCH($C255,COPIA!$BZ$3:$BZ$400,0),2),""))</f>
        <v/>
      </c>
      <c r="E255" s="86" t="str">
        <f ca="1">IF(AND(OR(COPIA!$BU$1=1,COPIA!$BU$1=3),INDEX(COPIA!$BT$3:$BV$400,MATCH($C255,COPIA!$BT$3:$BT$400,0),3)&lt;&gt;0),INDEX(COPIA!$BT$3:$BV$400,MATCH($C255,COPIA!$BT$3:$BT$400,0),3),IF(AND(COPIA!$BU$1=2,INDEX(COPIA!$BZ$3:$CB$400,MATCH($C255,COPIA!$BZ$3:$BZ$400,0),3)&lt;&gt;0),INDEX(COPIA!$BZ$3:$CB$400,MATCH($C255,COPIA!$BZ$3:$BZ$400,0),3),""))</f>
        <v/>
      </c>
      <c r="F255" s="86" t="str">
        <f ca="1">IFERROR(IF(AND(COPIA!$BU$1=3,INDEX(COPIA!$BZ$3:$CB$400,MATCH($C255,COPIA!$BZ$3:$BZ$400,0),2)&lt;&gt;0),INDEX(COPIA!$BZ$3:$CB$400,MATCH($C255,COPIA!$BZ$3:$BZ$400,0),2),""),"")</f>
        <v/>
      </c>
      <c r="G255" s="86" t="str">
        <f ca="1">IFERROR(IF(AND(COPIA!$BU$1=3,INDEX(COPIA!$BZ$3:$CB$400,MATCH($C255,COPIA!$BZ$3:$BZ$400,0),3)&lt;&gt;0),INDEX(COPIA!$BZ$3:$CB$400,MATCH($C255,COPIA!$BZ$3:$BZ$400,0),3),""),"")</f>
        <v/>
      </c>
      <c r="H255" s="7" t="str">
        <f t="shared" ca="1" si="8"/>
        <v/>
      </c>
    </row>
    <row r="256" spans="2:8" ht="18" customHeight="1" x14ac:dyDescent="0.3">
      <c r="B256" s="16" t="str">
        <f t="shared" ca="1" si="6"/>
        <v/>
      </c>
      <c r="C256" s="83" t="str">
        <f ca="1">IF(OR(COPIA!$BU$1=1,COPIA!$BU$1=3),COPIA!CO249,IF(COPIA!$BU$1=2,COPIA!BZ249,IF(ROW()=COPIA!$BT$1,"TOTALE","")))</f>
        <v/>
      </c>
      <c r="D256" s="86" t="str">
        <f ca="1">IF(AND(OR(COPIA!$BU$1=1,COPIA!$BU$1=3),INDEX(COPIA!$BT$3:$BV$400,MATCH($C256,COPIA!$BT$3:$BT$400,0),2)&lt;&gt;0),INDEX(COPIA!$BT$3:$BV$400,MATCH($C256,COPIA!$BT$3:$BT$400,0),2),IF(AND(COPIA!$BU$1=2,INDEX(COPIA!$BZ$3:$CB$400,MATCH($C256,COPIA!$BZ$3:$BZ$400,0),2)&lt;&gt;0),INDEX(COPIA!$BZ$3:$CB$400,MATCH($C256,COPIA!$BZ$3:$BZ$400,0),2),""))</f>
        <v/>
      </c>
      <c r="E256" s="86" t="str">
        <f ca="1">IF(AND(OR(COPIA!$BU$1=1,COPIA!$BU$1=3),INDEX(COPIA!$BT$3:$BV$400,MATCH($C256,COPIA!$BT$3:$BT$400,0),3)&lt;&gt;0),INDEX(COPIA!$BT$3:$BV$400,MATCH($C256,COPIA!$BT$3:$BT$400,0),3),IF(AND(COPIA!$BU$1=2,INDEX(COPIA!$BZ$3:$CB$400,MATCH($C256,COPIA!$BZ$3:$BZ$400,0),3)&lt;&gt;0),INDEX(COPIA!$BZ$3:$CB$400,MATCH($C256,COPIA!$BZ$3:$BZ$400,0),3),""))</f>
        <v/>
      </c>
      <c r="F256" s="86" t="str">
        <f ca="1">IFERROR(IF(AND(COPIA!$BU$1=3,INDEX(COPIA!$BZ$3:$CB$400,MATCH($C256,COPIA!$BZ$3:$BZ$400,0),2)&lt;&gt;0),INDEX(COPIA!$BZ$3:$CB$400,MATCH($C256,COPIA!$BZ$3:$BZ$400,0),2),""),"")</f>
        <v/>
      </c>
      <c r="G256" s="86" t="str">
        <f ca="1">IFERROR(IF(AND(COPIA!$BU$1=3,INDEX(COPIA!$BZ$3:$CB$400,MATCH($C256,COPIA!$BZ$3:$BZ$400,0),3)&lt;&gt;0),INDEX(COPIA!$BZ$3:$CB$400,MATCH($C256,COPIA!$BZ$3:$BZ$400,0),3),""),"")</f>
        <v/>
      </c>
      <c r="H256" s="7" t="str">
        <f t="shared" ca="1" si="8"/>
        <v/>
      </c>
    </row>
    <row r="257" spans="2:8" ht="18" customHeight="1" x14ac:dyDescent="0.3">
      <c r="B257" s="16" t="str">
        <f t="shared" ca="1" si="6"/>
        <v/>
      </c>
      <c r="C257" s="83" t="str">
        <f ca="1">IF(OR(COPIA!$BU$1=1,COPIA!$BU$1=3),COPIA!CO250,IF(COPIA!$BU$1=2,COPIA!BZ250,IF(ROW()=COPIA!$BT$1,"TOTALE","")))</f>
        <v/>
      </c>
      <c r="D257" s="86" t="str">
        <f ca="1">IF(AND(OR(COPIA!$BU$1=1,COPIA!$BU$1=3),INDEX(COPIA!$BT$3:$BV$400,MATCH($C257,COPIA!$BT$3:$BT$400,0),2)&lt;&gt;0),INDEX(COPIA!$BT$3:$BV$400,MATCH($C257,COPIA!$BT$3:$BT$400,0),2),IF(AND(COPIA!$BU$1=2,INDEX(COPIA!$BZ$3:$CB$400,MATCH($C257,COPIA!$BZ$3:$BZ$400,0),2)&lt;&gt;0),INDEX(COPIA!$BZ$3:$CB$400,MATCH($C257,COPIA!$BZ$3:$BZ$400,0),2),""))</f>
        <v/>
      </c>
      <c r="E257" s="86" t="str">
        <f ca="1">IF(AND(OR(COPIA!$BU$1=1,COPIA!$BU$1=3),INDEX(COPIA!$BT$3:$BV$400,MATCH($C257,COPIA!$BT$3:$BT$400,0),3)&lt;&gt;0),INDEX(COPIA!$BT$3:$BV$400,MATCH($C257,COPIA!$BT$3:$BT$400,0),3),IF(AND(COPIA!$BU$1=2,INDEX(COPIA!$BZ$3:$CB$400,MATCH($C257,COPIA!$BZ$3:$BZ$400,0),3)&lt;&gt;0),INDEX(COPIA!$BZ$3:$CB$400,MATCH($C257,COPIA!$BZ$3:$BZ$400,0),3),""))</f>
        <v/>
      </c>
      <c r="F257" s="86" t="str">
        <f ca="1">IFERROR(IF(AND(COPIA!$BU$1=3,INDEX(COPIA!$BZ$3:$CB$400,MATCH($C257,COPIA!$BZ$3:$BZ$400,0),2)&lt;&gt;0),INDEX(COPIA!$BZ$3:$CB$400,MATCH($C257,COPIA!$BZ$3:$BZ$400,0),2),""),"")</f>
        <v/>
      </c>
      <c r="G257" s="86" t="str">
        <f ca="1">IFERROR(IF(AND(COPIA!$BU$1=3,INDEX(COPIA!$BZ$3:$CB$400,MATCH($C257,COPIA!$BZ$3:$BZ$400,0),3)&lt;&gt;0),INDEX(COPIA!$BZ$3:$CB$400,MATCH($C257,COPIA!$BZ$3:$BZ$400,0),3),""),"")</f>
        <v/>
      </c>
      <c r="H257" s="7" t="str">
        <f t="shared" ca="1" si="8"/>
        <v/>
      </c>
    </row>
    <row r="258" spans="2:8" ht="18" customHeight="1" x14ac:dyDescent="0.3">
      <c r="B258" s="16" t="str">
        <f t="shared" ca="1" si="6"/>
        <v/>
      </c>
      <c r="C258" s="83" t="str">
        <f ca="1">IF(OR(COPIA!$BU$1=1,COPIA!$BU$1=3),COPIA!CO251,IF(COPIA!$BU$1=2,COPIA!BZ251,IF(ROW()=COPIA!$BT$1,"TOTALE","")))</f>
        <v/>
      </c>
      <c r="D258" s="86" t="str">
        <f ca="1">IF(AND(OR(COPIA!$BU$1=1,COPIA!$BU$1=3),INDEX(COPIA!$BT$3:$BV$400,MATCH($C258,COPIA!$BT$3:$BT$400,0),2)&lt;&gt;0),INDEX(COPIA!$BT$3:$BV$400,MATCH($C258,COPIA!$BT$3:$BT$400,0),2),IF(AND(COPIA!$BU$1=2,INDEX(COPIA!$BZ$3:$CB$400,MATCH($C258,COPIA!$BZ$3:$BZ$400,0),2)&lt;&gt;0),INDEX(COPIA!$BZ$3:$CB$400,MATCH($C258,COPIA!$BZ$3:$BZ$400,0),2),""))</f>
        <v/>
      </c>
      <c r="E258" s="86" t="str">
        <f ca="1">IF(AND(OR(COPIA!$BU$1=1,COPIA!$BU$1=3),INDEX(COPIA!$BT$3:$BV$400,MATCH($C258,COPIA!$BT$3:$BT$400,0),3)&lt;&gt;0),INDEX(COPIA!$BT$3:$BV$400,MATCH($C258,COPIA!$BT$3:$BT$400,0),3),IF(AND(COPIA!$BU$1=2,INDEX(COPIA!$BZ$3:$CB$400,MATCH($C258,COPIA!$BZ$3:$BZ$400,0),3)&lt;&gt;0),INDEX(COPIA!$BZ$3:$CB$400,MATCH($C258,COPIA!$BZ$3:$BZ$400,0),3),""))</f>
        <v/>
      </c>
      <c r="F258" s="86" t="str">
        <f ca="1">IFERROR(IF(AND(COPIA!$BU$1=3,INDEX(COPIA!$BZ$3:$CB$400,MATCH($C258,COPIA!$BZ$3:$BZ$400,0),2)&lt;&gt;0),INDEX(COPIA!$BZ$3:$CB$400,MATCH($C258,COPIA!$BZ$3:$BZ$400,0),2),""),"")</f>
        <v/>
      </c>
      <c r="G258" s="86" t="str">
        <f ca="1">IFERROR(IF(AND(COPIA!$BU$1=3,INDEX(COPIA!$BZ$3:$CB$400,MATCH($C258,COPIA!$BZ$3:$BZ$400,0),3)&lt;&gt;0),INDEX(COPIA!$BZ$3:$CB$400,MATCH($C258,COPIA!$BZ$3:$BZ$400,0),3),""),"")</f>
        <v/>
      </c>
      <c r="H258" s="7" t="str">
        <f t="shared" ca="1" si="8"/>
        <v/>
      </c>
    </row>
    <row r="259" spans="2:8" ht="18" customHeight="1" x14ac:dyDescent="0.3">
      <c r="B259" s="16" t="str">
        <f t="shared" ca="1" si="6"/>
        <v/>
      </c>
      <c r="C259" s="83" t="str">
        <f ca="1">IF(OR(COPIA!$BU$1=1,COPIA!$BU$1=3),COPIA!CO252,IF(COPIA!$BU$1=2,COPIA!BZ252,IF(ROW()=COPIA!$BT$1,"TOTALE","")))</f>
        <v/>
      </c>
      <c r="D259" s="86" t="str">
        <f ca="1">IF(AND(OR(COPIA!$BU$1=1,COPIA!$BU$1=3),INDEX(COPIA!$BT$3:$BV$400,MATCH($C259,COPIA!$BT$3:$BT$400,0),2)&lt;&gt;0),INDEX(COPIA!$BT$3:$BV$400,MATCH($C259,COPIA!$BT$3:$BT$400,0),2),IF(AND(COPIA!$BU$1=2,INDEX(COPIA!$BZ$3:$CB$400,MATCH($C259,COPIA!$BZ$3:$BZ$400,0),2)&lt;&gt;0),INDEX(COPIA!$BZ$3:$CB$400,MATCH($C259,COPIA!$BZ$3:$BZ$400,0),2),""))</f>
        <v/>
      </c>
      <c r="E259" s="86" t="str">
        <f ca="1">IF(AND(OR(COPIA!$BU$1=1,COPIA!$BU$1=3),INDEX(COPIA!$BT$3:$BV$400,MATCH($C259,COPIA!$BT$3:$BT$400,0),3)&lt;&gt;0),INDEX(COPIA!$BT$3:$BV$400,MATCH($C259,COPIA!$BT$3:$BT$400,0),3),IF(AND(COPIA!$BU$1=2,INDEX(COPIA!$BZ$3:$CB$400,MATCH($C259,COPIA!$BZ$3:$BZ$400,0),3)&lt;&gt;0),INDEX(COPIA!$BZ$3:$CB$400,MATCH($C259,COPIA!$BZ$3:$BZ$400,0),3),""))</f>
        <v/>
      </c>
      <c r="F259" s="86" t="str">
        <f ca="1">IFERROR(IF(AND(COPIA!$BU$1=3,INDEX(COPIA!$BZ$3:$CB$400,MATCH($C259,COPIA!$BZ$3:$BZ$400,0),2)&lt;&gt;0),INDEX(COPIA!$BZ$3:$CB$400,MATCH($C259,COPIA!$BZ$3:$BZ$400,0),2),""),"")</f>
        <v/>
      </c>
      <c r="G259" s="86" t="str">
        <f ca="1">IFERROR(IF(AND(COPIA!$BU$1=3,INDEX(COPIA!$BZ$3:$CB$400,MATCH($C259,COPIA!$BZ$3:$BZ$400,0),3)&lt;&gt;0),INDEX(COPIA!$BZ$3:$CB$400,MATCH($C259,COPIA!$BZ$3:$BZ$400,0),3),""),"")</f>
        <v/>
      </c>
      <c r="H259" s="7" t="str">
        <f t="shared" ca="1" si="8"/>
        <v/>
      </c>
    </row>
    <row r="260" spans="2:8" ht="18" customHeight="1" x14ac:dyDescent="0.3">
      <c r="B260" s="16" t="str">
        <f t="shared" ca="1" si="6"/>
        <v/>
      </c>
      <c r="C260" s="83" t="str">
        <f ca="1">IF(OR(COPIA!$BU$1=1,COPIA!$BU$1=3),COPIA!CO253,IF(COPIA!$BU$1=2,COPIA!BZ253,IF(ROW()=COPIA!$BT$1,"TOTALE","")))</f>
        <v/>
      </c>
      <c r="D260" s="86" t="str">
        <f ca="1">IF(AND(OR(COPIA!$BU$1=1,COPIA!$BU$1=3),INDEX(COPIA!$BT$3:$BV$400,MATCH($C260,COPIA!$BT$3:$BT$400,0),2)&lt;&gt;0),INDEX(COPIA!$BT$3:$BV$400,MATCH($C260,COPIA!$BT$3:$BT$400,0),2),IF(AND(COPIA!$BU$1=2,INDEX(COPIA!$BZ$3:$CB$400,MATCH($C260,COPIA!$BZ$3:$BZ$400,0),2)&lt;&gt;0),INDEX(COPIA!$BZ$3:$CB$400,MATCH($C260,COPIA!$BZ$3:$BZ$400,0),2),""))</f>
        <v/>
      </c>
      <c r="E260" s="86" t="str">
        <f ca="1">IF(AND(OR(COPIA!$BU$1=1,COPIA!$BU$1=3),INDEX(COPIA!$BT$3:$BV$400,MATCH($C260,COPIA!$BT$3:$BT$400,0),3)&lt;&gt;0),INDEX(COPIA!$BT$3:$BV$400,MATCH($C260,COPIA!$BT$3:$BT$400,0),3),IF(AND(COPIA!$BU$1=2,INDEX(COPIA!$BZ$3:$CB$400,MATCH($C260,COPIA!$BZ$3:$BZ$400,0),3)&lt;&gt;0),INDEX(COPIA!$BZ$3:$CB$400,MATCH($C260,COPIA!$BZ$3:$BZ$400,0),3),""))</f>
        <v/>
      </c>
      <c r="F260" s="86" t="str">
        <f ca="1">IFERROR(IF(AND(COPIA!$BU$1=3,INDEX(COPIA!$BZ$3:$CB$400,MATCH($C260,COPIA!$BZ$3:$BZ$400,0),2)&lt;&gt;0),INDEX(COPIA!$BZ$3:$CB$400,MATCH($C260,COPIA!$BZ$3:$BZ$400,0),2),""),"")</f>
        <v/>
      </c>
      <c r="G260" s="86" t="str">
        <f ca="1">IFERROR(IF(AND(COPIA!$BU$1=3,INDEX(COPIA!$BZ$3:$CB$400,MATCH($C260,COPIA!$BZ$3:$BZ$400,0),3)&lt;&gt;0),INDEX(COPIA!$BZ$3:$CB$400,MATCH($C260,COPIA!$BZ$3:$BZ$400,0),3),""),"")</f>
        <v/>
      </c>
      <c r="H260" s="7" t="str">
        <f t="shared" ca="1" si="8"/>
        <v/>
      </c>
    </row>
    <row r="261" spans="2:8" ht="18" customHeight="1" x14ac:dyDescent="0.3">
      <c r="B261" s="16" t="str">
        <f t="shared" ca="1" si="6"/>
        <v/>
      </c>
      <c r="C261" s="83" t="str">
        <f ca="1">IF(OR(COPIA!$BU$1=1,COPIA!$BU$1=3),COPIA!CO254,IF(COPIA!$BU$1=2,COPIA!BZ254,IF(ROW()=COPIA!$BT$1,"TOTALE","")))</f>
        <v/>
      </c>
      <c r="D261" s="86" t="str">
        <f ca="1">IF(AND(OR(COPIA!$BU$1=1,COPIA!$BU$1=3),INDEX(COPIA!$BT$3:$BV$400,MATCH($C261,COPIA!$BT$3:$BT$400,0),2)&lt;&gt;0),INDEX(COPIA!$BT$3:$BV$400,MATCH($C261,COPIA!$BT$3:$BT$400,0),2),IF(AND(COPIA!$BU$1=2,INDEX(COPIA!$BZ$3:$CB$400,MATCH($C261,COPIA!$BZ$3:$BZ$400,0),2)&lt;&gt;0),INDEX(COPIA!$BZ$3:$CB$400,MATCH($C261,COPIA!$BZ$3:$BZ$400,0),2),""))</f>
        <v/>
      </c>
      <c r="E261" s="86" t="str">
        <f ca="1">IF(AND(OR(COPIA!$BU$1=1,COPIA!$BU$1=3),INDEX(COPIA!$BT$3:$BV$400,MATCH($C261,COPIA!$BT$3:$BT$400,0),3)&lt;&gt;0),INDEX(COPIA!$BT$3:$BV$400,MATCH($C261,COPIA!$BT$3:$BT$400,0),3),IF(AND(COPIA!$BU$1=2,INDEX(COPIA!$BZ$3:$CB$400,MATCH($C261,COPIA!$BZ$3:$BZ$400,0),3)&lt;&gt;0),INDEX(COPIA!$BZ$3:$CB$400,MATCH($C261,COPIA!$BZ$3:$BZ$400,0),3),""))</f>
        <v/>
      </c>
      <c r="F261" s="86" t="str">
        <f ca="1">IFERROR(IF(AND(COPIA!$BU$1=3,INDEX(COPIA!$BZ$3:$CB$400,MATCH($C261,COPIA!$BZ$3:$BZ$400,0),2)&lt;&gt;0),INDEX(COPIA!$BZ$3:$CB$400,MATCH($C261,COPIA!$BZ$3:$BZ$400,0),2),""),"")</f>
        <v/>
      </c>
      <c r="G261" s="86" t="str">
        <f ca="1">IFERROR(IF(AND(COPIA!$BU$1=3,INDEX(COPIA!$BZ$3:$CB$400,MATCH($C261,COPIA!$BZ$3:$BZ$400,0),3)&lt;&gt;0),INDEX(COPIA!$BZ$3:$CB$400,MATCH($C261,COPIA!$BZ$3:$BZ$400,0),3),""),"")</f>
        <v/>
      </c>
      <c r="H261" s="7" t="str">
        <f t="shared" ca="1" si="8"/>
        <v/>
      </c>
    </row>
    <row r="262" spans="2:8" ht="18" customHeight="1" x14ac:dyDescent="0.3">
      <c r="B262" s="16" t="str">
        <f t="shared" ca="1" si="6"/>
        <v/>
      </c>
      <c r="C262" s="83" t="str">
        <f ca="1">IF(OR(COPIA!$BU$1=1,COPIA!$BU$1=3),COPIA!CO255,IF(COPIA!$BU$1=2,COPIA!BZ255,IF(ROW()=COPIA!$BT$1,"TOTALE","")))</f>
        <v/>
      </c>
      <c r="D262" s="86" t="str">
        <f ca="1">IF(AND(OR(COPIA!$BU$1=1,COPIA!$BU$1=3),INDEX(COPIA!$BT$3:$BV$400,MATCH($C262,COPIA!$BT$3:$BT$400,0),2)&lt;&gt;0),INDEX(COPIA!$BT$3:$BV$400,MATCH($C262,COPIA!$BT$3:$BT$400,0),2),IF(AND(COPIA!$BU$1=2,INDEX(COPIA!$BZ$3:$CB$400,MATCH($C262,COPIA!$BZ$3:$BZ$400,0),2)&lt;&gt;0),INDEX(COPIA!$BZ$3:$CB$400,MATCH($C262,COPIA!$BZ$3:$BZ$400,0),2),""))</f>
        <v/>
      </c>
      <c r="E262" s="86" t="str">
        <f ca="1">IF(AND(OR(COPIA!$BU$1=1,COPIA!$BU$1=3),INDEX(COPIA!$BT$3:$BV$400,MATCH($C262,COPIA!$BT$3:$BT$400,0),3)&lt;&gt;0),INDEX(COPIA!$BT$3:$BV$400,MATCH($C262,COPIA!$BT$3:$BT$400,0),3),IF(AND(COPIA!$BU$1=2,INDEX(COPIA!$BZ$3:$CB$400,MATCH($C262,COPIA!$BZ$3:$BZ$400,0),3)&lt;&gt;0),INDEX(COPIA!$BZ$3:$CB$400,MATCH($C262,COPIA!$BZ$3:$BZ$400,0),3),""))</f>
        <v/>
      </c>
      <c r="F262" s="86" t="str">
        <f ca="1">IFERROR(IF(AND(COPIA!$BU$1=3,INDEX(COPIA!$BZ$3:$CB$400,MATCH($C262,COPIA!$BZ$3:$BZ$400,0),2)&lt;&gt;0),INDEX(COPIA!$BZ$3:$CB$400,MATCH($C262,COPIA!$BZ$3:$BZ$400,0),2),""),"")</f>
        <v/>
      </c>
      <c r="G262" s="86" t="str">
        <f ca="1">IFERROR(IF(AND(COPIA!$BU$1=3,INDEX(COPIA!$BZ$3:$CB$400,MATCH($C262,COPIA!$BZ$3:$BZ$400,0),3)&lt;&gt;0),INDEX(COPIA!$BZ$3:$CB$400,MATCH($C262,COPIA!$BZ$3:$BZ$400,0),3),""),"")</f>
        <v/>
      </c>
      <c r="H262" s="7" t="str">
        <f t="shared" ca="1" si="8"/>
        <v/>
      </c>
    </row>
    <row r="263" spans="2:8" ht="18" customHeight="1" x14ac:dyDescent="0.3">
      <c r="B263" s="16" t="str">
        <f t="shared" ca="1" si="6"/>
        <v/>
      </c>
      <c r="C263" s="83" t="str">
        <f ca="1">IF(OR(COPIA!$BU$1=1,COPIA!$BU$1=3),COPIA!CO256,IF(COPIA!$BU$1=2,COPIA!BZ256,IF(ROW()=COPIA!$BT$1,"TOTALE","")))</f>
        <v/>
      </c>
      <c r="D263" s="86" t="str">
        <f ca="1">IF(AND(OR(COPIA!$BU$1=1,COPIA!$BU$1=3),INDEX(COPIA!$BT$3:$BV$400,MATCH($C263,COPIA!$BT$3:$BT$400,0),2)&lt;&gt;0),INDEX(COPIA!$BT$3:$BV$400,MATCH($C263,COPIA!$BT$3:$BT$400,0),2),IF(AND(COPIA!$BU$1=2,INDEX(COPIA!$BZ$3:$CB$400,MATCH($C263,COPIA!$BZ$3:$BZ$400,0),2)&lt;&gt;0),INDEX(COPIA!$BZ$3:$CB$400,MATCH($C263,COPIA!$BZ$3:$BZ$400,0),2),""))</f>
        <v/>
      </c>
      <c r="E263" s="86" t="str">
        <f ca="1">IF(AND(OR(COPIA!$BU$1=1,COPIA!$BU$1=3),INDEX(COPIA!$BT$3:$BV$400,MATCH($C263,COPIA!$BT$3:$BT$400,0),3)&lt;&gt;0),INDEX(COPIA!$BT$3:$BV$400,MATCH($C263,COPIA!$BT$3:$BT$400,0),3),IF(AND(COPIA!$BU$1=2,INDEX(COPIA!$BZ$3:$CB$400,MATCH($C263,COPIA!$BZ$3:$BZ$400,0),3)&lt;&gt;0),INDEX(COPIA!$BZ$3:$CB$400,MATCH($C263,COPIA!$BZ$3:$BZ$400,0),3),""))</f>
        <v/>
      </c>
      <c r="F263" s="86" t="str">
        <f ca="1">IFERROR(IF(AND(COPIA!$BU$1=3,INDEX(COPIA!$BZ$3:$CB$400,MATCH($C263,COPIA!$BZ$3:$BZ$400,0),2)&lt;&gt;0),INDEX(COPIA!$BZ$3:$CB$400,MATCH($C263,COPIA!$BZ$3:$BZ$400,0),2),""),"")</f>
        <v/>
      </c>
      <c r="G263" s="86" t="str">
        <f ca="1">IFERROR(IF(AND(COPIA!$BU$1=3,INDEX(COPIA!$BZ$3:$CB$400,MATCH($C263,COPIA!$BZ$3:$BZ$400,0),3)&lt;&gt;0),INDEX(COPIA!$BZ$3:$CB$400,MATCH($C263,COPIA!$BZ$3:$BZ$400,0),3),""),"")</f>
        <v/>
      </c>
      <c r="H263" s="7" t="str">
        <f t="shared" ca="1" si="8"/>
        <v/>
      </c>
    </row>
    <row r="264" spans="2:8" ht="18" customHeight="1" x14ac:dyDescent="0.3">
      <c r="B264" s="16" t="str">
        <f t="shared" ca="1" si="6"/>
        <v/>
      </c>
      <c r="C264" s="83" t="str">
        <f ca="1">IF(OR(COPIA!$BU$1=1,COPIA!$BU$1=3),COPIA!CO257,IF(COPIA!$BU$1=2,COPIA!BZ257,IF(ROW()=COPIA!$BT$1,"TOTALE","")))</f>
        <v/>
      </c>
      <c r="D264" s="86" t="str">
        <f ca="1">IF(AND(OR(COPIA!$BU$1=1,COPIA!$BU$1=3),INDEX(COPIA!$BT$3:$BV$400,MATCH($C264,COPIA!$BT$3:$BT$400,0),2)&lt;&gt;0),INDEX(COPIA!$BT$3:$BV$400,MATCH($C264,COPIA!$BT$3:$BT$400,0),2),IF(AND(COPIA!$BU$1=2,INDEX(COPIA!$BZ$3:$CB$400,MATCH($C264,COPIA!$BZ$3:$BZ$400,0),2)&lt;&gt;0),INDEX(COPIA!$BZ$3:$CB$400,MATCH($C264,COPIA!$BZ$3:$BZ$400,0),2),""))</f>
        <v/>
      </c>
      <c r="E264" s="86" t="str">
        <f ca="1">IF(AND(OR(COPIA!$BU$1=1,COPIA!$BU$1=3),INDEX(COPIA!$BT$3:$BV$400,MATCH($C264,COPIA!$BT$3:$BT$400,0),3)&lt;&gt;0),INDEX(COPIA!$BT$3:$BV$400,MATCH($C264,COPIA!$BT$3:$BT$400,0),3),IF(AND(COPIA!$BU$1=2,INDEX(COPIA!$BZ$3:$CB$400,MATCH($C264,COPIA!$BZ$3:$BZ$400,0),3)&lt;&gt;0),INDEX(COPIA!$BZ$3:$CB$400,MATCH($C264,COPIA!$BZ$3:$BZ$400,0),3),""))</f>
        <v/>
      </c>
      <c r="F264" s="86" t="str">
        <f ca="1">IFERROR(IF(AND(COPIA!$BU$1=3,INDEX(COPIA!$BZ$3:$CB$400,MATCH($C264,COPIA!$BZ$3:$BZ$400,0),2)&lt;&gt;0),INDEX(COPIA!$BZ$3:$CB$400,MATCH($C264,COPIA!$BZ$3:$BZ$400,0),2),""),"")</f>
        <v/>
      </c>
      <c r="G264" s="86" t="str">
        <f ca="1">IFERROR(IF(AND(COPIA!$BU$1=3,INDEX(COPIA!$BZ$3:$CB$400,MATCH($C264,COPIA!$BZ$3:$BZ$400,0),3)&lt;&gt;0),INDEX(COPIA!$BZ$3:$CB$400,MATCH($C264,COPIA!$BZ$3:$BZ$400,0),3),""),"")</f>
        <v/>
      </c>
      <c r="H264" s="7" t="str">
        <f t="shared" ca="1" si="8"/>
        <v/>
      </c>
    </row>
    <row r="265" spans="2:8" ht="18" customHeight="1" x14ac:dyDescent="0.3">
      <c r="B265" s="16" t="str">
        <f t="shared" ca="1" si="6"/>
        <v/>
      </c>
      <c r="C265" s="83" t="str">
        <f ca="1">IF(OR(COPIA!$BU$1=1,COPIA!$BU$1=3),COPIA!CO258,IF(COPIA!$BU$1=2,COPIA!BZ258,IF(ROW()=COPIA!$BT$1,"TOTALE","")))</f>
        <v/>
      </c>
      <c r="D265" s="86" t="str">
        <f ca="1">IF(AND(OR(COPIA!$BU$1=1,COPIA!$BU$1=3),INDEX(COPIA!$BT$3:$BV$400,MATCH($C265,COPIA!$BT$3:$BT$400,0),2)&lt;&gt;0),INDEX(COPIA!$BT$3:$BV$400,MATCH($C265,COPIA!$BT$3:$BT$400,0),2),IF(AND(COPIA!$BU$1=2,INDEX(COPIA!$BZ$3:$CB$400,MATCH($C265,COPIA!$BZ$3:$BZ$400,0),2)&lt;&gt;0),INDEX(COPIA!$BZ$3:$CB$400,MATCH($C265,COPIA!$BZ$3:$BZ$400,0),2),""))</f>
        <v/>
      </c>
      <c r="E265" s="86" t="str">
        <f ca="1">IF(AND(OR(COPIA!$BU$1=1,COPIA!$BU$1=3),INDEX(COPIA!$BT$3:$BV$400,MATCH($C265,COPIA!$BT$3:$BT$400,0),3)&lt;&gt;0),INDEX(COPIA!$BT$3:$BV$400,MATCH($C265,COPIA!$BT$3:$BT$400,0),3),IF(AND(COPIA!$BU$1=2,INDEX(COPIA!$BZ$3:$CB$400,MATCH($C265,COPIA!$BZ$3:$BZ$400,0),3)&lt;&gt;0),INDEX(COPIA!$BZ$3:$CB$400,MATCH($C265,COPIA!$BZ$3:$BZ$400,0),3),""))</f>
        <v/>
      </c>
      <c r="F265" s="86" t="str">
        <f ca="1">IFERROR(IF(AND(COPIA!$BU$1=3,INDEX(COPIA!$BZ$3:$CB$400,MATCH($C265,COPIA!$BZ$3:$BZ$400,0),2)&lt;&gt;0),INDEX(COPIA!$BZ$3:$CB$400,MATCH($C265,COPIA!$BZ$3:$BZ$400,0),2),""),"")</f>
        <v/>
      </c>
      <c r="G265" s="86" t="str">
        <f ca="1">IFERROR(IF(AND(COPIA!$BU$1=3,INDEX(COPIA!$BZ$3:$CB$400,MATCH($C265,COPIA!$BZ$3:$BZ$400,0),3)&lt;&gt;0),INDEX(COPIA!$BZ$3:$CB$400,MATCH($C265,COPIA!$BZ$3:$BZ$400,0),3),""),"")</f>
        <v/>
      </c>
      <c r="H265" s="7" t="str">
        <f t="shared" ca="1" si="8"/>
        <v/>
      </c>
    </row>
    <row r="266" spans="2:8" ht="18" customHeight="1" x14ac:dyDescent="0.3">
      <c r="B266" s="16" t="str">
        <f t="shared" ref="B266:B280" ca="1" si="9">IF(C266=" …………….","……",IFERROR(INDEX(PDC,MATCH(C266,DEN_PDC,0),1),0))</f>
        <v/>
      </c>
      <c r="C266" s="83" t="str">
        <f ca="1">IF(OR(COPIA!$BU$1=1,COPIA!$BU$1=3),COPIA!CO259,IF(COPIA!$BU$1=2,COPIA!BZ259,IF(ROW()=COPIA!$BT$1,"TOTALE","")))</f>
        <v/>
      </c>
      <c r="D266" s="86" t="str">
        <f ca="1">IF(AND(OR(COPIA!$BU$1=1,COPIA!$BU$1=3),INDEX(COPIA!$BT$3:$BV$400,MATCH($C266,COPIA!$BT$3:$BT$400,0),2)&lt;&gt;0),INDEX(COPIA!$BT$3:$BV$400,MATCH($C266,COPIA!$BT$3:$BT$400,0),2),IF(AND(COPIA!$BU$1=2,INDEX(COPIA!$BZ$3:$CB$400,MATCH($C266,COPIA!$BZ$3:$BZ$400,0),2)&lt;&gt;0),INDEX(COPIA!$BZ$3:$CB$400,MATCH($C266,COPIA!$BZ$3:$BZ$400,0),2),""))</f>
        <v/>
      </c>
      <c r="E266" s="86" t="str">
        <f ca="1">IF(AND(OR(COPIA!$BU$1=1,COPIA!$BU$1=3),INDEX(COPIA!$BT$3:$BV$400,MATCH($C266,COPIA!$BT$3:$BT$400,0),3)&lt;&gt;0),INDEX(COPIA!$BT$3:$BV$400,MATCH($C266,COPIA!$BT$3:$BT$400,0),3),IF(AND(COPIA!$BU$1=2,INDEX(COPIA!$BZ$3:$CB$400,MATCH($C266,COPIA!$BZ$3:$BZ$400,0),3)&lt;&gt;0),INDEX(COPIA!$BZ$3:$CB$400,MATCH($C266,COPIA!$BZ$3:$BZ$400,0),3),""))</f>
        <v/>
      </c>
      <c r="F266" s="86" t="str">
        <f ca="1">IFERROR(IF(AND(COPIA!$BU$1=3,INDEX(COPIA!$BZ$3:$CB$400,MATCH($C266,COPIA!$BZ$3:$BZ$400,0),2)&lt;&gt;0),INDEX(COPIA!$BZ$3:$CB$400,MATCH($C266,COPIA!$BZ$3:$BZ$400,0),2),""),"")</f>
        <v/>
      </c>
      <c r="G266" s="86" t="str">
        <f ca="1">IFERROR(IF(AND(COPIA!$BU$1=3,INDEX(COPIA!$BZ$3:$CB$400,MATCH($C266,COPIA!$BZ$3:$BZ$400,0),3)&lt;&gt;0),INDEX(COPIA!$BZ$3:$CB$400,MATCH($C266,COPIA!$BZ$3:$BZ$400,0),3),""),"")</f>
        <v/>
      </c>
      <c r="H266" s="7" t="str">
        <f t="shared" ca="1" si="8"/>
        <v/>
      </c>
    </row>
    <row r="267" spans="2:8" ht="18" customHeight="1" x14ac:dyDescent="0.3">
      <c r="B267" s="16" t="str">
        <f t="shared" ca="1" si="9"/>
        <v/>
      </c>
      <c r="C267" s="83" t="str">
        <f ca="1">IF(OR(COPIA!$BU$1=1,COPIA!$BU$1=3),COPIA!CO260,IF(COPIA!$BU$1=2,COPIA!BZ260,IF(ROW()=COPIA!$BT$1,"TOTALE","")))</f>
        <v/>
      </c>
      <c r="D267" s="86" t="str">
        <f ca="1">IF(AND(OR(COPIA!$BU$1=1,COPIA!$BU$1=3),INDEX(COPIA!$BT$3:$BV$400,MATCH($C267,COPIA!$BT$3:$BT$400,0),2)&lt;&gt;0),INDEX(COPIA!$BT$3:$BV$400,MATCH($C267,COPIA!$BT$3:$BT$400,0),2),IF(AND(COPIA!$BU$1=2,INDEX(COPIA!$BZ$3:$CB$400,MATCH($C267,COPIA!$BZ$3:$BZ$400,0),2)&lt;&gt;0),INDEX(COPIA!$BZ$3:$CB$400,MATCH($C267,COPIA!$BZ$3:$BZ$400,0),2),""))</f>
        <v/>
      </c>
      <c r="E267" s="86" t="str">
        <f ca="1">IF(AND(OR(COPIA!$BU$1=1,COPIA!$BU$1=3),INDEX(COPIA!$BT$3:$BV$400,MATCH($C267,COPIA!$BT$3:$BT$400,0),3)&lt;&gt;0),INDEX(COPIA!$BT$3:$BV$400,MATCH($C267,COPIA!$BT$3:$BT$400,0),3),IF(AND(COPIA!$BU$1=2,INDEX(COPIA!$BZ$3:$CB$400,MATCH($C267,COPIA!$BZ$3:$BZ$400,0),3)&lt;&gt;0),INDEX(COPIA!$BZ$3:$CB$400,MATCH($C267,COPIA!$BZ$3:$BZ$400,0),3),""))</f>
        <v/>
      </c>
      <c r="F267" s="86" t="str">
        <f ca="1">IFERROR(IF(AND(COPIA!$BU$1=3,INDEX(COPIA!$BZ$3:$CB$400,MATCH($C267,COPIA!$BZ$3:$BZ$400,0),2)&lt;&gt;0),INDEX(COPIA!$BZ$3:$CB$400,MATCH($C267,COPIA!$BZ$3:$BZ$400,0),2),""),"")</f>
        <v/>
      </c>
      <c r="G267" s="86" t="str">
        <f ca="1">IFERROR(IF(AND(COPIA!$BU$1=3,INDEX(COPIA!$BZ$3:$CB$400,MATCH($C267,COPIA!$BZ$3:$BZ$400,0),3)&lt;&gt;0),INDEX(COPIA!$BZ$3:$CB$400,MATCH($C267,COPIA!$BZ$3:$BZ$400,0),3),""),"")</f>
        <v/>
      </c>
      <c r="H267" s="7" t="str">
        <f t="shared" ca="1" si="8"/>
        <v/>
      </c>
    </row>
    <row r="268" spans="2:8" ht="18" customHeight="1" x14ac:dyDescent="0.3">
      <c r="B268" s="16" t="str">
        <f t="shared" ca="1" si="9"/>
        <v/>
      </c>
      <c r="C268" s="83" t="str">
        <f ca="1">IF(OR(COPIA!$BU$1=1,COPIA!$BU$1=3),COPIA!CO261,IF(COPIA!$BU$1=2,COPIA!BZ261,IF(ROW()=COPIA!$BT$1,"TOTALE","")))</f>
        <v/>
      </c>
      <c r="D268" s="86" t="str">
        <f ca="1">IF(AND(OR(COPIA!$BU$1=1,COPIA!$BU$1=3),INDEX(COPIA!$BT$3:$BV$400,MATCH($C268,COPIA!$BT$3:$BT$400,0),2)&lt;&gt;0),INDEX(COPIA!$BT$3:$BV$400,MATCH($C268,COPIA!$BT$3:$BT$400,0),2),IF(AND(COPIA!$BU$1=2,INDEX(COPIA!$BZ$3:$CB$400,MATCH($C268,COPIA!$BZ$3:$BZ$400,0),2)&lt;&gt;0),INDEX(COPIA!$BZ$3:$CB$400,MATCH($C268,COPIA!$BZ$3:$BZ$400,0),2),""))</f>
        <v/>
      </c>
      <c r="E268" s="86" t="str">
        <f ca="1">IF(AND(OR(COPIA!$BU$1=1,COPIA!$BU$1=3),INDEX(COPIA!$BT$3:$BV$400,MATCH($C268,COPIA!$BT$3:$BT$400,0),3)&lt;&gt;0),INDEX(COPIA!$BT$3:$BV$400,MATCH($C268,COPIA!$BT$3:$BT$400,0),3),IF(AND(COPIA!$BU$1=2,INDEX(COPIA!$BZ$3:$CB$400,MATCH($C268,COPIA!$BZ$3:$BZ$400,0),3)&lt;&gt;0),INDEX(COPIA!$BZ$3:$CB$400,MATCH($C268,COPIA!$BZ$3:$BZ$400,0),3),""))</f>
        <v/>
      </c>
      <c r="F268" s="86" t="str">
        <f ca="1">IFERROR(IF(AND(COPIA!$BU$1=3,INDEX(COPIA!$BZ$3:$CB$400,MATCH($C268,COPIA!$BZ$3:$BZ$400,0),2)&lt;&gt;0),INDEX(COPIA!$BZ$3:$CB$400,MATCH($C268,COPIA!$BZ$3:$BZ$400,0),2),""),"")</f>
        <v/>
      </c>
      <c r="G268" s="86" t="str">
        <f ca="1">IFERROR(IF(AND(COPIA!$BU$1=3,INDEX(COPIA!$BZ$3:$CB$400,MATCH($C268,COPIA!$BZ$3:$BZ$400,0),3)&lt;&gt;0),INDEX(COPIA!$BZ$3:$CB$400,MATCH($C268,COPIA!$BZ$3:$BZ$400,0),3),""),"")</f>
        <v/>
      </c>
      <c r="H268" s="7" t="str">
        <f t="shared" ca="1" si="8"/>
        <v/>
      </c>
    </row>
    <row r="269" spans="2:8" ht="18" customHeight="1" x14ac:dyDescent="0.3">
      <c r="B269" s="16" t="str">
        <f t="shared" ca="1" si="9"/>
        <v/>
      </c>
      <c r="C269" s="83" t="str">
        <f ca="1">IF(OR(COPIA!$BU$1=1,COPIA!$BU$1=3),COPIA!CO262,IF(COPIA!$BU$1=2,COPIA!BZ262,IF(ROW()=COPIA!$BT$1,"TOTALE","")))</f>
        <v/>
      </c>
      <c r="D269" s="86" t="str">
        <f ca="1">IF(AND(OR(COPIA!$BU$1=1,COPIA!$BU$1=3),INDEX(COPIA!$BT$3:$BV$400,MATCH($C269,COPIA!$BT$3:$BT$400,0),2)&lt;&gt;0),INDEX(COPIA!$BT$3:$BV$400,MATCH($C269,COPIA!$BT$3:$BT$400,0),2),IF(AND(COPIA!$BU$1=2,INDEX(COPIA!$BZ$3:$CB$400,MATCH($C269,COPIA!$BZ$3:$BZ$400,0),2)&lt;&gt;0),INDEX(COPIA!$BZ$3:$CB$400,MATCH($C269,COPIA!$BZ$3:$BZ$400,0),2),""))</f>
        <v/>
      </c>
      <c r="E269" s="86" t="str">
        <f ca="1">IF(AND(OR(COPIA!$BU$1=1,COPIA!$BU$1=3),INDEX(COPIA!$BT$3:$BV$400,MATCH($C269,COPIA!$BT$3:$BT$400,0),3)&lt;&gt;0),INDEX(COPIA!$BT$3:$BV$400,MATCH($C269,COPIA!$BT$3:$BT$400,0),3),IF(AND(COPIA!$BU$1=2,INDEX(COPIA!$BZ$3:$CB$400,MATCH($C269,COPIA!$BZ$3:$BZ$400,0),3)&lt;&gt;0),INDEX(COPIA!$BZ$3:$CB$400,MATCH($C269,COPIA!$BZ$3:$BZ$400,0),3),""))</f>
        <v/>
      </c>
      <c r="F269" s="86" t="str">
        <f ca="1">IFERROR(IF(AND(COPIA!$BU$1=3,INDEX(COPIA!$BZ$3:$CB$400,MATCH($C269,COPIA!$BZ$3:$BZ$400,0),2)&lt;&gt;0),INDEX(COPIA!$BZ$3:$CB$400,MATCH($C269,COPIA!$BZ$3:$BZ$400,0),2),""),"")</f>
        <v/>
      </c>
      <c r="G269" s="86" t="str">
        <f ca="1">IFERROR(IF(AND(COPIA!$BU$1=3,INDEX(COPIA!$BZ$3:$CB$400,MATCH($C269,COPIA!$BZ$3:$BZ$400,0),3)&lt;&gt;0),INDEX(COPIA!$BZ$3:$CB$400,MATCH($C269,COPIA!$BZ$3:$BZ$400,0),3),""),"")</f>
        <v/>
      </c>
      <c r="H269" s="7" t="str">
        <f t="shared" ca="1" si="8"/>
        <v/>
      </c>
    </row>
    <row r="270" spans="2:8" ht="18" customHeight="1" x14ac:dyDescent="0.3">
      <c r="B270" s="16" t="str">
        <f t="shared" ca="1" si="9"/>
        <v/>
      </c>
      <c r="C270" s="83" t="str">
        <f ca="1">IF(OR(COPIA!$BU$1=1,COPIA!$BU$1=3),COPIA!CO263,IF(COPIA!$BU$1=2,COPIA!BZ263,IF(ROW()=COPIA!$BT$1,"TOTALE","")))</f>
        <v/>
      </c>
      <c r="D270" s="86" t="str">
        <f ca="1">IF(AND(OR(COPIA!$BU$1=1,COPIA!$BU$1=3),INDEX(COPIA!$BT$3:$BV$400,MATCH($C270,COPIA!$BT$3:$BT$400,0),2)&lt;&gt;0),INDEX(COPIA!$BT$3:$BV$400,MATCH($C270,COPIA!$BT$3:$BT$400,0),2),IF(AND(COPIA!$BU$1=2,INDEX(COPIA!$BZ$3:$CB$400,MATCH($C270,COPIA!$BZ$3:$BZ$400,0),2)&lt;&gt;0),INDEX(COPIA!$BZ$3:$CB$400,MATCH($C270,COPIA!$BZ$3:$BZ$400,0),2),""))</f>
        <v/>
      </c>
      <c r="E270" s="86" t="str">
        <f ca="1">IF(AND(OR(COPIA!$BU$1=1,COPIA!$BU$1=3),INDEX(COPIA!$BT$3:$BV$400,MATCH($C270,COPIA!$BT$3:$BT$400,0),3)&lt;&gt;0),INDEX(COPIA!$BT$3:$BV$400,MATCH($C270,COPIA!$BT$3:$BT$400,0),3),IF(AND(COPIA!$BU$1=2,INDEX(COPIA!$BZ$3:$CB$400,MATCH($C270,COPIA!$BZ$3:$BZ$400,0),3)&lt;&gt;0),INDEX(COPIA!$BZ$3:$CB$400,MATCH($C270,COPIA!$BZ$3:$BZ$400,0),3),""))</f>
        <v/>
      </c>
      <c r="F270" s="86" t="str">
        <f ca="1">IFERROR(IF(AND(COPIA!$BU$1=3,INDEX(COPIA!$BZ$3:$CB$400,MATCH($C270,COPIA!$BZ$3:$BZ$400,0),2)&lt;&gt;0),INDEX(COPIA!$BZ$3:$CB$400,MATCH($C270,COPIA!$BZ$3:$BZ$400,0),2),""),"")</f>
        <v/>
      </c>
      <c r="G270" s="86" t="str">
        <f ca="1">IFERROR(IF(AND(COPIA!$BU$1=3,INDEX(COPIA!$BZ$3:$CB$400,MATCH($C270,COPIA!$BZ$3:$BZ$400,0),3)&lt;&gt;0),INDEX(COPIA!$BZ$3:$CB$400,MATCH($C270,COPIA!$BZ$3:$BZ$400,0),3),""),"")</f>
        <v/>
      </c>
      <c r="H270" s="7" t="str">
        <f t="shared" ca="1" si="8"/>
        <v/>
      </c>
    </row>
    <row r="271" spans="2:8" ht="18" customHeight="1" x14ac:dyDescent="0.3">
      <c r="B271" s="16" t="str">
        <f t="shared" ca="1" si="9"/>
        <v/>
      </c>
      <c r="C271" s="83" t="str">
        <f ca="1">IF(OR(COPIA!$BU$1=1,COPIA!$BU$1=3),COPIA!CO264,IF(COPIA!$BU$1=2,COPIA!BZ264,IF(ROW()=COPIA!$BT$1,"TOTALE","")))</f>
        <v/>
      </c>
      <c r="D271" s="86" t="str">
        <f ca="1">IF(AND(OR(COPIA!$BU$1=1,COPIA!$BU$1=3),INDEX(COPIA!$BT$3:$BV$400,MATCH($C271,COPIA!$BT$3:$BT$400,0),2)&lt;&gt;0),INDEX(COPIA!$BT$3:$BV$400,MATCH($C271,COPIA!$BT$3:$BT$400,0),2),IF(AND(COPIA!$BU$1=2,INDEX(COPIA!$BZ$3:$CB$400,MATCH($C271,COPIA!$BZ$3:$BZ$400,0),2)&lt;&gt;0),INDEX(COPIA!$BZ$3:$CB$400,MATCH($C271,COPIA!$BZ$3:$BZ$400,0),2),""))</f>
        <v/>
      </c>
      <c r="E271" s="86" t="str">
        <f ca="1">IF(AND(OR(COPIA!$BU$1=1,COPIA!$BU$1=3),INDEX(COPIA!$BT$3:$BV$400,MATCH($C271,COPIA!$BT$3:$BT$400,0),3)&lt;&gt;0),INDEX(COPIA!$BT$3:$BV$400,MATCH($C271,COPIA!$BT$3:$BT$400,0),3),IF(AND(COPIA!$BU$1=2,INDEX(COPIA!$BZ$3:$CB$400,MATCH($C271,COPIA!$BZ$3:$BZ$400,0),3)&lt;&gt;0),INDEX(COPIA!$BZ$3:$CB$400,MATCH($C271,COPIA!$BZ$3:$BZ$400,0),3),""))</f>
        <v/>
      </c>
      <c r="F271" s="86" t="str">
        <f ca="1">IFERROR(IF(AND(COPIA!$BU$1=3,INDEX(COPIA!$BZ$3:$CB$400,MATCH($C271,COPIA!$BZ$3:$BZ$400,0),2)&lt;&gt;0),INDEX(COPIA!$BZ$3:$CB$400,MATCH($C271,COPIA!$BZ$3:$BZ$400,0),2),""),"")</f>
        <v/>
      </c>
      <c r="G271" s="86" t="str">
        <f ca="1">IFERROR(IF(AND(COPIA!$BU$1=3,INDEX(COPIA!$BZ$3:$CB$400,MATCH($C271,COPIA!$BZ$3:$BZ$400,0),3)&lt;&gt;0),INDEX(COPIA!$BZ$3:$CB$400,MATCH($C271,COPIA!$BZ$3:$BZ$400,0),3),""),"")</f>
        <v/>
      </c>
      <c r="H271" s="7" t="str">
        <f t="shared" ca="1" si="8"/>
        <v/>
      </c>
    </row>
    <row r="272" spans="2:8" ht="18" customHeight="1" x14ac:dyDescent="0.3">
      <c r="B272" s="16" t="str">
        <f t="shared" ca="1" si="9"/>
        <v/>
      </c>
      <c r="C272" s="83" t="str">
        <f ca="1">IF(OR(COPIA!$BU$1=1,COPIA!$BU$1=3),COPIA!CO265,IF(COPIA!$BU$1=2,COPIA!BZ265,IF(ROW()=COPIA!$BT$1,"TOTALE","")))</f>
        <v/>
      </c>
      <c r="D272" s="86" t="str">
        <f ca="1">IF(AND(OR(COPIA!$BU$1=1,COPIA!$BU$1=3),INDEX(COPIA!$BT$3:$BV$400,MATCH($C272,COPIA!$BT$3:$BT$400,0),2)&lt;&gt;0),INDEX(COPIA!$BT$3:$BV$400,MATCH($C272,COPIA!$BT$3:$BT$400,0),2),IF(AND(COPIA!$BU$1=2,INDEX(COPIA!$BZ$3:$CB$400,MATCH($C272,COPIA!$BZ$3:$BZ$400,0),2)&lt;&gt;0),INDEX(COPIA!$BZ$3:$CB$400,MATCH($C272,COPIA!$BZ$3:$BZ$400,0),2),""))</f>
        <v/>
      </c>
      <c r="E272" s="86" t="str">
        <f ca="1">IF(AND(OR(COPIA!$BU$1=1,COPIA!$BU$1=3),INDEX(COPIA!$BT$3:$BV$400,MATCH($C272,COPIA!$BT$3:$BT$400,0),3)&lt;&gt;0),INDEX(COPIA!$BT$3:$BV$400,MATCH($C272,COPIA!$BT$3:$BT$400,0),3),IF(AND(COPIA!$BU$1=2,INDEX(COPIA!$BZ$3:$CB$400,MATCH($C272,COPIA!$BZ$3:$BZ$400,0),3)&lt;&gt;0),INDEX(COPIA!$BZ$3:$CB$400,MATCH($C272,COPIA!$BZ$3:$BZ$400,0),3),""))</f>
        <v/>
      </c>
      <c r="F272" s="86" t="str">
        <f ca="1">IFERROR(IF(AND(COPIA!$BU$1=3,INDEX(COPIA!$BZ$3:$CB$400,MATCH($C272,COPIA!$BZ$3:$BZ$400,0),2)&lt;&gt;0),INDEX(COPIA!$BZ$3:$CB$400,MATCH($C272,COPIA!$BZ$3:$BZ$400,0),2),""),"")</f>
        <v/>
      </c>
      <c r="G272" s="86" t="str">
        <f ca="1">IFERROR(IF(AND(COPIA!$BU$1=3,INDEX(COPIA!$BZ$3:$CB$400,MATCH($C272,COPIA!$BZ$3:$BZ$400,0),3)&lt;&gt;0),INDEX(COPIA!$BZ$3:$CB$400,MATCH($C272,COPIA!$BZ$3:$BZ$400,0),3),""),"")</f>
        <v/>
      </c>
      <c r="H272" s="7" t="str">
        <f t="shared" ca="1" si="8"/>
        <v/>
      </c>
    </row>
    <row r="273" spans="2:8" ht="18" customHeight="1" x14ac:dyDescent="0.3">
      <c r="B273" s="16" t="str">
        <f t="shared" ca="1" si="9"/>
        <v/>
      </c>
      <c r="C273" s="83" t="str">
        <f ca="1">IF(OR(COPIA!$BU$1=1,COPIA!$BU$1=3),COPIA!CO266,IF(COPIA!$BU$1=2,COPIA!BZ266,IF(ROW()=COPIA!$BT$1,"TOTALE","")))</f>
        <v/>
      </c>
      <c r="D273" s="86" t="str">
        <f ca="1">IF(AND(OR(COPIA!$BU$1=1,COPIA!$BU$1=3),INDEX(COPIA!$BT$3:$BV$400,MATCH($C273,COPIA!$BT$3:$BT$400,0),2)&lt;&gt;0),INDEX(COPIA!$BT$3:$BV$400,MATCH($C273,COPIA!$BT$3:$BT$400,0),2),IF(AND(COPIA!$BU$1=2,INDEX(COPIA!$BZ$3:$CB$400,MATCH($C273,COPIA!$BZ$3:$BZ$400,0),2)&lt;&gt;0),INDEX(COPIA!$BZ$3:$CB$400,MATCH($C273,COPIA!$BZ$3:$BZ$400,0),2),""))</f>
        <v/>
      </c>
      <c r="E273" s="86" t="str">
        <f ca="1">IF(AND(OR(COPIA!$BU$1=1,COPIA!$BU$1=3),INDEX(COPIA!$BT$3:$BV$400,MATCH($C273,COPIA!$BT$3:$BT$400,0),3)&lt;&gt;0),INDEX(COPIA!$BT$3:$BV$400,MATCH($C273,COPIA!$BT$3:$BT$400,0),3),IF(AND(COPIA!$BU$1=2,INDEX(COPIA!$BZ$3:$CB$400,MATCH($C273,COPIA!$BZ$3:$BZ$400,0),3)&lt;&gt;0),INDEX(COPIA!$BZ$3:$CB$400,MATCH($C273,COPIA!$BZ$3:$BZ$400,0),3),""))</f>
        <v/>
      </c>
      <c r="F273" s="86" t="str">
        <f ca="1">IFERROR(IF(AND(COPIA!$BU$1=3,INDEX(COPIA!$BZ$3:$CB$400,MATCH($C273,COPIA!$BZ$3:$BZ$400,0),2)&lt;&gt;0),INDEX(COPIA!$BZ$3:$CB$400,MATCH($C273,COPIA!$BZ$3:$BZ$400,0),2),""),"")</f>
        <v/>
      </c>
      <c r="G273" s="86" t="str">
        <f ca="1">IFERROR(IF(AND(COPIA!$BU$1=3,INDEX(COPIA!$BZ$3:$CB$400,MATCH($C273,COPIA!$BZ$3:$BZ$400,0),3)&lt;&gt;0),INDEX(COPIA!$BZ$3:$CB$400,MATCH($C273,COPIA!$BZ$3:$BZ$400,0),3),""),"")</f>
        <v/>
      </c>
      <c r="H273" s="7" t="str">
        <f t="shared" ca="1" si="8"/>
        <v/>
      </c>
    </row>
    <row r="274" spans="2:8" x14ac:dyDescent="0.3">
      <c r="B274" s="16" t="str">
        <f t="shared" ca="1" si="9"/>
        <v/>
      </c>
      <c r="C274" s="83" t="str">
        <f ca="1">IF(OR(COPIA!$BU$1=1,COPIA!$BU$1=3),COPIA!CO267,IF(COPIA!$BU$1=2,COPIA!BZ267,IF(ROW()=COPIA!$BT$1,"TOTALE","")))</f>
        <v/>
      </c>
      <c r="D274" s="86" t="str">
        <f ca="1">IF(AND(OR(COPIA!$BU$1=1,COPIA!$BU$1=3),INDEX(COPIA!$BT$3:$BV$400,MATCH($C274,COPIA!$BT$3:$BT$400,0),2)&lt;&gt;0),INDEX(COPIA!$BT$3:$BV$400,MATCH($C274,COPIA!$BT$3:$BT$400,0),2),IF(AND(COPIA!$BU$1=2,INDEX(COPIA!$BZ$3:$CB$400,MATCH($C274,COPIA!$BZ$3:$BZ$400,0),2)&lt;&gt;0),INDEX(COPIA!$BZ$3:$CB$400,MATCH($C274,COPIA!$BZ$3:$BZ$400,0),2),""))</f>
        <v/>
      </c>
      <c r="E274" s="86" t="str">
        <f ca="1">IF(AND(OR(COPIA!$BU$1=1,COPIA!$BU$1=3),INDEX(COPIA!$BT$3:$BV$400,MATCH($C274,COPIA!$BT$3:$BT$400,0),3)&lt;&gt;0),INDEX(COPIA!$BT$3:$BV$400,MATCH($C274,COPIA!$BT$3:$BT$400,0),3),IF(AND(COPIA!$BU$1=2,INDEX(COPIA!$BZ$3:$CB$400,MATCH($C274,COPIA!$BZ$3:$BZ$400,0),3)&lt;&gt;0),INDEX(COPIA!$BZ$3:$CB$400,MATCH($C274,COPIA!$BZ$3:$BZ$400,0),3),""))</f>
        <v/>
      </c>
      <c r="F274" s="86" t="str">
        <f ca="1">IFERROR(IF(AND(COPIA!$BU$1=3,INDEX(COPIA!$BZ$3:$CB$400,MATCH($C274,COPIA!$BZ$3:$BZ$400,0),2)&lt;&gt;0),INDEX(COPIA!$BZ$3:$CB$400,MATCH($C274,COPIA!$BZ$3:$BZ$400,0),2),""),"")</f>
        <v/>
      </c>
      <c r="G274" s="86" t="str">
        <f ca="1">IFERROR(IF(AND(COPIA!$BU$1=3,INDEX(COPIA!$BZ$3:$CB$400,MATCH($C274,COPIA!$BZ$3:$BZ$400,0),3)&lt;&gt;0),INDEX(COPIA!$BZ$3:$CB$400,MATCH($C274,COPIA!$BZ$3:$BZ$400,0),3),""),"")</f>
        <v/>
      </c>
    </row>
    <row r="275" spans="2:8" x14ac:dyDescent="0.3">
      <c r="B275" s="16" t="str">
        <f t="shared" ca="1" si="9"/>
        <v/>
      </c>
      <c r="C275" s="83" t="str">
        <f ca="1">IF(OR(COPIA!$BU$1=1,COPIA!$BU$1=3),COPIA!CO268,IF(COPIA!$BU$1=2,COPIA!BZ268,IF(ROW()=COPIA!$BT$1,"TOTALE","")))</f>
        <v/>
      </c>
      <c r="D275" s="86" t="str">
        <f ca="1">IF(AND(OR(COPIA!$BU$1=1,COPIA!$BU$1=3),INDEX(COPIA!$BT$3:$BV$400,MATCH($C275,COPIA!$BT$3:$BT$400,0),2)&lt;&gt;0),INDEX(COPIA!$BT$3:$BV$400,MATCH($C275,COPIA!$BT$3:$BT$400,0),2),IF(AND(COPIA!$BU$1=2,INDEX(COPIA!$BZ$3:$CB$400,MATCH($C275,COPIA!$BZ$3:$BZ$400,0),2)&lt;&gt;0),INDEX(COPIA!$BZ$3:$CB$400,MATCH($C275,COPIA!$BZ$3:$BZ$400,0),2),""))</f>
        <v/>
      </c>
      <c r="E275" s="86" t="str">
        <f ca="1">IF(AND(OR(COPIA!$BU$1=1,COPIA!$BU$1=3),INDEX(COPIA!$BT$3:$BV$400,MATCH($C275,COPIA!$BT$3:$BT$400,0),3)&lt;&gt;0),INDEX(COPIA!$BT$3:$BV$400,MATCH($C275,COPIA!$BT$3:$BT$400,0),3),IF(AND(COPIA!$BU$1=2,INDEX(COPIA!$BZ$3:$CB$400,MATCH($C275,COPIA!$BZ$3:$BZ$400,0),3)&lt;&gt;0),INDEX(COPIA!$BZ$3:$CB$400,MATCH($C275,COPIA!$BZ$3:$BZ$400,0),3),""))</f>
        <v/>
      </c>
      <c r="F275" s="86" t="str">
        <f ca="1">IFERROR(IF(AND(COPIA!$BU$1=3,INDEX(COPIA!$BZ$3:$CB$400,MATCH($C275,COPIA!$BZ$3:$BZ$400,0),2)&lt;&gt;0),INDEX(COPIA!$BZ$3:$CB$400,MATCH($C275,COPIA!$BZ$3:$BZ$400,0),2),""),"")</f>
        <v/>
      </c>
      <c r="G275" s="86" t="str">
        <f ca="1">IFERROR(IF(AND(COPIA!$BU$1=3,INDEX(COPIA!$BZ$3:$CB$400,MATCH($C275,COPIA!$BZ$3:$BZ$400,0),3)&lt;&gt;0),INDEX(COPIA!$BZ$3:$CB$400,MATCH($C275,COPIA!$BZ$3:$BZ$400,0),3),""),"")</f>
        <v/>
      </c>
    </row>
    <row r="276" spans="2:8" x14ac:dyDescent="0.3">
      <c r="B276" s="16" t="str">
        <f t="shared" ca="1" si="9"/>
        <v/>
      </c>
      <c r="C276" s="83" t="str">
        <f ca="1">IF(OR(COPIA!$BU$1=1,COPIA!$BU$1=3),COPIA!CO269,IF(COPIA!$BU$1=2,COPIA!BZ269,IF(ROW()=COPIA!$BT$1,"TOTALE","")))</f>
        <v/>
      </c>
      <c r="D276" s="86" t="str">
        <f ca="1">IF(AND(OR(COPIA!$BU$1=1,COPIA!$BU$1=3),INDEX(COPIA!$BT$3:$BV$400,MATCH($C276,COPIA!$BT$3:$BT$400,0),2)&lt;&gt;0),INDEX(COPIA!$BT$3:$BV$400,MATCH($C276,COPIA!$BT$3:$BT$400,0),2),IF(AND(COPIA!$BU$1=2,INDEX(COPIA!$BZ$3:$CB$400,MATCH($C276,COPIA!$BZ$3:$BZ$400,0),2)&lt;&gt;0),INDEX(COPIA!$BZ$3:$CB$400,MATCH($C276,COPIA!$BZ$3:$BZ$400,0),2),""))</f>
        <v/>
      </c>
      <c r="E276" s="86" t="str">
        <f ca="1">IF(AND(OR(COPIA!$BU$1=1,COPIA!$BU$1=3),INDEX(COPIA!$BT$3:$BV$400,MATCH($C276,COPIA!$BT$3:$BT$400,0),3)&lt;&gt;0),INDEX(COPIA!$BT$3:$BV$400,MATCH($C276,COPIA!$BT$3:$BT$400,0),3),IF(AND(COPIA!$BU$1=2,INDEX(COPIA!$BZ$3:$CB$400,MATCH($C276,COPIA!$BZ$3:$BZ$400,0),3)&lt;&gt;0),INDEX(COPIA!$BZ$3:$CB$400,MATCH($C276,COPIA!$BZ$3:$BZ$400,0),3),""))</f>
        <v/>
      </c>
      <c r="F276" s="86" t="str">
        <f ca="1">IFERROR(IF(AND(COPIA!$BU$1=3,INDEX(COPIA!$BZ$3:$CB$400,MATCH($C276,COPIA!$BZ$3:$BZ$400,0),2)&lt;&gt;0),INDEX(COPIA!$BZ$3:$CB$400,MATCH($C276,COPIA!$BZ$3:$BZ$400,0),2),""),"")</f>
        <v/>
      </c>
      <c r="G276" s="86" t="str">
        <f ca="1">IFERROR(IF(AND(COPIA!$BU$1=3,INDEX(COPIA!$BZ$3:$CB$400,MATCH($C276,COPIA!$BZ$3:$BZ$400,0),3)&lt;&gt;0),INDEX(COPIA!$BZ$3:$CB$400,MATCH($C276,COPIA!$BZ$3:$BZ$400,0),3),""),"")</f>
        <v/>
      </c>
    </row>
    <row r="277" spans="2:8" x14ac:dyDescent="0.3">
      <c r="B277" s="16" t="str">
        <f t="shared" ca="1" si="9"/>
        <v/>
      </c>
      <c r="C277" s="83" t="str">
        <f ca="1">IF(OR(COPIA!$BU$1=1,COPIA!$BU$1=3),COPIA!CO270,IF(COPIA!$BU$1=2,COPIA!BZ270,IF(ROW()=COPIA!$BT$1,"TOTALE","")))</f>
        <v/>
      </c>
      <c r="D277" s="86" t="str">
        <f ca="1">IF(AND(OR(COPIA!$BU$1=1,COPIA!$BU$1=3),INDEX(COPIA!$BT$3:$BV$400,MATCH($C277,COPIA!$BT$3:$BT$400,0),2)&lt;&gt;0),INDEX(COPIA!$BT$3:$BV$400,MATCH($C277,COPIA!$BT$3:$BT$400,0),2),IF(AND(COPIA!$BU$1=2,INDEX(COPIA!$BZ$3:$CB$400,MATCH($C277,COPIA!$BZ$3:$BZ$400,0),2)&lt;&gt;0),INDEX(COPIA!$BZ$3:$CB$400,MATCH($C277,COPIA!$BZ$3:$BZ$400,0),2),""))</f>
        <v/>
      </c>
      <c r="E277" s="86" t="str">
        <f ca="1">IF(AND(OR(COPIA!$BU$1=1,COPIA!$BU$1=3),INDEX(COPIA!$BT$3:$BV$400,MATCH($C277,COPIA!$BT$3:$BT$400,0),3)&lt;&gt;0),INDEX(COPIA!$BT$3:$BV$400,MATCH($C277,COPIA!$BT$3:$BT$400,0),3),IF(AND(COPIA!$BU$1=2,INDEX(COPIA!$BZ$3:$CB$400,MATCH($C277,COPIA!$BZ$3:$BZ$400,0),3)&lt;&gt;0),INDEX(COPIA!$BZ$3:$CB$400,MATCH($C277,COPIA!$BZ$3:$BZ$400,0),3),""))</f>
        <v/>
      </c>
      <c r="F277" s="86" t="str">
        <f ca="1">IFERROR(IF(AND(COPIA!$BU$1=3,INDEX(COPIA!$BZ$3:$CB$400,MATCH($C277,COPIA!$BZ$3:$BZ$400,0),2)&lt;&gt;0),INDEX(COPIA!$BZ$3:$CB$400,MATCH($C277,COPIA!$BZ$3:$BZ$400,0),2),""),"")</f>
        <v/>
      </c>
      <c r="G277" s="86" t="str">
        <f ca="1">IFERROR(IF(AND(COPIA!$BU$1=3,INDEX(COPIA!$BZ$3:$CB$400,MATCH($C277,COPIA!$BZ$3:$BZ$400,0),3)&lt;&gt;0),INDEX(COPIA!$BZ$3:$CB$400,MATCH($C277,COPIA!$BZ$3:$BZ$400,0),3),""),"")</f>
        <v/>
      </c>
    </row>
    <row r="278" spans="2:8" x14ac:dyDescent="0.3">
      <c r="B278" s="16" t="str">
        <f t="shared" ca="1" si="9"/>
        <v/>
      </c>
      <c r="C278" s="83" t="str">
        <f ca="1">IF(OR(COPIA!$BU$1=1,COPIA!$BU$1=3),COPIA!CO271,IF(COPIA!$BU$1=2,COPIA!BZ271,IF(ROW()=COPIA!$BT$1,"TOTALE","")))</f>
        <v/>
      </c>
      <c r="D278" s="86" t="str">
        <f ca="1">IF(AND(OR(COPIA!$BU$1=1,COPIA!$BU$1=3),INDEX(COPIA!$BT$3:$BV$400,MATCH($C278,COPIA!$BT$3:$BT$400,0),2)&lt;&gt;0),INDEX(COPIA!$BT$3:$BV$400,MATCH($C278,COPIA!$BT$3:$BT$400,0),2),IF(AND(COPIA!$BU$1=2,INDEX(COPIA!$BZ$3:$CB$400,MATCH($C278,COPIA!$BZ$3:$BZ$400,0),2)&lt;&gt;0),INDEX(COPIA!$BZ$3:$CB$400,MATCH($C278,COPIA!$BZ$3:$BZ$400,0),2),""))</f>
        <v/>
      </c>
      <c r="E278" s="86" t="str">
        <f ca="1">IF(AND(OR(COPIA!$BU$1=1,COPIA!$BU$1=3),INDEX(COPIA!$BT$3:$BV$400,MATCH($C278,COPIA!$BT$3:$BT$400,0),3)&lt;&gt;0),INDEX(COPIA!$BT$3:$BV$400,MATCH($C278,COPIA!$BT$3:$BT$400,0),3),IF(AND(COPIA!$BU$1=2,INDEX(COPIA!$BZ$3:$CB$400,MATCH($C278,COPIA!$BZ$3:$BZ$400,0),3)&lt;&gt;0),INDEX(COPIA!$BZ$3:$CB$400,MATCH($C278,COPIA!$BZ$3:$BZ$400,0),3),""))</f>
        <v/>
      </c>
      <c r="F278" s="86" t="str">
        <f ca="1">IFERROR(IF(AND(COPIA!$BU$1=3,INDEX(COPIA!$BZ$3:$CB$400,MATCH($C278,COPIA!$BZ$3:$BZ$400,0),2)&lt;&gt;0),INDEX(COPIA!$BZ$3:$CB$400,MATCH($C278,COPIA!$BZ$3:$BZ$400,0),2),""),"")</f>
        <v/>
      </c>
      <c r="G278" s="86" t="str">
        <f ca="1">IFERROR(IF(AND(COPIA!$BU$1=3,INDEX(COPIA!$BZ$3:$CB$400,MATCH($C278,COPIA!$BZ$3:$BZ$400,0),3)&lt;&gt;0),INDEX(COPIA!$BZ$3:$CB$400,MATCH($C278,COPIA!$BZ$3:$BZ$400,0),3),""),"")</f>
        <v/>
      </c>
    </row>
    <row r="279" spans="2:8" x14ac:dyDescent="0.3">
      <c r="B279" s="16" t="str">
        <f t="shared" ca="1" si="9"/>
        <v/>
      </c>
      <c r="C279" s="83" t="str">
        <f ca="1">IF(OR(COPIA!$BU$1=1,COPIA!$BU$1=3),COPIA!CO272,IF(COPIA!$BU$1=2,COPIA!BZ272,IF(ROW()=COPIA!$BT$1,"TOTALE","")))</f>
        <v/>
      </c>
      <c r="D279" s="86" t="str">
        <f ca="1">IF(AND(OR(COPIA!$BU$1=1,COPIA!$BU$1=3),INDEX(COPIA!$BT$3:$BV$400,MATCH($C279,COPIA!$BT$3:$BT$400,0),2)&lt;&gt;0),INDEX(COPIA!$BT$3:$BV$400,MATCH($C279,COPIA!$BT$3:$BT$400,0),2),IF(AND(COPIA!$BU$1=2,INDEX(COPIA!$BZ$3:$CB$400,MATCH($C279,COPIA!$BZ$3:$BZ$400,0),2)&lt;&gt;0),INDEX(COPIA!$BZ$3:$CB$400,MATCH($C279,COPIA!$BZ$3:$BZ$400,0),2),""))</f>
        <v/>
      </c>
      <c r="E279" s="86" t="str">
        <f ca="1">IF(AND(OR(COPIA!$BU$1=1,COPIA!$BU$1=3),INDEX(COPIA!$BT$3:$BV$400,MATCH($C279,COPIA!$BT$3:$BT$400,0),3)&lt;&gt;0),INDEX(COPIA!$BT$3:$BV$400,MATCH($C279,COPIA!$BT$3:$BT$400,0),3),IF(AND(COPIA!$BU$1=2,INDEX(COPIA!$BZ$3:$CB$400,MATCH($C279,COPIA!$BZ$3:$BZ$400,0),3)&lt;&gt;0),INDEX(COPIA!$BZ$3:$CB$400,MATCH($C279,COPIA!$BZ$3:$BZ$400,0),3),""))</f>
        <v/>
      </c>
      <c r="F279" s="86" t="str">
        <f ca="1">IFERROR(IF(AND(COPIA!$BU$1=3,INDEX(COPIA!$BZ$3:$CB$400,MATCH($C279,COPIA!$BZ$3:$BZ$400,0),2)&lt;&gt;0),INDEX(COPIA!$BZ$3:$CB$400,MATCH($C279,COPIA!$BZ$3:$BZ$400,0),2),""),"")</f>
        <v/>
      </c>
      <c r="G279" s="86" t="str">
        <f ca="1">IFERROR(IF(AND(COPIA!$BU$1=3,INDEX(COPIA!$BZ$3:$CB$400,MATCH($C279,COPIA!$BZ$3:$BZ$400,0),3)&lt;&gt;0),INDEX(COPIA!$BZ$3:$CB$400,MATCH($C279,COPIA!$BZ$3:$BZ$400,0),3),""),"")</f>
        <v/>
      </c>
    </row>
    <row r="280" spans="2:8" x14ac:dyDescent="0.3">
      <c r="B280" s="16" t="str">
        <f t="shared" ca="1" si="9"/>
        <v/>
      </c>
      <c r="C280" s="83" t="str">
        <f ca="1">IF(OR(COPIA!$BU$1=1,COPIA!$BU$1=3),COPIA!CO273,IF(COPIA!$BU$1=2,COPIA!BZ273,IF(ROW()=COPIA!$BT$1,"TOTALE","")))</f>
        <v/>
      </c>
      <c r="D280" s="86" t="str">
        <f ca="1">IF(AND(OR(COPIA!$BU$1=1,COPIA!$BU$1=3),INDEX(COPIA!$BT$3:$BV$400,MATCH($C280,COPIA!$BT$3:$BT$400,0),2)&lt;&gt;0),INDEX(COPIA!$BT$3:$BV$400,MATCH($C280,COPIA!$BT$3:$BT$400,0),2),IF(AND(COPIA!$BU$1=2,INDEX(COPIA!$BZ$3:$CB$400,MATCH($C280,COPIA!$BZ$3:$BZ$400,0),2)&lt;&gt;0),INDEX(COPIA!$BZ$3:$CB$400,MATCH($C280,COPIA!$BZ$3:$BZ$400,0),2),""))</f>
        <v/>
      </c>
      <c r="E280" s="86" t="str">
        <f ca="1">IF(AND(OR(COPIA!$BU$1=1,COPIA!$BU$1=3),INDEX(COPIA!$BT$3:$BV$400,MATCH($C280,COPIA!$BT$3:$BT$400,0),3)&lt;&gt;0),INDEX(COPIA!$BT$3:$BV$400,MATCH($C280,COPIA!$BT$3:$BT$400,0),3),IF(AND(COPIA!$BU$1=2,INDEX(COPIA!$BZ$3:$CB$400,MATCH($C280,COPIA!$BZ$3:$BZ$400,0),3)&lt;&gt;0),INDEX(COPIA!$BZ$3:$CB$400,MATCH($C280,COPIA!$BZ$3:$BZ$400,0),3),""))</f>
        <v/>
      </c>
      <c r="F280" s="86" t="str">
        <f ca="1">IFERROR(IF(AND(COPIA!$BU$1=3,INDEX(COPIA!$BZ$3:$CB$400,MATCH($C280,COPIA!$BZ$3:$BZ$400,0),2)&lt;&gt;0),INDEX(COPIA!$BZ$3:$CB$400,MATCH($C280,COPIA!$BZ$3:$BZ$400,0),2),""),"")</f>
        <v/>
      </c>
      <c r="G280" s="86" t="str">
        <f ca="1">IFERROR(IF(AND(COPIA!$BU$1=3,INDEX(COPIA!$BZ$3:$CB$400,MATCH($C280,COPIA!$BZ$3:$BZ$400,0),3)&lt;&gt;0),INDEX(COPIA!$BZ$3:$CB$400,MATCH($C280,COPIA!$BZ$3:$BZ$400,0),3),""),"")</f>
        <v/>
      </c>
    </row>
  </sheetData>
  <sheetProtection algorithmName="SHA-512" hashValue="teODeZITKBrUkPHaBkHWUi9tlh0QvFOSha/0yplRtPNU3YS3MOdMNgFTMdiup/CLdUiK+Ni2XJd3byB5DoZa/Q==" saltValue="2sn3Sv2ZyPYURzdFD8lsAA==" spinCount="100000" sheet="1" objects="1" scenarios="1"/>
  <mergeCells count="10">
    <mergeCell ref="B8:B9"/>
    <mergeCell ref="D8:E8"/>
    <mergeCell ref="F8:G8"/>
    <mergeCell ref="C8:C9"/>
    <mergeCell ref="E1:G1"/>
    <mergeCell ref="C7:E7"/>
    <mergeCell ref="B6:C6"/>
    <mergeCell ref="D6:G6"/>
    <mergeCell ref="D3:G4"/>
    <mergeCell ref="B1:D1"/>
  </mergeCells>
  <conditionalFormatting sqref="B10:B280">
    <cfRule type="expression" dxfId="44" priority="7">
      <formula>AND($B10=0,$C10&lt;&gt;"")</formula>
    </cfRule>
    <cfRule type="expression" dxfId="43" priority="8">
      <formula>AND($B10&lt;&gt;"",$B10&lt;&gt;0)</formula>
    </cfRule>
  </conditionalFormatting>
  <conditionalFormatting sqref="B8:E9">
    <cfRule type="expression" dxfId="42" priority="15">
      <formula>$H$9&gt;0</formula>
    </cfRule>
  </conditionalFormatting>
  <conditionalFormatting sqref="C10:C280">
    <cfRule type="expression" dxfId="41" priority="5">
      <formula>$C10="TOTALI"</formula>
    </cfRule>
    <cfRule type="expression" dxfId="40" priority="6">
      <formula>AND($C10&lt;&gt;"",$C10&lt;&gt;"TOTALI")</formula>
    </cfRule>
  </conditionalFormatting>
  <conditionalFormatting sqref="D10:E280">
    <cfRule type="expression" dxfId="39" priority="3">
      <formula>AND($C10&lt;&gt;"TOTALI",OR($D10&lt;&gt;"",$E10&lt;&gt;""))</formula>
    </cfRule>
    <cfRule type="expression" dxfId="38" priority="4">
      <formula>AND($C10="TOTALI",OR($D10&lt;&gt;"",$E10&lt;&gt;""))</formula>
    </cfRule>
  </conditionalFormatting>
  <conditionalFormatting sqref="F8:G8">
    <cfRule type="expression" dxfId="37" priority="31">
      <formula>$F$8="ECCEDENZE"</formula>
    </cfRule>
  </conditionalFormatting>
  <conditionalFormatting sqref="F9:G9">
    <cfRule type="expression" dxfId="36" priority="30">
      <formula>$F$9="dare"</formula>
    </cfRule>
  </conditionalFormatting>
  <conditionalFormatting sqref="F10:G280">
    <cfRule type="expression" dxfId="35" priority="1">
      <formula>AND($A$6=3,$C10&lt;&gt;"",$C10&lt;&gt;"TOTALI")</formula>
    </cfRule>
    <cfRule type="expression" dxfId="34" priority="2">
      <formula>AND($C10="TOTALI",OR($F10&lt;&gt;"",$G10&lt;&gt;""))</formula>
    </cfRule>
  </conditionalFormatting>
  <conditionalFormatting sqref="G5">
    <cfRule type="expression" dxfId="33" priority="33">
      <formula>AND($C5&lt;&gt;"",OR($D5&gt;0,$E5&gt;0))</formula>
    </cfRule>
    <cfRule type="expression" dxfId="32" priority="34">
      <formula>$C5="totale"</formula>
    </cfRule>
  </conditionalFormatting>
  <conditionalFormatting sqref="G9">
    <cfRule type="expression" dxfId="31" priority="29">
      <formula>$G$9="AVERE"</formula>
    </cfRule>
  </conditionalFormatting>
  <conditionalFormatting sqref="H1:J4">
    <cfRule type="expression" dxfId="30" priority="26">
      <formula>$H$1="I TOTALI SONO CORRETTAMENTE VISUALIZZATI"</formula>
    </cfRule>
  </conditionalFormatting>
  <dataValidations count="2">
    <dataValidation type="whole" allowBlank="1" showInputMessage="1" showErrorMessage="1" sqref="G5" xr:uid="{00000000-0002-0000-0300-000000000000}">
      <formula1>1</formula1>
      <formula2>400</formula2>
    </dataValidation>
    <dataValidation type="list" allowBlank="1" showInputMessage="1" showErrorMessage="1" sqref="C4" xr:uid="{00000000-0002-0000-0300-000001000000}">
      <formula1>"PER TOTALI,PER ECCEDENZE,PER TOTALI ED ECCEDENZE"</formula1>
    </dataValidation>
  </dataValidations>
  <printOptions horizontalCentered="1"/>
  <pageMargins left="0.19685039370078741" right="0.19685039370078741" top="0.59055118110236227" bottom="0.59055118110236227" header="0.39370078740157483" footer="0.39370078740157483"/>
  <pageSetup paperSize="9" orientation="landscape" horizontalDpi="4294967294" r:id="rId1"/>
  <headerFooter>
    <oddHeader>&amp;L&amp;"Arial Narrow,Grassetto"&amp;10&amp;K08-038&amp;A&amp;R&amp;G</oddHeader>
    <oddFooter>&amp;L&amp;"Arial Narrow,Grassetto"&amp;8&amp;K08-035TRAMONTANA - FUTURO IMPRESA SMART 4 - T-SMART -  Autore: Biagio PALACINO&amp;C&amp;"Arial Narrow,Grassetto"&amp;10&amp;K08-047&amp;D&amp;R&amp;"-,Grassetto"&amp;10&amp;K08-036pag. &amp;P di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>
    <tabColor rgb="FFFFC000"/>
  </sheetPr>
  <dimension ref="A1:H155"/>
  <sheetViews>
    <sheetView showGridLines="0" showRowColHeaders="0" zoomScale="120" zoomScaleNormal="120" workbookViewId="0">
      <pane ySplit="5" topLeftCell="A6" activePane="bottomLeft" state="frozen"/>
      <selection pane="bottomLeft" activeCell="C4" sqref="C4"/>
    </sheetView>
  </sheetViews>
  <sheetFormatPr defaultColWidth="9" defaultRowHeight="15.6" x14ac:dyDescent="0.3"/>
  <cols>
    <col min="1" max="1" width="3.3984375" style="33" customWidth="1"/>
    <col min="2" max="2" width="50.59765625" style="72" customWidth="1"/>
    <col min="3" max="3" width="14.59765625" style="78" customWidth="1"/>
    <col min="4" max="4" width="50.59765625" style="72" customWidth="1"/>
    <col min="5" max="5" width="14.59765625" style="81" customWidth="1"/>
    <col min="6" max="6" width="1.3984375" style="8" customWidth="1"/>
    <col min="7" max="7" width="12.59765625" style="11" bestFit="1" customWidth="1"/>
    <col min="8" max="8" width="11.59765625" style="11" bestFit="1" customWidth="1"/>
    <col min="9" max="16384" width="9" style="11"/>
  </cols>
  <sheetData>
    <row r="1" spans="1:8" x14ac:dyDescent="0.3">
      <c r="A1" s="57"/>
      <c r="B1" s="83" t="s">
        <v>1151</v>
      </c>
    </row>
    <row r="2" spans="1:8" ht="6" customHeight="1" x14ac:dyDescent="0.3"/>
    <row r="3" spans="1:8" x14ac:dyDescent="0.3">
      <c r="B3" s="204" t="s">
        <v>1007</v>
      </c>
      <c r="C3" s="156" t="s">
        <v>1000</v>
      </c>
      <c r="D3" s="340" t="str">
        <f ca="1">COPIA!CS3</f>
        <v/>
      </c>
      <c r="E3" s="342"/>
    </row>
    <row r="4" spans="1:8" ht="30.75" customHeight="1" x14ac:dyDescent="0.3">
      <c r="B4" s="153" t="str">
        <f ca="1">COPIA!CQ58</f>
        <v/>
      </c>
      <c r="C4" s="183" t="s">
        <v>782</v>
      </c>
      <c r="D4" s="343"/>
      <c r="E4" s="345"/>
    </row>
    <row r="5" spans="1:8" ht="15.75" customHeight="1" x14ac:dyDescent="0.3">
      <c r="A5" s="57"/>
      <c r="B5" s="184"/>
      <c r="C5" s="185"/>
      <c r="D5" s="186"/>
      <c r="E5" s="187"/>
      <c r="F5" s="64"/>
      <c r="G5" s="64"/>
      <c r="H5" s="64"/>
    </row>
    <row r="6" spans="1:8" ht="22.5" customHeight="1" x14ac:dyDescent="0.3">
      <c r="A6" s="57"/>
      <c r="B6" s="339" t="str">
        <f ca="1">IF(INDIRECT(ADDRESS(8,6,,,"LIBRO_GIORNALE"))="","",INDIRECT(ADDRESS(8,6,,,"LIBRO_GIORNALE")))</f>
        <v/>
      </c>
      <c r="C6" s="339"/>
      <c r="D6" s="339" t="str">
        <f ca="1">IF(INDIRECT(ADDRESS(8,7,,,"LIBRO_GIORNALE"))="","",INDIRECT(ADDRESS(8,7,,,"LIBRO_GIORNALE")))</f>
        <v/>
      </c>
      <c r="E6" s="339"/>
      <c r="F6" s="64"/>
      <c r="G6" s="64"/>
      <c r="H6" s="64"/>
    </row>
    <row r="7" spans="1:8" ht="26.25" customHeight="1" x14ac:dyDescent="0.45">
      <c r="A7" s="93"/>
      <c r="B7" s="338" t="str">
        <f ca="1">IF(COPIA!CO1=0,"",IF(COPIA!$I$1=1,CONCATENATE("Situazione contabile per destinazione al ",COPIA!$AS$1,"/",COPIA!$AT$1,"/",COPIA!$AW$1),IF(COPIA!$I$1=2,CONCATENATE("Stralcio di Situazione contabile per destinazione al ",COPIA!$AS$1,"/",COPIA!AT1,"/",COPIA!AW1),"")))</f>
        <v/>
      </c>
      <c r="C7" s="338"/>
      <c r="D7" s="338"/>
      <c r="E7" s="338"/>
    </row>
    <row r="8" spans="1:8" ht="15.9" customHeight="1" x14ac:dyDescent="0.3">
      <c r="A8" s="7" t="str">
        <f t="shared" ref="A8" ca="1" si="0">IF(AND(OR(B8&lt;&gt;"",D8&lt;&gt;""),OR(C8&gt;0,E8&gt;0),B8&lt;&gt;"SITUAZIONE ECONOMICA"),ROW(),"")</f>
        <v/>
      </c>
      <c r="B8" s="72" t="str">
        <f ca="1">IF(AND(COPIA!$CP$1=TRUE,IF((ROW())&gt;=COPIA!$BL$1,INDIRECT(ADDRESS(ROW()-COPIA!$BM$1,10,4,,"COPIA")),COPIA!EF1)="SALDO ECONOMICO NEGATIVO"),REPLACE("SALDO ECONOMICO NEGATIVO",1,30,"PERDITA D'ESERCIZIO"),IF((ROW())&gt;=COPIA!$BL$1,INDIRECT(ADDRESS(ROW()-COPIA!$BM$1,10,4,,"COPIA")),COPIA!EF1))</f>
        <v/>
      </c>
      <c r="C8" s="65"/>
      <c r="D8" s="80" t="s">
        <v>313</v>
      </c>
      <c r="E8" s="82"/>
      <c r="G8" s="45"/>
      <c r="H8" s="45"/>
    </row>
    <row r="9" spans="1:8" ht="15.9" customHeight="1" x14ac:dyDescent="0.3">
      <c r="A9" s="7" t="str">
        <f ca="1">IF(AND(OR(B9&lt;&gt;"",D9&lt;&gt;""),OR(C9&gt;0,E9&gt;0),B9&lt;&gt;"SITUAZIONE ECONOMICA"),ROW(),IF(AND(OR(B9&lt;&gt;"",D9&lt;&gt;""),B9&lt;&gt;"SITUAZIONE ECONOMICA"),ROW(),""))</f>
        <v/>
      </c>
      <c r="B9" s="72" t="str">
        <f ca="1">IF(AND(COPIA!$CP$1=TRUE,IF((ROW())&gt;=COPIA!$BL$1,INDIRECT(ADDRESS(ROW()-COPIA!$BM$1,10,4,,"COPIA")),COPIA!EF2)="SALDO ECONOMICO NEGATIVO"),REPLACE("SALDO ECONOMICO NEGATIVO",1,30,"PERDITA D'ESERCIZIO"),IF((ROW())&gt;=COPIA!$BL$1,INDIRECT(ADDRESS(ROW()-COPIA!$BM$1,10,4,,"COPIA")),COPIA!EF2))</f>
        <v/>
      </c>
      <c r="C9" s="78" t="str">
        <f ca="1">IFERROR(IF(AND(COPIA!EG2&lt;&gt;0,ROW()&lt;=COPIA!$BL$1),COPIA!EG2,IF(AND(ROW()&gt;COPIA!$BL$1,INDEX(COPIA!$J$2:$L$200,MATCH('SIT.PATR._SIT.ECON.'!B9,COPIA!$J$2:$J$200,0),3)&lt;&gt;0),INDEX(COPIA!$J$2:$L$200,MATCH('SIT.PATR._SIT.ECON.'!B9,COPIA!$J$2:$J$200,0),3),"")),"")</f>
        <v/>
      </c>
      <c r="D9" s="72" t="str">
        <f ca="1">IF(AND(COPIA!$CP$1=TRUE,IF((ROW())&gt;=COPIA!$BL$1,CONCATENATE((INDIRECT(ADDRESS(ROW()-COPIA!$BM$1,131,4,,"COPIA")))),COPIA!EJ2)="SALDO ECONOMICO POSITIVO"),REPLACE(IF((ROW())&gt;=COPIA!$BL$1,CONCATENATE((INDIRECT(ADDRESS(ROW()-COPIA!$BM$1,131,4,,"COPIA")))),COPIA!EJ2),1,30,"UTILE D'ESERCIZIO"),IF((ROW())&gt;=COPIA!$BL$1,CONCATENATE((INDIRECT(ADDRESS(ROW()-COPIA!$BM$1,131,4,,"COPIA")))),COPIA!EJ2))</f>
        <v/>
      </c>
      <c r="E9" s="81" t="str">
        <f ca="1">IFERROR(IF(AND(ROW()&lt;=COPIA!$BL$1,COPIA!EK2&lt;&gt;0),COPIA!EK2,IF(AND(ROW()&gt;COPIA!$BL$1,INDEX(COPIA!$EA$2:$EC$200,MATCH('SIT.PATR._SIT.ECON.'!D9,COPIA!$EA$2:$EA$200,0),3)&lt;&gt;0),INDEX(COPIA!$EA$2:$EC$200,MATCH('SIT.PATR._SIT.ECON.'!D9,COPIA!$EA$2:$EA$200,0),3),"")),"")</f>
        <v/>
      </c>
      <c r="F9" s="18"/>
      <c r="G9" s="45"/>
      <c r="H9" s="45"/>
    </row>
    <row r="10" spans="1:8" ht="15.9" customHeight="1" x14ac:dyDescent="0.3">
      <c r="A10" s="7" t="str">
        <f t="shared" ref="A10:A73" ca="1" si="1">IF(AND(OR(B10&lt;&gt;"",D10&lt;&gt;""),OR(C10&gt;0,E10&gt;0),B10&lt;&gt;"SITUAZIONE ECONOMICA"),ROW(),IF(AND(OR(B10&lt;&gt;"",D10&lt;&gt;""),B10&lt;&gt;"SITUAZIONE ECONOMICA"),ROW(),""))</f>
        <v/>
      </c>
      <c r="B10" s="72" t="str">
        <f ca="1">IF(AND(COPIA!$CP$1=TRUE,IF((ROW())+2&gt;=COPIA!$BL$1,INDIRECT(ADDRESS(ROW()+2-COPIA!$BM$1,10,4,,"COPIA")),COPIA!EF3)="SALDO ECONOMICO NEGATIVO"),REPLACE("SALDO ECONOMICO NEGATIVO",1,30,"PERDITA D'ESERCIZIO"),IF((ROW())+2&gt;=COPIA!$BL$1,INDIRECT(ADDRESS(ROW()+2-COPIA!$BM$1,10,4,,"COPIA")),COPIA!EF3))</f>
        <v/>
      </c>
      <c r="C10" s="78" t="str">
        <f ca="1">IFERROR(IF(AND(COPIA!EG3&lt;&gt;0,ROW()&lt;=COPIA!$BL$1),COPIA!EG3,IF(AND(ROW()&gt;COPIA!$BL$1,INDEX(COPIA!$J$2:$L$200,MATCH('SIT.PATR._SIT.ECON.'!B10,COPIA!$J$2:$J$200,0),3)&lt;&gt;0),INDEX(COPIA!$J$2:$L$200,MATCH('SIT.PATR._SIT.ECON.'!B10,COPIA!$J$2:$J$200,0),3),"")),"")</f>
        <v/>
      </c>
      <c r="D10" s="72" t="str">
        <f ca="1">IF(AND(COPIA!$CP$1=TRUE,IF((ROW())&gt;=COPIA!$BL$1,CONCATENATE((INDIRECT(ADDRESS(ROW()-COPIA!$BM$1,131,4,,"COPIA")))),COPIA!EJ3)="SALDO ECONOMICO POSITIVO"),REPLACE(IF((ROW())&gt;=COPIA!$BL$1,CONCATENATE((INDIRECT(ADDRESS(ROW()-COPIA!$BM$1,131,4,,"COPIA")))),COPIA!EJ3),1,30,"UTILE D'ESERCIZIO"),IF((ROW())&gt;=COPIA!$BL$1,CONCATENATE((INDIRECT(ADDRESS(ROW()-COPIA!$BM$1,131,4,,"COPIA")))),COPIA!EJ3))</f>
        <v/>
      </c>
      <c r="E10" s="81" t="str">
        <f ca="1">IFERROR(IF(AND(ROW()&lt;=COPIA!$BL$1,COPIA!EK3&lt;&gt;0),COPIA!EK3,IF(AND(ROW()&gt;COPIA!$BL$1,INDEX(COPIA!$EA$2:$EC$200,MATCH('SIT.PATR._SIT.ECON.'!D10,COPIA!$EA$2:$EA$200,0),3)&lt;&gt;0),INDEX(COPIA!$EA$2:$EC$200,MATCH('SIT.PATR._SIT.ECON.'!D10,COPIA!$EA$2:$EA$200,0),3),"")),"")</f>
        <v/>
      </c>
      <c r="F10" s="18"/>
      <c r="G10" s="111"/>
      <c r="H10" s="45"/>
    </row>
    <row r="11" spans="1:8" ht="15.9" customHeight="1" x14ac:dyDescent="0.3">
      <c r="A11" s="7" t="str">
        <f t="shared" ca="1" si="1"/>
        <v/>
      </c>
      <c r="B11" s="72" t="str">
        <f ca="1">IF(AND(COPIA!$CP$1=TRUE,IF((ROW())&gt;=COPIA!$BL$1,INDIRECT(ADDRESS(ROW()-COPIA!$BM$1,10,4,,"COPIA")),COPIA!EF4)="SALDO ECONOMICO NEGATIVO"),REPLACE("SALDO ECONOMICO NEGATIVO",1,30,"PERDITA D'ESERCIZIO"),IF((ROW())&gt;=COPIA!$BL$1,INDIRECT(ADDRESS(ROW()-COPIA!$BM$1,10,4,,"COPIA")),COPIA!EF4))</f>
        <v/>
      </c>
      <c r="C11" s="78" t="str">
        <f ca="1">IFERROR(IF(AND(COPIA!EG4&lt;&gt;0,ROW()&lt;=COPIA!$BL$1),COPIA!EG4,IF(AND(ROW()&gt;COPIA!$BL$1,INDEX(COPIA!$J$2:$L$200,MATCH('SIT.PATR._SIT.ECON.'!B11,COPIA!$J$2:$J$200,0),3)&lt;&gt;0),INDEX(COPIA!$J$2:$L$200,MATCH('SIT.PATR._SIT.ECON.'!B11,COPIA!$J$2:$J$200,0),3),"")),"")</f>
        <v/>
      </c>
      <c r="D11" s="72" t="str">
        <f ca="1">IF(AND(COPIA!$CP$1=TRUE,IF((ROW())&gt;=COPIA!$BL$1,CONCATENATE((INDIRECT(ADDRESS(ROW()-COPIA!$BM$1,131,4,,"COPIA")))),COPIA!EJ4)="SALDO ECONOMICO POSITIVO"),REPLACE(IF((ROW())&gt;=COPIA!$BL$1,CONCATENATE((INDIRECT(ADDRESS(ROW()-COPIA!$BM$1,131,4,,"COPIA")))),COPIA!EJ4),1,30,"UTILE D'ESERCIZIO"),IF((ROW())&gt;=COPIA!$BL$1,CONCATENATE((INDIRECT(ADDRESS(ROW()-COPIA!$BM$1,131,4,,"COPIA")))),COPIA!EJ4))</f>
        <v/>
      </c>
      <c r="E11" s="81" t="str">
        <f ca="1">IFERROR(IF(AND(ROW()&lt;=COPIA!$BL$1,COPIA!EK4&lt;&gt;0),COPIA!EK4,IF(AND(ROW()&gt;COPIA!$BL$1,INDEX(COPIA!$EA$2:$EC$200,MATCH('SIT.PATR._SIT.ECON.'!D11,COPIA!$EA$2:$EA$200,0),3)&lt;&gt;0),INDEX(COPIA!$EA$2:$EC$200,MATCH('SIT.PATR._SIT.ECON.'!D11,COPIA!$EA$2:$EA$200,0),3),"")),"")</f>
        <v/>
      </c>
      <c r="F11" s="18"/>
      <c r="G11" s="111"/>
      <c r="H11" s="45"/>
    </row>
    <row r="12" spans="1:8" ht="15.9" customHeight="1" x14ac:dyDescent="0.3">
      <c r="A12" s="7" t="str">
        <f t="shared" ca="1" si="1"/>
        <v/>
      </c>
      <c r="B12" s="72" t="str">
        <f ca="1">IF(AND(COPIA!$CP$1=TRUE,IF((ROW())&gt;=COPIA!$BL$1,INDIRECT(ADDRESS(ROW()-COPIA!$BM$1,10,4,,"COPIA")),COPIA!EF5)="SALDO ECONOMICO NEGATIVO"),REPLACE("SALDO ECONOMICO NEGATIVO",1,30,"PERDITA D'ESERCIZIO"),IF((ROW())&gt;=COPIA!$BL$1,INDIRECT(ADDRESS(ROW()-COPIA!$BM$1,10,4,,"COPIA")),COPIA!EF5))</f>
        <v/>
      </c>
      <c r="C12" s="78" t="str">
        <f ca="1">IFERROR(IF(AND(COPIA!EG5&lt;&gt;0,ROW()&lt;=COPIA!$BL$1),COPIA!EG5,IF(AND(ROW()&gt;COPIA!$BL$1,INDEX(COPIA!$J$2:$L$200,MATCH('SIT.PATR._SIT.ECON.'!B12,COPIA!$J$2:$J$200,0),3)&lt;&gt;0),INDEX(COPIA!$J$2:$L$200,MATCH('SIT.PATR._SIT.ECON.'!B12,COPIA!$J$2:$J$200,0),3),"")),"")</f>
        <v/>
      </c>
      <c r="D12" s="72" t="str">
        <f ca="1">IF(AND(COPIA!$CP$1=TRUE,IF((ROW())&gt;=COPIA!$BL$1,CONCATENATE((INDIRECT(ADDRESS(ROW()-COPIA!$BM$1,131,4,,"COPIA")))),COPIA!EJ5)="SALDO ECONOMICO POSITIVO"),REPLACE(IF((ROW())&gt;=COPIA!$BL$1,CONCATENATE((INDIRECT(ADDRESS(ROW()-COPIA!$BM$1,131,4,,"COPIA")))),COPIA!EJ5),1,30,"UTILE D'ESERCIZIO"),IF((ROW())&gt;=COPIA!$BL$1,CONCATENATE((INDIRECT(ADDRESS(ROW()-COPIA!$BM$1,131,4,,"COPIA")))),COPIA!EJ5))</f>
        <v/>
      </c>
      <c r="E12" s="81" t="str">
        <f ca="1">IFERROR(IF(AND(ROW()&lt;=COPIA!$BL$1,COPIA!EK5&lt;&gt;0),COPIA!EK5,IF(AND(ROW()&gt;COPIA!$BL$1,INDEX(COPIA!$EA$2:$EC$200,MATCH('SIT.PATR._SIT.ECON.'!D12,COPIA!$EA$2:$EA$200,0),3)&lt;&gt;0),INDEX(COPIA!$EA$2:$EC$200,MATCH('SIT.PATR._SIT.ECON.'!D12,COPIA!$EA$2:$EA$200,0),3),"")),"")</f>
        <v/>
      </c>
      <c r="F12" s="18"/>
      <c r="G12" s="111"/>
      <c r="H12" s="45"/>
    </row>
    <row r="13" spans="1:8" ht="15.9" customHeight="1" x14ac:dyDescent="0.3">
      <c r="A13" s="7" t="str">
        <f t="shared" ca="1" si="1"/>
        <v/>
      </c>
      <c r="B13" s="72" t="str">
        <f ca="1">IF(AND(COPIA!$CP$1=TRUE,IF((ROW())&gt;=COPIA!$BL$1,INDIRECT(ADDRESS(ROW()-COPIA!$BM$1,10,4,,"COPIA")),COPIA!EF6)="SALDO ECONOMICO NEGATIVO"),REPLACE("SALDO ECONOMICO NEGATIVO",1,30,"PERDITA D'ESERCIZIO"),IF((ROW())&gt;=COPIA!$BL$1,INDIRECT(ADDRESS(ROW()-COPIA!$BM$1,10,4,,"COPIA")),COPIA!EF6))</f>
        <v/>
      </c>
      <c r="C13" s="78" t="str">
        <f ca="1">IFERROR(IF(AND(COPIA!EG6&lt;&gt;0,ROW()&lt;=COPIA!$BL$1),COPIA!EG6,IF(AND(ROW()&gt;COPIA!$BL$1,INDEX(COPIA!$J$2:$L$200,MATCH('SIT.PATR._SIT.ECON.'!B13,COPIA!$J$2:$J$200,0),3)&lt;&gt;0),INDEX(COPIA!$J$2:$L$200,MATCH('SIT.PATR._SIT.ECON.'!B13,COPIA!$J$2:$J$200,0),3),"")),"")</f>
        <v/>
      </c>
      <c r="D13" s="72" t="str">
        <f ca="1">IF(AND(COPIA!$CP$1=TRUE,IF((ROW())&gt;=COPIA!$BL$1,CONCATENATE((INDIRECT(ADDRESS(ROW()-COPIA!$BM$1,131,4,,"COPIA")))),COPIA!EJ6)="SALDO ECONOMICO POSITIVO"),REPLACE(IF((ROW())&gt;=COPIA!$BL$1,CONCATENATE((INDIRECT(ADDRESS(ROW()-COPIA!$BM$1,131,4,,"COPIA")))),COPIA!EJ6),1,30,"UTILE D'ESERCIZIO"),IF((ROW())&gt;=COPIA!$BL$1,CONCATENATE((INDIRECT(ADDRESS(ROW()-COPIA!$BM$1,131,4,,"COPIA")))),COPIA!EJ6))</f>
        <v/>
      </c>
      <c r="E13" s="81" t="str">
        <f ca="1">IFERROR(IF(AND(ROW()&lt;=COPIA!$BL$1,COPIA!EK6&lt;&gt;0),COPIA!EK6,IF(AND(ROW()&gt;COPIA!$BL$1,INDEX(COPIA!$EA$2:$EC$200,MATCH('SIT.PATR._SIT.ECON.'!D13,COPIA!$EA$2:$EA$200,0),3)&lt;&gt;0),INDEX(COPIA!$EA$2:$EC$200,MATCH('SIT.PATR._SIT.ECON.'!D13,COPIA!$EA$2:$EA$200,0),3),"")),"")</f>
        <v/>
      </c>
      <c r="F13" s="18"/>
      <c r="G13" s="111"/>
      <c r="H13" s="45"/>
    </row>
    <row r="14" spans="1:8" ht="15.9" customHeight="1" x14ac:dyDescent="0.3">
      <c r="A14" s="7" t="str">
        <f t="shared" ca="1" si="1"/>
        <v/>
      </c>
      <c r="B14" s="72" t="str">
        <f ca="1">IF(AND(COPIA!$CP$1=TRUE,IF((ROW())&gt;=COPIA!$BL$1,INDIRECT(ADDRESS(ROW()-COPIA!$BM$1,10,4,,"COPIA")),COPIA!EF7)="SALDO ECONOMICO NEGATIVO"),REPLACE("SALDO ECONOMICO NEGATIVO",1,30,"PERDITA D'ESERCIZIO"),IF((ROW())&gt;=COPIA!$BL$1,INDIRECT(ADDRESS(ROW()-COPIA!$BM$1,10,4,,"COPIA")),COPIA!EF7))</f>
        <v/>
      </c>
      <c r="C14" s="78" t="str">
        <f ca="1">IFERROR(IF(AND(COPIA!EG7&lt;&gt;0,ROW()&lt;=COPIA!$BL$1),COPIA!EG7,IF(AND(ROW()&gt;COPIA!$BL$1,INDEX(COPIA!$J$2:$L$200,MATCH('SIT.PATR._SIT.ECON.'!B14,COPIA!$J$2:$J$200,0),3)&lt;&gt;0),INDEX(COPIA!$J$2:$L$200,MATCH('SIT.PATR._SIT.ECON.'!B14,COPIA!$J$2:$J$200,0),3),"")),"")</f>
        <v/>
      </c>
      <c r="D14" s="72" t="str">
        <f ca="1">IF(AND(COPIA!$CP$1=TRUE,IF((ROW())&gt;=COPIA!$BL$1,CONCATENATE((INDIRECT(ADDRESS(ROW()-COPIA!$BM$1,131,4,,"COPIA")))),COPIA!EJ7)="SALDO ECONOMICO POSITIVO"),REPLACE(IF((ROW())&gt;=COPIA!$BL$1,CONCATENATE((INDIRECT(ADDRESS(ROW()-COPIA!$BM$1,131,4,,"COPIA")))),COPIA!EJ7),1,30,"UTILE D'ESERCIZIO"),IF((ROW())&gt;=COPIA!$BL$1,CONCATENATE((INDIRECT(ADDRESS(ROW()-COPIA!$BM$1,131,4,,"COPIA")))),COPIA!EJ7))</f>
        <v/>
      </c>
      <c r="E14" s="81" t="str">
        <f ca="1">IFERROR(IF(AND(ROW()&lt;=COPIA!$BL$1,COPIA!EK7&lt;&gt;0),COPIA!EK7,IF(AND(ROW()&gt;COPIA!$BL$1,INDEX(COPIA!$EA$2:$EC$200,MATCH('SIT.PATR._SIT.ECON.'!D14,COPIA!$EA$2:$EA$200,0),3)&lt;&gt;0),INDEX(COPIA!$EA$2:$EC$200,MATCH('SIT.PATR._SIT.ECON.'!D14,COPIA!$EA$2:$EA$200,0),3),"")),"")</f>
        <v/>
      </c>
      <c r="F14" s="18"/>
      <c r="G14" s="111"/>
      <c r="H14" s="45"/>
    </row>
    <row r="15" spans="1:8" ht="15.9" customHeight="1" x14ac:dyDescent="0.3">
      <c r="A15" s="7" t="str">
        <f t="shared" ca="1" si="1"/>
        <v/>
      </c>
      <c r="B15" s="72" t="str">
        <f ca="1">IF(AND(COPIA!$CP$1=TRUE,IF((ROW())&gt;=COPIA!$BL$1,INDIRECT(ADDRESS(ROW()-COPIA!$BM$1,10,4,,"COPIA")),COPIA!EF8)="SALDO ECONOMICO NEGATIVO"),REPLACE("SALDO ECONOMICO NEGATIVO",1,30,"PERDITA D'ESERCIZIO"),IF((ROW())&gt;=COPIA!$BL$1,INDIRECT(ADDRESS(ROW()-COPIA!$BM$1,10,4,,"COPIA")),COPIA!EF8))</f>
        <v/>
      </c>
      <c r="C15" s="78" t="str">
        <f ca="1">IFERROR(IF(AND(COPIA!EG8&lt;&gt;0,ROW()&lt;=COPIA!$BL$1),COPIA!EG8,IF(AND(ROW()&gt;COPIA!$BL$1,INDEX(COPIA!$J$2:$L$200,MATCH('SIT.PATR._SIT.ECON.'!B15,COPIA!$J$2:$J$200,0),3)&lt;&gt;0),INDEX(COPIA!$J$2:$L$200,MATCH('SIT.PATR._SIT.ECON.'!B15,COPIA!$J$2:$J$200,0),3),"")),"")</f>
        <v/>
      </c>
      <c r="D15" s="72" t="str">
        <f ca="1">IF(AND(COPIA!$CP$1=TRUE,IF((ROW())&gt;=COPIA!$BL$1,CONCATENATE((INDIRECT(ADDRESS(ROW()-COPIA!$BM$1,131,4,,"COPIA")))),COPIA!EJ8)="SALDO ECONOMICO POSITIVO"),REPLACE(IF((ROW())&gt;=COPIA!$BL$1,CONCATENATE((INDIRECT(ADDRESS(ROW()-COPIA!$BM$1,131,4,,"COPIA")))),COPIA!EJ8),1,30,"UTILE D'ESERCIZIO"),IF((ROW())&gt;=COPIA!$BL$1,CONCATENATE((INDIRECT(ADDRESS(ROW()-COPIA!$BM$1,131,4,,"COPIA")))),COPIA!EJ8))</f>
        <v/>
      </c>
      <c r="E15" s="81" t="str">
        <f ca="1">IFERROR(IF(AND(ROW()&lt;=COPIA!$BL$1,COPIA!EK8&lt;&gt;0),COPIA!EK8,IF(AND(ROW()&gt;COPIA!$BL$1,INDEX(COPIA!$EA$2:$EC$200,MATCH('SIT.PATR._SIT.ECON.'!D15,COPIA!$EA$2:$EA$200,0),3)&lt;&gt;0),INDEX(COPIA!$EA$2:$EC$200,MATCH('SIT.PATR._SIT.ECON.'!D15,COPIA!$EA$2:$EA$200,0),3),"")),"")</f>
        <v/>
      </c>
      <c r="F15" s="18"/>
      <c r="G15" s="111"/>
      <c r="H15" s="66"/>
    </row>
    <row r="16" spans="1:8" ht="15.9" customHeight="1" x14ac:dyDescent="0.3">
      <c r="A16" s="7" t="str">
        <f t="shared" ca="1" si="1"/>
        <v/>
      </c>
      <c r="B16" s="72" t="str">
        <f ca="1">IF(AND(COPIA!$CP$1=TRUE,IF((ROW())&gt;=COPIA!$BL$1,INDIRECT(ADDRESS(ROW()-COPIA!$BM$1,10,4,,"COPIA")),COPIA!EF9)="SALDO ECONOMICO NEGATIVO"),REPLACE("SALDO ECONOMICO NEGATIVO",1,30,"PERDITA D'ESERCIZIO"),IF((ROW())&gt;=COPIA!$BL$1,INDIRECT(ADDRESS(ROW()-COPIA!$BM$1,10,4,,"COPIA")),COPIA!EF9))</f>
        <v/>
      </c>
      <c r="C16" s="78" t="str">
        <f ca="1">IFERROR(IF(AND(COPIA!EG9&lt;&gt;0,ROW()&lt;=COPIA!$BL$1),COPIA!EG9,IF(AND(ROW()&gt;COPIA!$BL$1,INDEX(COPIA!$J$2:$L$200,MATCH('SIT.PATR._SIT.ECON.'!B16,COPIA!$J$2:$J$200,0),3)&lt;&gt;0),INDEX(COPIA!$J$2:$L$200,MATCH('SIT.PATR._SIT.ECON.'!B16,COPIA!$J$2:$J$200,0),3),"")),"")</f>
        <v/>
      </c>
      <c r="D16" s="72" t="str">
        <f ca="1">IF(AND(COPIA!$CP$1=TRUE,IF((ROW())&gt;=COPIA!$BL$1,CONCATENATE((INDIRECT(ADDRESS(ROW()-COPIA!$BM$1,131,4,,"COPIA")))),COPIA!EJ9)="SALDO ECONOMICO POSITIVO"),REPLACE(IF((ROW())&gt;=COPIA!$BL$1,CONCATENATE((INDIRECT(ADDRESS(ROW()-COPIA!$BM$1,131,4,,"COPIA")))),COPIA!EJ9),1,30,"UTILE D'ESERCIZIO"),IF((ROW())&gt;=COPIA!$BL$1,CONCATENATE((INDIRECT(ADDRESS(ROW()-COPIA!$BM$1,131,4,,"COPIA")))),COPIA!EJ9))</f>
        <v/>
      </c>
      <c r="E16" s="81" t="str">
        <f ca="1">IFERROR(IF(AND(ROW()&lt;=COPIA!$BL$1,COPIA!EK9&lt;&gt;0),COPIA!EK9,IF(AND(ROW()&gt;COPIA!$BL$1,INDEX(COPIA!$EA$2:$EC$200,MATCH('SIT.PATR._SIT.ECON.'!D16,COPIA!$EA$2:$EA$200,0),3)&lt;&gt;0),INDEX(COPIA!$EA$2:$EC$200,MATCH('SIT.PATR._SIT.ECON.'!D16,COPIA!$EA$2:$EA$200,0),3),"")),"")</f>
        <v/>
      </c>
      <c r="F16" s="18"/>
      <c r="G16" s="111"/>
      <c r="H16" s="40"/>
    </row>
    <row r="17" spans="1:8" ht="15.9" customHeight="1" x14ac:dyDescent="0.3">
      <c r="A17" s="7" t="str">
        <f t="shared" ca="1" si="1"/>
        <v/>
      </c>
      <c r="B17" s="72" t="str">
        <f ca="1">IF(AND(COPIA!$CP$1=TRUE,IF((ROW())&gt;=COPIA!$BL$1,INDIRECT(ADDRESS(ROW()-COPIA!$BM$1,10,4,,"COPIA")),COPIA!EF10)="SALDO ECONOMICO NEGATIVO"),REPLACE("SALDO ECONOMICO NEGATIVO",1,30,"PERDITA D'ESERCIZIO"),IF((ROW())&gt;=COPIA!$BL$1,INDIRECT(ADDRESS(ROW()-COPIA!$BM$1,10,4,,"COPIA")),COPIA!EF10))</f>
        <v/>
      </c>
      <c r="C17" s="78" t="str">
        <f ca="1">IFERROR(IF(AND(COPIA!EG10&lt;&gt;0,ROW()&lt;=COPIA!$BL$1),COPIA!EG10,IF(AND(ROW()&gt;COPIA!$BL$1,INDEX(COPIA!$J$2:$L$200,MATCH('SIT.PATR._SIT.ECON.'!B17,COPIA!$J$2:$J$200,0),3)&lt;&gt;0),INDEX(COPIA!$J$2:$L$200,MATCH('SIT.PATR._SIT.ECON.'!B17,COPIA!$J$2:$J$200,0),3),"")),"")</f>
        <v/>
      </c>
      <c r="D17" s="72" t="str">
        <f ca="1">IF(AND(COPIA!$CP$1=TRUE,IF((ROW())&gt;=COPIA!$BL$1,CONCATENATE((INDIRECT(ADDRESS(ROW()-COPIA!$BM$1,131,4,,"COPIA")))),COPIA!EJ10)="SALDO ECONOMICO POSITIVO"),REPLACE(IF((ROW())&gt;=COPIA!$BL$1,CONCATENATE((INDIRECT(ADDRESS(ROW()-COPIA!$BM$1,131,4,,"COPIA")))),COPIA!EJ10),1,30,"UTILE D'ESERCIZIO"),IF((ROW())&gt;=COPIA!$BL$1,CONCATENATE((INDIRECT(ADDRESS(ROW()-COPIA!$BM$1,131,4,,"COPIA")))),COPIA!EJ10))</f>
        <v/>
      </c>
      <c r="E17" s="81" t="str">
        <f ca="1">IFERROR(IF(AND(ROW()&lt;=COPIA!$BL$1,COPIA!EK10&lt;&gt;0),COPIA!EK10,IF(AND(ROW()&gt;COPIA!$BL$1,INDEX(COPIA!$EA$2:$EC$200,MATCH('SIT.PATR._SIT.ECON.'!D17,COPIA!$EA$2:$EA$200,0),3)&lt;&gt;0),INDEX(COPIA!$EA$2:$EC$200,MATCH('SIT.PATR._SIT.ECON.'!D17,COPIA!$EA$2:$EA$200,0),3),"")),"")</f>
        <v/>
      </c>
      <c r="F17" s="18"/>
      <c r="G17" s="111"/>
      <c r="H17" s="34"/>
    </row>
    <row r="18" spans="1:8" ht="15.9" customHeight="1" x14ac:dyDescent="0.3">
      <c r="A18" s="7" t="str">
        <f t="shared" ca="1" si="1"/>
        <v/>
      </c>
      <c r="B18" s="72" t="str">
        <f ca="1">IF(AND(COPIA!$CP$1=TRUE,IF((ROW())&gt;=COPIA!$BL$1,INDIRECT(ADDRESS(ROW()-COPIA!$BM$1,10,4,,"COPIA")),COPIA!EF11)="SALDO ECONOMICO NEGATIVO"),REPLACE("SALDO ECONOMICO NEGATIVO",1,30,"PERDITA D'ESERCIZIO"),IF((ROW())&gt;=COPIA!$BL$1,INDIRECT(ADDRESS(ROW()-COPIA!$BM$1,10,4,,"COPIA")),COPIA!EF11))</f>
        <v/>
      </c>
      <c r="C18" s="78" t="str">
        <f ca="1">IFERROR(IF(AND(COPIA!EG11&lt;&gt;0,ROW()&lt;=COPIA!$BL$1),COPIA!EG11,IF(AND(ROW()&gt;COPIA!$BL$1,INDEX(COPIA!$J$2:$L$200,MATCH('SIT.PATR._SIT.ECON.'!B18,COPIA!$J$2:$J$200,0),3)&lt;&gt;0),INDEX(COPIA!$J$2:$L$200,MATCH('SIT.PATR._SIT.ECON.'!B18,COPIA!$J$2:$J$200,0),3),"")),"")</f>
        <v/>
      </c>
      <c r="D18" s="72" t="str">
        <f ca="1">IF(AND(COPIA!$CP$1=TRUE,IF((ROW())&gt;=COPIA!$BL$1,CONCATENATE((INDIRECT(ADDRESS(ROW()-COPIA!$BM$1,131,4,,"COPIA")))),COPIA!EJ11)="SALDO ECONOMICO POSITIVO"),REPLACE(IF((ROW())&gt;=COPIA!$BL$1,CONCATENATE((INDIRECT(ADDRESS(ROW()-COPIA!$BM$1,131,4,,"COPIA")))),COPIA!EJ11),1,30,"UTILE D'ESERCIZIO"),IF((ROW())&gt;=COPIA!$BL$1,CONCATENATE((INDIRECT(ADDRESS(ROW()-COPIA!$BM$1,131,4,,"COPIA")))),COPIA!EJ11))</f>
        <v/>
      </c>
      <c r="E18" s="81" t="str">
        <f ca="1">IFERROR(IF(AND(ROW()&lt;=COPIA!$BL$1,COPIA!EK11&lt;&gt;0),COPIA!EK11,IF(AND(ROW()&gt;COPIA!$BL$1,INDEX(COPIA!$EA$2:$EC$200,MATCH('SIT.PATR._SIT.ECON.'!D18,COPIA!$EA$2:$EA$200,0),3)&lt;&gt;0),INDEX(COPIA!$EA$2:$EC$200,MATCH('SIT.PATR._SIT.ECON.'!D18,COPIA!$EA$2:$EA$200,0),3),"")),"")</f>
        <v/>
      </c>
      <c r="F18" s="18"/>
      <c r="G18" s="34"/>
    </row>
    <row r="19" spans="1:8" ht="15.9" customHeight="1" x14ac:dyDescent="0.3">
      <c r="A19" s="7" t="str">
        <f t="shared" ca="1" si="1"/>
        <v/>
      </c>
      <c r="B19" s="72" t="str">
        <f ca="1">IF(AND(COPIA!$CP$1=TRUE,IF((ROW())&gt;=COPIA!$BL$1,INDIRECT(ADDRESS(ROW()-COPIA!$BM$1,10,4,,"COPIA")),COPIA!EF12)="SALDO ECONOMICO NEGATIVO"),REPLACE("SALDO ECONOMICO NEGATIVO",1,30,"PERDITA D'ESERCIZIO"),IF((ROW())&gt;=COPIA!$BL$1,INDIRECT(ADDRESS(ROW()-COPIA!$BM$1,10,4,,"COPIA")),COPIA!EF12))</f>
        <v/>
      </c>
      <c r="C19" s="78" t="str">
        <f ca="1">IFERROR(IF(AND(COPIA!EG12&lt;&gt;0,ROW()&lt;=COPIA!$BL$1),COPIA!EG12,IF(AND(ROW()&gt;COPIA!$BL$1,INDEX(COPIA!$J$2:$L$200,MATCH('SIT.PATR._SIT.ECON.'!B19,COPIA!$J$2:$J$200,0),3)&lt;&gt;0),INDEX(COPIA!$J$2:$L$200,MATCH('SIT.PATR._SIT.ECON.'!B19,COPIA!$J$2:$J$200,0),3),"")),"")</f>
        <v/>
      </c>
      <c r="D19" s="72" t="str">
        <f ca="1">IF(AND(COPIA!$CP$1=TRUE,IF((ROW())&gt;=COPIA!$BL$1,CONCATENATE((INDIRECT(ADDRESS(ROW()-COPIA!$BM$1,131,4,,"COPIA")))),COPIA!EJ12)="SALDO ECONOMICO POSITIVO"),REPLACE(IF((ROW())&gt;=COPIA!$BL$1,CONCATENATE((INDIRECT(ADDRESS(ROW()-COPIA!$BM$1,131,4,,"COPIA")))),COPIA!EJ12),1,30,"UTILE D'ESERCIZIO"),IF((ROW())&gt;=COPIA!$BL$1,CONCATENATE((INDIRECT(ADDRESS(ROW()-COPIA!$BM$1,131,4,,"COPIA")))),COPIA!EJ12))</f>
        <v/>
      </c>
      <c r="E19" s="81" t="str">
        <f ca="1">IFERROR(IF(AND(ROW()&lt;=COPIA!$BL$1,COPIA!EK12&lt;&gt;0),COPIA!EK12,IF(AND(ROW()&gt;COPIA!$BL$1,INDEX(COPIA!$EA$2:$EC$200,MATCH('SIT.PATR._SIT.ECON.'!D19,COPIA!$EA$2:$EA$200,0),3)&lt;&gt;0),INDEX(COPIA!$EA$2:$EC$200,MATCH('SIT.PATR._SIT.ECON.'!D19,COPIA!$EA$2:$EA$200,0),3),"")),"")</f>
        <v/>
      </c>
      <c r="F19" s="18"/>
      <c r="G19" s="34"/>
    </row>
    <row r="20" spans="1:8" ht="15.9" customHeight="1" x14ac:dyDescent="0.3">
      <c r="A20" s="7" t="str">
        <f t="shared" ca="1" si="1"/>
        <v/>
      </c>
      <c r="B20" s="72" t="str">
        <f ca="1">IF(AND(COPIA!$CP$1=TRUE,IF((ROW())&gt;=COPIA!$BL$1,INDIRECT(ADDRESS(ROW()-COPIA!$BM$1,10,4,,"COPIA")),COPIA!EF13)="SALDO ECONOMICO NEGATIVO"),REPLACE("SALDO ECONOMICO NEGATIVO",1,30,"PERDITA D'ESERCIZIO"),IF((ROW())&gt;=COPIA!$BL$1,INDIRECT(ADDRESS(ROW()-COPIA!$BM$1,10,4,,"COPIA")),COPIA!EF13))</f>
        <v/>
      </c>
      <c r="C20" s="78" t="str">
        <f ca="1">IFERROR(IF(AND(COPIA!EG13&lt;&gt;0,ROW()&lt;=COPIA!$BL$1),COPIA!EG13,IF(AND(ROW()&gt;COPIA!$BL$1,INDEX(COPIA!$J$2:$L$200,MATCH('SIT.PATR._SIT.ECON.'!B20,COPIA!$J$2:$J$200,0),3)&lt;&gt;0),INDEX(COPIA!$J$2:$L$200,MATCH('SIT.PATR._SIT.ECON.'!B20,COPIA!$J$2:$J$200,0),3),"")),"")</f>
        <v/>
      </c>
      <c r="D20" s="72" t="str">
        <f ca="1">IF(AND(COPIA!$CP$1=TRUE,IF((ROW())&gt;=COPIA!$BL$1,CONCATENATE((INDIRECT(ADDRESS(ROW()-COPIA!$BM$1,131,4,,"COPIA")))),COPIA!EJ13)="SALDO ECONOMICO POSITIVO"),REPLACE(IF((ROW())&gt;=COPIA!$BL$1,CONCATENATE((INDIRECT(ADDRESS(ROW()-COPIA!$BM$1,131,4,,"COPIA")))),COPIA!EJ13),1,30,"UTILE D'ESERCIZIO"),IF((ROW())&gt;=COPIA!$BL$1,CONCATENATE((INDIRECT(ADDRESS(ROW()-COPIA!$BM$1,131,4,,"COPIA")))),COPIA!EJ13))</f>
        <v/>
      </c>
      <c r="E20" s="81" t="str">
        <f ca="1">IFERROR(IF(AND(ROW()&lt;=COPIA!$BL$1,COPIA!EK13&lt;&gt;0),COPIA!EK13,IF(AND(ROW()&gt;COPIA!$BL$1,INDEX(COPIA!$EA$2:$EC$200,MATCH('SIT.PATR._SIT.ECON.'!D20,COPIA!$EA$2:$EA$200,0),3)&lt;&gt;0),INDEX(COPIA!$EA$2:$EC$200,MATCH('SIT.PATR._SIT.ECON.'!D20,COPIA!$EA$2:$EA$200,0),3),"")),"")</f>
        <v/>
      </c>
      <c r="F20" s="18"/>
    </row>
    <row r="21" spans="1:8" ht="15.9" customHeight="1" x14ac:dyDescent="0.3">
      <c r="A21" s="7" t="str">
        <f t="shared" ca="1" si="1"/>
        <v/>
      </c>
      <c r="B21" s="72" t="str">
        <f ca="1">IF(AND(COPIA!$CP$1=TRUE,IF((ROW())&gt;=COPIA!$BL$1,INDIRECT(ADDRESS(ROW()-COPIA!$BM$1,10,4,,"COPIA")),COPIA!EF14)="SALDO ECONOMICO NEGATIVO"),REPLACE("SALDO ECONOMICO NEGATIVO",1,30,"PERDITA D'ESERCIZIO"),IF((ROW())&gt;=COPIA!$BL$1,INDIRECT(ADDRESS(ROW()-COPIA!$BM$1,10,4,,"COPIA")),COPIA!EF14))</f>
        <v/>
      </c>
      <c r="C21" s="78" t="str">
        <f ca="1">IFERROR(IF(AND(COPIA!EG14&lt;&gt;0,ROW()&lt;=COPIA!$BL$1),COPIA!EG14,IF(AND(ROW()&gt;COPIA!$BL$1,INDEX(COPIA!$J$2:$L$200,MATCH('SIT.PATR._SIT.ECON.'!B21,COPIA!$J$2:$J$200,0),3)&lt;&gt;0),INDEX(COPIA!$J$2:$L$200,MATCH('SIT.PATR._SIT.ECON.'!B21,COPIA!$J$2:$J$200,0),3),"")),"")</f>
        <v/>
      </c>
      <c r="D21" s="72" t="str">
        <f ca="1">IF(AND(COPIA!$CP$1=TRUE,IF((ROW())&gt;=COPIA!$BL$1,CONCATENATE((INDIRECT(ADDRESS(ROW()-COPIA!$BM$1,131,4,,"COPIA")))),COPIA!EJ14)="SALDO ECONOMICO POSITIVO"),REPLACE(IF((ROW())&gt;=COPIA!$BL$1,CONCATENATE((INDIRECT(ADDRESS(ROW()-COPIA!$BM$1,131,4,,"COPIA")))),COPIA!EJ14),1,30,"UTILE D'ESERCIZIO"),IF((ROW())&gt;=COPIA!$BL$1,CONCATENATE((INDIRECT(ADDRESS(ROW()-COPIA!$BM$1,131,4,,"COPIA")))),COPIA!EJ14))</f>
        <v/>
      </c>
      <c r="E21" s="81" t="str">
        <f ca="1">IFERROR(IF(AND(ROW()&lt;=COPIA!$BL$1,COPIA!EK14&lt;&gt;0),COPIA!EK14,IF(AND(ROW()&gt;COPIA!$BL$1,INDEX(COPIA!$EA$2:$EC$200,MATCH('SIT.PATR._SIT.ECON.'!D21,COPIA!$EA$2:$EA$200,0),3)&lt;&gt;0),INDEX(COPIA!$EA$2:$EC$200,MATCH('SIT.PATR._SIT.ECON.'!D21,COPIA!$EA$2:$EA$200,0),3),"")),"")</f>
        <v/>
      </c>
      <c r="F21" s="18"/>
    </row>
    <row r="22" spans="1:8" ht="15.9" customHeight="1" x14ac:dyDescent="0.3">
      <c r="A22" s="7" t="str">
        <f t="shared" ca="1" si="1"/>
        <v/>
      </c>
      <c r="B22" s="72" t="str">
        <f ca="1">IF(AND(COPIA!$CP$1=TRUE,IF((ROW())&gt;=COPIA!$BL$1,INDIRECT(ADDRESS(ROW()-COPIA!$BM$1,10,4,,"COPIA")),COPIA!EF15)="SALDO ECONOMICO NEGATIVO"),REPLACE("SALDO ECONOMICO NEGATIVO",1,30,"PERDITA D'ESERCIZIO"),IF((ROW())&gt;=COPIA!$BL$1,INDIRECT(ADDRESS(ROW()-COPIA!$BM$1,10,4,,"COPIA")),COPIA!EF15))</f>
        <v/>
      </c>
      <c r="C22" s="78" t="str">
        <f ca="1">IFERROR(IF(AND(COPIA!EG15&lt;&gt;0,ROW()&lt;=COPIA!$BL$1),COPIA!EG15,IF(AND(ROW()&gt;COPIA!$BL$1,INDEX(COPIA!$J$2:$L$200,MATCH('SIT.PATR._SIT.ECON.'!B22,COPIA!$J$2:$J$200,0),3)&lt;&gt;0),INDEX(COPIA!$J$2:$L$200,MATCH('SIT.PATR._SIT.ECON.'!B22,COPIA!$J$2:$J$200,0),3),"")),"")</f>
        <v/>
      </c>
      <c r="D22" s="72" t="str">
        <f ca="1">IF(AND(COPIA!$CP$1=TRUE,IF((ROW())&gt;=COPIA!$BL$1,CONCATENATE((INDIRECT(ADDRESS(ROW()-COPIA!$BM$1,131,4,,"COPIA")))),COPIA!EJ15)="SALDO ECONOMICO POSITIVO"),REPLACE(IF((ROW())&gt;=COPIA!$BL$1,CONCATENATE((INDIRECT(ADDRESS(ROW()-COPIA!$BM$1,131,4,,"COPIA")))),COPIA!EJ15),1,30,"UTILE D'ESERCIZIO"),IF((ROW())&gt;=COPIA!$BL$1,CONCATENATE((INDIRECT(ADDRESS(ROW()-COPIA!$BM$1,131,4,,"COPIA")))),COPIA!EJ15))</f>
        <v/>
      </c>
      <c r="E22" s="81" t="str">
        <f ca="1">IFERROR(IF(AND(ROW()&lt;=COPIA!$BL$1,COPIA!EK15&lt;&gt;0),COPIA!EK15,IF(AND(ROW()&gt;COPIA!$BL$1,INDEX(COPIA!$EA$2:$EC$200,MATCH('SIT.PATR._SIT.ECON.'!D22,COPIA!$EA$2:$EA$200,0),3)&lt;&gt;0),INDEX(COPIA!$EA$2:$EC$200,MATCH('SIT.PATR._SIT.ECON.'!D22,COPIA!$EA$2:$EA$200,0),3),"")),"")</f>
        <v/>
      </c>
      <c r="F22" s="18"/>
    </row>
    <row r="23" spans="1:8" ht="15.9" customHeight="1" x14ac:dyDescent="0.3">
      <c r="A23" s="7" t="str">
        <f t="shared" ca="1" si="1"/>
        <v/>
      </c>
      <c r="B23" s="72" t="str">
        <f ca="1">IF(AND(COPIA!$CP$1=TRUE,IF((ROW())&gt;=COPIA!$BL$1,INDIRECT(ADDRESS(ROW()-COPIA!$BM$1,10,4,,"COPIA")),COPIA!EF16)="SALDO ECONOMICO NEGATIVO"),REPLACE("SALDO ECONOMICO NEGATIVO",1,30,"PERDITA D'ESERCIZIO"),IF((ROW())&gt;=COPIA!$BL$1,INDIRECT(ADDRESS(ROW()-COPIA!$BM$1,10,4,,"COPIA")),COPIA!EF16))</f>
        <v/>
      </c>
      <c r="C23" s="78" t="str">
        <f ca="1">IFERROR(IF(AND(COPIA!EG16&lt;&gt;0,ROW()&lt;=COPIA!$BL$1),COPIA!EG16,IF(AND(ROW()&gt;COPIA!$BL$1,INDEX(COPIA!$J$2:$L$200,MATCH('SIT.PATR._SIT.ECON.'!B23,COPIA!$J$2:$J$200,0),3)&lt;&gt;0),INDEX(COPIA!$J$2:$L$200,MATCH('SIT.PATR._SIT.ECON.'!B23,COPIA!$J$2:$J$200,0),3),"")),"")</f>
        <v/>
      </c>
      <c r="D23" s="72" t="str">
        <f ca="1">IF(AND(COPIA!$CP$1=TRUE,IF((ROW())&gt;=COPIA!$BL$1,CONCATENATE((INDIRECT(ADDRESS(ROW()-COPIA!$BM$1,131,4,,"COPIA")))),COPIA!EJ16)="SALDO ECONOMICO POSITIVO"),REPLACE(IF((ROW())&gt;=COPIA!$BL$1,CONCATENATE((INDIRECT(ADDRESS(ROW()-COPIA!$BM$1,131,4,,"COPIA")))),COPIA!EJ16),1,30,"UTILE D'ESERCIZIO"),IF((ROW())&gt;=COPIA!$BL$1,CONCATENATE((INDIRECT(ADDRESS(ROW()-COPIA!$BM$1,131,4,,"COPIA")))),COPIA!EJ16))</f>
        <v/>
      </c>
      <c r="E23" s="81" t="str">
        <f ca="1">IFERROR(IF(AND(ROW()&lt;=COPIA!$BL$1,COPIA!EK16&lt;&gt;0),COPIA!EK16,IF(AND(ROW()&gt;COPIA!$BL$1,INDEX(COPIA!$EA$2:$EC$200,MATCH('SIT.PATR._SIT.ECON.'!D23,COPIA!$EA$2:$EA$200,0),3)&lt;&gt;0),INDEX(COPIA!$EA$2:$EC$200,MATCH('SIT.PATR._SIT.ECON.'!D23,COPIA!$EA$2:$EA$200,0),3),"")),"")</f>
        <v/>
      </c>
      <c r="F23" s="18"/>
    </row>
    <row r="24" spans="1:8" ht="15.9" customHeight="1" x14ac:dyDescent="0.3">
      <c r="A24" s="7" t="str">
        <f t="shared" ca="1" si="1"/>
        <v/>
      </c>
      <c r="B24" s="72" t="str">
        <f ca="1">IF(AND(COPIA!$CP$1=TRUE,IF((ROW())&gt;=COPIA!$BL$1,INDIRECT(ADDRESS(ROW()-COPIA!$BM$1,10,4,,"COPIA")),COPIA!EF17)="SALDO ECONOMICO NEGATIVO"),REPLACE("SALDO ECONOMICO NEGATIVO",1,30,"PERDITA D'ESERCIZIO"),IF((ROW())&gt;=COPIA!$BL$1,INDIRECT(ADDRESS(ROW()-COPIA!$BM$1,10,4,,"COPIA")),COPIA!EF17))</f>
        <v/>
      </c>
      <c r="C24" s="78" t="str">
        <f ca="1">IFERROR(IF(AND(COPIA!EG17&lt;&gt;0,ROW()&lt;=COPIA!$BL$1),COPIA!EG17,IF(AND(ROW()&gt;COPIA!$BL$1,INDEX(COPIA!$J$2:$L$200,MATCH('SIT.PATR._SIT.ECON.'!B24,COPIA!$J$2:$J$200,0),3)&lt;&gt;0),INDEX(COPIA!$J$2:$L$200,MATCH('SIT.PATR._SIT.ECON.'!B24,COPIA!$J$2:$J$200,0),3),"")),"")</f>
        <v/>
      </c>
      <c r="D24" s="72" t="str">
        <f ca="1">IF(AND(COPIA!$CP$1=TRUE,IF((ROW())&gt;=COPIA!$BL$1,CONCATENATE((INDIRECT(ADDRESS(ROW()-COPIA!$BM$1,131,4,,"COPIA")))),COPIA!EJ17)="SALDO ECONOMICO POSITIVO"),REPLACE(IF((ROW())&gt;=COPIA!$BL$1,CONCATENATE((INDIRECT(ADDRESS(ROW()-COPIA!$BM$1,131,4,,"COPIA")))),COPIA!EJ17),1,30,"UTILE D'ESERCIZIO"),IF((ROW())&gt;=COPIA!$BL$1,CONCATENATE((INDIRECT(ADDRESS(ROW()-COPIA!$BM$1,131,4,,"COPIA")))),COPIA!EJ17))</f>
        <v/>
      </c>
      <c r="E24" s="81" t="str">
        <f ca="1">IFERROR(IF(AND(ROW()&lt;=COPIA!$BL$1,COPIA!EK17&lt;&gt;0),COPIA!EK17,IF(AND(ROW()&gt;COPIA!$BL$1,INDEX(COPIA!$EA$2:$EC$200,MATCH('SIT.PATR._SIT.ECON.'!D24,COPIA!$EA$2:$EA$200,0),3)&lt;&gt;0),INDEX(COPIA!$EA$2:$EC$200,MATCH('SIT.PATR._SIT.ECON.'!D24,COPIA!$EA$2:$EA$200,0),3),"")),"")</f>
        <v/>
      </c>
      <c r="F24" s="18"/>
    </row>
    <row r="25" spans="1:8" ht="15.9" customHeight="1" x14ac:dyDescent="0.3">
      <c r="A25" s="7" t="str">
        <f t="shared" ca="1" si="1"/>
        <v/>
      </c>
      <c r="B25" s="72" t="str">
        <f ca="1">IF(AND(COPIA!$CP$1=TRUE,IF((ROW())&gt;=COPIA!$BL$1,INDIRECT(ADDRESS(ROW()-COPIA!$BM$1,10,4,,"COPIA")),COPIA!EF18)="SALDO ECONOMICO NEGATIVO"),REPLACE("SALDO ECONOMICO NEGATIVO",1,30,"PERDITA D'ESERCIZIO"),IF((ROW())&gt;=COPIA!$BL$1,INDIRECT(ADDRESS(ROW()-COPIA!$BM$1,10,4,,"COPIA")),COPIA!EF18))</f>
        <v/>
      </c>
      <c r="C25" s="78" t="str">
        <f ca="1">IFERROR(IF(AND(COPIA!EG18&lt;&gt;0,ROW()&lt;=COPIA!$BL$1),COPIA!EG18,IF(AND(ROW()&gt;COPIA!$BL$1,INDEX(COPIA!$J$2:$L$200,MATCH('SIT.PATR._SIT.ECON.'!B25,COPIA!$J$2:$J$200,0),3)&lt;&gt;0),INDEX(COPIA!$J$2:$L$200,MATCH('SIT.PATR._SIT.ECON.'!B25,COPIA!$J$2:$J$200,0),3),"")),"")</f>
        <v/>
      </c>
      <c r="D25" s="72" t="str">
        <f ca="1">IF(AND(COPIA!$CP$1=TRUE,IF((ROW())&gt;=COPIA!$BL$1,CONCATENATE((INDIRECT(ADDRESS(ROW()-COPIA!$BM$1,131,4,,"COPIA")))),COPIA!EJ18)="SALDO ECONOMICO POSITIVO"),REPLACE(IF((ROW())&gt;=COPIA!$BL$1,CONCATENATE((INDIRECT(ADDRESS(ROW()-COPIA!$BM$1,131,4,,"COPIA")))),COPIA!EJ18),1,30,"UTILE D'ESERCIZIO"),IF((ROW())&gt;=COPIA!$BL$1,CONCATENATE((INDIRECT(ADDRESS(ROW()-COPIA!$BM$1,131,4,,"COPIA")))),COPIA!EJ18))</f>
        <v/>
      </c>
      <c r="E25" s="81" t="str">
        <f ca="1">IFERROR(IF(AND(ROW()&lt;=COPIA!$BL$1,COPIA!EK18&lt;&gt;0),COPIA!EK18,IF(AND(ROW()&gt;COPIA!$BL$1,INDEX(COPIA!$EA$2:$EC$200,MATCH('SIT.PATR._SIT.ECON.'!D25,COPIA!$EA$2:$EA$200,0),3)&lt;&gt;0),INDEX(COPIA!$EA$2:$EC$200,MATCH('SIT.PATR._SIT.ECON.'!D25,COPIA!$EA$2:$EA$200,0),3),"")),"")</f>
        <v/>
      </c>
      <c r="F25" s="18"/>
    </row>
    <row r="26" spans="1:8" ht="15.9" customHeight="1" x14ac:dyDescent="0.3">
      <c r="A26" s="7" t="str">
        <f t="shared" ca="1" si="1"/>
        <v/>
      </c>
      <c r="B26" s="72" t="str">
        <f ca="1">IF(AND(COPIA!$CP$1=TRUE,IF((ROW())&gt;=COPIA!$BL$1,INDIRECT(ADDRESS(ROW()-COPIA!$BM$1,10,4,,"COPIA")),COPIA!EF19)="SALDO ECONOMICO NEGATIVO"),REPLACE("SALDO ECONOMICO NEGATIVO",1,30,"PERDITA D'ESERCIZIO"),IF((ROW())&gt;=COPIA!$BL$1,INDIRECT(ADDRESS(ROW()-COPIA!$BM$1,10,4,,"COPIA")),COPIA!EF19))</f>
        <v/>
      </c>
      <c r="C26" s="78" t="str">
        <f ca="1">IFERROR(IF(AND(COPIA!EG19&lt;&gt;0,ROW()&lt;=COPIA!$BL$1),COPIA!EG19,IF(AND(ROW()&gt;COPIA!$BL$1,INDEX(COPIA!$J$2:$L$200,MATCH('SIT.PATR._SIT.ECON.'!B26,COPIA!$J$2:$J$200,0),3)&lt;&gt;0),INDEX(COPIA!$J$2:$L$200,MATCH('SIT.PATR._SIT.ECON.'!B26,COPIA!$J$2:$J$200,0),3),"")),"")</f>
        <v/>
      </c>
      <c r="D26" s="72" t="str">
        <f ca="1">IF(AND(COPIA!$CP$1=TRUE,IF((ROW())&gt;=COPIA!$BL$1,CONCATENATE((INDIRECT(ADDRESS(ROW()-COPIA!$BM$1,131,4,,"COPIA")))),COPIA!EJ19)="SALDO ECONOMICO POSITIVO"),REPLACE(IF((ROW())&gt;=COPIA!$BL$1,CONCATENATE((INDIRECT(ADDRESS(ROW()-COPIA!$BM$1,131,4,,"COPIA")))),COPIA!EJ19),1,30,"UTILE D'ESERCIZIO"),IF((ROW())&gt;=COPIA!$BL$1,CONCATENATE((INDIRECT(ADDRESS(ROW()-COPIA!$BM$1,131,4,,"COPIA")))),COPIA!EJ19))</f>
        <v/>
      </c>
      <c r="E26" s="81" t="str">
        <f ca="1">IFERROR(IF(AND(ROW()&lt;=COPIA!$BL$1,COPIA!EK19&lt;&gt;0),COPIA!EK19,IF(AND(ROW()&gt;COPIA!$BL$1,INDEX(COPIA!$EA$2:$EC$200,MATCH('SIT.PATR._SIT.ECON.'!D26,COPIA!$EA$2:$EA$200,0),3)&lt;&gt;0),INDEX(COPIA!$EA$2:$EC$200,MATCH('SIT.PATR._SIT.ECON.'!D26,COPIA!$EA$2:$EA$200,0),3),"")),"")</f>
        <v/>
      </c>
      <c r="F26" s="18"/>
    </row>
    <row r="27" spans="1:8" ht="15.9" customHeight="1" x14ac:dyDescent="0.3">
      <c r="A27" s="7" t="str">
        <f t="shared" ca="1" si="1"/>
        <v/>
      </c>
      <c r="B27" s="72" t="str">
        <f ca="1">IF(AND(COPIA!$CP$1=TRUE,IF((ROW())&gt;=COPIA!$BL$1,INDIRECT(ADDRESS(ROW()-COPIA!$BM$1,10,4,,"COPIA")),COPIA!EF20)="SALDO ECONOMICO NEGATIVO"),REPLACE("SALDO ECONOMICO NEGATIVO",1,30,"PERDITA D'ESERCIZIO"),IF((ROW())&gt;=COPIA!$BL$1,INDIRECT(ADDRESS(ROW()-COPIA!$BM$1,10,4,,"COPIA")),COPIA!EF20))</f>
        <v/>
      </c>
      <c r="C27" s="78" t="str">
        <f ca="1">IFERROR(IF(AND(COPIA!EG20&lt;&gt;0,ROW()&lt;=COPIA!$BL$1),COPIA!EG20,IF(AND(ROW()&gt;COPIA!$BL$1,INDEX(COPIA!$J$2:$L$200,MATCH('SIT.PATR._SIT.ECON.'!B27,COPIA!$J$2:$J$200,0),3)&lt;&gt;0),INDEX(COPIA!$J$2:$L$200,MATCH('SIT.PATR._SIT.ECON.'!B27,COPIA!$J$2:$J$200,0),3),"")),"")</f>
        <v/>
      </c>
      <c r="D27" s="72" t="str">
        <f ca="1">IF(AND(COPIA!$CP$1=TRUE,IF((ROW())&gt;=COPIA!$BL$1,CONCATENATE((INDIRECT(ADDRESS(ROW()-COPIA!$BM$1,131,4,,"COPIA")))),COPIA!EJ20)="SALDO ECONOMICO POSITIVO"),REPLACE(IF((ROW())&gt;=COPIA!$BL$1,CONCATENATE((INDIRECT(ADDRESS(ROW()-COPIA!$BM$1,131,4,,"COPIA")))),COPIA!EJ20),1,30,"UTILE D'ESERCIZIO"),IF((ROW())&gt;=COPIA!$BL$1,CONCATENATE((INDIRECT(ADDRESS(ROW()-COPIA!$BM$1,131,4,,"COPIA")))),COPIA!EJ20))</f>
        <v/>
      </c>
      <c r="E27" s="81" t="str">
        <f ca="1">IFERROR(IF(AND(ROW()&lt;=COPIA!$BL$1,COPIA!EK20&lt;&gt;0),COPIA!EK20,IF(AND(ROW()&gt;COPIA!$BL$1,INDEX(COPIA!$EA$2:$EC$200,MATCH('SIT.PATR._SIT.ECON.'!D27,COPIA!$EA$2:$EA$200,0),3)&lt;&gt;0),INDEX(COPIA!$EA$2:$EC$200,MATCH('SIT.PATR._SIT.ECON.'!D27,COPIA!$EA$2:$EA$200,0),3),"")),"")</f>
        <v/>
      </c>
      <c r="F27" s="18"/>
    </row>
    <row r="28" spans="1:8" ht="15.9" customHeight="1" x14ac:dyDescent="0.3">
      <c r="A28" s="7" t="str">
        <f t="shared" ca="1" si="1"/>
        <v/>
      </c>
      <c r="B28" s="72" t="str">
        <f ca="1">IF(AND(COPIA!$CP$1=TRUE,IF((ROW())&gt;=COPIA!$BL$1,INDIRECT(ADDRESS(ROW()-COPIA!$BM$1,10,4,,"COPIA")),COPIA!EF21)="SALDO ECONOMICO NEGATIVO"),REPLACE("SALDO ECONOMICO NEGATIVO",1,30,"PERDITA D'ESERCIZIO"),IF((ROW())&gt;=COPIA!$BL$1,INDIRECT(ADDRESS(ROW()-COPIA!$BM$1,10,4,,"COPIA")),COPIA!EF21))</f>
        <v/>
      </c>
      <c r="C28" s="78" t="str">
        <f ca="1">IFERROR(IF(AND(COPIA!EG21&lt;&gt;0,ROW()&lt;=COPIA!$BL$1),COPIA!EG21,IF(AND(ROW()&gt;COPIA!$BL$1,INDEX(COPIA!$J$2:$L$200,MATCH('SIT.PATR._SIT.ECON.'!B28,COPIA!$J$2:$J$200,0),3)&lt;&gt;0),INDEX(COPIA!$J$2:$L$200,MATCH('SIT.PATR._SIT.ECON.'!B28,COPIA!$J$2:$J$200,0),3),"")),"")</f>
        <v/>
      </c>
      <c r="D28" s="72" t="str">
        <f ca="1">IF(AND(COPIA!$CP$1=TRUE,IF((ROW())&gt;=COPIA!$BL$1,CONCATENATE((INDIRECT(ADDRESS(ROW()-COPIA!$BM$1,131,4,,"COPIA")))),COPIA!EJ21)="SALDO ECONOMICO POSITIVO"),REPLACE(IF((ROW())&gt;=COPIA!$BL$1,CONCATENATE((INDIRECT(ADDRESS(ROW()-COPIA!$BM$1,131,4,,"COPIA")))),COPIA!EJ21),1,30,"UTILE D'ESERCIZIO"),IF((ROW())&gt;=COPIA!$BL$1,CONCATENATE((INDIRECT(ADDRESS(ROW()-COPIA!$BM$1,131,4,,"COPIA")))),COPIA!EJ21))</f>
        <v/>
      </c>
      <c r="E28" s="81" t="str">
        <f ca="1">IFERROR(IF(AND(ROW()&lt;=COPIA!$BL$1,COPIA!EK21&lt;&gt;0),COPIA!EK21,IF(AND(ROW()&gt;COPIA!$BL$1,INDEX(COPIA!$EA$2:$EC$200,MATCH('SIT.PATR._SIT.ECON.'!D28,COPIA!$EA$2:$EA$200,0),3)&lt;&gt;0),INDEX(COPIA!$EA$2:$EC$200,MATCH('SIT.PATR._SIT.ECON.'!D28,COPIA!$EA$2:$EA$200,0),3),"")),"")</f>
        <v/>
      </c>
      <c r="F28" s="18"/>
    </row>
    <row r="29" spans="1:8" ht="15.9" customHeight="1" x14ac:dyDescent="0.3">
      <c r="A29" s="7" t="str">
        <f t="shared" ca="1" si="1"/>
        <v/>
      </c>
      <c r="B29" s="72" t="str">
        <f ca="1">IF(AND(COPIA!$CP$1=TRUE,IF((ROW())&gt;=COPIA!$BL$1,INDIRECT(ADDRESS(ROW()-COPIA!$BM$1,10,4,,"COPIA")),COPIA!EF22)="SALDO ECONOMICO NEGATIVO"),REPLACE("SALDO ECONOMICO NEGATIVO",1,30,"PERDITA D'ESERCIZIO"),IF((ROW())&gt;=COPIA!$BL$1,INDIRECT(ADDRESS(ROW()-COPIA!$BM$1,10,4,,"COPIA")),COPIA!EF22))</f>
        <v/>
      </c>
      <c r="C29" s="78" t="str">
        <f ca="1">IFERROR(IF(AND(COPIA!EG22&lt;&gt;0,ROW()&lt;=COPIA!$BL$1),COPIA!EG22,IF(AND(ROW()&gt;COPIA!$BL$1,INDEX(COPIA!$J$2:$L$200,MATCH('SIT.PATR._SIT.ECON.'!B29,COPIA!$J$2:$J$200,0),3)&lt;&gt;0),INDEX(COPIA!$J$2:$L$200,MATCH('SIT.PATR._SIT.ECON.'!B29,COPIA!$J$2:$J$200,0),3),"")),"")</f>
        <v/>
      </c>
      <c r="D29" s="72" t="str">
        <f ca="1">IF(AND(COPIA!$CP$1=TRUE,IF((ROW())&gt;=COPIA!$BL$1,CONCATENATE((INDIRECT(ADDRESS(ROW()-COPIA!$BM$1,131,4,,"COPIA")))),COPIA!EJ22)="SALDO ECONOMICO POSITIVO"),REPLACE(IF((ROW())&gt;=COPIA!$BL$1,CONCATENATE((INDIRECT(ADDRESS(ROW()-COPIA!$BM$1,131,4,,"COPIA")))),COPIA!EJ22),1,30,"UTILE D'ESERCIZIO"),IF((ROW())&gt;=COPIA!$BL$1,CONCATENATE((INDIRECT(ADDRESS(ROW()-COPIA!$BM$1,131,4,,"COPIA")))),COPIA!EJ22))</f>
        <v/>
      </c>
      <c r="E29" s="81" t="str">
        <f ca="1">IFERROR(IF(AND(ROW()&lt;=COPIA!$BL$1,COPIA!EK22&lt;&gt;0),COPIA!EK22,IF(AND(ROW()&gt;COPIA!$BL$1,INDEX(COPIA!$EA$2:$EC$200,MATCH('SIT.PATR._SIT.ECON.'!D29,COPIA!$EA$2:$EA$200,0),3)&lt;&gt;0),INDEX(COPIA!$EA$2:$EC$200,MATCH('SIT.PATR._SIT.ECON.'!D29,COPIA!$EA$2:$EA$200,0),3),"")),"")</f>
        <v/>
      </c>
      <c r="F29" s="18"/>
    </row>
    <row r="30" spans="1:8" ht="15.9" customHeight="1" x14ac:dyDescent="0.3">
      <c r="A30" s="7" t="str">
        <f t="shared" ca="1" si="1"/>
        <v/>
      </c>
      <c r="B30" s="72" t="str">
        <f ca="1">IF(AND(COPIA!$CP$1=TRUE,IF((ROW())&gt;=COPIA!$BL$1,INDIRECT(ADDRESS(ROW()-COPIA!$BM$1,10,4,,"COPIA")),COPIA!EF23)="SALDO ECONOMICO NEGATIVO"),REPLACE("SALDO ECONOMICO NEGATIVO",1,30,"PERDITA D'ESERCIZIO"),IF((ROW())&gt;=COPIA!$BL$1,INDIRECT(ADDRESS(ROW()-COPIA!$BM$1,10,4,,"COPIA")),COPIA!EF23))</f>
        <v/>
      </c>
      <c r="C30" s="78" t="str">
        <f ca="1">IFERROR(IF(AND(COPIA!EG23&lt;&gt;0,ROW()&lt;=COPIA!$BL$1),COPIA!EG23,IF(AND(ROW()&gt;COPIA!$BL$1,INDEX(COPIA!$J$2:$L$200,MATCH('SIT.PATR._SIT.ECON.'!B30,COPIA!$J$2:$J$200,0),3)&lt;&gt;0),INDEX(COPIA!$J$2:$L$200,MATCH('SIT.PATR._SIT.ECON.'!B30,COPIA!$J$2:$J$200,0),3),"")),"")</f>
        <v/>
      </c>
      <c r="D30" s="72" t="str">
        <f ca="1">IF(AND(COPIA!$CP$1=TRUE,IF((ROW())&gt;=COPIA!$BL$1,CONCATENATE((INDIRECT(ADDRESS(ROW()-COPIA!$BM$1,131,4,,"COPIA")))),COPIA!EJ23)="SALDO ECONOMICO POSITIVO"),REPLACE(IF((ROW())&gt;=COPIA!$BL$1,CONCATENATE((INDIRECT(ADDRESS(ROW()-COPIA!$BM$1,131,4,,"COPIA")))),COPIA!EJ23),1,30,"UTILE D'ESERCIZIO"),IF((ROW())&gt;=COPIA!$BL$1,CONCATENATE((INDIRECT(ADDRESS(ROW()-COPIA!$BM$1,131,4,,"COPIA")))),COPIA!EJ23))</f>
        <v/>
      </c>
      <c r="E30" s="81" t="str">
        <f ca="1">IFERROR(IF(AND(ROW()&lt;=COPIA!$BL$1,COPIA!EK23&lt;&gt;0),COPIA!EK23,IF(AND(ROW()&gt;COPIA!$BL$1,INDEX(COPIA!$EA$2:$EC$200,MATCH('SIT.PATR._SIT.ECON.'!D30,COPIA!$EA$2:$EA$200,0),3)&lt;&gt;0),INDEX(COPIA!$EA$2:$EC$200,MATCH('SIT.PATR._SIT.ECON.'!D30,COPIA!$EA$2:$EA$200,0),3),"")),"")</f>
        <v/>
      </c>
      <c r="F30" s="18"/>
    </row>
    <row r="31" spans="1:8" ht="15.9" customHeight="1" x14ac:dyDescent="0.3">
      <c r="A31" s="7" t="str">
        <f t="shared" ca="1" si="1"/>
        <v/>
      </c>
      <c r="B31" s="72" t="str">
        <f ca="1">IF(AND(COPIA!$CP$1=TRUE,IF((ROW())&gt;=COPIA!$BL$1,INDIRECT(ADDRESS(ROW()-COPIA!$BM$1,10,4,,"COPIA")),COPIA!EF24)="SALDO ECONOMICO NEGATIVO"),REPLACE("SALDO ECONOMICO NEGATIVO",1,30,"PERDITA D'ESERCIZIO"),IF((ROW())&gt;=COPIA!$BL$1,INDIRECT(ADDRESS(ROW()-COPIA!$BM$1,10,4,,"COPIA")),COPIA!EF24))</f>
        <v/>
      </c>
      <c r="C31" s="78" t="str">
        <f ca="1">IFERROR(IF(AND(COPIA!EG24&lt;&gt;0,ROW()&lt;=COPIA!$BL$1),COPIA!EG24,IF(AND(ROW()&gt;COPIA!$BL$1,INDEX(COPIA!$J$2:$L$200,MATCH('SIT.PATR._SIT.ECON.'!B31,COPIA!$J$2:$J$200,0),3)&lt;&gt;0),INDEX(COPIA!$J$2:$L$200,MATCH('SIT.PATR._SIT.ECON.'!B31,COPIA!$J$2:$J$200,0),3),"")),"")</f>
        <v/>
      </c>
      <c r="D31" s="72" t="str">
        <f ca="1">IF(AND(COPIA!$CP$1=TRUE,IF((ROW())&gt;=COPIA!$BL$1,CONCATENATE((INDIRECT(ADDRESS(ROW()-COPIA!$BM$1,131,4,,"COPIA")))),COPIA!EJ24)="SALDO ECONOMICO POSITIVO"),REPLACE(IF((ROW())&gt;=COPIA!$BL$1,CONCATENATE((INDIRECT(ADDRESS(ROW()-COPIA!$BM$1,131,4,,"COPIA")))),COPIA!EJ24),1,30,"UTILE D'ESERCIZIO"),IF((ROW())&gt;=COPIA!$BL$1,CONCATENATE((INDIRECT(ADDRESS(ROW()-COPIA!$BM$1,131,4,,"COPIA")))),COPIA!EJ24))</f>
        <v/>
      </c>
      <c r="E31" s="81" t="str">
        <f ca="1">IFERROR(IF(AND(ROW()&lt;=COPIA!$BL$1,COPIA!EK24&lt;&gt;0),COPIA!EK24,IF(AND(ROW()&gt;COPIA!$BL$1,INDEX(COPIA!$EA$2:$EC$200,MATCH('SIT.PATR._SIT.ECON.'!D31,COPIA!$EA$2:$EA$200,0),3)&lt;&gt;0),INDEX(COPIA!$EA$2:$EC$200,MATCH('SIT.PATR._SIT.ECON.'!D31,COPIA!$EA$2:$EA$200,0),3),"")),"")</f>
        <v/>
      </c>
      <c r="F31" s="18"/>
      <c r="G31" s="34"/>
    </row>
    <row r="32" spans="1:8" ht="15.9" customHeight="1" x14ac:dyDescent="0.3">
      <c r="A32" s="7" t="str">
        <f t="shared" ca="1" si="1"/>
        <v/>
      </c>
      <c r="B32" s="72" t="str">
        <f ca="1">IF(AND(COPIA!$CP$1=TRUE,IF((ROW())&gt;=COPIA!$BL$1,INDIRECT(ADDRESS(ROW()-COPIA!$BM$1,10,4,,"COPIA")),COPIA!EF25)="SALDO ECONOMICO NEGATIVO"),REPLACE("SALDO ECONOMICO NEGATIVO",1,30,"PERDITA D'ESERCIZIO"),IF((ROW())&gt;=COPIA!$BL$1,INDIRECT(ADDRESS(ROW()-COPIA!$BM$1,10,4,,"COPIA")),COPIA!EF25))</f>
        <v/>
      </c>
      <c r="C32" s="78" t="str">
        <f ca="1">IFERROR(IF(AND(COPIA!EG25&lt;&gt;0,ROW()&lt;=COPIA!$BL$1),COPIA!EG25,IF(AND(ROW()&gt;COPIA!$BL$1,INDEX(COPIA!$J$2:$L$200,MATCH('SIT.PATR._SIT.ECON.'!B32,COPIA!$J$2:$J$200,0),3)&lt;&gt;0),INDEX(COPIA!$J$2:$L$200,MATCH('SIT.PATR._SIT.ECON.'!B32,COPIA!$J$2:$J$200,0),3),"")),"")</f>
        <v/>
      </c>
      <c r="D32" s="72" t="str">
        <f ca="1">IF(AND(COPIA!$CP$1=TRUE,IF((ROW())&gt;=COPIA!$BL$1,CONCATENATE((INDIRECT(ADDRESS(ROW()-COPIA!$BM$1,131,4,,"COPIA")))),COPIA!EJ25)="SALDO ECONOMICO POSITIVO"),REPLACE(IF((ROW())&gt;=COPIA!$BL$1,CONCATENATE((INDIRECT(ADDRESS(ROW()-COPIA!$BM$1,131,4,,"COPIA")))),COPIA!EJ25),1,30,"UTILE D'ESERCIZIO"),IF((ROW())&gt;=COPIA!$BL$1,CONCATENATE((INDIRECT(ADDRESS(ROW()-COPIA!$BM$1,131,4,,"COPIA")))),COPIA!EJ25))</f>
        <v/>
      </c>
      <c r="E32" s="81" t="str">
        <f ca="1">IFERROR(IF(AND(ROW()&lt;=COPIA!$BL$1,COPIA!EK25&lt;&gt;0),COPIA!EK25,IF(AND(ROW()&gt;COPIA!$BL$1,INDEX(COPIA!$EA$2:$EC$200,MATCH('SIT.PATR._SIT.ECON.'!D32,COPIA!$EA$2:$EA$200,0),3)&lt;&gt;0),INDEX(COPIA!$EA$2:$EC$200,MATCH('SIT.PATR._SIT.ECON.'!D32,COPIA!$EA$2:$EA$200,0),3),"")),"")</f>
        <v/>
      </c>
      <c r="F32" s="18"/>
      <c r="G32" s="35"/>
    </row>
    <row r="33" spans="1:8" ht="15.9" customHeight="1" x14ac:dyDescent="0.3">
      <c r="A33" s="7" t="str">
        <f t="shared" ca="1" si="1"/>
        <v/>
      </c>
      <c r="B33" s="72" t="str">
        <f ca="1">IF(AND(COPIA!$CP$1=TRUE,IF((ROW())&gt;=COPIA!$BL$1,INDIRECT(ADDRESS(ROW()-COPIA!$BM$1,10,4,,"COPIA")),COPIA!EF26)="SALDO ECONOMICO NEGATIVO"),REPLACE("SALDO ECONOMICO NEGATIVO",1,30,"PERDITA D'ESERCIZIO"),IF((ROW())&gt;=COPIA!$BL$1,INDIRECT(ADDRESS(ROW()-COPIA!$BM$1,10,4,,"COPIA")),COPIA!EF26))</f>
        <v/>
      </c>
      <c r="C33" s="78" t="str">
        <f ca="1">IFERROR(IF(AND(COPIA!EG26&lt;&gt;0,ROW()&lt;=COPIA!$BL$1),COPIA!EG26,IF(AND(ROW()&gt;COPIA!$BL$1,INDEX(COPIA!$J$2:$L$200,MATCH('SIT.PATR._SIT.ECON.'!B33,COPIA!$J$2:$J$200,0),3)&lt;&gt;0),INDEX(COPIA!$J$2:$L$200,MATCH('SIT.PATR._SIT.ECON.'!B33,COPIA!$J$2:$J$200,0),3),"")),"")</f>
        <v/>
      </c>
      <c r="D33" s="72" t="str">
        <f ca="1">IF(AND(COPIA!$CP$1=TRUE,IF((ROW())&gt;=COPIA!$BL$1,CONCATENATE((INDIRECT(ADDRESS(ROW()-COPIA!$BM$1,131,4,,"COPIA")))),COPIA!EJ26)="SALDO ECONOMICO POSITIVO"),REPLACE(IF((ROW())&gt;=COPIA!$BL$1,CONCATENATE((INDIRECT(ADDRESS(ROW()-COPIA!$BM$1,131,4,,"COPIA")))),COPIA!EJ26),1,30,"UTILE D'ESERCIZIO"),IF((ROW())&gt;=COPIA!$BL$1,CONCATENATE((INDIRECT(ADDRESS(ROW()-COPIA!$BM$1,131,4,,"COPIA")))),COPIA!EJ26))</f>
        <v/>
      </c>
      <c r="E33" s="81" t="str">
        <f ca="1">IFERROR(IF(AND(ROW()&lt;=COPIA!$BL$1,COPIA!EK26&lt;&gt;0),COPIA!EK26,IF(AND(ROW()&gt;COPIA!$BL$1,INDEX(COPIA!$EA$2:$EC$200,MATCH('SIT.PATR._SIT.ECON.'!D33,COPIA!$EA$2:$EA$200,0),3)&lt;&gt;0),INDEX(COPIA!$EA$2:$EC$200,MATCH('SIT.PATR._SIT.ECON.'!D33,COPIA!$EA$2:$EA$200,0),3),"")),"")</f>
        <v/>
      </c>
      <c r="F33" s="18"/>
      <c r="G33" s="35"/>
    </row>
    <row r="34" spans="1:8" ht="15.9" customHeight="1" x14ac:dyDescent="0.3">
      <c r="A34" s="7" t="str">
        <f t="shared" ca="1" si="1"/>
        <v/>
      </c>
      <c r="B34" s="72" t="str">
        <f ca="1">IF(AND(COPIA!$CP$1=TRUE,IF((ROW())&gt;=COPIA!$BL$1,INDIRECT(ADDRESS(ROW()-COPIA!$BM$1,10,4,,"COPIA")),COPIA!EF27)="SALDO ECONOMICO NEGATIVO"),REPLACE("SALDO ECONOMICO NEGATIVO",1,30,"PERDITA D'ESERCIZIO"),IF((ROW())&gt;=COPIA!$BL$1,INDIRECT(ADDRESS(ROW()-COPIA!$BM$1,10,4,,"COPIA")),COPIA!EF27))</f>
        <v/>
      </c>
      <c r="C34" s="78" t="str">
        <f ca="1">IFERROR(IF(AND(COPIA!EG27&lt;&gt;0,ROW()&lt;=COPIA!$BL$1),COPIA!EG27,IF(AND(ROW()&gt;COPIA!$BL$1,INDEX(COPIA!$J$2:$L$200,MATCH('SIT.PATR._SIT.ECON.'!B34,COPIA!$J$2:$J$200,0),3)&lt;&gt;0),INDEX(COPIA!$J$2:$L$200,MATCH('SIT.PATR._SIT.ECON.'!B34,COPIA!$J$2:$J$200,0),3),"")),"")</f>
        <v/>
      </c>
      <c r="D34" s="72" t="str">
        <f ca="1">IF(AND(COPIA!$CP$1=TRUE,IF((ROW())&gt;=COPIA!$BL$1,CONCATENATE((INDIRECT(ADDRESS(ROW()-COPIA!$BM$1,131,4,,"COPIA")))),COPIA!EJ27)="SALDO ECONOMICO POSITIVO"),REPLACE(IF((ROW())&gt;=COPIA!$BL$1,CONCATENATE((INDIRECT(ADDRESS(ROW()-COPIA!$BM$1,131,4,,"COPIA")))),COPIA!EJ27),1,30,"UTILE D'ESERCIZIO"),IF((ROW())&gt;=COPIA!$BL$1,CONCATENATE((INDIRECT(ADDRESS(ROW()-COPIA!$BM$1,131,4,,"COPIA")))),COPIA!EJ27))</f>
        <v/>
      </c>
      <c r="E34" s="81" t="str">
        <f ca="1">IFERROR(IF(AND(ROW()&lt;=COPIA!$BL$1,COPIA!EK27&lt;&gt;0),COPIA!EK27,IF(AND(ROW()&gt;COPIA!$BL$1,INDEX(COPIA!$EA$2:$EC$200,MATCH('SIT.PATR._SIT.ECON.'!D34,COPIA!$EA$2:$EA$200,0),3)&lt;&gt;0),INDEX(COPIA!$EA$2:$EC$200,MATCH('SIT.PATR._SIT.ECON.'!D34,COPIA!$EA$2:$EA$200,0),3),"")),"")</f>
        <v/>
      </c>
      <c r="F34" s="18"/>
      <c r="G34" s="35"/>
      <c r="H34" s="35"/>
    </row>
    <row r="35" spans="1:8" ht="15.9" customHeight="1" x14ac:dyDescent="0.3">
      <c r="A35" s="7" t="str">
        <f t="shared" ca="1" si="1"/>
        <v/>
      </c>
      <c r="B35" s="72" t="str">
        <f ca="1">IF(AND(COPIA!$CP$1=TRUE,IF((ROW())&gt;=COPIA!$BL$1,INDIRECT(ADDRESS(ROW()-COPIA!$BM$1,10,4,,"COPIA")),COPIA!EF28)="SALDO ECONOMICO NEGATIVO"),REPLACE("SALDO ECONOMICO NEGATIVO",1,30,"PERDITA D'ESERCIZIO"),IF((ROW())&gt;=COPIA!$BL$1,INDIRECT(ADDRESS(ROW()-COPIA!$BM$1,10,4,,"COPIA")),COPIA!EF28))</f>
        <v/>
      </c>
      <c r="C35" s="78" t="str">
        <f ca="1">IFERROR(IF(AND(COPIA!EG28&lt;&gt;0,ROW()&lt;=COPIA!$BL$1),COPIA!EG28,IF(AND(ROW()&gt;COPIA!$BL$1,INDEX(COPIA!$J$2:$L$200,MATCH('SIT.PATR._SIT.ECON.'!B35,COPIA!$J$2:$J$200,0),3)&lt;&gt;0),INDEX(COPIA!$J$2:$L$200,MATCH('SIT.PATR._SIT.ECON.'!B35,COPIA!$J$2:$J$200,0),3),"")),"")</f>
        <v/>
      </c>
      <c r="D35" s="72" t="str">
        <f ca="1">IF(AND(COPIA!$CP$1=TRUE,IF((ROW())&gt;=COPIA!$BL$1,CONCATENATE((INDIRECT(ADDRESS(ROW()-COPIA!$BM$1,131,4,,"COPIA")))),COPIA!EJ28)="SALDO ECONOMICO POSITIVO"),REPLACE(IF((ROW())&gt;=COPIA!$BL$1,CONCATENATE((INDIRECT(ADDRESS(ROW()-COPIA!$BM$1,131,4,,"COPIA")))),COPIA!EJ28),1,30,"UTILE D'ESERCIZIO"),IF((ROW())&gt;=COPIA!$BL$1,CONCATENATE((INDIRECT(ADDRESS(ROW()-COPIA!$BM$1,131,4,,"COPIA")))),COPIA!EJ28))</f>
        <v/>
      </c>
      <c r="E35" s="81" t="str">
        <f ca="1">IFERROR(IF(AND(ROW()&lt;=COPIA!$BL$1,COPIA!EK28&lt;&gt;0),COPIA!EK28,IF(AND(ROW()&gt;COPIA!$BL$1,INDEX(COPIA!$EA$2:$EC$200,MATCH('SIT.PATR._SIT.ECON.'!D35,COPIA!$EA$2:$EA$200,0),3)&lt;&gt;0),INDEX(COPIA!$EA$2:$EC$200,MATCH('SIT.PATR._SIT.ECON.'!D35,COPIA!$EA$2:$EA$200,0),3),"")),"")</f>
        <v/>
      </c>
      <c r="F35" s="18"/>
    </row>
    <row r="36" spans="1:8" ht="15.9" customHeight="1" x14ac:dyDescent="0.3">
      <c r="A36" s="7" t="str">
        <f t="shared" ca="1" si="1"/>
        <v/>
      </c>
      <c r="B36" s="72" t="str">
        <f ca="1">IF(AND(COPIA!$CP$1=TRUE,IF((ROW())&gt;=COPIA!$BL$1,INDIRECT(ADDRESS(ROW()-COPIA!$BM$1,10,4,,"COPIA")),COPIA!EF29)="SALDO ECONOMICO NEGATIVO"),REPLACE("SALDO ECONOMICO NEGATIVO",1,30,"PERDITA D'ESERCIZIO"),IF((ROW())&gt;=COPIA!$BL$1,INDIRECT(ADDRESS(ROW()-COPIA!$BM$1,10,4,,"COPIA")),COPIA!EF29))</f>
        <v/>
      </c>
      <c r="C36" s="78" t="str">
        <f ca="1">IFERROR(IF(AND(COPIA!EG29&lt;&gt;0,ROW()&lt;=COPIA!$BL$1),COPIA!EG29,IF(AND(ROW()&gt;COPIA!$BL$1,INDEX(COPIA!$J$2:$L$200,MATCH('SIT.PATR._SIT.ECON.'!B36,COPIA!$J$2:$J$200,0),3)&lt;&gt;0),INDEX(COPIA!$J$2:$L$200,MATCH('SIT.PATR._SIT.ECON.'!B36,COPIA!$J$2:$J$200,0),3),"")),"")</f>
        <v/>
      </c>
      <c r="D36" s="72" t="str">
        <f ca="1">IF(AND(COPIA!$CP$1=TRUE,IF((ROW())&gt;=COPIA!$BL$1,CONCATENATE((INDIRECT(ADDRESS(ROW()-COPIA!$BM$1,131,4,,"COPIA")))),COPIA!EJ29)="SALDO ECONOMICO POSITIVO"),REPLACE(IF((ROW())&gt;=COPIA!$BL$1,CONCATENATE((INDIRECT(ADDRESS(ROW()-COPIA!$BM$1,131,4,,"COPIA")))),COPIA!EJ29),1,30,"UTILE D'ESERCIZIO"),IF((ROW())&gt;=COPIA!$BL$1,CONCATENATE((INDIRECT(ADDRESS(ROW()-COPIA!$BM$1,131,4,,"COPIA")))),COPIA!EJ29))</f>
        <v/>
      </c>
      <c r="E36" s="81" t="str">
        <f ca="1">IFERROR(IF(AND(ROW()&lt;=COPIA!$BL$1,COPIA!EK29&lt;&gt;0),COPIA!EK29,IF(AND(ROW()&gt;COPIA!$BL$1,INDEX(COPIA!$EA$2:$EC$200,MATCH('SIT.PATR._SIT.ECON.'!D36,COPIA!$EA$2:$EA$200,0),3)&lt;&gt;0),INDEX(COPIA!$EA$2:$EC$200,MATCH('SIT.PATR._SIT.ECON.'!D36,COPIA!$EA$2:$EA$200,0),3),"")),"")</f>
        <v/>
      </c>
      <c r="F36" s="18"/>
    </row>
    <row r="37" spans="1:8" ht="15.9" customHeight="1" x14ac:dyDescent="0.3">
      <c r="A37" s="7" t="str">
        <f t="shared" ca="1" si="1"/>
        <v/>
      </c>
      <c r="B37" s="72" t="str">
        <f ca="1">IF(AND(COPIA!$CP$1=TRUE,IF((ROW())&gt;=COPIA!$BL$1,INDIRECT(ADDRESS(ROW()-COPIA!$BM$1,10,4,,"COPIA")),COPIA!EF30)="SALDO ECONOMICO NEGATIVO"),REPLACE("SALDO ECONOMICO NEGATIVO",1,30,"PERDITA D'ESERCIZIO"),IF((ROW())&gt;=COPIA!$BL$1,INDIRECT(ADDRESS(ROW()-COPIA!$BM$1,10,4,,"COPIA")),COPIA!EF30))</f>
        <v/>
      </c>
      <c r="C37" s="78" t="str">
        <f ca="1">IFERROR(IF(AND(COPIA!EG30&lt;&gt;0,ROW()&lt;=COPIA!$BL$1),COPIA!EG30,IF(AND(ROW()&gt;COPIA!$BL$1,INDEX(COPIA!$J$2:$L$200,MATCH('SIT.PATR._SIT.ECON.'!B37,COPIA!$J$2:$J$200,0),3)&lt;&gt;0),INDEX(COPIA!$J$2:$L$200,MATCH('SIT.PATR._SIT.ECON.'!B37,COPIA!$J$2:$J$200,0),3),"")),"")</f>
        <v/>
      </c>
      <c r="D37" s="72" t="str">
        <f ca="1">IF(AND(COPIA!$CP$1=TRUE,IF((ROW())&gt;=COPIA!$BL$1,CONCATENATE((INDIRECT(ADDRESS(ROW()-COPIA!$BM$1,131,4,,"COPIA")))),COPIA!EJ30)="SALDO ECONOMICO POSITIVO"),REPLACE(IF((ROW())&gt;=COPIA!$BL$1,CONCATENATE((INDIRECT(ADDRESS(ROW()-COPIA!$BM$1,131,4,,"COPIA")))),COPIA!EJ30),1,30,"UTILE D'ESERCIZIO"),IF((ROW())&gt;=COPIA!$BL$1,CONCATENATE((INDIRECT(ADDRESS(ROW()-COPIA!$BM$1,131,4,,"COPIA")))),COPIA!EJ30))</f>
        <v/>
      </c>
      <c r="E37" s="81" t="str">
        <f ca="1">IFERROR(IF(AND(ROW()&lt;=COPIA!$BL$1,COPIA!EK30&lt;&gt;0),COPIA!EK30,IF(AND(ROW()&gt;COPIA!$BL$1,INDEX(COPIA!$EA$2:$EC$200,MATCH('SIT.PATR._SIT.ECON.'!D37,COPIA!$EA$2:$EA$200,0),3)&lt;&gt;0),INDEX(COPIA!$EA$2:$EC$200,MATCH('SIT.PATR._SIT.ECON.'!D37,COPIA!$EA$2:$EA$200,0),3),"")),"")</f>
        <v/>
      </c>
      <c r="F37" s="18"/>
    </row>
    <row r="38" spans="1:8" ht="15.9" customHeight="1" x14ac:dyDescent="0.3">
      <c r="A38" s="7" t="str">
        <f t="shared" ca="1" si="1"/>
        <v/>
      </c>
      <c r="B38" s="72" t="str">
        <f ca="1">IF(AND(COPIA!$CP$1=TRUE,IF((ROW())&gt;=COPIA!$BL$1,INDIRECT(ADDRESS(ROW()-COPIA!$BM$1,10,4,,"COPIA")),COPIA!EF31)="SALDO ECONOMICO NEGATIVO"),REPLACE("SALDO ECONOMICO NEGATIVO",1,30,"PERDITA D'ESERCIZIO"),IF((ROW())&gt;=COPIA!$BL$1,INDIRECT(ADDRESS(ROW()-COPIA!$BM$1,10,4,,"COPIA")),COPIA!EF31))</f>
        <v/>
      </c>
      <c r="C38" s="78" t="str">
        <f ca="1">IFERROR(IF(AND(COPIA!EG31&lt;&gt;0,ROW()&lt;=COPIA!$BL$1),COPIA!EG31,IF(AND(ROW()&gt;COPIA!$BL$1,INDEX(COPIA!$J$2:$L$200,MATCH('SIT.PATR._SIT.ECON.'!B38,COPIA!$J$2:$J$200,0),3)&lt;&gt;0),INDEX(COPIA!$J$2:$L$200,MATCH('SIT.PATR._SIT.ECON.'!B38,COPIA!$J$2:$J$200,0),3),"")),"")</f>
        <v/>
      </c>
      <c r="D38" s="72" t="str">
        <f ca="1">IF(AND(COPIA!$CP$1=TRUE,IF((ROW())&gt;=COPIA!$BL$1,CONCATENATE((INDIRECT(ADDRESS(ROW()-COPIA!$BM$1,131,4,,"COPIA")))),COPIA!EJ31)="SALDO ECONOMICO POSITIVO"),REPLACE(IF((ROW())&gt;=COPIA!$BL$1,CONCATENATE((INDIRECT(ADDRESS(ROW()-COPIA!$BM$1,131,4,,"COPIA")))),COPIA!EJ31),1,30,"UTILE D'ESERCIZIO"),IF((ROW())&gt;=COPIA!$BL$1,CONCATENATE((INDIRECT(ADDRESS(ROW()-COPIA!$BM$1,131,4,,"COPIA")))),COPIA!EJ31))</f>
        <v/>
      </c>
      <c r="E38" s="81" t="str">
        <f ca="1">IFERROR(IF(AND(ROW()&lt;=COPIA!$BL$1,COPIA!EK31&lt;&gt;0),COPIA!EK31,IF(AND(ROW()&gt;COPIA!$BL$1,INDEX(COPIA!$EA$2:$EC$200,MATCH('SIT.PATR._SIT.ECON.'!D38,COPIA!$EA$2:$EA$200,0),3)&lt;&gt;0),INDEX(COPIA!$EA$2:$EC$200,MATCH('SIT.PATR._SIT.ECON.'!D38,COPIA!$EA$2:$EA$200,0),3),"")),"")</f>
        <v/>
      </c>
      <c r="F38" s="18"/>
    </row>
    <row r="39" spans="1:8" ht="15.9" customHeight="1" x14ac:dyDescent="0.3">
      <c r="A39" s="7" t="str">
        <f t="shared" ca="1" si="1"/>
        <v/>
      </c>
      <c r="B39" s="72" t="str">
        <f ca="1">IF(AND(COPIA!$CP$1=TRUE,IF((ROW())&gt;=COPIA!$BL$1,INDIRECT(ADDRESS(ROW()-COPIA!$BM$1,10,4,,"COPIA")),COPIA!EF32)="SALDO ECONOMICO NEGATIVO"),REPLACE("SALDO ECONOMICO NEGATIVO",1,30,"PERDITA D'ESERCIZIO"),IF((ROW())&gt;=COPIA!$BL$1,INDIRECT(ADDRESS(ROW()-COPIA!$BM$1,10,4,,"COPIA")),COPIA!EF32))</f>
        <v/>
      </c>
      <c r="C39" s="78" t="str">
        <f ca="1">IFERROR(IF(AND(COPIA!EG32&lt;&gt;0,ROW()&lt;=COPIA!$BL$1),COPIA!EG32,IF(AND(ROW()&gt;COPIA!$BL$1,INDEX(COPIA!$J$2:$L$200,MATCH('SIT.PATR._SIT.ECON.'!B39,COPIA!$J$2:$J$200,0),3)&lt;&gt;0),INDEX(COPIA!$J$2:$L$200,MATCH('SIT.PATR._SIT.ECON.'!B39,COPIA!$J$2:$J$200,0),3),"")),"")</f>
        <v/>
      </c>
      <c r="D39" s="72" t="str">
        <f ca="1">IF(AND(COPIA!$CP$1=TRUE,IF((ROW())&gt;=COPIA!$BL$1,CONCATENATE((INDIRECT(ADDRESS(ROW()-COPIA!$BM$1,131,4,,"COPIA")))),COPIA!EJ32)="SALDO ECONOMICO POSITIVO"),REPLACE(IF((ROW())&gt;=COPIA!$BL$1,CONCATENATE((INDIRECT(ADDRESS(ROW()-COPIA!$BM$1,131,4,,"COPIA")))),COPIA!EJ32),1,30,"UTILE D'ESERCIZIO"),IF((ROW())&gt;=COPIA!$BL$1,CONCATENATE((INDIRECT(ADDRESS(ROW()-COPIA!$BM$1,131,4,,"COPIA")))),COPIA!EJ32))</f>
        <v/>
      </c>
      <c r="E39" s="81" t="str">
        <f ca="1">IFERROR(IF(AND(ROW()&lt;=COPIA!$BL$1,COPIA!EK32&lt;&gt;0),COPIA!EK32,IF(AND(ROW()&gt;COPIA!$BL$1,INDEX(COPIA!$EA$2:$EC$200,MATCH('SIT.PATR._SIT.ECON.'!D39,COPIA!$EA$2:$EA$200,0),3)&lt;&gt;0),INDEX(COPIA!$EA$2:$EC$200,MATCH('SIT.PATR._SIT.ECON.'!D39,COPIA!$EA$2:$EA$200,0),3),"")),"")</f>
        <v/>
      </c>
      <c r="F39" s="18"/>
    </row>
    <row r="40" spans="1:8" ht="15.9" customHeight="1" x14ac:dyDescent="0.3">
      <c r="A40" s="7" t="str">
        <f t="shared" ca="1" si="1"/>
        <v/>
      </c>
      <c r="B40" s="72" t="str">
        <f ca="1">IF(AND(COPIA!$CP$1=TRUE,IF((ROW())&gt;=COPIA!$BL$1,INDIRECT(ADDRESS(ROW()-COPIA!$BM$1,10,4,,"COPIA")),COPIA!EF33)="SALDO ECONOMICO NEGATIVO"),REPLACE("SALDO ECONOMICO NEGATIVO",1,30,"PERDITA D'ESERCIZIO"),IF((ROW())&gt;=COPIA!$BL$1,INDIRECT(ADDRESS(ROW()-COPIA!$BM$1,10,4,,"COPIA")),COPIA!EF33))</f>
        <v/>
      </c>
      <c r="C40" s="78" t="str">
        <f ca="1">IFERROR(IF(AND(COPIA!EG33&lt;&gt;0,ROW()&lt;=COPIA!$BL$1),COPIA!EG33,IF(AND(ROW()&gt;COPIA!$BL$1,INDEX(COPIA!$J$2:$L$200,MATCH('SIT.PATR._SIT.ECON.'!B40,COPIA!$J$2:$J$200,0),3)&lt;&gt;0),INDEX(COPIA!$J$2:$L$200,MATCH('SIT.PATR._SIT.ECON.'!B40,COPIA!$J$2:$J$200,0),3),"")),"")</f>
        <v/>
      </c>
      <c r="D40" s="72" t="str">
        <f ca="1">IF(AND(COPIA!$CP$1=TRUE,IF((ROW())&gt;=COPIA!$BL$1,CONCATENATE((INDIRECT(ADDRESS(ROW()-COPIA!$BM$1,131,4,,"COPIA")))),COPIA!EJ33)="SALDO ECONOMICO POSITIVO"),REPLACE(IF((ROW())&gt;=COPIA!$BL$1,CONCATENATE((INDIRECT(ADDRESS(ROW()-COPIA!$BM$1,131,4,,"COPIA")))),COPIA!EJ33),1,30,"UTILE D'ESERCIZIO"),IF((ROW())&gt;=COPIA!$BL$1,CONCATENATE((INDIRECT(ADDRESS(ROW()-COPIA!$BM$1,131,4,,"COPIA")))),COPIA!EJ33))</f>
        <v/>
      </c>
      <c r="E40" s="81" t="str">
        <f ca="1">IFERROR(IF(AND(ROW()&lt;=COPIA!$BL$1,COPIA!EK33&lt;&gt;0),COPIA!EK33,IF(AND(ROW()&gt;COPIA!$BL$1,INDEX(COPIA!$EA$2:$EC$200,MATCH('SIT.PATR._SIT.ECON.'!D40,COPIA!$EA$2:$EA$200,0),3)&lt;&gt;0),INDEX(COPIA!$EA$2:$EC$200,MATCH('SIT.PATR._SIT.ECON.'!D40,COPIA!$EA$2:$EA$200,0),3),"")),"")</f>
        <v/>
      </c>
      <c r="F40" s="18"/>
    </row>
    <row r="41" spans="1:8" ht="15.9" customHeight="1" x14ac:dyDescent="0.3">
      <c r="A41" s="7" t="str">
        <f t="shared" ca="1" si="1"/>
        <v/>
      </c>
      <c r="B41" s="72" t="str">
        <f ca="1">IF(AND(COPIA!$CP$1=TRUE,IF((ROW())&gt;=COPIA!$BL$1,INDIRECT(ADDRESS(ROW()-COPIA!$BM$1,10,4,,"COPIA")),COPIA!EF34)="SALDO ECONOMICO NEGATIVO"),REPLACE("SALDO ECONOMICO NEGATIVO",1,30,"PERDITA D'ESERCIZIO"),IF((ROW())&gt;=COPIA!$BL$1,INDIRECT(ADDRESS(ROW()-COPIA!$BM$1,10,4,,"COPIA")),COPIA!EF34))</f>
        <v/>
      </c>
      <c r="C41" s="78" t="str">
        <f ca="1">IFERROR(IF(AND(COPIA!EG34&lt;&gt;0,ROW()&lt;=COPIA!$BL$1),COPIA!EG34,IF(AND(ROW()&gt;COPIA!$BL$1,INDEX(COPIA!$J$2:$L$200,MATCH('SIT.PATR._SIT.ECON.'!B41,COPIA!$J$2:$J$200,0),3)&lt;&gt;0),INDEX(COPIA!$J$2:$L$200,MATCH('SIT.PATR._SIT.ECON.'!B41,COPIA!$J$2:$J$200,0),3),"")),"")</f>
        <v/>
      </c>
      <c r="D41" s="72" t="str">
        <f ca="1">IF(AND(COPIA!$CP$1=TRUE,IF((ROW())&gt;=COPIA!$BL$1,CONCATENATE((INDIRECT(ADDRESS(ROW()-COPIA!$BM$1,131,4,,"COPIA")))),COPIA!EJ34)="SALDO ECONOMICO POSITIVO"),REPLACE(IF((ROW())&gt;=COPIA!$BL$1,CONCATENATE((INDIRECT(ADDRESS(ROW()-COPIA!$BM$1,131,4,,"COPIA")))),COPIA!EJ34),1,30,"UTILE D'ESERCIZIO"),IF((ROW())&gt;=COPIA!$BL$1,CONCATENATE((INDIRECT(ADDRESS(ROW()-COPIA!$BM$1,131,4,,"COPIA")))),COPIA!EJ34))</f>
        <v/>
      </c>
      <c r="E41" s="81" t="str">
        <f ca="1">IFERROR(IF(AND(ROW()&lt;=COPIA!$BL$1,COPIA!EK34&lt;&gt;0),COPIA!EK34,IF(AND(ROW()&gt;COPIA!$BL$1,INDEX(COPIA!$EA$2:$EC$200,MATCH('SIT.PATR._SIT.ECON.'!D41,COPIA!$EA$2:$EA$200,0),3)&lt;&gt;0),INDEX(COPIA!$EA$2:$EC$200,MATCH('SIT.PATR._SIT.ECON.'!D41,COPIA!$EA$2:$EA$200,0),3),"")),"")</f>
        <v/>
      </c>
      <c r="F41" s="18"/>
    </row>
    <row r="42" spans="1:8" ht="15.9" customHeight="1" x14ac:dyDescent="0.3">
      <c r="A42" s="7" t="str">
        <f t="shared" ca="1" si="1"/>
        <v/>
      </c>
      <c r="B42" s="72" t="str">
        <f ca="1">IF(AND(COPIA!$CP$1=TRUE,IF((ROW())&gt;=COPIA!$BL$1,INDIRECT(ADDRESS(ROW()-COPIA!$BM$1,10,4,,"COPIA")),COPIA!EF35)="SALDO ECONOMICO NEGATIVO"),REPLACE("SALDO ECONOMICO NEGATIVO",1,30,"PERDITA D'ESERCIZIO"),IF((ROW())&gt;=COPIA!$BL$1,INDIRECT(ADDRESS(ROW()-COPIA!$BM$1,10,4,,"COPIA")),COPIA!EF35))</f>
        <v/>
      </c>
      <c r="C42" s="78" t="str">
        <f ca="1">IFERROR(IF(AND(COPIA!EG35&lt;&gt;0,ROW()&lt;=COPIA!$BL$1),COPIA!EG35,IF(AND(ROW()&gt;COPIA!$BL$1,INDEX(COPIA!$J$2:$L$200,MATCH('SIT.PATR._SIT.ECON.'!B42,COPIA!$J$2:$J$200,0),3)&lt;&gt;0),INDEX(COPIA!$J$2:$L$200,MATCH('SIT.PATR._SIT.ECON.'!B42,COPIA!$J$2:$J$200,0),3),"")),"")</f>
        <v/>
      </c>
      <c r="D42" s="72" t="str">
        <f ca="1">IF(AND(COPIA!$CP$1=TRUE,IF((ROW())&gt;=COPIA!$BL$1,CONCATENATE((INDIRECT(ADDRESS(ROW()-COPIA!$BM$1,131,4,,"COPIA")))),COPIA!EJ35)="SALDO ECONOMICO POSITIVO"),REPLACE(IF((ROW())&gt;=COPIA!$BL$1,CONCATENATE((INDIRECT(ADDRESS(ROW()-COPIA!$BM$1,131,4,,"COPIA")))),COPIA!EJ35),1,30,"UTILE D'ESERCIZIO"),IF((ROW())&gt;=COPIA!$BL$1,CONCATENATE((INDIRECT(ADDRESS(ROW()-COPIA!$BM$1,131,4,,"COPIA")))),COPIA!EJ35))</f>
        <v/>
      </c>
      <c r="E42" s="81" t="str">
        <f ca="1">IFERROR(IF(AND(ROW()&lt;=COPIA!$BL$1,COPIA!EK35&lt;&gt;0),COPIA!EK35,IF(AND(ROW()&gt;COPIA!$BL$1,INDEX(COPIA!$EA$2:$EC$200,MATCH('SIT.PATR._SIT.ECON.'!D42,COPIA!$EA$2:$EA$200,0),3)&lt;&gt;0),INDEX(COPIA!$EA$2:$EC$200,MATCH('SIT.PATR._SIT.ECON.'!D42,COPIA!$EA$2:$EA$200,0),3),"")),"")</f>
        <v/>
      </c>
      <c r="F42" s="18"/>
    </row>
    <row r="43" spans="1:8" ht="15.9" customHeight="1" x14ac:dyDescent="0.3">
      <c r="A43" s="7" t="str">
        <f t="shared" ca="1" si="1"/>
        <v/>
      </c>
      <c r="B43" s="72" t="str">
        <f ca="1">IF(AND(COPIA!$CP$1=TRUE,IF((ROW())&gt;=COPIA!$BL$1,INDIRECT(ADDRESS(ROW()-COPIA!$BM$1,10,4,,"COPIA")),COPIA!EF36)="SALDO ECONOMICO NEGATIVO"),REPLACE("SALDO ECONOMICO NEGATIVO",1,30,"PERDITA D'ESERCIZIO"),IF((ROW())&gt;=COPIA!$BL$1,INDIRECT(ADDRESS(ROW()-COPIA!$BM$1,10,4,,"COPIA")),COPIA!EF36))</f>
        <v/>
      </c>
      <c r="C43" s="78" t="str">
        <f ca="1">IFERROR(IF(AND(COPIA!EG36&lt;&gt;0,ROW()&lt;=COPIA!$BL$1),COPIA!EG36,IF(AND(ROW()&gt;COPIA!$BL$1,INDEX(COPIA!$J$2:$L$200,MATCH('SIT.PATR._SIT.ECON.'!B43,COPIA!$J$2:$J$200,0),3)&lt;&gt;0),INDEX(COPIA!$J$2:$L$200,MATCH('SIT.PATR._SIT.ECON.'!B43,COPIA!$J$2:$J$200,0),3),"")),"")</f>
        <v/>
      </c>
      <c r="D43" s="72" t="str">
        <f ca="1">IF(AND(COPIA!$CP$1=TRUE,IF((ROW())&gt;=COPIA!$BL$1,CONCATENATE((INDIRECT(ADDRESS(ROW()-COPIA!$BM$1,131,4,,"COPIA")))),COPIA!EJ36)="SALDO ECONOMICO POSITIVO"),REPLACE(IF((ROW())&gt;=COPIA!$BL$1,CONCATENATE((INDIRECT(ADDRESS(ROW()-COPIA!$BM$1,131,4,,"COPIA")))),COPIA!EJ36),1,30,"UTILE D'ESERCIZIO"),IF((ROW())&gt;=COPIA!$BL$1,CONCATENATE((INDIRECT(ADDRESS(ROW()-COPIA!$BM$1,131,4,,"COPIA")))),COPIA!EJ36))</f>
        <v/>
      </c>
      <c r="E43" s="81" t="str">
        <f ca="1">IFERROR(IF(AND(ROW()&lt;=COPIA!$BL$1,COPIA!EK36&lt;&gt;0),COPIA!EK36,IF(AND(ROW()&gt;COPIA!$BL$1,INDEX(COPIA!$EA$2:$EC$200,MATCH('SIT.PATR._SIT.ECON.'!D43,COPIA!$EA$2:$EA$200,0),3)&lt;&gt;0),INDEX(COPIA!$EA$2:$EC$200,MATCH('SIT.PATR._SIT.ECON.'!D43,COPIA!$EA$2:$EA$200,0),3),"")),"")</f>
        <v/>
      </c>
      <c r="F43" s="18"/>
    </row>
    <row r="44" spans="1:8" ht="15.9" customHeight="1" x14ac:dyDescent="0.3">
      <c r="A44" s="7" t="str">
        <f t="shared" ca="1" si="1"/>
        <v/>
      </c>
      <c r="B44" s="72" t="str">
        <f ca="1">IF(AND(COPIA!$CP$1=TRUE,IF((ROW())&gt;=COPIA!$BL$1,INDIRECT(ADDRESS(ROW()-COPIA!$BM$1,10,4,,"COPIA")),COPIA!EF37)="SALDO ECONOMICO NEGATIVO"),REPLACE("SALDO ECONOMICO NEGATIVO",1,30,"PERDITA D'ESERCIZIO"),IF((ROW())&gt;=COPIA!$BL$1,INDIRECT(ADDRESS(ROW()-COPIA!$BM$1,10,4,,"COPIA")),COPIA!EF37))</f>
        <v/>
      </c>
      <c r="C44" s="78" t="str">
        <f ca="1">IFERROR(IF(AND(COPIA!EG37&lt;&gt;0,ROW()&lt;=COPIA!$BL$1),COPIA!EG37,IF(AND(ROW()&gt;COPIA!$BL$1,INDEX(COPIA!$J$2:$L$200,MATCH('SIT.PATR._SIT.ECON.'!B44,COPIA!$J$2:$J$200,0),3)&lt;&gt;0),INDEX(COPIA!$J$2:$L$200,MATCH('SIT.PATR._SIT.ECON.'!B44,COPIA!$J$2:$J$200,0),3),"")),"")</f>
        <v/>
      </c>
      <c r="D44" s="72" t="str">
        <f ca="1">IF(AND(COPIA!$CP$1=TRUE,IF((ROW())&gt;=COPIA!$BL$1,CONCATENATE((INDIRECT(ADDRESS(ROW()-COPIA!$BM$1,131,4,,"COPIA")))),COPIA!EJ37)="SALDO ECONOMICO POSITIVO"),REPLACE(IF((ROW())&gt;=COPIA!$BL$1,CONCATENATE((INDIRECT(ADDRESS(ROW()-COPIA!$BM$1,131,4,,"COPIA")))),COPIA!EJ37),1,30,"UTILE D'ESERCIZIO"),IF((ROW())&gt;=COPIA!$BL$1,CONCATENATE((INDIRECT(ADDRESS(ROW()-COPIA!$BM$1,131,4,,"COPIA")))),COPIA!EJ37))</f>
        <v/>
      </c>
      <c r="E44" s="81" t="str">
        <f ca="1">IFERROR(IF(AND(ROW()&lt;=COPIA!$BL$1,COPIA!EK37&lt;&gt;0),COPIA!EK37,IF(AND(ROW()&gt;COPIA!$BL$1,INDEX(COPIA!$EA$2:$EC$200,MATCH('SIT.PATR._SIT.ECON.'!D44,COPIA!$EA$2:$EA$200,0),3)&lt;&gt;0),INDEX(COPIA!$EA$2:$EC$200,MATCH('SIT.PATR._SIT.ECON.'!D44,COPIA!$EA$2:$EA$200,0),3),"")),"")</f>
        <v/>
      </c>
      <c r="F44" s="18"/>
    </row>
    <row r="45" spans="1:8" ht="15.9" customHeight="1" x14ac:dyDescent="0.3">
      <c r="A45" s="7" t="str">
        <f t="shared" ca="1" si="1"/>
        <v/>
      </c>
      <c r="B45" s="72" t="str">
        <f ca="1">IF(AND(COPIA!$CP$1=TRUE,IF((ROW())&gt;=COPIA!$BL$1,INDIRECT(ADDRESS(ROW()-COPIA!$BM$1,10,4,,"COPIA")),COPIA!EF38)="SALDO ECONOMICO NEGATIVO"),REPLACE("SALDO ECONOMICO NEGATIVO",1,30,"PERDITA D'ESERCIZIO"),IF((ROW())&gt;=COPIA!$BL$1,INDIRECT(ADDRESS(ROW()-COPIA!$BM$1,10,4,,"COPIA")),COPIA!EF38))</f>
        <v/>
      </c>
      <c r="C45" s="78" t="str">
        <f ca="1">IFERROR(IF(AND(COPIA!EG38&lt;&gt;0,ROW()&lt;=COPIA!$BL$1),COPIA!EG38,IF(AND(ROW()&gt;COPIA!$BL$1,INDEX(COPIA!$J$2:$L$200,MATCH('SIT.PATR._SIT.ECON.'!B45,COPIA!$J$2:$J$200,0),3)&lt;&gt;0),INDEX(COPIA!$J$2:$L$200,MATCH('SIT.PATR._SIT.ECON.'!B45,COPIA!$J$2:$J$200,0),3),"")),"")</f>
        <v/>
      </c>
      <c r="D45" s="72" t="str">
        <f ca="1">IF(AND(COPIA!$CP$1=TRUE,IF((ROW())&gt;=COPIA!$BL$1,CONCATENATE((INDIRECT(ADDRESS(ROW()-COPIA!$BM$1,131,4,,"COPIA")))),COPIA!EJ38)="SALDO ECONOMICO POSITIVO"),REPLACE(IF((ROW())&gt;=COPIA!$BL$1,CONCATENATE((INDIRECT(ADDRESS(ROW()-COPIA!$BM$1,131,4,,"COPIA")))),COPIA!EJ38),1,30,"UTILE D'ESERCIZIO"),IF((ROW())&gt;=COPIA!$BL$1,CONCATENATE((INDIRECT(ADDRESS(ROW()-COPIA!$BM$1,131,4,,"COPIA")))),COPIA!EJ38))</f>
        <v/>
      </c>
      <c r="E45" s="81" t="str">
        <f ca="1">IFERROR(IF(AND(ROW()&lt;=COPIA!$BL$1,COPIA!EK38&lt;&gt;0),COPIA!EK38,IF(AND(ROW()&gt;COPIA!$BL$1,INDEX(COPIA!$EA$2:$EC$200,MATCH('SIT.PATR._SIT.ECON.'!D45,COPIA!$EA$2:$EA$200,0),3)&lt;&gt;0),INDEX(COPIA!$EA$2:$EC$200,MATCH('SIT.PATR._SIT.ECON.'!D45,COPIA!$EA$2:$EA$200,0),3),"")),"")</f>
        <v/>
      </c>
      <c r="F45" s="18"/>
    </row>
    <row r="46" spans="1:8" ht="15.9" customHeight="1" x14ac:dyDescent="0.3">
      <c r="A46" s="7" t="str">
        <f t="shared" ca="1" si="1"/>
        <v/>
      </c>
      <c r="B46" s="72" t="str">
        <f ca="1">IF(AND(COPIA!$CP$1=TRUE,IF((ROW())&gt;=COPIA!$BL$1,INDIRECT(ADDRESS(ROW()-COPIA!$BM$1,10,4,,"COPIA")),COPIA!EF39)="SALDO ECONOMICO NEGATIVO"),REPLACE("SALDO ECONOMICO NEGATIVO",1,30,"PERDITA D'ESERCIZIO"),IF((ROW())&gt;=COPIA!$BL$1,INDIRECT(ADDRESS(ROW()-COPIA!$BM$1,10,4,,"COPIA")),COPIA!EF39))</f>
        <v/>
      </c>
      <c r="C46" s="78" t="str">
        <f ca="1">IFERROR(IF(AND(COPIA!EG39&lt;&gt;0,ROW()&lt;=COPIA!$BL$1),COPIA!EG39,IF(AND(ROW()&gt;COPIA!$BL$1,INDEX(COPIA!$J$2:$L$200,MATCH('SIT.PATR._SIT.ECON.'!B46,COPIA!$J$2:$J$200,0),3)&lt;&gt;0),INDEX(COPIA!$J$2:$L$200,MATCH('SIT.PATR._SIT.ECON.'!B46,COPIA!$J$2:$J$200,0),3),"")),"")</f>
        <v/>
      </c>
      <c r="D46" s="72" t="str">
        <f ca="1">IF(AND(COPIA!$CP$1=TRUE,IF((ROW())&gt;=COPIA!$BL$1,CONCATENATE((INDIRECT(ADDRESS(ROW()-COPIA!$BM$1,131,4,,"COPIA")))),COPIA!EJ39)="SALDO ECONOMICO POSITIVO"),REPLACE(IF((ROW())&gt;=COPIA!$BL$1,CONCATENATE((INDIRECT(ADDRESS(ROW()-COPIA!$BM$1,131,4,,"COPIA")))),COPIA!EJ39),1,30,"UTILE D'ESERCIZIO"),IF((ROW())&gt;=COPIA!$BL$1,CONCATENATE((INDIRECT(ADDRESS(ROW()-COPIA!$BM$1,131,4,,"COPIA")))),COPIA!EJ39))</f>
        <v/>
      </c>
      <c r="E46" s="81" t="str">
        <f ca="1">IFERROR(IF(AND(ROW()&lt;=COPIA!$BL$1,COPIA!EK39&lt;&gt;0),COPIA!EK39,IF(AND(ROW()&gt;COPIA!$BL$1,INDEX(COPIA!$EA$2:$EC$200,MATCH('SIT.PATR._SIT.ECON.'!D46,COPIA!$EA$2:$EA$200,0),3)&lt;&gt;0),INDEX(COPIA!$EA$2:$EC$200,MATCH('SIT.PATR._SIT.ECON.'!D46,COPIA!$EA$2:$EA$200,0),3),"")),"")</f>
        <v/>
      </c>
      <c r="F46" s="18"/>
    </row>
    <row r="47" spans="1:8" ht="15.9" customHeight="1" x14ac:dyDescent="0.3">
      <c r="A47" s="7" t="str">
        <f t="shared" ca="1" si="1"/>
        <v/>
      </c>
      <c r="B47" s="72" t="str">
        <f ca="1">IF(AND(COPIA!$CP$1=TRUE,IF((ROW())&gt;=COPIA!$BL$1,INDIRECT(ADDRESS(ROW()-COPIA!$BM$1,10,4,,"COPIA")),COPIA!EF40)="SALDO ECONOMICO NEGATIVO"),REPLACE("SALDO ECONOMICO NEGATIVO",1,30,"PERDITA D'ESERCIZIO"),IF((ROW())&gt;=COPIA!$BL$1,INDIRECT(ADDRESS(ROW()-COPIA!$BM$1,10,4,,"COPIA")),COPIA!EF40))</f>
        <v/>
      </c>
      <c r="C47" s="78" t="str">
        <f ca="1">IFERROR(IF(AND(COPIA!EG40&lt;&gt;0,ROW()&lt;=COPIA!$BL$1),COPIA!EG40,IF(AND(ROW()&gt;COPIA!$BL$1,INDEX(COPIA!$J$2:$L$200,MATCH('SIT.PATR._SIT.ECON.'!B47,COPIA!$J$2:$J$200,0),3)&lt;&gt;0),INDEX(COPIA!$J$2:$L$200,MATCH('SIT.PATR._SIT.ECON.'!B47,COPIA!$J$2:$J$200,0),3),"")),"")</f>
        <v/>
      </c>
      <c r="D47" s="72" t="str">
        <f ca="1">IF(AND(COPIA!$CP$1=TRUE,IF((ROW())&gt;=COPIA!$BL$1,CONCATENATE((INDIRECT(ADDRESS(ROW()-COPIA!$BM$1,131,4,,"COPIA")))),COPIA!EJ40)="SALDO ECONOMICO POSITIVO"),REPLACE(IF((ROW())&gt;=COPIA!$BL$1,CONCATENATE((INDIRECT(ADDRESS(ROW()-COPIA!$BM$1,131,4,,"COPIA")))),COPIA!EJ40),1,30,"UTILE D'ESERCIZIO"),IF((ROW())&gt;=COPIA!$BL$1,CONCATENATE((INDIRECT(ADDRESS(ROW()-COPIA!$BM$1,131,4,,"COPIA")))),COPIA!EJ40))</f>
        <v/>
      </c>
      <c r="E47" s="81" t="str">
        <f ca="1">IFERROR(IF(AND(ROW()&lt;=COPIA!$BL$1,COPIA!EK40&lt;&gt;0),COPIA!EK40,IF(AND(ROW()&gt;COPIA!$BL$1,INDEX(COPIA!$EA$2:$EC$200,MATCH('SIT.PATR._SIT.ECON.'!D47,COPIA!$EA$2:$EA$200,0),3)&lt;&gt;0),INDEX(COPIA!$EA$2:$EC$200,MATCH('SIT.PATR._SIT.ECON.'!D47,COPIA!$EA$2:$EA$200,0),3),"")),"")</f>
        <v/>
      </c>
      <c r="F47" s="18"/>
    </row>
    <row r="48" spans="1:8" ht="15.9" customHeight="1" x14ac:dyDescent="0.3">
      <c r="A48" s="7" t="str">
        <f t="shared" ca="1" si="1"/>
        <v/>
      </c>
      <c r="B48" s="72" t="str">
        <f ca="1">IF(AND(COPIA!$CP$1=TRUE,IF((ROW())&gt;=COPIA!$BL$1,INDIRECT(ADDRESS(ROW()-COPIA!$BM$1,10,4,,"COPIA")),COPIA!EF41)="SALDO ECONOMICO NEGATIVO"),REPLACE("SALDO ECONOMICO NEGATIVO",1,30,"PERDITA D'ESERCIZIO"),IF((ROW())&gt;=COPIA!$BL$1,INDIRECT(ADDRESS(ROW()-COPIA!$BM$1,10,4,,"COPIA")),COPIA!EF41))</f>
        <v/>
      </c>
      <c r="C48" s="78" t="str">
        <f ca="1">IFERROR(IF(AND(COPIA!EG41&lt;&gt;0,ROW()&lt;=COPIA!$BL$1),COPIA!EG41,IF(AND(ROW()&gt;COPIA!$BL$1,INDEX(COPIA!$J$2:$L$200,MATCH('SIT.PATR._SIT.ECON.'!B48,COPIA!$J$2:$J$200,0),3)&lt;&gt;0),INDEX(COPIA!$J$2:$L$200,MATCH('SIT.PATR._SIT.ECON.'!B48,COPIA!$J$2:$J$200,0),3),"")),"")</f>
        <v/>
      </c>
      <c r="D48" s="72" t="str">
        <f ca="1">IF(AND(COPIA!$CP$1=TRUE,IF((ROW())&gt;=COPIA!$BL$1,CONCATENATE((INDIRECT(ADDRESS(ROW()-COPIA!$BM$1,131,4,,"COPIA")))),COPIA!EJ41)="SALDO ECONOMICO POSITIVO"),REPLACE(IF((ROW())&gt;=COPIA!$BL$1,CONCATENATE((INDIRECT(ADDRESS(ROW()-COPIA!$BM$1,131,4,,"COPIA")))),COPIA!EJ41),1,30,"UTILE D'ESERCIZIO"),IF((ROW())&gt;=COPIA!$BL$1,CONCATENATE((INDIRECT(ADDRESS(ROW()-COPIA!$BM$1,131,4,,"COPIA")))),COPIA!EJ41))</f>
        <v/>
      </c>
      <c r="E48" s="81" t="str">
        <f ca="1">IFERROR(IF(AND(ROW()&lt;=COPIA!$BL$1,COPIA!EK41&lt;&gt;0),COPIA!EK41,IF(AND(ROW()&gt;COPIA!$BL$1,INDEX(COPIA!$EA$2:$EC$200,MATCH('SIT.PATR._SIT.ECON.'!D48,COPIA!$EA$2:$EA$200,0),3)&lt;&gt;0),INDEX(COPIA!$EA$2:$EC$200,MATCH('SIT.PATR._SIT.ECON.'!D48,COPIA!$EA$2:$EA$200,0),3),"")),"")</f>
        <v/>
      </c>
      <c r="F48" s="18"/>
    </row>
    <row r="49" spans="1:6" ht="15.9" customHeight="1" x14ac:dyDescent="0.3">
      <c r="A49" s="7" t="str">
        <f t="shared" ca="1" si="1"/>
        <v/>
      </c>
      <c r="B49" s="72" t="str">
        <f ca="1">IF(AND(COPIA!$CP$1=TRUE,IF((ROW())&gt;=COPIA!$BL$1,INDIRECT(ADDRESS(ROW()-COPIA!$BM$1,10,4,,"COPIA")),COPIA!EF42)="SALDO ECONOMICO NEGATIVO"),REPLACE("SALDO ECONOMICO NEGATIVO",1,30,"PERDITA D'ESERCIZIO"),IF((ROW())&gt;=COPIA!$BL$1,INDIRECT(ADDRESS(ROW()-COPIA!$BM$1,10,4,,"COPIA")),COPIA!EF42))</f>
        <v/>
      </c>
      <c r="C49" s="78" t="str">
        <f ca="1">IFERROR(IF(AND(COPIA!EG42&lt;&gt;0,ROW()&lt;=COPIA!$BL$1),COPIA!EG42,IF(AND(ROW()&gt;COPIA!$BL$1,INDEX(COPIA!$J$2:$L$200,MATCH('SIT.PATR._SIT.ECON.'!B49,COPIA!$J$2:$J$200,0),3)&lt;&gt;0),INDEX(COPIA!$J$2:$L$200,MATCH('SIT.PATR._SIT.ECON.'!B49,COPIA!$J$2:$J$200,0),3),"")),"")</f>
        <v/>
      </c>
      <c r="D49" s="72" t="str">
        <f ca="1">IF(AND(COPIA!$CP$1=TRUE,IF((ROW())&gt;=COPIA!$BL$1,CONCATENATE((INDIRECT(ADDRESS(ROW()-COPIA!$BM$1,131,4,,"COPIA")))),COPIA!EJ42)="SALDO ECONOMICO POSITIVO"),REPLACE(IF((ROW())&gt;=COPIA!$BL$1,CONCATENATE((INDIRECT(ADDRESS(ROW()-COPIA!$BM$1,131,4,,"COPIA")))),COPIA!EJ42),1,30,"UTILE D'ESERCIZIO"),IF((ROW())&gt;=COPIA!$BL$1,CONCATENATE((INDIRECT(ADDRESS(ROW()-COPIA!$BM$1,131,4,,"COPIA")))),COPIA!EJ42))</f>
        <v/>
      </c>
      <c r="E49" s="81" t="str">
        <f ca="1">IFERROR(IF(AND(ROW()&lt;=COPIA!$BL$1,COPIA!EK42&lt;&gt;0),COPIA!EK42,IF(AND(ROW()&gt;COPIA!$BL$1,INDEX(COPIA!$EA$2:$EC$200,MATCH('SIT.PATR._SIT.ECON.'!D49,COPIA!$EA$2:$EA$200,0),3)&lt;&gt;0),INDEX(COPIA!$EA$2:$EC$200,MATCH('SIT.PATR._SIT.ECON.'!D49,COPIA!$EA$2:$EA$200,0),3),"")),"")</f>
        <v/>
      </c>
      <c r="F49" s="18"/>
    </row>
    <row r="50" spans="1:6" ht="15.9" customHeight="1" x14ac:dyDescent="0.3">
      <c r="A50" s="7" t="str">
        <f t="shared" ca="1" si="1"/>
        <v/>
      </c>
      <c r="B50" s="72" t="str">
        <f ca="1">IF(AND(COPIA!$CP$1=TRUE,IF((ROW())&gt;=COPIA!$BL$1,INDIRECT(ADDRESS(ROW()-COPIA!$BM$1,10,4,,"COPIA")),COPIA!EF43)="SALDO ECONOMICO NEGATIVO"),REPLACE("SALDO ECONOMICO NEGATIVO",1,30,"PERDITA D'ESERCIZIO"),IF((ROW())&gt;=COPIA!$BL$1,INDIRECT(ADDRESS(ROW()-COPIA!$BM$1,10,4,,"COPIA")),COPIA!EF43))</f>
        <v/>
      </c>
      <c r="C50" s="78" t="str">
        <f ca="1">IFERROR(IF(AND(COPIA!EG43&lt;&gt;0,ROW()&lt;=COPIA!$BL$1),COPIA!EG43,IF(AND(ROW()&gt;COPIA!$BL$1,INDEX(COPIA!$J$2:$L$200,MATCH('SIT.PATR._SIT.ECON.'!B50,COPIA!$J$2:$J$200,0),3)&lt;&gt;0),INDEX(COPIA!$J$2:$L$200,MATCH('SIT.PATR._SIT.ECON.'!B50,COPIA!$J$2:$J$200,0),3),"")),"")</f>
        <v/>
      </c>
      <c r="D50" s="72" t="str">
        <f ca="1">IF(AND(COPIA!$CP$1=TRUE,IF((ROW())&gt;=COPIA!$BL$1,CONCATENATE((INDIRECT(ADDRESS(ROW()-COPIA!$BM$1,131,4,,"COPIA")))),COPIA!EJ43)="SALDO ECONOMICO POSITIVO"),REPLACE(IF((ROW())&gt;=COPIA!$BL$1,CONCATENATE((INDIRECT(ADDRESS(ROW()-COPIA!$BM$1,131,4,,"COPIA")))),COPIA!EJ43),1,30,"UTILE D'ESERCIZIO"),IF((ROW())&gt;=COPIA!$BL$1,CONCATENATE((INDIRECT(ADDRESS(ROW()-COPIA!$BM$1,131,4,,"COPIA")))),COPIA!EJ43))</f>
        <v/>
      </c>
      <c r="E50" s="81" t="str">
        <f ca="1">IFERROR(IF(AND(ROW()&lt;=COPIA!$BL$1,COPIA!EK43&lt;&gt;0),COPIA!EK43,IF(AND(ROW()&gt;COPIA!$BL$1,INDEX(COPIA!$EA$2:$EC$200,MATCH('SIT.PATR._SIT.ECON.'!D50,COPIA!$EA$2:$EA$200,0),3)&lt;&gt;0),INDEX(COPIA!$EA$2:$EC$200,MATCH('SIT.PATR._SIT.ECON.'!D50,COPIA!$EA$2:$EA$200,0),3),"")),"")</f>
        <v/>
      </c>
      <c r="F50" s="18"/>
    </row>
    <row r="51" spans="1:6" ht="15.9" customHeight="1" x14ac:dyDescent="0.3">
      <c r="A51" s="7" t="str">
        <f t="shared" ca="1" si="1"/>
        <v/>
      </c>
      <c r="B51" s="72" t="str">
        <f ca="1">IF(AND(COPIA!$CP$1=TRUE,IF((ROW())&gt;=COPIA!$BL$1,INDIRECT(ADDRESS(ROW()-COPIA!$BM$1,10,4,,"COPIA")),COPIA!EF44)="SALDO ECONOMICO NEGATIVO"),REPLACE("SALDO ECONOMICO NEGATIVO",1,30,"PERDITA D'ESERCIZIO"),IF((ROW())&gt;=COPIA!$BL$1,INDIRECT(ADDRESS(ROW()-COPIA!$BM$1,10,4,,"COPIA")),COPIA!EF44))</f>
        <v/>
      </c>
      <c r="C51" s="78" t="str">
        <f ca="1">IFERROR(IF(AND(COPIA!EG44&lt;&gt;0,ROW()&lt;=COPIA!$BL$1),COPIA!EG44,IF(AND(ROW()&gt;COPIA!$BL$1,INDEX(COPIA!$J$2:$L$200,MATCH('SIT.PATR._SIT.ECON.'!B51,COPIA!$J$2:$J$200,0),3)&lt;&gt;0),INDEX(COPIA!$J$2:$L$200,MATCH('SIT.PATR._SIT.ECON.'!B51,COPIA!$J$2:$J$200,0),3),"")),"")</f>
        <v/>
      </c>
      <c r="D51" s="72" t="str">
        <f ca="1">IF(AND(COPIA!$CP$1=TRUE,IF((ROW())&gt;=COPIA!$BL$1,CONCATENATE((INDIRECT(ADDRESS(ROW()-COPIA!$BM$1,131,4,,"COPIA")))),COPIA!EJ44)="SALDO ECONOMICO POSITIVO"),REPLACE(IF((ROW())&gt;=COPIA!$BL$1,CONCATENATE((INDIRECT(ADDRESS(ROW()-COPIA!$BM$1,131,4,,"COPIA")))),COPIA!EJ44),1,30,"UTILE D'ESERCIZIO"),IF((ROW())&gt;=COPIA!$BL$1,CONCATENATE((INDIRECT(ADDRESS(ROW()-COPIA!$BM$1,131,4,,"COPIA")))),COPIA!EJ44))</f>
        <v/>
      </c>
      <c r="E51" s="81" t="str">
        <f ca="1">IFERROR(IF(AND(ROW()&lt;=COPIA!$BL$1,COPIA!EK44&lt;&gt;0),COPIA!EK44,IF(AND(ROW()&gt;COPIA!$BL$1,INDEX(COPIA!$EA$2:$EC$200,MATCH('SIT.PATR._SIT.ECON.'!D51,COPIA!$EA$2:$EA$200,0),3)&lt;&gt;0),INDEX(COPIA!$EA$2:$EC$200,MATCH('SIT.PATR._SIT.ECON.'!D51,COPIA!$EA$2:$EA$200,0),3),"")),"")</f>
        <v/>
      </c>
      <c r="F51" s="18"/>
    </row>
    <row r="52" spans="1:6" ht="15.9" customHeight="1" x14ac:dyDescent="0.3">
      <c r="A52" s="7" t="str">
        <f t="shared" ca="1" si="1"/>
        <v/>
      </c>
      <c r="B52" s="72" t="str">
        <f ca="1">IF(AND(COPIA!$CP$1=TRUE,IF((ROW())&gt;=COPIA!$BL$1,INDIRECT(ADDRESS(ROW()-COPIA!$BM$1,10,4,,"COPIA")),COPIA!EF45)="SALDO ECONOMICO NEGATIVO"),REPLACE("SALDO ECONOMICO NEGATIVO",1,30,"PERDITA D'ESERCIZIO"),IF((ROW())&gt;=COPIA!$BL$1,INDIRECT(ADDRESS(ROW()-COPIA!$BM$1,10,4,,"COPIA")),COPIA!EF45))</f>
        <v/>
      </c>
      <c r="C52" s="78" t="str">
        <f ca="1">IFERROR(IF(AND(COPIA!EG45&lt;&gt;0,ROW()&lt;=COPIA!$BL$1),COPIA!EG45,IF(AND(ROW()&gt;COPIA!$BL$1,INDEX(COPIA!$J$2:$L$200,MATCH('SIT.PATR._SIT.ECON.'!B52,COPIA!$J$2:$J$200,0),3)&lt;&gt;0),INDEX(COPIA!$J$2:$L$200,MATCH('SIT.PATR._SIT.ECON.'!B52,COPIA!$J$2:$J$200,0),3),"")),"")</f>
        <v/>
      </c>
      <c r="D52" s="72" t="str">
        <f ca="1">IF(AND(COPIA!$CP$1=TRUE,IF((ROW())&gt;=COPIA!$BL$1,CONCATENATE((INDIRECT(ADDRESS(ROW()-COPIA!$BM$1,131,4,,"COPIA")))),COPIA!EJ45)="SALDO ECONOMICO POSITIVO"),REPLACE(IF((ROW())&gt;=COPIA!$BL$1,CONCATENATE((INDIRECT(ADDRESS(ROW()-COPIA!$BM$1,131,4,,"COPIA")))),COPIA!EJ45),1,30,"UTILE D'ESERCIZIO"),IF((ROW())&gt;=COPIA!$BL$1,CONCATENATE((INDIRECT(ADDRESS(ROW()-COPIA!$BM$1,131,4,,"COPIA")))),COPIA!EJ45))</f>
        <v/>
      </c>
      <c r="E52" s="81" t="str">
        <f ca="1">IFERROR(IF(AND(ROW()&lt;=COPIA!$BL$1,COPIA!EK45&lt;&gt;0),COPIA!EK45,IF(AND(ROW()&gt;COPIA!$BL$1,INDEX(COPIA!$EA$2:$EC$200,MATCH('SIT.PATR._SIT.ECON.'!D52,COPIA!$EA$2:$EA$200,0),3)&lt;&gt;0),INDEX(COPIA!$EA$2:$EC$200,MATCH('SIT.PATR._SIT.ECON.'!D52,COPIA!$EA$2:$EA$200,0),3),"")),"")</f>
        <v/>
      </c>
      <c r="F52" s="18"/>
    </row>
    <row r="53" spans="1:6" ht="15.9" customHeight="1" x14ac:dyDescent="0.3">
      <c r="A53" s="7" t="str">
        <f t="shared" ca="1" si="1"/>
        <v/>
      </c>
      <c r="B53" s="72" t="str">
        <f ca="1">IF(AND(COPIA!$CP$1=TRUE,IF((ROW())&gt;=COPIA!$BL$1,INDIRECT(ADDRESS(ROW()-COPIA!$BM$1,10,4,,"COPIA")),COPIA!EF46)="SALDO ECONOMICO NEGATIVO"),REPLACE("SALDO ECONOMICO NEGATIVO",1,30,"PERDITA D'ESERCIZIO"),IF((ROW())&gt;=COPIA!$BL$1,INDIRECT(ADDRESS(ROW()-COPIA!$BM$1,10,4,,"COPIA")),COPIA!EF46))</f>
        <v/>
      </c>
      <c r="C53" s="78" t="str">
        <f ca="1">IFERROR(IF(AND(COPIA!EG46&lt;&gt;0,ROW()&lt;=COPIA!$BL$1),COPIA!EG46,IF(AND(ROW()&gt;COPIA!$BL$1,INDEX(COPIA!$J$2:$L$200,MATCH('SIT.PATR._SIT.ECON.'!B53,COPIA!$J$2:$J$200,0),3)&lt;&gt;0),INDEX(COPIA!$J$2:$L$200,MATCH('SIT.PATR._SIT.ECON.'!B53,COPIA!$J$2:$J$200,0),3),"")),"")</f>
        <v/>
      </c>
      <c r="D53" s="72" t="str">
        <f ca="1">IF(AND(COPIA!$CP$1=TRUE,IF((ROW())&gt;=COPIA!$BL$1,CONCATENATE((INDIRECT(ADDRESS(ROW()-COPIA!$BM$1,131,4,,"COPIA")))),COPIA!EJ46)="SALDO ECONOMICO POSITIVO"),REPLACE(IF((ROW())&gt;=COPIA!$BL$1,CONCATENATE((INDIRECT(ADDRESS(ROW()-COPIA!$BM$1,131,4,,"COPIA")))),COPIA!EJ46),1,30,"UTILE D'ESERCIZIO"),IF((ROW())&gt;=COPIA!$BL$1,CONCATENATE((INDIRECT(ADDRESS(ROW()-COPIA!$BM$1,131,4,,"COPIA")))),COPIA!EJ46))</f>
        <v/>
      </c>
      <c r="E53" s="81" t="str">
        <f ca="1">IFERROR(IF(AND(ROW()&lt;=COPIA!$BL$1,COPIA!EK46&lt;&gt;0),COPIA!EK46,IF(AND(ROW()&gt;COPIA!$BL$1,INDEX(COPIA!$EA$2:$EC$200,MATCH('SIT.PATR._SIT.ECON.'!D53,COPIA!$EA$2:$EA$200,0),3)&lt;&gt;0),INDEX(COPIA!$EA$2:$EC$200,MATCH('SIT.PATR._SIT.ECON.'!D53,COPIA!$EA$2:$EA$200,0),3),"")),"")</f>
        <v/>
      </c>
      <c r="F53" s="18"/>
    </row>
    <row r="54" spans="1:6" ht="15.9" customHeight="1" x14ac:dyDescent="0.3">
      <c r="A54" s="7" t="str">
        <f t="shared" ca="1" si="1"/>
        <v/>
      </c>
      <c r="B54" s="72" t="str">
        <f ca="1">IF(AND(COPIA!$CP$1=TRUE,IF((ROW())&gt;=COPIA!$BL$1,INDIRECT(ADDRESS(ROW()-COPIA!$BM$1,10,4,,"COPIA")),COPIA!EF47)="SALDO ECONOMICO NEGATIVO"),REPLACE("SALDO ECONOMICO NEGATIVO",1,30,"PERDITA D'ESERCIZIO"),IF((ROW())&gt;=COPIA!$BL$1,INDIRECT(ADDRESS(ROW()-COPIA!$BM$1,10,4,,"COPIA")),COPIA!EF47))</f>
        <v/>
      </c>
      <c r="C54" s="78" t="str">
        <f ca="1">IFERROR(IF(AND(COPIA!EG47&lt;&gt;0,ROW()&lt;=COPIA!$BL$1),COPIA!EG47,IF(AND(ROW()&gt;COPIA!$BL$1,INDEX(COPIA!$J$2:$L$200,MATCH('SIT.PATR._SIT.ECON.'!B54,COPIA!$J$2:$J$200,0),3)&lt;&gt;0),INDEX(COPIA!$J$2:$L$200,MATCH('SIT.PATR._SIT.ECON.'!B54,COPIA!$J$2:$J$200,0),3),"")),"")</f>
        <v/>
      </c>
      <c r="D54" s="72" t="str">
        <f ca="1">IF(AND(COPIA!$CP$1=TRUE,IF((ROW())&gt;=COPIA!$BL$1,CONCATENATE((INDIRECT(ADDRESS(ROW()-COPIA!$BM$1,131,4,,"COPIA")))),COPIA!EJ47)="SALDO ECONOMICO POSITIVO"),REPLACE(IF((ROW())&gt;=COPIA!$BL$1,CONCATENATE((INDIRECT(ADDRESS(ROW()-COPIA!$BM$1,131,4,,"COPIA")))),COPIA!EJ47),1,30,"UTILE D'ESERCIZIO"),IF((ROW())&gt;=COPIA!$BL$1,CONCATENATE((INDIRECT(ADDRESS(ROW()-COPIA!$BM$1,131,4,,"COPIA")))),COPIA!EJ47))</f>
        <v/>
      </c>
      <c r="E54" s="81" t="str">
        <f ca="1">IFERROR(IF(AND(ROW()&lt;=COPIA!$BL$1,COPIA!EK47&lt;&gt;0),COPIA!EK47,IF(AND(ROW()&gt;COPIA!$BL$1,INDEX(COPIA!$EA$2:$EC$200,MATCH('SIT.PATR._SIT.ECON.'!D54,COPIA!$EA$2:$EA$200,0),3)&lt;&gt;0),INDEX(COPIA!$EA$2:$EC$200,MATCH('SIT.PATR._SIT.ECON.'!D54,COPIA!$EA$2:$EA$200,0),3),"")),"")</f>
        <v/>
      </c>
      <c r="F54" s="18"/>
    </row>
    <row r="55" spans="1:6" ht="15.9" customHeight="1" x14ac:dyDescent="0.3">
      <c r="A55" s="7" t="str">
        <f t="shared" ca="1" si="1"/>
        <v/>
      </c>
      <c r="B55" s="72" t="str">
        <f ca="1">IF(AND(COPIA!$CP$1=TRUE,IF((ROW())&gt;=COPIA!$BL$1,INDIRECT(ADDRESS(ROW()-COPIA!$BM$1,10,4,,"COPIA")),COPIA!EF48)="SALDO ECONOMICO NEGATIVO"),REPLACE("SALDO ECONOMICO NEGATIVO",1,30,"PERDITA D'ESERCIZIO"),IF((ROW())&gt;=COPIA!$BL$1,INDIRECT(ADDRESS(ROW()-COPIA!$BM$1,10,4,,"COPIA")),COPIA!EF48))</f>
        <v/>
      </c>
      <c r="C55" s="78" t="str">
        <f ca="1">IFERROR(IF(AND(COPIA!EG48&lt;&gt;0,ROW()&lt;=COPIA!$BL$1),COPIA!EG48,IF(AND(ROW()&gt;COPIA!$BL$1,INDEX(COPIA!$J$2:$L$200,MATCH('SIT.PATR._SIT.ECON.'!B55,COPIA!$J$2:$J$200,0),3)&lt;&gt;0),INDEX(COPIA!$J$2:$L$200,MATCH('SIT.PATR._SIT.ECON.'!B55,COPIA!$J$2:$J$200,0),3),"")),"")</f>
        <v/>
      </c>
      <c r="D55" s="72" t="str">
        <f ca="1">IF(AND(COPIA!$CP$1=TRUE,IF((ROW())&gt;=COPIA!$BL$1,CONCATENATE((INDIRECT(ADDRESS(ROW()-COPIA!$BM$1,131,4,,"COPIA")))),COPIA!EJ48)="SALDO ECONOMICO POSITIVO"),REPLACE(IF((ROW())&gt;=COPIA!$BL$1,CONCATENATE((INDIRECT(ADDRESS(ROW()-COPIA!$BM$1,131,4,,"COPIA")))),COPIA!EJ48),1,30,"UTILE D'ESERCIZIO"),IF((ROW())&gt;=COPIA!$BL$1,CONCATENATE((INDIRECT(ADDRESS(ROW()-COPIA!$BM$1,131,4,,"COPIA")))),COPIA!EJ48))</f>
        <v/>
      </c>
      <c r="E55" s="81" t="str">
        <f ca="1">IFERROR(IF(AND(ROW()&lt;=COPIA!$BL$1,COPIA!EK48&lt;&gt;0),COPIA!EK48,IF(AND(ROW()&gt;COPIA!$BL$1,INDEX(COPIA!$EA$2:$EC$200,MATCH('SIT.PATR._SIT.ECON.'!D55,COPIA!$EA$2:$EA$200,0),3)&lt;&gt;0),INDEX(COPIA!$EA$2:$EC$200,MATCH('SIT.PATR._SIT.ECON.'!D55,COPIA!$EA$2:$EA$200,0),3),"")),"")</f>
        <v/>
      </c>
      <c r="F55" s="18"/>
    </row>
    <row r="56" spans="1:6" ht="15.9" customHeight="1" x14ac:dyDescent="0.3">
      <c r="A56" s="7" t="str">
        <f t="shared" ca="1" si="1"/>
        <v/>
      </c>
      <c r="B56" s="72" t="str">
        <f ca="1">IF(AND(COPIA!$CP$1=TRUE,IF((ROW())&gt;=COPIA!$BL$1,INDIRECT(ADDRESS(ROW()-COPIA!$BM$1,10,4,,"COPIA")),COPIA!EF49)="SALDO ECONOMICO NEGATIVO"),REPLACE("SALDO ECONOMICO NEGATIVO",1,30,"PERDITA D'ESERCIZIO"),IF((ROW())&gt;=COPIA!$BL$1,INDIRECT(ADDRESS(ROW()-COPIA!$BM$1,10,4,,"COPIA")),COPIA!EF49))</f>
        <v/>
      </c>
      <c r="C56" s="78" t="str">
        <f ca="1">IFERROR(IF(AND(COPIA!EG49&lt;&gt;0,ROW()&lt;=COPIA!$BL$1),COPIA!EG49,IF(AND(ROW()&gt;COPIA!$BL$1,INDEX(COPIA!$J$2:$L$200,MATCH('SIT.PATR._SIT.ECON.'!B56,COPIA!$J$2:$J$200,0),3)&lt;&gt;0),INDEX(COPIA!$J$2:$L$200,MATCH('SIT.PATR._SIT.ECON.'!B56,COPIA!$J$2:$J$200,0),3),"")),"")</f>
        <v/>
      </c>
      <c r="D56" s="72" t="str">
        <f ca="1">IF(AND(COPIA!$CP$1=TRUE,IF((ROW())&gt;=COPIA!$BL$1,CONCATENATE((INDIRECT(ADDRESS(ROW()-COPIA!$BM$1,131,4,,"COPIA")))),COPIA!EJ49)="SALDO ECONOMICO POSITIVO"),REPLACE(IF((ROW())&gt;=COPIA!$BL$1,CONCATENATE((INDIRECT(ADDRESS(ROW()-COPIA!$BM$1,131,4,,"COPIA")))),COPIA!EJ49),1,30,"UTILE D'ESERCIZIO"),IF((ROW())&gt;=COPIA!$BL$1,CONCATENATE((INDIRECT(ADDRESS(ROW()-COPIA!$BM$1,131,4,,"COPIA")))),COPIA!EJ49))</f>
        <v/>
      </c>
      <c r="E56" s="81" t="str">
        <f ca="1">IFERROR(IF(AND(ROW()&lt;=COPIA!$BL$1,COPIA!EK49&lt;&gt;0),COPIA!EK49,IF(AND(ROW()&gt;COPIA!$BL$1,INDEX(COPIA!$EA$2:$EC$200,MATCH('SIT.PATR._SIT.ECON.'!D56,COPIA!$EA$2:$EA$200,0),3)&lt;&gt;0),INDEX(COPIA!$EA$2:$EC$200,MATCH('SIT.PATR._SIT.ECON.'!D56,COPIA!$EA$2:$EA$200,0),3),"")),"")</f>
        <v/>
      </c>
      <c r="F56" s="18"/>
    </row>
    <row r="57" spans="1:6" ht="15.9" customHeight="1" x14ac:dyDescent="0.3">
      <c r="A57" s="7" t="str">
        <f t="shared" ca="1" si="1"/>
        <v/>
      </c>
      <c r="B57" s="72" t="str">
        <f ca="1">IF(AND(COPIA!$CP$1=TRUE,IF((ROW())&gt;=COPIA!$BL$1,INDIRECT(ADDRESS(ROW()-COPIA!$BM$1,10,4,,"COPIA")),COPIA!EF50)="SALDO ECONOMICO NEGATIVO"),REPLACE("SALDO ECONOMICO NEGATIVO",1,30,"PERDITA D'ESERCIZIO"),IF((ROW())&gt;=COPIA!$BL$1,INDIRECT(ADDRESS(ROW()-COPIA!$BM$1,10,4,,"COPIA")),COPIA!EF50))</f>
        <v/>
      </c>
      <c r="C57" s="78" t="str">
        <f ca="1">IFERROR(IF(AND(COPIA!EG50&lt;&gt;0,ROW()&lt;=COPIA!$BL$1),COPIA!EG50,IF(AND(ROW()&gt;COPIA!$BL$1,INDEX(COPIA!$J$2:$L$200,MATCH('SIT.PATR._SIT.ECON.'!B57,COPIA!$J$2:$J$200,0),3)&lt;&gt;0),INDEX(COPIA!$J$2:$L$200,MATCH('SIT.PATR._SIT.ECON.'!B57,COPIA!$J$2:$J$200,0),3),"")),"")</f>
        <v/>
      </c>
      <c r="D57" s="72" t="str">
        <f ca="1">IF(AND(COPIA!$CP$1=TRUE,IF((ROW())&gt;=COPIA!$BL$1,CONCATENATE((INDIRECT(ADDRESS(ROW()-COPIA!$BM$1,131,4,,"COPIA")))),COPIA!EJ50)="SALDO ECONOMICO POSITIVO"),REPLACE(IF((ROW())&gt;=COPIA!$BL$1,CONCATENATE((INDIRECT(ADDRESS(ROW()-COPIA!$BM$1,131,4,,"COPIA")))),COPIA!EJ50),1,30,"UTILE D'ESERCIZIO"),IF((ROW())&gt;=COPIA!$BL$1,CONCATENATE((INDIRECT(ADDRESS(ROW()-COPIA!$BM$1,131,4,,"COPIA")))),COPIA!EJ50))</f>
        <v/>
      </c>
      <c r="E57" s="81" t="str">
        <f ca="1">IFERROR(IF(AND(ROW()&lt;=COPIA!$BL$1,COPIA!EK50&lt;&gt;0),COPIA!EK50,IF(AND(ROW()&gt;COPIA!$BL$1,INDEX(COPIA!$EA$2:$EC$200,MATCH('SIT.PATR._SIT.ECON.'!D57,COPIA!$EA$2:$EA$200,0),3)&lt;&gt;0),INDEX(COPIA!$EA$2:$EC$200,MATCH('SIT.PATR._SIT.ECON.'!D57,COPIA!$EA$2:$EA$200,0),3),"")),"")</f>
        <v/>
      </c>
      <c r="F57" s="18"/>
    </row>
    <row r="58" spans="1:6" ht="15.9" customHeight="1" x14ac:dyDescent="0.3">
      <c r="A58" s="7" t="str">
        <f t="shared" ca="1" si="1"/>
        <v/>
      </c>
      <c r="B58" s="72" t="str">
        <f ca="1">IF(AND(COPIA!$CP$1=TRUE,IF((ROW())&gt;=COPIA!$BL$1,INDIRECT(ADDRESS(ROW()-COPIA!$BM$1,10,4,,"COPIA")),COPIA!EF51)="SALDO ECONOMICO NEGATIVO"),REPLACE("SALDO ECONOMICO NEGATIVO",1,30,"PERDITA D'ESERCIZIO"),IF((ROW())&gt;=COPIA!$BL$1,INDIRECT(ADDRESS(ROW()-COPIA!$BM$1,10,4,,"COPIA")),COPIA!EF51))</f>
        <v/>
      </c>
      <c r="C58" s="78" t="str">
        <f ca="1">IFERROR(IF(AND(COPIA!EG51&lt;&gt;0,ROW()&lt;=COPIA!$BL$1),COPIA!EG51,IF(AND(ROW()&gt;COPIA!$BL$1,INDEX(COPIA!$J$2:$L$200,MATCH('SIT.PATR._SIT.ECON.'!B58,COPIA!$J$2:$J$200,0),3)&lt;&gt;0),INDEX(COPIA!$J$2:$L$200,MATCH('SIT.PATR._SIT.ECON.'!B58,COPIA!$J$2:$J$200,0),3),"")),"")</f>
        <v/>
      </c>
      <c r="D58" s="72" t="str">
        <f ca="1">IF(AND(COPIA!$CP$1=TRUE,IF((ROW())&gt;=COPIA!$BL$1,CONCATENATE((INDIRECT(ADDRESS(ROW()-COPIA!$BM$1,131,4,,"COPIA")))),COPIA!EJ51)="SALDO ECONOMICO POSITIVO"),REPLACE(IF((ROW())&gt;=COPIA!$BL$1,CONCATENATE((INDIRECT(ADDRESS(ROW()-COPIA!$BM$1,131,4,,"COPIA")))),COPIA!EJ51),1,30,"UTILE D'ESERCIZIO"),IF((ROW())&gt;=COPIA!$BL$1,CONCATENATE((INDIRECT(ADDRESS(ROW()-COPIA!$BM$1,131,4,,"COPIA")))),COPIA!EJ51))</f>
        <v/>
      </c>
      <c r="E58" s="81" t="str">
        <f ca="1">IFERROR(IF(AND(ROW()&lt;=COPIA!$BL$1,COPIA!EK51&lt;&gt;0),COPIA!EK51,IF(AND(ROW()&gt;COPIA!$BL$1,INDEX(COPIA!$EA$2:$EC$200,MATCH('SIT.PATR._SIT.ECON.'!D58,COPIA!$EA$2:$EA$200,0),3)&lt;&gt;0),INDEX(COPIA!$EA$2:$EC$200,MATCH('SIT.PATR._SIT.ECON.'!D58,COPIA!$EA$2:$EA$200,0),3),"")),"")</f>
        <v/>
      </c>
      <c r="F58" s="18"/>
    </row>
    <row r="59" spans="1:6" ht="15.9" customHeight="1" x14ac:dyDescent="0.3">
      <c r="A59" s="7" t="str">
        <f t="shared" ca="1" si="1"/>
        <v/>
      </c>
      <c r="B59" s="72" t="str">
        <f ca="1">IF(AND(COPIA!$CP$1=TRUE,IF((ROW())&gt;=COPIA!$BL$1,INDIRECT(ADDRESS(ROW()-COPIA!$BM$1,10,4,,"COPIA")),COPIA!EF52)="SALDO ECONOMICO NEGATIVO"),REPLACE("SALDO ECONOMICO NEGATIVO",1,30,"PERDITA D'ESERCIZIO"),IF((ROW())&gt;=COPIA!$BL$1,INDIRECT(ADDRESS(ROW()-COPIA!$BM$1,10,4,,"COPIA")),COPIA!EF52))</f>
        <v/>
      </c>
      <c r="C59" s="78" t="str">
        <f ca="1">IFERROR(IF(AND(COPIA!EG52&lt;&gt;0,ROW()&lt;=COPIA!$BL$1),COPIA!EG52,IF(AND(ROW()&gt;COPIA!$BL$1,INDEX(COPIA!$J$2:$L$200,MATCH('SIT.PATR._SIT.ECON.'!B59,COPIA!$J$2:$J$200,0),3)&lt;&gt;0),INDEX(COPIA!$J$2:$L$200,MATCH('SIT.PATR._SIT.ECON.'!B59,COPIA!$J$2:$J$200,0),3),"")),"")</f>
        <v/>
      </c>
      <c r="D59" s="72" t="str">
        <f ca="1">IF(AND(COPIA!$CP$1=TRUE,IF((ROW())&gt;=COPIA!$BL$1,CONCATENATE((INDIRECT(ADDRESS(ROW()-COPIA!$BM$1,131,4,,"COPIA")))),COPIA!EJ52)="SALDO ECONOMICO POSITIVO"),REPLACE(IF((ROW())&gt;=COPIA!$BL$1,CONCATENATE((INDIRECT(ADDRESS(ROW()-COPIA!$BM$1,131,4,,"COPIA")))),COPIA!EJ52),1,30,"UTILE D'ESERCIZIO"),IF((ROW())&gt;=COPIA!$BL$1,CONCATENATE((INDIRECT(ADDRESS(ROW()-COPIA!$BM$1,131,4,,"COPIA")))),COPIA!EJ52))</f>
        <v/>
      </c>
      <c r="E59" s="81" t="str">
        <f ca="1">IFERROR(IF(AND(ROW()&lt;=COPIA!$BL$1,COPIA!EK52&lt;&gt;0),COPIA!EK52,IF(AND(ROW()&gt;COPIA!$BL$1,INDEX(COPIA!$EA$2:$EC$200,MATCH('SIT.PATR._SIT.ECON.'!D59,COPIA!$EA$2:$EA$200,0),3)&lt;&gt;0),INDEX(COPIA!$EA$2:$EC$200,MATCH('SIT.PATR._SIT.ECON.'!D59,COPIA!$EA$2:$EA$200,0),3),"")),"")</f>
        <v/>
      </c>
      <c r="F59" s="18"/>
    </row>
    <row r="60" spans="1:6" ht="15.9" customHeight="1" x14ac:dyDescent="0.3">
      <c r="A60" s="7" t="str">
        <f t="shared" ca="1" si="1"/>
        <v/>
      </c>
      <c r="B60" s="72" t="str">
        <f ca="1">IF(AND(COPIA!$CP$1=TRUE,IF((ROW())&gt;=COPIA!$BL$1,INDIRECT(ADDRESS(ROW()-COPIA!$BM$1,10,4,,"COPIA")),COPIA!EF53)="SALDO ECONOMICO NEGATIVO"),REPLACE("SALDO ECONOMICO NEGATIVO",1,30,"PERDITA D'ESERCIZIO"),IF((ROW())&gt;=COPIA!$BL$1,INDIRECT(ADDRESS(ROW()-COPIA!$BM$1,10,4,,"COPIA")),COPIA!EF53))</f>
        <v/>
      </c>
      <c r="C60" s="78" t="str">
        <f ca="1">IFERROR(IF(AND(COPIA!EG53&lt;&gt;0,ROW()&lt;=COPIA!$BL$1),COPIA!EG53,IF(AND(ROW()&gt;COPIA!$BL$1,INDEX(COPIA!$J$2:$L$200,MATCH('SIT.PATR._SIT.ECON.'!B60,COPIA!$J$2:$J$200,0),3)&lt;&gt;0),INDEX(COPIA!$J$2:$L$200,MATCH('SIT.PATR._SIT.ECON.'!B60,COPIA!$J$2:$J$200,0),3),"")),"")</f>
        <v/>
      </c>
      <c r="D60" s="72" t="str">
        <f ca="1">IF(AND(COPIA!$CP$1=TRUE,IF((ROW())&gt;=COPIA!$BL$1,CONCATENATE((INDIRECT(ADDRESS(ROW()-COPIA!$BM$1,131,4,,"COPIA")))),COPIA!EJ53)="SALDO ECONOMICO POSITIVO"),REPLACE(IF((ROW())&gt;=COPIA!$BL$1,CONCATENATE((INDIRECT(ADDRESS(ROW()-COPIA!$BM$1,131,4,,"COPIA")))),COPIA!EJ53),1,30,"UTILE D'ESERCIZIO"),IF((ROW())&gt;=COPIA!$BL$1,CONCATENATE((INDIRECT(ADDRESS(ROW()-COPIA!$BM$1,131,4,,"COPIA")))),COPIA!EJ53))</f>
        <v/>
      </c>
      <c r="E60" s="81" t="str">
        <f ca="1">IFERROR(IF(AND(ROW()&lt;=COPIA!$BL$1,COPIA!EK53&lt;&gt;0),COPIA!EK53,IF(AND(ROW()&gt;COPIA!$BL$1,INDEX(COPIA!$EA$2:$EC$200,MATCH('SIT.PATR._SIT.ECON.'!D60,COPIA!$EA$2:$EA$200,0),3)&lt;&gt;0),INDEX(COPIA!$EA$2:$EC$200,MATCH('SIT.PATR._SIT.ECON.'!D60,COPIA!$EA$2:$EA$200,0),3),"")),"")</f>
        <v/>
      </c>
      <c r="F60" s="18"/>
    </row>
    <row r="61" spans="1:6" ht="15.9" customHeight="1" x14ac:dyDescent="0.3">
      <c r="A61" s="7" t="str">
        <f t="shared" ca="1" si="1"/>
        <v/>
      </c>
      <c r="B61" s="72" t="str">
        <f ca="1">IF(AND(COPIA!$CP$1=TRUE,IF((ROW())&gt;=COPIA!$BL$1,INDIRECT(ADDRESS(ROW()-COPIA!$BM$1,10,4,,"COPIA")),COPIA!EF54)="SALDO ECONOMICO NEGATIVO"),REPLACE("SALDO ECONOMICO NEGATIVO",1,30,"PERDITA D'ESERCIZIO"),IF((ROW())&gt;=COPIA!$BL$1,INDIRECT(ADDRESS(ROW()-COPIA!$BM$1,10,4,,"COPIA")),COPIA!EF54))</f>
        <v/>
      </c>
      <c r="C61" s="78" t="str">
        <f ca="1">IFERROR(IF(AND(COPIA!EG54&lt;&gt;0,ROW()&lt;=COPIA!$BL$1),COPIA!EG54,IF(AND(ROW()&gt;COPIA!$BL$1,INDEX(COPIA!$J$2:$L$200,MATCH('SIT.PATR._SIT.ECON.'!B61,COPIA!$J$2:$J$200,0),3)&lt;&gt;0),INDEX(COPIA!$J$2:$L$200,MATCH('SIT.PATR._SIT.ECON.'!B61,COPIA!$J$2:$J$200,0),3),"")),"")</f>
        <v/>
      </c>
      <c r="D61" s="72" t="str">
        <f ca="1">IF(AND(COPIA!$CP$1=TRUE,IF((ROW())&gt;=COPIA!$BL$1,CONCATENATE((INDIRECT(ADDRESS(ROW()-COPIA!$BM$1,131,4,,"COPIA")))),COPIA!EJ54)="SALDO ECONOMICO POSITIVO"),REPLACE(IF((ROW())&gt;=COPIA!$BL$1,CONCATENATE((INDIRECT(ADDRESS(ROW()-COPIA!$BM$1,131,4,,"COPIA")))),COPIA!EJ54),1,30,"UTILE D'ESERCIZIO"),IF((ROW())&gt;=COPIA!$BL$1,CONCATENATE((INDIRECT(ADDRESS(ROW()-COPIA!$BM$1,131,4,,"COPIA")))),COPIA!EJ54))</f>
        <v/>
      </c>
      <c r="E61" s="81" t="str">
        <f ca="1">IFERROR(IF(AND(ROW()&lt;=COPIA!$BL$1,COPIA!EK54&lt;&gt;0),COPIA!EK54,IF(AND(ROW()&gt;COPIA!$BL$1,INDEX(COPIA!$EA$2:$EC$200,MATCH('SIT.PATR._SIT.ECON.'!D61,COPIA!$EA$2:$EA$200,0),3)&lt;&gt;0),INDEX(COPIA!$EA$2:$EC$200,MATCH('SIT.PATR._SIT.ECON.'!D61,COPIA!$EA$2:$EA$200,0),3),"")),"")</f>
        <v/>
      </c>
      <c r="F61" s="18"/>
    </row>
    <row r="62" spans="1:6" ht="15.9" customHeight="1" x14ac:dyDescent="0.3">
      <c r="A62" s="7" t="str">
        <f t="shared" ca="1" si="1"/>
        <v/>
      </c>
      <c r="B62" s="72" t="str">
        <f ca="1">IF(AND(COPIA!$CP$1=TRUE,IF((ROW())&gt;=COPIA!$BL$1,INDIRECT(ADDRESS(ROW()-COPIA!$BM$1,10,4,,"COPIA")),COPIA!EF55)="SALDO ECONOMICO NEGATIVO"),REPLACE("SALDO ECONOMICO NEGATIVO",1,30,"PERDITA D'ESERCIZIO"),IF((ROW())&gt;=COPIA!$BL$1,INDIRECT(ADDRESS(ROW()-COPIA!$BM$1,10,4,,"COPIA")),COPIA!EF55))</f>
        <v/>
      </c>
      <c r="C62" s="78" t="str">
        <f ca="1">IFERROR(IF(AND(COPIA!EG55&lt;&gt;0,ROW()&lt;=COPIA!$BL$1),COPIA!EG55,IF(AND(ROW()&gt;COPIA!$BL$1,INDEX(COPIA!$J$2:$L$200,MATCH('SIT.PATR._SIT.ECON.'!B62,COPIA!$J$2:$J$200,0),3)&lt;&gt;0),INDEX(COPIA!$J$2:$L$200,MATCH('SIT.PATR._SIT.ECON.'!B62,COPIA!$J$2:$J$200,0),3),"")),"")</f>
        <v/>
      </c>
      <c r="D62" s="72" t="str">
        <f ca="1">IF(AND(COPIA!$CP$1=TRUE,IF((ROW())&gt;=COPIA!$BL$1,CONCATENATE((INDIRECT(ADDRESS(ROW()-COPIA!$BM$1,131,4,,"COPIA")))),COPIA!EJ55)="SALDO ECONOMICO POSITIVO"),REPLACE(IF((ROW())&gt;=COPIA!$BL$1,CONCATENATE((INDIRECT(ADDRESS(ROW()-COPIA!$BM$1,131,4,,"COPIA")))),COPIA!EJ55),1,30,"UTILE D'ESERCIZIO"),IF((ROW())&gt;=COPIA!$BL$1,CONCATENATE((INDIRECT(ADDRESS(ROW()-COPIA!$BM$1,131,4,,"COPIA")))),COPIA!EJ55))</f>
        <v/>
      </c>
      <c r="E62" s="81" t="str">
        <f ca="1">IFERROR(IF(AND(ROW()&lt;=COPIA!$BL$1,COPIA!EK55&lt;&gt;0),COPIA!EK55,IF(AND(ROW()&gt;COPIA!$BL$1,INDEX(COPIA!$EA$2:$EC$200,MATCH('SIT.PATR._SIT.ECON.'!D62,COPIA!$EA$2:$EA$200,0),3)&lt;&gt;0),INDEX(COPIA!$EA$2:$EC$200,MATCH('SIT.PATR._SIT.ECON.'!D62,COPIA!$EA$2:$EA$200,0),3),"")),"")</f>
        <v/>
      </c>
      <c r="F62" s="18"/>
    </row>
    <row r="63" spans="1:6" ht="15.9" customHeight="1" x14ac:dyDescent="0.3">
      <c r="A63" s="7" t="str">
        <f t="shared" ca="1" si="1"/>
        <v/>
      </c>
      <c r="B63" s="72" t="str">
        <f ca="1">IF(AND(COPIA!$CP$1=TRUE,IF((ROW())&gt;=COPIA!$BL$1,INDIRECT(ADDRESS(ROW()-COPIA!$BM$1,10,4,,"COPIA")),COPIA!EF56)="SALDO ECONOMICO NEGATIVO"),REPLACE("SALDO ECONOMICO NEGATIVO",1,30,"PERDITA D'ESERCIZIO"),IF((ROW())&gt;=COPIA!$BL$1,INDIRECT(ADDRESS(ROW()-COPIA!$BM$1,10,4,,"COPIA")),COPIA!EF56))</f>
        <v/>
      </c>
      <c r="C63" s="78" t="str">
        <f ca="1">IFERROR(IF(AND(COPIA!EG56&lt;&gt;0,ROW()&lt;=COPIA!$BL$1),COPIA!EG56,IF(AND(ROW()&gt;COPIA!$BL$1,INDEX(COPIA!$J$2:$L$200,MATCH('SIT.PATR._SIT.ECON.'!B63,COPIA!$J$2:$J$200,0),3)&lt;&gt;0),INDEX(COPIA!$J$2:$L$200,MATCH('SIT.PATR._SIT.ECON.'!B63,COPIA!$J$2:$J$200,0),3),"")),"")</f>
        <v/>
      </c>
      <c r="D63" s="72" t="str">
        <f ca="1">IF(AND(COPIA!$CP$1=TRUE,IF((ROW())&gt;=COPIA!$BL$1,CONCATENATE((INDIRECT(ADDRESS(ROW()-COPIA!$BM$1,131,4,,"COPIA")))),COPIA!EJ56)="SALDO ECONOMICO POSITIVO"),REPLACE(IF((ROW())&gt;=COPIA!$BL$1,CONCATENATE((INDIRECT(ADDRESS(ROW()-COPIA!$BM$1,131,4,,"COPIA")))),COPIA!EJ56),1,30,"UTILE D'ESERCIZIO"),IF((ROW())&gt;=COPIA!$BL$1,CONCATENATE((INDIRECT(ADDRESS(ROW()-COPIA!$BM$1,131,4,,"COPIA")))),COPIA!EJ56))</f>
        <v/>
      </c>
      <c r="E63" s="81" t="str">
        <f ca="1">IFERROR(IF(AND(ROW()&lt;=COPIA!$BL$1,COPIA!EK56&lt;&gt;0),COPIA!EK56,IF(AND(ROW()&gt;COPIA!$BL$1,INDEX(COPIA!$EA$2:$EC$200,MATCH('SIT.PATR._SIT.ECON.'!D63,COPIA!$EA$2:$EA$200,0),3)&lt;&gt;0),INDEX(COPIA!$EA$2:$EC$200,MATCH('SIT.PATR._SIT.ECON.'!D63,COPIA!$EA$2:$EA$200,0),3),"")),"")</f>
        <v/>
      </c>
      <c r="F63" s="18"/>
    </row>
    <row r="64" spans="1:6" ht="15.9" customHeight="1" x14ac:dyDescent="0.3">
      <c r="A64" s="7" t="str">
        <f t="shared" ca="1" si="1"/>
        <v/>
      </c>
      <c r="B64" s="72" t="str">
        <f ca="1">IF(AND(COPIA!$CP$1=TRUE,IF((ROW())&gt;=COPIA!$BL$1,INDIRECT(ADDRESS(ROW()-COPIA!$BM$1,10,4,,"COPIA")),COPIA!EF57)="SALDO ECONOMICO NEGATIVO"),REPLACE("SALDO ECONOMICO NEGATIVO",1,30,"PERDITA D'ESERCIZIO"),IF((ROW())&gt;=COPIA!$BL$1,INDIRECT(ADDRESS(ROW()-COPIA!$BM$1,10,4,,"COPIA")),COPIA!EF57))</f>
        <v/>
      </c>
      <c r="C64" s="78" t="str">
        <f ca="1">IFERROR(IF(AND(COPIA!EG57&lt;&gt;0,ROW()&lt;=COPIA!$BL$1),COPIA!EG57,IF(AND(ROW()&gt;COPIA!$BL$1,INDEX(COPIA!$J$2:$L$200,MATCH('SIT.PATR._SIT.ECON.'!B64,COPIA!$J$2:$J$200,0),3)&lt;&gt;0),INDEX(COPIA!$J$2:$L$200,MATCH('SIT.PATR._SIT.ECON.'!B64,COPIA!$J$2:$J$200,0),3),"")),"")</f>
        <v/>
      </c>
      <c r="D64" s="72" t="str">
        <f ca="1">IF(AND(COPIA!$CP$1=TRUE,IF((ROW())&gt;=COPIA!$BL$1,CONCATENATE((INDIRECT(ADDRESS(ROW()-COPIA!$BM$1,131,4,,"COPIA")))),COPIA!EJ57)="SALDO ECONOMICO POSITIVO"),REPLACE(IF((ROW())&gt;=COPIA!$BL$1,CONCATENATE((INDIRECT(ADDRESS(ROW()-COPIA!$BM$1,131,4,,"COPIA")))),COPIA!EJ57),1,30,"UTILE D'ESERCIZIO"),IF((ROW())&gt;=COPIA!$BL$1,CONCATENATE((INDIRECT(ADDRESS(ROW()-COPIA!$BM$1,131,4,,"COPIA")))),COPIA!EJ57))</f>
        <v/>
      </c>
      <c r="E64" s="81" t="str">
        <f ca="1">IFERROR(IF(AND(ROW()&lt;=COPIA!$BL$1,COPIA!EK57&lt;&gt;0),COPIA!EK57,IF(AND(ROW()&gt;COPIA!$BL$1,INDEX(COPIA!$EA$2:$EC$200,MATCH('SIT.PATR._SIT.ECON.'!D64,COPIA!$EA$2:$EA$200,0),3)&lt;&gt;0),INDEX(COPIA!$EA$2:$EC$200,MATCH('SIT.PATR._SIT.ECON.'!D64,COPIA!$EA$2:$EA$200,0),3),"")),"")</f>
        <v/>
      </c>
      <c r="F64" s="18"/>
    </row>
    <row r="65" spans="1:6" ht="15.9" customHeight="1" x14ac:dyDescent="0.3">
      <c r="A65" s="7" t="str">
        <f t="shared" ca="1" si="1"/>
        <v/>
      </c>
      <c r="B65" s="72" t="str">
        <f ca="1">IF(AND(COPIA!$CP$1=TRUE,IF((ROW())&gt;=COPIA!$BL$1,INDIRECT(ADDRESS(ROW()-COPIA!$BM$1,10,4,,"COPIA")),COPIA!EF58)="SALDO ECONOMICO NEGATIVO"),REPLACE("SALDO ECONOMICO NEGATIVO",1,30,"PERDITA D'ESERCIZIO"),IF((ROW())&gt;=COPIA!$BL$1,INDIRECT(ADDRESS(ROW()-COPIA!$BM$1,10,4,,"COPIA")),COPIA!EF58))</f>
        <v/>
      </c>
      <c r="C65" s="78" t="str">
        <f ca="1">IFERROR(IF(AND(COPIA!EG58&lt;&gt;0,ROW()&lt;=COPIA!$BL$1),COPIA!EG58,IF(AND(ROW()&gt;COPIA!$BL$1,INDEX(COPIA!$J$2:$L$200,MATCH('SIT.PATR._SIT.ECON.'!B65,COPIA!$J$2:$J$200,0),3)&lt;&gt;0),INDEX(COPIA!$J$2:$L$200,MATCH('SIT.PATR._SIT.ECON.'!B65,COPIA!$J$2:$J$200,0),3),"")),"")</f>
        <v/>
      </c>
      <c r="D65" s="72" t="str">
        <f ca="1">IF(AND(COPIA!$CP$1=TRUE,IF((ROW())&gt;=COPIA!$BL$1,CONCATENATE((INDIRECT(ADDRESS(ROW()-COPIA!$BM$1,131,4,,"COPIA")))),COPIA!EJ58)="SALDO ECONOMICO POSITIVO"),REPLACE(IF((ROW())&gt;=COPIA!$BL$1,CONCATENATE((INDIRECT(ADDRESS(ROW()-COPIA!$BM$1,131,4,,"COPIA")))),COPIA!EJ58),1,30,"UTILE D'ESERCIZIO"),IF((ROW())&gt;=COPIA!$BL$1,CONCATENATE((INDIRECT(ADDRESS(ROW()-COPIA!$BM$1,131,4,,"COPIA")))),COPIA!EJ58))</f>
        <v/>
      </c>
      <c r="E65" s="81" t="str">
        <f ca="1">IFERROR(IF(AND(ROW()&lt;=COPIA!$BL$1,COPIA!EK58&lt;&gt;0),COPIA!EK58,IF(AND(ROW()&gt;COPIA!$BL$1,INDEX(COPIA!$EA$2:$EC$200,MATCH('SIT.PATR._SIT.ECON.'!D65,COPIA!$EA$2:$EA$200,0),3)&lt;&gt;0),INDEX(COPIA!$EA$2:$EC$200,MATCH('SIT.PATR._SIT.ECON.'!D65,COPIA!$EA$2:$EA$200,0),3),"")),"")</f>
        <v/>
      </c>
      <c r="F65" s="18"/>
    </row>
    <row r="66" spans="1:6" ht="15.9" customHeight="1" x14ac:dyDescent="0.3">
      <c r="A66" s="7" t="str">
        <f t="shared" ca="1" si="1"/>
        <v/>
      </c>
      <c r="B66" s="72" t="str">
        <f ca="1">IF(AND(COPIA!$CP$1=TRUE,IF((ROW())&gt;=COPIA!$BL$1,INDIRECT(ADDRESS(ROW()-COPIA!$BM$1,10,4,,"COPIA")),COPIA!EF59)="SALDO ECONOMICO NEGATIVO"),REPLACE("SALDO ECONOMICO NEGATIVO",1,30,"PERDITA D'ESERCIZIO"),IF((ROW())&gt;=COPIA!$BL$1,INDIRECT(ADDRESS(ROW()-COPIA!$BM$1,10,4,,"COPIA")),COPIA!EF59))</f>
        <v/>
      </c>
      <c r="C66" s="78" t="str">
        <f ca="1">IFERROR(IF(AND(COPIA!EG59&lt;&gt;0,ROW()&lt;=COPIA!$BL$1),COPIA!EG59,IF(AND(ROW()&gt;COPIA!$BL$1,INDEX(COPIA!$J$2:$L$200,MATCH('SIT.PATR._SIT.ECON.'!B66,COPIA!$J$2:$J$200,0),3)&lt;&gt;0),INDEX(COPIA!$J$2:$L$200,MATCH('SIT.PATR._SIT.ECON.'!B66,COPIA!$J$2:$J$200,0),3),"")),"")</f>
        <v/>
      </c>
      <c r="D66" s="72" t="str">
        <f ca="1">IF(AND(COPIA!$CP$1=TRUE,IF((ROW())&gt;=COPIA!$BL$1,CONCATENATE((INDIRECT(ADDRESS(ROW()-COPIA!$BM$1,131,4,,"COPIA")))),COPIA!EJ59)="SALDO ECONOMICO POSITIVO"),REPLACE(IF((ROW())&gt;=COPIA!$BL$1,CONCATENATE((INDIRECT(ADDRESS(ROW()-COPIA!$BM$1,131,4,,"COPIA")))),COPIA!EJ59),1,30,"UTILE D'ESERCIZIO"),IF((ROW())&gt;=COPIA!$BL$1,CONCATENATE((INDIRECT(ADDRESS(ROW()-COPIA!$BM$1,131,4,,"COPIA")))),COPIA!EJ59))</f>
        <v/>
      </c>
      <c r="E66" s="81" t="str">
        <f ca="1">IFERROR(IF(AND(ROW()&lt;=COPIA!$BL$1,COPIA!EK59&lt;&gt;0),COPIA!EK59,IF(AND(ROW()&gt;COPIA!$BL$1,INDEX(COPIA!$EA$2:$EC$200,MATCH('SIT.PATR._SIT.ECON.'!D66,COPIA!$EA$2:$EA$200,0),3)&lt;&gt;0),INDEX(COPIA!$EA$2:$EC$200,MATCH('SIT.PATR._SIT.ECON.'!D66,COPIA!$EA$2:$EA$200,0),3),"")),"")</f>
        <v/>
      </c>
      <c r="F66" s="18"/>
    </row>
    <row r="67" spans="1:6" ht="15.9" customHeight="1" x14ac:dyDescent="0.3">
      <c r="A67" s="7" t="str">
        <f t="shared" ca="1" si="1"/>
        <v/>
      </c>
      <c r="B67" s="72" t="str">
        <f ca="1">IF(AND(COPIA!$CP$1=TRUE,IF((ROW())&gt;=COPIA!$BL$1,INDIRECT(ADDRESS(ROW()-COPIA!$BM$1,10,4,,"COPIA")),COPIA!EF60)="SALDO ECONOMICO NEGATIVO"),REPLACE("SALDO ECONOMICO NEGATIVO",1,30,"PERDITA D'ESERCIZIO"),IF((ROW())&gt;=COPIA!$BL$1,INDIRECT(ADDRESS(ROW()-COPIA!$BM$1,10,4,,"COPIA")),COPIA!EF60))</f>
        <v/>
      </c>
      <c r="C67" s="78" t="str">
        <f ca="1">IFERROR(IF(AND(COPIA!EG60&lt;&gt;0,ROW()&lt;=COPIA!$BL$1),COPIA!EG60,IF(AND(ROW()&gt;COPIA!$BL$1,INDEX(COPIA!$J$2:$L$200,MATCH('SIT.PATR._SIT.ECON.'!B67,COPIA!$J$2:$J$200,0),3)&lt;&gt;0),INDEX(COPIA!$J$2:$L$200,MATCH('SIT.PATR._SIT.ECON.'!B67,COPIA!$J$2:$J$200,0),3),"")),"")</f>
        <v/>
      </c>
      <c r="D67" s="72" t="str">
        <f ca="1">IF(AND(COPIA!$CP$1=TRUE,IF((ROW())&gt;=COPIA!$BL$1,CONCATENATE((INDIRECT(ADDRESS(ROW()-COPIA!$BM$1,131,4,,"COPIA")))),COPIA!EJ60)="SALDO ECONOMICO POSITIVO"),REPLACE(IF((ROW())&gt;=COPIA!$BL$1,CONCATENATE((INDIRECT(ADDRESS(ROW()-COPIA!$BM$1,131,4,,"COPIA")))),COPIA!EJ60),1,30,"UTILE D'ESERCIZIO"),IF((ROW())&gt;=COPIA!$BL$1,CONCATENATE((INDIRECT(ADDRESS(ROW()-COPIA!$BM$1,131,4,,"COPIA")))),COPIA!EJ60))</f>
        <v/>
      </c>
      <c r="E67" s="81" t="str">
        <f ca="1">IFERROR(IF(AND(ROW()&lt;=COPIA!$BL$1,COPIA!EK60&lt;&gt;0),COPIA!EK60,IF(AND(ROW()&gt;COPIA!$BL$1,INDEX(COPIA!$EA$2:$EC$200,MATCH('SIT.PATR._SIT.ECON.'!D67,COPIA!$EA$2:$EA$200,0),3)&lt;&gt;0),INDEX(COPIA!$EA$2:$EC$200,MATCH('SIT.PATR._SIT.ECON.'!D67,COPIA!$EA$2:$EA$200,0),3),"")),"")</f>
        <v/>
      </c>
      <c r="F67" s="18"/>
    </row>
    <row r="68" spans="1:6" ht="15.9" customHeight="1" x14ac:dyDescent="0.3">
      <c r="A68" s="7" t="str">
        <f t="shared" ca="1" si="1"/>
        <v/>
      </c>
      <c r="B68" s="72" t="str">
        <f ca="1">IF(AND(COPIA!$CP$1=TRUE,IF((ROW())&gt;=COPIA!$BL$1,INDIRECT(ADDRESS(ROW()-COPIA!$BM$1,10,4,,"COPIA")),COPIA!EF61)="SALDO ECONOMICO NEGATIVO"),REPLACE("SALDO ECONOMICO NEGATIVO",1,30,"PERDITA D'ESERCIZIO"),IF((ROW())&gt;=COPIA!$BL$1,INDIRECT(ADDRESS(ROW()-COPIA!$BM$1,10,4,,"COPIA")),COPIA!EF61))</f>
        <v/>
      </c>
      <c r="C68" s="78" t="str">
        <f ca="1">IFERROR(IF(AND(COPIA!EG61&lt;&gt;0,ROW()&lt;=COPIA!$BL$1),COPIA!EG61,IF(AND(ROW()&gt;COPIA!$BL$1,INDEX(COPIA!$J$2:$L$200,MATCH('SIT.PATR._SIT.ECON.'!B68,COPIA!$J$2:$J$200,0),3)&lt;&gt;0),INDEX(COPIA!$J$2:$L$200,MATCH('SIT.PATR._SIT.ECON.'!B68,COPIA!$J$2:$J$200,0),3),"")),"")</f>
        <v/>
      </c>
      <c r="D68" s="72" t="str">
        <f ca="1">IF(AND(COPIA!$CP$1=TRUE,IF((ROW())&gt;=COPIA!$BL$1,CONCATENATE((INDIRECT(ADDRESS(ROW()-COPIA!$BM$1,131,4,,"COPIA")))),COPIA!EJ61)="SALDO ECONOMICO POSITIVO"),REPLACE(IF((ROW())&gt;=COPIA!$BL$1,CONCATENATE((INDIRECT(ADDRESS(ROW()-COPIA!$BM$1,131,4,,"COPIA")))),COPIA!EJ61),1,30,"UTILE D'ESERCIZIO"),IF((ROW())&gt;=COPIA!$BL$1,CONCATENATE((INDIRECT(ADDRESS(ROW()-COPIA!$BM$1,131,4,,"COPIA")))),COPIA!EJ61))</f>
        <v/>
      </c>
      <c r="E68" s="81" t="str">
        <f ca="1">IFERROR(IF(AND(ROW()&lt;=COPIA!$BL$1,COPIA!EK61&lt;&gt;0),COPIA!EK61,IF(AND(ROW()&gt;COPIA!$BL$1,INDEX(COPIA!$EA$2:$EC$200,MATCH('SIT.PATR._SIT.ECON.'!D68,COPIA!$EA$2:$EA$200,0),3)&lt;&gt;0),INDEX(COPIA!$EA$2:$EC$200,MATCH('SIT.PATR._SIT.ECON.'!D68,COPIA!$EA$2:$EA$200,0),3),"")),"")</f>
        <v/>
      </c>
      <c r="F68" s="18"/>
    </row>
    <row r="69" spans="1:6" ht="15.9" customHeight="1" x14ac:dyDescent="0.3">
      <c r="A69" s="7" t="str">
        <f t="shared" ca="1" si="1"/>
        <v/>
      </c>
      <c r="B69" s="72" t="str">
        <f ca="1">IF(AND(COPIA!$CP$1=TRUE,IF((ROW())&gt;=COPIA!$BL$1,INDIRECT(ADDRESS(ROW()-COPIA!$BM$1,10,4,,"COPIA")),COPIA!EF62)="SALDO ECONOMICO NEGATIVO"),REPLACE("SALDO ECONOMICO NEGATIVO",1,30,"PERDITA D'ESERCIZIO"),IF((ROW())&gt;=COPIA!$BL$1,INDIRECT(ADDRESS(ROW()-COPIA!$BM$1,10,4,,"COPIA")),COPIA!EF62))</f>
        <v/>
      </c>
      <c r="C69" s="78" t="str">
        <f ca="1">IFERROR(IF(AND(COPIA!EG62&lt;&gt;0,ROW()&lt;=COPIA!$BL$1),COPIA!EG62,IF(AND(ROW()&gt;COPIA!$BL$1,INDEX(COPIA!$J$2:$L$200,MATCH('SIT.PATR._SIT.ECON.'!B69,COPIA!$J$2:$J$200,0),3)&lt;&gt;0),INDEX(COPIA!$J$2:$L$200,MATCH('SIT.PATR._SIT.ECON.'!B69,COPIA!$J$2:$J$200,0),3),"")),"")</f>
        <v/>
      </c>
      <c r="D69" s="72" t="str">
        <f ca="1">IF(AND(COPIA!$CP$1=TRUE,IF((ROW())&gt;=COPIA!$BL$1,CONCATENATE((INDIRECT(ADDRESS(ROW()-COPIA!$BM$1,131,4,,"COPIA")))),COPIA!EJ62)="SALDO ECONOMICO POSITIVO"),REPLACE(IF((ROW())&gt;=COPIA!$BL$1,CONCATENATE((INDIRECT(ADDRESS(ROW()-COPIA!$BM$1,131,4,,"COPIA")))),COPIA!EJ62),1,30,"UTILE D'ESERCIZIO"),IF((ROW())&gt;=COPIA!$BL$1,CONCATENATE((INDIRECT(ADDRESS(ROW()-COPIA!$BM$1,131,4,,"COPIA")))),COPIA!EJ62))</f>
        <v/>
      </c>
      <c r="E69" s="81" t="str">
        <f ca="1">IFERROR(IF(AND(ROW()&lt;=COPIA!$BL$1,COPIA!EK62&lt;&gt;0),COPIA!EK62,IF(AND(ROW()&gt;COPIA!$BL$1,INDEX(COPIA!$EA$2:$EC$200,MATCH('SIT.PATR._SIT.ECON.'!D69,COPIA!$EA$2:$EA$200,0),3)&lt;&gt;0),INDEX(COPIA!$EA$2:$EC$200,MATCH('SIT.PATR._SIT.ECON.'!D69,COPIA!$EA$2:$EA$200,0),3),"")),"")</f>
        <v/>
      </c>
    </row>
    <row r="70" spans="1:6" ht="15.9" customHeight="1" x14ac:dyDescent="0.3">
      <c r="A70" s="7" t="str">
        <f t="shared" ca="1" si="1"/>
        <v/>
      </c>
      <c r="B70" s="72" t="str">
        <f ca="1">IF(AND(COPIA!$CP$1=TRUE,IF((ROW())&gt;=COPIA!$BL$1,INDIRECT(ADDRESS(ROW()-COPIA!$BM$1,10,4,,"COPIA")),COPIA!EF63)="SALDO ECONOMICO NEGATIVO"),REPLACE("SALDO ECONOMICO NEGATIVO",1,30,"PERDITA D'ESERCIZIO"),IF((ROW())&gt;=COPIA!$BL$1,INDIRECT(ADDRESS(ROW()-COPIA!$BM$1,10,4,,"COPIA")),COPIA!EF63))</f>
        <v/>
      </c>
      <c r="C70" s="78" t="str">
        <f ca="1">IFERROR(IF(AND(COPIA!EG63&lt;&gt;0,ROW()&lt;=COPIA!$BL$1),COPIA!EG63,IF(AND(ROW()&gt;COPIA!$BL$1,INDEX(COPIA!$J$2:$L$200,MATCH('SIT.PATR._SIT.ECON.'!B70,COPIA!$J$2:$J$200,0),3)&lt;&gt;0),INDEX(COPIA!$J$2:$L$200,MATCH('SIT.PATR._SIT.ECON.'!B70,COPIA!$J$2:$J$200,0),3),"")),"")</f>
        <v/>
      </c>
      <c r="D70" s="72" t="str">
        <f ca="1">IF(AND(COPIA!$CP$1=TRUE,IF((ROW())&gt;=COPIA!$BL$1,CONCATENATE((INDIRECT(ADDRESS(ROW()-COPIA!$BM$1,131,4,,"COPIA")))),COPIA!EJ63)="SALDO ECONOMICO POSITIVO"),REPLACE(IF((ROW())&gt;=COPIA!$BL$1,CONCATENATE((INDIRECT(ADDRESS(ROW()-COPIA!$BM$1,131,4,,"COPIA")))),COPIA!EJ63),1,30,"UTILE D'ESERCIZIO"),IF((ROW())&gt;=COPIA!$BL$1,CONCATENATE((INDIRECT(ADDRESS(ROW()-COPIA!$BM$1,131,4,,"COPIA")))),COPIA!EJ63))</f>
        <v/>
      </c>
      <c r="E70" s="81" t="str">
        <f ca="1">IFERROR(IF(AND(ROW()&lt;=COPIA!$BL$1,COPIA!EK63&lt;&gt;0),COPIA!EK63,IF(AND(ROW()&gt;COPIA!$BL$1,INDEX(COPIA!$EA$2:$EC$200,MATCH('SIT.PATR._SIT.ECON.'!D70,COPIA!$EA$2:$EA$200,0),3)&lt;&gt;0),INDEX(COPIA!$EA$2:$EC$200,MATCH('SIT.PATR._SIT.ECON.'!D70,COPIA!$EA$2:$EA$200,0),3),"")),"")</f>
        <v/>
      </c>
    </row>
    <row r="71" spans="1:6" ht="15.9" customHeight="1" x14ac:dyDescent="0.3">
      <c r="A71" s="7" t="str">
        <f t="shared" ca="1" si="1"/>
        <v/>
      </c>
      <c r="B71" s="72" t="str">
        <f ca="1">IF(AND(COPIA!$CP$1=TRUE,IF((ROW())&gt;=COPIA!$BL$1,INDIRECT(ADDRESS(ROW()-COPIA!$BM$1,10,4,,"COPIA")),COPIA!EF64)="SALDO ECONOMICO NEGATIVO"),REPLACE("SALDO ECONOMICO NEGATIVO",1,30,"PERDITA D'ESERCIZIO"),IF((ROW())&gt;=COPIA!$BL$1,INDIRECT(ADDRESS(ROW()-COPIA!$BM$1,10,4,,"COPIA")),COPIA!EF64))</f>
        <v/>
      </c>
      <c r="C71" s="78" t="str">
        <f ca="1">IFERROR(IF(AND(COPIA!EG64&lt;&gt;0,ROW()&lt;=COPIA!$BL$1),COPIA!EG64,IF(AND(ROW()&gt;COPIA!$BL$1,INDEX(COPIA!$J$2:$L$200,MATCH('SIT.PATR._SIT.ECON.'!B71,COPIA!$J$2:$J$200,0),3)&lt;&gt;0),INDEX(COPIA!$J$2:$L$200,MATCH('SIT.PATR._SIT.ECON.'!B71,COPIA!$J$2:$J$200,0),3),"")),"")</f>
        <v/>
      </c>
      <c r="D71" s="72" t="str">
        <f ca="1">IF(AND(COPIA!$CP$1=TRUE,IF((ROW())&gt;=COPIA!$BL$1,CONCATENATE((INDIRECT(ADDRESS(ROW()-COPIA!$BM$1,131,4,,"COPIA")))),COPIA!EJ64)="SALDO ECONOMICO POSITIVO"),REPLACE(IF((ROW())&gt;=COPIA!$BL$1,CONCATENATE((INDIRECT(ADDRESS(ROW()-COPIA!$BM$1,131,4,,"COPIA")))),COPIA!EJ64),1,30,"UTILE D'ESERCIZIO"),IF((ROW())&gt;=COPIA!$BL$1,CONCATENATE((INDIRECT(ADDRESS(ROW()-COPIA!$BM$1,131,4,,"COPIA")))),COPIA!EJ64))</f>
        <v/>
      </c>
      <c r="E71" s="81" t="str">
        <f ca="1">IFERROR(IF(AND(ROW()&lt;=COPIA!$BL$1,COPIA!EK64&lt;&gt;0),COPIA!EK64,IF(AND(ROW()&gt;COPIA!$BL$1,INDEX(COPIA!$EA$2:$EC$200,MATCH('SIT.PATR._SIT.ECON.'!D71,COPIA!$EA$2:$EA$200,0),3)&lt;&gt;0),INDEX(COPIA!$EA$2:$EC$200,MATCH('SIT.PATR._SIT.ECON.'!D71,COPIA!$EA$2:$EA$200,0),3),"")),"")</f>
        <v/>
      </c>
    </row>
    <row r="72" spans="1:6" ht="15.9" customHeight="1" x14ac:dyDescent="0.3">
      <c r="A72" s="7" t="str">
        <f t="shared" ca="1" si="1"/>
        <v/>
      </c>
      <c r="B72" s="72" t="str">
        <f ca="1">IF(AND(COPIA!$CP$1=TRUE,IF((ROW())&gt;=COPIA!$BL$1,INDIRECT(ADDRESS(ROW()-COPIA!$BM$1,10,4,,"COPIA")),COPIA!EF65)="SALDO ECONOMICO NEGATIVO"),REPLACE("SALDO ECONOMICO NEGATIVO",1,30,"PERDITA D'ESERCIZIO"),IF((ROW())&gt;=COPIA!$BL$1,INDIRECT(ADDRESS(ROW()-COPIA!$BM$1,10,4,,"COPIA")),COPIA!EF65))</f>
        <v/>
      </c>
      <c r="C72" s="78" t="str">
        <f ca="1">IFERROR(IF(AND(COPIA!EG65&lt;&gt;0,ROW()&lt;=COPIA!$BL$1),COPIA!EG65,IF(AND(ROW()&gt;COPIA!$BL$1,INDEX(COPIA!$J$2:$L$200,MATCH('SIT.PATR._SIT.ECON.'!B72,COPIA!$J$2:$J$200,0),3)&lt;&gt;0),INDEX(COPIA!$J$2:$L$200,MATCH('SIT.PATR._SIT.ECON.'!B72,COPIA!$J$2:$J$200,0),3),"")),"")</f>
        <v/>
      </c>
      <c r="D72" s="72" t="str">
        <f ca="1">IF(AND(COPIA!$CP$1=TRUE,IF((ROW())&gt;=COPIA!$BL$1,CONCATENATE((INDIRECT(ADDRESS(ROW()-COPIA!$BM$1,131,4,,"COPIA")))),COPIA!EJ65)="SALDO ECONOMICO POSITIVO"),REPLACE(IF((ROW())&gt;=COPIA!$BL$1,CONCATENATE((INDIRECT(ADDRESS(ROW()-COPIA!$BM$1,131,4,,"COPIA")))),COPIA!EJ65),1,30,"UTILE D'ESERCIZIO"),IF((ROW())&gt;=COPIA!$BL$1,CONCATENATE((INDIRECT(ADDRESS(ROW()-COPIA!$BM$1,131,4,,"COPIA")))),COPIA!EJ65))</f>
        <v/>
      </c>
      <c r="E72" s="81" t="str">
        <f ca="1">IFERROR(IF(AND(ROW()&lt;=COPIA!$BL$1,COPIA!EK65&lt;&gt;0),COPIA!EK65,IF(AND(ROW()&gt;COPIA!$BL$1,INDEX(COPIA!$EA$2:$EC$200,MATCH('SIT.PATR._SIT.ECON.'!D72,COPIA!$EA$2:$EA$200,0),3)&lt;&gt;0),INDEX(COPIA!$EA$2:$EC$200,MATCH('SIT.PATR._SIT.ECON.'!D72,COPIA!$EA$2:$EA$200,0),3),"")),"")</f>
        <v/>
      </c>
    </row>
    <row r="73" spans="1:6" ht="15.9" customHeight="1" x14ac:dyDescent="0.3">
      <c r="A73" s="7" t="str">
        <f t="shared" ca="1" si="1"/>
        <v/>
      </c>
      <c r="B73" s="72" t="str">
        <f ca="1">IF(AND(COPIA!$CP$1=TRUE,IF((ROW())&gt;=COPIA!$BL$1,INDIRECT(ADDRESS(ROW()-COPIA!$BM$1,10,4,,"COPIA")),COPIA!EF66)="SALDO ECONOMICO NEGATIVO"),REPLACE("SALDO ECONOMICO NEGATIVO",1,30,"PERDITA D'ESERCIZIO"),IF((ROW())&gt;=COPIA!$BL$1,INDIRECT(ADDRESS(ROW()-COPIA!$BM$1,10,4,,"COPIA")),COPIA!EF66))</f>
        <v/>
      </c>
      <c r="C73" s="78" t="str">
        <f ca="1">IFERROR(IF(AND(COPIA!EG66&lt;&gt;0,ROW()&lt;=COPIA!$BL$1),COPIA!EG66,IF(AND(ROW()&gt;COPIA!$BL$1,INDEX(COPIA!$J$2:$L$200,MATCH('SIT.PATR._SIT.ECON.'!B73,COPIA!$J$2:$J$200,0),3)&lt;&gt;0),INDEX(COPIA!$J$2:$L$200,MATCH('SIT.PATR._SIT.ECON.'!B73,COPIA!$J$2:$J$200,0),3),"")),"")</f>
        <v/>
      </c>
      <c r="D73" s="72" t="str">
        <f ca="1">IF(AND(COPIA!$CP$1=TRUE,IF((ROW())&gt;=COPIA!$BL$1,CONCATENATE((INDIRECT(ADDRESS(ROW()-COPIA!$BM$1,131,4,,"COPIA")))),COPIA!EJ66)="SALDO ECONOMICO POSITIVO"),REPLACE(IF((ROW())&gt;=COPIA!$BL$1,CONCATENATE((INDIRECT(ADDRESS(ROW()-COPIA!$BM$1,131,4,,"COPIA")))),COPIA!EJ66),1,30,"UTILE D'ESERCIZIO"),IF((ROW())&gt;=COPIA!$BL$1,CONCATENATE((INDIRECT(ADDRESS(ROW()-COPIA!$BM$1,131,4,,"COPIA")))),COPIA!EJ66))</f>
        <v/>
      </c>
      <c r="E73" s="81" t="str">
        <f ca="1">IFERROR(IF(AND(ROW()&lt;=COPIA!$BL$1,COPIA!EK66&lt;&gt;0),COPIA!EK66,IF(AND(ROW()&gt;COPIA!$BL$1,INDEX(COPIA!$EA$2:$EC$200,MATCH('SIT.PATR._SIT.ECON.'!D73,COPIA!$EA$2:$EA$200,0),3)&lt;&gt;0),INDEX(COPIA!$EA$2:$EC$200,MATCH('SIT.PATR._SIT.ECON.'!D73,COPIA!$EA$2:$EA$200,0),3),"")),"")</f>
        <v/>
      </c>
    </row>
    <row r="74" spans="1:6" ht="15.9" customHeight="1" x14ac:dyDescent="0.3">
      <c r="A74" s="7" t="str">
        <f t="shared" ref="A74:A137" ca="1" si="2">IF(AND(OR(B74&lt;&gt;"",D74&lt;&gt;""),OR(C74&gt;0,E74&gt;0),B74&lt;&gt;"SITUAZIONE ECONOMICA"),ROW(),IF(AND(OR(B74&lt;&gt;"",D74&lt;&gt;""),B74&lt;&gt;"SITUAZIONE ECONOMICA"),ROW(),""))</f>
        <v/>
      </c>
      <c r="B74" s="72" t="str">
        <f ca="1">IF(AND(COPIA!$CP$1=TRUE,IF((ROW())&gt;=COPIA!$BL$1,INDIRECT(ADDRESS(ROW()-COPIA!$BM$1,10,4,,"COPIA")),COPIA!EF67)="SALDO ECONOMICO NEGATIVO"),REPLACE("SALDO ECONOMICO NEGATIVO",1,30,"PERDITA D'ESERCIZIO"),IF((ROW())&gt;=COPIA!$BL$1,INDIRECT(ADDRESS(ROW()-COPIA!$BM$1,10,4,,"COPIA")),COPIA!EF67))</f>
        <v/>
      </c>
      <c r="C74" s="78" t="str">
        <f ca="1">IFERROR(IF(AND(COPIA!EG67&lt;&gt;0,ROW()&lt;=COPIA!$BL$1),COPIA!EG67,IF(AND(ROW()&gt;COPIA!$BL$1,INDEX(COPIA!$J$2:$L$200,MATCH('SIT.PATR._SIT.ECON.'!B74,COPIA!$J$2:$J$200,0),3)&lt;&gt;0),INDEX(COPIA!$J$2:$L$200,MATCH('SIT.PATR._SIT.ECON.'!B74,COPIA!$J$2:$J$200,0),3),"")),"")</f>
        <v/>
      </c>
      <c r="D74" s="72" t="str">
        <f ca="1">IF(AND(COPIA!$CP$1=TRUE,IF((ROW())&gt;=COPIA!$BL$1,CONCATENATE((INDIRECT(ADDRESS(ROW()-COPIA!$BM$1,131,4,,"COPIA")))),COPIA!EJ67)="SALDO ECONOMICO POSITIVO"),REPLACE(IF((ROW())&gt;=COPIA!$BL$1,CONCATENATE((INDIRECT(ADDRESS(ROW()-COPIA!$BM$1,131,4,,"COPIA")))),COPIA!EJ67),1,30,"UTILE D'ESERCIZIO"),IF((ROW())&gt;=COPIA!$BL$1,CONCATENATE((INDIRECT(ADDRESS(ROW()-COPIA!$BM$1,131,4,,"COPIA")))),COPIA!EJ67))</f>
        <v/>
      </c>
      <c r="E74" s="81" t="str">
        <f ca="1">IFERROR(IF(AND(ROW()&lt;=COPIA!$BL$1,COPIA!EK67&lt;&gt;0),COPIA!EK67,IF(AND(ROW()&gt;COPIA!$BL$1,INDEX(COPIA!$EA$2:$EC$200,MATCH('SIT.PATR._SIT.ECON.'!D74,COPIA!$EA$2:$EA$200,0),3)&lt;&gt;0),INDEX(COPIA!$EA$2:$EC$200,MATCH('SIT.PATR._SIT.ECON.'!D74,COPIA!$EA$2:$EA$200,0),3),"")),"")</f>
        <v/>
      </c>
    </row>
    <row r="75" spans="1:6" ht="15.9" customHeight="1" x14ac:dyDescent="0.3">
      <c r="A75" s="7" t="str">
        <f t="shared" ca="1" si="2"/>
        <v/>
      </c>
      <c r="B75" s="72" t="str">
        <f ca="1">IF(AND(COPIA!$CP$1=TRUE,IF((ROW())&gt;=COPIA!$BL$1,INDIRECT(ADDRESS(ROW()-COPIA!$BM$1,10,4,,"COPIA")),COPIA!EF68)="SALDO ECONOMICO NEGATIVO"),REPLACE("SALDO ECONOMICO NEGATIVO",1,30,"PERDITA D'ESERCIZIO"),IF((ROW())&gt;=COPIA!$BL$1,INDIRECT(ADDRESS(ROW()-COPIA!$BM$1,10,4,,"COPIA")),COPIA!EF68))</f>
        <v/>
      </c>
      <c r="C75" s="78" t="str">
        <f ca="1">IFERROR(IF(AND(COPIA!EG68&lt;&gt;0,ROW()&lt;=COPIA!$BL$1),COPIA!EG68,IF(AND(ROW()&gt;COPIA!$BL$1,INDEX(COPIA!$J$2:$L$200,MATCH('SIT.PATR._SIT.ECON.'!B75,COPIA!$J$2:$J$200,0),3)&lt;&gt;0),INDEX(COPIA!$J$2:$L$200,MATCH('SIT.PATR._SIT.ECON.'!B75,COPIA!$J$2:$J$200,0),3),"")),"")</f>
        <v/>
      </c>
      <c r="D75" s="72" t="str">
        <f ca="1">IF(AND(COPIA!$CP$1=TRUE,IF((ROW())&gt;=COPIA!$BL$1,CONCATENATE((INDIRECT(ADDRESS(ROW()-COPIA!$BM$1,131,4,,"COPIA")))),COPIA!EJ68)="SALDO ECONOMICO POSITIVO"),REPLACE(IF((ROW())&gt;=COPIA!$BL$1,CONCATENATE((INDIRECT(ADDRESS(ROW()-COPIA!$BM$1,131,4,,"COPIA")))),COPIA!EJ68),1,30,"UTILE D'ESERCIZIO"),IF((ROW())&gt;=COPIA!$BL$1,CONCATENATE((INDIRECT(ADDRESS(ROW()-COPIA!$BM$1,131,4,,"COPIA")))),COPIA!EJ68))</f>
        <v/>
      </c>
      <c r="E75" s="81" t="str">
        <f ca="1">IFERROR(IF(AND(ROW()&lt;=COPIA!$BL$1,COPIA!EK68&lt;&gt;0),COPIA!EK68,IF(AND(ROW()&gt;COPIA!$BL$1,INDEX(COPIA!$EA$2:$EC$200,MATCH('SIT.PATR._SIT.ECON.'!D75,COPIA!$EA$2:$EA$200,0),3)&lt;&gt;0),INDEX(COPIA!$EA$2:$EC$200,MATCH('SIT.PATR._SIT.ECON.'!D75,COPIA!$EA$2:$EA$200,0),3),"")),"")</f>
        <v/>
      </c>
    </row>
    <row r="76" spans="1:6" ht="15.9" customHeight="1" x14ac:dyDescent="0.3">
      <c r="A76" s="7" t="str">
        <f t="shared" ca="1" si="2"/>
        <v/>
      </c>
      <c r="B76" s="72" t="str">
        <f ca="1">IF(AND(COPIA!$CP$1=TRUE,IF((ROW())&gt;=COPIA!$BL$1,INDIRECT(ADDRESS(ROW()-COPIA!$BM$1,10,4,,"COPIA")),COPIA!EF69)="SALDO ECONOMICO NEGATIVO"),REPLACE("SALDO ECONOMICO NEGATIVO",1,30,"PERDITA D'ESERCIZIO"),IF((ROW())&gt;=COPIA!$BL$1,INDIRECT(ADDRESS(ROW()-COPIA!$BM$1,10,4,,"COPIA")),COPIA!EF69))</f>
        <v/>
      </c>
      <c r="C76" s="78" t="str">
        <f ca="1">IFERROR(IF(AND(COPIA!EG69&lt;&gt;0,ROW()&lt;=COPIA!$BL$1),COPIA!EG69,IF(AND(ROW()&gt;COPIA!$BL$1,INDEX(COPIA!$J$2:$L$200,MATCH('SIT.PATR._SIT.ECON.'!B76,COPIA!$J$2:$J$200,0),3)&lt;&gt;0),INDEX(COPIA!$J$2:$L$200,MATCH('SIT.PATR._SIT.ECON.'!B76,COPIA!$J$2:$J$200,0),3),"")),"")</f>
        <v/>
      </c>
      <c r="D76" s="72" t="str">
        <f ca="1">IF(AND(COPIA!$CP$1=TRUE,IF((ROW())&gt;=COPIA!$BL$1,CONCATENATE((INDIRECT(ADDRESS(ROW()-COPIA!$BM$1,131,4,,"COPIA")))),COPIA!EJ69)="SALDO ECONOMICO POSITIVO"),REPLACE(IF((ROW())&gt;=COPIA!$BL$1,CONCATENATE((INDIRECT(ADDRESS(ROW()-COPIA!$BM$1,131,4,,"COPIA")))),COPIA!EJ69),1,30,"UTILE D'ESERCIZIO"),IF((ROW())&gt;=COPIA!$BL$1,CONCATENATE((INDIRECT(ADDRESS(ROW()-COPIA!$BM$1,131,4,,"COPIA")))),COPIA!EJ69))</f>
        <v/>
      </c>
      <c r="E76" s="81" t="str">
        <f ca="1">IFERROR(IF(AND(ROW()&lt;=COPIA!$BL$1,COPIA!EK69&lt;&gt;0),COPIA!EK69,IF(AND(ROW()&gt;COPIA!$BL$1,INDEX(COPIA!$EA$2:$EC$200,MATCH('SIT.PATR._SIT.ECON.'!D76,COPIA!$EA$2:$EA$200,0),3)&lt;&gt;0),INDEX(COPIA!$EA$2:$EC$200,MATCH('SIT.PATR._SIT.ECON.'!D76,COPIA!$EA$2:$EA$200,0),3),"")),"")</f>
        <v/>
      </c>
    </row>
    <row r="77" spans="1:6" ht="15.9" customHeight="1" x14ac:dyDescent="0.3">
      <c r="A77" s="7" t="str">
        <f t="shared" ca="1" si="2"/>
        <v/>
      </c>
      <c r="B77" s="72" t="str">
        <f ca="1">IF(AND(COPIA!$CP$1=TRUE,IF((ROW())&gt;=COPIA!$BL$1,INDIRECT(ADDRESS(ROW()-COPIA!$BM$1,10,4,,"COPIA")),COPIA!EF70)="SALDO ECONOMICO NEGATIVO"),REPLACE("SALDO ECONOMICO NEGATIVO",1,30,"PERDITA D'ESERCIZIO"),IF((ROW())&gt;=COPIA!$BL$1,INDIRECT(ADDRESS(ROW()-COPIA!$BM$1,10,4,,"COPIA")),COPIA!EF70))</f>
        <v/>
      </c>
      <c r="C77" s="78" t="str">
        <f ca="1">IFERROR(IF(AND(COPIA!EG70&lt;&gt;0,ROW()&lt;=COPIA!$BL$1),COPIA!EG70,IF(AND(ROW()&gt;COPIA!$BL$1,INDEX(COPIA!$J$2:$L$200,MATCH('SIT.PATR._SIT.ECON.'!B77,COPIA!$J$2:$J$200,0),3)&lt;&gt;0),INDEX(COPIA!$J$2:$L$200,MATCH('SIT.PATR._SIT.ECON.'!B77,COPIA!$J$2:$J$200,0),3),"")),"")</f>
        <v/>
      </c>
      <c r="D77" s="72" t="str">
        <f ca="1">IF(AND(COPIA!$CP$1=TRUE,IF((ROW())&gt;=COPIA!$BL$1,CONCATENATE((INDIRECT(ADDRESS(ROW()-COPIA!$BM$1,131,4,,"COPIA")))),COPIA!EJ70)="SALDO ECONOMICO POSITIVO"),REPLACE(IF((ROW())&gt;=COPIA!$BL$1,CONCATENATE((INDIRECT(ADDRESS(ROW()-COPIA!$BM$1,131,4,,"COPIA")))),COPIA!EJ70),1,30,"UTILE D'ESERCIZIO"),IF((ROW())&gt;=COPIA!$BL$1,CONCATENATE((INDIRECT(ADDRESS(ROW()-COPIA!$BM$1,131,4,,"COPIA")))),COPIA!EJ70))</f>
        <v/>
      </c>
      <c r="E77" s="81" t="str">
        <f ca="1">IFERROR(IF(AND(ROW()&lt;=COPIA!$BL$1,COPIA!EK70&lt;&gt;0),COPIA!EK70,IF(AND(ROW()&gt;COPIA!$BL$1,INDEX(COPIA!$EA$2:$EC$200,MATCH('SIT.PATR._SIT.ECON.'!D77,COPIA!$EA$2:$EA$200,0),3)&lt;&gt;0),INDEX(COPIA!$EA$2:$EC$200,MATCH('SIT.PATR._SIT.ECON.'!D77,COPIA!$EA$2:$EA$200,0),3),"")),"")</f>
        <v/>
      </c>
    </row>
    <row r="78" spans="1:6" ht="15.9" customHeight="1" x14ac:dyDescent="0.3">
      <c r="A78" s="7" t="str">
        <f t="shared" ca="1" si="2"/>
        <v/>
      </c>
      <c r="B78" s="72" t="str">
        <f ca="1">IF(AND(COPIA!$CP$1=TRUE,IF((ROW())&gt;=COPIA!$BL$1,INDIRECT(ADDRESS(ROW()-COPIA!$BM$1,10,4,,"COPIA")),COPIA!EF71)="SALDO ECONOMICO NEGATIVO"),REPLACE("SALDO ECONOMICO NEGATIVO",1,30,"PERDITA D'ESERCIZIO"),IF((ROW())&gt;=COPIA!$BL$1,INDIRECT(ADDRESS(ROW()-COPIA!$BM$1,10,4,,"COPIA")),COPIA!EF71))</f>
        <v/>
      </c>
      <c r="C78" s="78" t="str">
        <f ca="1">IFERROR(IF(AND(COPIA!EG71&lt;&gt;0,ROW()&lt;=COPIA!$BL$1),COPIA!EG71,IF(AND(ROW()&gt;COPIA!$BL$1,INDEX(COPIA!$J$2:$L$200,MATCH('SIT.PATR._SIT.ECON.'!B78,COPIA!$J$2:$J$200,0),3)&lt;&gt;0),INDEX(COPIA!$J$2:$L$200,MATCH('SIT.PATR._SIT.ECON.'!B78,COPIA!$J$2:$J$200,0),3),"")),"")</f>
        <v/>
      </c>
      <c r="D78" s="72" t="str">
        <f ca="1">IF(AND(COPIA!$CP$1=TRUE,IF((ROW())&gt;=COPIA!$BL$1,CONCATENATE((INDIRECT(ADDRESS(ROW()-COPIA!$BM$1,131,4,,"COPIA")))),COPIA!EJ71)="SALDO ECONOMICO POSITIVO"),REPLACE(IF((ROW())&gt;=COPIA!$BL$1,CONCATENATE((INDIRECT(ADDRESS(ROW()-COPIA!$BM$1,131,4,,"COPIA")))),COPIA!EJ71),1,30,"UTILE D'ESERCIZIO"),IF((ROW())&gt;=COPIA!$BL$1,CONCATENATE((INDIRECT(ADDRESS(ROW()-COPIA!$BM$1,131,4,,"COPIA")))),COPIA!EJ71))</f>
        <v/>
      </c>
      <c r="E78" s="81" t="str">
        <f ca="1">IFERROR(IF(AND(ROW()&lt;=COPIA!$BL$1,COPIA!EK71&lt;&gt;0),COPIA!EK71,IF(AND(ROW()&gt;COPIA!$BL$1,INDEX(COPIA!$EA$2:$EC$200,MATCH('SIT.PATR._SIT.ECON.'!D78,COPIA!$EA$2:$EA$200,0),3)&lt;&gt;0),INDEX(COPIA!$EA$2:$EC$200,MATCH('SIT.PATR._SIT.ECON.'!D78,COPIA!$EA$2:$EA$200,0),3),"")),"")</f>
        <v/>
      </c>
    </row>
    <row r="79" spans="1:6" ht="15.9" customHeight="1" x14ac:dyDescent="0.3">
      <c r="A79" s="7" t="str">
        <f t="shared" ca="1" si="2"/>
        <v/>
      </c>
      <c r="B79" s="72" t="str">
        <f ca="1">IF(AND(COPIA!$CP$1=TRUE,IF((ROW())&gt;=COPIA!$BL$1,INDIRECT(ADDRESS(ROW()-COPIA!$BM$1,10,4,,"COPIA")),COPIA!EF72)="SALDO ECONOMICO NEGATIVO"),REPLACE("SALDO ECONOMICO NEGATIVO",1,30,"PERDITA D'ESERCIZIO"),IF((ROW())&gt;=COPIA!$BL$1,INDIRECT(ADDRESS(ROW()-COPIA!$BM$1,10,4,,"COPIA")),COPIA!EF72))</f>
        <v/>
      </c>
      <c r="C79" s="78" t="str">
        <f ca="1">IFERROR(IF(AND(COPIA!EG72&lt;&gt;0,ROW()&lt;=COPIA!$BL$1),COPIA!EG72,IF(AND(ROW()&gt;COPIA!$BL$1,INDEX(COPIA!$J$2:$L$200,MATCH('SIT.PATR._SIT.ECON.'!B79,COPIA!$J$2:$J$200,0),3)&lt;&gt;0),INDEX(COPIA!$J$2:$L$200,MATCH('SIT.PATR._SIT.ECON.'!B79,COPIA!$J$2:$J$200,0),3),"")),"")</f>
        <v/>
      </c>
      <c r="D79" s="72" t="str">
        <f ca="1">IF(AND(COPIA!$CP$1=TRUE,IF((ROW())&gt;=COPIA!$BL$1,CONCATENATE((INDIRECT(ADDRESS(ROW()-COPIA!$BM$1,131,4,,"COPIA")))),COPIA!EJ72)="SALDO ECONOMICO POSITIVO"),REPLACE(IF((ROW())&gt;=COPIA!$BL$1,CONCATENATE((INDIRECT(ADDRESS(ROW()-COPIA!$BM$1,131,4,,"COPIA")))),COPIA!EJ72),1,30,"UTILE D'ESERCIZIO"),IF((ROW())&gt;=COPIA!$BL$1,CONCATENATE((INDIRECT(ADDRESS(ROW()-COPIA!$BM$1,131,4,,"COPIA")))),COPIA!EJ72))</f>
        <v/>
      </c>
      <c r="E79" s="81" t="str">
        <f ca="1">IFERROR(IF(AND(ROW()&lt;=COPIA!$BL$1,COPIA!EK72&lt;&gt;0),COPIA!EK72,IF(AND(ROW()&gt;COPIA!$BL$1,INDEX(COPIA!$EA$2:$EC$200,MATCH('SIT.PATR._SIT.ECON.'!D79,COPIA!$EA$2:$EA$200,0),3)&lt;&gt;0),INDEX(COPIA!$EA$2:$EC$200,MATCH('SIT.PATR._SIT.ECON.'!D79,COPIA!$EA$2:$EA$200,0),3),"")),"")</f>
        <v/>
      </c>
    </row>
    <row r="80" spans="1:6" ht="15.9" customHeight="1" x14ac:dyDescent="0.3">
      <c r="A80" s="7" t="str">
        <f t="shared" ca="1" si="2"/>
        <v/>
      </c>
      <c r="B80" s="72" t="str">
        <f ca="1">IF(AND(COPIA!$CP$1=TRUE,IF((ROW())&gt;=COPIA!$BL$1,INDIRECT(ADDRESS(ROW()-COPIA!$BM$1,10,4,,"COPIA")),COPIA!EF73)="SALDO ECONOMICO NEGATIVO"),REPLACE("SALDO ECONOMICO NEGATIVO",1,30,"PERDITA D'ESERCIZIO"),IF((ROW())&gt;=COPIA!$BL$1,INDIRECT(ADDRESS(ROW()-COPIA!$BM$1,10,4,,"COPIA")),COPIA!EF73))</f>
        <v/>
      </c>
      <c r="C80" s="78" t="str">
        <f ca="1">IFERROR(IF(AND(COPIA!EG73&lt;&gt;0,ROW()&lt;=COPIA!$BL$1),COPIA!EG73,IF(AND(ROW()&gt;COPIA!$BL$1,INDEX(COPIA!$J$2:$L$200,MATCH('SIT.PATR._SIT.ECON.'!B80,COPIA!$J$2:$J$200,0),3)&lt;&gt;0),INDEX(COPIA!$J$2:$L$200,MATCH('SIT.PATR._SIT.ECON.'!B80,COPIA!$J$2:$J$200,0),3),"")),"")</f>
        <v/>
      </c>
      <c r="D80" s="72" t="str">
        <f ca="1">IF(AND(COPIA!$CP$1=TRUE,IF((ROW())&gt;=COPIA!$BL$1,CONCATENATE((INDIRECT(ADDRESS(ROW()-COPIA!$BM$1,131,4,,"COPIA")))),COPIA!EJ73)="SALDO ECONOMICO POSITIVO"),REPLACE(IF((ROW())&gt;=COPIA!$BL$1,CONCATENATE((INDIRECT(ADDRESS(ROW()-COPIA!$BM$1,131,4,,"COPIA")))),COPIA!EJ73),1,30,"UTILE D'ESERCIZIO"),IF((ROW())&gt;=COPIA!$BL$1,CONCATENATE((INDIRECT(ADDRESS(ROW()-COPIA!$BM$1,131,4,,"COPIA")))),COPIA!EJ73))</f>
        <v/>
      </c>
      <c r="E80" s="81" t="str">
        <f ca="1">IFERROR(IF(AND(ROW()&lt;=COPIA!$BL$1,COPIA!EK73&lt;&gt;0),COPIA!EK73,IF(AND(ROW()&gt;COPIA!$BL$1,INDEX(COPIA!$EA$2:$EC$200,MATCH('SIT.PATR._SIT.ECON.'!D80,COPIA!$EA$2:$EA$200,0),3)&lt;&gt;0),INDEX(COPIA!$EA$2:$EC$200,MATCH('SIT.PATR._SIT.ECON.'!D80,COPIA!$EA$2:$EA$200,0),3),"")),"")</f>
        <v/>
      </c>
    </row>
    <row r="81" spans="1:5" ht="15.9" customHeight="1" x14ac:dyDescent="0.3">
      <c r="A81" s="7" t="str">
        <f t="shared" ca="1" si="2"/>
        <v/>
      </c>
      <c r="B81" s="72" t="str">
        <f ca="1">IF(AND(COPIA!$CP$1=TRUE,IF((ROW())&gt;=COPIA!$BL$1,INDIRECT(ADDRESS(ROW()-COPIA!$BM$1,10,4,,"COPIA")),COPIA!EF74)="SALDO ECONOMICO NEGATIVO"),REPLACE("SALDO ECONOMICO NEGATIVO",1,30,"PERDITA D'ESERCIZIO"),IF((ROW())&gt;=COPIA!$BL$1,INDIRECT(ADDRESS(ROW()-COPIA!$BM$1,10,4,,"COPIA")),COPIA!EF74))</f>
        <v/>
      </c>
      <c r="C81" s="78" t="str">
        <f ca="1">IFERROR(IF(AND(COPIA!EG74&lt;&gt;0,ROW()&lt;=COPIA!$BL$1),COPIA!EG74,IF(AND(ROW()&gt;COPIA!$BL$1,INDEX(COPIA!$J$2:$L$200,MATCH('SIT.PATR._SIT.ECON.'!B81,COPIA!$J$2:$J$200,0),3)&lt;&gt;0),INDEX(COPIA!$J$2:$L$200,MATCH('SIT.PATR._SIT.ECON.'!B81,COPIA!$J$2:$J$200,0),3),"")),"")</f>
        <v/>
      </c>
      <c r="D81" s="72" t="str">
        <f ca="1">IF(AND(COPIA!$CP$1=TRUE,IF((ROW())&gt;=COPIA!$BL$1,CONCATENATE((INDIRECT(ADDRESS(ROW()-COPIA!$BM$1,131,4,,"COPIA")))),COPIA!EJ74)="SALDO ECONOMICO POSITIVO"),REPLACE(IF((ROW())&gt;=COPIA!$BL$1,CONCATENATE((INDIRECT(ADDRESS(ROW()-COPIA!$BM$1,131,4,,"COPIA")))),COPIA!EJ74),1,30,"UTILE D'ESERCIZIO"),IF((ROW())&gt;=COPIA!$BL$1,CONCATENATE((INDIRECT(ADDRESS(ROW()-COPIA!$BM$1,131,4,,"COPIA")))),COPIA!EJ74))</f>
        <v/>
      </c>
      <c r="E81" s="81" t="str">
        <f ca="1">IFERROR(IF(AND(ROW()&lt;=COPIA!$BL$1,COPIA!EK74&lt;&gt;0),COPIA!EK74,IF(AND(ROW()&gt;COPIA!$BL$1,INDEX(COPIA!$EA$2:$EC$200,MATCH('SIT.PATR._SIT.ECON.'!D81,COPIA!$EA$2:$EA$200,0),3)&lt;&gt;0),INDEX(COPIA!$EA$2:$EC$200,MATCH('SIT.PATR._SIT.ECON.'!D81,COPIA!$EA$2:$EA$200,0),3),"")),"")</f>
        <v/>
      </c>
    </row>
    <row r="82" spans="1:5" ht="15.9" customHeight="1" x14ac:dyDescent="0.3">
      <c r="A82" s="7" t="str">
        <f t="shared" ca="1" si="2"/>
        <v/>
      </c>
      <c r="B82" s="72" t="str">
        <f ca="1">IF(AND(COPIA!$CP$1=TRUE,IF((ROW())&gt;=COPIA!$BL$1,INDIRECT(ADDRESS(ROW()-COPIA!$BM$1,10,4,,"COPIA")),COPIA!EF75)="SALDO ECONOMICO NEGATIVO"),REPLACE("SALDO ECONOMICO NEGATIVO",1,30,"PERDITA D'ESERCIZIO"),IF((ROW())&gt;=COPIA!$BL$1,INDIRECT(ADDRESS(ROW()-COPIA!$BM$1,10,4,,"COPIA")),COPIA!EF75))</f>
        <v/>
      </c>
      <c r="C82" s="78" t="str">
        <f ca="1">IFERROR(IF(AND(COPIA!EG75&lt;&gt;0,ROW()&lt;=COPIA!$BL$1),COPIA!EG75,IF(AND(ROW()&gt;COPIA!$BL$1,INDEX(COPIA!$J$2:$L$200,MATCH('SIT.PATR._SIT.ECON.'!B82,COPIA!$J$2:$J$200,0),3)&lt;&gt;0),INDEX(COPIA!$J$2:$L$200,MATCH('SIT.PATR._SIT.ECON.'!B82,COPIA!$J$2:$J$200,0),3),"")),"")</f>
        <v/>
      </c>
      <c r="D82" s="72" t="str">
        <f ca="1">IF(AND(COPIA!$CP$1=TRUE,IF((ROW())&gt;=COPIA!$BL$1,CONCATENATE((INDIRECT(ADDRESS(ROW()-COPIA!$BM$1,131,4,,"COPIA")))),COPIA!EJ75)="SALDO ECONOMICO POSITIVO"),REPLACE(IF((ROW())&gt;=COPIA!$BL$1,CONCATENATE((INDIRECT(ADDRESS(ROW()-COPIA!$BM$1,131,4,,"COPIA")))),COPIA!EJ75),1,30,"UTILE D'ESERCIZIO"),IF((ROW())&gt;=COPIA!$BL$1,CONCATENATE((INDIRECT(ADDRESS(ROW()-COPIA!$BM$1,131,4,,"COPIA")))),COPIA!EJ75))</f>
        <v/>
      </c>
      <c r="E82" s="81" t="str">
        <f ca="1">IFERROR(IF(AND(ROW()&lt;=COPIA!$BL$1,COPIA!EK75&lt;&gt;0),COPIA!EK75,IF(AND(ROW()&gt;COPIA!$BL$1,INDEX(COPIA!$EA$2:$EC$200,MATCH('SIT.PATR._SIT.ECON.'!D82,COPIA!$EA$2:$EA$200,0),3)&lt;&gt;0),INDEX(COPIA!$EA$2:$EC$200,MATCH('SIT.PATR._SIT.ECON.'!D82,COPIA!$EA$2:$EA$200,0),3),"")),"")</f>
        <v/>
      </c>
    </row>
    <row r="83" spans="1:5" ht="15.9" customHeight="1" x14ac:dyDescent="0.3">
      <c r="A83" s="7" t="str">
        <f t="shared" ca="1" si="2"/>
        <v/>
      </c>
      <c r="B83" s="72" t="str">
        <f ca="1">IF(AND(COPIA!$CP$1=TRUE,IF((ROW())&gt;=COPIA!$BL$1,INDIRECT(ADDRESS(ROW()-COPIA!$BM$1,10,4,,"COPIA")),COPIA!EF76)="SALDO ECONOMICO NEGATIVO"),REPLACE("SALDO ECONOMICO NEGATIVO",1,30,"PERDITA D'ESERCIZIO"),IF((ROW())&gt;=COPIA!$BL$1,INDIRECT(ADDRESS(ROW()-COPIA!$BM$1,10,4,,"COPIA")),COPIA!EF76))</f>
        <v/>
      </c>
      <c r="C83" s="78" t="str">
        <f ca="1">IFERROR(IF(AND(COPIA!EG76&lt;&gt;0,ROW()&lt;=COPIA!$BL$1),COPIA!EG76,IF(AND(ROW()&gt;COPIA!$BL$1,INDEX(COPIA!$J$2:$L$200,MATCH('SIT.PATR._SIT.ECON.'!B83,COPIA!$J$2:$J$200,0),3)&lt;&gt;0),INDEX(COPIA!$J$2:$L$200,MATCH('SIT.PATR._SIT.ECON.'!B83,COPIA!$J$2:$J$200,0),3),"")),"")</f>
        <v/>
      </c>
      <c r="D83" s="72" t="str">
        <f ca="1">IF(AND(COPIA!$CP$1=TRUE,IF((ROW())&gt;=COPIA!$BL$1,CONCATENATE((INDIRECT(ADDRESS(ROW()-COPIA!$BM$1,131,4,,"COPIA")))),COPIA!EJ76)="SALDO ECONOMICO POSITIVO"),REPLACE(IF((ROW())&gt;=COPIA!$BL$1,CONCATENATE((INDIRECT(ADDRESS(ROW()-COPIA!$BM$1,131,4,,"COPIA")))),COPIA!EJ76),1,30,"UTILE D'ESERCIZIO"),IF((ROW())&gt;=COPIA!$BL$1,CONCATENATE((INDIRECT(ADDRESS(ROW()-COPIA!$BM$1,131,4,,"COPIA")))),COPIA!EJ76))</f>
        <v/>
      </c>
      <c r="E83" s="81" t="str">
        <f ca="1">IFERROR(IF(AND(ROW()&lt;=COPIA!$BL$1,COPIA!EK76&lt;&gt;0),COPIA!EK76,IF(AND(ROW()&gt;COPIA!$BL$1,INDEX(COPIA!$EA$2:$EC$200,MATCH('SIT.PATR._SIT.ECON.'!D83,COPIA!$EA$2:$EA$200,0),3)&lt;&gt;0),INDEX(COPIA!$EA$2:$EC$200,MATCH('SIT.PATR._SIT.ECON.'!D83,COPIA!$EA$2:$EA$200,0),3),"")),"")</f>
        <v/>
      </c>
    </row>
    <row r="84" spans="1:5" ht="15.9" customHeight="1" x14ac:dyDescent="0.3">
      <c r="A84" s="7" t="str">
        <f t="shared" ca="1" si="2"/>
        <v/>
      </c>
      <c r="B84" s="72" t="str">
        <f ca="1">IF(AND(COPIA!$CP$1=TRUE,IF((ROW())&gt;=COPIA!$BL$1,INDIRECT(ADDRESS(ROW()-COPIA!$BM$1,10,4,,"COPIA")),COPIA!EF77)="SALDO ECONOMICO NEGATIVO"),REPLACE("SALDO ECONOMICO NEGATIVO",1,30,"PERDITA D'ESERCIZIO"),IF((ROW())&gt;=COPIA!$BL$1,INDIRECT(ADDRESS(ROW()-COPIA!$BM$1,10,4,,"COPIA")),COPIA!EF77))</f>
        <v/>
      </c>
      <c r="C84" s="78" t="str">
        <f ca="1">IFERROR(IF(AND(COPIA!EG77&lt;&gt;0,ROW()&lt;=COPIA!$BL$1),COPIA!EG77,IF(AND(ROW()&gt;COPIA!$BL$1,INDEX(COPIA!$J$2:$L$200,MATCH('SIT.PATR._SIT.ECON.'!B84,COPIA!$J$2:$J$200,0),3)&lt;&gt;0),INDEX(COPIA!$J$2:$L$200,MATCH('SIT.PATR._SIT.ECON.'!B84,COPIA!$J$2:$J$200,0),3),"")),"")</f>
        <v/>
      </c>
      <c r="D84" s="72" t="str">
        <f ca="1">IF(AND(COPIA!$CP$1=TRUE,IF((ROW())&gt;=COPIA!$BL$1,CONCATENATE((INDIRECT(ADDRESS(ROW()-COPIA!$BM$1,131,4,,"COPIA")))),COPIA!EJ77)="SALDO ECONOMICO POSITIVO"),REPLACE(IF((ROW())&gt;=COPIA!$BL$1,CONCATENATE((INDIRECT(ADDRESS(ROW()-COPIA!$BM$1,131,4,,"COPIA")))),COPIA!EJ77),1,30,"UTILE D'ESERCIZIO"),IF((ROW())&gt;=COPIA!$BL$1,CONCATENATE((INDIRECT(ADDRESS(ROW()-COPIA!$BM$1,131,4,,"COPIA")))),COPIA!EJ77))</f>
        <v/>
      </c>
      <c r="E84" s="81" t="str">
        <f ca="1">IFERROR(IF(AND(ROW()&lt;=COPIA!$BL$1,COPIA!EK77&lt;&gt;0),COPIA!EK77,IF(AND(ROW()&gt;COPIA!$BL$1,INDEX(COPIA!$EA$2:$EC$200,MATCH('SIT.PATR._SIT.ECON.'!D84,COPIA!$EA$2:$EA$200,0),3)&lt;&gt;0),INDEX(COPIA!$EA$2:$EC$200,MATCH('SIT.PATR._SIT.ECON.'!D84,COPIA!$EA$2:$EA$200,0),3),"")),"")</f>
        <v/>
      </c>
    </row>
    <row r="85" spans="1:5" ht="15.9" customHeight="1" x14ac:dyDescent="0.3">
      <c r="A85" s="7" t="str">
        <f t="shared" ca="1" si="2"/>
        <v/>
      </c>
      <c r="B85" s="72" t="str">
        <f ca="1">IF(AND(COPIA!$CP$1=TRUE,IF((ROW())&gt;=COPIA!$BL$1,INDIRECT(ADDRESS(ROW()-COPIA!$BM$1,10,4,,"COPIA")),COPIA!EF78)="SALDO ECONOMICO NEGATIVO"),REPLACE("SALDO ECONOMICO NEGATIVO",1,30,"PERDITA D'ESERCIZIO"),IF((ROW())&gt;=COPIA!$BL$1,INDIRECT(ADDRESS(ROW()-COPIA!$BM$1,10,4,,"COPIA")),COPIA!EF78))</f>
        <v/>
      </c>
      <c r="C85" s="78" t="str">
        <f ca="1">IFERROR(IF(AND(COPIA!EG78&lt;&gt;0,ROW()&lt;=COPIA!$BL$1),COPIA!EG78,IF(AND(ROW()&gt;COPIA!$BL$1,INDEX(COPIA!$J$2:$L$200,MATCH('SIT.PATR._SIT.ECON.'!B85,COPIA!$J$2:$J$200,0),3)&lt;&gt;0),INDEX(COPIA!$J$2:$L$200,MATCH('SIT.PATR._SIT.ECON.'!B85,COPIA!$J$2:$J$200,0),3),"")),"")</f>
        <v/>
      </c>
      <c r="D85" s="72" t="str">
        <f ca="1">IF(AND(COPIA!$CP$1=TRUE,IF((ROW())&gt;=COPIA!$BL$1,CONCATENATE((INDIRECT(ADDRESS(ROW()-COPIA!$BM$1,131,4,,"COPIA")))),COPIA!EJ78)="SALDO ECONOMICO POSITIVO"),REPLACE(IF((ROW())&gt;=COPIA!$BL$1,CONCATENATE((INDIRECT(ADDRESS(ROW()-COPIA!$BM$1,131,4,,"COPIA")))),COPIA!EJ78),1,30,"UTILE D'ESERCIZIO"),IF((ROW())&gt;=COPIA!$BL$1,CONCATENATE((INDIRECT(ADDRESS(ROW()-COPIA!$BM$1,131,4,,"COPIA")))),COPIA!EJ78))</f>
        <v/>
      </c>
      <c r="E85" s="81" t="str">
        <f ca="1">IFERROR(IF(AND(ROW()&lt;=COPIA!$BL$1,COPIA!EK78&lt;&gt;0),COPIA!EK78,IF(AND(ROW()&gt;COPIA!$BL$1,INDEX(COPIA!$EA$2:$EC$200,MATCH('SIT.PATR._SIT.ECON.'!D85,COPIA!$EA$2:$EA$200,0),3)&lt;&gt;0),INDEX(COPIA!$EA$2:$EC$200,MATCH('SIT.PATR._SIT.ECON.'!D85,COPIA!$EA$2:$EA$200,0),3),"")),"")</f>
        <v/>
      </c>
    </row>
    <row r="86" spans="1:5" ht="15.9" customHeight="1" x14ac:dyDescent="0.3">
      <c r="A86" s="7" t="str">
        <f t="shared" ca="1" si="2"/>
        <v/>
      </c>
      <c r="B86" s="72" t="str">
        <f ca="1">IF(AND(COPIA!$CP$1=TRUE,IF((ROW())&gt;=COPIA!$BL$1,INDIRECT(ADDRESS(ROW()-COPIA!$BM$1,10,4,,"COPIA")),COPIA!EF79)="SALDO ECONOMICO NEGATIVO"),REPLACE("SALDO ECONOMICO NEGATIVO",1,30,"PERDITA D'ESERCIZIO"),IF((ROW())&gt;=COPIA!$BL$1,INDIRECT(ADDRESS(ROW()-COPIA!$BM$1,10,4,,"COPIA")),COPIA!EF79))</f>
        <v/>
      </c>
      <c r="C86" s="78" t="str">
        <f ca="1">IFERROR(IF(AND(COPIA!EG79&lt;&gt;0,ROW()&lt;=COPIA!$BL$1),COPIA!EG79,IF(AND(ROW()&gt;COPIA!$BL$1,INDEX(COPIA!$J$2:$L$200,MATCH('SIT.PATR._SIT.ECON.'!B86,COPIA!$J$2:$J$200,0),3)&lt;&gt;0),INDEX(COPIA!$J$2:$L$200,MATCH('SIT.PATR._SIT.ECON.'!B86,COPIA!$J$2:$J$200,0),3),"")),"")</f>
        <v/>
      </c>
      <c r="D86" s="72" t="str">
        <f ca="1">IF(AND(COPIA!$CP$1=TRUE,IF((ROW())&gt;=COPIA!$BL$1,CONCATENATE((INDIRECT(ADDRESS(ROW()-COPIA!$BM$1,131,4,,"COPIA")))),COPIA!EJ79)="SALDO ECONOMICO POSITIVO"),REPLACE(IF((ROW())&gt;=COPIA!$BL$1,CONCATENATE((INDIRECT(ADDRESS(ROW()-COPIA!$BM$1,131,4,,"COPIA")))),COPIA!EJ79),1,30,"UTILE D'ESERCIZIO"),IF((ROW())&gt;=COPIA!$BL$1,CONCATENATE((INDIRECT(ADDRESS(ROW()-COPIA!$BM$1,131,4,,"COPIA")))),COPIA!EJ79))</f>
        <v/>
      </c>
      <c r="E86" s="81" t="str">
        <f ca="1">IFERROR(IF(AND(ROW()&lt;=COPIA!$BL$1,COPIA!EK79&lt;&gt;0),COPIA!EK79,IF(AND(ROW()&gt;COPIA!$BL$1,INDEX(COPIA!$EA$2:$EC$200,MATCH('SIT.PATR._SIT.ECON.'!D86,COPIA!$EA$2:$EA$200,0),3)&lt;&gt;0),INDEX(COPIA!$EA$2:$EC$200,MATCH('SIT.PATR._SIT.ECON.'!D86,COPIA!$EA$2:$EA$200,0),3),"")),"")</f>
        <v/>
      </c>
    </row>
    <row r="87" spans="1:5" ht="15.9" customHeight="1" x14ac:dyDescent="0.3">
      <c r="A87" s="7" t="str">
        <f t="shared" ca="1" si="2"/>
        <v/>
      </c>
      <c r="B87" s="72" t="str">
        <f ca="1">IF(AND(COPIA!$CP$1=TRUE,IF((ROW())&gt;=COPIA!$BL$1,INDIRECT(ADDRESS(ROW()-COPIA!$BM$1,10,4,,"COPIA")),COPIA!EF80)="SALDO ECONOMICO NEGATIVO"),REPLACE("SALDO ECONOMICO NEGATIVO",1,30,"PERDITA D'ESERCIZIO"),IF((ROW())&gt;=COPIA!$BL$1,INDIRECT(ADDRESS(ROW()-COPIA!$BM$1,10,4,,"COPIA")),COPIA!EF80))</f>
        <v/>
      </c>
      <c r="C87" s="78" t="str">
        <f ca="1">IFERROR(IF(AND(COPIA!EG80&lt;&gt;0,ROW()&lt;=COPIA!$BL$1),COPIA!EG80,IF(AND(ROW()&gt;COPIA!$BL$1,INDEX(COPIA!$J$2:$L$200,MATCH('SIT.PATR._SIT.ECON.'!B87,COPIA!$J$2:$J$200,0),3)&lt;&gt;0),INDEX(COPIA!$J$2:$L$200,MATCH('SIT.PATR._SIT.ECON.'!B87,COPIA!$J$2:$J$200,0),3),"")),"")</f>
        <v/>
      </c>
      <c r="D87" s="72" t="str">
        <f ca="1">IF(AND(COPIA!$CP$1=TRUE,IF((ROW())&gt;=COPIA!$BL$1,CONCATENATE((INDIRECT(ADDRESS(ROW()-COPIA!$BM$1,131,4,,"COPIA")))),COPIA!EJ80)="SALDO ECONOMICO POSITIVO"),REPLACE(IF((ROW())&gt;=COPIA!$BL$1,CONCATENATE((INDIRECT(ADDRESS(ROW()-COPIA!$BM$1,131,4,,"COPIA")))),COPIA!EJ80),1,30,"UTILE D'ESERCIZIO"),IF((ROW())&gt;=COPIA!$BL$1,CONCATENATE((INDIRECT(ADDRESS(ROW()-COPIA!$BM$1,131,4,,"COPIA")))),COPIA!EJ80))</f>
        <v/>
      </c>
      <c r="E87" s="81" t="str">
        <f ca="1">IFERROR(IF(AND(ROW()&lt;=COPIA!$BL$1,COPIA!EK80&lt;&gt;0),COPIA!EK80,IF(AND(ROW()&gt;COPIA!$BL$1,INDEX(COPIA!$EA$2:$EC$200,MATCH('SIT.PATR._SIT.ECON.'!D87,COPIA!$EA$2:$EA$200,0),3)&lt;&gt;0),INDEX(COPIA!$EA$2:$EC$200,MATCH('SIT.PATR._SIT.ECON.'!D87,COPIA!$EA$2:$EA$200,0),3),"")),"")</f>
        <v/>
      </c>
    </row>
    <row r="88" spans="1:5" ht="15.9" customHeight="1" x14ac:dyDescent="0.3">
      <c r="A88" s="7" t="str">
        <f t="shared" ca="1" si="2"/>
        <v/>
      </c>
      <c r="B88" s="72" t="str">
        <f ca="1">IF(AND(COPIA!$CP$1=TRUE,IF((ROW())&gt;=COPIA!$BL$1,INDIRECT(ADDRESS(ROW()-COPIA!$BM$1,10,4,,"COPIA")),COPIA!EF81)="SALDO ECONOMICO NEGATIVO"),REPLACE("SALDO ECONOMICO NEGATIVO",1,30,"PERDITA D'ESERCIZIO"),IF((ROW())&gt;=COPIA!$BL$1,INDIRECT(ADDRESS(ROW()-COPIA!$BM$1,10,4,,"COPIA")),COPIA!EF81))</f>
        <v/>
      </c>
      <c r="C88" s="78" t="str">
        <f ca="1">IFERROR(IF(AND(COPIA!EG81&lt;&gt;0,ROW()&lt;=COPIA!$BL$1),COPIA!EG81,IF(AND(ROW()&gt;COPIA!$BL$1,INDEX(COPIA!$J$2:$L$200,MATCH('SIT.PATR._SIT.ECON.'!B88,COPIA!$J$2:$J$200,0),3)&lt;&gt;0),INDEX(COPIA!$J$2:$L$200,MATCH('SIT.PATR._SIT.ECON.'!B88,COPIA!$J$2:$J$200,0),3),"")),"")</f>
        <v/>
      </c>
      <c r="D88" s="72" t="str">
        <f ca="1">IF(AND(COPIA!$CP$1=TRUE,IF((ROW())&gt;=COPIA!$BL$1,CONCATENATE((INDIRECT(ADDRESS(ROW()-COPIA!$BM$1,131,4,,"COPIA")))),COPIA!EJ81)="SALDO ECONOMICO POSITIVO"),REPLACE(IF((ROW())&gt;=COPIA!$BL$1,CONCATENATE((INDIRECT(ADDRESS(ROW()-COPIA!$BM$1,131,4,,"COPIA")))),COPIA!EJ81),1,30,"UTILE D'ESERCIZIO"),IF((ROW())&gt;=COPIA!$BL$1,CONCATENATE((INDIRECT(ADDRESS(ROW()-COPIA!$BM$1,131,4,,"COPIA")))),COPIA!EJ81))</f>
        <v/>
      </c>
      <c r="E88" s="81" t="str">
        <f ca="1">IFERROR(IF(AND(ROW()&lt;=COPIA!$BL$1,COPIA!EK81&lt;&gt;0),COPIA!EK81,IF(AND(ROW()&gt;COPIA!$BL$1,INDEX(COPIA!$EA$2:$EC$200,MATCH('SIT.PATR._SIT.ECON.'!D88,COPIA!$EA$2:$EA$200,0),3)&lt;&gt;0),INDEX(COPIA!$EA$2:$EC$200,MATCH('SIT.PATR._SIT.ECON.'!D88,COPIA!$EA$2:$EA$200,0),3),"")),"")</f>
        <v/>
      </c>
    </row>
    <row r="89" spans="1:5" ht="15.9" customHeight="1" x14ac:dyDescent="0.3">
      <c r="A89" s="7" t="str">
        <f t="shared" ca="1" si="2"/>
        <v/>
      </c>
      <c r="B89" s="72" t="str">
        <f ca="1">IF(AND(COPIA!$CP$1=TRUE,IF((ROW())&gt;=COPIA!$BL$1,INDIRECT(ADDRESS(ROW()-COPIA!$BM$1,10,4,,"COPIA")),COPIA!EF82)="SALDO ECONOMICO NEGATIVO"),REPLACE("SALDO ECONOMICO NEGATIVO",1,30,"PERDITA D'ESERCIZIO"),IF((ROW())&gt;=COPIA!$BL$1,INDIRECT(ADDRESS(ROW()-COPIA!$BM$1,10,4,,"COPIA")),COPIA!EF82))</f>
        <v/>
      </c>
      <c r="C89" s="78" t="str">
        <f ca="1">IFERROR(IF(AND(COPIA!EG82&lt;&gt;0,ROW()&lt;=COPIA!$BL$1),COPIA!EG82,IF(AND(ROW()&gt;COPIA!$BL$1,INDEX(COPIA!$J$2:$L$200,MATCH('SIT.PATR._SIT.ECON.'!B89,COPIA!$J$2:$J$200,0),3)&lt;&gt;0),INDEX(COPIA!$J$2:$L$200,MATCH('SIT.PATR._SIT.ECON.'!B89,COPIA!$J$2:$J$200,0),3),"")),"")</f>
        <v/>
      </c>
      <c r="D89" s="72" t="str">
        <f ca="1">IF(AND(COPIA!$CP$1=TRUE,IF((ROW())&gt;=COPIA!$BL$1,CONCATENATE((INDIRECT(ADDRESS(ROW()-COPIA!$BM$1,131,4,,"COPIA")))),COPIA!EJ82)="SALDO ECONOMICO POSITIVO"),REPLACE(IF((ROW())&gt;=COPIA!$BL$1,CONCATENATE((INDIRECT(ADDRESS(ROW()-COPIA!$BM$1,131,4,,"COPIA")))),COPIA!EJ82),1,30,"UTILE D'ESERCIZIO"),IF((ROW())&gt;=COPIA!$BL$1,CONCATENATE((INDIRECT(ADDRESS(ROW()-COPIA!$BM$1,131,4,,"COPIA")))),COPIA!EJ82))</f>
        <v/>
      </c>
      <c r="E89" s="81" t="str">
        <f ca="1">IFERROR(IF(AND(ROW()&lt;=COPIA!$BL$1,COPIA!EK82&lt;&gt;0),COPIA!EK82,IF(AND(ROW()&gt;COPIA!$BL$1,INDEX(COPIA!$EA$2:$EC$200,MATCH('SIT.PATR._SIT.ECON.'!D89,COPIA!$EA$2:$EA$200,0),3)&lt;&gt;0),INDEX(COPIA!$EA$2:$EC$200,MATCH('SIT.PATR._SIT.ECON.'!D89,COPIA!$EA$2:$EA$200,0),3),"")),"")</f>
        <v/>
      </c>
    </row>
    <row r="90" spans="1:5" ht="15.9" customHeight="1" x14ac:dyDescent="0.3">
      <c r="A90" s="7" t="str">
        <f t="shared" ca="1" si="2"/>
        <v/>
      </c>
      <c r="B90" s="72" t="str">
        <f ca="1">IF(AND(COPIA!$CP$1=TRUE,IF((ROW())&gt;=COPIA!$BL$1,INDIRECT(ADDRESS(ROW()-COPIA!$BM$1,10,4,,"COPIA")),COPIA!EF83)="SALDO ECONOMICO NEGATIVO"),REPLACE("SALDO ECONOMICO NEGATIVO",1,30,"PERDITA D'ESERCIZIO"),IF((ROW())&gt;=COPIA!$BL$1,INDIRECT(ADDRESS(ROW()-COPIA!$BM$1,10,4,,"COPIA")),COPIA!EF83))</f>
        <v/>
      </c>
      <c r="C90" s="78" t="str">
        <f ca="1">IFERROR(IF(AND(COPIA!EG83&lt;&gt;0,ROW()&lt;=COPIA!$BL$1),COPIA!EG83,IF(AND(ROW()&gt;COPIA!$BL$1,INDEX(COPIA!$J$2:$L$200,MATCH('SIT.PATR._SIT.ECON.'!B90,COPIA!$J$2:$J$200,0),3)&lt;&gt;0),INDEX(COPIA!$J$2:$L$200,MATCH('SIT.PATR._SIT.ECON.'!B90,COPIA!$J$2:$J$200,0),3),"")),"")</f>
        <v/>
      </c>
      <c r="D90" s="72" t="str">
        <f ca="1">IF(AND(COPIA!$CP$1=TRUE,IF((ROW())&gt;=COPIA!$BL$1,CONCATENATE((INDIRECT(ADDRESS(ROW()-COPIA!$BM$1,131,4,,"COPIA")))),COPIA!EJ83)="SALDO ECONOMICO POSITIVO"),REPLACE(IF((ROW())&gt;=COPIA!$BL$1,CONCATENATE((INDIRECT(ADDRESS(ROW()-COPIA!$BM$1,131,4,,"COPIA")))),COPIA!EJ83),1,30,"UTILE D'ESERCIZIO"),IF((ROW())&gt;=COPIA!$BL$1,CONCATENATE((INDIRECT(ADDRESS(ROW()-COPIA!$BM$1,131,4,,"COPIA")))),COPIA!EJ83))</f>
        <v/>
      </c>
      <c r="E90" s="81" t="str">
        <f ca="1">IFERROR(IF(AND(ROW()&lt;=COPIA!$BL$1,COPIA!EK83&lt;&gt;0),COPIA!EK83,IF(AND(ROW()&gt;COPIA!$BL$1,INDEX(COPIA!$EA$2:$EC$200,MATCH('SIT.PATR._SIT.ECON.'!D90,COPIA!$EA$2:$EA$200,0),3)&lt;&gt;0),INDEX(COPIA!$EA$2:$EC$200,MATCH('SIT.PATR._SIT.ECON.'!D90,COPIA!$EA$2:$EA$200,0),3),"")),"")</f>
        <v/>
      </c>
    </row>
    <row r="91" spans="1:5" ht="15.9" customHeight="1" x14ac:dyDescent="0.3">
      <c r="A91" s="7" t="str">
        <f t="shared" ca="1" si="2"/>
        <v/>
      </c>
      <c r="B91" s="72" t="str">
        <f ca="1">IF(AND(COPIA!$CP$1=TRUE,IF((ROW())&gt;=COPIA!$BL$1,INDIRECT(ADDRESS(ROW()-COPIA!$BM$1,10,4,,"COPIA")),COPIA!EF84)="SALDO ECONOMICO NEGATIVO"),REPLACE("SALDO ECONOMICO NEGATIVO",1,30,"PERDITA D'ESERCIZIO"),IF((ROW())&gt;=COPIA!$BL$1,INDIRECT(ADDRESS(ROW()-COPIA!$BM$1,10,4,,"COPIA")),COPIA!EF84))</f>
        <v/>
      </c>
      <c r="C91" s="78" t="str">
        <f ca="1">IFERROR(IF(AND(COPIA!EG84&lt;&gt;0,ROW()&lt;=COPIA!$BL$1),COPIA!EG84,IF(AND(ROW()&gt;COPIA!$BL$1,INDEX(COPIA!$J$2:$L$200,MATCH('SIT.PATR._SIT.ECON.'!B91,COPIA!$J$2:$J$200,0),3)&lt;&gt;0),INDEX(COPIA!$J$2:$L$200,MATCH('SIT.PATR._SIT.ECON.'!B91,COPIA!$J$2:$J$200,0),3),"")),"")</f>
        <v/>
      </c>
      <c r="D91" s="72" t="str">
        <f ca="1">IF(AND(COPIA!$CP$1=TRUE,IF((ROW())&gt;=COPIA!$BL$1,CONCATENATE((INDIRECT(ADDRESS(ROW()-COPIA!$BM$1,131,4,,"COPIA")))),COPIA!EJ84)="SALDO ECONOMICO POSITIVO"),REPLACE(IF((ROW())&gt;=COPIA!$BL$1,CONCATENATE((INDIRECT(ADDRESS(ROW()-COPIA!$BM$1,131,4,,"COPIA")))),COPIA!EJ84),1,30,"UTILE D'ESERCIZIO"),IF((ROW())&gt;=COPIA!$BL$1,CONCATENATE((INDIRECT(ADDRESS(ROW()-COPIA!$BM$1,131,4,,"COPIA")))),COPIA!EJ84))</f>
        <v/>
      </c>
      <c r="E91" s="81" t="str">
        <f ca="1">IFERROR(IF(AND(ROW()&lt;=COPIA!$BL$1,COPIA!EK84&lt;&gt;0),COPIA!EK84,IF(AND(ROW()&gt;COPIA!$BL$1,INDEX(COPIA!$EA$2:$EC$200,MATCH('SIT.PATR._SIT.ECON.'!D91,COPIA!$EA$2:$EA$200,0),3)&lt;&gt;0),INDEX(COPIA!$EA$2:$EC$200,MATCH('SIT.PATR._SIT.ECON.'!D91,COPIA!$EA$2:$EA$200,0),3),"")),"")</f>
        <v/>
      </c>
    </row>
    <row r="92" spans="1:5" ht="15.9" customHeight="1" x14ac:dyDescent="0.3">
      <c r="A92" s="7" t="str">
        <f t="shared" ca="1" si="2"/>
        <v/>
      </c>
      <c r="B92" s="72" t="str">
        <f ca="1">IF(AND(COPIA!$CP$1=TRUE,IF((ROW())&gt;=COPIA!$BL$1,INDIRECT(ADDRESS(ROW()-COPIA!$BM$1,10,4,,"COPIA")),COPIA!EF85)="SALDO ECONOMICO NEGATIVO"),REPLACE("SALDO ECONOMICO NEGATIVO",1,30,"PERDITA D'ESERCIZIO"),IF((ROW())&gt;=COPIA!$BL$1,INDIRECT(ADDRESS(ROW()-COPIA!$BM$1,10,4,,"COPIA")),COPIA!EF85))</f>
        <v/>
      </c>
      <c r="C92" s="78" t="str">
        <f ca="1">IFERROR(IF(AND(COPIA!EG85&lt;&gt;0,ROW()&lt;=COPIA!$BL$1),COPIA!EG85,IF(AND(ROW()&gt;COPIA!$BL$1,INDEX(COPIA!$J$2:$L$200,MATCH('SIT.PATR._SIT.ECON.'!B92,COPIA!$J$2:$J$200,0),3)&lt;&gt;0),INDEX(COPIA!$J$2:$L$200,MATCH('SIT.PATR._SIT.ECON.'!B92,COPIA!$J$2:$J$200,0),3),"")),"")</f>
        <v/>
      </c>
      <c r="D92" s="72" t="str">
        <f ca="1">IF(AND(COPIA!$CP$1=TRUE,IF((ROW())&gt;=COPIA!$BL$1,CONCATENATE((INDIRECT(ADDRESS(ROW()-COPIA!$BM$1,131,4,,"COPIA")))),COPIA!EJ85)="SALDO ECONOMICO POSITIVO"),REPLACE(IF((ROW())&gt;=COPIA!$BL$1,CONCATENATE((INDIRECT(ADDRESS(ROW()-COPIA!$BM$1,131,4,,"COPIA")))),COPIA!EJ85),1,30,"UTILE D'ESERCIZIO"),IF((ROW())&gt;=COPIA!$BL$1,CONCATENATE((INDIRECT(ADDRESS(ROW()-COPIA!$BM$1,131,4,,"COPIA")))),COPIA!EJ85))</f>
        <v/>
      </c>
      <c r="E92" s="81" t="str">
        <f ca="1">IFERROR(IF(AND(ROW()&lt;=COPIA!$BL$1,COPIA!EK85&lt;&gt;0),COPIA!EK85,IF(AND(ROW()&gt;COPIA!$BL$1,INDEX(COPIA!$EA$2:$EC$200,MATCH('SIT.PATR._SIT.ECON.'!D92,COPIA!$EA$2:$EA$200,0),3)&lt;&gt;0),INDEX(COPIA!$EA$2:$EC$200,MATCH('SIT.PATR._SIT.ECON.'!D92,COPIA!$EA$2:$EA$200,0),3),"")),"")</f>
        <v/>
      </c>
    </row>
    <row r="93" spans="1:5" ht="15.9" customHeight="1" x14ac:dyDescent="0.3">
      <c r="A93" s="7" t="str">
        <f t="shared" ca="1" si="2"/>
        <v/>
      </c>
      <c r="B93" s="72" t="str">
        <f ca="1">IF(AND(COPIA!$CP$1=TRUE,IF((ROW())&gt;=COPIA!$BL$1,INDIRECT(ADDRESS(ROW()-COPIA!$BM$1,10,4,,"COPIA")),COPIA!EF86)="SALDO ECONOMICO NEGATIVO"),REPLACE("SALDO ECONOMICO NEGATIVO",1,30,"PERDITA D'ESERCIZIO"),IF((ROW())&gt;=COPIA!$BL$1,INDIRECT(ADDRESS(ROW()-COPIA!$BM$1,10,4,,"COPIA")),COPIA!EF86))</f>
        <v/>
      </c>
      <c r="C93" s="78" t="str">
        <f ca="1">IFERROR(IF(AND(COPIA!EG86&lt;&gt;0,ROW()&lt;=COPIA!$BL$1),COPIA!EG86,IF(AND(ROW()&gt;COPIA!$BL$1,INDEX(COPIA!$J$2:$L$200,MATCH('SIT.PATR._SIT.ECON.'!B93,COPIA!$J$2:$J$200,0),3)&lt;&gt;0),INDEX(COPIA!$J$2:$L$200,MATCH('SIT.PATR._SIT.ECON.'!B93,COPIA!$J$2:$J$200,0),3),"")),"")</f>
        <v/>
      </c>
      <c r="D93" s="72" t="str">
        <f ca="1">IF(AND(COPIA!$CP$1=TRUE,IF((ROW())&gt;=COPIA!$BL$1,CONCATENATE((INDIRECT(ADDRESS(ROW()-COPIA!$BM$1,131,4,,"COPIA")))),COPIA!EJ86)="SALDO ECONOMICO POSITIVO"),REPLACE(IF((ROW())&gt;=COPIA!$BL$1,CONCATENATE((INDIRECT(ADDRESS(ROW()-COPIA!$BM$1,131,4,,"COPIA")))),COPIA!EJ86),1,30,"UTILE D'ESERCIZIO"),IF((ROW())&gt;=COPIA!$BL$1,CONCATENATE((INDIRECT(ADDRESS(ROW()-COPIA!$BM$1,131,4,,"COPIA")))),COPIA!EJ86))</f>
        <v/>
      </c>
      <c r="E93" s="81" t="str">
        <f ca="1">IFERROR(IF(AND(ROW()&lt;=COPIA!$BL$1,COPIA!EK86&lt;&gt;0),COPIA!EK86,IF(AND(ROW()&gt;COPIA!$BL$1,INDEX(COPIA!$EA$2:$EC$200,MATCH('SIT.PATR._SIT.ECON.'!D93,COPIA!$EA$2:$EA$200,0),3)&lt;&gt;0),INDEX(COPIA!$EA$2:$EC$200,MATCH('SIT.PATR._SIT.ECON.'!D93,COPIA!$EA$2:$EA$200,0),3),"")),"")</f>
        <v/>
      </c>
    </row>
    <row r="94" spans="1:5" ht="15.9" customHeight="1" x14ac:dyDescent="0.3">
      <c r="A94" s="7" t="str">
        <f t="shared" ca="1" si="2"/>
        <v/>
      </c>
      <c r="B94" s="72" t="str">
        <f ca="1">IF(AND(COPIA!$CP$1=TRUE,IF((ROW())&gt;=COPIA!$BL$1,INDIRECT(ADDRESS(ROW()-COPIA!$BM$1,10,4,,"COPIA")),COPIA!EF87)="SALDO ECONOMICO NEGATIVO"),REPLACE("SALDO ECONOMICO NEGATIVO",1,30,"PERDITA D'ESERCIZIO"),IF((ROW())&gt;=COPIA!$BL$1,INDIRECT(ADDRESS(ROW()-COPIA!$BM$1,10,4,,"COPIA")),COPIA!EF87))</f>
        <v/>
      </c>
      <c r="C94" s="78" t="str">
        <f ca="1">IFERROR(IF(AND(COPIA!EG87&lt;&gt;0,ROW()&lt;=COPIA!$BL$1),COPIA!EG87,IF(AND(ROW()&gt;COPIA!$BL$1,INDEX(COPIA!$J$2:$L$200,MATCH('SIT.PATR._SIT.ECON.'!B94,COPIA!$J$2:$J$200,0),3)&lt;&gt;0),INDEX(COPIA!$J$2:$L$200,MATCH('SIT.PATR._SIT.ECON.'!B94,COPIA!$J$2:$J$200,0),3),"")),"")</f>
        <v/>
      </c>
      <c r="D94" s="72" t="str">
        <f ca="1">IF(AND(COPIA!$CP$1=TRUE,IF((ROW())&gt;=COPIA!$BL$1,CONCATENATE((INDIRECT(ADDRESS(ROW()-COPIA!$BM$1,131,4,,"COPIA")))),COPIA!EJ87)="SALDO ECONOMICO POSITIVO"),REPLACE(IF((ROW())&gt;=COPIA!$BL$1,CONCATENATE((INDIRECT(ADDRESS(ROW()-COPIA!$BM$1,131,4,,"COPIA")))),COPIA!EJ87),1,30,"UTILE D'ESERCIZIO"),IF((ROW())&gt;=COPIA!$BL$1,CONCATENATE((INDIRECT(ADDRESS(ROW()-COPIA!$BM$1,131,4,,"COPIA")))),COPIA!EJ87))</f>
        <v/>
      </c>
      <c r="E94" s="81" t="str">
        <f ca="1">IFERROR(IF(AND(ROW()&lt;=COPIA!$BL$1,COPIA!EK87&lt;&gt;0),COPIA!EK87,IF(AND(ROW()&gt;COPIA!$BL$1,INDEX(COPIA!$EA$2:$EC$200,MATCH('SIT.PATR._SIT.ECON.'!D94,COPIA!$EA$2:$EA$200,0),3)&lt;&gt;0),INDEX(COPIA!$EA$2:$EC$200,MATCH('SIT.PATR._SIT.ECON.'!D94,COPIA!$EA$2:$EA$200,0),3),"")),"")</f>
        <v/>
      </c>
    </row>
    <row r="95" spans="1:5" ht="15.9" customHeight="1" x14ac:dyDescent="0.3">
      <c r="A95" s="7" t="str">
        <f t="shared" ca="1" si="2"/>
        <v/>
      </c>
      <c r="B95" s="72" t="str">
        <f ca="1">IF(AND(COPIA!$CP$1=TRUE,IF((ROW())&gt;=COPIA!$BL$1,INDIRECT(ADDRESS(ROW()-COPIA!$BM$1,10,4,,"COPIA")),COPIA!EF88)="SALDO ECONOMICO NEGATIVO"),REPLACE("SALDO ECONOMICO NEGATIVO",1,30,"PERDITA D'ESERCIZIO"),IF((ROW())&gt;=COPIA!$BL$1,INDIRECT(ADDRESS(ROW()-COPIA!$BM$1,10,4,,"COPIA")),COPIA!EF88))</f>
        <v/>
      </c>
      <c r="C95" s="78" t="str">
        <f ca="1">IFERROR(IF(AND(COPIA!EG88&lt;&gt;0,ROW()&lt;=COPIA!$BL$1),COPIA!EG88,IF(AND(ROW()&gt;COPIA!$BL$1,INDEX(COPIA!$J$2:$L$200,MATCH('SIT.PATR._SIT.ECON.'!B95,COPIA!$J$2:$J$200,0),3)&lt;&gt;0),INDEX(COPIA!$J$2:$L$200,MATCH('SIT.PATR._SIT.ECON.'!B95,COPIA!$J$2:$J$200,0),3),"")),"")</f>
        <v/>
      </c>
      <c r="D95" s="72" t="str">
        <f ca="1">IF(AND(COPIA!$CP$1=TRUE,IF((ROW())&gt;=COPIA!$BL$1,CONCATENATE((INDIRECT(ADDRESS(ROW()-COPIA!$BM$1,131,4,,"COPIA")))),COPIA!EJ88)="SALDO ECONOMICO POSITIVO"),REPLACE(IF((ROW())&gt;=COPIA!$BL$1,CONCATENATE((INDIRECT(ADDRESS(ROW()-COPIA!$BM$1,131,4,,"COPIA")))),COPIA!EJ88),1,30,"UTILE D'ESERCIZIO"),IF((ROW())&gt;=COPIA!$BL$1,CONCATENATE((INDIRECT(ADDRESS(ROW()-COPIA!$BM$1,131,4,,"COPIA")))),COPIA!EJ88))</f>
        <v/>
      </c>
      <c r="E95" s="81" t="str">
        <f ca="1">IFERROR(IF(AND(ROW()&lt;=COPIA!$BL$1,COPIA!EK88&lt;&gt;0),COPIA!EK88,IF(AND(ROW()&gt;COPIA!$BL$1,INDEX(COPIA!$EA$2:$EC$200,MATCH('SIT.PATR._SIT.ECON.'!D95,COPIA!$EA$2:$EA$200,0),3)&lt;&gt;0),INDEX(COPIA!$EA$2:$EC$200,MATCH('SIT.PATR._SIT.ECON.'!D95,COPIA!$EA$2:$EA$200,0),3),"")),"")</f>
        <v/>
      </c>
    </row>
    <row r="96" spans="1:5" ht="15.9" customHeight="1" x14ac:dyDescent="0.3">
      <c r="A96" s="7" t="str">
        <f t="shared" ca="1" si="2"/>
        <v/>
      </c>
      <c r="B96" s="72" t="str">
        <f ca="1">IF(AND(COPIA!$CP$1=TRUE,IF((ROW())&gt;=COPIA!$BL$1,INDIRECT(ADDRESS(ROW()-COPIA!$BM$1,10,4,,"COPIA")),COPIA!EF89)="SALDO ECONOMICO NEGATIVO"),REPLACE("SALDO ECONOMICO NEGATIVO",1,30,"PERDITA D'ESERCIZIO"),IF((ROW())&gt;=COPIA!$BL$1,INDIRECT(ADDRESS(ROW()-COPIA!$BM$1,10,4,,"COPIA")),COPIA!EF89))</f>
        <v/>
      </c>
      <c r="C96" s="78" t="str">
        <f ca="1">IFERROR(IF(AND(COPIA!EG89&lt;&gt;0,ROW()&lt;=COPIA!$BL$1),COPIA!EG89,IF(AND(ROW()&gt;COPIA!$BL$1,INDEX(COPIA!$J$2:$L$200,MATCH('SIT.PATR._SIT.ECON.'!B96,COPIA!$J$2:$J$200,0),3)&lt;&gt;0),INDEX(COPIA!$J$2:$L$200,MATCH('SIT.PATR._SIT.ECON.'!B96,COPIA!$J$2:$J$200,0),3),"")),"")</f>
        <v/>
      </c>
      <c r="D96" s="72" t="str">
        <f ca="1">IF(AND(COPIA!$CP$1=TRUE,IF((ROW())&gt;=COPIA!$BL$1,CONCATENATE((INDIRECT(ADDRESS(ROW()-COPIA!$BM$1,131,4,,"COPIA")))),COPIA!EJ89)="SALDO ECONOMICO POSITIVO"),REPLACE(IF((ROW())&gt;=COPIA!$BL$1,CONCATENATE((INDIRECT(ADDRESS(ROW()-COPIA!$BM$1,131,4,,"COPIA")))),COPIA!EJ89),1,30,"UTILE D'ESERCIZIO"),IF((ROW())&gt;=COPIA!$BL$1,CONCATENATE((INDIRECT(ADDRESS(ROW()-COPIA!$BM$1,131,4,,"COPIA")))),COPIA!EJ89))</f>
        <v/>
      </c>
      <c r="E96" s="81" t="str">
        <f ca="1">IFERROR(IF(AND(ROW()&lt;=COPIA!$BL$1,COPIA!EK89&lt;&gt;0),COPIA!EK89,IF(AND(ROW()&gt;COPIA!$BL$1,INDEX(COPIA!$EA$2:$EC$200,MATCH('SIT.PATR._SIT.ECON.'!D96,COPIA!$EA$2:$EA$200,0),3)&lt;&gt;0),INDEX(COPIA!$EA$2:$EC$200,MATCH('SIT.PATR._SIT.ECON.'!D96,COPIA!$EA$2:$EA$200,0),3),"")),"")</f>
        <v/>
      </c>
    </row>
    <row r="97" spans="1:5" ht="15.9" customHeight="1" x14ac:dyDescent="0.3">
      <c r="A97" s="7" t="str">
        <f t="shared" ca="1" si="2"/>
        <v/>
      </c>
      <c r="B97" s="72" t="str">
        <f ca="1">IF(AND(COPIA!$CP$1=TRUE,IF((ROW())&gt;=COPIA!$BL$1,INDIRECT(ADDRESS(ROW()-COPIA!$BM$1,10,4,,"COPIA")),COPIA!EF90)="SALDO ECONOMICO NEGATIVO"),REPLACE("SALDO ECONOMICO NEGATIVO",1,30,"PERDITA D'ESERCIZIO"),IF((ROW())&gt;=COPIA!$BL$1,INDIRECT(ADDRESS(ROW()-COPIA!$BM$1,10,4,,"COPIA")),COPIA!EF90))</f>
        <v/>
      </c>
      <c r="C97" s="78" t="str">
        <f ca="1">IFERROR(IF(AND(COPIA!EG90&lt;&gt;0,ROW()&lt;=COPIA!$BL$1),COPIA!EG90,IF(AND(ROW()&gt;COPIA!$BL$1,INDEX(COPIA!$J$2:$L$200,MATCH('SIT.PATR._SIT.ECON.'!B97,COPIA!$J$2:$J$200,0),3)&lt;&gt;0),INDEX(COPIA!$J$2:$L$200,MATCH('SIT.PATR._SIT.ECON.'!B97,COPIA!$J$2:$J$200,0),3),"")),"")</f>
        <v/>
      </c>
      <c r="D97" s="72" t="str">
        <f ca="1">IF(AND(COPIA!$CP$1=TRUE,IF((ROW())&gt;=COPIA!$BL$1,CONCATENATE((INDIRECT(ADDRESS(ROW()-COPIA!$BM$1,131,4,,"COPIA")))),COPIA!EJ90)="SALDO ECONOMICO POSITIVO"),REPLACE(IF((ROW())&gt;=COPIA!$BL$1,CONCATENATE((INDIRECT(ADDRESS(ROW()-COPIA!$BM$1,131,4,,"COPIA")))),COPIA!EJ90),1,30,"UTILE D'ESERCIZIO"),IF((ROW())&gt;=COPIA!$BL$1,CONCATENATE((INDIRECT(ADDRESS(ROW()-COPIA!$BM$1,131,4,,"COPIA")))),COPIA!EJ90))</f>
        <v/>
      </c>
      <c r="E97" s="81" t="str">
        <f ca="1">IFERROR(IF(AND(ROW()&lt;=COPIA!$BL$1,COPIA!EK90&lt;&gt;0),COPIA!EK90,IF(AND(ROW()&gt;COPIA!$BL$1,INDEX(COPIA!$EA$2:$EC$200,MATCH('SIT.PATR._SIT.ECON.'!D97,COPIA!$EA$2:$EA$200,0),3)&lt;&gt;0),INDEX(COPIA!$EA$2:$EC$200,MATCH('SIT.PATR._SIT.ECON.'!D97,COPIA!$EA$2:$EA$200,0),3),"")),"")</f>
        <v/>
      </c>
    </row>
    <row r="98" spans="1:5" ht="15.9" customHeight="1" x14ac:dyDescent="0.3">
      <c r="A98" s="7" t="str">
        <f t="shared" ca="1" si="2"/>
        <v/>
      </c>
      <c r="B98" s="72" t="str">
        <f ca="1">IF(AND(COPIA!$CP$1=TRUE,IF((ROW())&gt;=COPIA!$BL$1,INDIRECT(ADDRESS(ROW()-COPIA!$BM$1,10,4,,"COPIA")),COPIA!EF91)="SALDO ECONOMICO NEGATIVO"),REPLACE("SALDO ECONOMICO NEGATIVO",1,30,"PERDITA D'ESERCIZIO"),IF((ROW())&gt;=COPIA!$BL$1,INDIRECT(ADDRESS(ROW()-COPIA!$BM$1,10,4,,"COPIA")),COPIA!EF91))</f>
        <v/>
      </c>
      <c r="C98" s="78" t="str">
        <f ca="1">IFERROR(IF(AND(COPIA!EG91&lt;&gt;0,ROW()&lt;=COPIA!$BL$1),COPIA!EG91,IF(AND(ROW()&gt;COPIA!$BL$1,INDEX(COPIA!$J$2:$L$200,MATCH('SIT.PATR._SIT.ECON.'!B98,COPIA!$J$2:$J$200,0),3)&lt;&gt;0),INDEX(COPIA!$J$2:$L$200,MATCH('SIT.PATR._SIT.ECON.'!B98,COPIA!$J$2:$J$200,0),3),"")),"")</f>
        <v/>
      </c>
      <c r="D98" s="72" t="str">
        <f ca="1">IF(AND(COPIA!$CP$1=TRUE,IF((ROW())&gt;=COPIA!$BL$1,CONCATENATE((INDIRECT(ADDRESS(ROW()-COPIA!$BM$1,131,4,,"COPIA")))),COPIA!EJ91)="SALDO ECONOMICO POSITIVO"),REPLACE(IF((ROW())&gt;=COPIA!$BL$1,CONCATENATE((INDIRECT(ADDRESS(ROW()-COPIA!$BM$1,131,4,,"COPIA")))),COPIA!EJ91),1,30,"UTILE D'ESERCIZIO"),IF((ROW())&gt;=COPIA!$BL$1,CONCATENATE((INDIRECT(ADDRESS(ROW()-COPIA!$BM$1,131,4,,"COPIA")))),COPIA!EJ91))</f>
        <v/>
      </c>
      <c r="E98" s="81" t="str">
        <f ca="1">IFERROR(IF(AND(ROW()&lt;=COPIA!$BL$1,COPIA!EK91&lt;&gt;0),COPIA!EK91,IF(AND(ROW()&gt;COPIA!$BL$1,INDEX(COPIA!$EA$2:$EC$200,MATCH('SIT.PATR._SIT.ECON.'!D98,COPIA!$EA$2:$EA$200,0),3)&lt;&gt;0),INDEX(COPIA!$EA$2:$EC$200,MATCH('SIT.PATR._SIT.ECON.'!D98,COPIA!$EA$2:$EA$200,0),3),"")),"")</f>
        <v/>
      </c>
    </row>
    <row r="99" spans="1:5" ht="15.9" customHeight="1" x14ac:dyDescent="0.3">
      <c r="A99" s="7" t="str">
        <f t="shared" ca="1" si="2"/>
        <v/>
      </c>
      <c r="B99" s="72" t="str">
        <f ca="1">IF(AND(COPIA!$CP$1=TRUE,IF((ROW())&gt;=COPIA!$BL$1,INDIRECT(ADDRESS(ROW()-COPIA!$BM$1,10,4,,"COPIA")),COPIA!EF92)="SALDO ECONOMICO NEGATIVO"),REPLACE("SALDO ECONOMICO NEGATIVO",1,30,"PERDITA D'ESERCIZIO"),IF((ROW())&gt;=COPIA!$BL$1,INDIRECT(ADDRESS(ROW()-COPIA!$BM$1,10,4,,"COPIA")),COPIA!EF92))</f>
        <v/>
      </c>
      <c r="C99" s="78" t="str">
        <f ca="1">IFERROR(IF(AND(COPIA!EG92&lt;&gt;0,ROW()&lt;=COPIA!$BL$1),COPIA!EG92,IF(AND(ROW()&gt;COPIA!$BL$1,INDEX(COPIA!$J$2:$L$200,MATCH('SIT.PATR._SIT.ECON.'!B99,COPIA!$J$2:$J$200,0),3)&lt;&gt;0),INDEX(COPIA!$J$2:$L$200,MATCH('SIT.PATR._SIT.ECON.'!B99,COPIA!$J$2:$J$200,0),3),"")),"")</f>
        <v/>
      </c>
      <c r="D99" s="72" t="str">
        <f ca="1">IF(AND(COPIA!$CP$1=TRUE,IF((ROW())&gt;=COPIA!$BL$1,CONCATENATE((INDIRECT(ADDRESS(ROW()-COPIA!$BM$1,131,4,,"COPIA")))),COPIA!EJ92)="SALDO ECONOMICO POSITIVO"),REPLACE(IF((ROW())&gt;=COPIA!$BL$1,CONCATENATE((INDIRECT(ADDRESS(ROW()-COPIA!$BM$1,131,4,,"COPIA")))),COPIA!EJ92),1,30,"UTILE D'ESERCIZIO"),IF((ROW())&gt;=COPIA!$BL$1,CONCATENATE((INDIRECT(ADDRESS(ROW()-COPIA!$BM$1,131,4,,"COPIA")))),COPIA!EJ92))</f>
        <v/>
      </c>
      <c r="E99" s="81" t="str">
        <f ca="1">IFERROR(IF(AND(ROW()&lt;=COPIA!$BL$1,COPIA!EK92&lt;&gt;0),COPIA!EK92,IF(AND(ROW()&gt;COPIA!$BL$1,INDEX(COPIA!$EA$2:$EC$200,MATCH('SIT.PATR._SIT.ECON.'!D99,COPIA!$EA$2:$EA$200,0),3)&lt;&gt;0),INDEX(COPIA!$EA$2:$EC$200,MATCH('SIT.PATR._SIT.ECON.'!D99,COPIA!$EA$2:$EA$200,0),3),"")),"")</f>
        <v/>
      </c>
    </row>
    <row r="100" spans="1:5" ht="15.9" customHeight="1" x14ac:dyDescent="0.3">
      <c r="A100" s="7" t="str">
        <f t="shared" ca="1" si="2"/>
        <v/>
      </c>
      <c r="B100" s="72" t="str">
        <f ca="1">IF(AND(COPIA!$CP$1=TRUE,IF((ROW())&gt;=COPIA!$BL$1,INDIRECT(ADDRESS(ROW()-COPIA!$BM$1,10,4,,"COPIA")),COPIA!EF93)="SALDO ECONOMICO NEGATIVO"),REPLACE("SALDO ECONOMICO NEGATIVO",1,30,"PERDITA D'ESERCIZIO"),IF((ROW())&gt;=COPIA!$BL$1,INDIRECT(ADDRESS(ROW()-COPIA!$BM$1,10,4,,"COPIA")),COPIA!EF93))</f>
        <v/>
      </c>
      <c r="C100" s="78" t="str">
        <f ca="1">IFERROR(IF(AND(COPIA!EG93&lt;&gt;0,ROW()&lt;=COPIA!$BL$1),COPIA!EG93,IF(AND(ROW()&gt;COPIA!$BL$1,INDEX(COPIA!$J$2:$L$200,MATCH('SIT.PATR._SIT.ECON.'!B100,COPIA!$J$2:$J$200,0),3)&lt;&gt;0),INDEX(COPIA!$J$2:$L$200,MATCH('SIT.PATR._SIT.ECON.'!B100,COPIA!$J$2:$J$200,0),3),"")),"")</f>
        <v/>
      </c>
      <c r="D100" s="72" t="str">
        <f ca="1">IF(AND(COPIA!$CP$1=TRUE,IF((ROW())&gt;=COPIA!$BL$1,CONCATENATE((INDIRECT(ADDRESS(ROW()-COPIA!$BM$1,131,4,,"COPIA")))),COPIA!EJ93)="SALDO ECONOMICO POSITIVO"),REPLACE(IF((ROW())&gt;=COPIA!$BL$1,CONCATENATE((INDIRECT(ADDRESS(ROW()-COPIA!$BM$1,131,4,,"COPIA")))),COPIA!EJ93),1,30,"UTILE D'ESERCIZIO"),IF((ROW())&gt;=COPIA!$BL$1,CONCATENATE((INDIRECT(ADDRESS(ROW()-COPIA!$BM$1,131,4,,"COPIA")))),COPIA!EJ93))</f>
        <v/>
      </c>
      <c r="E100" s="81" t="str">
        <f ca="1">IFERROR(IF(AND(ROW()&lt;=COPIA!$BL$1,COPIA!EK93&lt;&gt;0),COPIA!EK93,IF(AND(ROW()&gt;COPIA!$BL$1,INDEX(COPIA!$EA$2:$EC$200,MATCH('SIT.PATR._SIT.ECON.'!D100,COPIA!$EA$2:$EA$200,0),3)&lt;&gt;0),INDEX(COPIA!$EA$2:$EC$200,MATCH('SIT.PATR._SIT.ECON.'!D100,COPIA!$EA$2:$EA$200,0),3),"")),"")</f>
        <v/>
      </c>
    </row>
    <row r="101" spans="1:5" ht="15.9" customHeight="1" x14ac:dyDescent="0.3">
      <c r="A101" s="7" t="str">
        <f t="shared" ca="1" si="2"/>
        <v/>
      </c>
      <c r="B101" s="72" t="str">
        <f ca="1">IF(AND(COPIA!$CP$1=TRUE,IF((ROW())&gt;=COPIA!$BL$1,INDIRECT(ADDRESS(ROW()-COPIA!$BM$1,10,4,,"COPIA")),COPIA!EF94)="SALDO ECONOMICO NEGATIVO"),REPLACE("SALDO ECONOMICO NEGATIVO",1,30,"PERDITA D'ESERCIZIO"),IF((ROW())&gt;=COPIA!$BL$1,INDIRECT(ADDRESS(ROW()-COPIA!$BM$1,10,4,,"COPIA")),COPIA!EF94))</f>
        <v/>
      </c>
      <c r="C101" s="78" t="str">
        <f ca="1">IFERROR(IF(AND(COPIA!EG94&lt;&gt;0,ROW()&lt;=COPIA!$BL$1),COPIA!EG94,IF(AND(ROW()&gt;COPIA!$BL$1,INDEX(COPIA!$J$2:$L$200,MATCH('SIT.PATR._SIT.ECON.'!B101,COPIA!$J$2:$J$200,0),3)&lt;&gt;0),INDEX(COPIA!$J$2:$L$200,MATCH('SIT.PATR._SIT.ECON.'!B101,COPIA!$J$2:$J$200,0),3),"")),"")</f>
        <v/>
      </c>
      <c r="D101" s="72" t="str">
        <f ca="1">IF(AND(COPIA!$CP$1=TRUE,IF((ROW())&gt;=COPIA!$BL$1,CONCATENATE((INDIRECT(ADDRESS(ROW()-COPIA!$BM$1,131,4,,"COPIA")))),COPIA!EJ94)="SALDO ECONOMICO POSITIVO"),REPLACE(IF((ROW())&gt;=COPIA!$BL$1,CONCATENATE((INDIRECT(ADDRESS(ROW()-COPIA!$BM$1,131,4,,"COPIA")))),COPIA!EJ94),1,30,"UTILE D'ESERCIZIO"),IF((ROW())&gt;=COPIA!$BL$1,CONCATENATE((INDIRECT(ADDRESS(ROW()-COPIA!$BM$1,131,4,,"COPIA")))),COPIA!EJ94))</f>
        <v/>
      </c>
      <c r="E101" s="81" t="str">
        <f ca="1">IFERROR(IF(AND(ROW()&lt;=COPIA!$BL$1,COPIA!EK94&lt;&gt;0),COPIA!EK94,IF(AND(ROW()&gt;COPIA!$BL$1,INDEX(COPIA!$EA$2:$EC$200,MATCH('SIT.PATR._SIT.ECON.'!D101,COPIA!$EA$2:$EA$200,0),3)&lt;&gt;0),INDEX(COPIA!$EA$2:$EC$200,MATCH('SIT.PATR._SIT.ECON.'!D101,COPIA!$EA$2:$EA$200,0),3),"")),"")</f>
        <v/>
      </c>
    </row>
    <row r="102" spans="1:5" ht="15.9" customHeight="1" x14ac:dyDescent="0.3">
      <c r="A102" s="7" t="str">
        <f t="shared" ca="1" si="2"/>
        <v/>
      </c>
      <c r="B102" s="72" t="str">
        <f ca="1">IF(AND(COPIA!$CP$1=TRUE,IF((ROW())&gt;=COPIA!$BL$1,INDIRECT(ADDRESS(ROW()-COPIA!$BM$1,10,4,,"COPIA")),COPIA!EF95)="SALDO ECONOMICO NEGATIVO"),REPLACE("SALDO ECONOMICO NEGATIVO",1,30,"PERDITA D'ESERCIZIO"),IF((ROW())&gt;=COPIA!$BL$1,INDIRECT(ADDRESS(ROW()-COPIA!$BM$1,10,4,,"COPIA")),COPIA!EF95))</f>
        <v/>
      </c>
      <c r="C102" s="78" t="str">
        <f ca="1">IFERROR(IF(AND(COPIA!EG95&lt;&gt;0,ROW()&lt;=COPIA!$BL$1),COPIA!EG95,IF(AND(ROW()&gt;COPIA!$BL$1,INDEX(COPIA!$J$2:$L$200,MATCH('SIT.PATR._SIT.ECON.'!B102,COPIA!$J$2:$J$200,0),3)&lt;&gt;0),INDEX(COPIA!$J$2:$L$200,MATCH('SIT.PATR._SIT.ECON.'!B102,COPIA!$J$2:$J$200,0),3),"")),"")</f>
        <v/>
      </c>
      <c r="D102" s="72" t="str">
        <f ca="1">IF(AND(COPIA!$CP$1=TRUE,IF((ROW())&gt;=COPIA!$BL$1,CONCATENATE((INDIRECT(ADDRESS(ROW()-COPIA!$BM$1,131,4,,"COPIA")))),COPIA!EJ95)="SALDO ECONOMICO POSITIVO"),REPLACE(IF((ROW())&gt;=COPIA!$BL$1,CONCATENATE((INDIRECT(ADDRESS(ROW()-COPIA!$BM$1,131,4,,"COPIA")))),COPIA!EJ95),1,30,"UTILE D'ESERCIZIO"),IF((ROW())&gt;=COPIA!$BL$1,CONCATENATE((INDIRECT(ADDRESS(ROW()-COPIA!$BM$1,131,4,,"COPIA")))),COPIA!EJ95))</f>
        <v/>
      </c>
      <c r="E102" s="81" t="str">
        <f ca="1">IFERROR(IF(AND(ROW()&lt;=COPIA!$BL$1,COPIA!EK95&lt;&gt;0),COPIA!EK95,IF(AND(ROW()&gt;COPIA!$BL$1,INDEX(COPIA!$EA$2:$EC$200,MATCH('SIT.PATR._SIT.ECON.'!D102,COPIA!$EA$2:$EA$200,0),3)&lt;&gt;0),INDEX(COPIA!$EA$2:$EC$200,MATCH('SIT.PATR._SIT.ECON.'!D102,COPIA!$EA$2:$EA$200,0),3),"")),"")</f>
        <v/>
      </c>
    </row>
    <row r="103" spans="1:5" ht="15.9" customHeight="1" x14ac:dyDescent="0.3">
      <c r="A103" s="7" t="str">
        <f t="shared" ca="1" si="2"/>
        <v/>
      </c>
      <c r="B103" s="72" t="str">
        <f ca="1">IF(AND(COPIA!$CP$1=TRUE,IF((ROW())&gt;=COPIA!$BL$1,INDIRECT(ADDRESS(ROW()-COPIA!$BM$1,10,4,,"COPIA")),COPIA!EF96)="SALDO ECONOMICO NEGATIVO"),REPLACE("SALDO ECONOMICO NEGATIVO",1,30,"PERDITA D'ESERCIZIO"),IF((ROW())&gt;=COPIA!$BL$1,INDIRECT(ADDRESS(ROW()-COPIA!$BM$1,10,4,,"COPIA")),COPIA!EF96))</f>
        <v/>
      </c>
      <c r="C103" s="78" t="str">
        <f ca="1">IFERROR(IF(AND(COPIA!EG96&lt;&gt;0,ROW()&lt;=COPIA!$BL$1),COPIA!EG96,IF(AND(ROW()&gt;COPIA!$BL$1,INDEX(COPIA!$J$2:$L$200,MATCH('SIT.PATR._SIT.ECON.'!B103,COPIA!$J$2:$J$200,0),3)&lt;&gt;0),INDEX(COPIA!$J$2:$L$200,MATCH('SIT.PATR._SIT.ECON.'!B103,COPIA!$J$2:$J$200,0),3),"")),"")</f>
        <v/>
      </c>
      <c r="D103" s="72" t="str">
        <f ca="1">IF(AND(COPIA!$CP$1=TRUE,IF((ROW())&gt;=COPIA!$BL$1,CONCATENATE((INDIRECT(ADDRESS(ROW()-COPIA!$BM$1,131,4,,"COPIA")))),COPIA!EJ96)="SALDO ECONOMICO POSITIVO"),REPLACE(IF((ROW())&gt;=COPIA!$BL$1,CONCATENATE((INDIRECT(ADDRESS(ROW()-COPIA!$BM$1,131,4,,"COPIA")))),COPIA!EJ96),1,30,"UTILE D'ESERCIZIO"),IF((ROW())&gt;=COPIA!$BL$1,CONCATENATE((INDIRECT(ADDRESS(ROW()-COPIA!$BM$1,131,4,,"COPIA")))),COPIA!EJ96))</f>
        <v/>
      </c>
      <c r="E103" s="81" t="str">
        <f ca="1">IFERROR(IF(AND(ROW()&lt;=COPIA!$BL$1,COPIA!EK96&lt;&gt;0),COPIA!EK96,IF(AND(ROW()&gt;COPIA!$BL$1,INDEX(COPIA!$EA$2:$EC$200,MATCH('SIT.PATR._SIT.ECON.'!D103,COPIA!$EA$2:$EA$200,0),3)&lt;&gt;0),INDEX(COPIA!$EA$2:$EC$200,MATCH('SIT.PATR._SIT.ECON.'!D103,COPIA!$EA$2:$EA$200,0),3),"")),"")</f>
        <v/>
      </c>
    </row>
    <row r="104" spans="1:5" ht="15.9" customHeight="1" x14ac:dyDescent="0.3">
      <c r="A104" s="7" t="str">
        <f t="shared" ca="1" si="2"/>
        <v/>
      </c>
      <c r="B104" s="72" t="str">
        <f ca="1">IF(AND(COPIA!$CP$1=TRUE,IF((ROW())&gt;=COPIA!$BL$1,INDIRECT(ADDRESS(ROW()-COPIA!$BM$1,10,4,,"COPIA")),COPIA!EF97)="SALDO ECONOMICO NEGATIVO"),REPLACE("SALDO ECONOMICO NEGATIVO",1,30,"PERDITA D'ESERCIZIO"),IF((ROW())&gt;=COPIA!$BL$1,INDIRECT(ADDRESS(ROW()-COPIA!$BM$1,10,4,,"COPIA")),COPIA!EF97))</f>
        <v/>
      </c>
      <c r="C104" s="78" t="str">
        <f ca="1">IFERROR(IF(AND(COPIA!EG97&lt;&gt;0,ROW()&lt;=COPIA!$BL$1),COPIA!EG97,IF(AND(ROW()&gt;COPIA!$BL$1,INDEX(COPIA!$J$2:$L$200,MATCH('SIT.PATR._SIT.ECON.'!B104,COPIA!$J$2:$J$200,0),3)&lt;&gt;0),INDEX(COPIA!$J$2:$L$200,MATCH('SIT.PATR._SIT.ECON.'!B104,COPIA!$J$2:$J$200,0),3),"")),"")</f>
        <v/>
      </c>
      <c r="D104" s="72" t="str">
        <f ca="1">IF(AND(COPIA!$CP$1=TRUE,IF((ROW())&gt;=COPIA!$BL$1,CONCATENATE((INDIRECT(ADDRESS(ROW()-COPIA!$BM$1,131,4,,"COPIA")))),COPIA!EJ97)="SALDO ECONOMICO POSITIVO"),REPLACE(IF((ROW())&gt;=COPIA!$BL$1,CONCATENATE((INDIRECT(ADDRESS(ROW()-COPIA!$BM$1,131,4,,"COPIA")))),COPIA!EJ97),1,30,"UTILE D'ESERCIZIO"),IF((ROW())&gt;=COPIA!$BL$1,CONCATENATE((INDIRECT(ADDRESS(ROW()-COPIA!$BM$1,131,4,,"COPIA")))),COPIA!EJ97))</f>
        <v/>
      </c>
      <c r="E104" s="81" t="str">
        <f ca="1">IFERROR(IF(AND(ROW()&lt;=COPIA!$BL$1,COPIA!EK97&lt;&gt;0),COPIA!EK97,IF(AND(ROW()&gt;COPIA!$BL$1,INDEX(COPIA!$EA$2:$EC$200,MATCH('SIT.PATR._SIT.ECON.'!D104,COPIA!$EA$2:$EA$200,0),3)&lt;&gt;0),INDEX(COPIA!$EA$2:$EC$200,MATCH('SIT.PATR._SIT.ECON.'!D104,COPIA!$EA$2:$EA$200,0),3),"")),"")</f>
        <v/>
      </c>
    </row>
    <row r="105" spans="1:5" ht="15.9" customHeight="1" x14ac:dyDescent="0.3">
      <c r="A105" s="7" t="str">
        <f t="shared" ca="1" si="2"/>
        <v/>
      </c>
      <c r="B105" s="72" t="str">
        <f ca="1">IF(AND(COPIA!$CP$1=TRUE,IF((ROW())&gt;=COPIA!$BL$1,INDIRECT(ADDRESS(ROW()-COPIA!$BM$1,10,4,,"COPIA")),COPIA!EF98)="SALDO ECONOMICO NEGATIVO"),REPLACE("SALDO ECONOMICO NEGATIVO",1,30,"PERDITA D'ESERCIZIO"),IF((ROW())&gt;=COPIA!$BL$1,INDIRECT(ADDRESS(ROW()-COPIA!$BM$1,10,4,,"COPIA")),COPIA!EF98))</f>
        <v/>
      </c>
      <c r="C105" s="78" t="str">
        <f ca="1">IFERROR(IF(AND(COPIA!EG98&lt;&gt;0,ROW()&lt;=COPIA!$BL$1),COPIA!EG98,IF(AND(ROW()&gt;COPIA!$BL$1,INDEX(COPIA!$J$2:$L$200,MATCH('SIT.PATR._SIT.ECON.'!B105,COPIA!$J$2:$J$200,0),3)&lt;&gt;0),INDEX(COPIA!$J$2:$L$200,MATCH('SIT.PATR._SIT.ECON.'!B105,COPIA!$J$2:$J$200,0),3),"")),"")</f>
        <v/>
      </c>
      <c r="D105" s="72" t="str">
        <f ca="1">IF(AND(COPIA!$CP$1=TRUE,IF((ROW())&gt;=COPIA!$BL$1,CONCATENATE((INDIRECT(ADDRESS(ROW()-COPIA!$BM$1,131,4,,"COPIA")))),COPIA!EJ98)="SALDO ECONOMICO POSITIVO"),REPLACE(IF((ROW())&gt;=COPIA!$BL$1,CONCATENATE((INDIRECT(ADDRESS(ROW()-COPIA!$BM$1,131,4,,"COPIA")))),COPIA!EJ98),1,30,"UTILE D'ESERCIZIO"),IF((ROW())&gt;=COPIA!$BL$1,CONCATENATE((INDIRECT(ADDRESS(ROW()-COPIA!$BM$1,131,4,,"COPIA")))),COPIA!EJ98))</f>
        <v/>
      </c>
      <c r="E105" s="81" t="str">
        <f ca="1">IFERROR(IF(AND(ROW()&lt;=COPIA!$BL$1,COPIA!EK98&lt;&gt;0),COPIA!EK98,IF(AND(ROW()&gt;COPIA!$BL$1,INDEX(COPIA!$EA$2:$EC$200,MATCH('SIT.PATR._SIT.ECON.'!D105,COPIA!$EA$2:$EA$200,0),3)&lt;&gt;0),INDEX(COPIA!$EA$2:$EC$200,MATCH('SIT.PATR._SIT.ECON.'!D105,COPIA!$EA$2:$EA$200,0),3),"")),"")</f>
        <v/>
      </c>
    </row>
    <row r="106" spans="1:5" ht="15.9" customHeight="1" x14ac:dyDescent="0.3">
      <c r="A106" s="7" t="str">
        <f t="shared" ca="1" si="2"/>
        <v/>
      </c>
      <c r="B106" s="72" t="str">
        <f ca="1">IF(AND(COPIA!$CP$1=TRUE,IF((ROW())&gt;=COPIA!$BL$1,INDIRECT(ADDRESS(ROW()-COPIA!$BM$1,10,4,,"COPIA")),COPIA!EF99)="SALDO ECONOMICO NEGATIVO"),REPLACE("SALDO ECONOMICO NEGATIVO",1,30,"PERDITA D'ESERCIZIO"),IF((ROW())&gt;=COPIA!$BL$1,INDIRECT(ADDRESS(ROW()-COPIA!$BM$1,10,4,,"COPIA")),COPIA!EF99))</f>
        <v/>
      </c>
      <c r="C106" s="78" t="str">
        <f ca="1">IFERROR(IF(AND(COPIA!EG99&lt;&gt;0,ROW()&lt;=COPIA!$BL$1),COPIA!EG99,IF(AND(ROW()&gt;COPIA!$BL$1,INDEX(COPIA!$J$2:$L$200,MATCH('SIT.PATR._SIT.ECON.'!B106,COPIA!$J$2:$J$200,0),3)&lt;&gt;0),INDEX(COPIA!$J$2:$L$200,MATCH('SIT.PATR._SIT.ECON.'!B106,COPIA!$J$2:$J$200,0),3),"")),"")</f>
        <v/>
      </c>
      <c r="D106" s="72" t="str">
        <f ca="1">IF(AND(COPIA!$CP$1=TRUE,IF((ROW())&gt;=COPIA!$BL$1,CONCATENATE((INDIRECT(ADDRESS(ROW()-COPIA!$BM$1,131,4,,"COPIA")))),COPIA!EJ99)="SALDO ECONOMICO POSITIVO"),REPLACE(IF((ROW())&gt;=COPIA!$BL$1,CONCATENATE((INDIRECT(ADDRESS(ROW()-COPIA!$BM$1,131,4,,"COPIA")))),COPIA!EJ99),1,30,"UTILE D'ESERCIZIO"),IF((ROW())&gt;=COPIA!$BL$1,CONCATENATE((INDIRECT(ADDRESS(ROW()-COPIA!$BM$1,131,4,,"COPIA")))),COPIA!EJ99))</f>
        <v/>
      </c>
      <c r="E106" s="81" t="str">
        <f ca="1">IFERROR(IF(AND(ROW()&lt;=COPIA!$BL$1,COPIA!EK99&lt;&gt;0),COPIA!EK99,IF(AND(ROW()&gt;COPIA!$BL$1,INDEX(COPIA!$EA$2:$EC$200,MATCH('SIT.PATR._SIT.ECON.'!D106,COPIA!$EA$2:$EA$200,0),3)&lt;&gt;0),INDEX(COPIA!$EA$2:$EC$200,MATCH('SIT.PATR._SIT.ECON.'!D106,COPIA!$EA$2:$EA$200,0),3),"")),"")</f>
        <v/>
      </c>
    </row>
    <row r="107" spans="1:5" ht="15.9" customHeight="1" x14ac:dyDescent="0.3">
      <c r="A107" s="7" t="str">
        <f t="shared" ca="1" si="2"/>
        <v/>
      </c>
      <c r="B107" s="72" t="str">
        <f ca="1">IF(AND(COPIA!$CP$1=TRUE,IF((ROW())&gt;=COPIA!$BL$1,INDIRECT(ADDRESS(ROW()-COPIA!$BM$1,10,4,,"COPIA")),COPIA!EF100)="SALDO ECONOMICO NEGATIVO"),REPLACE("SALDO ECONOMICO NEGATIVO",1,30,"PERDITA D'ESERCIZIO"),IF((ROW())&gt;=COPIA!$BL$1,INDIRECT(ADDRESS(ROW()-COPIA!$BM$1,10,4,,"COPIA")),COPIA!EF100))</f>
        <v/>
      </c>
      <c r="C107" s="78" t="str">
        <f ca="1">IFERROR(IF(AND(COPIA!EG100&lt;&gt;0,ROW()&lt;=COPIA!$BL$1),COPIA!EG100,IF(AND(ROW()&gt;COPIA!$BL$1,INDEX(COPIA!$J$2:$L$200,MATCH('SIT.PATR._SIT.ECON.'!B107,COPIA!$J$2:$J$200,0),3)&lt;&gt;0),INDEX(COPIA!$J$2:$L$200,MATCH('SIT.PATR._SIT.ECON.'!B107,COPIA!$J$2:$J$200,0),3),"")),"")</f>
        <v/>
      </c>
      <c r="D107" s="72" t="str">
        <f ca="1">IF(AND(COPIA!$CP$1=TRUE,IF((ROW())&gt;=COPIA!$BL$1,CONCATENATE((INDIRECT(ADDRESS(ROW()-COPIA!$BM$1,131,4,,"COPIA")))),COPIA!EJ100)="SALDO ECONOMICO POSITIVO"),REPLACE(IF((ROW())&gt;=COPIA!$BL$1,CONCATENATE((INDIRECT(ADDRESS(ROW()-COPIA!$BM$1,131,4,,"COPIA")))),COPIA!EJ100),1,30,"UTILE D'ESERCIZIO"),IF((ROW())&gt;=COPIA!$BL$1,CONCATENATE((INDIRECT(ADDRESS(ROW()-COPIA!$BM$1,131,4,,"COPIA")))),COPIA!EJ100))</f>
        <v/>
      </c>
      <c r="E107" s="81" t="str">
        <f ca="1">IFERROR(IF(AND(ROW()&lt;=COPIA!$BL$1,COPIA!EK100&lt;&gt;0),COPIA!EK100,IF(AND(ROW()&gt;COPIA!$BL$1,INDEX(COPIA!$EA$2:$EC$200,MATCH('SIT.PATR._SIT.ECON.'!D107,COPIA!$EA$2:$EA$200,0),3)&lt;&gt;0),INDEX(COPIA!$EA$2:$EC$200,MATCH('SIT.PATR._SIT.ECON.'!D107,COPIA!$EA$2:$EA$200,0),3),"")),"")</f>
        <v/>
      </c>
    </row>
    <row r="108" spans="1:5" ht="15.9" customHeight="1" x14ac:dyDescent="0.3">
      <c r="A108" s="7" t="str">
        <f t="shared" ca="1" si="2"/>
        <v/>
      </c>
      <c r="B108" s="72" t="str">
        <f ca="1">IF(AND(COPIA!$CP$1=TRUE,IF((ROW())&gt;=COPIA!$BL$1,INDIRECT(ADDRESS(ROW()-COPIA!$BM$1,10,4,,"COPIA")),COPIA!EF101)="SALDO ECONOMICO NEGATIVO"),REPLACE("SALDO ECONOMICO NEGATIVO",1,30,"PERDITA D'ESERCIZIO"),IF((ROW())&gt;=COPIA!$BL$1,INDIRECT(ADDRESS(ROW()-COPIA!$BM$1,10,4,,"COPIA")),COPIA!EF101))</f>
        <v/>
      </c>
      <c r="C108" s="78" t="str">
        <f ca="1">IFERROR(IF(AND(COPIA!EG101&lt;&gt;0,ROW()&lt;=COPIA!$BL$1),COPIA!EG101,IF(AND(ROW()&gt;COPIA!$BL$1,INDEX(COPIA!$J$2:$L$200,MATCH('SIT.PATR._SIT.ECON.'!B108,COPIA!$J$2:$J$200,0),3)&lt;&gt;0),INDEX(COPIA!$J$2:$L$200,MATCH('SIT.PATR._SIT.ECON.'!B108,COPIA!$J$2:$J$200,0),3),"")),"")</f>
        <v/>
      </c>
      <c r="D108" s="72" t="str">
        <f ca="1">IF(AND(COPIA!$CP$1=TRUE,IF((ROW())&gt;=COPIA!$BL$1,CONCATENATE((INDIRECT(ADDRESS(ROW()-COPIA!$BM$1,131,4,,"COPIA")))),COPIA!EJ101)="SALDO ECONOMICO POSITIVO"),REPLACE(IF((ROW())&gt;=COPIA!$BL$1,CONCATENATE((INDIRECT(ADDRESS(ROW()-COPIA!$BM$1,131,4,,"COPIA")))),COPIA!EJ101),1,30,"UTILE D'ESERCIZIO"),IF((ROW())&gt;=COPIA!$BL$1,CONCATENATE((INDIRECT(ADDRESS(ROW()-COPIA!$BM$1,131,4,,"COPIA")))),COPIA!EJ101))</f>
        <v/>
      </c>
      <c r="E108" s="81" t="str">
        <f ca="1">IFERROR(IF(AND(ROW()&lt;=COPIA!$BL$1,COPIA!EK101&lt;&gt;0),COPIA!EK101,IF(AND(ROW()&gt;COPIA!$BL$1,INDEX(COPIA!$EA$2:$EC$200,MATCH('SIT.PATR._SIT.ECON.'!D108,COPIA!$EA$2:$EA$200,0),3)&lt;&gt;0),INDEX(COPIA!$EA$2:$EC$200,MATCH('SIT.PATR._SIT.ECON.'!D108,COPIA!$EA$2:$EA$200,0),3),"")),"")</f>
        <v/>
      </c>
    </row>
    <row r="109" spans="1:5" ht="15.9" customHeight="1" x14ac:dyDescent="0.3">
      <c r="A109" s="7" t="str">
        <f t="shared" ca="1" si="2"/>
        <v/>
      </c>
      <c r="B109" s="72" t="str">
        <f ca="1">IF(AND(COPIA!$CP$1=TRUE,IF((ROW())&gt;=COPIA!$BL$1,INDIRECT(ADDRESS(ROW()-COPIA!$BM$1,10,4,,"COPIA")),COPIA!EF102)="SALDO ECONOMICO NEGATIVO"),REPLACE("SALDO ECONOMICO NEGATIVO",1,30,"PERDITA D'ESERCIZIO"),IF((ROW())&gt;=COPIA!$BL$1,INDIRECT(ADDRESS(ROW()-COPIA!$BM$1,10,4,,"COPIA")),COPIA!EF102))</f>
        <v/>
      </c>
      <c r="C109" s="78" t="str">
        <f ca="1">IFERROR(IF(AND(COPIA!EG102&lt;&gt;0,ROW()&lt;=COPIA!$BL$1),COPIA!EG102,IF(AND(ROW()&gt;COPIA!$BL$1,INDEX(COPIA!$J$2:$L$200,MATCH('SIT.PATR._SIT.ECON.'!B109,COPIA!$J$2:$J$200,0),3)&lt;&gt;0),INDEX(COPIA!$J$2:$L$200,MATCH('SIT.PATR._SIT.ECON.'!B109,COPIA!$J$2:$J$200,0),3),"")),"")</f>
        <v/>
      </c>
      <c r="D109" s="72" t="str">
        <f ca="1">IF(AND(COPIA!$CP$1=TRUE,IF((ROW())&gt;=COPIA!$BL$1,CONCATENATE((INDIRECT(ADDRESS(ROW()-COPIA!$BM$1,131,4,,"COPIA")))),COPIA!EJ102)="SALDO ECONOMICO POSITIVO"),REPLACE(IF((ROW())&gt;=COPIA!$BL$1,CONCATENATE((INDIRECT(ADDRESS(ROW()-COPIA!$BM$1,131,4,,"COPIA")))),COPIA!EJ102),1,30,"UTILE D'ESERCIZIO"),IF((ROW())&gt;=COPIA!$BL$1,CONCATENATE((INDIRECT(ADDRESS(ROW()-COPIA!$BM$1,131,4,,"COPIA")))),COPIA!EJ102))</f>
        <v/>
      </c>
      <c r="E109" s="81" t="str">
        <f ca="1">IFERROR(IF(AND(ROW()&lt;=COPIA!$BL$1,COPIA!EK102&lt;&gt;0),COPIA!EK102,IF(AND(ROW()&gt;COPIA!$BL$1,INDEX(COPIA!$EA$2:$EC$200,MATCH('SIT.PATR._SIT.ECON.'!D109,COPIA!$EA$2:$EA$200,0),3)&lt;&gt;0),INDEX(COPIA!$EA$2:$EC$200,MATCH('SIT.PATR._SIT.ECON.'!D109,COPIA!$EA$2:$EA$200,0),3),"")),"")</f>
        <v/>
      </c>
    </row>
    <row r="110" spans="1:5" ht="15.9" customHeight="1" x14ac:dyDescent="0.3">
      <c r="A110" s="7" t="str">
        <f t="shared" ca="1" si="2"/>
        <v/>
      </c>
      <c r="B110" s="72" t="str">
        <f ca="1">IF(AND(COPIA!$CP$1=TRUE,IF((ROW())&gt;=COPIA!$BL$1,INDIRECT(ADDRESS(ROW()-COPIA!$BM$1,10,4,,"COPIA")),COPIA!EF103)="SALDO ECONOMICO NEGATIVO"),REPLACE("SALDO ECONOMICO NEGATIVO",1,30,"PERDITA D'ESERCIZIO"),IF((ROW())&gt;=COPIA!$BL$1,INDIRECT(ADDRESS(ROW()-COPIA!$BM$1,10,4,,"COPIA")),COPIA!EF103))</f>
        <v/>
      </c>
      <c r="C110" s="78" t="str">
        <f ca="1">IFERROR(IF(AND(COPIA!EG103&lt;&gt;0,ROW()&lt;=COPIA!$BL$1),COPIA!EG103,IF(AND(ROW()&gt;COPIA!$BL$1,INDEX(COPIA!$J$2:$L$200,MATCH('SIT.PATR._SIT.ECON.'!B110,COPIA!$J$2:$J$200,0),3)&lt;&gt;0),INDEX(COPIA!$J$2:$L$200,MATCH('SIT.PATR._SIT.ECON.'!B110,COPIA!$J$2:$J$200,0),3),"")),"")</f>
        <v/>
      </c>
      <c r="D110" s="72" t="str">
        <f ca="1">IF(AND(COPIA!$CP$1=TRUE,IF((ROW())&gt;=COPIA!$BL$1,CONCATENATE((INDIRECT(ADDRESS(ROW()-COPIA!$BM$1,131,4,,"COPIA")))),COPIA!EJ103)="SALDO ECONOMICO POSITIVO"),REPLACE(IF((ROW())&gt;=COPIA!$BL$1,CONCATENATE((INDIRECT(ADDRESS(ROW()-COPIA!$BM$1,131,4,,"COPIA")))),COPIA!EJ103),1,30,"UTILE D'ESERCIZIO"),IF((ROW())&gt;=COPIA!$BL$1,CONCATENATE((INDIRECT(ADDRESS(ROW()-COPIA!$BM$1,131,4,,"COPIA")))),COPIA!EJ103))</f>
        <v/>
      </c>
      <c r="E110" s="81" t="str">
        <f ca="1">IFERROR(IF(AND(ROW()&lt;=COPIA!$BL$1,COPIA!EK103&lt;&gt;0),COPIA!EK103,IF(AND(ROW()&gt;COPIA!$BL$1,INDEX(COPIA!$EA$2:$EC$200,MATCH('SIT.PATR._SIT.ECON.'!D110,COPIA!$EA$2:$EA$200,0),3)&lt;&gt;0),INDEX(COPIA!$EA$2:$EC$200,MATCH('SIT.PATR._SIT.ECON.'!D110,COPIA!$EA$2:$EA$200,0),3),"")),"")</f>
        <v/>
      </c>
    </row>
    <row r="111" spans="1:5" ht="15.9" customHeight="1" x14ac:dyDescent="0.3">
      <c r="A111" s="7" t="str">
        <f t="shared" ca="1" si="2"/>
        <v/>
      </c>
      <c r="B111" s="72" t="str">
        <f ca="1">IF(AND(COPIA!$CP$1=TRUE,IF((ROW())&gt;=COPIA!$BL$1,INDIRECT(ADDRESS(ROW()-COPIA!$BM$1,10,4,,"COPIA")),COPIA!EF104)="SALDO ECONOMICO NEGATIVO"),REPLACE("SALDO ECONOMICO NEGATIVO",1,30,"PERDITA D'ESERCIZIO"),IF((ROW())&gt;=COPIA!$BL$1,INDIRECT(ADDRESS(ROW()-COPIA!$BM$1,10,4,,"COPIA")),COPIA!EF104))</f>
        <v/>
      </c>
      <c r="C111" s="78" t="str">
        <f ca="1">IFERROR(IF(AND(COPIA!EG104&lt;&gt;0,ROW()&lt;=COPIA!$BL$1),COPIA!EG104,IF(AND(ROW()&gt;COPIA!$BL$1,INDEX(COPIA!$J$2:$L$200,MATCH('SIT.PATR._SIT.ECON.'!B111,COPIA!$J$2:$J$200,0),3)&lt;&gt;0),INDEX(COPIA!$J$2:$L$200,MATCH('SIT.PATR._SIT.ECON.'!B111,COPIA!$J$2:$J$200,0),3),"")),"")</f>
        <v/>
      </c>
      <c r="D111" s="72" t="str">
        <f ca="1">IF(AND(COPIA!$CP$1=TRUE,IF((ROW())&gt;=COPIA!$BL$1,CONCATENATE((INDIRECT(ADDRESS(ROW()-COPIA!$BM$1,131,4,,"COPIA")))),COPIA!EJ104)="SALDO ECONOMICO POSITIVO"),REPLACE(IF((ROW())&gt;=COPIA!$BL$1,CONCATENATE((INDIRECT(ADDRESS(ROW()-COPIA!$BM$1,131,4,,"COPIA")))),COPIA!EJ104),1,30,"UTILE D'ESERCIZIO"),IF((ROW())&gt;=COPIA!$BL$1,CONCATENATE((INDIRECT(ADDRESS(ROW()-COPIA!$BM$1,131,4,,"COPIA")))),COPIA!EJ104))</f>
        <v/>
      </c>
      <c r="E111" s="81" t="str">
        <f ca="1">IFERROR(IF(AND(ROW()&lt;=COPIA!$BL$1,COPIA!EK104&lt;&gt;0),COPIA!EK104,IF(AND(ROW()&gt;COPIA!$BL$1,INDEX(COPIA!$EA$2:$EC$200,MATCH('SIT.PATR._SIT.ECON.'!D111,COPIA!$EA$2:$EA$200,0),3)&lt;&gt;0),INDEX(COPIA!$EA$2:$EC$200,MATCH('SIT.PATR._SIT.ECON.'!D111,COPIA!$EA$2:$EA$200,0),3),"")),"")</f>
        <v/>
      </c>
    </row>
    <row r="112" spans="1:5" ht="15.9" customHeight="1" x14ac:dyDescent="0.3">
      <c r="A112" s="7" t="str">
        <f t="shared" ca="1" si="2"/>
        <v/>
      </c>
      <c r="B112" s="72" t="str">
        <f ca="1">IF(AND(COPIA!$CP$1=TRUE,IF((ROW())&gt;=COPIA!$BL$1,INDIRECT(ADDRESS(ROW()-COPIA!$BM$1,10,4,,"COPIA")),COPIA!EF105)="SALDO ECONOMICO NEGATIVO"),REPLACE("SALDO ECONOMICO NEGATIVO",1,30,"PERDITA D'ESERCIZIO"),IF((ROW())&gt;=COPIA!$BL$1,INDIRECT(ADDRESS(ROW()-COPIA!$BM$1,10,4,,"COPIA")),COPIA!EF105))</f>
        <v/>
      </c>
      <c r="C112" s="78" t="str">
        <f ca="1">IFERROR(IF(AND(COPIA!EG105&lt;&gt;0,ROW()&lt;=COPIA!$BL$1),COPIA!EG105,IF(AND(ROW()&gt;COPIA!$BL$1,INDEX(COPIA!$J$2:$L$200,MATCH('SIT.PATR._SIT.ECON.'!B112,COPIA!$J$2:$J$200,0),3)&lt;&gt;0),INDEX(COPIA!$J$2:$L$200,MATCH('SIT.PATR._SIT.ECON.'!B112,COPIA!$J$2:$J$200,0),3),"")),"")</f>
        <v/>
      </c>
      <c r="D112" s="72" t="str">
        <f ca="1">IF(AND(COPIA!$CP$1=TRUE,IF((ROW())&gt;=COPIA!$BL$1,CONCATENATE((INDIRECT(ADDRESS(ROW()-COPIA!$BM$1,131,4,,"COPIA")))),COPIA!EJ105)="SALDO ECONOMICO POSITIVO"),REPLACE(IF((ROW())&gt;=COPIA!$BL$1,CONCATENATE((INDIRECT(ADDRESS(ROW()-COPIA!$BM$1,131,4,,"COPIA")))),COPIA!EJ105),1,30,"UTILE D'ESERCIZIO"),IF((ROW())&gt;=COPIA!$BL$1,CONCATENATE((INDIRECT(ADDRESS(ROW()-COPIA!$BM$1,131,4,,"COPIA")))),COPIA!EJ105))</f>
        <v/>
      </c>
      <c r="E112" s="81" t="str">
        <f ca="1">IFERROR(IF(AND(ROW()&lt;=COPIA!$BL$1,COPIA!EK105&lt;&gt;0),COPIA!EK105,IF(AND(ROW()&gt;COPIA!$BL$1,INDEX(COPIA!$EA$2:$EC$200,MATCH('SIT.PATR._SIT.ECON.'!D112,COPIA!$EA$2:$EA$200,0),3)&lt;&gt;0),INDEX(COPIA!$EA$2:$EC$200,MATCH('SIT.PATR._SIT.ECON.'!D112,COPIA!$EA$2:$EA$200,0),3),"")),"")</f>
        <v/>
      </c>
    </row>
    <row r="113" spans="1:5" ht="15.9" customHeight="1" x14ac:dyDescent="0.3">
      <c r="A113" s="7" t="str">
        <f t="shared" ca="1" si="2"/>
        <v/>
      </c>
      <c r="B113" s="72" t="str">
        <f ca="1">IF(AND(COPIA!$CP$1=TRUE,IF((ROW())&gt;=COPIA!$BL$1,INDIRECT(ADDRESS(ROW()-COPIA!$BM$1,10,4,,"COPIA")),COPIA!EF106)="SALDO ECONOMICO NEGATIVO"),REPLACE("SALDO ECONOMICO NEGATIVO",1,30,"PERDITA D'ESERCIZIO"),IF((ROW())&gt;=COPIA!$BL$1,INDIRECT(ADDRESS(ROW()-COPIA!$BM$1,10,4,,"COPIA")),COPIA!EF106))</f>
        <v/>
      </c>
      <c r="C113" s="78" t="str">
        <f ca="1">IFERROR(IF(AND(COPIA!EG106&lt;&gt;0,ROW()&lt;=COPIA!$BL$1),COPIA!EG106,IF(AND(ROW()&gt;COPIA!$BL$1,INDEX(COPIA!$J$2:$L$200,MATCH('SIT.PATR._SIT.ECON.'!B113,COPIA!$J$2:$J$200,0),3)&lt;&gt;0),INDEX(COPIA!$J$2:$L$200,MATCH('SIT.PATR._SIT.ECON.'!B113,COPIA!$J$2:$J$200,0),3),"")),"")</f>
        <v/>
      </c>
      <c r="D113" s="72" t="str">
        <f ca="1">IF(AND(COPIA!$CP$1=TRUE,IF((ROW())&gt;=COPIA!$BL$1,CONCATENATE((INDIRECT(ADDRESS(ROW()-COPIA!$BM$1,131,4,,"COPIA")))),COPIA!EJ106)="SALDO ECONOMICO POSITIVO"),REPLACE(IF((ROW())&gt;=COPIA!$BL$1,CONCATENATE((INDIRECT(ADDRESS(ROW()-COPIA!$BM$1,131,4,,"COPIA")))),COPIA!EJ106),1,30,"UTILE D'ESERCIZIO"),IF((ROW())&gt;=COPIA!$BL$1,CONCATENATE((INDIRECT(ADDRESS(ROW()-COPIA!$BM$1,131,4,,"COPIA")))),COPIA!EJ106))</f>
        <v/>
      </c>
      <c r="E113" s="81" t="str">
        <f ca="1">IFERROR(IF(AND(ROW()&lt;=COPIA!$BL$1,COPIA!EK106&lt;&gt;0),COPIA!EK106,IF(AND(ROW()&gt;COPIA!$BL$1,INDEX(COPIA!$EA$2:$EC$200,MATCH('SIT.PATR._SIT.ECON.'!D113,COPIA!$EA$2:$EA$200,0),3)&lt;&gt;0),INDEX(COPIA!$EA$2:$EC$200,MATCH('SIT.PATR._SIT.ECON.'!D113,COPIA!$EA$2:$EA$200,0),3),"")),"")</f>
        <v/>
      </c>
    </row>
    <row r="114" spans="1:5" ht="15.9" customHeight="1" x14ac:dyDescent="0.3">
      <c r="A114" s="7" t="str">
        <f t="shared" ca="1" si="2"/>
        <v/>
      </c>
      <c r="B114" s="72" t="str">
        <f ca="1">IF(AND(COPIA!$CP$1=TRUE,IF((ROW())&gt;=COPIA!$BL$1,INDIRECT(ADDRESS(ROW()-COPIA!$BM$1,10,4,,"COPIA")),COPIA!EF107)="SALDO ECONOMICO NEGATIVO"),REPLACE("SALDO ECONOMICO NEGATIVO",1,30,"PERDITA D'ESERCIZIO"),IF((ROW())&gt;=COPIA!$BL$1,INDIRECT(ADDRESS(ROW()-COPIA!$BM$1,10,4,,"COPIA")),COPIA!EF107))</f>
        <v/>
      </c>
      <c r="C114" s="78" t="str">
        <f ca="1">IFERROR(IF(AND(COPIA!EG107&lt;&gt;0,ROW()&lt;=COPIA!$BL$1),COPIA!EG107,IF(AND(ROW()&gt;COPIA!$BL$1,INDEX(COPIA!$J$2:$L$200,MATCH('SIT.PATR._SIT.ECON.'!B114,COPIA!$J$2:$J$200,0),3)&lt;&gt;0),INDEX(COPIA!$J$2:$L$200,MATCH('SIT.PATR._SIT.ECON.'!B114,COPIA!$J$2:$J$200,0),3),"")),"")</f>
        <v/>
      </c>
      <c r="D114" s="72" t="str">
        <f ca="1">IF(AND(COPIA!$CP$1=TRUE,IF((ROW())&gt;=COPIA!$BL$1,CONCATENATE((INDIRECT(ADDRESS(ROW()-COPIA!$BM$1,131,4,,"COPIA")))),COPIA!EJ107)="SALDO ECONOMICO POSITIVO"),REPLACE(IF((ROW())&gt;=COPIA!$BL$1,CONCATENATE((INDIRECT(ADDRESS(ROW()-COPIA!$BM$1,131,4,,"COPIA")))),COPIA!EJ107),1,30,"UTILE D'ESERCIZIO"),IF((ROW())&gt;=COPIA!$BL$1,CONCATENATE((INDIRECT(ADDRESS(ROW()-COPIA!$BM$1,131,4,,"COPIA")))),COPIA!EJ107))</f>
        <v/>
      </c>
      <c r="E114" s="81" t="str">
        <f ca="1">IFERROR(IF(AND(ROW()&lt;=COPIA!$BL$1,COPIA!EK107&lt;&gt;0),COPIA!EK107,IF(AND(ROW()&gt;COPIA!$BL$1,INDEX(COPIA!$EA$2:$EC$200,MATCH('SIT.PATR._SIT.ECON.'!D114,COPIA!$EA$2:$EA$200,0),3)&lt;&gt;0),INDEX(COPIA!$EA$2:$EC$200,MATCH('SIT.PATR._SIT.ECON.'!D114,COPIA!$EA$2:$EA$200,0),3),"")),"")</f>
        <v/>
      </c>
    </row>
    <row r="115" spans="1:5" ht="15.9" customHeight="1" x14ac:dyDescent="0.3">
      <c r="A115" s="7" t="str">
        <f t="shared" ca="1" si="2"/>
        <v/>
      </c>
      <c r="B115" s="72" t="str">
        <f ca="1">IF(AND(COPIA!$CP$1=TRUE,IF((ROW())&gt;=COPIA!$BL$1,INDIRECT(ADDRESS(ROW()-COPIA!$BM$1,10,4,,"COPIA")),COPIA!EF108)="SALDO ECONOMICO NEGATIVO"),REPLACE("SALDO ECONOMICO NEGATIVO",1,30,"PERDITA D'ESERCIZIO"),IF((ROW())&gt;=COPIA!$BL$1,INDIRECT(ADDRESS(ROW()-COPIA!$BM$1,10,4,,"COPIA")),COPIA!EF108))</f>
        <v/>
      </c>
      <c r="C115" s="78" t="str">
        <f ca="1">IFERROR(IF(AND(COPIA!EG108&lt;&gt;0,ROW()&lt;=COPIA!$BL$1),COPIA!EG108,IF(AND(ROW()&gt;COPIA!$BL$1,INDEX(COPIA!$J$2:$L$200,MATCH('SIT.PATR._SIT.ECON.'!B115,COPIA!$J$2:$J$200,0),3)&lt;&gt;0),INDEX(COPIA!$J$2:$L$200,MATCH('SIT.PATR._SIT.ECON.'!B115,COPIA!$J$2:$J$200,0),3),"")),"")</f>
        <v/>
      </c>
      <c r="D115" s="72" t="str">
        <f ca="1">IF(AND(COPIA!$CP$1=TRUE,IF((ROW())&gt;=COPIA!$BL$1,CONCATENATE((INDIRECT(ADDRESS(ROW()-COPIA!$BM$1,131,4,,"COPIA")))),COPIA!EJ108)="SALDO ECONOMICO POSITIVO"),REPLACE(IF((ROW())&gt;=COPIA!$BL$1,CONCATENATE((INDIRECT(ADDRESS(ROW()-COPIA!$BM$1,131,4,,"COPIA")))),COPIA!EJ108),1,30,"UTILE D'ESERCIZIO"),IF((ROW())&gt;=COPIA!$BL$1,CONCATENATE((INDIRECT(ADDRESS(ROW()-COPIA!$BM$1,131,4,,"COPIA")))),COPIA!EJ108))</f>
        <v/>
      </c>
      <c r="E115" s="81" t="str">
        <f ca="1">IFERROR(IF(AND(ROW()&lt;=COPIA!$BL$1,COPIA!EK108&lt;&gt;0),COPIA!EK108,IF(AND(ROW()&gt;COPIA!$BL$1,INDEX(COPIA!$EA$2:$EC$200,MATCH('SIT.PATR._SIT.ECON.'!D115,COPIA!$EA$2:$EA$200,0),3)&lt;&gt;0),INDEX(COPIA!$EA$2:$EC$200,MATCH('SIT.PATR._SIT.ECON.'!D115,COPIA!$EA$2:$EA$200,0),3),"")),"")</f>
        <v/>
      </c>
    </row>
    <row r="116" spans="1:5" ht="15.9" customHeight="1" x14ac:dyDescent="0.3">
      <c r="A116" s="7" t="str">
        <f t="shared" ca="1" si="2"/>
        <v/>
      </c>
      <c r="B116" s="72" t="str">
        <f ca="1">IF(AND(COPIA!$CP$1=TRUE,IF((ROW())&gt;=COPIA!$BL$1,INDIRECT(ADDRESS(ROW()-COPIA!$BM$1,10,4,,"COPIA")),COPIA!EF109)="SALDO ECONOMICO NEGATIVO"),REPLACE("SALDO ECONOMICO NEGATIVO",1,30,"PERDITA D'ESERCIZIO"),IF((ROW())&gt;=COPIA!$BL$1,INDIRECT(ADDRESS(ROW()-COPIA!$BM$1,10,4,,"COPIA")),COPIA!EF109))</f>
        <v/>
      </c>
      <c r="C116" s="78" t="str">
        <f ca="1">IFERROR(IF(AND(COPIA!EG109&lt;&gt;0,ROW()&lt;=COPIA!$BL$1),COPIA!EG109,IF(AND(ROW()&gt;COPIA!$BL$1,INDEX(COPIA!$J$2:$L$200,MATCH('SIT.PATR._SIT.ECON.'!B116,COPIA!$J$2:$J$200,0),3)&lt;&gt;0),INDEX(COPIA!$J$2:$L$200,MATCH('SIT.PATR._SIT.ECON.'!B116,COPIA!$J$2:$J$200,0),3),"")),"")</f>
        <v/>
      </c>
      <c r="D116" s="72" t="str">
        <f ca="1">IF(AND(COPIA!$CP$1=TRUE,IF((ROW())&gt;=COPIA!$BL$1,CONCATENATE((INDIRECT(ADDRESS(ROW()-COPIA!$BM$1,131,4,,"COPIA")))),COPIA!EJ109)="SALDO ECONOMICO POSITIVO"),REPLACE(IF((ROW())&gt;=COPIA!$BL$1,CONCATENATE((INDIRECT(ADDRESS(ROW()-COPIA!$BM$1,131,4,,"COPIA")))),COPIA!EJ109),1,30,"UTILE D'ESERCIZIO"),IF((ROW())&gt;=COPIA!$BL$1,CONCATENATE((INDIRECT(ADDRESS(ROW()-COPIA!$BM$1,131,4,,"COPIA")))),COPIA!EJ109))</f>
        <v/>
      </c>
      <c r="E116" s="81" t="str">
        <f ca="1">IFERROR(IF(AND(ROW()&lt;=COPIA!$BL$1,COPIA!EK109&lt;&gt;0),COPIA!EK109,IF(AND(ROW()&gt;COPIA!$BL$1,INDEX(COPIA!$EA$2:$EC$200,MATCH('SIT.PATR._SIT.ECON.'!D116,COPIA!$EA$2:$EA$200,0),3)&lt;&gt;0),INDEX(COPIA!$EA$2:$EC$200,MATCH('SIT.PATR._SIT.ECON.'!D116,COPIA!$EA$2:$EA$200,0),3),"")),"")</f>
        <v/>
      </c>
    </row>
    <row r="117" spans="1:5" ht="15.9" customHeight="1" x14ac:dyDescent="0.3">
      <c r="A117" s="7" t="str">
        <f t="shared" ca="1" si="2"/>
        <v/>
      </c>
      <c r="B117" s="72" t="str">
        <f ca="1">IF(AND(COPIA!$CP$1=TRUE,IF((ROW())&gt;=COPIA!$BL$1,INDIRECT(ADDRESS(ROW()-COPIA!$BM$1,10,4,,"COPIA")),COPIA!EF110)="SALDO ECONOMICO NEGATIVO"),REPLACE("SALDO ECONOMICO NEGATIVO",1,30,"PERDITA D'ESERCIZIO"),IF((ROW())&gt;=COPIA!$BL$1,INDIRECT(ADDRESS(ROW()-COPIA!$BM$1,10,4,,"COPIA")),COPIA!EF110))</f>
        <v/>
      </c>
      <c r="C117" s="78" t="str">
        <f ca="1">IFERROR(IF(AND(COPIA!EG110&lt;&gt;0,ROW()&lt;=COPIA!$BL$1),COPIA!EG110,IF(AND(ROW()&gt;COPIA!$BL$1,INDEX(COPIA!$J$2:$L$200,MATCH('SIT.PATR._SIT.ECON.'!B117,COPIA!$J$2:$J$200,0),3)&lt;&gt;0),INDEX(COPIA!$J$2:$L$200,MATCH('SIT.PATR._SIT.ECON.'!B117,COPIA!$J$2:$J$200,0),3),"")),"")</f>
        <v/>
      </c>
      <c r="D117" s="72" t="str">
        <f ca="1">IF(AND(COPIA!$CP$1=TRUE,IF((ROW())&gt;=COPIA!$BL$1,CONCATENATE((INDIRECT(ADDRESS(ROW()-COPIA!$BM$1,131,4,,"COPIA")))),COPIA!EJ110)="SALDO ECONOMICO POSITIVO"),REPLACE(IF((ROW())&gt;=COPIA!$BL$1,CONCATENATE((INDIRECT(ADDRESS(ROW()-COPIA!$BM$1,131,4,,"COPIA")))),COPIA!EJ110),1,30,"UTILE D'ESERCIZIO"),IF((ROW())&gt;=COPIA!$BL$1,CONCATENATE((INDIRECT(ADDRESS(ROW()-COPIA!$BM$1,131,4,,"COPIA")))),COPIA!EJ110))</f>
        <v/>
      </c>
      <c r="E117" s="81" t="str">
        <f ca="1">IFERROR(IF(AND(ROW()&lt;=COPIA!$BL$1,COPIA!EK110&lt;&gt;0),COPIA!EK110,IF(AND(ROW()&gt;COPIA!$BL$1,INDEX(COPIA!$EA$2:$EC$200,MATCH('SIT.PATR._SIT.ECON.'!D117,COPIA!$EA$2:$EA$200,0),3)&lt;&gt;0),INDEX(COPIA!$EA$2:$EC$200,MATCH('SIT.PATR._SIT.ECON.'!D117,COPIA!$EA$2:$EA$200,0),3),"")),"")</f>
        <v/>
      </c>
    </row>
    <row r="118" spans="1:5" ht="15.9" customHeight="1" x14ac:dyDescent="0.3">
      <c r="A118" s="7" t="str">
        <f t="shared" ca="1" si="2"/>
        <v/>
      </c>
      <c r="B118" s="72" t="str">
        <f ca="1">IF(AND(COPIA!$CP$1=TRUE,IF((ROW())&gt;=COPIA!$BL$1,INDIRECT(ADDRESS(ROW()-COPIA!$BM$1,10,4,,"COPIA")),COPIA!EF111)="SALDO ECONOMICO NEGATIVO"),REPLACE("SALDO ECONOMICO NEGATIVO",1,30,"PERDITA D'ESERCIZIO"),IF((ROW())&gt;=COPIA!$BL$1,INDIRECT(ADDRESS(ROW()-COPIA!$BM$1,10,4,,"COPIA")),COPIA!EF111))</f>
        <v/>
      </c>
      <c r="C118" s="78" t="str">
        <f ca="1">IFERROR(IF(AND(COPIA!EG111&lt;&gt;0,ROW()&lt;=COPIA!$BL$1),COPIA!EG111,IF(AND(ROW()&gt;COPIA!$BL$1,INDEX(COPIA!$J$2:$L$200,MATCH('SIT.PATR._SIT.ECON.'!B118,COPIA!$J$2:$J$200,0),3)&lt;&gt;0),INDEX(COPIA!$J$2:$L$200,MATCH('SIT.PATR._SIT.ECON.'!B118,COPIA!$J$2:$J$200,0),3),"")),"")</f>
        <v/>
      </c>
      <c r="D118" s="72" t="str">
        <f ca="1">IF(AND(COPIA!$CP$1=TRUE,IF((ROW())&gt;=COPIA!$BL$1,CONCATENATE((INDIRECT(ADDRESS(ROW()-COPIA!$BM$1,131,4,,"COPIA")))),COPIA!EJ111)="SALDO ECONOMICO POSITIVO"),REPLACE(IF((ROW())&gt;=COPIA!$BL$1,CONCATENATE((INDIRECT(ADDRESS(ROW()-COPIA!$BM$1,131,4,,"COPIA")))),COPIA!EJ111),1,30,"UTILE D'ESERCIZIO"),IF((ROW())&gt;=COPIA!$BL$1,CONCATENATE((INDIRECT(ADDRESS(ROW()-COPIA!$BM$1,131,4,,"COPIA")))),COPIA!EJ111))</f>
        <v/>
      </c>
      <c r="E118" s="81" t="str">
        <f ca="1">IFERROR(IF(AND(ROW()&lt;=COPIA!$BL$1,COPIA!EK111&lt;&gt;0),COPIA!EK111,IF(AND(ROW()&gt;COPIA!$BL$1,INDEX(COPIA!$EA$2:$EC$200,MATCH('SIT.PATR._SIT.ECON.'!D118,COPIA!$EA$2:$EA$200,0),3)&lt;&gt;0),INDEX(COPIA!$EA$2:$EC$200,MATCH('SIT.PATR._SIT.ECON.'!D118,COPIA!$EA$2:$EA$200,0),3),"")),"")</f>
        <v/>
      </c>
    </row>
    <row r="119" spans="1:5" ht="15.9" customHeight="1" x14ac:dyDescent="0.3">
      <c r="A119" s="7" t="str">
        <f t="shared" ca="1" si="2"/>
        <v/>
      </c>
      <c r="B119" s="72" t="str">
        <f ca="1">IF(AND(COPIA!$CP$1=TRUE,IF((ROW())&gt;=COPIA!$BL$1,INDIRECT(ADDRESS(ROW()-COPIA!$BM$1,10,4,,"COPIA")),COPIA!EF112)="SALDO ECONOMICO NEGATIVO"),REPLACE("SALDO ECONOMICO NEGATIVO",1,30,"PERDITA D'ESERCIZIO"),IF((ROW())&gt;=COPIA!$BL$1,INDIRECT(ADDRESS(ROW()-COPIA!$BM$1,10,4,,"COPIA")),COPIA!EF112))</f>
        <v/>
      </c>
      <c r="C119" s="78" t="str">
        <f ca="1">IFERROR(IF(AND(COPIA!EG112&lt;&gt;0,ROW()&lt;=COPIA!$BL$1),COPIA!EG112,IF(AND(ROW()&gt;COPIA!$BL$1,INDEX(COPIA!$J$2:$L$200,MATCH('SIT.PATR._SIT.ECON.'!B119,COPIA!$J$2:$J$200,0),3)&lt;&gt;0),INDEX(COPIA!$J$2:$L$200,MATCH('SIT.PATR._SIT.ECON.'!B119,COPIA!$J$2:$J$200,0),3),"")),"")</f>
        <v/>
      </c>
      <c r="D119" s="72" t="str">
        <f ca="1">IF(AND(COPIA!$CP$1=TRUE,IF((ROW())&gt;=COPIA!$BL$1,CONCATENATE((INDIRECT(ADDRESS(ROW()-COPIA!$BM$1,131,4,,"COPIA")))),COPIA!EJ112)="SALDO ECONOMICO POSITIVO"),REPLACE(IF((ROW())&gt;=COPIA!$BL$1,CONCATENATE((INDIRECT(ADDRESS(ROW()-COPIA!$BM$1,131,4,,"COPIA")))),COPIA!EJ112),1,30,"UTILE D'ESERCIZIO"),IF((ROW())&gt;=COPIA!$BL$1,CONCATENATE((INDIRECT(ADDRESS(ROW()-COPIA!$BM$1,131,4,,"COPIA")))),COPIA!EJ112))</f>
        <v/>
      </c>
      <c r="E119" s="81" t="str">
        <f ca="1">IFERROR(IF(AND(ROW()&lt;=COPIA!$BL$1,COPIA!EK112&lt;&gt;0),COPIA!EK112,IF(AND(ROW()&gt;COPIA!$BL$1,INDEX(COPIA!$EA$2:$EC$200,MATCH('SIT.PATR._SIT.ECON.'!D119,COPIA!$EA$2:$EA$200,0),3)&lt;&gt;0),INDEX(COPIA!$EA$2:$EC$200,MATCH('SIT.PATR._SIT.ECON.'!D119,COPIA!$EA$2:$EA$200,0),3),"")),"")</f>
        <v/>
      </c>
    </row>
    <row r="120" spans="1:5" ht="15.9" customHeight="1" x14ac:dyDescent="0.3">
      <c r="A120" s="7" t="str">
        <f t="shared" ca="1" si="2"/>
        <v/>
      </c>
      <c r="B120" s="72" t="str">
        <f ca="1">IF(AND(COPIA!$CP$1=TRUE,IF((ROW())&gt;=COPIA!$BL$1,INDIRECT(ADDRESS(ROW()-COPIA!$BM$1,10,4,,"COPIA")),COPIA!EF113)="SALDO ECONOMICO NEGATIVO"),REPLACE("SALDO ECONOMICO NEGATIVO",1,30,"PERDITA D'ESERCIZIO"),IF((ROW())&gt;=COPIA!$BL$1,INDIRECT(ADDRESS(ROW()-COPIA!$BM$1,10,4,,"COPIA")),COPIA!EF113))</f>
        <v/>
      </c>
      <c r="C120" s="78" t="str">
        <f ca="1">IFERROR(IF(AND(COPIA!EG113&lt;&gt;0,ROW()&lt;=COPIA!$BL$1),COPIA!EG113,IF(AND(ROW()&gt;COPIA!$BL$1,INDEX(COPIA!$J$2:$L$200,MATCH('SIT.PATR._SIT.ECON.'!B120,COPIA!$J$2:$J$200,0),3)&lt;&gt;0),INDEX(COPIA!$J$2:$L$200,MATCH('SIT.PATR._SIT.ECON.'!B120,COPIA!$J$2:$J$200,0),3),"")),"")</f>
        <v/>
      </c>
      <c r="D120" s="72" t="str">
        <f ca="1">IF(AND(COPIA!$CP$1=TRUE,IF((ROW())&gt;=COPIA!$BL$1,CONCATENATE((INDIRECT(ADDRESS(ROW()-COPIA!$BM$1,131,4,,"COPIA")))),COPIA!EJ113)="SALDO ECONOMICO POSITIVO"),REPLACE(IF((ROW())&gt;=COPIA!$BL$1,CONCATENATE((INDIRECT(ADDRESS(ROW()-COPIA!$BM$1,131,4,,"COPIA")))),COPIA!EJ113),1,30,"UTILE D'ESERCIZIO"),IF((ROW())&gt;=COPIA!$BL$1,CONCATENATE((INDIRECT(ADDRESS(ROW()-COPIA!$BM$1,131,4,,"COPIA")))),COPIA!EJ113))</f>
        <v/>
      </c>
      <c r="E120" s="81" t="str">
        <f ca="1">IFERROR(IF(AND(ROW()&lt;=COPIA!$BL$1,COPIA!EK113&lt;&gt;0),COPIA!EK113,IF(AND(ROW()&gt;COPIA!$BL$1,INDEX(COPIA!$EA$2:$EC$200,MATCH('SIT.PATR._SIT.ECON.'!D120,COPIA!$EA$2:$EA$200,0),3)&lt;&gt;0),INDEX(COPIA!$EA$2:$EC$200,MATCH('SIT.PATR._SIT.ECON.'!D120,COPIA!$EA$2:$EA$200,0),3),"")),"")</f>
        <v/>
      </c>
    </row>
    <row r="121" spans="1:5" ht="15.9" customHeight="1" x14ac:dyDescent="0.3">
      <c r="A121" s="7" t="str">
        <f t="shared" ca="1" si="2"/>
        <v/>
      </c>
      <c r="B121" s="72" t="str">
        <f ca="1">IF(AND(COPIA!$CP$1=TRUE,IF((ROW())&gt;=COPIA!$BL$1,INDIRECT(ADDRESS(ROW()-COPIA!$BM$1,10,4,,"COPIA")),COPIA!EF114)="SALDO ECONOMICO NEGATIVO"),REPLACE("SALDO ECONOMICO NEGATIVO",1,30,"PERDITA D'ESERCIZIO"),IF((ROW())&gt;=COPIA!$BL$1,INDIRECT(ADDRESS(ROW()-COPIA!$BM$1,10,4,,"COPIA")),COPIA!EF114))</f>
        <v/>
      </c>
      <c r="C121" s="78" t="str">
        <f ca="1">IFERROR(IF(AND(COPIA!EG114&lt;&gt;0,ROW()&lt;=COPIA!$BL$1),COPIA!EG114,IF(AND(ROW()&gt;COPIA!$BL$1,INDEX(COPIA!$J$2:$L$200,MATCH('SIT.PATR._SIT.ECON.'!B121,COPIA!$J$2:$J$200,0),3)&lt;&gt;0),INDEX(COPIA!$J$2:$L$200,MATCH('SIT.PATR._SIT.ECON.'!B121,COPIA!$J$2:$J$200,0),3),"")),"")</f>
        <v/>
      </c>
      <c r="D121" s="72" t="str">
        <f ca="1">IF(AND(COPIA!$CP$1=TRUE,IF((ROW())&gt;=COPIA!$BL$1,CONCATENATE((INDIRECT(ADDRESS(ROW()-COPIA!$BM$1,131,4,,"COPIA")))),COPIA!EJ114)="SALDO ECONOMICO POSITIVO"),REPLACE(IF((ROW())&gt;=COPIA!$BL$1,CONCATENATE((INDIRECT(ADDRESS(ROW()-COPIA!$BM$1,131,4,,"COPIA")))),COPIA!EJ114),1,30,"UTILE D'ESERCIZIO"),IF((ROW())&gt;=COPIA!$BL$1,CONCATENATE((INDIRECT(ADDRESS(ROW()-COPIA!$BM$1,131,4,,"COPIA")))),COPIA!EJ114))</f>
        <v/>
      </c>
      <c r="E121" s="81" t="str">
        <f ca="1">IFERROR(IF(AND(ROW()&lt;=COPIA!$BL$1,COPIA!EK114&lt;&gt;0),COPIA!EK114,IF(AND(ROW()&gt;COPIA!$BL$1,INDEX(COPIA!$EA$2:$EC$200,MATCH('SIT.PATR._SIT.ECON.'!D121,COPIA!$EA$2:$EA$200,0),3)&lt;&gt;0),INDEX(COPIA!$EA$2:$EC$200,MATCH('SIT.PATR._SIT.ECON.'!D121,COPIA!$EA$2:$EA$200,0),3),"")),"")</f>
        <v/>
      </c>
    </row>
    <row r="122" spans="1:5" ht="15.9" customHeight="1" x14ac:dyDescent="0.3">
      <c r="A122" s="7" t="str">
        <f t="shared" ca="1" si="2"/>
        <v/>
      </c>
      <c r="B122" s="72" t="str">
        <f ca="1">IF(AND(COPIA!$CP$1=TRUE,IF((ROW())&gt;=COPIA!$BL$1,INDIRECT(ADDRESS(ROW()-COPIA!$BM$1,10,4,,"COPIA")),COPIA!EF115)="SALDO ECONOMICO NEGATIVO"),REPLACE("SALDO ECONOMICO NEGATIVO",1,30,"PERDITA D'ESERCIZIO"),IF((ROW())&gt;=COPIA!$BL$1,INDIRECT(ADDRESS(ROW()-COPIA!$BM$1,10,4,,"COPIA")),COPIA!EF115))</f>
        <v/>
      </c>
      <c r="C122" s="78" t="str">
        <f ca="1">IFERROR(IF(AND(COPIA!EG115&lt;&gt;0,ROW()&lt;=COPIA!$BL$1),COPIA!EG115,IF(AND(ROW()&gt;COPIA!$BL$1,INDEX(COPIA!$J$2:$L$200,MATCH('SIT.PATR._SIT.ECON.'!B122,COPIA!$J$2:$J$200,0),3)&lt;&gt;0),INDEX(COPIA!$J$2:$L$200,MATCH('SIT.PATR._SIT.ECON.'!B122,COPIA!$J$2:$J$200,0),3),"")),"")</f>
        <v/>
      </c>
      <c r="D122" s="72" t="str">
        <f ca="1">IF(AND(COPIA!$CP$1=TRUE,IF((ROW())&gt;=COPIA!$BL$1,CONCATENATE((INDIRECT(ADDRESS(ROW()-COPIA!$BM$1,131,4,,"COPIA")))),COPIA!EJ115)="SALDO ECONOMICO POSITIVO"),REPLACE(IF((ROW())&gt;=COPIA!$BL$1,CONCATENATE((INDIRECT(ADDRESS(ROW()-COPIA!$BM$1,131,4,,"COPIA")))),COPIA!EJ115),1,30,"UTILE D'ESERCIZIO"),IF((ROW())&gt;=COPIA!$BL$1,CONCATENATE((INDIRECT(ADDRESS(ROW()-COPIA!$BM$1,131,4,,"COPIA")))),COPIA!EJ115))</f>
        <v/>
      </c>
      <c r="E122" s="81" t="str">
        <f ca="1">IFERROR(IF(AND(ROW()&lt;=COPIA!$BL$1,COPIA!EK115&lt;&gt;0),COPIA!EK115,IF(AND(ROW()&gt;COPIA!$BL$1,INDEX(COPIA!$EA$2:$EC$200,MATCH('SIT.PATR._SIT.ECON.'!D122,COPIA!$EA$2:$EA$200,0),3)&lt;&gt;0),INDEX(COPIA!$EA$2:$EC$200,MATCH('SIT.PATR._SIT.ECON.'!D122,COPIA!$EA$2:$EA$200,0),3),"")),"")</f>
        <v/>
      </c>
    </row>
    <row r="123" spans="1:5" ht="15.9" customHeight="1" x14ac:dyDescent="0.3">
      <c r="A123" s="7" t="str">
        <f t="shared" ca="1" si="2"/>
        <v/>
      </c>
      <c r="B123" s="72" t="str">
        <f ca="1">IF(AND(COPIA!$CP$1=TRUE,IF((ROW())&gt;=COPIA!$BL$1,INDIRECT(ADDRESS(ROW()-COPIA!$BM$1,10,4,,"COPIA")),COPIA!EF116)="SALDO ECONOMICO NEGATIVO"),REPLACE("SALDO ECONOMICO NEGATIVO",1,30,"PERDITA D'ESERCIZIO"),IF((ROW())&gt;=COPIA!$BL$1,INDIRECT(ADDRESS(ROW()-COPIA!$BM$1,10,4,,"COPIA")),COPIA!EF116))</f>
        <v/>
      </c>
      <c r="C123" s="78" t="str">
        <f ca="1">IFERROR(IF(AND(COPIA!EG116&lt;&gt;0,ROW()&lt;=COPIA!$BL$1),COPIA!EG116,IF(AND(ROW()&gt;COPIA!$BL$1,INDEX(COPIA!$J$2:$L$200,MATCH('SIT.PATR._SIT.ECON.'!B123,COPIA!$J$2:$J$200,0),3)&lt;&gt;0),INDEX(COPIA!$J$2:$L$200,MATCH('SIT.PATR._SIT.ECON.'!B123,COPIA!$J$2:$J$200,0),3),"")),"")</f>
        <v/>
      </c>
      <c r="D123" s="72" t="str">
        <f ca="1">IF(AND(COPIA!$CP$1=TRUE,IF((ROW())&gt;=COPIA!$BL$1,CONCATENATE((INDIRECT(ADDRESS(ROW()-COPIA!$BM$1,131,4,,"COPIA")))),COPIA!EJ116)="SALDO ECONOMICO POSITIVO"),REPLACE(IF((ROW())&gt;=COPIA!$BL$1,CONCATENATE((INDIRECT(ADDRESS(ROW()-COPIA!$BM$1,131,4,,"COPIA")))),COPIA!EJ116),1,30,"UTILE D'ESERCIZIO"),IF((ROW())&gt;=COPIA!$BL$1,CONCATENATE((INDIRECT(ADDRESS(ROW()-COPIA!$BM$1,131,4,,"COPIA")))),COPIA!EJ116))</f>
        <v/>
      </c>
      <c r="E123" s="81" t="str">
        <f ca="1">IFERROR(IF(AND(ROW()&lt;=COPIA!$BL$1,COPIA!EK116&lt;&gt;0),COPIA!EK116,IF(AND(ROW()&gt;COPIA!$BL$1,INDEX(COPIA!$EA$2:$EC$200,MATCH('SIT.PATR._SIT.ECON.'!D123,COPIA!$EA$2:$EA$200,0),3)&lt;&gt;0),INDEX(COPIA!$EA$2:$EC$200,MATCH('SIT.PATR._SIT.ECON.'!D123,COPIA!$EA$2:$EA$200,0),3),"")),"")</f>
        <v/>
      </c>
    </row>
    <row r="124" spans="1:5" ht="15.9" customHeight="1" x14ac:dyDescent="0.3">
      <c r="A124" s="7" t="str">
        <f t="shared" ca="1" si="2"/>
        <v/>
      </c>
      <c r="B124" s="72" t="str">
        <f ca="1">IF(AND(COPIA!$CP$1=TRUE,IF((ROW())&gt;=COPIA!$BL$1,INDIRECT(ADDRESS(ROW()-COPIA!$BM$1,10,4,,"COPIA")),COPIA!EF117)="SALDO ECONOMICO NEGATIVO"),REPLACE("SALDO ECONOMICO NEGATIVO",1,30,"PERDITA D'ESERCIZIO"),IF((ROW())&gt;=COPIA!$BL$1,INDIRECT(ADDRESS(ROW()-COPIA!$BM$1,10,4,,"COPIA")),COPIA!EF117))</f>
        <v/>
      </c>
      <c r="C124" s="78" t="str">
        <f ca="1">IFERROR(IF(AND(COPIA!EG117&lt;&gt;0,ROW()&lt;=COPIA!$BL$1),COPIA!EG117,IF(AND(ROW()&gt;COPIA!$BL$1,INDEX(COPIA!$J$2:$L$200,MATCH('SIT.PATR._SIT.ECON.'!B124,COPIA!$J$2:$J$200,0),3)&lt;&gt;0),INDEX(COPIA!$J$2:$L$200,MATCH('SIT.PATR._SIT.ECON.'!B124,COPIA!$J$2:$J$200,0),3),"")),"")</f>
        <v/>
      </c>
      <c r="D124" s="72" t="str">
        <f ca="1">IF(AND(COPIA!$CP$1=TRUE,IF((ROW())&gt;=COPIA!$BL$1,CONCATENATE((INDIRECT(ADDRESS(ROW()-COPIA!$BM$1,131,4,,"COPIA")))),COPIA!EJ117)="SALDO ECONOMICO POSITIVO"),REPLACE(IF((ROW())&gt;=COPIA!$BL$1,CONCATENATE((INDIRECT(ADDRESS(ROW()-COPIA!$BM$1,131,4,,"COPIA")))),COPIA!EJ117),1,30,"UTILE D'ESERCIZIO"),IF((ROW())&gt;=COPIA!$BL$1,CONCATENATE((INDIRECT(ADDRESS(ROW()-COPIA!$BM$1,131,4,,"COPIA")))),COPIA!EJ117))</f>
        <v/>
      </c>
      <c r="E124" s="81" t="str">
        <f ca="1">IFERROR(IF(AND(ROW()&lt;=COPIA!$BL$1,COPIA!EK117&lt;&gt;0),COPIA!EK117,IF(AND(ROW()&gt;COPIA!$BL$1,INDEX(COPIA!$EA$2:$EC$200,MATCH('SIT.PATR._SIT.ECON.'!D124,COPIA!$EA$2:$EA$200,0),3)&lt;&gt;0),INDEX(COPIA!$EA$2:$EC$200,MATCH('SIT.PATR._SIT.ECON.'!D124,COPIA!$EA$2:$EA$200,0),3),"")),"")</f>
        <v/>
      </c>
    </row>
    <row r="125" spans="1:5" ht="15.9" customHeight="1" x14ac:dyDescent="0.3">
      <c r="A125" s="7" t="str">
        <f t="shared" ca="1" si="2"/>
        <v/>
      </c>
      <c r="B125" s="72" t="str">
        <f ca="1">IF(AND(COPIA!$CP$1=TRUE,IF((ROW())&gt;=COPIA!$BL$1,INDIRECT(ADDRESS(ROW()-COPIA!$BM$1,10,4,,"COPIA")),COPIA!EF118)="SALDO ECONOMICO NEGATIVO"),REPLACE("SALDO ECONOMICO NEGATIVO",1,30,"PERDITA D'ESERCIZIO"),IF((ROW())&gt;=COPIA!$BL$1,INDIRECT(ADDRESS(ROW()-COPIA!$BM$1,10,4,,"COPIA")),COPIA!EF118))</f>
        <v/>
      </c>
      <c r="C125" s="78" t="str">
        <f ca="1">IFERROR(IF(AND(COPIA!EG118&lt;&gt;0,ROW()&lt;=COPIA!$BL$1),COPIA!EG118,IF(AND(ROW()&gt;COPIA!$BL$1,INDEX(COPIA!$J$2:$L$200,MATCH('SIT.PATR._SIT.ECON.'!B125,COPIA!$J$2:$J$200,0),3)&lt;&gt;0),INDEX(COPIA!$J$2:$L$200,MATCH('SIT.PATR._SIT.ECON.'!B125,COPIA!$J$2:$J$200,0),3),"")),"")</f>
        <v/>
      </c>
      <c r="D125" s="72" t="str">
        <f ca="1">IF(AND(COPIA!$CP$1=TRUE,IF((ROW())&gt;=COPIA!$BL$1,CONCATENATE((INDIRECT(ADDRESS(ROW()-COPIA!$BM$1,131,4,,"COPIA")))),COPIA!EJ118)="SALDO ECONOMICO POSITIVO"),REPLACE(IF((ROW())&gt;=COPIA!$BL$1,CONCATENATE((INDIRECT(ADDRESS(ROW()-COPIA!$BM$1,131,4,,"COPIA")))),COPIA!EJ118),1,30,"UTILE D'ESERCIZIO"),IF((ROW())&gt;=COPIA!$BL$1,CONCATENATE((INDIRECT(ADDRESS(ROW()-COPIA!$BM$1,131,4,,"COPIA")))),COPIA!EJ118))</f>
        <v/>
      </c>
      <c r="E125" s="81" t="str">
        <f ca="1">IFERROR(IF(AND(ROW()&lt;=COPIA!$BL$1,COPIA!EK118&lt;&gt;0),COPIA!EK118,IF(AND(ROW()&gt;COPIA!$BL$1,INDEX(COPIA!$EA$2:$EC$200,MATCH('SIT.PATR._SIT.ECON.'!D125,COPIA!$EA$2:$EA$200,0),3)&lt;&gt;0),INDEX(COPIA!$EA$2:$EC$200,MATCH('SIT.PATR._SIT.ECON.'!D125,COPIA!$EA$2:$EA$200,0),3),"")),"")</f>
        <v/>
      </c>
    </row>
    <row r="126" spans="1:5" ht="15.9" customHeight="1" x14ac:dyDescent="0.3">
      <c r="A126" s="7" t="str">
        <f t="shared" ca="1" si="2"/>
        <v/>
      </c>
      <c r="B126" s="72" t="str">
        <f ca="1">IF(AND(COPIA!$CP$1=TRUE,IF((ROW())&gt;=COPIA!$BL$1,INDIRECT(ADDRESS(ROW()-COPIA!$BM$1,10,4,,"COPIA")),COPIA!EF119)="SALDO ECONOMICO NEGATIVO"),REPLACE("SALDO ECONOMICO NEGATIVO",1,30,"PERDITA D'ESERCIZIO"),IF((ROW())&gt;=COPIA!$BL$1,INDIRECT(ADDRESS(ROW()-COPIA!$BM$1,10,4,,"COPIA")),COPIA!EF119))</f>
        <v/>
      </c>
      <c r="C126" s="78" t="str">
        <f ca="1">IFERROR(IF(AND(COPIA!EG119&lt;&gt;0,ROW()&lt;=COPIA!$BL$1),COPIA!EG119,IF(AND(ROW()&gt;COPIA!$BL$1,INDEX(COPIA!$J$2:$L$200,MATCH('SIT.PATR._SIT.ECON.'!B126,COPIA!$J$2:$J$200,0),3)&lt;&gt;0),INDEX(COPIA!$J$2:$L$200,MATCH('SIT.PATR._SIT.ECON.'!B126,COPIA!$J$2:$J$200,0),3),"")),"")</f>
        <v/>
      </c>
      <c r="D126" s="72" t="str">
        <f ca="1">IF(AND(COPIA!$CP$1=TRUE,IF((ROW())&gt;=COPIA!$BL$1,CONCATENATE((INDIRECT(ADDRESS(ROW()-COPIA!$BM$1,131,4,,"COPIA")))),COPIA!EJ119)="SALDO ECONOMICO POSITIVO"),REPLACE(IF((ROW())&gt;=COPIA!$BL$1,CONCATENATE((INDIRECT(ADDRESS(ROW()-COPIA!$BM$1,131,4,,"COPIA")))),COPIA!EJ119),1,30,"UTILE D'ESERCIZIO"),IF((ROW())&gt;=COPIA!$BL$1,CONCATENATE((INDIRECT(ADDRESS(ROW()-COPIA!$BM$1,131,4,,"COPIA")))),COPIA!EJ119))</f>
        <v/>
      </c>
      <c r="E126" s="81" t="str">
        <f ca="1">IFERROR(IF(AND(ROW()&lt;=COPIA!$BL$1,COPIA!EK119&lt;&gt;0),COPIA!EK119,IF(AND(ROW()&gt;COPIA!$BL$1,INDEX(COPIA!$EA$2:$EC$200,MATCH('SIT.PATR._SIT.ECON.'!D126,COPIA!$EA$2:$EA$200,0),3)&lt;&gt;0),INDEX(COPIA!$EA$2:$EC$200,MATCH('SIT.PATR._SIT.ECON.'!D126,COPIA!$EA$2:$EA$200,0),3),"")),"")</f>
        <v/>
      </c>
    </row>
    <row r="127" spans="1:5" ht="15.9" customHeight="1" x14ac:dyDescent="0.3">
      <c r="A127" s="7" t="str">
        <f t="shared" ca="1" si="2"/>
        <v/>
      </c>
      <c r="B127" s="72" t="str">
        <f ca="1">IF(AND(COPIA!$CP$1=TRUE,IF((ROW())&gt;=COPIA!$BL$1,INDIRECT(ADDRESS(ROW()-COPIA!$BM$1,10,4,,"COPIA")),COPIA!EF120)="SALDO ECONOMICO NEGATIVO"),REPLACE("SALDO ECONOMICO NEGATIVO",1,30,"PERDITA D'ESERCIZIO"),IF((ROW())&gt;=COPIA!$BL$1,INDIRECT(ADDRESS(ROW()-COPIA!$BM$1,10,4,,"COPIA")),COPIA!EF120))</f>
        <v/>
      </c>
      <c r="C127" s="78" t="str">
        <f ca="1">IFERROR(IF(AND(COPIA!EG120&lt;&gt;0,ROW()&lt;=COPIA!$BL$1),COPIA!EG120,IF(AND(ROW()&gt;COPIA!$BL$1,INDEX(COPIA!$J$2:$L$200,MATCH('SIT.PATR._SIT.ECON.'!B127,COPIA!$J$2:$J$200,0),3)&lt;&gt;0),INDEX(COPIA!$J$2:$L$200,MATCH('SIT.PATR._SIT.ECON.'!B127,COPIA!$J$2:$J$200,0),3),"")),"")</f>
        <v/>
      </c>
      <c r="D127" s="72" t="str">
        <f ca="1">IF(AND(COPIA!$CP$1=TRUE,IF((ROW())&gt;=COPIA!$BL$1,CONCATENATE((INDIRECT(ADDRESS(ROW()-COPIA!$BM$1,131,4,,"COPIA")))),COPIA!EJ120)="SALDO ECONOMICO POSITIVO"),REPLACE(IF((ROW())&gt;=COPIA!$BL$1,CONCATENATE((INDIRECT(ADDRESS(ROW()-COPIA!$BM$1,131,4,,"COPIA")))),COPIA!EJ120),1,30,"UTILE D'ESERCIZIO"),IF((ROW())&gt;=COPIA!$BL$1,CONCATENATE((INDIRECT(ADDRESS(ROW()-COPIA!$BM$1,131,4,,"COPIA")))),COPIA!EJ120))</f>
        <v/>
      </c>
      <c r="E127" s="81" t="str">
        <f ca="1">IFERROR(IF(AND(ROW()&lt;=COPIA!$BL$1,COPIA!EK120&lt;&gt;0),COPIA!EK120,IF(AND(ROW()&gt;COPIA!$BL$1,INDEX(COPIA!$EA$2:$EC$200,MATCH('SIT.PATR._SIT.ECON.'!D127,COPIA!$EA$2:$EA$200,0),3)&lt;&gt;0),INDEX(COPIA!$EA$2:$EC$200,MATCH('SIT.PATR._SIT.ECON.'!D127,COPIA!$EA$2:$EA$200,0),3),"")),"")</f>
        <v/>
      </c>
    </row>
    <row r="128" spans="1:5" ht="15.9" customHeight="1" x14ac:dyDescent="0.3">
      <c r="A128" s="7" t="str">
        <f t="shared" ca="1" si="2"/>
        <v/>
      </c>
      <c r="B128" s="72" t="str">
        <f ca="1">IF(AND(COPIA!$CP$1=TRUE,IF((ROW())&gt;=COPIA!$BL$1,INDIRECT(ADDRESS(ROW()-COPIA!$BM$1,10,4,,"COPIA")),COPIA!EF121)="SALDO ECONOMICO NEGATIVO"),REPLACE("SALDO ECONOMICO NEGATIVO",1,30,"PERDITA D'ESERCIZIO"),IF((ROW())&gt;=COPIA!$BL$1,INDIRECT(ADDRESS(ROW()-COPIA!$BM$1,10,4,,"COPIA")),COPIA!EF121))</f>
        <v/>
      </c>
      <c r="C128" s="78" t="str">
        <f ca="1">IFERROR(IF(AND(COPIA!EG121&lt;&gt;0,ROW()&lt;=COPIA!$BL$1),COPIA!EG121,IF(AND(ROW()&gt;COPIA!$BL$1,INDEX(COPIA!$J$2:$L$200,MATCH('SIT.PATR._SIT.ECON.'!B128,COPIA!$J$2:$J$200,0),3)&lt;&gt;0),INDEX(COPIA!$J$2:$L$200,MATCH('SIT.PATR._SIT.ECON.'!B128,COPIA!$J$2:$J$200,0),3),"")),"")</f>
        <v/>
      </c>
      <c r="D128" s="72" t="str">
        <f ca="1">IF(AND(COPIA!$CP$1=TRUE,IF((ROW())&gt;=COPIA!$BL$1,CONCATENATE((INDIRECT(ADDRESS(ROW()-COPIA!$BM$1,131,4,,"COPIA")))),COPIA!EJ121)="SALDO ECONOMICO POSITIVO"),REPLACE(IF((ROW())&gt;=COPIA!$BL$1,CONCATENATE((INDIRECT(ADDRESS(ROW()-COPIA!$BM$1,131,4,,"COPIA")))),COPIA!EJ121),1,30,"UTILE D'ESERCIZIO"),IF((ROW())&gt;=COPIA!$BL$1,CONCATENATE((INDIRECT(ADDRESS(ROW()-COPIA!$BM$1,131,4,,"COPIA")))),COPIA!EJ121))</f>
        <v/>
      </c>
      <c r="E128" s="81" t="str">
        <f ca="1">IFERROR(IF(AND(ROW()&lt;=COPIA!$BL$1,COPIA!EK121&lt;&gt;0),COPIA!EK121,IF(AND(ROW()&gt;COPIA!$BL$1,INDEX(COPIA!$EA$2:$EC$200,MATCH('SIT.PATR._SIT.ECON.'!D128,COPIA!$EA$2:$EA$200,0),3)&lt;&gt;0),INDEX(COPIA!$EA$2:$EC$200,MATCH('SIT.PATR._SIT.ECON.'!D128,COPIA!$EA$2:$EA$200,0),3),"")),"")</f>
        <v/>
      </c>
    </row>
    <row r="129" spans="1:5" ht="15.9" customHeight="1" x14ac:dyDescent="0.3">
      <c r="A129" s="7" t="str">
        <f t="shared" ca="1" si="2"/>
        <v/>
      </c>
      <c r="B129" s="72" t="str">
        <f ca="1">IF(AND(COPIA!$CP$1=TRUE,IF((ROW())&gt;=COPIA!$BL$1,INDIRECT(ADDRESS(ROW()-COPIA!$BM$1,10,4,,"COPIA")),COPIA!EF122)="SALDO ECONOMICO NEGATIVO"),REPLACE("SALDO ECONOMICO NEGATIVO",1,30,"PERDITA D'ESERCIZIO"),IF((ROW())&gt;=COPIA!$BL$1,INDIRECT(ADDRESS(ROW()-COPIA!$BM$1,10,4,,"COPIA")),COPIA!EF122))</f>
        <v/>
      </c>
      <c r="C129" s="78" t="str">
        <f ca="1">IFERROR(IF(AND(COPIA!EG122&lt;&gt;0,ROW()&lt;=COPIA!$BL$1),COPIA!EG122,IF(AND(ROW()&gt;COPIA!$BL$1,INDEX(COPIA!$J$2:$L$200,MATCH('SIT.PATR._SIT.ECON.'!B129,COPIA!$J$2:$J$200,0),3)&lt;&gt;0),INDEX(COPIA!$J$2:$L$200,MATCH('SIT.PATR._SIT.ECON.'!B129,COPIA!$J$2:$J$200,0),3),"")),"")</f>
        <v/>
      </c>
      <c r="D129" s="72" t="str">
        <f ca="1">IF(AND(COPIA!$CP$1=TRUE,IF((ROW())&gt;=COPIA!$BL$1,CONCATENATE((INDIRECT(ADDRESS(ROW()-COPIA!$BM$1,131,4,,"COPIA")))),COPIA!EJ122)="SALDO ECONOMICO POSITIVO"),REPLACE(IF((ROW())&gt;=COPIA!$BL$1,CONCATENATE((INDIRECT(ADDRESS(ROW()-COPIA!$BM$1,131,4,,"COPIA")))),COPIA!EJ122),1,30,"UTILE D'ESERCIZIO"),IF((ROW())&gt;=COPIA!$BL$1,CONCATENATE((INDIRECT(ADDRESS(ROW()-COPIA!$BM$1,131,4,,"COPIA")))),COPIA!EJ122))</f>
        <v/>
      </c>
      <c r="E129" s="81" t="str">
        <f ca="1">IFERROR(IF(AND(ROW()&lt;=COPIA!$BL$1,COPIA!EK122&lt;&gt;0),COPIA!EK122,IF(AND(ROW()&gt;COPIA!$BL$1,INDEX(COPIA!$EA$2:$EC$200,MATCH('SIT.PATR._SIT.ECON.'!D129,COPIA!$EA$2:$EA$200,0),3)&lt;&gt;0),INDEX(COPIA!$EA$2:$EC$200,MATCH('SIT.PATR._SIT.ECON.'!D129,COPIA!$EA$2:$EA$200,0),3),"")),"")</f>
        <v/>
      </c>
    </row>
    <row r="130" spans="1:5" ht="15.9" customHeight="1" x14ac:dyDescent="0.3">
      <c r="A130" s="7" t="str">
        <f t="shared" ca="1" si="2"/>
        <v/>
      </c>
      <c r="B130" s="72" t="str">
        <f ca="1">IF(AND(COPIA!$CP$1=TRUE,IF((ROW())&gt;=COPIA!$BL$1,INDIRECT(ADDRESS(ROW()-COPIA!$BM$1,10,4,,"COPIA")),COPIA!EF123)="SALDO ECONOMICO NEGATIVO"),REPLACE("SALDO ECONOMICO NEGATIVO",1,30,"PERDITA D'ESERCIZIO"),IF((ROW())&gt;=COPIA!$BL$1,INDIRECT(ADDRESS(ROW()-COPIA!$BM$1,10,4,,"COPIA")),COPIA!EF123))</f>
        <v/>
      </c>
      <c r="C130" s="78" t="str">
        <f ca="1">IFERROR(IF(AND(COPIA!EG123&lt;&gt;0,ROW()&lt;=COPIA!$BL$1),COPIA!EG123,IF(AND(ROW()&gt;COPIA!$BL$1,INDEX(COPIA!$J$2:$L$200,MATCH('SIT.PATR._SIT.ECON.'!B130,COPIA!$J$2:$J$200,0),3)&lt;&gt;0),INDEX(COPIA!$J$2:$L$200,MATCH('SIT.PATR._SIT.ECON.'!B130,COPIA!$J$2:$J$200,0),3),"")),"")</f>
        <v/>
      </c>
      <c r="D130" s="72" t="str">
        <f ca="1">IF(AND(COPIA!$CP$1=TRUE,IF((ROW())&gt;=COPIA!$BL$1,CONCATENATE((INDIRECT(ADDRESS(ROW()-COPIA!$BM$1,131,4,,"COPIA")))),COPIA!EJ123)="SALDO ECONOMICO POSITIVO"),REPLACE(IF((ROW())&gt;=COPIA!$BL$1,CONCATENATE((INDIRECT(ADDRESS(ROW()-COPIA!$BM$1,131,4,,"COPIA")))),COPIA!EJ123),1,30,"UTILE D'ESERCIZIO"),IF((ROW())&gt;=COPIA!$BL$1,CONCATENATE((INDIRECT(ADDRESS(ROW()-COPIA!$BM$1,131,4,,"COPIA")))),COPIA!EJ123))</f>
        <v/>
      </c>
      <c r="E130" s="81" t="str">
        <f ca="1">IFERROR(IF(AND(ROW()&lt;=COPIA!$BL$1,COPIA!EK123&lt;&gt;0),COPIA!EK123,IF(AND(ROW()&gt;COPIA!$BL$1,INDEX(COPIA!$EA$2:$EC$200,MATCH('SIT.PATR._SIT.ECON.'!D130,COPIA!$EA$2:$EA$200,0),3)&lt;&gt;0),INDEX(COPIA!$EA$2:$EC$200,MATCH('SIT.PATR._SIT.ECON.'!D130,COPIA!$EA$2:$EA$200,0),3),"")),"")</f>
        <v/>
      </c>
    </row>
    <row r="131" spans="1:5" ht="15.9" customHeight="1" x14ac:dyDescent="0.3">
      <c r="A131" s="7" t="str">
        <f t="shared" ca="1" si="2"/>
        <v/>
      </c>
      <c r="B131" s="72" t="str">
        <f ca="1">IF(AND(COPIA!$CP$1=TRUE,IF((ROW())&gt;=COPIA!$BL$1,INDIRECT(ADDRESS(ROW()-COPIA!$BM$1,10,4,,"COPIA")),COPIA!EF124)="SALDO ECONOMICO NEGATIVO"),REPLACE("SALDO ECONOMICO NEGATIVO",1,30,"PERDITA D'ESERCIZIO"),IF((ROW())&gt;=COPIA!$BL$1,INDIRECT(ADDRESS(ROW()-COPIA!$BM$1,10,4,,"COPIA")),COPIA!EF124))</f>
        <v/>
      </c>
      <c r="C131" s="78" t="str">
        <f ca="1">IFERROR(IF(AND(COPIA!EG124&lt;&gt;0,ROW()&lt;=COPIA!$BL$1),COPIA!EG124,IF(AND(ROW()&gt;COPIA!$BL$1,INDEX(COPIA!$J$2:$L$200,MATCH('SIT.PATR._SIT.ECON.'!B131,COPIA!$J$2:$J$200,0),3)&lt;&gt;0),INDEX(COPIA!$J$2:$L$200,MATCH('SIT.PATR._SIT.ECON.'!B131,COPIA!$J$2:$J$200,0),3),"")),"")</f>
        <v/>
      </c>
      <c r="D131" s="72" t="str">
        <f ca="1">IF(AND(COPIA!$CP$1=TRUE,IF((ROW())&gt;=COPIA!$BL$1,CONCATENATE((INDIRECT(ADDRESS(ROW()-COPIA!$BM$1,131,4,,"COPIA")))),COPIA!EJ124)="SALDO ECONOMICO POSITIVO"),REPLACE(IF((ROW())&gt;=COPIA!$BL$1,CONCATENATE((INDIRECT(ADDRESS(ROW()-COPIA!$BM$1,131,4,,"COPIA")))),COPIA!EJ124),1,30,"UTILE D'ESERCIZIO"),IF((ROW())&gt;=COPIA!$BL$1,CONCATENATE((INDIRECT(ADDRESS(ROW()-COPIA!$BM$1,131,4,,"COPIA")))),COPIA!EJ124))</f>
        <v/>
      </c>
      <c r="E131" s="81" t="str">
        <f ca="1">IFERROR(IF(AND(ROW()&lt;=COPIA!$BL$1,COPIA!EK124&lt;&gt;0),COPIA!EK124,IF(AND(ROW()&gt;COPIA!$BL$1,INDEX(COPIA!$EA$2:$EC$200,MATCH('SIT.PATR._SIT.ECON.'!D131,COPIA!$EA$2:$EA$200,0),3)&lt;&gt;0),INDEX(COPIA!$EA$2:$EC$200,MATCH('SIT.PATR._SIT.ECON.'!D131,COPIA!$EA$2:$EA$200,0),3),"")),"")</f>
        <v/>
      </c>
    </row>
    <row r="132" spans="1:5" ht="15.9" customHeight="1" x14ac:dyDescent="0.3">
      <c r="A132" s="7" t="str">
        <f t="shared" ca="1" si="2"/>
        <v/>
      </c>
      <c r="B132" s="72" t="str">
        <f ca="1">IF(AND(COPIA!$CP$1=TRUE,IF((ROW())&gt;=COPIA!$BL$1,INDIRECT(ADDRESS(ROW()-COPIA!$BM$1,10,4,,"COPIA")),COPIA!EF125)="SALDO ECONOMICO NEGATIVO"),REPLACE("SALDO ECONOMICO NEGATIVO",1,30,"PERDITA D'ESERCIZIO"),IF((ROW())&gt;=COPIA!$BL$1,INDIRECT(ADDRESS(ROW()-COPIA!$BM$1,10,4,,"COPIA")),COPIA!EF125))</f>
        <v/>
      </c>
      <c r="C132" s="78" t="str">
        <f ca="1">IFERROR(IF(AND(COPIA!EG125&lt;&gt;0,ROW()&lt;=COPIA!$BL$1),COPIA!EG125,IF(AND(ROW()&gt;COPIA!$BL$1,INDEX(COPIA!$J$2:$L$200,MATCH('SIT.PATR._SIT.ECON.'!B132,COPIA!$J$2:$J$200,0),3)&lt;&gt;0),INDEX(COPIA!$J$2:$L$200,MATCH('SIT.PATR._SIT.ECON.'!B132,COPIA!$J$2:$J$200,0),3),"")),"")</f>
        <v/>
      </c>
      <c r="D132" s="72" t="str">
        <f ca="1">IF(AND(COPIA!$CP$1=TRUE,IF((ROW())&gt;=COPIA!$BL$1,CONCATENATE((INDIRECT(ADDRESS(ROW()-COPIA!$BM$1,131,4,,"COPIA")))),COPIA!EJ125)="SALDO ECONOMICO POSITIVO"),REPLACE(IF((ROW())&gt;=COPIA!$BL$1,CONCATENATE((INDIRECT(ADDRESS(ROW()-COPIA!$BM$1,131,4,,"COPIA")))),COPIA!EJ125),1,30,"UTILE D'ESERCIZIO"),IF((ROW())&gt;=COPIA!$BL$1,CONCATENATE((INDIRECT(ADDRESS(ROW()-COPIA!$BM$1,131,4,,"COPIA")))),COPIA!EJ125))</f>
        <v/>
      </c>
      <c r="E132" s="81" t="str">
        <f ca="1">IFERROR(IF(AND(ROW()&lt;=COPIA!$BL$1,COPIA!EK125&lt;&gt;0),COPIA!EK125,IF(AND(ROW()&gt;COPIA!$BL$1,INDEX(COPIA!$EA$2:$EC$200,MATCH('SIT.PATR._SIT.ECON.'!D132,COPIA!$EA$2:$EA$200,0),3)&lt;&gt;0),INDEX(COPIA!$EA$2:$EC$200,MATCH('SIT.PATR._SIT.ECON.'!D132,COPIA!$EA$2:$EA$200,0),3),"")),"")</f>
        <v/>
      </c>
    </row>
    <row r="133" spans="1:5" ht="15.9" customHeight="1" x14ac:dyDescent="0.3">
      <c r="A133" s="7" t="str">
        <f t="shared" ca="1" si="2"/>
        <v/>
      </c>
      <c r="B133" s="72" t="str">
        <f ca="1">IF(AND(COPIA!$CP$1=TRUE,IF((ROW())&gt;=COPIA!$BL$1,INDIRECT(ADDRESS(ROW()-COPIA!$BM$1,10,4,,"COPIA")),COPIA!EF126)="SALDO ECONOMICO NEGATIVO"),REPLACE("SALDO ECONOMICO NEGATIVO",1,30,"PERDITA D'ESERCIZIO"),IF((ROW())&gt;=COPIA!$BL$1,INDIRECT(ADDRESS(ROW()-COPIA!$BM$1,10,4,,"COPIA")),COPIA!EF126))</f>
        <v/>
      </c>
      <c r="C133" s="78" t="str">
        <f ca="1">IFERROR(IF(AND(COPIA!EG126&lt;&gt;0,ROW()&lt;=COPIA!$BL$1),COPIA!EG126,IF(AND(ROW()&gt;COPIA!$BL$1,INDEX(COPIA!$J$2:$L$200,MATCH('SIT.PATR._SIT.ECON.'!B133,COPIA!$J$2:$J$200,0),3)&lt;&gt;0),INDEX(COPIA!$J$2:$L$200,MATCH('SIT.PATR._SIT.ECON.'!B133,COPIA!$J$2:$J$200,0),3),"")),"")</f>
        <v/>
      </c>
      <c r="D133" s="72" t="str">
        <f ca="1">IF(AND(COPIA!$CP$1=TRUE,IF((ROW())&gt;=COPIA!$BL$1,CONCATENATE((INDIRECT(ADDRESS(ROW()-COPIA!$BM$1,131,4,,"COPIA")))),COPIA!EJ126)="SALDO ECONOMICO POSITIVO"),REPLACE(IF((ROW())&gt;=COPIA!$BL$1,CONCATENATE((INDIRECT(ADDRESS(ROW()-COPIA!$BM$1,131,4,,"COPIA")))),COPIA!EJ126),1,30,"UTILE D'ESERCIZIO"),IF((ROW())&gt;=COPIA!$BL$1,CONCATENATE((INDIRECT(ADDRESS(ROW()-COPIA!$BM$1,131,4,,"COPIA")))),COPIA!EJ126))</f>
        <v/>
      </c>
      <c r="E133" s="81" t="str">
        <f ca="1">IFERROR(IF(AND(ROW()&lt;=COPIA!$BL$1,COPIA!EK126&lt;&gt;0),COPIA!EK126,IF(AND(ROW()&gt;COPIA!$BL$1,INDEX(COPIA!$EA$2:$EC$200,MATCH('SIT.PATR._SIT.ECON.'!D133,COPIA!$EA$2:$EA$200,0),3)&lt;&gt;0),INDEX(COPIA!$EA$2:$EC$200,MATCH('SIT.PATR._SIT.ECON.'!D133,COPIA!$EA$2:$EA$200,0),3),"")),"")</f>
        <v/>
      </c>
    </row>
    <row r="134" spans="1:5" ht="15.9" customHeight="1" x14ac:dyDescent="0.3">
      <c r="A134" s="7" t="str">
        <f t="shared" ca="1" si="2"/>
        <v/>
      </c>
      <c r="B134" s="72" t="str">
        <f ca="1">IF(AND(COPIA!$CP$1=TRUE,IF((ROW())&gt;=COPIA!$BL$1,INDIRECT(ADDRESS(ROW()-COPIA!$BM$1,10,4,,"COPIA")),COPIA!EF127)="SALDO ECONOMICO NEGATIVO"),REPLACE("SALDO ECONOMICO NEGATIVO",1,30,"PERDITA D'ESERCIZIO"),IF((ROW())&gt;=COPIA!$BL$1,INDIRECT(ADDRESS(ROW()-COPIA!$BM$1,10,4,,"COPIA")),COPIA!EF127))</f>
        <v/>
      </c>
      <c r="C134" s="78" t="str">
        <f ca="1">IFERROR(IF(AND(COPIA!EG127&lt;&gt;0,ROW()&lt;=COPIA!$BL$1),COPIA!EG127,IF(AND(ROW()&gt;COPIA!$BL$1,INDEX(COPIA!$J$2:$L$200,MATCH('SIT.PATR._SIT.ECON.'!B134,COPIA!$J$2:$J$200,0),3)&lt;&gt;0),INDEX(COPIA!$J$2:$L$200,MATCH('SIT.PATR._SIT.ECON.'!B134,COPIA!$J$2:$J$200,0),3),"")),"")</f>
        <v/>
      </c>
      <c r="D134" s="72" t="str">
        <f ca="1">IF(AND(COPIA!$CP$1=TRUE,IF((ROW())&gt;=COPIA!$BL$1,CONCATENATE((INDIRECT(ADDRESS(ROW()-COPIA!$BM$1,131,4,,"COPIA")))),COPIA!EJ127)="SALDO ECONOMICO POSITIVO"),REPLACE(IF((ROW())&gt;=COPIA!$BL$1,CONCATENATE((INDIRECT(ADDRESS(ROW()-COPIA!$BM$1,131,4,,"COPIA")))),COPIA!EJ127),1,30,"UTILE D'ESERCIZIO"),IF((ROW())&gt;=COPIA!$BL$1,CONCATENATE((INDIRECT(ADDRESS(ROW()-COPIA!$BM$1,131,4,,"COPIA")))),COPIA!EJ127))</f>
        <v/>
      </c>
      <c r="E134" s="81" t="str">
        <f ca="1">IFERROR(IF(AND(ROW()&lt;=COPIA!$BL$1,COPIA!EK127&lt;&gt;0),COPIA!EK127,IF(AND(ROW()&gt;COPIA!$BL$1,INDEX(COPIA!$EA$2:$EC$200,MATCH('SIT.PATR._SIT.ECON.'!D134,COPIA!$EA$2:$EA$200,0),3)&lt;&gt;0),INDEX(COPIA!$EA$2:$EC$200,MATCH('SIT.PATR._SIT.ECON.'!D134,COPIA!$EA$2:$EA$200,0),3),"")),"")</f>
        <v/>
      </c>
    </row>
    <row r="135" spans="1:5" ht="15.9" customHeight="1" x14ac:dyDescent="0.3">
      <c r="A135" s="7" t="str">
        <f t="shared" ca="1" si="2"/>
        <v/>
      </c>
      <c r="B135" s="72" t="str">
        <f ca="1">IF(AND(COPIA!$CP$1=TRUE,IF((ROW())&gt;=COPIA!$BL$1,INDIRECT(ADDRESS(ROW()-COPIA!$BM$1,10,4,,"COPIA")),COPIA!EF128)="SALDO ECONOMICO NEGATIVO"),REPLACE("SALDO ECONOMICO NEGATIVO",1,30,"PERDITA D'ESERCIZIO"),IF((ROW())&gt;=COPIA!$BL$1,INDIRECT(ADDRESS(ROW()-COPIA!$BM$1,10,4,,"COPIA")),COPIA!EF128))</f>
        <v/>
      </c>
      <c r="C135" s="78" t="str">
        <f ca="1">IFERROR(IF(AND(COPIA!EG128&lt;&gt;0,ROW()&lt;=COPIA!$BL$1),COPIA!EG128,IF(AND(ROW()&gt;COPIA!$BL$1,INDEX(COPIA!$J$2:$L$200,MATCH('SIT.PATR._SIT.ECON.'!B135,COPIA!$J$2:$J$200,0),3)&lt;&gt;0),INDEX(COPIA!$J$2:$L$200,MATCH('SIT.PATR._SIT.ECON.'!B135,COPIA!$J$2:$J$200,0),3),"")),"")</f>
        <v/>
      </c>
      <c r="D135" s="72" t="str">
        <f ca="1">IF(AND(COPIA!$CP$1=TRUE,IF((ROW())&gt;=COPIA!$BL$1,CONCATENATE((INDIRECT(ADDRESS(ROW()-COPIA!$BM$1,131,4,,"COPIA")))),COPIA!EJ128)="SALDO ECONOMICO POSITIVO"),REPLACE(IF((ROW())&gt;=COPIA!$BL$1,CONCATENATE((INDIRECT(ADDRESS(ROW()-COPIA!$BM$1,131,4,,"COPIA")))),COPIA!EJ128),1,30,"UTILE D'ESERCIZIO"),IF((ROW())&gt;=COPIA!$BL$1,CONCATENATE((INDIRECT(ADDRESS(ROW()-COPIA!$BM$1,131,4,,"COPIA")))),COPIA!EJ128))</f>
        <v/>
      </c>
      <c r="E135" s="81" t="str">
        <f ca="1">IFERROR(IF(AND(ROW()&lt;=COPIA!$BL$1,COPIA!EK128&lt;&gt;0),COPIA!EK128,IF(AND(ROW()&gt;COPIA!$BL$1,INDEX(COPIA!$EA$2:$EC$200,MATCH('SIT.PATR._SIT.ECON.'!D135,COPIA!$EA$2:$EA$200,0),3)&lt;&gt;0),INDEX(COPIA!$EA$2:$EC$200,MATCH('SIT.PATR._SIT.ECON.'!D135,COPIA!$EA$2:$EA$200,0),3),"")),"")</f>
        <v/>
      </c>
    </row>
    <row r="136" spans="1:5" ht="15.9" customHeight="1" x14ac:dyDescent="0.3">
      <c r="A136" s="7" t="str">
        <f t="shared" ca="1" si="2"/>
        <v/>
      </c>
      <c r="B136" s="72" t="str">
        <f ca="1">IF(AND(COPIA!$CP$1=TRUE,IF((ROW())&gt;=COPIA!$BL$1,INDIRECT(ADDRESS(ROW()-COPIA!$BM$1,10,4,,"COPIA")),COPIA!EF129)="SALDO ECONOMICO NEGATIVO"),REPLACE("SALDO ECONOMICO NEGATIVO",1,30,"PERDITA D'ESERCIZIO"),IF((ROW())&gt;=COPIA!$BL$1,INDIRECT(ADDRESS(ROW()-COPIA!$BM$1,10,4,,"COPIA")),COPIA!EF129))</f>
        <v/>
      </c>
      <c r="C136" s="78" t="str">
        <f ca="1">IFERROR(IF(AND(COPIA!EG129&lt;&gt;0,ROW()&lt;=COPIA!$BL$1),COPIA!EG129,IF(AND(ROW()&gt;COPIA!$BL$1,INDEX(COPIA!$J$2:$L$200,MATCH('SIT.PATR._SIT.ECON.'!B136,COPIA!$J$2:$J$200,0),3)&lt;&gt;0),INDEX(COPIA!$J$2:$L$200,MATCH('SIT.PATR._SIT.ECON.'!B136,COPIA!$J$2:$J$200,0),3),"")),"")</f>
        <v/>
      </c>
      <c r="D136" s="72" t="str">
        <f ca="1">IF(AND(COPIA!$CP$1=TRUE,IF((ROW())&gt;=COPIA!$BL$1,CONCATENATE((INDIRECT(ADDRESS(ROW()-COPIA!$BM$1,131,4,,"COPIA")))),COPIA!EJ129)="SALDO ECONOMICO POSITIVO"),REPLACE(IF((ROW())&gt;=COPIA!$BL$1,CONCATENATE((INDIRECT(ADDRESS(ROW()-COPIA!$BM$1,131,4,,"COPIA")))),COPIA!EJ129),1,30,"UTILE D'ESERCIZIO"),IF((ROW())&gt;=COPIA!$BL$1,CONCATENATE((INDIRECT(ADDRESS(ROW()-COPIA!$BM$1,131,4,,"COPIA")))),COPIA!EJ129))</f>
        <v/>
      </c>
      <c r="E136" s="81" t="str">
        <f ca="1">IFERROR(IF(AND(ROW()&lt;=COPIA!$BL$1,COPIA!EK129&lt;&gt;0),COPIA!EK129,IF(AND(ROW()&gt;COPIA!$BL$1,INDEX(COPIA!$EA$2:$EC$200,MATCH('SIT.PATR._SIT.ECON.'!D136,COPIA!$EA$2:$EA$200,0),3)&lt;&gt;0),INDEX(COPIA!$EA$2:$EC$200,MATCH('SIT.PATR._SIT.ECON.'!D136,COPIA!$EA$2:$EA$200,0),3),"")),"")</f>
        <v/>
      </c>
    </row>
    <row r="137" spans="1:5" ht="15.9" customHeight="1" x14ac:dyDescent="0.3">
      <c r="A137" s="7" t="str">
        <f t="shared" ca="1" si="2"/>
        <v/>
      </c>
      <c r="B137" s="72" t="str">
        <f ca="1">IF(AND(COPIA!$CP$1=TRUE,IF((ROW())&gt;=COPIA!$BL$1,INDIRECT(ADDRESS(ROW()-COPIA!$BM$1,10,4,,"COPIA")),COPIA!EF130)="SALDO ECONOMICO NEGATIVO"),REPLACE("SALDO ECONOMICO NEGATIVO",1,30,"PERDITA D'ESERCIZIO"),IF((ROW())&gt;=COPIA!$BL$1,INDIRECT(ADDRESS(ROW()-COPIA!$BM$1,10,4,,"COPIA")),COPIA!EF130))</f>
        <v/>
      </c>
      <c r="C137" s="78" t="str">
        <f ca="1">IFERROR(IF(AND(COPIA!EG130&lt;&gt;0,ROW()&lt;=COPIA!$BL$1),COPIA!EG130,IF(AND(ROW()&gt;COPIA!$BL$1,INDEX(COPIA!$J$2:$L$200,MATCH('SIT.PATR._SIT.ECON.'!B137,COPIA!$J$2:$J$200,0),3)&lt;&gt;0),INDEX(COPIA!$J$2:$L$200,MATCH('SIT.PATR._SIT.ECON.'!B137,COPIA!$J$2:$J$200,0),3),"")),"")</f>
        <v/>
      </c>
      <c r="D137" s="72" t="str">
        <f ca="1">IF(AND(COPIA!$CP$1=TRUE,IF((ROW())&gt;=COPIA!$BL$1,CONCATENATE((INDIRECT(ADDRESS(ROW()-COPIA!$BM$1,131,4,,"COPIA")))),COPIA!EJ130)="SALDO ECONOMICO POSITIVO"),REPLACE(IF((ROW())&gt;=COPIA!$BL$1,CONCATENATE((INDIRECT(ADDRESS(ROW()-COPIA!$BM$1,131,4,,"COPIA")))),COPIA!EJ130),1,30,"UTILE D'ESERCIZIO"),IF((ROW())&gt;=COPIA!$BL$1,CONCATENATE((INDIRECT(ADDRESS(ROW()-COPIA!$BM$1,131,4,,"COPIA")))),COPIA!EJ130))</f>
        <v/>
      </c>
      <c r="E137" s="81" t="str">
        <f ca="1">IFERROR(IF(AND(ROW()&lt;=COPIA!$BL$1,COPIA!EK130&lt;&gt;0),COPIA!EK130,IF(AND(ROW()&gt;COPIA!$BL$1,INDEX(COPIA!$EA$2:$EC$200,MATCH('SIT.PATR._SIT.ECON.'!D137,COPIA!$EA$2:$EA$200,0),3)&lt;&gt;0),INDEX(COPIA!$EA$2:$EC$200,MATCH('SIT.PATR._SIT.ECON.'!D137,COPIA!$EA$2:$EA$200,0),3),"")),"")</f>
        <v/>
      </c>
    </row>
    <row r="138" spans="1:5" ht="15.9" customHeight="1" x14ac:dyDescent="0.3">
      <c r="A138" s="7" t="str">
        <f t="shared" ref="A138:A145" ca="1" si="3">IF(AND(OR(B138&lt;&gt;"",D138&lt;&gt;""),OR(C138&gt;0,E138&gt;0),B138&lt;&gt;"SITUAZIONE ECONOMICA"),ROW(),IF(AND(OR(B138&lt;&gt;"",D138&lt;&gt;""),B138&lt;&gt;"SITUAZIONE ECONOMICA"),ROW(),""))</f>
        <v/>
      </c>
      <c r="B138" s="72" t="str">
        <f ca="1">IF(AND(COPIA!$CP$1=TRUE,IF((ROW())&gt;=COPIA!$BL$1,INDIRECT(ADDRESS(ROW()-COPIA!$BM$1,10,4,,"COPIA")),COPIA!EF131)="SALDO ECONOMICO NEGATIVO"),REPLACE("SALDO ECONOMICO NEGATIVO",1,30,"PERDITA D'ESERCIZIO"),IF((ROW())&gt;=COPIA!$BL$1,INDIRECT(ADDRESS(ROW()-COPIA!$BM$1,10,4,,"COPIA")),COPIA!EF131))</f>
        <v/>
      </c>
      <c r="C138" s="78" t="str">
        <f ca="1">IFERROR(IF(AND(COPIA!EG131&lt;&gt;0,ROW()&lt;=COPIA!$BL$1),COPIA!EG131,IF(AND(ROW()&gt;COPIA!$BL$1,INDEX(COPIA!$J$2:$L$200,MATCH('SIT.PATR._SIT.ECON.'!B138,COPIA!$J$2:$J$200,0),3)&lt;&gt;0),INDEX(COPIA!$J$2:$L$200,MATCH('SIT.PATR._SIT.ECON.'!B138,COPIA!$J$2:$J$200,0),3),"")),"")</f>
        <v/>
      </c>
      <c r="D138" s="72" t="str">
        <f ca="1">IF(AND(COPIA!$CP$1=TRUE,IF((ROW())&gt;=COPIA!$BL$1,CONCATENATE((INDIRECT(ADDRESS(ROW()-COPIA!$BM$1,131,4,,"COPIA")))),COPIA!EJ131)="SALDO ECONOMICO POSITIVO"),REPLACE(IF((ROW())&gt;=COPIA!$BL$1,CONCATENATE((INDIRECT(ADDRESS(ROW()-COPIA!$BM$1,131,4,,"COPIA")))),COPIA!EJ131),1,30,"UTILE D'ESERCIZIO"),IF((ROW())&gt;=COPIA!$BL$1,CONCATENATE((INDIRECT(ADDRESS(ROW()-COPIA!$BM$1,131,4,,"COPIA")))),COPIA!EJ131))</f>
        <v/>
      </c>
      <c r="E138" s="81" t="str">
        <f ca="1">IFERROR(IF(AND(ROW()&lt;=COPIA!$BL$1,COPIA!EK131&lt;&gt;0),COPIA!EK131,IF(AND(ROW()&gt;COPIA!$BL$1,INDEX(COPIA!$EA$2:$EC$200,MATCH('SIT.PATR._SIT.ECON.'!D138,COPIA!$EA$2:$EA$200,0),3)&lt;&gt;0),INDEX(COPIA!$EA$2:$EC$200,MATCH('SIT.PATR._SIT.ECON.'!D138,COPIA!$EA$2:$EA$200,0),3),"")),"")</f>
        <v/>
      </c>
    </row>
    <row r="139" spans="1:5" ht="15.9" customHeight="1" x14ac:dyDescent="0.3">
      <c r="A139" s="7" t="str">
        <f t="shared" ca="1" si="3"/>
        <v/>
      </c>
      <c r="B139" s="72" t="str">
        <f ca="1">IF(AND(COPIA!$CP$1=TRUE,IF((ROW())&gt;=COPIA!$BL$1,INDIRECT(ADDRESS(ROW()-COPIA!$BM$1,10,4,,"COPIA")),COPIA!EF132)="SALDO ECONOMICO NEGATIVO"),REPLACE("SALDO ECONOMICO NEGATIVO",1,30,"PERDITA D'ESERCIZIO"),IF((ROW())&gt;=COPIA!$BL$1,INDIRECT(ADDRESS(ROW()-COPIA!$BM$1,10,4,,"COPIA")),COPIA!EF132))</f>
        <v/>
      </c>
      <c r="C139" s="78" t="str">
        <f ca="1">IFERROR(IF(AND(COPIA!EG132&lt;&gt;0,ROW()&lt;=COPIA!$BL$1),COPIA!EG132,IF(AND(ROW()&gt;COPIA!$BL$1,INDEX(COPIA!$J$2:$L$200,MATCH('SIT.PATR._SIT.ECON.'!B139,COPIA!$J$2:$J$200,0),3)&lt;&gt;0),INDEX(COPIA!$J$2:$L$200,MATCH('SIT.PATR._SIT.ECON.'!B139,COPIA!$J$2:$J$200,0),3),"")),"")</f>
        <v/>
      </c>
      <c r="D139" s="72" t="str">
        <f ca="1">IF(AND(COPIA!$CP$1=TRUE,IF((ROW())&gt;=COPIA!$BL$1,CONCATENATE((INDIRECT(ADDRESS(ROW()-COPIA!$BM$1,131,4,,"COPIA")))),COPIA!EJ132)="SALDO ECONOMICO POSITIVO"),REPLACE(IF((ROW())&gt;=COPIA!$BL$1,CONCATENATE((INDIRECT(ADDRESS(ROW()-COPIA!$BM$1,131,4,,"COPIA")))),COPIA!EJ132),1,30,"UTILE D'ESERCIZIO"),IF((ROW())&gt;=COPIA!$BL$1,CONCATENATE((INDIRECT(ADDRESS(ROW()-COPIA!$BM$1,131,4,,"COPIA")))),COPIA!EJ132))</f>
        <v/>
      </c>
      <c r="E139" s="81" t="str">
        <f ca="1">IFERROR(IF(AND(ROW()&lt;=COPIA!$BL$1,COPIA!EK132&lt;&gt;0),COPIA!EK132,IF(AND(ROW()&gt;COPIA!$BL$1,INDEX(COPIA!$EA$2:$EC$200,MATCH('SIT.PATR._SIT.ECON.'!D139,COPIA!$EA$2:$EA$200,0),3)&lt;&gt;0),INDEX(COPIA!$EA$2:$EC$200,MATCH('SIT.PATR._SIT.ECON.'!D139,COPIA!$EA$2:$EA$200,0),3),"")),"")</f>
        <v/>
      </c>
    </row>
    <row r="140" spans="1:5" ht="15.9" customHeight="1" x14ac:dyDescent="0.3">
      <c r="A140" s="7" t="str">
        <f t="shared" ca="1" si="3"/>
        <v/>
      </c>
      <c r="B140" s="72" t="str">
        <f ca="1">IF(AND(COPIA!$CP$1=TRUE,IF((ROW())&gt;=COPIA!$BL$1,INDIRECT(ADDRESS(ROW()-COPIA!$BM$1,10,4,,"COPIA")),COPIA!EF133)="SALDO ECONOMICO NEGATIVO"),REPLACE("SALDO ECONOMICO NEGATIVO",1,30,"PERDITA D'ESERCIZIO"),IF((ROW())&gt;=COPIA!$BL$1,INDIRECT(ADDRESS(ROW()-COPIA!$BM$1,10,4,,"COPIA")),COPIA!EF133))</f>
        <v/>
      </c>
      <c r="C140" s="78" t="str">
        <f ca="1">IFERROR(IF(AND(COPIA!EG133&lt;&gt;0,ROW()&lt;=COPIA!$BL$1),COPIA!EG133,IF(AND(ROW()&gt;COPIA!$BL$1,INDEX(COPIA!$J$2:$L$200,MATCH('SIT.PATR._SIT.ECON.'!B140,COPIA!$J$2:$J$200,0),3)&lt;&gt;0),INDEX(COPIA!$J$2:$L$200,MATCH('SIT.PATR._SIT.ECON.'!B140,COPIA!$J$2:$J$200,0),3),"")),"")</f>
        <v/>
      </c>
      <c r="D140" s="72" t="str">
        <f ca="1">IF(AND(COPIA!$CP$1=TRUE,IF((ROW())&gt;=COPIA!$BL$1,CONCATENATE((INDIRECT(ADDRESS(ROW()-COPIA!$BM$1,131,4,,"COPIA")))),COPIA!EJ133)="SALDO ECONOMICO POSITIVO"),REPLACE(IF((ROW())&gt;=COPIA!$BL$1,CONCATENATE((INDIRECT(ADDRESS(ROW()-COPIA!$BM$1,131,4,,"COPIA")))),COPIA!EJ133),1,30,"UTILE D'ESERCIZIO"),IF((ROW())&gt;=COPIA!$BL$1,CONCATENATE((INDIRECT(ADDRESS(ROW()-COPIA!$BM$1,131,4,,"COPIA")))),COPIA!EJ133))</f>
        <v/>
      </c>
      <c r="E140" s="81" t="str">
        <f ca="1">IFERROR(IF(AND(ROW()&lt;=COPIA!$BL$1,COPIA!EK133&lt;&gt;0),COPIA!EK133,IF(AND(ROW()&gt;COPIA!$BL$1,INDEX(COPIA!$EA$2:$EC$200,MATCH('SIT.PATR._SIT.ECON.'!D140,COPIA!$EA$2:$EA$200,0),3)&lt;&gt;0),INDEX(COPIA!$EA$2:$EC$200,MATCH('SIT.PATR._SIT.ECON.'!D140,COPIA!$EA$2:$EA$200,0),3),"")),"")</f>
        <v/>
      </c>
    </row>
    <row r="141" spans="1:5" ht="15.9" customHeight="1" x14ac:dyDescent="0.3">
      <c r="A141" s="7" t="str">
        <f t="shared" ca="1" si="3"/>
        <v/>
      </c>
      <c r="B141" s="72" t="str">
        <f ca="1">IF(AND(COPIA!$CP$1=TRUE,IF((ROW())&gt;=COPIA!$BL$1,INDIRECT(ADDRESS(ROW()-COPIA!$BM$1,10,4,,"COPIA")),COPIA!EF134)="SALDO ECONOMICO NEGATIVO"),REPLACE("SALDO ECONOMICO NEGATIVO",1,30,"PERDITA D'ESERCIZIO"),IF((ROW())&gt;=COPIA!$BL$1,INDIRECT(ADDRESS(ROW()-COPIA!$BM$1,10,4,,"COPIA")),COPIA!EF134))</f>
        <v/>
      </c>
      <c r="C141" s="78" t="str">
        <f ca="1">IFERROR(IF(AND(COPIA!EG134&lt;&gt;0,ROW()&lt;=COPIA!$BL$1),COPIA!EG134,IF(AND(ROW()&gt;COPIA!$BL$1,INDEX(COPIA!$J$2:$L$200,MATCH('SIT.PATR._SIT.ECON.'!B141,COPIA!$J$2:$J$200,0),3)&lt;&gt;0),INDEX(COPIA!$J$2:$L$200,MATCH('SIT.PATR._SIT.ECON.'!B141,COPIA!$J$2:$J$200,0),3),"")),"")</f>
        <v/>
      </c>
      <c r="D141" s="72" t="str">
        <f ca="1">IF(AND(COPIA!$CP$1=TRUE,IF((ROW())&gt;=COPIA!$BL$1,CONCATENATE((INDIRECT(ADDRESS(ROW()-COPIA!$BM$1,131,4,,"COPIA")))),COPIA!EJ134)="SALDO ECONOMICO POSITIVO"),REPLACE(IF((ROW())&gt;=COPIA!$BL$1,CONCATENATE((INDIRECT(ADDRESS(ROW()-COPIA!$BM$1,131,4,,"COPIA")))),COPIA!EJ134),1,30,"UTILE D'ESERCIZIO"),IF((ROW())&gt;=COPIA!$BL$1,CONCATENATE((INDIRECT(ADDRESS(ROW()-COPIA!$BM$1,131,4,,"COPIA")))),COPIA!EJ134))</f>
        <v/>
      </c>
      <c r="E141" s="81" t="str">
        <f ca="1">IFERROR(IF(AND(ROW()&lt;=COPIA!$BL$1,COPIA!EK134&lt;&gt;0),COPIA!EK134,IF(AND(ROW()&gt;COPIA!$BL$1,INDEX(COPIA!$EA$2:$EC$200,MATCH('SIT.PATR._SIT.ECON.'!D141,COPIA!$EA$2:$EA$200,0),3)&lt;&gt;0),INDEX(COPIA!$EA$2:$EC$200,MATCH('SIT.PATR._SIT.ECON.'!D141,COPIA!$EA$2:$EA$200,0),3),"")),"")</f>
        <v/>
      </c>
    </row>
    <row r="142" spans="1:5" ht="15.9" customHeight="1" x14ac:dyDescent="0.3">
      <c r="A142" s="7" t="str">
        <f t="shared" ca="1" si="3"/>
        <v/>
      </c>
      <c r="B142" s="72" t="str">
        <f ca="1">IF(AND(COPIA!$CP$1=TRUE,IF((ROW())&gt;=COPIA!$BL$1,INDIRECT(ADDRESS(ROW()-COPIA!$BM$1,10,4,,"COPIA")),COPIA!EF135)="SALDO ECONOMICO NEGATIVO"),REPLACE("SALDO ECONOMICO NEGATIVO",1,30,"PERDITA D'ESERCIZIO"),IF((ROW())&gt;=COPIA!$BL$1,INDIRECT(ADDRESS(ROW()-COPIA!$BM$1,10,4,,"COPIA")),COPIA!EF135))</f>
        <v/>
      </c>
      <c r="C142" s="78" t="str">
        <f ca="1">IFERROR(IF(AND(COPIA!EG135&lt;&gt;0,ROW()&lt;=COPIA!$BL$1),COPIA!EG135,IF(AND(ROW()&gt;COPIA!$BL$1,INDEX(COPIA!$J$2:$L$200,MATCH('SIT.PATR._SIT.ECON.'!B142,COPIA!$J$2:$J$200,0),3)&lt;&gt;0),INDEX(COPIA!$J$2:$L$200,MATCH('SIT.PATR._SIT.ECON.'!B142,COPIA!$J$2:$J$200,0),3),"")),"")</f>
        <v/>
      </c>
      <c r="D142" s="72" t="str">
        <f ca="1">IF(AND(COPIA!$CP$1=TRUE,IF((ROW())&gt;=COPIA!$BL$1,CONCATENATE((INDIRECT(ADDRESS(ROW()-COPIA!$BM$1,131,4,,"COPIA")))),COPIA!EJ135)="SALDO ECONOMICO POSITIVO"),REPLACE(IF((ROW())&gt;=COPIA!$BL$1,CONCATENATE((INDIRECT(ADDRESS(ROW()-COPIA!$BM$1,131,4,,"COPIA")))),COPIA!EJ135),1,30,"UTILE D'ESERCIZIO"),IF((ROW())&gt;=COPIA!$BL$1,CONCATENATE((INDIRECT(ADDRESS(ROW()-COPIA!$BM$1,131,4,,"COPIA")))),COPIA!EJ135))</f>
        <v/>
      </c>
      <c r="E142" s="81" t="str">
        <f ca="1">IFERROR(IF(AND(ROW()&lt;=COPIA!$BL$1,COPIA!EK135&lt;&gt;0),COPIA!EK135,IF(AND(ROW()&gt;COPIA!$BL$1,INDEX(COPIA!$EA$2:$EC$200,MATCH('SIT.PATR._SIT.ECON.'!D142,COPIA!$EA$2:$EA$200,0),3)&lt;&gt;0),INDEX(COPIA!$EA$2:$EC$200,MATCH('SIT.PATR._SIT.ECON.'!D142,COPIA!$EA$2:$EA$200,0),3),"")),"")</f>
        <v/>
      </c>
    </row>
    <row r="143" spans="1:5" ht="15.9" customHeight="1" x14ac:dyDescent="0.3">
      <c r="A143" s="7" t="str">
        <f t="shared" ca="1" si="3"/>
        <v/>
      </c>
      <c r="B143" s="72" t="str">
        <f ca="1">IF(AND(COPIA!$CP$1=TRUE,IF((ROW())&gt;=COPIA!$BL$1,INDIRECT(ADDRESS(ROW()-COPIA!$BM$1,10,4,,"COPIA")),COPIA!EF136)="SALDO ECONOMICO NEGATIVO"),REPLACE("SALDO ECONOMICO NEGATIVO",1,30,"PERDITA D'ESERCIZIO"),IF((ROW())&gt;=COPIA!$BL$1,INDIRECT(ADDRESS(ROW()-COPIA!$BM$1,10,4,,"COPIA")),COPIA!EF136))</f>
        <v/>
      </c>
      <c r="C143" s="78" t="str">
        <f ca="1">IFERROR(IF(AND(COPIA!EG136&lt;&gt;0,ROW()&lt;=COPIA!$BL$1),COPIA!EG136,IF(AND(ROW()&gt;COPIA!$BL$1,INDEX(COPIA!$J$2:$L$200,MATCH('SIT.PATR._SIT.ECON.'!B143,COPIA!$J$2:$J$200,0),3)&lt;&gt;0),INDEX(COPIA!$J$2:$L$200,MATCH('SIT.PATR._SIT.ECON.'!B143,COPIA!$J$2:$J$200,0),3),"")),"")</f>
        <v/>
      </c>
      <c r="D143" s="72" t="str">
        <f ca="1">IF(AND(COPIA!$CP$1=TRUE,IF((ROW())&gt;=COPIA!$BL$1,CONCATENATE((INDIRECT(ADDRESS(ROW()-COPIA!$BM$1,131,4,,"COPIA")))),COPIA!EJ136)="SALDO ECONOMICO POSITIVO"),REPLACE(IF((ROW())&gt;=COPIA!$BL$1,CONCATENATE((INDIRECT(ADDRESS(ROW()-COPIA!$BM$1,131,4,,"COPIA")))),COPIA!EJ136),1,30,"UTILE D'ESERCIZIO"),IF((ROW())&gt;=COPIA!$BL$1,CONCATENATE((INDIRECT(ADDRESS(ROW()-COPIA!$BM$1,131,4,,"COPIA")))),COPIA!EJ136))</f>
        <v/>
      </c>
      <c r="E143" s="81" t="str">
        <f ca="1">IFERROR(IF(AND(ROW()&lt;=COPIA!$BL$1,COPIA!EK136&lt;&gt;0),COPIA!EK136,IF(AND(ROW()&gt;COPIA!$BL$1,INDEX(COPIA!$EA$2:$EC$200,MATCH('SIT.PATR._SIT.ECON.'!D143,COPIA!$EA$2:$EA$200,0),3)&lt;&gt;0),INDEX(COPIA!$EA$2:$EC$200,MATCH('SIT.PATR._SIT.ECON.'!D143,COPIA!$EA$2:$EA$200,0),3),"")),"")</f>
        <v/>
      </c>
    </row>
    <row r="144" spans="1:5" ht="15.9" customHeight="1" x14ac:dyDescent="0.3">
      <c r="A144" s="7" t="str">
        <f t="shared" ca="1" si="3"/>
        <v/>
      </c>
      <c r="B144" s="72" t="str">
        <f ca="1">IF(AND(COPIA!$CP$1=TRUE,IF((ROW())&gt;=COPIA!$BL$1,INDIRECT(ADDRESS(ROW()-COPIA!$BM$1,10,4,,"COPIA")),COPIA!EF137)="SALDO ECONOMICO NEGATIVO"),REPLACE("SALDO ECONOMICO NEGATIVO",1,30,"PERDITA D'ESERCIZIO"),IF((ROW())&gt;=COPIA!$BL$1,INDIRECT(ADDRESS(ROW()-COPIA!$BM$1,10,4,,"COPIA")),COPIA!EF137))</f>
        <v/>
      </c>
      <c r="C144" s="78" t="str">
        <f ca="1">IFERROR(IF(AND(COPIA!EG137&lt;&gt;0,ROW()&lt;=COPIA!$BL$1),COPIA!EG137,IF(AND(ROW()&gt;COPIA!$BL$1,INDEX(COPIA!$J$2:$L$200,MATCH('SIT.PATR._SIT.ECON.'!B144,COPIA!$J$2:$J$200,0),3)&lt;&gt;0),INDEX(COPIA!$J$2:$L$200,MATCH('SIT.PATR._SIT.ECON.'!B144,COPIA!$J$2:$J$200,0),3),"")),"")</f>
        <v/>
      </c>
      <c r="D144" s="72" t="str">
        <f ca="1">IF(AND(COPIA!$CP$1=TRUE,IF((ROW())&gt;=COPIA!$BL$1,CONCATENATE((INDIRECT(ADDRESS(ROW()-COPIA!$BM$1,131,4,,"COPIA")))),COPIA!EJ137)="SALDO ECONOMICO POSITIVO"),REPLACE(IF((ROW())&gt;=COPIA!$BL$1,CONCATENATE((INDIRECT(ADDRESS(ROW()-COPIA!$BM$1,131,4,,"COPIA")))),COPIA!EJ137),1,30,"UTILE D'ESERCIZIO"),IF((ROW())&gt;=COPIA!$BL$1,CONCATENATE((INDIRECT(ADDRESS(ROW()-COPIA!$BM$1,131,4,,"COPIA")))),COPIA!EJ137))</f>
        <v/>
      </c>
      <c r="E144" s="81" t="str">
        <f ca="1">IFERROR(IF(AND(ROW()&lt;=COPIA!$BL$1,COPIA!EK137&lt;&gt;0),COPIA!EK137,IF(AND(ROW()&gt;COPIA!$BL$1,INDEX(COPIA!$EA$2:$EC$200,MATCH('SIT.PATR._SIT.ECON.'!D144,COPIA!$EA$2:$EA$200,0),3)&lt;&gt;0),INDEX(COPIA!$EA$2:$EC$200,MATCH('SIT.PATR._SIT.ECON.'!D144,COPIA!$EA$2:$EA$200,0),3),"")),"")</f>
        <v/>
      </c>
    </row>
    <row r="145" spans="1:5" ht="15.9" customHeight="1" x14ac:dyDescent="0.3">
      <c r="A145" s="7" t="str">
        <f t="shared" ca="1" si="3"/>
        <v/>
      </c>
      <c r="B145" s="72" t="str">
        <f ca="1">IF(AND(COPIA!$CP$1=TRUE,IF((ROW())&gt;=COPIA!$BL$1,INDIRECT(ADDRESS(ROW()-COPIA!$BM$1,10,4,,"COPIA")),COPIA!EF138)="SALDO ECONOMICO NEGATIVO"),REPLACE("SALDO ECONOMICO NEGATIVO",1,30,"PERDITA D'ESERCIZIO"),IF((ROW())&gt;=COPIA!$BL$1,INDIRECT(ADDRESS(ROW()-COPIA!$BM$1,10,4,,"COPIA")),COPIA!EF138))</f>
        <v/>
      </c>
      <c r="C145" s="78" t="str">
        <f ca="1">IFERROR(IF(AND(COPIA!EG138&lt;&gt;0,ROW()&lt;=COPIA!$BL$1),COPIA!EG138,IF(AND(ROW()&gt;COPIA!$BL$1,INDEX(COPIA!$J$2:$L$200,MATCH('SIT.PATR._SIT.ECON.'!B145,COPIA!$J$2:$J$200,0),3)&lt;&gt;0),INDEX(COPIA!$J$2:$L$200,MATCH('SIT.PATR._SIT.ECON.'!B145,COPIA!$J$2:$J$200,0),3),"")),"")</f>
        <v/>
      </c>
      <c r="D145" s="72" t="str">
        <f ca="1">IF(AND(COPIA!$CP$1=TRUE,IF((ROW())&gt;=COPIA!$BL$1,CONCATENATE((INDIRECT(ADDRESS(ROW()-COPIA!$BM$1,131,4,,"COPIA")))),COPIA!EJ138)="SALDO ECONOMICO POSITIVO"),REPLACE(IF((ROW())&gt;=COPIA!$BL$1,CONCATENATE((INDIRECT(ADDRESS(ROW()-COPIA!$BM$1,131,4,,"COPIA")))),COPIA!EJ138),1,30,"UTILE D'ESERCIZIO"),IF((ROW())&gt;=COPIA!$BL$1,CONCATENATE((INDIRECT(ADDRESS(ROW()-COPIA!$BM$1,131,4,,"COPIA")))),COPIA!EJ138))</f>
        <v/>
      </c>
      <c r="E145" s="81" t="str">
        <f ca="1">IFERROR(IF(AND(ROW()&lt;=COPIA!$BL$1,COPIA!EK138&lt;&gt;0),COPIA!EK138,IF(AND(ROW()&gt;COPIA!$BL$1,INDEX(COPIA!$EA$2:$EC$200,MATCH('SIT.PATR._SIT.ECON.'!D145,COPIA!$EA$2:$EA$200,0),3)&lt;&gt;0),INDEX(COPIA!$EA$2:$EC$200,MATCH('SIT.PATR._SIT.ECON.'!D145,COPIA!$EA$2:$EA$200,0),3),"")),"")</f>
        <v/>
      </c>
    </row>
    <row r="146" spans="1:5" ht="15.9" customHeight="1" x14ac:dyDescent="0.3">
      <c r="C146" s="79"/>
    </row>
    <row r="147" spans="1:5" ht="15.9" customHeight="1" x14ac:dyDescent="0.3">
      <c r="C147" s="79"/>
    </row>
    <row r="148" spans="1:5" ht="15.9" customHeight="1" x14ac:dyDescent="0.3">
      <c r="C148" s="79"/>
    </row>
    <row r="149" spans="1:5" ht="15.9" customHeight="1" x14ac:dyDescent="0.3">
      <c r="C149" s="79"/>
    </row>
    <row r="150" spans="1:5" ht="15.9" customHeight="1" x14ac:dyDescent="0.3">
      <c r="C150" s="79"/>
    </row>
    <row r="151" spans="1:5" ht="15.9" customHeight="1" x14ac:dyDescent="0.3">
      <c r="C151" s="79"/>
    </row>
    <row r="152" spans="1:5" ht="15.9" customHeight="1" x14ac:dyDescent="0.3">
      <c r="C152" s="79"/>
    </row>
    <row r="153" spans="1:5" ht="15.9" customHeight="1" x14ac:dyDescent="0.3">
      <c r="C153" s="79"/>
    </row>
    <row r="154" spans="1:5" ht="15.9" customHeight="1" x14ac:dyDescent="0.3">
      <c r="C154" s="79"/>
    </row>
    <row r="155" spans="1:5" ht="15.9" customHeight="1" x14ac:dyDescent="0.3">
      <c r="C155" s="79"/>
    </row>
  </sheetData>
  <sheetProtection algorithmName="SHA-512" hashValue="sngPKzqtuDmh+xxC4RYzKvrnq49f01hfYzqcyws+0rUP0Q2Gd7KM0EcpYFXuarLcp3zR3E39O3M0cP7AdDEDTg==" saltValue="+FqAMnDJ1R2IuT9QYBjAqw==" spinCount="100000" sheet="1" objects="1" scenarios="1"/>
  <mergeCells count="4">
    <mergeCell ref="B7:E7"/>
    <mergeCell ref="D3:E4"/>
    <mergeCell ref="B6:C6"/>
    <mergeCell ref="D6:E6"/>
  </mergeCells>
  <conditionalFormatting sqref="B8">
    <cfRule type="expression" dxfId="29" priority="2">
      <formula>$B8="SITUAZIONE PATRIMONIALE"</formula>
    </cfRule>
  </conditionalFormatting>
  <conditionalFormatting sqref="B9:B145 D9:E145">
    <cfRule type="expression" dxfId="28" priority="8">
      <formula>$B9="TOTALE COSTI"</formula>
    </cfRule>
    <cfRule type="expression" dxfId="27" priority="15">
      <formula>$B9="TOTALE"</formula>
    </cfRule>
  </conditionalFormatting>
  <conditionalFormatting sqref="B9:B145">
    <cfRule type="expression" dxfId="26" priority="3">
      <formula>$B9="SITUAZIONE ECONOMICA"</formula>
    </cfRule>
  </conditionalFormatting>
  <conditionalFormatting sqref="B9:D145">
    <cfRule type="expression" dxfId="25" priority="19">
      <formula>$D9="TOTALE RICAVI"</formula>
    </cfRule>
    <cfRule type="expression" dxfId="24" priority="20">
      <formula>$D9="TOTALE"</formula>
    </cfRule>
  </conditionalFormatting>
  <conditionalFormatting sqref="B9:E145">
    <cfRule type="expression" dxfId="23" priority="1">
      <formula>AND($B9="TOTALE",$D9="TOTALE")</formula>
    </cfRule>
    <cfRule type="expression" dxfId="22" priority="9">
      <formula>OR($B9="TOTALE A PAREGGIO",$D9="TOTALE A PAREGGIO")</formula>
    </cfRule>
    <cfRule type="expression" dxfId="21" priority="11">
      <formula>OR($B9="ATTIVITÀ",$B9="COSTI")</formula>
    </cfRule>
    <cfRule type="expression" dxfId="20" priority="17">
      <formula>AND($D9&lt;&gt;"TOTALE",$D9&lt;&gt;"TOTALE A PAREGGIO",$D9&lt;&gt;"TOTALE RICAVI",$B9&lt;&gt;"COSTI",$B9&lt;&gt;"ATTIVITÀ",$B9&lt;&gt;"TOTALE COSTI",$B9&lt;&gt;"TOTALE A PAREGGIO",$B9&lt;&gt;"TOTALE",OR($C9&lt;&gt;"",$E9&lt;&gt;""))</formula>
    </cfRule>
  </conditionalFormatting>
  <conditionalFormatting sqref="C9:C145">
    <cfRule type="expression" dxfId="19" priority="6">
      <formula>$B9="TOTALE"</formula>
    </cfRule>
    <cfRule type="expression" dxfId="18" priority="7">
      <formula>$B9="TOTALE COSTI"</formula>
    </cfRule>
  </conditionalFormatting>
  <conditionalFormatting sqref="E9:E145">
    <cfRule type="expression" dxfId="17" priority="5">
      <formula>$D9="TOTALE RICAVI"</formula>
    </cfRule>
    <cfRule type="expression" dxfId="16" priority="13">
      <formula>$D9="TOTALE"</formula>
    </cfRule>
  </conditionalFormatting>
  <dataValidations count="2">
    <dataValidation type="list" allowBlank="1" showInputMessage="1" showErrorMessage="1" sqref="B3" xr:uid="{00000000-0002-0000-0400-000000000000}">
      <formula1>"VISUALIZZA IL SALDO ECONOMICO,VISUALIZZA IL RISULTATO ECONOMICO"</formula1>
    </dataValidation>
    <dataValidation type="list" allowBlank="1" showInputMessage="1" showErrorMessage="1" sqref="C4" xr:uid="{00000000-0002-0000-0400-000001000000}">
      <formula1>RIGHE_TRA_I_PROSPETTI</formula1>
    </dataValidation>
  </dataValidations>
  <printOptions horizontalCentered="1"/>
  <pageMargins left="0.19685039370078741" right="0.19685039370078741" top="0.59055118110236227" bottom="0.59055118110236227" header="0.39370078740157483" footer="0.39370078740157483"/>
  <pageSetup paperSize="9" orientation="landscape" horizontalDpi="4294967294" verticalDpi="300" r:id="rId1"/>
  <headerFooter>
    <oddHeader>&amp;L&amp;"Arial Narrow,Grassetto"&amp;10&amp;K08-043&amp;A&amp;R&amp;G</oddHeader>
    <oddFooter>&amp;L&amp;"Arial Narrow,Grassetto"&amp;8&amp;K08-040TRAMONTANA - FUTURO IMPRESA SMART 4 - T-SMART -  Autore: Biagio PALACINO&amp;C&amp;"Arial Narrow,Grassetto"&amp;10&amp;K08-047&amp;D&amp;R&amp;"Arial Narrow,Grassetto"&amp;10&amp;K08-041pag. &amp;P di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1">
    <tabColor rgb="FF002060"/>
  </sheetPr>
  <dimension ref="A1:M139"/>
  <sheetViews>
    <sheetView showGridLines="0" showRowColHeaders="0" zoomScale="115" zoomScaleNormal="115" workbookViewId="0">
      <pane ySplit="9" topLeftCell="A10" activePane="bottomLeft" state="frozen"/>
      <selection pane="bottomLeft" activeCell="B4" sqref="B4"/>
    </sheetView>
  </sheetViews>
  <sheetFormatPr defaultRowHeight="15.6" x14ac:dyDescent="0.3"/>
  <cols>
    <col min="1" max="1" width="2" style="48" customWidth="1"/>
    <col min="2" max="2" width="57.19921875" style="130" customWidth="1"/>
    <col min="3" max="3" width="11" style="113" customWidth="1"/>
    <col min="4" max="4" width="48.8984375" style="133" customWidth="1"/>
    <col min="5" max="5" width="11.09765625" style="116" customWidth="1"/>
    <col min="6" max="6" width="1.5" style="158" customWidth="1"/>
    <col min="7" max="7" width="1.5" customWidth="1"/>
    <col min="8" max="8" width="27.3984375" customWidth="1"/>
    <col min="9" max="9" width="10.5" customWidth="1"/>
    <col min="10" max="12" width="16.5" style="7" customWidth="1"/>
    <col min="13" max="13" width="16.5" style="157" customWidth="1"/>
  </cols>
  <sheetData>
    <row r="1" spans="1:12" x14ac:dyDescent="0.3">
      <c r="A1" s="93"/>
      <c r="B1" s="141" t="s">
        <v>1152</v>
      </c>
      <c r="H1" s="11"/>
      <c r="I1" s="11"/>
    </row>
    <row r="2" spans="1:12" ht="1.5" customHeight="1" x14ac:dyDescent="0.3">
      <c r="B2" s="141"/>
      <c r="H2" s="11"/>
      <c r="I2" s="11"/>
    </row>
    <row r="3" spans="1:12" x14ac:dyDescent="0.3">
      <c r="A3" s="7"/>
      <c r="B3" s="205" t="s">
        <v>993</v>
      </c>
      <c r="D3" s="207" t="s">
        <v>994</v>
      </c>
      <c r="E3" s="355" t="s">
        <v>1000</v>
      </c>
      <c r="F3" s="356"/>
      <c r="G3" s="357"/>
      <c r="H3" s="11"/>
      <c r="I3" s="11"/>
    </row>
    <row r="4" spans="1:12" x14ac:dyDescent="0.3">
      <c r="A4" s="7"/>
      <c r="B4" s="206" t="s">
        <v>822</v>
      </c>
      <c r="D4" s="208" t="s">
        <v>1044</v>
      </c>
      <c r="E4" s="358"/>
      <c r="F4" s="359"/>
      <c r="G4" s="360"/>
      <c r="H4" s="11"/>
      <c r="I4" s="11"/>
    </row>
    <row r="5" spans="1:12" ht="5.25" customHeight="1" x14ac:dyDescent="0.3">
      <c r="A5" s="7"/>
      <c r="B5" s="188"/>
      <c r="D5" s="189"/>
      <c r="E5" s="190"/>
      <c r="F5" s="94"/>
      <c r="G5" s="11"/>
      <c r="H5" s="11"/>
      <c r="I5" s="11"/>
    </row>
    <row r="6" spans="1:12" ht="16.5" customHeight="1" x14ac:dyDescent="0.3">
      <c r="A6" s="7"/>
      <c r="B6" s="205" t="s">
        <v>1003</v>
      </c>
      <c r="D6" s="209" t="s">
        <v>1010</v>
      </c>
      <c r="E6" s="349" t="s">
        <v>782</v>
      </c>
      <c r="F6" s="350"/>
      <c r="G6" s="351"/>
      <c r="H6" s="195"/>
      <c r="I6" s="195"/>
    </row>
    <row r="7" spans="1:12" x14ac:dyDescent="0.3">
      <c r="A7" s="7"/>
      <c r="B7" s="206" t="s">
        <v>1008</v>
      </c>
      <c r="D7" s="210" t="s">
        <v>1011</v>
      </c>
      <c r="E7" s="352"/>
      <c r="F7" s="353"/>
      <c r="G7" s="354"/>
      <c r="H7" s="195"/>
      <c r="I7" s="195"/>
    </row>
    <row r="8" spans="1:12" ht="4.5" customHeight="1" x14ac:dyDescent="0.3">
      <c r="A8" s="7"/>
      <c r="B8" s="191"/>
      <c r="D8" s="192"/>
      <c r="E8" s="193"/>
      <c r="F8" s="194"/>
      <c r="G8" s="4"/>
      <c r="H8" s="11"/>
      <c r="I8" s="11"/>
    </row>
    <row r="9" spans="1:12" ht="30.75" customHeight="1" x14ac:dyDescent="0.3">
      <c r="A9" s="7"/>
      <c r="B9" s="363" t="str">
        <f ca="1">CONCATENATE('SIT.PATR._SIT.ECON.'!D3," - ",COPIA!FL1)</f>
        <v xml:space="preserve"> -  - </v>
      </c>
      <c r="C9" s="364"/>
      <c r="D9" s="364"/>
      <c r="E9" s="364"/>
      <c r="F9" s="364"/>
      <c r="G9" s="365"/>
      <c r="H9" s="362" t="str">
        <f ca="1">IF(COPIA!CO1=0,"","Riporta le informazioni di carattere finanziario nelle celle in grigio.")</f>
        <v/>
      </c>
      <c r="I9" s="362"/>
      <c r="J9" s="362"/>
      <c r="K9" s="7">
        <f ca="1">COPIA!E1</f>
        <v>0</v>
      </c>
      <c r="L9" s="7">
        <f ca="1">COPIA!F1</f>
        <v>0</v>
      </c>
    </row>
    <row r="10" spans="1:12" ht="17.25" customHeight="1" x14ac:dyDescent="0.3">
      <c r="A10" s="7"/>
      <c r="B10" s="164" t="str">
        <f ca="1">IF(INDIRECT(ADDRESS(8,6,,,"LIBRO_GIORNALE"))="","",INDIRECT(ADDRESS(8,6,,,"LIBRO_GIORNALE")))</f>
        <v/>
      </c>
      <c r="D10" s="165" t="str">
        <f ca="1">IF(INDIRECT(ADDRESS(8,7,,,"LIBRO_GIORNALE"))="","",INDIRECT(ADDRESS(8,7,,,"LIBRO_GIORNALE")))</f>
        <v/>
      </c>
      <c r="H10" s="361"/>
      <c r="I10" s="361"/>
    </row>
    <row r="11" spans="1:12" ht="17.25" customHeight="1" x14ac:dyDescent="0.3">
      <c r="A11" s="7">
        <f ca="1">COPIA!CD1-1</f>
        <v>3</v>
      </c>
      <c r="B11" s="348" t="str">
        <f ca="1">IF(COPIA!CO1=0,"",IF(AND(COPIA!$I$1=1,COPIA!$BF$9=1),CONCATENATE("STATO PATRIMONIALE in forma ordinaria al ",COPIA!$AS$1,"/",COPIA!$AT$1,"/",COPIA!$AW$1),IF(AND(COPIA!$I$1=1,COPIA!$BF$9=2),CONCATENATE("STATO PATRIMONIALE in forma abbreviata al ",COPIA!$AS$1,"/",COPIA!$AT$1,"/",COPIA!$AW$1),IF(AND(COPIA!$I$1=2,COPIA!$BF$9=1),CONCATENATE("Stralcio di STATO PATRIMONIALE in forma ordinaria al ",COPIA!$AS$1,"/",COPIA!$AT$1,"/",COPIA!$AW$1),IF(AND(COPIA!$I$1=2,COPIA!$BF$9=2),CONCATENATE("Stralcio di STATO PATRIMONIALE in forma abbreviata al ",COPIA!$AS$1,"/",COPIA!$AT$1,"/",COPIA!$AW$1))))))</f>
        <v/>
      </c>
      <c r="C11" s="348"/>
      <c r="D11" s="348"/>
      <c r="E11" s="348"/>
      <c r="F11" s="94">
        <f ca="1">COPIA!CI1</f>
        <v>11</v>
      </c>
      <c r="H11" s="347"/>
      <c r="I11" s="347"/>
      <c r="K11" s="7">
        <f ca="1">COPIA!I1</f>
        <v>1</v>
      </c>
      <c r="L11" s="7">
        <f ca="1">COPIA!I1</f>
        <v>1</v>
      </c>
    </row>
    <row r="12" spans="1:12" ht="15" customHeight="1" x14ac:dyDescent="0.3">
      <c r="A12" s="7">
        <f ca="1">MAX(COPIA!CD1,COPIA!CE1)-3</f>
        <v>1</v>
      </c>
      <c r="B12" s="131" t="str">
        <f ca="1">IF(COPIA!CO1=0,"","ATTIVO")</f>
        <v/>
      </c>
      <c r="C12" s="114" t="str">
        <f ca="1">IF(B12&lt;&gt;"","importi","")</f>
        <v/>
      </c>
      <c r="D12" s="134" t="str">
        <f ca="1">IF(COPIA!CO1=0,"","PASSIVO")</f>
        <v/>
      </c>
      <c r="E12" s="117" t="str">
        <f ca="1">IF(D12&lt;&gt;"","importi","")</f>
        <v/>
      </c>
      <c r="H12" s="137"/>
      <c r="I12" s="69"/>
    </row>
    <row r="13" spans="1:12" ht="15.9" customHeight="1" x14ac:dyDescent="0.3">
      <c r="A13" s="7">
        <f ca="1">IF(ROW()&lt;=$A$11,ROW(),0)-4</f>
        <v>-4</v>
      </c>
      <c r="B13" s="132" t="str">
        <f ca="1">IF(ROW()-9&gt;COPIA!$CI$1,SUBSTITUTE(IFERROR(INDEX(ECONOMICO,MATCH((ROWS($B$12:B13)-COPIA!$CI$2),COPIA!$CD$191:$CD$247,0),4),""),"_"," "),IF(ROW()-9&lt;=COPIA!$CI$1,CONCATENATE(IFERROR(IF(MID(CONCATENATE(SUBSTITUTE(IFERROR(INDEX(ATTIVO,MATCH(ROWS(B$13:$B13),COPIA!$CD$3:$CD$250,0),4),""),"_"," ")," ",),8,6)="di cui",CONCATENATE(SUBSTITUTE(IFERROR(INDEX(ATTIVO,MATCH(ROWS(B$13:$B13),COPIA!$CD$3:$CD$250,0),4),""),"_"," ")," ",FIXED(IFERROR(INDEX(ATTIVO,MATCH(ROW()-12,COPIA!$CD$3:$CD$250,0),2),""),,FALSE)," euro"),SUBSTITUTE(IFERROR(INDEX(ATTIVO,MATCH(ROWS(B$13:$B13),COPIA!$CD$3:$CD$250,0),4),""),"_"," ")),"")),""))</f>
        <v/>
      </c>
      <c r="C13" s="115" t="str">
        <f ca="1">IF(IFERROR(IF(ROW()-9&gt;COPIA!$CI$1,INDEX(ECONOMICO,MATCH((ROWS($B$12:B13)-COPIA!$CI$2),COPIA!$CD$191:$CD$247,0),5),INDEX(ATTIVO,MATCH(ROWS($C$13:C13),COPIA!$CD$3:$CD$250,0),5)),0)=0,"",IFERROR(IF(ROW()-9&gt;COPIA!$CI$1,INDEX(ECONOMICO,MATCH((ROWS($B$12:B13)-COPIA!$CI$2),COPIA!$CD$191:$CD$247,0),5),INDEX(ATTIVO,MATCH(ROWS($C$13:C13),COPIA!$CD$3:$CD$250,0),5)),0))</f>
        <v/>
      </c>
      <c r="D13" s="135" t="str">
        <f ca="1">CONCATENATE(IFERROR(IF(MID(CONCATENATE(SUBSTITUTE(IFERROR(INDEX(PASSIVO,MATCH(ROWS(D$13:$D13),COPIA!$CD$105:$CD$189,0),4),""),"_"," ")," ",),8,6)="di cui",CONCATENATE(SUBSTITUTE(IFERROR(INDEX(PASSIVO,MATCH(ROWS(D$13:$D13),COPIA!$CD$105:$CD$189,0),4),""),"_"," ")," ",FIXED(IFERROR(INDEX(PASSIVO,MATCH(ROW()-12,COPIA!$CD$105:$CD$189,0),2),""),,FALSE)," euro"),SUBSTITUTE(IFERROR(INDEX(PASSIVO,MATCH(ROWS($D$13:$D13),COPIA!$CD$105:$CD$189,0),4),""),"_"," ")),""))</f>
        <v/>
      </c>
      <c r="E13" s="115" t="str">
        <f ca="1">IF(IFERROR(INDEX(PASSIVO,MATCH(ROWS($E$13:E13),COPIA!$CD$105:$CD$189,0),5),0)=0,"",IFERROR(INDEX(PASSIVO,MATCH(ROWS($E$13:E13),COPIA!$CD$105:$CD$189,0),5),0))</f>
        <v/>
      </c>
      <c r="F13" s="159"/>
      <c r="H13" s="137" t="str">
        <f ca="1">SUBSTITUTE(IFERROR(INDEX(COPIA!$CG$22:$CK$187,MATCH(ROWS($H$13:H13),COPIA!$CK$22:$CK$187,0),1),""),"_"," ")</f>
        <v/>
      </c>
      <c r="I13" s="71"/>
      <c r="J13" s="7" t="str">
        <f ca="1">IFERROR(INDEX(COPIA!$CK$22:$CL$187,MATCH(ROWS(BILANCIO!$J$13:J13),COPIA!$CK$22:$CK$187,0),2),"")</f>
        <v/>
      </c>
    </row>
    <row r="14" spans="1:12" ht="15.9" customHeight="1" x14ac:dyDescent="0.3">
      <c r="A14" s="7">
        <f t="shared" ref="A14:A77" ca="1" si="0">IF(ROW()&lt;=$A$11,ROW(),0)</f>
        <v>0</v>
      </c>
      <c r="B14" s="132" t="str">
        <f ca="1">IF(ROW()-9&gt;COPIA!$CI$1,SUBSTITUTE(IFERROR(INDEX(ECONOMICO,MATCH((ROWS($B$12:B14)-COPIA!$CI$2),COPIA!$CD$191:$CD$247,0),4),""),"_"," "),IF(ROW()-9&lt;=COPIA!$CI$1,CONCATENATE(IFERROR(IF(MID(CONCATENATE(SUBSTITUTE(IFERROR(INDEX(ATTIVO,MATCH(ROWS(B$13:$B14),COPIA!$CD$3:$CD$250,0),4),""),"_"," ")," ",),8,6)="di cui",CONCATENATE(SUBSTITUTE(IFERROR(INDEX(ATTIVO,MATCH(ROWS(B$13:$B14),COPIA!$CD$3:$CD$250,0),4),""),"_"," ")," ",FIXED(IFERROR(INDEX(ATTIVO,MATCH(ROW()-12,COPIA!$CD$3:$CD$250,0),2),""),,FALSE)," euro"),SUBSTITUTE(IFERROR(INDEX(ATTIVO,MATCH(ROWS(B$13:$B14),COPIA!$CD$3:$CD$250,0),4),""),"_"," ")),"")),""))</f>
        <v/>
      </c>
      <c r="C14" s="115" t="str">
        <f ca="1">IF(IFERROR(IF(ROW()-9&gt;COPIA!$CI$1,INDEX(ECONOMICO,MATCH((ROWS($B$12:B14)-COPIA!$CI$2),COPIA!$CD$191:$CD$247,0),5),INDEX(ATTIVO,MATCH(ROWS($C$13:C14),COPIA!$CD$3:$CD$250,0),5)),0)=0,"",IFERROR(IF(ROW()-9&gt;COPIA!$CI$1,INDEX(ECONOMICO,MATCH((ROWS($B$12:B14)-COPIA!$CI$2),COPIA!$CD$191:$CD$247,0),5),INDEX(ATTIVO,MATCH(ROWS($C$13:C14),COPIA!$CD$3:$CD$250,0),5)),0))</f>
        <v/>
      </c>
      <c r="D14" s="135" t="str">
        <f ca="1">CONCATENATE(IFERROR(IF(MID(CONCATENATE(SUBSTITUTE(IFERROR(INDEX(PASSIVO,MATCH(ROWS(D$13:$D14),COPIA!$CD$105:$CD$189,0),4),""),"_"," ")," ",),8,6)="di cui",CONCATENATE(SUBSTITUTE(IFERROR(INDEX(PASSIVO,MATCH(ROWS(D$13:$D14),COPIA!$CD$105:$CD$189,0),4),""),"_"," ")," ",FIXED(IFERROR(INDEX(PASSIVO,MATCH(ROW()-12,COPIA!$CD$105:$CD$189,0),2),""),,FALSE)," euro"),SUBSTITUTE(IFERROR(INDEX(PASSIVO,MATCH(ROWS($D$13:$D14),COPIA!$CD$105:$CD$189,0),4),""),"_"," ")),""))</f>
        <v/>
      </c>
      <c r="E14" s="115" t="str">
        <f ca="1">IF(IFERROR(INDEX(PASSIVO,MATCH(ROWS($E$13:E14),COPIA!$CD$105:$CD$189,0),5),0)=0,"",IFERROR(INDEX(PASSIVO,MATCH(ROWS($E$13:E14),COPIA!$CD$105:$CD$189,0),5),0))</f>
        <v/>
      </c>
      <c r="F14" s="159"/>
      <c r="H14" s="137" t="str">
        <f ca="1">SUBSTITUTE(IFERROR(INDEX(COPIA!$CG$22:$CK$187,MATCH(ROWS($H$13:H14),COPIA!$CK$22:$CK$187,0),1),""),"_"," ")</f>
        <v/>
      </c>
      <c r="I14" s="71"/>
      <c r="J14" s="7" t="str">
        <f ca="1">IFERROR(INDEX(COPIA!$CK$22:$CL$187,MATCH(ROWS(BILANCIO!$J$13:J14),COPIA!$CK$22:$CK$187,0),2),"")</f>
        <v/>
      </c>
    </row>
    <row r="15" spans="1:12" ht="15.9" customHeight="1" x14ac:dyDescent="0.3">
      <c r="A15" s="7">
        <f t="shared" ca="1" si="0"/>
        <v>0</v>
      </c>
      <c r="B15" s="132" t="str">
        <f ca="1">IF(ROW()-9&gt;COPIA!$CI$1,SUBSTITUTE(IFERROR(INDEX(ECONOMICO,MATCH((ROWS($B$12:B15)-COPIA!$CI$2),COPIA!$CD$191:$CD$247,0),4),""),"_"," "),IF(ROW()-9&lt;=COPIA!$CI$1,CONCATENATE(IFERROR(IF(MID(CONCATENATE(SUBSTITUTE(IFERROR(INDEX(ATTIVO,MATCH(ROWS(B$13:$B15),COPIA!$CD$3:$CD$250,0),4),""),"_"," ")," ",),8,6)="di cui",CONCATENATE(SUBSTITUTE(IFERROR(INDEX(ATTIVO,MATCH(ROWS(B$13:$B15),COPIA!$CD$3:$CD$250,0),4),""),"_"," ")," ",FIXED(IFERROR(INDEX(ATTIVO,MATCH(ROW()-12,COPIA!$CD$3:$CD$250,0),2),""),,FALSE)," euro"),SUBSTITUTE(IFERROR(INDEX(ATTIVO,MATCH(ROWS(B$13:$B15),COPIA!$CD$3:$CD$250,0),4),""),"_"," ")),"")),""))</f>
        <v/>
      </c>
      <c r="C15" s="115" t="str">
        <f ca="1">IF(IFERROR(IF(ROW()-9&gt;COPIA!$CI$1,INDEX(ECONOMICO,MATCH((ROWS($B$12:B15)-COPIA!$CI$2),COPIA!$CD$191:$CD$247,0),5),INDEX(ATTIVO,MATCH(ROWS($C$13:C15),COPIA!$CD$3:$CD$250,0),5)),0)=0,"",IFERROR(IF(ROW()-9&gt;COPIA!$CI$1,INDEX(ECONOMICO,MATCH((ROWS($B$12:B15)-COPIA!$CI$2),COPIA!$CD$191:$CD$247,0),5),INDEX(ATTIVO,MATCH(ROWS($C$13:C15),COPIA!$CD$3:$CD$250,0),5)),0))</f>
        <v/>
      </c>
      <c r="D15" s="135" t="str">
        <f ca="1">CONCATENATE(IFERROR(IF(MID(CONCATENATE(SUBSTITUTE(IFERROR(INDEX(PASSIVO,MATCH(ROWS(D$13:$D15),COPIA!$CD$105:$CD$189,0),4),""),"_"," ")," ",),8,6)="di cui",CONCATENATE(SUBSTITUTE(IFERROR(INDEX(PASSIVO,MATCH(ROWS(D$13:$D15),COPIA!$CD$105:$CD$189,0),4),""),"_"," ")," ",FIXED(IFERROR(INDEX(PASSIVO,MATCH(ROW()-12,COPIA!$CD$105:$CD$189,0),2),""),,FALSE)," euro"),SUBSTITUTE(IFERROR(INDEX(PASSIVO,MATCH(ROWS($D$13:$D15),COPIA!$CD$105:$CD$189,0),4),""),"_"," ")),""))</f>
        <v/>
      </c>
      <c r="E15" s="115" t="str">
        <f ca="1">IF(IFERROR(INDEX(PASSIVO,MATCH(ROWS($E$13:E15),COPIA!$CD$105:$CD$189,0),5),0)=0,"",IFERROR(INDEX(PASSIVO,MATCH(ROWS($E$13:E15),COPIA!$CD$105:$CD$189,0),5),0))</f>
        <v/>
      </c>
      <c r="F15" s="159"/>
      <c r="H15" s="137" t="str">
        <f ca="1">SUBSTITUTE(IFERROR(INDEX(COPIA!$CG$22:$CK$187,MATCH(ROWS($H$13:H15),COPIA!$CK$22:$CK$187,0),1),""),"_"," ")</f>
        <v/>
      </c>
      <c r="I15" s="71"/>
      <c r="J15" s="7" t="str">
        <f ca="1">IFERROR(INDEX(COPIA!$CK$22:$CL$187,MATCH(ROWS(BILANCIO!$J$13:J15),COPIA!$CK$22:$CK$187,0),2),"")</f>
        <v/>
      </c>
    </row>
    <row r="16" spans="1:12" ht="15.9" customHeight="1" x14ac:dyDescent="0.3">
      <c r="A16" s="7">
        <f t="shared" ca="1" si="0"/>
        <v>0</v>
      </c>
      <c r="B16" s="132" t="str">
        <f ca="1">IF(ROW()-9&gt;COPIA!$CI$1,SUBSTITUTE(IFERROR(INDEX(ECONOMICO,MATCH((ROWS($B$12:B16)-COPIA!$CI$2),COPIA!$CD$191:$CD$247,0),4),""),"_"," "),IF(ROW()-9&lt;=COPIA!$CI$1,CONCATENATE(IFERROR(IF(MID(CONCATENATE(SUBSTITUTE(IFERROR(INDEX(ATTIVO,MATCH(ROWS(B$13:$B16),COPIA!$CD$3:$CD$250,0),4),""),"_"," ")," ",),8,6)="di cui",CONCATENATE(SUBSTITUTE(IFERROR(INDEX(ATTIVO,MATCH(ROWS(B$13:$B16),COPIA!$CD$3:$CD$250,0),4),""),"_"," ")," ",FIXED(IFERROR(INDEX(ATTIVO,MATCH(ROW()-12,COPIA!$CD$3:$CD$250,0),2),""),,FALSE)," euro"),SUBSTITUTE(IFERROR(INDEX(ATTIVO,MATCH(ROWS(B$13:$B16),COPIA!$CD$3:$CD$250,0),4),""),"_"," ")),"")),""))</f>
        <v/>
      </c>
      <c r="C16" s="115" t="str">
        <f ca="1">IF(IFERROR(IF(ROW()-9&gt;COPIA!$CI$1,INDEX(ECONOMICO,MATCH((ROWS($B$12:B16)-COPIA!$CI$2),COPIA!$CD$191:$CD$247,0),5),INDEX(ATTIVO,MATCH(ROWS($C$13:C16),COPIA!$CD$3:$CD$250,0),5)),0)=0,"",IFERROR(IF(ROW()-9&gt;COPIA!$CI$1,INDEX(ECONOMICO,MATCH((ROWS($B$12:B16)-COPIA!$CI$2),COPIA!$CD$191:$CD$247,0),5),INDEX(ATTIVO,MATCH(ROWS($C$13:C16),COPIA!$CD$3:$CD$250,0),5)),0))</f>
        <v/>
      </c>
      <c r="D16" s="135" t="str">
        <f ca="1">CONCATENATE(IFERROR(IF(MID(CONCATENATE(SUBSTITUTE(IFERROR(INDEX(PASSIVO,MATCH(ROWS(D$13:$D16),COPIA!$CD$105:$CD$189,0),4),""),"_"," ")," ",),8,6)="di cui",CONCATENATE(SUBSTITUTE(IFERROR(INDEX(PASSIVO,MATCH(ROWS(D$13:$D16),COPIA!$CD$105:$CD$189,0),4),""),"_"," ")," ",FIXED(IFERROR(INDEX(PASSIVO,MATCH(ROW()-12,COPIA!$CD$105:$CD$189,0),2),""),,FALSE)," euro"),SUBSTITUTE(IFERROR(INDEX(PASSIVO,MATCH(ROWS($D$13:$D16),COPIA!$CD$105:$CD$189,0),4),""),"_"," ")),""))</f>
        <v/>
      </c>
      <c r="E16" s="115" t="str">
        <f ca="1">IF(IFERROR(INDEX(PASSIVO,MATCH(ROWS($E$13:E16),COPIA!$CD$105:$CD$189,0),5),0)=0,"",IFERROR(INDEX(PASSIVO,MATCH(ROWS($E$13:E16),COPIA!$CD$105:$CD$189,0),5),0))</f>
        <v/>
      </c>
      <c r="F16" s="159"/>
      <c r="H16" s="137" t="str">
        <f ca="1">SUBSTITUTE(IFERROR(INDEX(COPIA!$CG$22:$CK$187,MATCH(ROWS($H$13:H16),COPIA!$CK$22:$CK$187,0),1),""),"_"," ")</f>
        <v/>
      </c>
      <c r="I16" s="71"/>
      <c r="J16" s="7" t="str">
        <f ca="1">IFERROR(INDEX(COPIA!$CK$22:$CL$187,MATCH(ROWS(BILANCIO!$J$13:J16),COPIA!$CK$22:$CK$187,0),2),"")</f>
        <v/>
      </c>
    </row>
    <row r="17" spans="1:10" ht="15.9" customHeight="1" x14ac:dyDescent="0.3">
      <c r="A17" s="7">
        <f t="shared" ca="1" si="0"/>
        <v>0</v>
      </c>
      <c r="B17" s="132" t="str">
        <f ca="1">IF(ROW()-9&gt;COPIA!$CI$1,SUBSTITUTE(IFERROR(INDEX(ECONOMICO,MATCH((ROWS($B$12:B17)-COPIA!$CI$2),COPIA!$CD$191:$CD$247,0),4),""),"_"," "),IF(ROW()-9&lt;=COPIA!$CI$1,CONCATENATE(IFERROR(IF(MID(CONCATENATE(SUBSTITUTE(IFERROR(INDEX(ATTIVO,MATCH(ROWS(B$13:$B17),COPIA!$CD$3:$CD$250,0),4),""),"_"," ")," ",),8,6)="di cui",CONCATENATE(SUBSTITUTE(IFERROR(INDEX(ATTIVO,MATCH(ROWS(B$13:$B17),COPIA!$CD$3:$CD$250,0),4),""),"_"," ")," ",FIXED(IFERROR(INDEX(ATTIVO,MATCH(ROW()-12,COPIA!$CD$3:$CD$250,0),2),""),,FALSE)," euro"),SUBSTITUTE(IFERROR(INDEX(ATTIVO,MATCH(ROWS(B$13:$B17),COPIA!$CD$3:$CD$250,0),4),""),"_"," ")),"")),""))</f>
        <v/>
      </c>
      <c r="C17" s="115" t="str">
        <f ca="1">IF(IFERROR(IF(ROW()-9&gt;COPIA!$CI$1,INDEX(ECONOMICO,MATCH((ROWS($B$12:B17)-COPIA!$CI$2),COPIA!$CD$191:$CD$247,0),5),INDEX(ATTIVO,MATCH(ROWS($C$13:C17),COPIA!$CD$3:$CD$250,0),5)),0)=0,"",IFERROR(IF(ROW()-9&gt;COPIA!$CI$1,INDEX(ECONOMICO,MATCH((ROWS($B$12:B17)-COPIA!$CI$2),COPIA!$CD$191:$CD$247,0),5),INDEX(ATTIVO,MATCH(ROWS($C$13:C17),COPIA!$CD$3:$CD$250,0),5)),0))</f>
        <v/>
      </c>
      <c r="D17" s="135" t="str">
        <f ca="1">CONCATENATE(IFERROR(IF(MID(CONCATENATE(SUBSTITUTE(IFERROR(INDEX(PASSIVO,MATCH(ROWS(D$13:$D17),COPIA!$CD$105:$CD$189,0),4),""),"_"," ")," ",),8,6)="di cui",CONCATENATE(SUBSTITUTE(IFERROR(INDEX(PASSIVO,MATCH(ROWS(D$13:$D17),COPIA!$CD$105:$CD$189,0),4),""),"_"," ")," ",FIXED(IFERROR(INDEX(PASSIVO,MATCH(ROW()-12,COPIA!$CD$105:$CD$189,0),2),""),,FALSE)," euro"),SUBSTITUTE(IFERROR(INDEX(PASSIVO,MATCH(ROWS($D$13:$D17),COPIA!$CD$105:$CD$189,0),4),""),"_"," ")),""))</f>
        <v/>
      </c>
      <c r="E17" s="115" t="str">
        <f ca="1">IF(IFERROR(INDEX(PASSIVO,MATCH(ROWS($E$13:E17),COPIA!$CD$105:$CD$189,0),5),0)=0,"",IFERROR(INDEX(PASSIVO,MATCH(ROWS($E$13:E17),COPIA!$CD$105:$CD$189,0),5),0))</f>
        <v/>
      </c>
      <c r="F17" s="159"/>
      <c r="H17" s="137" t="str">
        <f ca="1">SUBSTITUTE(IFERROR(INDEX(COPIA!$CG$22:$CK$187,MATCH(ROWS($H$13:H17),COPIA!$CK$22:$CK$187,0),1),""),"_"," ")</f>
        <v/>
      </c>
      <c r="I17" s="71"/>
      <c r="J17" s="7" t="str">
        <f ca="1">IFERROR(INDEX(COPIA!$CK$22:$CL$187,MATCH(ROWS(BILANCIO!$J$13:J17),COPIA!$CK$22:$CK$187,0),2),"")</f>
        <v/>
      </c>
    </row>
    <row r="18" spans="1:10" ht="15.9" customHeight="1" x14ac:dyDescent="0.3">
      <c r="A18" s="7">
        <f t="shared" ca="1" si="0"/>
        <v>0</v>
      </c>
      <c r="B18" s="132" t="str">
        <f ca="1">IF(ROW()-9&gt;COPIA!$CI$1,SUBSTITUTE(IFERROR(INDEX(ECONOMICO,MATCH((ROWS($B$12:B18)-COPIA!$CI$2),COPIA!$CD$191:$CD$247,0),4),""),"_"," "),IF(ROW()-9&lt;=COPIA!$CI$1,CONCATENATE(IFERROR(IF(MID(CONCATENATE(SUBSTITUTE(IFERROR(INDEX(ATTIVO,MATCH(ROWS(B$13:$B18),COPIA!$CD$3:$CD$250,0),4),""),"_"," ")," ",),8,6)="di cui",CONCATENATE(SUBSTITUTE(IFERROR(INDEX(ATTIVO,MATCH(ROWS(B$13:$B18),COPIA!$CD$3:$CD$250,0),4),""),"_"," ")," ",FIXED(IFERROR(INDEX(ATTIVO,MATCH(ROW()-12,COPIA!$CD$3:$CD$250,0),2),""),,FALSE)," euro"),SUBSTITUTE(IFERROR(INDEX(ATTIVO,MATCH(ROWS(B$13:$B18),COPIA!$CD$3:$CD$250,0),4),""),"_"," ")),"")),""))</f>
        <v/>
      </c>
      <c r="C18" s="115" t="str">
        <f ca="1">IF(IFERROR(IF(ROW()-9&gt;COPIA!$CI$1,INDEX(ECONOMICO,MATCH((ROWS($B$12:B18)-COPIA!$CI$2),COPIA!$CD$191:$CD$247,0),5),INDEX(ATTIVO,MATCH(ROWS($C$13:C18),COPIA!$CD$3:$CD$250,0),5)),0)=0,"",IFERROR(IF(ROW()-9&gt;COPIA!$CI$1,INDEX(ECONOMICO,MATCH((ROWS($B$12:B18)-COPIA!$CI$2),COPIA!$CD$191:$CD$247,0),5),INDEX(ATTIVO,MATCH(ROWS($C$13:C18),COPIA!$CD$3:$CD$250,0),5)),0))</f>
        <v/>
      </c>
      <c r="D18" s="135" t="str">
        <f ca="1">CONCATENATE(IFERROR(IF(MID(CONCATENATE(SUBSTITUTE(IFERROR(INDEX(PASSIVO,MATCH(ROWS(D$13:$D18),COPIA!$CD$105:$CD$189,0),4),""),"_"," ")," ",),8,6)="di cui",CONCATENATE(SUBSTITUTE(IFERROR(INDEX(PASSIVO,MATCH(ROWS(D$13:$D18),COPIA!$CD$105:$CD$189,0),4),""),"_"," ")," ",FIXED(IFERROR(INDEX(PASSIVO,MATCH(ROW()-12,COPIA!$CD$105:$CD$189,0),2),""),,FALSE)," euro"),SUBSTITUTE(IFERROR(INDEX(PASSIVO,MATCH(ROWS($D$13:$D18),COPIA!$CD$105:$CD$189,0),4),""),"_"," ")),""))</f>
        <v/>
      </c>
      <c r="E18" s="115" t="str">
        <f ca="1">IF(IFERROR(INDEX(PASSIVO,MATCH(ROWS($E$13:E18),COPIA!$CD$105:$CD$189,0),5),0)=0,"",IFERROR(INDEX(PASSIVO,MATCH(ROWS($E$13:E18),COPIA!$CD$105:$CD$189,0),5),0))</f>
        <v/>
      </c>
      <c r="F18" s="159"/>
      <c r="H18" s="137" t="str">
        <f ca="1">SUBSTITUTE(IFERROR(INDEX(COPIA!$CG$22:$CK$187,MATCH(ROWS($H$13:H18),COPIA!$CK$22:$CK$187,0),1),""),"_"," ")</f>
        <v/>
      </c>
      <c r="I18" s="71"/>
      <c r="J18" s="7" t="str">
        <f ca="1">IFERROR(INDEX(COPIA!$CK$22:$CL$187,MATCH(ROWS(BILANCIO!$J$13:J18),COPIA!$CK$22:$CK$187,0),2),"")</f>
        <v/>
      </c>
    </row>
    <row r="19" spans="1:10" ht="15.9" customHeight="1" x14ac:dyDescent="0.3">
      <c r="A19" s="7">
        <f t="shared" ca="1" si="0"/>
        <v>0</v>
      </c>
      <c r="B19" s="132" t="str">
        <f ca="1">IF(ROW()-9&gt;COPIA!$CI$1,SUBSTITUTE(IFERROR(INDEX(ECONOMICO,MATCH((ROWS($B$12:B19)-COPIA!$CI$2),COPIA!$CD$191:$CD$247,0),4),""),"_"," "),IF(ROW()-9&lt;=COPIA!$CI$1,CONCATENATE(IFERROR(IF(MID(CONCATENATE(SUBSTITUTE(IFERROR(INDEX(ATTIVO,MATCH(ROWS(B$13:$B19),COPIA!$CD$3:$CD$250,0),4),""),"_"," ")," ",),8,6)="di cui",CONCATENATE(SUBSTITUTE(IFERROR(INDEX(ATTIVO,MATCH(ROWS(B$13:$B19),COPIA!$CD$3:$CD$250,0),4),""),"_"," ")," ",FIXED(IFERROR(INDEX(ATTIVO,MATCH(ROW()-12,COPIA!$CD$3:$CD$250,0),2),""),,FALSE)," euro"),SUBSTITUTE(IFERROR(INDEX(ATTIVO,MATCH(ROWS(B$13:$B19),COPIA!$CD$3:$CD$250,0),4),""),"_"," ")),"")),""))</f>
        <v/>
      </c>
      <c r="C19" s="115" t="str">
        <f ca="1">IF(IFERROR(IF(ROW()-9&gt;COPIA!$CI$1,INDEX(ECONOMICO,MATCH((ROWS($B$12:B19)-COPIA!$CI$2),COPIA!$CD$191:$CD$247,0),5),INDEX(ATTIVO,MATCH(ROWS($C$13:C19),COPIA!$CD$3:$CD$250,0),5)),0)=0,"",IFERROR(IF(ROW()-9&gt;COPIA!$CI$1,INDEX(ECONOMICO,MATCH((ROWS($B$12:B19)-COPIA!$CI$2),COPIA!$CD$191:$CD$247,0),5),INDEX(ATTIVO,MATCH(ROWS($C$13:C19),COPIA!$CD$3:$CD$250,0),5)),0))</f>
        <v/>
      </c>
      <c r="D19" s="135" t="str">
        <f ca="1">CONCATENATE(IFERROR(IF(MID(CONCATENATE(SUBSTITUTE(IFERROR(INDEX(PASSIVO,MATCH(ROWS(D$13:$D19),COPIA!$CD$105:$CD$189,0),4),""),"_"," ")," ",),8,6)="di cui",CONCATENATE(SUBSTITUTE(IFERROR(INDEX(PASSIVO,MATCH(ROWS(D$13:$D19),COPIA!$CD$105:$CD$189,0),4),""),"_"," ")," ",FIXED(IFERROR(INDEX(PASSIVO,MATCH(ROW()-12,COPIA!$CD$105:$CD$189,0),2),""),,FALSE)," euro"),SUBSTITUTE(IFERROR(INDEX(PASSIVO,MATCH(ROWS($D$13:$D19),COPIA!$CD$105:$CD$189,0),4),""),"_"," ")),""))</f>
        <v/>
      </c>
      <c r="E19" s="115" t="str">
        <f ca="1">IF(IFERROR(INDEX(PASSIVO,MATCH(ROWS($E$13:E19),COPIA!$CD$105:$CD$189,0),5),0)=0,"",IFERROR(INDEX(PASSIVO,MATCH(ROWS($E$13:E19),COPIA!$CD$105:$CD$189,0),5),0))</f>
        <v/>
      </c>
      <c r="F19" s="159"/>
      <c r="H19" s="137" t="str">
        <f ca="1">SUBSTITUTE(IFERROR(INDEX(COPIA!$CG$22:$CK$187,MATCH(ROWS($H$13:H19),COPIA!$CK$22:$CK$187,0),1),""),"_"," ")</f>
        <v/>
      </c>
      <c r="I19" s="71"/>
      <c r="J19" s="7" t="str">
        <f ca="1">IFERROR(INDEX(COPIA!$CK$22:$CL$187,MATCH(ROWS(BILANCIO!$J$13:J19),COPIA!$CK$22:$CK$187,0),2),"")</f>
        <v/>
      </c>
    </row>
    <row r="20" spans="1:10" ht="15.9" customHeight="1" x14ac:dyDescent="0.3">
      <c r="A20" s="7">
        <f t="shared" ca="1" si="0"/>
        <v>0</v>
      </c>
      <c r="B20" s="132" t="str">
        <f ca="1">IF(ROW()-9&gt;COPIA!$CI$1,SUBSTITUTE(IFERROR(INDEX(ECONOMICO,MATCH((ROWS($B$12:B20)-COPIA!$CI$2),COPIA!$CD$191:$CD$247,0),4),""),"_"," "),IF(ROW()-9&lt;=COPIA!$CI$1,CONCATENATE(IFERROR(IF(MID(CONCATENATE(SUBSTITUTE(IFERROR(INDEX(ATTIVO,MATCH(ROWS(B$13:$B20),COPIA!$CD$3:$CD$250,0),4),""),"_"," ")," ",),8,6)="di cui",CONCATENATE(SUBSTITUTE(IFERROR(INDEX(ATTIVO,MATCH(ROWS(B$13:$B20),COPIA!$CD$3:$CD$250,0),4),""),"_"," ")," ",FIXED(IFERROR(INDEX(ATTIVO,MATCH(ROW()-12,COPIA!$CD$3:$CD$250,0),2),""),,FALSE)," euro"),SUBSTITUTE(IFERROR(INDEX(ATTIVO,MATCH(ROWS(B$13:$B20),COPIA!$CD$3:$CD$250,0),4),""),"_"," ")),"")),""))</f>
        <v/>
      </c>
      <c r="C20" s="115" t="str">
        <f ca="1">IF(IFERROR(IF(ROW()-9&gt;COPIA!$CI$1,INDEX(ECONOMICO,MATCH((ROWS($B$12:B20)-COPIA!$CI$2),COPIA!$CD$191:$CD$247,0),5),INDEX(ATTIVO,MATCH(ROWS($C$13:C20),COPIA!$CD$3:$CD$250,0),5)),0)=0,"",IFERROR(IF(ROW()-9&gt;COPIA!$CI$1,INDEX(ECONOMICO,MATCH((ROWS($B$12:B20)-COPIA!$CI$2),COPIA!$CD$191:$CD$247,0),5),INDEX(ATTIVO,MATCH(ROWS($C$13:C20),COPIA!$CD$3:$CD$250,0),5)),0))</f>
        <v/>
      </c>
      <c r="D20" s="135" t="str">
        <f ca="1">CONCATENATE(IFERROR(IF(MID(CONCATENATE(SUBSTITUTE(IFERROR(INDEX(PASSIVO,MATCH(ROWS(D$13:$D20),COPIA!$CD$105:$CD$189,0),4),""),"_"," ")," ",),8,6)="di cui",CONCATENATE(SUBSTITUTE(IFERROR(INDEX(PASSIVO,MATCH(ROWS(D$13:$D20),COPIA!$CD$105:$CD$189,0),4),""),"_"," ")," ",FIXED(IFERROR(INDEX(PASSIVO,MATCH(ROW()-12,COPIA!$CD$105:$CD$189,0),2),""),,FALSE)," euro"),SUBSTITUTE(IFERROR(INDEX(PASSIVO,MATCH(ROWS($D$13:$D20),COPIA!$CD$105:$CD$189,0),4),""),"_"," ")),""))</f>
        <v/>
      </c>
      <c r="E20" s="115" t="str">
        <f ca="1">IF(IFERROR(INDEX(PASSIVO,MATCH(ROWS($E$13:E20),COPIA!$CD$105:$CD$189,0),5),0)=0,"",IFERROR(INDEX(PASSIVO,MATCH(ROWS($E$13:E20),COPIA!$CD$105:$CD$189,0),5),0))</f>
        <v/>
      </c>
      <c r="F20" s="159"/>
      <c r="H20" s="137" t="str">
        <f ca="1">SUBSTITUTE(IFERROR(INDEX(COPIA!$CG$22:$CK$187,MATCH(ROWS($H$13:H20),COPIA!$CK$22:$CK$187,0),1),""),"_"," ")</f>
        <v/>
      </c>
      <c r="I20" s="71"/>
      <c r="J20" s="7" t="str">
        <f ca="1">IFERROR(INDEX(COPIA!$CK$22:$CL$187,MATCH(ROWS(BILANCIO!$J$13:J20),COPIA!$CK$22:$CK$187,0),2),"")</f>
        <v/>
      </c>
    </row>
    <row r="21" spans="1:10" ht="15.9" customHeight="1" x14ac:dyDescent="0.3">
      <c r="A21" s="7">
        <f t="shared" ca="1" si="0"/>
        <v>0</v>
      </c>
      <c r="B21" s="132" t="str">
        <f ca="1">IF(ROW()-9&gt;COPIA!$CI$1,SUBSTITUTE(IFERROR(INDEX(ECONOMICO,MATCH((ROWS($B$12:B21)-COPIA!$CI$2),COPIA!$CD$191:$CD$247,0),4),""),"_"," "),IF(ROW()-9&lt;=COPIA!$CI$1,CONCATENATE(IFERROR(IF(MID(CONCATENATE(SUBSTITUTE(IFERROR(INDEX(ATTIVO,MATCH(ROWS(B$13:$B21),COPIA!$CD$3:$CD$250,0),4),""),"_"," ")," ",),8,6)="di cui",CONCATENATE(SUBSTITUTE(IFERROR(INDEX(ATTIVO,MATCH(ROWS(B$13:$B21),COPIA!$CD$3:$CD$250,0),4),""),"_"," ")," ",FIXED(IFERROR(INDEX(ATTIVO,MATCH(ROW()-12,COPIA!$CD$3:$CD$250,0),2),""),,FALSE)," euro"),SUBSTITUTE(IFERROR(INDEX(ATTIVO,MATCH(ROWS(B$13:$B21),COPIA!$CD$3:$CD$250,0),4),""),"_"," ")),"")),""))</f>
        <v/>
      </c>
      <c r="C21" s="115" t="str">
        <f ca="1">IF(IFERROR(IF(ROW()-9&gt;COPIA!$CI$1,INDEX(ECONOMICO,MATCH((ROWS($B$12:B21)-COPIA!$CI$2),COPIA!$CD$191:$CD$247,0),5),INDEX(ATTIVO,MATCH(ROWS($C$13:C21),COPIA!$CD$3:$CD$250,0),5)),0)=0,"",IFERROR(IF(ROW()-9&gt;COPIA!$CI$1,INDEX(ECONOMICO,MATCH((ROWS($B$12:B21)-COPIA!$CI$2),COPIA!$CD$191:$CD$247,0),5),INDEX(ATTIVO,MATCH(ROWS($C$13:C21),COPIA!$CD$3:$CD$250,0),5)),0))</f>
        <v/>
      </c>
      <c r="D21" s="135" t="str">
        <f ca="1">CONCATENATE(IFERROR(IF(MID(CONCATENATE(SUBSTITUTE(IFERROR(INDEX(PASSIVO,MATCH(ROWS(D$13:$D21),COPIA!$CD$105:$CD$189,0),4),""),"_"," ")," ",),8,6)="di cui",CONCATENATE(SUBSTITUTE(IFERROR(INDEX(PASSIVO,MATCH(ROWS(D$13:$D21),COPIA!$CD$105:$CD$189,0),4),""),"_"," ")," ",FIXED(IFERROR(INDEX(PASSIVO,MATCH(ROW()-12,COPIA!$CD$105:$CD$189,0),2),""),,FALSE)," euro"),SUBSTITUTE(IFERROR(INDEX(PASSIVO,MATCH(ROWS($D$13:$D21),COPIA!$CD$105:$CD$189,0),4),""),"_"," ")),""))</f>
        <v/>
      </c>
      <c r="E21" s="115" t="str">
        <f ca="1">IF(IFERROR(INDEX(PASSIVO,MATCH(ROWS($E$13:E21),COPIA!$CD$105:$CD$189,0),5),0)=0,"",IFERROR(INDEX(PASSIVO,MATCH(ROWS($E$13:E21),COPIA!$CD$105:$CD$189,0),5),0))</f>
        <v/>
      </c>
      <c r="F21" s="159"/>
      <c r="H21" s="137" t="str">
        <f ca="1">SUBSTITUTE(IFERROR(INDEX(COPIA!$CG$22:$CK$187,MATCH(ROWS($H$13:H21),COPIA!$CK$22:$CK$187,0),1),""),"_"," ")</f>
        <v/>
      </c>
      <c r="I21" s="71"/>
      <c r="J21" s="7" t="str">
        <f ca="1">IFERROR(INDEX(COPIA!$CK$22:$CL$187,MATCH(ROWS(BILANCIO!$J$13:J21),COPIA!$CK$22:$CK$187,0),2),"")</f>
        <v/>
      </c>
    </row>
    <row r="22" spans="1:10" ht="15.9" customHeight="1" x14ac:dyDescent="0.3">
      <c r="A22" s="7">
        <f t="shared" ca="1" si="0"/>
        <v>0</v>
      </c>
      <c r="B22" s="132" t="str">
        <f ca="1">IF(ROW()-9&gt;COPIA!$CI$1,SUBSTITUTE(IFERROR(INDEX(ECONOMICO,MATCH((ROWS($B$12:B22)-COPIA!$CI$2),COPIA!$CD$191:$CD$247,0),4),""),"_"," "),IF(ROW()-9&lt;=COPIA!$CI$1,CONCATENATE(IFERROR(IF(MID(CONCATENATE(SUBSTITUTE(IFERROR(INDEX(ATTIVO,MATCH(ROWS(B$13:$B22),COPIA!$CD$3:$CD$250,0),4),""),"_"," ")," ",),8,6)="di cui",CONCATENATE(SUBSTITUTE(IFERROR(INDEX(ATTIVO,MATCH(ROWS(B$13:$B22),COPIA!$CD$3:$CD$250,0),4),""),"_"," ")," ",FIXED(IFERROR(INDEX(ATTIVO,MATCH(ROW()-12,COPIA!$CD$3:$CD$250,0),2),""),,FALSE)," euro"),SUBSTITUTE(IFERROR(INDEX(ATTIVO,MATCH(ROWS(B$13:$B22),COPIA!$CD$3:$CD$250,0),4),""),"_"," ")),"")),""))</f>
        <v/>
      </c>
      <c r="C22" s="115" t="str">
        <f ca="1">IF(IFERROR(IF(ROW()-9&gt;COPIA!$CI$1,INDEX(ECONOMICO,MATCH((ROWS($B$12:B22)-COPIA!$CI$2),COPIA!$CD$191:$CD$247,0),5),INDEX(ATTIVO,MATCH(ROWS($C$13:C22),COPIA!$CD$3:$CD$250,0),5)),0)=0,"",IFERROR(IF(ROW()-9&gt;COPIA!$CI$1,INDEX(ECONOMICO,MATCH((ROWS($B$12:B22)-COPIA!$CI$2),COPIA!$CD$191:$CD$247,0),5),INDEX(ATTIVO,MATCH(ROWS($C$13:C22),COPIA!$CD$3:$CD$250,0),5)),0))</f>
        <v/>
      </c>
      <c r="D22" s="135" t="str">
        <f ca="1">CONCATENATE(IFERROR(IF(MID(CONCATENATE(SUBSTITUTE(IFERROR(INDEX(PASSIVO,MATCH(ROWS(D$13:$D22),COPIA!$CD$105:$CD$189,0),4),""),"_"," ")," ",),8,6)="di cui",CONCATENATE(SUBSTITUTE(IFERROR(INDEX(PASSIVO,MATCH(ROWS(D$13:$D22),COPIA!$CD$105:$CD$189,0),4),""),"_"," ")," ",FIXED(IFERROR(INDEX(PASSIVO,MATCH(ROW()-12,COPIA!$CD$105:$CD$189,0),2),""),,FALSE)," euro"),SUBSTITUTE(IFERROR(INDEX(PASSIVO,MATCH(ROWS($D$13:$D22),COPIA!$CD$105:$CD$189,0),4),""),"_"," ")),""))</f>
        <v/>
      </c>
      <c r="E22" s="115" t="str">
        <f ca="1">IF(IFERROR(INDEX(PASSIVO,MATCH(ROWS($E$13:E22),COPIA!$CD$105:$CD$189,0),5),0)=0,"",IFERROR(INDEX(PASSIVO,MATCH(ROWS($E$13:E22),COPIA!$CD$105:$CD$189,0),5),0))</f>
        <v/>
      </c>
      <c r="F22" s="159"/>
      <c r="H22" s="137" t="str">
        <f ca="1">SUBSTITUTE(IFERROR(INDEX(COPIA!$CG$22:$CK$187,MATCH(ROWS($H$13:H22),COPIA!$CK$22:$CK$187,0),1),""),"_"," ")</f>
        <v/>
      </c>
      <c r="I22" s="71"/>
      <c r="J22" s="7" t="str">
        <f ca="1">IFERROR(INDEX(COPIA!$CK$22:$CL$187,MATCH(ROWS(BILANCIO!$J$13:J22),COPIA!$CK$22:$CK$187,0),2),"")</f>
        <v/>
      </c>
    </row>
    <row r="23" spans="1:10" ht="15.9" customHeight="1" x14ac:dyDescent="0.3">
      <c r="A23" s="7">
        <f t="shared" ca="1" si="0"/>
        <v>0</v>
      </c>
      <c r="B23" s="132" t="str">
        <f ca="1">IF(ROW()-9&gt;COPIA!$CI$1,SUBSTITUTE(IFERROR(INDEX(ECONOMICO,MATCH((ROWS($B$12:B23)-COPIA!$CI$2),COPIA!$CD$191:$CD$247,0),4),""),"_"," "),IF(ROW()-9&lt;=COPIA!$CI$1,CONCATENATE(IFERROR(IF(MID(CONCATENATE(SUBSTITUTE(IFERROR(INDEX(ATTIVO,MATCH(ROWS(B$13:$B23),COPIA!$CD$3:$CD$250,0),4),""),"_"," ")," ",),8,6)="di cui",CONCATENATE(SUBSTITUTE(IFERROR(INDEX(ATTIVO,MATCH(ROWS(B$13:$B23),COPIA!$CD$3:$CD$250,0),4),""),"_"," ")," ",FIXED(IFERROR(INDEX(ATTIVO,MATCH(ROW()-12,COPIA!$CD$3:$CD$250,0),2),""),,FALSE)," euro"),SUBSTITUTE(IFERROR(INDEX(ATTIVO,MATCH(ROWS(B$13:$B23),COPIA!$CD$3:$CD$250,0),4),""),"_"," ")),"")),""))</f>
        <v/>
      </c>
      <c r="C23" s="115" t="str">
        <f ca="1">IF(IFERROR(IF(ROW()-9&gt;COPIA!$CI$1,INDEX(ECONOMICO,MATCH((ROWS($B$12:B23)-COPIA!$CI$2),COPIA!$CD$191:$CD$247,0),5),INDEX(ATTIVO,MATCH(ROWS($C$13:C23),COPIA!$CD$3:$CD$250,0),5)),0)=0,"",IFERROR(IF(ROW()-9&gt;COPIA!$CI$1,INDEX(ECONOMICO,MATCH((ROWS($B$12:B23)-COPIA!$CI$2),COPIA!$CD$191:$CD$247,0),5),INDEX(ATTIVO,MATCH(ROWS($C$13:C23),COPIA!$CD$3:$CD$250,0),5)),0))</f>
        <v/>
      </c>
      <c r="D23" s="135" t="str">
        <f ca="1">CONCATENATE(IFERROR(IF(MID(CONCATENATE(SUBSTITUTE(IFERROR(INDEX(PASSIVO,MATCH(ROWS(D$13:$D23),COPIA!$CD$105:$CD$189,0),4),""),"_"," ")," ",),8,6)="di cui",CONCATENATE(SUBSTITUTE(IFERROR(INDEX(PASSIVO,MATCH(ROWS(D$13:$D23),COPIA!$CD$105:$CD$189,0),4),""),"_"," ")," ",FIXED(IFERROR(INDEX(PASSIVO,MATCH(ROW()-12,COPIA!$CD$105:$CD$189,0),2),""),,FALSE)," euro"),SUBSTITUTE(IFERROR(INDEX(PASSIVO,MATCH(ROWS($D$13:$D23),COPIA!$CD$105:$CD$189,0),4),""),"_"," ")),""))</f>
        <v/>
      </c>
      <c r="E23" s="115" t="str">
        <f ca="1">IF(IFERROR(INDEX(PASSIVO,MATCH(ROWS($E$13:E23),COPIA!$CD$105:$CD$189,0),5),0)=0,"",IFERROR(INDEX(PASSIVO,MATCH(ROWS($E$13:E23),COPIA!$CD$105:$CD$189,0),5),0))</f>
        <v/>
      </c>
      <c r="F23" s="159"/>
      <c r="H23" s="137" t="str">
        <f ca="1">SUBSTITUTE(IFERROR(INDEX(COPIA!$CG$22:$CK$187,MATCH(ROWS($H$13:H23),COPIA!$CK$22:$CK$187,0),1),""),"_"," ")</f>
        <v/>
      </c>
      <c r="I23" s="71"/>
      <c r="J23" s="7" t="str">
        <f ca="1">IFERROR(INDEX(COPIA!$CK$22:$CL$187,MATCH(ROWS(BILANCIO!$J$13:J23),COPIA!$CK$22:$CK$187,0),2),"")</f>
        <v/>
      </c>
    </row>
    <row r="24" spans="1:10" ht="15.9" customHeight="1" x14ac:dyDescent="0.3">
      <c r="A24" s="7">
        <f t="shared" ca="1" si="0"/>
        <v>0</v>
      </c>
      <c r="B24" s="132" t="str">
        <f ca="1">IF(ROW()-9&gt;COPIA!$CI$1,SUBSTITUTE(IFERROR(INDEX(ECONOMICO,MATCH((ROWS($B$12:B24)-COPIA!$CI$2),COPIA!$CD$191:$CD$247,0),4),""),"_"," "),IF(ROW()-9&lt;=COPIA!$CI$1,CONCATENATE(IFERROR(IF(MID(CONCATENATE(SUBSTITUTE(IFERROR(INDEX(ATTIVO,MATCH(ROWS(B$13:$B24),COPIA!$CD$3:$CD$250,0),4),""),"_"," ")," ",),8,6)="di cui",CONCATENATE(SUBSTITUTE(IFERROR(INDEX(ATTIVO,MATCH(ROWS(B$13:$B24),COPIA!$CD$3:$CD$250,0),4),""),"_"," ")," ",FIXED(IFERROR(INDEX(ATTIVO,MATCH(ROW()-12,COPIA!$CD$3:$CD$250,0),2),""),,FALSE)," euro"),SUBSTITUTE(IFERROR(INDEX(ATTIVO,MATCH(ROWS(B$13:$B24),COPIA!$CD$3:$CD$250,0),4),""),"_"," ")),"")),""))</f>
        <v/>
      </c>
      <c r="C24" s="115" t="str">
        <f ca="1">IF(IFERROR(IF(ROW()-9&gt;COPIA!$CI$1,INDEX(ECONOMICO,MATCH((ROWS($B$12:B24)-COPIA!$CI$2),COPIA!$CD$191:$CD$247,0),5),INDEX(ATTIVO,MATCH(ROWS($C$13:C24),COPIA!$CD$3:$CD$250,0),5)),0)=0,"",IFERROR(IF(ROW()-9&gt;COPIA!$CI$1,INDEX(ECONOMICO,MATCH((ROWS($B$12:B24)-COPIA!$CI$2),COPIA!$CD$191:$CD$247,0),5),INDEX(ATTIVO,MATCH(ROWS($C$13:C24),COPIA!$CD$3:$CD$250,0),5)),0))</f>
        <v/>
      </c>
      <c r="D24" s="135" t="str">
        <f ca="1">CONCATENATE(IFERROR(IF(MID(CONCATENATE(SUBSTITUTE(IFERROR(INDEX(PASSIVO,MATCH(ROWS(D$13:$D24),COPIA!$CD$105:$CD$189,0),4),""),"_"," ")," ",),8,6)="di cui",CONCATENATE(SUBSTITUTE(IFERROR(INDEX(PASSIVO,MATCH(ROWS(D$13:$D24),COPIA!$CD$105:$CD$189,0),4),""),"_"," ")," ",FIXED(IFERROR(INDEX(PASSIVO,MATCH(ROW()-12,COPIA!$CD$105:$CD$189,0),2),""),,FALSE)," euro"),SUBSTITUTE(IFERROR(INDEX(PASSIVO,MATCH(ROWS($D$13:$D24),COPIA!$CD$105:$CD$189,0),4),""),"_"," ")),""))</f>
        <v/>
      </c>
      <c r="E24" s="115" t="str">
        <f ca="1">IF(IFERROR(INDEX(PASSIVO,MATCH(ROWS($E$13:E24),COPIA!$CD$105:$CD$189,0),5),0)=0,"",IFERROR(INDEX(PASSIVO,MATCH(ROWS($E$13:E24),COPIA!$CD$105:$CD$189,0),5),0))</f>
        <v/>
      </c>
      <c r="F24" s="159"/>
      <c r="H24" s="137" t="str">
        <f ca="1">SUBSTITUTE(IFERROR(INDEX(COPIA!$CG$22:$CK$187,MATCH(ROWS($H$13:H24),COPIA!$CK$22:$CK$187,0),1),""),"_"," ")</f>
        <v/>
      </c>
      <c r="I24" s="71"/>
      <c r="J24" s="7" t="str">
        <f ca="1">IFERROR(INDEX(COPIA!$CK$22:$CL$187,MATCH(ROWS(BILANCIO!$J$13:J24),COPIA!$CK$22:$CK$187,0),2),"")</f>
        <v/>
      </c>
    </row>
    <row r="25" spans="1:10" ht="15.9" customHeight="1" x14ac:dyDescent="0.3">
      <c r="A25" s="7">
        <f t="shared" ca="1" si="0"/>
        <v>0</v>
      </c>
      <c r="B25" s="132" t="str">
        <f ca="1">IF(ROW()-9&gt;COPIA!$CI$1,SUBSTITUTE(IFERROR(INDEX(ECONOMICO,MATCH((ROWS($B$12:B25)-COPIA!$CI$2),COPIA!$CD$191:$CD$247,0),4),""),"_"," "),IF(ROW()-9&lt;=COPIA!$CI$1,CONCATENATE(IFERROR(IF(MID(CONCATENATE(SUBSTITUTE(IFERROR(INDEX(ATTIVO,MATCH(ROWS(B$13:$B25),COPIA!$CD$3:$CD$250,0),4),""),"_"," ")," ",),8,6)="di cui",CONCATENATE(SUBSTITUTE(IFERROR(INDEX(ATTIVO,MATCH(ROWS(B$13:$B25),COPIA!$CD$3:$CD$250,0),4),""),"_"," ")," ",FIXED(IFERROR(INDEX(ATTIVO,MATCH(ROW()-12,COPIA!$CD$3:$CD$250,0),2),""),,FALSE)," euro"),SUBSTITUTE(IFERROR(INDEX(ATTIVO,MATCH(ROWS(B$13:$B25),COPIA!$CD$3:$CD$250,0),4),""),"_"," ")),"")),""))</f>
        <v/>
      </c>
      <c r="C25" s="115" t="str">
        <f ca="1">IF(IFERROR(IF(ROW()-9&gt;COPIA!$CI$1,INDEX(ECONOMICO,MATCH((ROWS($B$12:B25)-COPIA!$CI$2),COPIA!$CD$191:$CD$247,0),5),INDEX(ATTIVO,MATCH(ROWS($C$13:C25),COPIA!$CD$3:$CD$250,0),5)),0)=0,"",IFERROR(IF(ROW()-9&gt;COPIA!$CI$1,INDEX(ECONOMICO,MATCH((ROWS($B$12:B25)-COPIA!$CI$2),COPIA!$CD$191:$CD$247,0),5),INDEX(ATTIVO,MATCH(ROWS($C$13:C25),COPIA!$CD$3:$CD$250,0),5)),0))</f>
        <v/>
      </c>
      <c r="D25" s="135" t="str">
        <f ca="1">CONCATENATE(IFERROR(IF(MID(CONCATENATE(SUBSTITUTE(IFERROR(INDEX(PASSIVO,MATCH(ROWS(D$13:$D25),COPIA!$CD$105:$CD$189,0),4),""),"_"," ")," ",),8,6)="di cui",CONCATENATE(SUBSTITUTE(IFERROR(INDEX(PASSIVO,MATCH(ROWS(D$13:$D25),COPIA!$CD$105:$CD$189,0),4),""),"_"," ")," ",FIXED(IFERROR(INDEX(PASSIVO,MATCH(ROW()-12,COPIA!$CD$105:$CD$189,0),2),""),,FALSE)," euro"),SUBSTITUTE(IFERROR(INDEX(PASSIVO,MATCH(ROWS($D$13:$D25),COPIA!$CD$105:$CD$189,0),4),""),"_"," ")),""))</f>
        <v/>
      </c>
      <c r="E25" s="115" t="str">
        <f ca="1">IF(IFERROR(INDEX(PASSIVO,MATCH(ROWS($E$13:E25),COPIA!$CD$105:$CD$189,0),5),0)=0,"",IFERROR(INDEX(PASSIVO,MATCH(ROWS($E$13:E25),COPIA!$CD$105:$CD$189,0),5),0))</f>
        <v/>
      </c>
      <c r="F25" s="159"/>
      <c r="H25" s="137" t="str">
        <f ca="1">SUBSTITUTE(IFERROR(INDEX(COPIA!$CG$22:$CK$187,MATCH(ROWS($H$13:H25),COPIA!$CK$22:$CK$187,0),1),""),"_"," ")</f>
        <v/>
      </c>
      <c r="I25" s="71"/>
      <c r="J25" s="7" t="str">
        <f ca="1">IFERROR(INDEX(COPIA!$CK$22:$CL$187,MATCH(ROWS(BILANCIO!$J$13:J25),COPIA!$CK$22:$CK$187,0),2),"")</f>
        <v/>
      </c>
    </row>
    <row r="26" spans="1:10" ht="15.9" customHeight="1" x14ac:dyDescent="0.3">
      <c r="A26" s="7">
        <f t="shared" ca="1" si="0"/>
        <v>0</v>
      </c>
      <c r="B26" s="132" t="str">
        <f ca="1">IF(ROW()-9&gt;COPIA!$CI$1,SUBSTITUTE(IFERROR(INDEX(ECONOMICO,MATCH((ROWS($B$12:B26)-COPIA!$CI$2),COPIA!$CD$191:$CD$247,0),4),""),"_"," "),IF(ROW()-9&lt;=COPIA!$CI$1,CONCATENATE(IFERROR(IF(MID(CONCATENATE(SUBSTITUTE(IFERROR(INDEX(ATTIVO,MATCH(ROWS(B$13:$B26),COPIA!$CD$3:$CD$250,0),4),""),"_"," ")," ",),8,6)="di cui",CONCATENATE(SUBSTITUTE(IFERROR(INDEX(ATTIVO,MATCH(ROWS(B$13:$B26),COPIA!$CD$3:$CD$250,0),4),""),"_"," ")," ",FIXED(IFERROR(INDEX(ATTIVO,MATCH(ROW()-12,COPIA!$CD$3:$CD$250,0),2),""),,FALSE)," euro"),SUBSTITUTE(IFERROR(INDEX(ATTIVO,MATCH(ROWS(B$13:$B26),COPIA!$CD$3:$CD$250,0),4),""),"_"," ")),"")),""))</f>
        <v/>
      </c>
      <c r="C26" s="115" t="str">
        <f ca="1">IF(IFERROR(IF(ROW()-9&gt;COPIA!$CI$1,INDEX(ECONOMICO,MATCH((ROWS($B$12:B26)-COPIA!$CI$2),COPIA!$CD$191:$CD$247,0),5),INDEX(ATTIVO,MATCH(ROWS($C$13:C26),COPIA!$CD$3:$CD$250,0),5)),0)=0,"",IFERROR(IF(ROW()-9&gt;COPIA!$CI$1,INDEX(ECONOMICO,MATCH((ROWS($B$12:B26)-COPIA!$CI$2),COPIA!$CD$191:$CD$247,0),5),INDEX(ATTIVO,MATCH(ROWS($C$13:C26),COPIA!$CD$3:$CD$250,0),5)),0))</f>
        <v/>
      </c>
      <c r="D26" s="135" t="str">
        <f ca="1">CONCATENATE(IFERROR(IF(MID(CONCATENATE(SUBSTITUTE(IFERROR(INDEX(PASSIVO,MATCH(ROWS(D$13:$D26),COPIA!$CD$105:$CD$189,0),4),""),"_"," ")," ",),8,6)="di cui",CONCATENATE(SUBSTITUTE(IFERROR(INDEX(PASSIVO,MATCH(ROWS(D$13:$D26),COPIA!$CD$105:$CD$189,0),4),""),"_"," ")," ",FIXED(IFERROR(INDEX(PASSIVO,MATCH(ROW()-12,COPIA!$CD$105:$CD$189,0),2),""),,FALSE)," euro"),SUBSTITUTE(IFERROR(INDEX(PASSIVO,MATCH(ROWS($D$13:$D26),COPIA!$CD$105:$CD$189,0),4),""),"_"," ")),""))</f>
        <v/>
      </c>
      <c r="E26" s="115" t="str">
        <f ca="1">IF(IFERROR(INDEX(PASSIVO,MATCH(ROWS($E$13:E26),COPIA!$CD$105:$CD$189,0),5),0)=0,"",IFERROR(INDEX(PASSIVO,MATCH(ROWS($E$13:E26),COPIA!$CD$105:$CD$189,0),5),0))</f>
        <v/>
      </c>
      <c r="F26" s="159"/>
      <c r="H26" s="137" t="str">
        <f ca="1">SUBSTITUTE(IFERROR(INDEX(COPIA!$CG$22:$CK$187,MATCH(ROWS($H$13:H26),COPIA!$CK$22:$CK$187,0),1),""),"_"," ")</f>
        <v/>
      </c>
      <c r="I26" s="71"/>
      <c r="J26" s="7" t="str">
        <f ca="1">IFERROR(INDEX(COPIA!$CK$22:$CL$187,MATCH(ROWS(BILANCIO!$J$13:J26),COPIA!$CK$22:$CK$187,0),2),"")</f>
        <v/>
      </c>
    </row>
    <row r="27" spans="1:10" ht="15.9" customHeight="1" x14ac:dyDescent="0.3">
      <c r="A27" s="7">
        <f t="shared" ca="1" si="0"/>
        <v>0</v>
      </c>
      <c r="B27" s="132" t="str">
        <f ca="1">IF(ROW()-9&gt;COPIA!$CI$1,SUBSTITUTE(IFERROR(INDEX(ECONOMICO,MATCH((ROWS($B$12:B27)-COPIA!$CI$2),COPIA!$CD$191:$CD$247,0),4),""),"_"," "),IF(ROW()-9&lt;=COPIA!$CI$1,CONCATENATE(IFERROR(IF(MID(CONCATENATE(SUBSTITUTE(IFERROR(INDEX(ATTIVO,MATCH(ROWS(B$13:$B27),COPIA!$CD$3:$CD$250,0),4),""),"_"," ")," ",),8,6)="di cui",CONCATENATE(SUBSTITUTE(IFERROR(INDEX(ATTIVO,MATCH(ROWS(B$13:$B27),COPIA!$CD$3:$CD$250,0),4),""),"_"," ")," ",FIXED(IFERROR(INDEX(ATTIVO,MATCH(ROW()-12,COPIA!$CD$3:$CD$250,0),2),""),,FALSE)," euro"),SUBSTITUTE(IFERROR(INDEX(ATTIVO,MATCH(ROWS(B$13:$B27),COPIA!$CD$3:$CD$250,0),4),""),"_"," ")),"")),""))</f>
        <v/>
      </c>
      <c r="C27" s="115" t="str">
        <f ca="1">IF(IFERROR(IF(ROW()-9&gt;COPIA!$CI$1,INDEX(ECONOMICO,MATCH((ROWS($B$12:B27)-COPIA!$CI$2),COPIA!$CD$191:$CD$247,0),5),INDEX(ATTIVO,MATCH(ROWS($C$13:C27),COPIA!$CD$3:$CD$250,0),5)),0)=0,"",IFERROR(IF(ROW()-9&gt;COPIA!$CI$1,INDEX(ECONOMICO,MATCH((ROWS($B$12:B27)-COPIA!$CI$2),COPIA!$CD$191:$CD$247,0),5),INDEX(ATTIVO,MATCH(ROWS($C$13:C27),COPIA!$CD$3:$CD$250,0),5)),0))</f>
        <v/>
      </c>
      <c r="D27" s="135" t="str">
        <f ca="1">CONCATENATE(IFERROR(IF(MID(CONCATENATE(SUBSTITUTE(IFERROR(INDEX(PASSIVO,MATCH(ROWS(D$13:$D27),COPIA!$CD$105:$CD$189,0),4),""),"_"," ")," ",),8,6)="di cui",CONCATENATE(SUBSTITUTE(IFERROR(INDEX(PASSIVO,MATCH(ROWS(D$13:$D27),COPIA!$CD$105:$CD$189,0),4),""),"_"," ")," ",FIXED(IFERROR(INDEX(PASSIVO,MATCH(ROW()-12,COPIA!$CD$105:$CD$189,0),2),""),,FALSE)," euro"),SUBSTITUTE(IFERROR(INDEX(PASSIVO,MATCH(ROWS($D$13:$D27),COPIA!$CD$105:$CD$189,0),4),""),"_"," ")),""))</f>
        <v/>
      </c>
      <c r="E27" s="115" t="str">
        <f ca="1">IF(IFERROR(INDEX(PASSIVO,MATCH(ROWS($E$13:E27),COPIA!$CD$105:$CD$189,0),5),0)=0,"",IFERROR(INDEX(PASSIVO,MATCH(ROWS($E$13:E27),COPIA!$CD$105:$CD$189,0),5),0))</f>
        <v/>
      </c>
      <c r="F27" s="159"/>
      <c r="H27" s="137" t="str">
        <f ca="1">SUBSTITUTE(IFERROR(INDEX(COPIA!$CG$22:$CK$187,MATCH(ROWS($H$13:H27),COPIA!$CK$22:$CK$187,0),1),""),"_"," ")</f>
        <v/>
      </c>
      <c r="I27" s="71"/>
      <c r="J27" s="7" t="str">
        <f ca="1">IFERROR(INDEX(COPIA!$CK$22:$CL$187,MATCH(ROWS(BILANCIO!$J$13:J27),COPIA!$CK$22:$CK$187,0),2),"")</f>
        <v/>
      </c>
    </row>
    <row r="28" spans="1:10" ht="15.9" customHeight="1" x14ac:dyDescent="0.3">
      <c r="A28" s="7">
        <f t="shared" ca="1" si="0"/>
        <v>0</v>
      </c>
      <c r="B28" s="132" t="str">
        <f ca="1">IF(ROW()-9&gt;COPIA!$CI$1,SUBSTITUTE(IFERROR(INDEX(ECONOMICO,MATCH((ROWS($B$12:B28)-COPIA!$CI$2),COPIA!$CD$191:$CD$247,0),4),""),"_"," "),IF(ROW()-9&lt;=COPIA!$CI$1,CONCATENATE(IFERROR(IF(MID(CONCATENATE(SUBSTITUTE(IFERROR(INDEX(ATTIVO,MATCH(ROWS(B$13:$B28),COPIA!$CD$3:$CD$250,0),4),""),"_"," ")," ",),8,6)="di cui",CONCATENATE(SUBSTITUTE(IFERROR(INDEX(ATTIVO,MATCH(ROWS(B$13:$B28),COPIA!$CD$3:$CD$250,0),4),""),"_"," ")," ",FIXED(IFERROR(INDEX(ATTIVO,MATCH(ROW()-12,COPIA!$CD$3:$CD$250,0),2),""),,FALSE)," euro"),SUBSTITUTE(IFERROR(INDEX(ATTIVO,MATCH(ROWS(B$13:$B28),COPIA!$CD$3:$CD$250,0),4),""),"_"," ")),"")),""))</f>
        <v/>
      </c>
      <c r="C28" s="115" t="str">
        <f ca="1">IF(IFERROR(IF(ROW()-9&gt;COPIA!$CI$1,INDEX(ECONOMICO,MATCH((ROWS($B$12:B28)-COPIA!$CI$2),COPIA!$CD$191:$CD$247,0),5),INDEX(ATTIVO,MATCH(ROWS($C$13:C28),COPIA!$CD$3:$CD$250,0),5)),0)=0,"",IFERROR(IF(ROW()-9&gt;COPIA!$CI$1,INDEX(ECONOMICO,MATCH((ROWS($B$12:B28)-COPIA!$CI$2),COPIA!$CD$191:$CD$247,0),5),INDEX(ATTIVO,MATCH(ROWS($C$13:C28),COPIA!$CD$3:$CD$250,0),5)),0))</f>
        <v/>
      </c>
      <c r="D28" s="135" t="str">
        <f ca="1">CONCATENATE(IFERROR(IF(MID(CONCATENATE(SUBSTITUTE(IFERROR(INDEX(PASSIVO,MATCH(ROWS(D$13:$D28),COPIA!$CD$105:$CD$189,0),4),""),"_"," ")," ",),8,6)="di cui",CONCATENATE(SUBSTITUTE(IFERROR(INDEX(PASSIVO,MATCH(ROWS(D$13:$D28),COPIA!$CD$105:$CD$189,0),4),""),"_"," ")," ",FIXED(IFERROR(INDEX(PASSIVO,MATCH(ROW()-12,COPIA!$CD$105:$CD$189,0),2),""),,FALSE)," euro"),SUBSTITUTE(IFERROR(INDEX(PASSIVO,MATCH(ROWS($D$13:$D28),COPIA!$CD$105:$CD$189,0),4),""),"_"," ")),""))</f>
        <v/>
      </c>
      <c r="E28" s="115" t="str">
        <f ca="1">IF(IFERROR(INDEX(PASSIVO,MATCH(ROWS($E$13:E28),COPIA!$CD$105:$CD$189,0),5),0)=0,"",IFERROR(INDEX(PASSIVO,MATCH(ROWS($E$13:E28),COPIA!$CD$105:$CD$189,0),5),0))</f>
        <v/>
      </c>
      <c r="F28" s="159"/>
      <c r="H28" s="137" t="str">
        <f ca="1">SUBSTITUTE(IFERROR(INDEX(COPIA!$CG$22:$CK$187,MATCH(ROWS($H$13:H28),COPIA!$CK$22:$CK$187,0),1),""),"_"," ")</f>
        <v/>
      </c>
      <c r="I28" s="71"/>
      <c r="J28" s="7" t="str">
        <f ca="1">IFERROR(INDEX(COPIA!$CK$22:$CL$187,MATCH(ROWS(BILANCIO!$J$13:J28),COPIA!$CK$22:$CK$187,0),2),"")</f>
        <v/>
      </c>
    </row>
    <row r="29" spans="1:10" ht="15.9" customHeight="1" x14ac:dyDescent="0.3">
      <c r="A29" s="7">
        <f t="shared" ca="1" si="0"/>
        <v>0</v>
      </c>
      <c r="B29" s="132" t="str">
        <f ca="1">IF(ROW()-9&gt;COPIA!$CI$1,SUBSTITUTE(IFERROR(INDEX(ECONOMICO,MATCH((ROWS($B$12:B29)-COPIA!$CI$2),COPIA!$CD$191:$CD$247,0),4),""),"_"," "),IF(ROW()-9&lt;=COPIA!$CI$1,CONCATENATE(IFERROR(IF(MID(CONCATENATE(SUBSTITUTE(IFERROR(INDEX(ATTIVO,MATCH(ROWS(B$13:$B29),COPIA!$CD$3:$CD$250,0),4),""),"_"," ")," ",),8,6)="di cui",CONCATENATE(SUBSTITUTE(IFERROR(INDEX(ATTIVO,MATCH(ROWS(B$13:$B29),COPIA!$CD$3:$CD$250,0),4),""),"_"," ")," ",FIXED(IFERROR(INDEX(ATTIVO,MATCH(ROW()-12,COPIA!$CD$3:$CD$250,0),2),""),,FALSE)," euro"),SUBSTITUTE(IFERROR(INDEX(ATTIVO,MATCH(ROWS(B$13:$B29),COPIA!$CD$3:$CD$250,0),4),""),"_"," ")),"")),""))</f>
        <v/>
      </c>
      <c r="C29" s="115" t="str">
        <f ca="1">IF(IFERROR(IF(ROW()-9&gt;COPIA!$CI$1,INDEX(ECONOMICO,MATCH((ROWS($B$12:B29)-COPIA!$CI$2),COPIA!$CD$191:$CD$247,0),5),INDEX(ATTIVO,MATCH(ROWS($C$13:C29),COPIA!$CD$3:$CD$250,0),5)),0)=0,"",IFERROR(IF(ROW()-9&gt;COPIA!$CI$1,INDEX(ECONOMICO,MATCH((ROWS($B$12:B29)-COPIA!$CI$2),COPIA!$CD$191:$CD$247,0),5),INDEX(ATTIVO,MATCH(ROWS($C$13:C29),COPIA!$CD$3:$CD$250,0),5)),0))</f>
        <v/>
      </c>
      <c r="D29" s="135" t="str">
        <f ca="1">CONCATENATE(IFERROR(IF(MID(CONCATENATE(SUBSTITUTE(IFERROR(INDEX(PASSIVO,MATCH(ROWS(D$13:$D29),COPIA!$CD$105:$CD$189,0),4),""),"_"," ")," ",),8,6)="di cui",CONCATENATE(SUBSTITUTE(IFERROR(INDEX(PASSIVO,MATCH(ROWS(D$13:$D29),COPIA!$CD$105:$CD$189,0),4),""),"_"," ")," ",FIXED(IFERROR(INDEX(PASSIVO,MATCH(ROW()-12,COPIA!$CD$105:$CD$189,0),2),""),,FALSE)," euro"),SUBSTITUTE(IFERROR(INDEX(PASSIVO,MATCH(ROWS($D$13:$D29),COPIA!$CD$105:$CD$189,0),4),""),"_"," ")),""))</f>
        <v/>
      </c>
      <c r="E29" s="115" t="str">
        <f ca="1">IF(IFERROR(INDEX(PASSIVO,MATCH(ROWS($E$13:E29),COPIA!$CD$105:$CD$189,0),5),0)=0,"",IFERROR(INDEX(PASSIVO,MATCH(ROWS($E$13:E29),COPIA!$CD$105:$CD$189,0),5),0))</f>
        <v/>
      </c>
      <c r="F29" s="159"/>
      <c r="H29" s="137" t="str">
        <f ca="1">SUBSTITUTE(IFERROR(INDEX(COPIA!$CG$22:$CK$187,MATCH(ROWS($H$13:H29),COPIA!$CK$22:$CK$187,0),1),""),"_"," ")</f>
        <v/>
      </c>
      <c r="I29" s="71"/>
      <c r="J29" s="7" t="str">
        <f ca="1">IFERROR(INDEX(COPIA!$CK$22:$CL$187,MATCH(ROWS(BILANCIO!$J$13:J29),COPIA!$CK$22:$CK$187,0),2),"")</f>
        <v/>
      </c>
    </row>
    <row r="30" spans="1:10" ht="15.9" customHeight="1" x14ac:dyDescent="0.3">
      <c r="A30" s="7">
        <f t="shared" ca="1" si="0"/>
        <v>0</v>
      </c>
      <c r="B30" s="132" t="str">
        <f ca="1">IF(ROW()-9&gt;COPIA!$CI$1,SUBSTITUTE(IFERROR(INDEX(ECONOMICO,MATCH((ROWS($B$12:B30)-COPIA!$CI$2),COPIA!$CD$191:$CD$247,0),4),""),"_"," "),IF(ROW()-9&lt;=COPIA!$CI$1,CONCATENATE(IFERROR(IF(MID(CONCATENATE(SUBSTITUTE(IFERROR(INDEX(ATTIVO,MATCH(ROWS(B$13:$B30),COPIA!$CD$3:$CD$250,0),4),""),"_"," ")," ",),8,6)="di cui",CONCATENATE(SUBSTITUTE(IFERROR(INDEX(ATTIVO,MATCH(ROWS(B$13:$B30),COPIA!$CD$3:$CD$250,0),4),""),"_"," ")," ",FIXED(IFERROR(INDEX(ATTIVO,MATCH(ROW()-12,COPIA!$CD$3:$CD$250,0),2),""),,FALSE)," euro"),SUBSTITUTE(IFERROR(INDEX(ATTIVO,MATCH(ROWS(B$13:$B30),COPIA!$CD$3:$CD$250,0),4),""),"_"," ")),"")),""))</f>
        <v/>
      </c>
      <c r="C30" s="115" t="str">
        <f ca="1">IF(IFERROR(IF(ROW()-9&gt;COPIA!$CI$1,INDEX(ECONOMICO,MATCH((ROWS($B$12:B30)-COPIA!$CI$2),COPIA!$CD$191:$CD$247,0),5),INDEX(ATTIVO,MATCH(ROWS($C$13:C30),COPIA!$CD$3:$CD$250,0),5)),0)=0,"",IFERROR(IF(ROW()-9&gt;COPIA!$CI$1,INDEX(ECONOMICO,MATCH((ROWS($B$12:B30)-COPIA!$CI$2),COPIA!$CD$191:$CD$247,0),5),INDEX(ATTIVO,MATCH(ROWS($C$13:C30),COPIA!$CD$3:$CD$250,0),5)),0))</f>
        <v/>
      </c>
      <c r="D30" s="135" t="str">
        <f ca="1">CONCATENATE(IFERROR(IF(MID(CONCATENATE(SUBSTITUTE(IFERROR(INDEX(PASSIVO,MATCH(ROWS(D$13:$D30),COPIA!$CD$105:$CD$189,0),4),""),"_"," ")," ",),8,6)="di cui",CONCATENATE(SUBSTITUTE(IFERROR(INDEX(PASSIVO,MATCH(ROWS(D$13:$D30),COPIA!$CD$105:$CD$189,0),4),""),"_"," ")," ",FIXED(IFERROR(INDEX(PASSIVO,MATCH(ROW()-12,COPIA!$CD$105:$CD$189,0),2),""),,FALSE)," euro"),SUBSTITUTE(IFERROR(INDEX(PASSIVO,MATCH(ROWS($D$13:$D30),COPIA!$CD$105:$CD$189,0),4),""),"_"," ")),""))</f>
        <v/>
      </c>
      <c r="E30" s="115" t="str">
        <f ca="1">IF(IFERROR(INDEX(PASSIVO,MATCH(ROWS($E$13:E30),COPIA!$CD$105:$CD$189,0),5),0)=0,"",IFERROR(INDEX(PASSIVO,MATCH(ROWS($E$13:E30),COPIA!$CD$105:$CD$189,0),5),0))</f>
        <v/>
      </c>
      <c r="F30" s="159"/>
      <c r="H30" s="137" t="str">
        <f ca="1">SUBSTITUTE(IFERROR(INDEX(COPIA!$CG$22:$CK$187,MATCH(ROWS($H$13:H30),COPIA!$CK$22:$CK$187,0),1),""),"_"," ")</f>
        <v/>
      </c>
      <c r="I30" s="71"/>
      <c r="J30" s="7" t="str">
        <f ca="1">IFERROR(INDEX(COPIA!$CK$22:$CL$187,MATCH(ROWS(BILANCIO!$J$13:J30),COPIA!$CK$22:$CK$187,0),2),"")</f>
        <v/>
      </c>
    </row>
    <row r="31" spans="1:10" ht="15.9" customHeight="1" x14ac:dyDescent="0.3">
      <c r="A31" s="7">
        <f t="shared" ca="1" si="0"/>
        <v>0</v>
      </c>
      <c r="B31" s="132" t="str">
        <f ca="1">IF(ROW()-9&gt;COPIA!$CI$1,SUBSTITUTE(IFERROR(INDEX(ECONOMICO,MATCH((ROWS($B$12:B31)-COPIA!$CI$2),COPIA!$CD$191:$CD$247,0),4),""),"_"," "),IF(ROW()-9&lt;=COPIA!$CI$1,CONCATENATE(IFERROR(IF(MID(CONCATENATE(SUBSTITUTE(IFERROR(INDEX(ATTIVO,MATCH(ROWS(B$13:$B31),COPIA!$CD$3:$CD$250,0),4),""),"_"," ")," ",),8,6)="di cui",CONCATENATE(SUBSTITUTE(IFERROR(INDEX(ATTIVO,MATCH(ROWS(B$13:$B31),COPIA!$CD$3:$CD$250,0),4),""),"_"," ")," ",FIXED(IFERROR(INDEX(ATTIVO,MATCH(ROW()-12,COPIA!$CD$3:$CD$250,0),2),""),,FALSE)," euro"),SUBSTITUTE(IFERROR(INDEX(ATTIVO,MATCH(ROWS(B$13:$B31),COPIA!$CD$3:$CD$250,0),4),""),"_"," ")),"")),""))</f>
        <v/>
      </c>
      <c r="C31" s="115" t="str">
        <f ca="1">IF(IFERROR(IF(ROW()-9&gt;COPIA!$CI$1,INDEX(ECONOMICO,MATCH((ROWS($B$12:B31)-COPIA!$CI$2),COPIA!$CD$191:$CD$247,0),5),INDEX(ATTIVO,MATCH(ROWS($C$13:C31),COPIA!$CD$3:$CD$250,0),5)),0)=0,"",IFERROR(IF(ROW()-9&gt;COPIA!$CI$1,INDEX(ECONOMICO,MATCH((ROWS($B$12:B31)-COPIA!$CI$2),COPIA!$CD$191:$CD$247,0),5),INDEX(ATTIVO,MATCH(ROWS($C$13:C31),COPIA!$CD$3:$CD$250,0),5)),0))</f>
        <v/>
      </c>
      <c r="D31" s="135" t="str">
        <f ca="1">CONCATENATE(IFERROR(IF(MID(CONCATENATE(SUBSTITUTE(IFERROR(INDEX(PASSIVO,MATCH(ROWS(D$13:$D31),COPIA!$CD$105:$CD$189,0),4),""),"_"," ")," ",),8,6)="di cui",CONCATENATE(SUBSTITUTE(IFERROR(INDEX(PASSIVO,MATCH(ROWS(D$13:$D31),COPIA!$CD$105:$CD$189,0),4),""),"_"," ")," ",FIXED(IFERROR(INDEX(PASSIVO,MATCH(ROW()-12,COPIA!$CD$105:$CD$189,0),2),""),,FALSE)," euro"),SUBSTITUTE(IFERROR(INDEX(PASSIVO,MATCH(ROWS($D$13:$D31),COPIA!$CD$105:$CD$189,0),4),""),"_"," ")),""))</f>
        <v/>
      </c>
      <c r="E31" s="115" t="str">
        <f ca="1">IF(IFERROR(INDEX(PASSIVO,MATCH(ROWS($E$13:E31),COPIA!$CD$105:$CD$189,0),5),0)=0,"",IFERROR(INDEX(PASSIVO,MATCH(ROWS($E$13:E31),COPIA!$CD$105:$CD$189,0),5),0))</f>
        <v/>
      </c>
      <c r="F31" s="159"/>
      <c r="H31" s="137" t="str">
        <f ca="1">SUBSTITUTE(IFERROR(INDEX(COPIA!$CG$22:$CK$187,MATCH(ROWS($H$13:H31),COPIA!$CK$22:$CK$187,0),1),""),"_"," ")</f>
        <v/>
      </c>
      <c r="I31" s="71"/>
      <c r="J31" s="7" t="str">
        <f ca="1">IFERROR(INDEX(COPIA!$CK$22:$CL$187,MATCH(ROWS(BILANCIO!$J$13:J31),COPIA!$CK$22:$CK$187,0),2),"")</f>
        <v/>
      </c>
    </row>
    <row r="32" spans="1:10" ht="15.9" customHeight="1" x14ac:dyDescent="0.3">
      <c r="A32" s="7">
        <f t="shared" ca="1" si="0"/>
        <v>0</v>
      </c>
      <c r="B32" s="132" t="str">
        <f ca="1">IF(ROW()-9&gt;COPIA!$CI$1,SUBSTITUTE(IFERROR(INDEX(ECONOMICO,MATCH((ROWS($B$12:B32)-COPIA!$CI$2),COPIA!$CD$191:$CD$247,0),4),""),"_"," "),IF(ROW()-9&lt;=COPIA!$CI$1,CONCATENATE(IFERROR(IF(MID(CONCATENATE(SUBSTITUTE(IFERROR(INDEX(ATTIVO,MATCH(ROWS(B$13:$B32),COPIA!$CD$3:$CD$250,0),4),""),"_"," ")," ",),8,6)="di cui",CONCATENATE(SUBSTITUTE(IFERROR(INDEX(ATTIVO,MATCH(ROWS(B$13:$B32),COPIA!$CD$3:$CD$250,0),4),""),"_"," ")," ",FIXED(IFERROR(INDEX(ATTIVO,MATCH(ROW()-12,COPIA!$CD$3:$CD$250,0),2),""),,FALSE)," euro"),SUBSTITUTE(IFERROR(INDEX(ATTIVO,MATCH(ROWS(B$13:$B32),COPIA!$CD$3:$CD$250,0),4),""),"_"," ")),"")),""))</f>
        <v/>
      </c>
      <c r="C32" s="115" t="str">
        <f ca="1">IF(IFERROR(IF(ROW()-9&gt;COPIA!$CI$1,INDEX(ECONOMICO,MATCH((ROWS($B$12:B32)-COPIA!$CI$2),COPIA!$CD$191:$CD$247,0),5),INDEX(ATTIVO,MATCH(ROWS($C$13:C32),COPIA!$CD$3:$CD$250,0),5)),0)=0,"",IFERROR(IF(ROW()-9&gt;COPIA!$CI$1,INDEX(ECONOMICO,MATCH((ROWS($B$12:B32)-COPIA!$CI$2),COPIA!$CD$191:$CD$247,0),5),INDEX(ATTIVO,MATCH(ROWS($C$13:C32),COPIA!$CD$3:$CD$250,0),5)),0))</f>
        <v/>
      </c>
      <c r="D32" s="135" t="str">
        <f ca="1">CONCATENATE(IFERROR(IF(MID(CONCATENATE(SUBSTITUTE(IFERROR(INDEX(PASSIVO,MATCH(ROWS(D$13:$D32),COPIA!$CD$105:$CD$189,0),4),""),"_"," ")," ",),8,6)="di cui",CONCATENATE(SUBSTITUTE(IFERROR(INDEX(PASSIVO,MATCH(ROWS(D$13:$D32),COPIA!$CD$105:$CD$189,0),4),""),"_"," ")," ",FIXED(IFERROR(INDEX(PASSIVO,MATCH(ROW()-12,COPIA!$CD$105:$CD$189,0),2),""),,FALSE)," euro"),SUBSTITUTE(IFERROR(INDEX(PASSIVO,MATCH(ROWS($D$13:$D32),COPIA!$CD$105:$CD$189,0),4),""),"_"," ")),""))</f>
        <v/>
      </c>
      <c r="E32" s="115" t="str">
        <f ca="1">IF(IFERROR(INDEX(PASSIVO,MATCH(ROWS($E$13:E32),COPIA!$CD$105:$CD$189,0),5),0)=0,"",IFERROR(INDEX(PASSIVO,MATCH(ROWS($E$13:E32),COPIA!$CD$105:$CD$189,0),5),0))</f>
        <v/>
      </c>
      <c r="F32" s="160"/>
      <c r="H32" s="137" t="str">
        <f ca="1">SUBSTITUTE(IFERROR(INDEX(COPIA!$CG$22:$CK$187,MATCH(ROWS($H$13:H32),COPIA!$CK$22:$CK$187,0),1),""),"_"," ")</f>
        <v/>
      </c>
      <c r="I32" s="71"/>
      <c r="J32" s="7" t="str">
        <f ca="1">IFERROR(INDEX(COPIA!$CK$22:$CL$187,MATCH(ROWS(BILANCIO!$J$13:J32),COPIA!$CK$22:$CK$187,0),2),"")</f>
        <v/>
      </c>
    </row>
    <row r="33" spans="1:10" ht="15.9" customHeight="1" x14ac:dyDescent="0.3">
      <c r="A33" s="7">
        <f t="shared" ca="1" si="0"/>
        <v>0</v>
      </c>
      <c r="B33" s="132" t="str">
        <f ca="1">IF(ROW()-9&gt;COPIA!$CI$1,SUBSTITUTE(IFERROR(INDEX(ECONOMICO,MATCH((ROWS($B$12:B33)-COPIA!$CI$2),COPIA!$CD$191:$CD$247,0),4),""),"_"," "),IF(ROW()-9&lt;=COPIA!$CI$1,CONCATENATE(IFERROR(IF(MID(CONCATENATE(SUBSTITUTE(IFERROR(INDEX(ATTIVO,MATCH(ROWS(B$13:$B33),COPIA!$CD$3:$CD$250,0),4),""),"_"," ")," ",),8,6)="di cui",CONCATENATE(SUBSTITUTE(IFERROR(INDEX(ATTIVO,MATCH(ROWS(B$13:$B33),COPIA!$CD$3:$CD$250,0),4),""),"_"," ")," ",FIXED(IFERROR(INDEX(ATTIVO,MATCH(ROW()-12,COPIA!$CD$3:$CD$250,0),2),""),,FALSE)," euro"),SUBSTITUTE(IFERROR(INDEX(ATTIVO,MATCH(ROWS(B$13:$B33),COPIA!$CD$3:$CD$250,0),4),""),"_"," ")),"")),""))</f>
        <v/>
      </c>
      <c r="C33" s="115" t="str">
        <f ca="1">IF(IFERROR(IF(ROW()-9&gt;COPIA!$CI$1,INDEX(ECONOMICO,MATCH((ROWS($B$12:B33)-COPIA!$CI$2),COPIA!$CD$191:$CD$247,0),5),INDEX(ATTIVO,MATCH(ROWS($C$13:C33),COPIA!$CD$3:$CD$250,0),5)),0)=0,"",IFERROR(IF(ROW()-9&gt;COPIA!$CI$1,INDEX(ECONOMICO,MATCH((ROWS($B$12:B33)-COPIA!$CI$2),COPIA!$CD$191:$CD$247,0),5),INDEX(ATTIVO,MATCH(ROWS($C$13:C33),COPIA!$CD$3:$CD$250,0),5)),0))</f>
        <v/>
      </c>
      <c r="D33" s="135" t="str">
        <f ca="1">CONCATENATE(IFERROR(IF(MID(CONCATENATE(SUBSTITUTE(IFERROR(INDEX(PASSIVO,MATCH(ROWS(D$13:$D33),COPIA!$CD$105:$CD$189,0),4),""),"_"," ")," ",),8,6)="di cui",CONCATENATE(SUBSTITUTE(IFERROR(INDEX(PASSIVO,MATCH(ROWS(D$13:$D33),COPIA!$CD$105:$CD$189,0),4),""),"_"," ")," ",FIXED(IFERROR(INDEX(PASSIVO,MATCH(ROW()-12,COPIA!$CD$105:$CD$189,0),2),""),,FALSE)," euro"),SUBSTITUTE(IFERROR(INDEX(PASSIVO,MATCH(ROWS($D$13:$D33),COPIA!$CD$105:$CD$189,0),4),""),"_"," ")),""))</f>
        <v/>
      </c>
      <c r="E33" s="115" t="str">
        <f ca="1">IF(IFERROR(INDEX(PASSIVO,MATCH(ROWS($E$13:E33),COPIA!$CD$105:$CD$189,0),5),0)=0,"",IFERROR(INDEX(PASSIVO,MATCH(ROWS($E$13:E33),COPIA!$CD$105:$CD$189,0),5),0))</f>
        <v/>
      </c>
      <c r="H33" s="137" t="str">
        <f ca="1">SUBSTITUTE(IFERROR(INDEX(COPIA!$CG$22:$CK$187,MATCH(ROWS($H$13:H33),COPIA!$CK$22:$CK$187,0),1),""),"_"," ")</f>
        <v/>
      </c>
      <c r="I33" s="71"/>
      <c r="J33" s="7" t="str">
        <f ca="1">IFERROR(INDEX(COPIA!$CK$22:$CL$187,MATCH(ROWS(BILANCIO!$J$13:J33),COPIA!$CK$22:$CK$187,0),2),"")</f>
        <v/>
      </c>
    </row>
    <row r="34" spans="1:10" ht="15.9" customHeight="1" x14ac:dyDescent="0.3">
      <c r="A34" s="7">
        <f t="shared" ca="1" si="0"/>
        <v>0</v>
      </c>
      <c r="B34" s="132" t="str">
        <f ca="1">IF(ROW()-9&gt;COPIA!$CI$1,SUBSTITUTE(IFERROR(INDEX(ECONOMICO,MATCH((ROWS($B$12:B34)-COPIA!$CI$2),COPIA!$CD$191:$CD$247,0),4),""),"_"," "),IF(ROW()-9&lt;=COPIA!$CI$1,CONCATENATE(IFERROR(IF(MID(CONCATENATE(SUBSTITUTE(IFERROR(INDEX(ATTIVO,MATCH(ROWS(B$13:$B34),COPIA!$CD$3:$CD$250,0),4),""),"_"," ")," ",),8,6)="di cui",CONCATENATE(SUBSTITUTE(IFERROR(INDEX(ATTIVO,MATCH(ROWS(B$13:$B34),COPIA!$CD$3:$CD$250,0),4),""),"_"," ")," ",FIXED(IFERROR(INDEX(ATTIVO,MATCH(ROW()-12,COPIA!$CD$3:$CD$250,0),2),""),,FALSE)," euro"),SUBSTITUTE(IFERROR(INDEX(ATTIVO,MATCH(ROWS(B$13:$B34),COPIA!$CD$3:$CD$250,0),4),""),"_"," ")),"")),""))</f>
        <v/>
      </c>
      <c r="C34" s="115" t="str">
        <f ca="1">IF(IFERROR(IF(ROW()-9&gt;COPIA!$CI$1,INDEX(ECONOMICO,MATCH((ROWS($B$12:B34)-COPIA!$CI$2),COPIA!$CD$191:$CD$247,0),5),INDEX(ATTIVO,MATCH(ROWS($C$13:C34),COPIA!$CD$3:$CD$250,0),5)),0)=0,"",IFERROR(IF(ROW()-9&gt;COPIA!$CI$1,INDEX(ECONOMICO,MATCH((ROWS($B$12:B34)-COPIA!$CI$2),COPIA!$CD$191:$CD$247,0),5),INDEX(ATTIVO,MATCH(ROWS($C$13:C34),COPIA!$CD$3:$CD$250,0),5)),0))</f>
        <v/>
      </c>
      <c r="D34" s="135" t="str">
        <f ca="1">CONCATENATE(IFERROR(IF(MID(CONCATENATE(SUBSTITUTE(IFERROR(INDEX(PASSIVO,MATCH(ROWS(D$13:$D34),COPIA!$CD$105:$CD$189,0),4),""),"_"," ")," ",),8,6)="di cui",CONCATENATE(SUBSTITUTE(IFERROR(INDEX(PASSIVO,MATCH(ROWS(D$13:$D34),COPIA!$CD$105:$CD$189,0),4),""),"_"," ")," ",FIXED(IFERROR(INDEX(PASSIVO,MATCH(ROW()-12,COPIA!$CD$105:$CD$189,0),2),""),,FALSE)," euro"),SUBSTITUTE(IFERROR(INDEX(PASSIVO,MATCH(ROWS($D$13:$D34),COPIA!$CD$105:$CD$189,0),4),""),"_"," ")),""))</f>
        <v/>
      </c>
      <c r="E34" s="115" t="str">
        <f ca="1">IF(IFERROR(INDEX(PASSIVO,MATCH(ROWS($E$13:E34),COPIA!$CD$105:$CD$189,0),5),0)=0,"",IFERROR(INDEX(PASSIVO,MATCH(ROWS($E$13:E34),COPIA!$CD$105:$CD$189,0),5),0))</f>
        <v/>
      </c>
      <c r="H34" s="137" t="str">
        <f ca="1">SUBSTITUTE(IFERROR(INDEX(COPIA!$CG$22:$CK$187,MATCH(ROWS($H$13:H34),COPIA!$CK$22:$CK$187,0),1),""),"_"," ")</f>
        <v/>
      </c>
      <c r="I34" s="71"/>
      <c r="J34" s="7" t="str">
        <f ca="1">IFERROR(INDEX(COPIA!$CK$22:$CL$187,MATCH(ROWS(BILANCIO!$J$13:J34),COPIA!$CK$22:$CK$187,0),2),"")</f>
        <v/>
      </c>
    </row>
    <row r="35" spans="1:10" ht="15.9" customHeight="1" x14ac:dyDescent="0.3">
      <c r="A35" s="7">
        <f t="shared" ca="1" si="0"/>
        <v>0</v>
      </c>
      <c r="B35" s="132" t="str">
        <f ca="1">IF(ROW()-9&gt;COPIA!$CI$1,SUBSTITUTE(IFERROR(INDEX(ECONOMICO,MATCH((ROWS($B$12:B35)-COPIA!$CI$2),COPIA!$CD$191:$CD$247,0),4),""),"_"," "),IF(ROW()-9&lt;=COPIA!$CI$1,CONCATENATE(IFERROR(IF(MID(CONCATENATE(SUBSTITUTE(IFERROR(INDEX(ATTIVO,MATCH(ROWS(B$13:$B35),COPIA!$CD$3:$CD$250,0),4),""),"_"," ")," ",),8,6)="di cui",CONCATENATE(SUBSTITUTE(IFERROR(INDEX(ATTIVO,MATCH(ROWS(B$13:$B35),COPIA!$CD$3:$CD$250,0),4),""),"_"," ")," ",FIXED(IFERROR(INDEX(ATTIVO,MATCH(ROW()-12,COPIA!$CD$3:$CD$250,0),2),""),,FALSE)," euro"),SUBSTITUTE(IFERROR(INDEX(ATTIVO,MATCH(ROWS(B$13:$B35),COPIA!$CD$3:$CD$250,0),4),""),"_"," ")),"")),""))</f>
        <v/>
      </c>
      <c r="C35" s="115" t="str">
        <f ca="1">IF(IFERROR(IF(ROW()-9&gt;COPIA!$CI$1,INDEX(ECONOMICO,MATCH((ROWS($B$12:B35)-COPIA!$CI$2),COPIA!$CD$191:$CD$247,0),5),INDEX(ATTIVO,MATCH(ROWS($C$13:C35),COPIA!$CD$3:$CD$250,0),5)),0)=0,"",IFERROR(IF(ROW()-9&gt;COPIA!$CI$1,INDEX(ECONOMICO,MATCH((ROWS($B$12:B35)-COPIA!$CI$2),COPIA!$CD$191:$CD$247,0),5),INDEX(ATTIVO,MATCH(ROWS($C$13:C35),COPIA!$CD$3:$CD$250,0),5)),0))</f>
        <v/>
      </c>
      <c r="D35" s="135" t="str">
        <f ca="1">CONCATENATE(IFERROR(IF(MID(CONCATENATE(SUBSTITUTE(IFERROR(INDEX(PASSIVO,MATCH(ROWS(D$13:$D35),COPIA!$CD$105:$CD$189,0),4),""),"_"," ")," ",),8,6)="di cui",CONCATENATE(SUBSTITUTE(IFERROR(INDEX(PASSIVO,MATCH(ROWS(D$13:$D35),COPIA!$CD$105:$CD$189,0),4),""),"_"," ")," ",FIXED(IFERROR(INDEX(PASSIVO,MATCH(ROW()-12,COPIA!$CD$105:$CD$189,0),2),""),,FALSE)," euro"),SUBSTITUTE(IFERROR(INDEX(PASSIVO,MATCH(ROWS($D$13:$D35),COPIA!$CD$105:$CD$189,0),4),""),"_"," ")),""))</f>
        <v/>
      </c>
      <c r="E35" s="115" t="str">
        <f ca="1">IF(IFERROR(INDEX(PASSIVO,MATCH(ROWS($E$13:E35),COPIA!$CD$105:$CD$189,0),5),0)=0,"",IFERROR(INDEX(PASSIVO,MATCH(ROWS($E$13:E35),COPIA!$CD$105:$CD$189,0),5),0))</f>
        <v/>
      </c>
      <c r="H35" s="137" t="str">
        <f ca="1">SUBSTITUTE(IFERROR(INDEX(COPIA!$CG$22:$CK$187,MATCH(ROWS($H$13:H35),COPIA!$CK$22:$CK$187,0),1),""),"_"," ")</f>
        <v/>
      </c>
      <c r="I35" s="71"/>
      <c r="J35" s="7" t="str">
        <f ca="1">IFERROR(INDEX(COPIA!$CK$22:$CL$187,MATCH(ROWS(BILANCIO!$J$13:J35),COPIA!$CK$22:$CK$187,0),2),"")</f>
        <v/>
      </c>
    </row>
    <row r="36" spans="1:10" ht="15.9" customHeight="1" x14ac:dyDescent="0.3">
      <c r="A36" s="7">
        <f t="shared" ca="1" si="0"/>
        <v>0</v>
      </c>
      <c r="B36" s="132" t="str">
        <f ca="1">IF(ROW()-9&gt;COPIA!$CI$1,SUBSTITUTE(IFERROR(INDEX(ECONOMICO,MATCH((ROWS($B$12:B36)-COPIA!$CI$2),COPIA!$CD$191:$CD$247,0),4),""),"_"," "),IF(ROW()-9&lt;=COPIA!$CI$1,CONCATENATE(IFERROR(IF(MID(CONCATENATE(SUBSTITUTE(IFERROR(INDEX(ATTIVO,MATCH(ROWS(B$13:$B36),COPIA!$CD$3:$CD$250,0),4),""),"_"," ")," ",),8,6)="di cui",CONCATENATE(SUBSTITUTE(IFERROR(INDEX(ATTIVO,MATCH(ROWS(B$13:$B36),COPIA!$CD$3:$CD$250,0),4),""),"_"," ")," ",FIXED(IFERROR(INDEX(ATTIVO,MATCH(ROW()-12,COPIA!$CD$3:$CD$250,0),2),""),,FALSE)," euro"),SUBSTITUTE(IFERROR(INDEX(ATTIVO,MATCH(ROWS(B$13:$B36),COPIA!$CD$3:$CD$250,0),4),""),"_"," ")),"")),""))</f>
        <v/>
      </c>
      <c r="C36" s="115" t="str">
        <f ca="1">IF(IFERROR(IF(ROW()-9&gt;COPIA!$CI$1,INDEX(ECONOMICO,MATCH((ROWS($B$12:B36)-COPIA!$CI$2),COPIA!$CD$191:$CD$247,0),5),INDEX(ATTIVO,MATCH(ROWS($C$13:C36),COPIA!$CD$3:$CD$250,0),5)),0)=0,"",IFERROR(IF(ROW()-9&gt;COPIA!$CI$1,INDEX(ECONOMICO,MATCH((ROWS($B$12:B36)-COPIA!$CI$2),COPIA!$CD$191:$CD$247,0),5),INDEX(ATTIVO,MATCH(ROWS($C$13:C36),COPIA!$CD$3:$CD$250,0),5)),0))</f>
        <v/>
      </c>
      <c r="D36" s="135" t="str">
        <f ca="1">CONCATENATE(IFERROR(IF(MID(CONCATENATE(SUBSTITUTE(IFERROR(INDEX(PASSIVO,MATCH(ROWS(D$13:$D36),COPIA!$CD$105:$CD$189,0),4),""),"_"," ")," ",),8,6)="di cui",CONCATENATE(SUBSTITUTE(IFERROR(INDEX(PASSIVO,MATCH(ROWS(D$13:$D36),COPIA!$CD$105:$CD$189,0),4),""),"_"," ")," ",FIXED(IFERROR(INDEX(PASSIVO,MATCH(ROW()-12,COPIA!$CD$105:$CD$189,0),2),""),,FALSE)," euro"),SUBSTITUTE(IFERROR(INDEX(PASSIVO,MATCH(ROWS($D$13:$D36),COPIA!$CD$105:$CD$189,0),4),""),"_"," ")),""))</f>
        <v/>
      </c>
      <c r="E36" s="115" t="str">
        <f ca="1">IF(IFERROR(INDEX(PASSIVO,MATCH(ROWS($E$13:E36),COPIA!$CD$105:$CD$189,0),5),0)=0,"",IFERROR(INDEX(PASSIVO,MATCH(ROWS($E$13:E36),COPIA!$CD$105:$CD$189,0),5),0))</f>
        <v/>
      </c>
      <c r="H36" s="137" t="str">
        <f ca="1">SUBSTITUTE(IFERROR(INDEX(COPIA!$CG$22:$CK$187,MATCH(ROWS($H$13:H36),COPIA!$CK$22:$CK$187,0),1),""),"_"," ")</f>
        <v/>
      </c>
      <c r="I36" s="71"/>
      <c r="J36" s="7" t="str">
        <f ca="1">IFERROR(INDEX(COPIA!$CK$22:$CL$187,MATCH(ROWS(BILANCIO!$J$13:J36),COPIA!$CK$22:$CK$187,0),2),"")</f>
        <v/>
      </c>
    </row>
    <row r="37" spans="1:10" ht="15.9" customHeight="1" x14ac:dyDescent="0.3">
      <c r="A37" s="7">
        <f t="shared" ca="1" si="0"/>
        <v>0</v>
      </c>
      <c r="B37" s="132" t="str">
        <f ca="1">IF(ROW()-9&gt;COPIA!$CI$1,SUBSTITUTE(IFERROR(INDEX(ECONOMICO,MATCH((ROWS($B$12:B37)-COPIA!$CI$2),COPIA!$CD$191:$CD$247,0),4),""),"_"," "),IF(ROW()-9&lt;=COPIA!$CI$1,CONCATENATE(IFERROR(IF(MID(CONCATENATE(SUBSTITUTE(IFERROR(INDEX(ATTIVO,MATCH(ROWS(B$13:$B37),COPIA!$CD$3:$CD$250,0),4),""),"_"," ")," ",),8,6)="di cui",CONCATENATE(SUBSTITUTE(IFERROR(INDEX(ATTIVO,MATCH(ROWS(B$13:$B37),COPIA!$CD$3:$CD$250,0),4),""),"_"," ")," ",FIXED(IFERROR(INDEX(ATTIVO,MATCH(ROW()-12,COPIA!$CD$3:$CD$250,0),2),""),,FALSE)," euro"),SUBSTITUTE(IFERROR(INDEX(ATTIVO,MATCH(ROWS(B$13:$B37),COPIA!$CD$3:$CD$250,0),4),""),"_"," ")),"")),""))</f>
        <v/>
      </c>
      <c r="C37" s="115" t="str">
        <f ca="1">IF(IFERROR(IF(ROW()-9&gt;COPIA!$CI$1,INDEX(ECONOMICO,MATCH((ROWS($B$12:B37)-COPIA!$CI$2),COPIA!$CD$191:$CD$247,0),5),INDEX(ATTIVO,MATCH(ROWS($C$13:C37),COPIA!$CD$3:$CD$250,0),5)),0)=0,"",IFERROR(IF(ROW()-9&gt;COPIA!$CI$1,INDEX(ECONOMICO,MATCH((ROWS($B$12:B37)-COPIA!$CI$2),COPIA!$CD$191:$CD$247,0),5),INDEX(ATTIVO,MATCH(ROWS($C$13:C37),COPIA!$CD$3:$CD$250,0),5)),0))</f>
        <v/>
      </c>
      <c r="D37" s="135" t="str">
        <f ca="1">CONCATENATE(IFERROR(IF(MID(CONCATENATE(SUBSTITUTE(IFERROR(INDEX(PASSIVO,MATCH(ROWS(D$13:$D37),COPIA!$CD$105:$CD$189,0),4),""),"_"," ")," ",),8,6)="di cui",CONCATENATE(SUBSTITUTE(IFERROR(INDEX(PASSIVO,MATCH(ROWS(D$13:$D37),COPIA!$CD$105:$CD$189,0),4),""),"_"," ")," ",FIXED(IFERROR(INDEX(PASSIVO,MATCH(ROW()-12,COPIA!$CD$105:$CD$189,0),2),""),,FALSE)," euro"),SUBSTITUTE(IFERROR(INDEX(PASSIVO,MATCH(ROWS($D$13:$D37),COPIA!$CD$105:$CD$189,0),4),""),"_"," ")),""))</f>
        <v/>
      </c>
      <c r="E37" s="115" t="str">
        <f ca="1">IF(IFERROR(INDEX(PASSIVO,MATCH(ROWS($E$13:E37),COPIA!$CD$105:$CD$189,0),5),0)=0,"",IFERROR(INDEX(PASSIVO,MATCH(ROWS($E$13:E37),COPIA!$CD$105:$CD$189,0),5),0))</f>
        <v/>
      </c>
      <c r="H37" s="137" t="str">
        <f ca="1">SUBSTITUTE(IFERROR(INDEX(COPIA!$CG$22:$CK$187,MATCH(ROWS($H$13:H37),COPIA!$CK$22:$CK$187,0),1),""),"_"," ")</f>
        <v/>
      </c>
      <c r="I37" s="71"/>
      <c r="J37" s="7" t="str">
        <f ca="1">IFERROR(INDEX(COPIA!$CK$22:$CL$187,MATCH(ROWS(BILANCIO!$J$13:J37),COPIA!$CK$22:$CK$187,0),2),"")</f>
        <v/>
      </c>
    </row>
    <row r="38" spans="1:10" ht="15.9" customHeight="1" x14ac:dyDescent="0.3">
      <c r="A38" s="7">
        <f t="shared" ca="1" si="0"/>
        <v>0</v>
      </c>
      <c r="B38" s="132" t="str">
        <f ca="1">IF(ROW()-9&gt;COPIA!$CI$1,SUBSTITUTE(IFERROR(INDEX(ECONOMICO,MATCH((ROWS($B$12:B38)-COPIA!$CI$2),COPIA!$CD$191:$CD$247,0),4),""),"_"," "),IF(ROW()-9&lt;=COPIA!$CI$1,CONCATENATE(IFERROR(IF(MID(CONCATENATE(SUBSTITUTE(IFERROR(INDEX(ATTIVO,MATCH(ROWS(B$13:$B38),COPIA!$CD$3:$CD$250,0),4),""),"_"," ")," ",),8,6)="di cui",CONCATENATE(SUBSTITUTE(IFERROR(INDEX(ATTIVO,MATCH(ROWS(B$13:$B38),COPIA!$CD$3:$CD$250,0),4),""),"_"," ")," ",FIXED(IFERROR(INDEX(ATTIVO,MATCH(ROW()-12,COPIA!$CD$3:$CD$250,0),2),""),,FALSE)," euro"),SUBSTITUTE(IFERROR(INDEX(ATTIVO,MATCH(ROWS(B$13:$B38),COPIA!$CD$3:$CD$250,0),4),""),"_"," ")),"")),""))</f>
        <v/>
      </c>
      <c r="C38" s="115" t="str">
        <f ca="1">IF(IFERROR(IF(ROW()-9&gt;COPIA!$CI$1,INDEX(ECONOMICO,MATCH((ROWS($B$12:B38)-COPIA!$CI$2),COPIA!$CD$191:$CD$247,0),5),INDEX(ATTIVO,MATCH(ROWS($C$13:C38),COPIA!$CD$3:$CD$250,0),5)),0)=0,"",IFERROR(IF(ROW()-9&gt;COPIA!$CI$1,INDEX(ECONOMICO,MATCH((ROWS($B$12:B38)-COPIA!$CI$2),COPIA!$CD$191:$CD$247,0),5),INDEX(ATTIVO,MATCH(ROWS($C$13:C38),COPIA!$CD$3:$CD$250,0),5)),0))</f>
        <v/>
      </c>
      <c r="D38" s="135" t="str">
        <f ca="1">CONCATENATE(IFERROR(IF(MID(CONCATENATE(SUBSTITUTE(IFERROR(INDEX(PASSIVO,MATCH(ROWS(D$13:$D38),COPIA!$CD$105:$CD$189,0),4),""),"_"," ")," ",),8,6)="di cui",CONCATENATE(SUBSTITUTE(IFERROR(INDEX(PASSIVO,MATCH(ROWS(D$13:$D38),COPIA!$CD$105:$CD$189,0),4),""),"_"," ")," ",FIXED(IFERROR(INDEX(PASSIVO,MATCH(ROW()-12,COPIA!$CD$105:$CD$189,0),2),""),,FALSE)," euro"),SUBSTITUTE(IFERROR(INDEX(PASSIVO,MATCH(ROWS($D$13:$D38),COPIA!$CD$105:$CD$189,0),4),""),"_"," ")),""))</f>
        <v/>
      </c>
      <c r="E38" s="115" t="str">
        <f ca="1">IF(IFERROR(INDEX(PASSIVO,MATCH(ROWS($E$13:E38),COPIA!$CD$105:$CD$189,0),5),0)=0,"",IFERROR(INDEX(PASSIVO,MATCH(ROWS($E$13:E38),COPIA!$CD$105:$CD$189,0),5),0))</f>
        <v/>
      </c>
      <c r="H38" s="137" t="str">
        <f ca="1">SUBSTITUTE(IFERROR(INDEX(COPIA!$CG$22:$CK$187,MATCH(ROWS($H$13:H38),COPIA!$CK$22:$CK$187,0),1),""),"_"," ")</f>
        <v/>
      </c>
      <c r="I38" s="71"/>
      <c r="J38" s="7" t="str">
        <f ca="1">IFERROR(INDEX(COPIA!$CK$22:$CL$187,MATCH(ROWS(BILANCIO!$J$13:J38),COPIA!$CK$22:$CK$187,0),2),"")</f>
        <v/>
      </c>
    </row>
    <row r="39" spans="1:10" ht="15.9" customHeight="1" x14ac:dyDescent="0.3">
      <c r="A39" s="7">
        <f t="shared" ca="1" si="0"/>
        <v>0</v>
      </c>
      <c r="B39" s="132" t="str">
        <f ca="1">IF(ROW()-9&gt;COPIA!$CI$1,SUBSTITUTE(IFERROR(INDEX(ECONOMICO,MATCH((ROWS($B$12:B39)-COPIA!$CI$2),COPIA!$CD$191:$CD$247,0),4),""),"_"," "),IF(ROW()-9&lt;=COPIA!$CI$1,CONCATENATE(IFERROR(IF(MID(CONCATENATE(SUBSTITUTE(IFERROR(INDEX(ATTIVO,MATCH(ROWS(B$13:$B39),COPIA!$CD$3:$CD$250,0),4),""),"_"," ")," ",),8,6)="di cui",CONCATENATE(SUBSTITUTE(IFERROR(INDEX(ATTIVO,MATCH(ROWS(B$13:$B39),COPIA!$CD$3:$CD$250,0),4),""),"_"," ")," ",FIXED(IFERROR(INDEX(ATTIVO,MATCH(ROW()-12,COPIA!$CD$3:$CD$250,0),2),""),,FALSE)," euro"),SUBSTITUTE(IFERROR(INDEX(ATTIVO,MATCH(ROWS(B$13:$B39),COPIA!$CD$3:$CD$250,0),4),""),"_"," ")),"")),""))</f>
        <v/>
      </c>
      <c r="C39" s="115" t="str">
        <f ca="1">IF(IFERROR(IF(ROW()-9&gt;COPIA!$CI$1,INDEX(ECONOMICO,MATCH((ROWS($B$12:B39)-COPIA!$CI$2),COPIA!$CD$191:$CD$247,0),5),INDEX(ATTIVO,MATCH(ROWS($C$13:C39),COPIA!$CD$3:$CD$250,0),5)),0)=0,"",IFERROR(IF(ROW()-9&gt;COPIA!$CI$1,INDEX(ECONOMICO,MATCH((ROWS($B$12:B39)-COPIA!$CI$2),COPIA!$CD$191:$CD$247,0),5),INDEX(ATTIVO,MATCH(ROWS($C$13:C39),COPIA!$CD$3:$CD$250,0),5)),0))</f>
        <v/>
      </c>
      <c r="D39" s="135" t="str">
        <f ca="1">CONCATENATE(IFERROR(IF(MID(CONCATENATE(SUBSTITUTE(IFERROR(INDEX(PASSIVO,MATCH(ROWS(D$13:$D39),COPIA!$CD$105:$CD$189,0),4),""),"_"," ")," ",),8,6)="di cui",CONCATENATE(SUBSTITUTE(IFERROR(INDEX(PASSIVO,MATCH(ROWS(D$13:$D39),COPIA!$CD$105:$CD$189,0),4),""),"_"," ")," ",FIXED(IFERROR(INDEX(PASSIVO,MATCH(ROW()-12,COPIA!$CD$105:$CD$189,0),2),""),,FALSE)," euro"),SUBSTITUTE(IFERROR(INDEX(PASSIVO,MATCH(ROWS($D$13:$D39),COPIA!$CD$105:$CD$189,0),4),""),"_"," ")),""))</f>
        <v/>
      </c>
      <c r="E39" s="115" t="str">
        <f ca="1">IF(IFERROR(INDEX(PASSIVO,MATCH(ROWS($E$13:E39),COPIA!$CD$105:$CD$189,0),5),0)=0,"",IFERROR(INDEX(PASSIVO,MATCH(ROWS($E$13:E39),COPIA!$CD$105:$CD$189,0),5),0))</f>
        <v/>
      </c>
      <c r="H39" s="137" t="str">
        <f ca="1">SUBSTITUTE(IFERROR(INDEX(COPIA!$CG$22:$CK$187,MATCH(ROWS($H$13:H39),COPIA!$CK$22:$CK$187,0),1),""),"_"," ")</f>
        <v/>
      </c>
      <c r="I39" s="71"/>
      <c r="J39" s="7" t="str">
        <f ca="1">IFERROR(INDEX(COPIA!$CK$22:$CL$187,MATCH(ROWS(BILANCIO!$J$13:J39),COPIA!$CK$22:$CK$187,0),2),"")</f>
        <v/>
      </c>
    </row>
    <row r="40" spans="1:10" ht="15.9" customHeight="1" x14ac:dyDescent="0.3">
      <c r="A40" s="7">
        <f t="shared" ca="1" si="0"/>
        <v>0</v>
      </c>
      <c r="B40" s="132" t="str">
        <f ca="1">IF(ROW()-9&gt;COPIA!$CI$1,SUBSTITUTE(IFERROR(INDEX(ECONOMICO,MATCH((ROWS($B$12:B40)-COPIA!$CI$2),COPIA!$CD$191:$CD$247,0),4),""),"_"," "),IF(ROW()-9&lt;=COPIA!$CI$1,CONCATENATE(IFERROR(IF(MID(CONCATENATE(SUBSTITUTE(IFERROR(INDEX(ATTIVO,MATCH(ROWS(B$13:$B40),COPIA!$CD$3:$CD$250,0),4),""),"_"," ")," ",),8,6)="di cui",CONCATENATE(SUBSTITUTE(IFERROR(INDEX(ATTIVO,MATCH(ROWS(B$13:$B40),COPIA!$CD$3:$CD$250,0),4),""),"_"," ")," ",FIXED(IFERROR(INDEX(ATTIVO,MATCH(ROW()-12,COPIA!$CD$3:$CD$250,0),2),""),,FALSE)," euro"),SUBSTITUTE(IFERROR(INDEX(ATTIVO,MATCH(ROWS(B$13:$B40),COPIA!$CD$3:$CD$250,0),4),""),"_"," ")),"")),""))</f>
        <v/>
      </c>
      <c r="C40" s="115" t="str">
        <f ca="1">IF(IFERROR(IF(ROW()-9&gt;COPIA!$CI$1,INDEX(ECONOMICO,MATCH((ROWS($B$12:B40)-COPIA!$CI$2),COPIA!$CD$191:$CD$247,0),5),INDEX(ATTIVO,MATCH(ROWS($C$13:C40),COPIA!$CD$3:$CD$250,0),5)),0)=0,"",IFERROR(IF(ROW()-9&gt;COPIA!$CI$1,INDEX(ECONOMICO,MATCH((ROWS($B$12:B40)-COPIA!$CI$2),COPIA!$CD$191:$CD$247,0),5),INDEX(ATTIVO,MATCH(ROWS($C$13:C40),COPIA!$CD$3:$CD$250,0),5)),0))</f>
        <v/>
      </c>
      <c r="D40" s="135" t="str">
        <f ca="1">CONCATENATE(IFERROR(IF(MID(CONCATENATE(SUBSTITUTE(IFERROR(INDEX(PASSIVO,MATCH(ROWS(D$13:$D40),COPIA!$CD$105:$CD$189,0),4),""),"_"," ")," ",),8,6)="di cui",CONCATENATE(SUBSTITUTE(IFERROR(INDEX(PASSIVO,MATCH(ROWS(D$13:$D40),COPIA!$CD$105:$CD$189,0),4),""),"_"," ")," ",FIXED(IFERROR(INDEX(PASSIVO,MATCH(ROW()-12,COPIA!$CD$105:$CD$189,0),2),""),,FALSE)," euro"),SUBSTITUTE(IFERROR(INDEX(PASSIVO,MATCH(ROWS($D$13:$D40),COPIA!$CD$105:$CD$189,0),4),""),"_"," ")),""))</f>
        <v/>
      </c>
      <c r="E40" s="115" t="str">
        <f ca="1">IF(IFERROR(INDEX(PASSIVO,MATCH(ROWS($E$13:E40),COPIA!$CD$105:$CD$189,0),5),0)=0,"",IFERROR(INDEX(PASSIVO,MATCH(ROWS($E$13:E40),COPIA!$CD$105:$CD$189,0),5),0))</f>
        <v/>
      </c>
      <c r="H40" s="137" t="str">
        <f ca="1">SUBSTITUTE(IFERROR(INDEX(COPIA!$CG$22:$CK$187,MATCH(ROWS($H$13:H40),COPIA!$CK$22:$CK$187,0),1),""),"_"," ")</f>
        <v/>
      </c>
      <c r="I40" s="71"/>
      <c r="J40" s="7" t="str">
        <f ca="1">IFERROR(INDEX(COPIA!$CK$22:$CL$187,MATCH(ROWS(BILANCIO!$J$13:J40),COPIA!$CK$22:$CK$187,0),2),"")</f>
        <v/>
      </c>
    </row>
    <row r="41" spans="1:10" ht="15.9" customHeight="1" x14ac:dyDescent="0.3">
      <c r="A41" s="7">
        <f t="shared" ca="1" si="0"/>
        <v>0</v>
      </c>
      <c r="B41" s="132" t="str">
        <f ca="1">IF(ROW()-9&gt;COPIA!$CI$1,SUBSTITUTE(IFERROR(INDEX(ECONOMICO,MATCH((ROWS($B$12:B41)-COPIA!$CI$2),COPIA!$CD$191:$CD$247,0),4),""),"_"," "),IF(ROW()-9&lt;=COPIA!$CI$1,CONCATENATE(IFERROR(IF(MID(CONCATENATE(SUBSTITUTE(IFERROR(INDEX(ATTIVO,MATCH(ROWS(B$13:$B41),COPIA!$CD$3:$CD$250,0),4),""),"_"," ")," ",),8,6)="di cui",CONCATENATE(SUBSTITUTE(IFERROR(INDEX(ATTIVO,MATCH(ROWS(B$13:$B41),COPIA!$CD$3:$CD$250,0),4),""),"_"," ")," ",FIXED(IFERROR(INDEX(ATTIVO,MATCH(ROW()-12,COPIA!$CD$3:$CD$250,0),2),""),,FALSE)," euro"),SUBSTITUTE(IFERROR(INDEX(ATTIVO,MATCH(ROWS(B$13:$B41),COPIA!$CD$3:$CD$250,0),4),""),"_"," ")),"")),""))</f>
        <v/>
      </c>
      <c r="C41" s="115" t="str">
        <f ca="1">IF(IFERROR(IF(ROW()-9&gt;COPIA!$CI$1,INDEX(ECONOMICO,MATCH((ROWS($B$12:B41)-COPIA!$CI$2),COPIA!$CD$191:$CD$247,0),5),INDEX(ATTIVO,MATCH(ROWS($C$13:C41),COPIA!$CD$3:$CD$250,0),5)),0)=0,"",IFERROR(IF(ROW()-9&gt;COPIA!$CI$1,INDEX(ECONOMICO,MATCH((ROWS($B$12:B41)-COPIA!$CI$2),COPIA!$CD$191:$CD$247,0),5),INDEX(ATTIVO,MATCH(ROWS($C$13:C41),COPIA!$CD$3:$CD$250,0),5)),0))</f>
        <v/>
      </c>
      <c r="D41" s="135" t="str">
        <f ca="1">CONCATENATE(IFERROR(IF(MID(CONCATENATE(SUBSTITUTE(IFERROR(INDEX(PASSIVO,MATCH(ROWS(D$13:$D41),COPIA!$CD$105:$CD$189,0),4),""),"_"," ")," ",),8,6)="di cui",CONCATENATE(SUBSTITUTE(IFERROR(INDEX(PASSIVO,MATCH(ROWS(D$13:$D41),COPIA!$CD$105:$CD$189,0),4),""),"_"," ")," ",FIXED(IFERROR(INDEX(PASSIVO,MATCH(ROW()-12,COPIA!$CD$105:$CD$189,0),2),""),,FALSE)," euro"),SUBSTITUTE(IFERROR(INDEX(PASSIVO,MATCH(ROWS($D$13:$D41),COPIA!$CD$105:$CD$189,0),4),""),"_"," ")),""))</f>
        <v/>
      </c>
      <c r="E41" s="115" t="str">
        <f ca="1">IF(IFERROR(INDEX(PASSIVO,MATCH(ROWS($E$13:E41),COPIA!$CD$105:$CD$189,0),5),0)=0,"",IFERROR(INDEX(PASSIVO,MATCH(ROWS($E$13:E41),COPIA!$CD$105:$CD$189,0),5),0))</f>
        <v/>
      </c>
      <c r="H41" s="137" t="str">
        <f ca="1">SUBSTITUTE(IFERROR(INDEX(COPIA!$CG$22:$CK$187,MATCH(ROWS($H$13:H41),COPIA!$CK$22:$CK$187,0),1),""),"_"," ")</f>
        <v/>
      </c>
      <c r="I41" s="71"/>
      <c r="J41" s="7" t="str">
        <f ca="1">IFERROR(INDEX(COPIA!$CK$22:$CL$187,MATCH(ROWS(BILANCIO!$J$13:J41),COPIA!$CK$22:$CK$187,0),2),"")</f>
        <v/>
      </c>
    </row>
    <row r="42" spans="1:10" ht="15.9" customHeight="1" x14ac:dyDescent="0.3">
      <c r="A42" s="7">
        <f t="shared" ca="1" si="0"/>
        <v>0</v>
      </c>
      <c r="B42" s="132" t="str">
        <f ca="1">IF(ROW()-9&gt;COPIA!$CI$1,SUBSTITUTE(IFERROR(INDEX(ECONOMICO,MATCH((ROWS($B$12:B42)-COPIA!$CI$2),COPIA!$CD$191:$CD$247,0),4),""),"_"," "),IF(ROW()-9&lt;=COPIA!$CI$1,CONCATENATE(IFERROR(IF(MID(CONCATENATE(SUBSTITUTE(IFERROR(INDEX(ATTIVO,MATCH(ROWS(B$13:$B42),COPIA!$CD$3:$CD$250,0),4),""),"_"," ")," ",),8,6)="di cui",CONCATENATE(SUBSTITUTE(IFERROR(INDEX(ATTIVO,MATCH(ROWS(B$13:$B42),COPIA!$CD$3:$CD$250,0),4),""),"_"," ")," ",FIXED(IFERROR(INDEX(ATTIVO,MATCH(ROW()-12,COPIA!$CD$3:$CD$250,0),2),""),,FALSE)," euro"),SUBSTITUTE(IFERROR(INDEX(ATTIVO,MATCH(ROWS(B$13:$B42),COPIA!$CD$3:$CD$250,0),4),""),"_"," ")),"")),""))</f>
        <v/>
      </c>
      <c r="C42" s="115" t="str">
        <f ca="1">IF(IFERROR(IF(ROW()-9&gt;COPIA!$CI$1,INDEX(ECONOMICO,MATCH((ROWS($B$12:B42)-COPIA!$CI$2),COPIA!$CD$191:$CD$247,0),5),INDEX(ATTIVO,MATCH(ROWS($C$13:C42),COPIA!$CD$3:$CD$250,0),5)),0)=0,"",IFERROR(IF(ROW()-9&gt;COPIA!$CI$1,INDEX(ECONOMICO,MATCH((ROWS($B$12:B42)-COPIA!$CI$2),COPIA!$CD$191:$CD$247,0),5),INDEX(ATTIVO,MATCH(ROWS($C$13:C42),COPIA!$CD$3:$CD$250,0),5)),0))</f>
        <v/>
      </c>
      <c r="D42" s="135" t="str">
        <f ca="1">CONCATENATE(IFERROR(IF(MID(CONCATENATE(SUBSTITUTE(IFERROR(INDEX(PASSIVO,MATCH(ROWS(D$13:$D42),COPIA!$CD$105:$CD$189,0),4),""),"_"," ")," ",),8,6)="di cui",CONCATENATE(SUBSTITUTE(IFERROR(INDEX(PASSIVO,MATCH(ROWS(D$13:$D42),COPIA!$CD$105:$CD$189,0),4),""),"_"," ")," ",FIXED(IFERROR(INDEX(PASSIVO,MATCH(ROW()-12,COPIA!$CD$105:$CD$189,0),2),""),,FALSE)," euro"),SUBSTITUTE(IFERROR(INDEX(PASSIVO,MATCH(ROWS($D$13:$D42),COPIA!$CD$105:$CD$189,0),4),""),"_"," ")),""))</f>
        <v/>
      </c>
      <c r="E42" s="115" t="str">
        <f ca="1">IF(IFERROR(INDEX(PASSIVO,MATCH(ROWS($E$13:E42),COPIA!$CD$105:$CD$189,0),5),0)=0,"",IFERROR(INDEX(PASSIVO,MATCH(ROWS($E$13:E42),COPIA!$CD$105:$CD$189,0),5),0))</f>
        <v/>
      </c>
      <c r="H42" s="137" t="str">
        <f ca="1">SUBSTITUTE(IFERROR(INDEX(COPIA!$CG$22:$CK$187,MATCH(ROWS($H$13:H42),COPIA!$CK$22:$CK$187,0),1),""),"_"," ")</f>
        <v/>
      </c>
      <c r="I42" s="71"/>
      <c r="J42" s="7" t="str">
        <f ca="1">IFERROR(INDEX(COPIA!$CK$22:$CL$187,MATCH(ROWS(BILANCIO!$J$13:J42),COPIA!$CK$22:$CK$187,0),2),"")</f>
        <v/>
      </c>
    </row>
    <row r="43" spans="1:10" ht="15.9" customHeight="1" x14ac:dyDescent="0.3">
      <c r="A43" s="7">
        <f t="shared" ca="1" si="0"/>
        <v>0</v>
      </c>
      <c r="B43" s="132" t="str">
        <f ca="1">IF(ROW()-9&gt;COPIA!$CI$1,SUBSTITUTE(IFERROR(INDEX(ECONOMICO,MATCH((ROWS($B$12:B43)-COPIA!$CI$2),COPIA!$CD$191:$CD$247,0),4),""),"_"," "),IF(ROW()-9&lt;=COPIA!$CI$1,CONCATENATE(IFERROR(IF(MID(CONCATENATE(SUBSTITUTE(IFERROR(INDEX(ATTIVO,MATCH(ROWS(B$13:$B43),COPIA!$CD$3:$CD$250,0),4),""),"_"," ")," ",),8,6)="di cui",CONCATENATE(SUBSTITUTE(IFERROR(INDEX(ATTIVO,MATCH(ROWS(B$13:$B43),COPIA!$CD$3:$CD$250,0),4),""),"_"," ")," ",FIXED(IFERROR(INDEX(ATTIVO,MATCH(ROW()-12,COPIA!$CD$3:$CD$250,0),2),""),,FALSE)," euro"),SUBSTITUTE(IFERROR(INDEX(ATTIVO,MATCH(ROWS(B$13:$B43),COPIA!$CD$3:$CD$250,0),4),""),"_"," ")),"")),""))</f>
        <v/>
      </c>
      <c r="C43" s="115" t="str">
        <f ca="1">IF(IFERROR(IF(ROW()-9&gt;COPIA!$CI$1,INDEX(ECONOMICO,MATCH((ROWS($B$12:B43)-COPIA!$CI$2),COPIA!$CD$191:$CD$247,0),5),INDEX(ATTIVO,MATCH(ROWS($C$13:C43),COPIA!$CD$3:$CD$250,0),5)),0)=0,"",IFERROR(IF(ROW()-9&gt;COPIA!$CI$1,INDEX(ECONOMICO,MATCH((ROWS($B$12:B43)-COPIA!$CI$2),COPIA!$CD$191:$CD$247,0),5),INDEX(ATTIVO,MATCH(ROWS($C$13:C43),COPIA!$CD$3:$CD$250,0),5)),0))</f>
        <v/>
      </c>
      <c r="D43" s="135" t="str">
        <f ca="1">CONCATENATE(IFERROR(IF(MID(CONCATENATE(SUBSTITUTE(IFERROR(INDEX(PASSIVO,MATCH(ROWS(D$13:$D43),COPIA!$CD$105:$CD$189,0),4),""),"_"," ")," ",),8,6)="di cui",CONCATENATE(SUBSTITUTE(IFERROR(INDEX(PASSIVO,MATCH(ROWS(D$13:$D43),COPIA!$CD$105:$CD$189,0),4),""),"_"," ")," ",FIXED(IFERROR(INDEX(PASSIVO,MATCH(ROW()-12,COPIA!$CD$105:$CD$189,0),2),""),,FALSE)," euro"),SUBSTITUTE(IFERROR(INDEX(PASSIVO,MATCH(ROWS($D$13:$D43),COPIA!$CD$105:$CD$189,0),4),""),"_"," ")),""))</f>
        <v/>
      </c>
      <c r="E43" s="115" t="str">
        <f ca="1">IF(IFERROR(INDEX(PASSIVO,MATCH(ROWS($E$13:E43),COPIA!$CD$105:$CD$189,0),5),0)=0,"",IFERROR(INDEX(PASSIVO,MATCH(ROWS($E$13:E43),COPIA!$CD$105:$CD$189,0),5),0))</f>
        <v/>
      </c>
      <c r="H43" s="137" t="str">
        <f ca="1">SUBSTITUTE(IFERROR(INDEX(COPIA!$CG$22:$CK$187,MATCH(ROWS($H$13:H43),COPIA!$CK$22:$CK$187,0),1),""),"_"," ")</f>
        <v/>
      </c>
      <c r="I43" s="71"/>
      <c r="J43" s="7" t="str">
        <f ca="1">IFERROR(INDEX(COPIA!$CK$22:$CL$187,MATCH(ROWS(BILANCIO!$J$13:J43),COPIA!$CK$22:$CK$187,0),2),"")</f>
        <v/>
      </c>
    </row>
    <row r="44" spans="1:10" ht="15.9" customHeight="1" x14ac:dyDescent="0.3">
      <c r="A44" s="7">
        <f t="shared" ca="1" si="0"/>
        <v>0</v>
      </c>
      <c r="B44" s="132" t="str">
        <f ca="1">IF(ROW()-9&gt;COPIA!$CI$1,SUBSTITUTE(IFERROR(INDEX(ECONOMICO,MATCH((ROWS($B$12:B44)-COPIA!$CI$2),COPIA!$CD$191:$CD$247,0),4),""),"_"," "),IF(ROW()-9&lt;=COPIA!$CI$1,CONCATENATE(IFERROR(IF(MID(CONCATENATE(SUBSTITUTE(IFERROR(INDEX(ATTIVO,MATCH(ROWS(B$13:$B44),COPIA!$CD$3:$CD$250,0),4),""),"_"," ")," ",),8,6)="di cui",CONCATENATE(SUBSTITUTE(IFERROR(INDEX(ATTIVO,MATCH(ROWS(B$13:$B44),COPIA!$CD$3:$CD$250,0),4),""),"_"," ")," ",FIXED(IFERROR(INDEX(ATTIVO,MATCH(ROW()-12,COPIA!$CD$3:$CD$250,0),2),""),,FALSE)," euro"),SUBSTITUTE(IFERROR(INDEX(ATTIVO,MATCH(ROWS(B$13:$B44),COPIA!$CD$3:$CD$250,0),4),""),"_"," ")),"")),""))</f>
        <v/>
      </c>
      <c r="C44" s="115" t="str">
        <f ca="1">IF(IFERROR(IF(ROW()-9&gt;COPIA!$CI$1,INDEX(ECONOMICO,MATCH((ROWS($B$12:B44)-COPIA!$CI$2),COPIA!$CD$191:$CD$247,0),5),INDEX(ATTIVO,MATCH(ROWS($C$13:C44),COPIA!$CD$3:$CD$250,0),5)),0)=0,"",IFERROR(IF(ROW()-9&gt;COPIA!$CI$1,INDEX(ECONOMICO,MATCH((ROWS($B$12:B44)-COPIA!$CI$2),COPIA!$CD$191:$CD$247,0),5),INDEX(ATTIVO,MATCH(ROWS($C$13:C44),COPIA!$CD$3:$CD$250,0),5)),0))</f>
        <v/>
      </c>
      <c r="D44" s="135" t="str">
        <f ca="1">CONCATENATE(IFERROR(IF(MID(CONCATENATE(SUBSTITUTE(IFERROR(INDEX(PASSIVO,MATCH(ROWS(D$13:$D44),COPIA!$CD$105:$CD$189,0),4),""),"_"," ")," ",),8,6)="di cui",CONCATENATE(SUBSTITUTE(IFERROR(INDEX(PASSIVO,MATCH(ROWS(D$13:$D44),COPIA!$CD$105:$CD$189,0),4),""),"_"," ")," ",FIXED(IFERROR(INDEX(PASSIVO,MATCH(ROW()-12,COPIA!$CD$105:$CD$189,0),2),""),,FALSE)," euro"),SUBSTITUTE(IFERROR(INDEX(PASSIVO,MATCH(ROWS($D$13:$D44),COPIA!$CD$105:$CD$189,0),4),""),"_"," ")),""))</f>
        <v/>
      </c>
      <c r="E44" s="115" t="str">
        <f ca="1">IF(IFERROR(INDEX(PASSIVO,MATCH(ROWS($E$13:E44),COPIA!$CD$105:$CD$189,0),5),0)=0,"",IFERROR(INDEX(PASSIVO,MATCH(ROWS($E$13:E44),COPIA!$CD$105:$CD$189,0),5),0))</f>
        <v/>
      </c>
      <c r="H44" s="137" t="str">
        <f ca="1">SUBSTITUTE(IFERROR(INDEX(COPIA!$CG$22:$CK$187,MATCH(ROWS($H$13:H44),COPIA!$CK$22:$CK$187,0),1),""),"_"," ")</f>
        <v/>
      </c>
      <c r="I44" s="71"/>
      <c r="J44" s="7" t="str">
        <f ca="1">IFERROR(INDEX(COPIA!$CK$22:$CL$187,MATCH(ROWS(BILANCIO!$J$13:J44),COPIA!$CK$22:$CK$187,0),2),"")</f>
        <v/>
      </c>
    </row>
    <row r="45" spans="1:10" ht="15.9" customHeight="1" x14ac:dyDescent="0.3">
      <c r="A45" s="7">
        <f t="shared" ca="1" si="0"/>
        <v>0</v>
      </c>
      <c r="B45" s="132" t="str">
        <f ca="1">IF(ROW()-9&gt;COPIA!$CI$1,SUBSTITUTE(IFERROR(INDEX(ECONOMICO,MATCH((ROWS($B$12:B45)-COPIA!$CI$2),COPIA!$CD$191:$CD$247,0),4),""),"_"," "),IF(ROW()-9&lt;=COPIA!$CI$1,CONCATENATE(IFERROR(IF(MID(CONCATENATE(SUBSTITUTE(IFERROR(INDEX(ATTIVO,MATCH(ROWS(B$13:$B45),COPIA!$CD$3:$CD$250,0),4),""),"_"," ")," ",),8,6)="di cui",CONCATENATE(SUBSTITUTE(IFERROR(INDEX(ATTIVO,MATCH(ROWS(B$13:$B45),COPIA!$CD$3:$CD$250,0),4),""),"_"," ")," ",FIXED(IFERROR(INDEX(ATTIVO,MATCH(ROW()-12,COPIA!$CD$3:$CD$250,0),2),""),,FALSE)," euro"),SUBSTITUTE(IFERROR(INDEX(ATTIVO,MATCH(ROWS(B$13:$B45),COPIA!$CD$3:$CD$250,0),4),""),"_"," ")),"")),""))</f>
        <v/>
      </c>
      <c r="C45" s="115" t="str">
        <f ca="1">IF(IFERROR(IF(ROW()-9&gt;COPIA!$CI$1,INDEX(ECONOMICO,MATCH((ROWS($B$12:B45)-COPIA!$CI$2),COPIA!$CD$191:$CD$247,0),5),INDEX(ATTIVO,MATCH(ROWS($C$13:C45),COPIA!$CD$3:$CD$250,0),5)),0)=0,"",IFERROR(IF(ROW()-9&gt;COPIA!$CI$1,INDEX(ECONOMICO,MATCH((ROWS($B$12:B45)-COPIA!$CI$2),COPIA!$CD$191:$CD$247,0),5),INDEX(ATTIVO,MATCH(ROWS($C$13:C45),COPIA!$CD$3:$CD$250,0),5)),0))</f>
        <v/>
      </c>
      <c r="D45" s="135" t="str">
        <f ca="1">CONCATENATE(IFERROR(IF(MID(CONCATENATE(SUBSTITUTE(IFERROR(INDEX(PASSIVO,MATCH(ROWS(D$13:$D45),COPIA!$CD$105:$CD$189,0),4),""),"_"," ")," ",),8,6)="di cui",CONCATENATE(SUBSTITUTE(IFERROR(INDEX(PASSIVO,MATCH(ROWS(D$13:$D45),COPIA!$CD$105:$CD$189,0),4),""),"_"," ")," ",FIXED(IFERROR(INDEX(PASSIVO,MATCH(ROW()-12,COPIA!$CD$105:$CD$189,0),2),""),,FALSE)," euro"),SUBSTITUTE(IFERROR(INDEX(PASSIVO,MATCH(ROWS($D$13:$D45),COPIA!$CD$105:$CD$189,0),4),""),"_"," ")),""))</f>
        <v/>
      </c>
      <c r="E45" s="115" t="str">
        <f ca="1">IF(IFERROR(INDEX(PASSIVO,MATCH(ROWS($E$13:E45),COPIA!$CD$105:$CD$189,0),5),0)=0,"",IFERROR(INDEX(PASSIVO,MATCH(ROWS($E$13:E45),COPIA!$CD$105:$CD$189,0),5),0))</f>
        <v/>
      </c>
      <c r="H45" s="137" t="str">
        <f ca="1">SUBSTITUTE(IFERROR(INDEX(COPIA!$CG$22:$CK$187,MATCH(ROWS($H$13:H45),COPIA!$CK$22:$CK$187,0),1),""),"_"," ")</f>
        <v/>
      </c>
      <c r="I45" s="71"/>
      <c r="J45" s="7" t="str">
        <f ca="1">IFERROR(INDEX(COPIA!$CK$22:$CL$187,MATCH(ROWS(BILANCIO!$J$13:J45),COPIA!$CK$22:$CK$187,0),2),"")</f>
        <v/>
      </c>
    </row>
    <row r="46" spans="1:10" ht="15.9" customHeight="1" x14ac:dyDescent="0.3">
      <c r="A46" s="7">
        <f t="shared" ca="1" si="0"/>
        <v>0</v>
      </c>
      <c r="B46" s="132" t="str">
        <f ca="1">IF(ROW()-9&gt;COPIA!$CI$1,SUBSTITUTE(IFERROR(INDEX(ECONOMICO,MATCH((ROWS($B$12:B46)-COPIA!$CI$2),COPIA!$CD$191:$CD$247,0),4),""),"_"," "),IF(ROW()-9&lt;=COPIA!$CI$1,CONCATENATE(IFERROR(IF(MID(CONCATENATE(SUBSTITUTE(IFERROR(INDEX(ATTIVO,MATCH(ROWS(B$13:$B46),COPIA!$CD$3:$CD$250,0),4),""),"_"," ")," ",),8,6)="di cui",CONCATENATE(SUBSTITUTE(IFERROR(INDEX(ATTIVO,MATCH(ROWS(B$13:$B46),COPIA!$CD$3:$CD$250,0),4),""),"_"," ")," ",FIXED(IFERROR(INDEX(ATTIVO,MATCH(ROW()-12,COPIA!$CD$3:$CD$250,0),2),""),,FALSE)," euro"),SUBSTITUTE(IFERROR(INDEX(ATTIVO,MATCH(ROWS(B$13:$B46),COPIA!$CD$3:$CD$250,0),4),""),"_"," ")),"")),""))</f>
        <v/>
      </c>
      <c r="C46" s="115" t="str">
        <f ca="1">IF(IFERROR(IF(ROW()-9&gt;COPIA!$CI$1,INDEX(ECONOMICO,MATCH((ROWS($B$12:B46)-COPIA!$CI$2),COPIA!$CD$191:$CD$247,0),5),INDEX(ATTIVO,MATCH(ROWS($C$13:C46),COPIA!$CD$3:$CD$250,0),5)),0)=0,"",IFERROR(IF(ROW()-9&gt;COPIA!$CI$1,INDEX(ECONOMICO,MATCH((ROWS($B$12:B46)-COPIA!$CI$2),COPIA!$CD$191:$CD$247,0),5),INDEX(ATTIVO,MATCH(ROWS($C$13:C46),COPIA!$CD$3:$CD$250,0),5)),0))</f>
        <v/>
      </c>
      <c r="D46" s="135" t="str">
        <f ca="1">CONCATENATE(IFERROR(IF(MID(CONCATENATE(SUBSTITUTE(IFERROR(INDEX(PASSIVO,MATCH(ROWS(D$13:$D46),COPIA!$CD$105:$CD$189,0),4),""),"_"," ")," ",),8,6)="di cui",CONCATENATE(SUBSTITUTE(IFERROR(INDEX(PASSIVO,MATCH(ROWS(D$13:$D46),COPIA!$CD$105:$CD$189,0),4),""),"_"," ")," ",FIXED(IFERROR(INDEX(PASSIVO,MATCH(ROW()-12,COPIA!$CD$105:$CD$189,0),2),""),,FALSE)," euro"),SUBSTITUTE(IFERROR(INDEX(PASSIVO,MATCH(ROWS($D$13:$D46),COPIA!$CD$105:$CD$189,0),4),""),"_"," ")),""))</f>
        <v/>
      </c>
      <c r="E46" s="115" t="str">
        <f ca="1">IF(IFERROR(INDEX(PASSIVO,MATCH(ROWS($E$13:E46),COPIA!$CD$105:$CD$189,0),5),0)=0,"",IFERROR(INDEX(PASSIVO,MATCH(ROWS($E$13:E46),COPIA!$CD$105:$CD$189,0),5),0))</f>
        <v/>
      </c>
      <c r="H46" s="137" t="str">
        <f ca="1">SUBSTITUTE(IFERROR(INDEX(COPIA!$CG$22:$CK$187,MATCH(ROWS($H$13:H46),COPIA!$CK$22:$CK$187,0),1),""),"_"," ")</f>
        <v/>
      </c>
      <c r="I46" s="71"/>
      <c r="J46" s="7" t="str">
        <f ca="1">IFERROR(INDEX(COPIA!$CK$22:$CL$187,MATCH(ROWS(BILANCIO!$J$13:J46),COPIA!$CK$22:$CK$187,0),2),"")</f>
        <v/>
      </c>
    </row>
    <row r="47" spans="1:10" ht="15.9" customHeight="1" x14ac:dyDescent="0.3">
      <c r="A47" s="7">
        <f t="shared" ca="1" si="0"/>
        <v>0</v>
      </c>
      <c r="B47" s="132" t="str">
        <f ca="1">IF(ROW()-9&gt;COPIA!$CI$1,SUBSTITUTE(IFERROR(INDEX(ECONOMICO,MATCH((ROWS($B$12:B47)-COPIA!$CI$2),COPIA!$CD$191:$CD$247,0),4),""),"_"," "),IF(ROW()-9&lt;=COPIA!$CI$1,CONCATENATE(IFERROR(IF(MID(CONCATENATE(SUBSTITUTE(IFERROR(INDEX(ATTIVO,MATCH(ROWS(B$13:$B47),COPIA!$CD$3:$CD$250,0),4),""),"_"," ")," ",),8,6)="di cui",CONCATENATE(SUBSTITUTE(IFERROR(INDEX(ATTIVO,MATCH(ROWS(B$13:$B47),COPIA!$CD$3:$CD$250,0),4),""),"_"," ")," ",FIXED(IFERROR(INDEX(ATTIVO,MATCH(ROW()-12,COPIA!$CD$3:$CD$250,0),2),""),,FALSE)," euro"),SUBSTITUTE(IFERROR(INDEX(ATTIVO,MATCH(ROWS(B$13:$B47),COPIA!$CD$3:$CD$250,0),4),""),"_"," ")),"")),""))</f>
        <v/>
      </c>
      <c r="C47" s="115" t="str">
        <f ca="1">IF(IFERROR(IF(ROW()-9&gt;COPIA!$CI$1,INDEX(ECONOMICO,MATCH((ROWS($B$12:B47)-COPIA!$CI$2),COPIA!$CD$191:$CD$247,0),5),INDEX(ATTIVO,MATCH(ROWS($C$13:C47),COPIA!$CD$3:$CD$250,0),5)),0)=0,"",IFERROR(IF(ROW()-9&gt;COPIA!$CI$1,INDEX(ECONOMICO,MATCH((ROWS($B$12:B47)-COPIA!$CI$2),COPIA!$CD$191:$CD$247,0),5),INDEX(ATTIVO,MATCH(ROWS($C$13:C47),COPIA!$CD$3:$CD$250,0),5)),0))</f>
        <v/>
      </c>
      <c r="D47" s="135" t="str">
        <f ca="1">CONCATENATE(IFERROR(IF(MID(CONCATENATE(SUBSTITUTE(IFERROR(INDEX(PASSIVO,MATCH(ROWS(D$13:$D47),COPIA!$CD$105:$CD$189,0),4),""),"_"," ")," ",),8,6)="di cui",CONCATENATE(SUBSTITUTE(IFERROR(INDEX(PASSIVO,MATCH(ROWS(D$13:$D47),COPIA!$CD$105:$CD$189,0),4),""),"_"," ")," ",FIXED(IFERROR(INDEX(PASSIVO,MATCH(ROW()-12,COPIA!$CD$105:$CD$189,0),2),""),,FALSE)," euro"),SUBSTITUTE(IFERROR(INDEX(PASSIVO,MATCH(ROWS($D$13:$D47),COPIA!$CD$105:$CD$189,0),4),""),"_"," ")),""))</f>
        <v/>
      </c>
      <c r="E47" s="115" t="str">
        <f ca="1">IF(IFERROR(INDEX(PASSIVO,MATCH(ROWS($E$13:E47),COPIA!$CD$105:$CD$189,0),5),0)=0,"",IFERROR(INDEX(PASSIVO,MATCH(ROWS($E$13:E47),COPIA!$CD$105:$CD$189,0),5),0))</f>
        <v/>
      </c>
      <c r="H47" s="137" t="str">
        <f ca="1">SUBSTITUTE(IFERROR(INDEX(COPIA!$CG$22:$CK$187,MATCH(ROWS($H$13:H47),COPIA!$CK$22:$CK$187,0),1),""),"_"," ")</f>
        <v/>
      </c>
      <c r="I47" s="71"/>
      <c r="J47" s="7" t="str">
        <f ca="1">IFERROR(INDEX(COPIA!$CK$22:$CL$187,MATCH(ROWS(BILANCIO!$J$13:J47),COPIA!$CK$22:$CK$187,0),2),"")</f>
        <v/>
      </c>
    </row>
    <row r="48" spans="1:10" ht="15.9" customHeight="1" x14ac:dyDescent="0.3">
      <c r="A48" s="7">
        <f t="shared" ca="1" si="0"/>
        <v>0</v>
      </c>
      <c r="B48" s="132" t="str">
        <f ca="1">IF(ROW()-9&gt;COPIA!$CI$1,SUBSTITUTE(IFERROR(INDEX(ECONOMICO,MATCH((ROWS($B$12:B48)-COPIA!$CI$2),COPIA!$CD$191:$CD$247,0),4),""),"_"," "),IF(ROW()-9&lt;=COPIA!$CI$1,CONCATENATE(IFERROR(IF(MID(CONCATENATE(SUBSTITUTE(IFERROR(INDEX(ATTIVO,MATCH(ROWS(B$13:$B48),COPIA!$CD$3:$CD$250,0),4),""),"_"," ")," ",),8,6)="di cui",CONCATENATE(SUBSTITUTE(IFERROR(INDEX(ATTIVO,MATCH(ROWS(B$13:$B48),COPIA!$CD$3:$CD$250,0),4),""),"_"," ")," ",FIXED(IFERROR(INDEX(ATTIVO,MATCH(ROW()-12,COPIA!$CD$3:$CD$250,0),2),""),,FALSE)," euro"),SUBSTITUTE(IFERROR(INDEX(ATTIVO,MATCH(ROWS(B$13:$B48),COPIA!$CD$3:$CD$250,0),4),""),"_"," ")),"")),""))</f>
        <v/>
      </c>
      <c r="C48" s="115" t="str">
        <f ca="1">IF(IFERROR(IF(ROW()-9&gt;COPIA!$CI$1,INDEX(ECONOMICO,MATCH((ROWS($B$12:B48)-COPIA!$CI$2),COPIA!$CD$191:$CD$247,0),5),INDEX(ATTIVO,MATCH(ROWS($C$13:C48),COPIA!$CD$3:$CD$250,0),5)),0)=0,"",IFERROR(IF(ROW()-9&gt;COPIA!$CI$1,INDEX(ECONOMICO,MATCH((ROWS($B$12:B48)-COPIA!$CI$2),COPIA!$CD$191:$CD$247,0),5),INDEX(ATTIVO,MATCH(ROWS($C$13:C48),COPIA!$CD$3:$CD$250,0),5)),0))</f>
        <v/>
      </c>
      <c r="D48" s="135" t="str">
        <f ca="1">CONCATENATE(IFERROR(IF(MID(CONCATENATE(SUBSTITUTE(IFERROR(INDEX(PASSIVO,MATCH(ROWS(D$13:$D48),COPIA!$CD$105:$CD$189,0),4),""),"_"," ")," ",),8,6)="di cui",CONCATENATE(SUBSTITUTE(IFERROR(INDEX(PASSIVO,MATCH(ROWS(D$13:$D48),COPIA!$CD$105:$CD$189,0),4),""),"_"," ")," ",FIXED(IFERROR(INDEX(PASSIVO,MATCH(ROW()-12,COPIA!$CD$105:$CD$189,0),2),""),,FALSE)," euro"),SUBSTITUTE(IFERROR(INDEX(PASSIVO,MATCH(ROWS($D$13:$D48),COPIA!$CD$105:$CD$189,0),4),""),"_"," ")),""))</f>
        <v/>
      </c>
      <c r="E48" s="115" t="str">
        <f ca="1">IF(IFERROR(INDEX(PASSIVO,MATCH(ROWS($E$13:E48),COPIA!$CD$105:$CD$189,0),5),0)=0,"",IFERROR(INDEX(PASSIVO,MATCH(ROWS($E$13:E48),COPIA!$CD$105:$CD$189,0),5),0))</f>
        <v/>
      </c>
      <c r="H48" s="137" t="str">
        <f ca="1">SUBSTITUTE(IFERROR(INDEX(COPIA!$CG$22:$CK$187,MATCH(ROWS($H$13:H48),COPIA!$CK$22:$CK$187,0),1),""),"_"," ")</f>
        <v/>
      </c>
      <c r="I48" s="71"/>
      <c r="J48" s="7" t="str">
        <f ca="1">IFERROR(INDEX(COPIA!$CK$22:$CL$187,MATCH(ROWS(BILANCIO!$J$13:J48),COPIA!$CK$22:$CK$187,0),2),"")</f>
        <v/>
      </c>
    </row>
    <row r="49" spans="1:10" ht="15.9" customHeight="1" x14ac:dyDescent="0.3">
      <c r="A49" s="7">
        <f t="shared" ca="1" si="0"/>
        <v>0</v>
      </c>
      <c r="B49" s="132" t="str">
        <f ca="1">IF(ROW()-9&gt;COPIA!$CI$1,SUBSTITUTE(IFERROR(INDEX(ECONOMICO,MATCH((ROWS($B$12:B49)-COPIA!$CI$2),COPIA!$CD$191:$CD$247,0),4),""),"_"," "),IF(ROW()-9&lt;=COPIA!$CI$1,CONCATENATE(IFERROR(IF(MID(CONCATENATE(SUBSTITUTE(IFERROR(INDEX(ATTIVO,MATCH(ROWS(B$13:$B49),COPIA!$CD$3:$CD$250,0),4),""),"_"," ")," ",),8,6)="di cui",CONCATENATE(SUBSTITUTE(IFERROR(INDEX(ATTIVO,MATCH(ROWS(B$13:$B49),COPIA!$CD$3:$CD$250,0),4),""),"_"," ")," ",FIXED(IFERROR(INDEX(ATTIVO,MATCH(ROW()-12,COPIA!$CD$3:$CD$250,0),2),""),,FALSE)," euro"),SUBSTITUTE(IFERROR(INDEX(ATTIVO,MATCH(ROWS(B$13:$B49),COPIA!$CD$3:$CD$250,0),4),""),"_"," ")),"")),""))</f>
        <v/>
      </c>
      <c r="C49" s="115" t="str">
        <f ca="1">IF(IFERROR(IF(ROW()-9&gt;COPIA!$CI$1,INDEX(ECONOMICO,MATCH((ROWS($B$12:B49)-COPIA!$CI$2),COPIA!$CD$191:$CD$247,0),5),INDEX(ATTIVO,MATCH(ROWS($C$13:C49),COPIA!$CD$3:$CD$250,0),5)),0)=0,"",IFERROR(IF(ROW()-9&gt;COPIA!$CI$1,INDEX(ECONOMICO,MATCH((ROWS($B$12:B49)-COPIA!$CI$2),COPIA!$CD$191:$CD$247,0),5),INDEX(ATTIVO,MATCH(ROWS($C$13:C49),COPIA!$CD$3:$CD$250,0),5)),0))</f>
        <v/>
      </c>
      <c r="D49" s="135" t="str">
        <f ca="1">CONCATENATE(IFERROR(IF(MID(CONCATENATE(SUBSTITUTE(IFERROR(INDEX(PASSIVO,MATCH(ROWS(D$13:$D49),COPIA!$CD$105:$CD$189,0),4),""),"_"," ")," ",),8,6)="di cui",CONCATENATE(SUBSTITUTE(IFERROR(INDEX(PASSIVO,MATCH(ROWS(D$13:$D49),COPIA!$CD$105:$CD$189,0),4),""),"_"," ")," ",FIXED(IFERROR(INDEX(PASSIVO,MATCH(ROW()-12,COPIA!$CD$105:$CD$189,0),2),""),,FALSE)," euro"),SUBSTITUTE(IFERROR(INDEX(PASSIVO,MATCH(ROWS($D$13:$D49),COPIA!$CD$105:$CD$189,0),4),""),"_"," ")),""))</f>
        <v/>
      </c>
      <c r="E49" s="115" t="str">
        <f ca="1">IF(IFERROR(INDEX(PASSIVO,MATCH(ROWS($E$13:E49),COPIA!$CD$105:$CD$189,0),5),0)=0,"",IFERROR(INDEX(PASSIVO,MATCH(ROWS($E$13:E49),COPIA!$CD$105:$CD$189,0),5),0))</f>
        <v/>
      </c>
      <c r="H49" s="137" t="str">
        <f ca="1">SUBSTITUTE(IFERROR(INDEX(COPIA!$CG$22:$CK$187,MATCH(ROWS($H$13:H49),COPIA!$CK$22:$CK$187,0),1),""),"_"," ")</f>
        <v/>
      </c>
      <c r="I49" s="71"/>
      <c r="J49" s="7" t="str">
        <f ca="1">IFERROR(INDEX(COPIA!$CK$22:$CL$187,MATCH(ROWS(BILANCIO!$J$13:J49),COPIA!$CK$22:$CK$187,0),2),"")</f>
        <v/>
      </c>
    </row>
    <row r="50" spans="1:10" ht="15.9" customHeight="1" x14ac:dyDescent="0.3">
      <c r="A50" s="7">
        <f t="shared" ca="1" si="0"/>
        <v>0</v>
      </c>
      <c r="B50" s="132" t="str">
        <f ca="1">IF(ROW()-9&gt;COPIA!$CI$1,SUBSTITUTE(IFERROR(INDEX(ECONOMICO,MATCH((ROWS($B$12:B50)-COPIA!$CI$2),COPIA!$CD$191:$CD$247,0),4),""),"_"," "),IF(ROW()-9&lt;=COPIA!$CI$1,CONCATENATE(IFERROR(IF(MID(CONCATENATE(SUBSTITUTE(IFERROR(INDEX(ATTIVO,MATCH(ROWS(B$13:$B50),COPIA!$CD$3:$CD$250,0),4),""),"_"," ")," ",),8,6)="di cui",CONCATENATE(SUBSTITUTE(IFERROR(INDEX(ATTIVO,MATCH(ROWS(B$13:$B50),COPIA!$CD$3:$CD$250,0),4),""),"_"," ")," ",FIXED(IFERROR(INDEX(ATTIVO,MATCH(ROW()-12,COPIA!$CD$3:$CD$250,0),2),""),,FALSE)," euro"),SUBSTITUTE(IFERROR(INDEX(ATTIVO,MATCH(ROWS(B$13:$B50),COPIA!$CD$3:$CD$250,0),4),""),"_"," ")),"")),""))</f>
        <v/>
      </c>
      <c r="C50" s="115" t="str">
        <f ca="1">IF(IFERROR(IF(ROW()-9&gt;COPIA!$CI$1,INDEX(ECONOMICO,MATCH((ROWS($B$12:B50)-COPIA!$CI$2),COPIA!$CD$191:$CD$247,0),5),INDEX(ATTIVO,MATCH(ROWS($C$13:C50),COPIA!$CD$3:$CD$250,0),5)),0)=0,"",IFERROR(IF(ROW()-9&gt;COPIA!$CI$1,INDEX(ECONOMICO,MATCH((ROWS($B$12:B50)-COPIA!$CI$2),COPIA!$CD$191:$CD$247,0),5),INDEX(ATTIVO,MATCH(ROWS($C$13:C50),COPIA!$CD$3:$CD$250,0),5)),0))</f>
        <v/>
      </c>
      <c r="D50" s="135" t="str">
        <f ca="1">CONCATENATE(IFERROR(IF(MID(CONCATENATE(SUBSTITUTE(IFERROR(INDEX(PASSIVO,MATCH(ROWS(D$13:$D50),COPIA!$CD$105:$CD$189,0),4),""),"_"," ")," ",),8,6)="di cui",CONCATENATE(SUBSTITUTE(IFERROR(INDEX(PASSIVO,MATCH(ROWS(D$13:$D50),COPIA!$CD$105:$CD$189,0),4),""),"_"," ")," ",FIXED(IFERROR(INDEX(PASSIVO,MATCH(ROW()-12,COPIA!$CD$105:$CD$189,0),2),""),,FALSE)," euro"),SUBSTITUTE(IFERROR(INDEX(PASSIVO,MATCH(ROWS($D$13:$D50),COPIA!$CD$105:$CD$189,0),4),""),"_"," ")),""))</f>
        <v/>
      </c>
      <c r="E50" s="115" t="str">
        <f ca="1">IF(IFERROR(INDEX(PASSIVO,MATCH(ROWS($E$13:E50),COPIA!$CD$105:$CD$189,0),5),0)=0,"",IFERROR(INDEX(PASSIVO,MATCH(ROWS($E$13:E50),COPIA!$CD$105:$CD$189,0),5),0))</f>
        <v/>
      </c>
      <c r="H50" s="137" t="str">
        <f ca="1">SUBSTITUTE(IFERROR(INDEX(COPIA!$CG$22:$CK$187,MATCH(ROWS($H$13:H50),COPIA!$CK$22:$CK$187,0),1),""),"_"," ")</f>
        <v/>
      </c>
      <c r="I50" s="71"/>
      <c r="J50" s="7" t="str">
        <f ca="1">IFERROR(INDEX(COPIA!$CK$22:$CL$187,MATCH(ROWS(BILANCIO!$J$13:J50),COPIA!$CK$22:$CK$187,0),2),"")</f>
        <v/>
      </c>
    </row>
    <row r="51" spans="1:10" ht="15.9" customHeight="1" x14ac:dyDescent="0.3">
      <c r="A51" s="7">
        <f t="shared" ca="1" si="0"/>
        <v>0</v>
      </c>
      <c r="B51" s="132" t="str">
        <f ca="1">IF(ROW()-9&gt;COPIA!$CI$1,SUBSTITUTE(IFERROR(INDEX(ECONOMICO,MATCH((ROWS($B$12:B51)-COPIA!$CI$2),COPIA!$CD$191:$CD$247,0),4),""),"_"," "),IF(ROW()-9&lt;=COPIA!$CI$1,CONCATENATE(IFERROR(IF(MID(CONCATENATE(SUBSTITUTE(IFERROR(INDEX(ATTIVO,MATCH(ROWS(B$13:$B51),COPIA!$CD$3:$CD$250,0),4),""),"_"," ")," ",),8,6)="di cui",CONCATENATE(SUBSTITUTE(IFERROR(INDEX(ATTIVO,MATCH(ROWS(B$13:$B51),COPIA!$CD$3:$CD$250,0),4),""),"_"," ")," ",FIXED(IFERROR(INDEX(ATTIVO,MATCH(ROW()-12,COPIA!$CD$3:$CD$250,0),2),""),,FALSE)," euro"),SUBSTITUTE(IFERROR(INDEX(ATTIVO,MATCH(ROWS(B$13:$B51),COPIA!$CD$3:$CD$250,0),4),""),"_"," ")),"")),""))</f>
        <v/>
      </c>
      <c r="C51" s="115" t="str">
        <f ca="1">IF(IFERROR(IF(ROW()-9&gt;COPIA!$CI$1,INDEX(ECONOMICO,MATCH((ROWS($B$12:B51)-COPIA!$CI$2),COPIA!$CD$191:$CD$247,0),5),INDEX(ATTIVO,MATCH(ROWS($C$13:C51),COPIA!$CD$3:$CD$250,0),5)),0)=0,"",IFERROR(IF(ROW()-9&gt;COPIA!$CI$1,INDEX(ECONOMICO,MATCH((ROWS($B$12:B51)-COPIA!$CI$2),COPIA!$CD$191:$CD$247,0),5),INDEX(ATTIVO,MATCH(ROWS($C$13:C51),COPIA!$CD$3:$CD$250,0),5)),0))</f>
        <v/>
      </c>
      <c r="D51" s="135" t="str">
        <f ca="1">CONCATENATE(IFERROR(IF(MID(CONCATENATE(SUBSTITUTE(IFERROR(INDEX(PASSIVO,MATCH(ROWS(D$13:$D51),COPIA!$CD$105:$CD$189,0),4),""),"_"," ")," ",),8,6)="di cui",CONCATENATE(SUBSTITUTE(IFERROR(INDEX(PASSIVO,MATCH(ROWS(D$13:$D51),COPIA!$CD$105:$CD$189,0),4),""),"_"," ")," ",FIXED(IFERROR(INDEX(PASSIVO,MATCH(ROW()-12,COPIA!$CD$105:$CD$189,0),2),""),,FALSE)," euro"),SUBSTITUTE(IFERROR(INDEX(PASSIVO,MATCH(ROWS($D$13:$D51),COPIA!$CD$105:$CD$189,0),4),""),"_"," ")),""))</f>
        <v/>
      </c>
      <c r="E51" s="115" t="str">
        <f ca="1">IF(IFERROR(INDEX(PASSIVO,MATCH(ROWS($E$13:E51),COPIA!$CD$105:$CD$189,0),5),0)=0,"",IFERROR(INDEX(PASSIVO,MATCH(ROWS($E$13:E51),COPIA!$CD$105:$CD$189,0),5),0))</f>
        <v/>
      </c>
      <c r="H51" s="137" t="str">
        <f ca="1">SUBSTITUTE(IFERROR(INDEX(COPIA!$CG$22:$CK$187,MATCH(ROWS($H$13:H51),COPIA!$CK$22:$CK$187,0),1),""),"_"," ")</f>
        <v/>
      </c>
      <c r="I51" s="71"/>
      <c r="J51" s="7" t="str">
        <f ca="1">IFERROR(INDEX(COPIA!$CK$22:$CL$187,MATCH(ROWS(BILANCIO!$J$13:J51),COPIA!$CK$22:$CK$187,0),2),"")</f>
        <v/>
      </c>
    </row>
    <row r="52" spans="1:10" ht="15.9" customHeight="1" x14ac:dyDescent="0.3">
      <c r="A52" s="7">
        <f t="shared" ca="1" si="0"/>
        <v>0</v>
      </c>
      <c r="B52" s="132" t="str">
        <f ca="1">IF(ROW()-9&gt;COPIA!$CI$1,SUBSTITUTE(IFERROR(INDEX(ECONOMICO,MATCH((ROWS($B$12:B52)-COPIA!$CI$2),COPIA!$CD$191:$CD$247,0),4),""),"_"," "),IF(ROW()-9&lt;=COPIA!$CI$1,CONCATENATE(IFERROR(IF(MID(CONCATENATE(SUBSTITUTE(IFERROR(INDEX(ATTIVO,MATCH(ROWS(B$13:$B52),COPIA!$CD$3:$CD$250,0),4),""),"_"," ")," ",),8,6)="di cui",CONCATENATE(SUBSTITUTE(IFERROR(INDEX(ATTIVO,MATCH(ROWS(B$13:$B52),COPIA!$CD$3:$CD$250,0),4),""),"_"," ")," ",FIXED(IFERROR(INDEX(ATTIVO,MATCH(ROW()-12,COPIA!$CD$3:$CD$250,0),2),""),,FALSE)," euro"),SUBSTITUTE(IFERROR(INDEX(ATTIVO,MATCH(ROWS(B$13:$B52),COPIA!$CD$3:$CD$250,0),4),""),"_"," ")),"")),""))</f>
        <v/>
      </c>
      <c r="C52" s="115" t="str">
        <f ca="1">IF(IFERROR(IF(ROW()-9&gt;COPIA!$CI$1,INDEX(ECONOMICO,MATCH((ROWS($B$12:B52)-COPIA!$CI$2),COPIA!$CD$191:$CD$247,0),5),INDEX(ATTIVO,MATCH(ROWS($C$13:C52),COPIA!$CD$3:$CD$250,0),5)),0)=0,"",IFERROR(IF(ROW()-9&gt;COPIA!$CI$1,INDEX(ECONOMICO,MATCH((ROWS($B$12:B52)-COPIA!$CI$2),COPIA!$CD$191:$CD$247,0),5),INDEX(ATTIVO,MATCH(ROWS($C$13:C52),COPIA!$CD$3:$CD$250,0),5)),0))</f>
        <v/>
      </c>
      <c r="D52" s="135" t="str">
        <f ca="1">CONCATENATE(IFERROR(IF(MID(CONCATENATE(SUBSTITUTE(IFERROR(INDEX(PASSIVO,MATCH(ROWS(D$13:$D52),COPIA!$CD$105:$CD$189,0),4),""),"_"," ")," ",),8,6)="di cui",CONCATENATE(SUBSTITUTE(IFERROR(INDEX(PASSIVO,MATCH(ROWS(D$13:$D52),COPIA!$CD$105:$CD$189,0),4),""),"_"," ")," ",FIXED(IFERROR(INDEX(PASSIVO,MATCH(ROW()-12,COPIA!$CD$105:$CD$189,0),2),""),,FALSE)," euro"),SUBSTITUTE(IFERROR(INDEX(PASSIVO,MATCH(ROWS($D$13:$D52),COPIA!$CD$105:$CD$189,0),4),""),"_"," ")),""))</f>
        <v/>
      </c>
      <c r="E52" s="115" t="str">
        <f ca="1">IF(IFERROR(INDEX(PASSIVO,MATCH(ROWS($E$13:E52),COPIA!$CD$105:$CD$189,0),5),0)=0,"",IFERROR(INDEX(PASSIVO,MATCH(ROWS($E$13:E52),COPIA!$CD$105:$CD$189,0),5),0))</f>
        <v/>
      </c>
      <c r="H52" s="137" t="str">
        <f ca="1">SUBSTITUTE(IFERROR(INDEX(COPIA!$CG$22:$CK$187,MATCH(ROWS($H$13:H52),COPIA!$CK$22:$CK$187,0),1),""),"_"," ")</f>
        <v/>
      </c>
      <c r="I52" s="71"/>
      <c r="J52" s="7" t="str">
        <f ca="1">IFERROR(INDEX(COPIA!$CK$22:$CL$187,MATCH(ROWS(BILANCIO!$J$13:J52),COPIA!$CK$22:$CK$187,0),2),"")</f>
        <v/>
      </c>
    </row>
    <row r="53" spans="1:10" ht="15.9" customHeight="1" x14ac:dyDescent="0.3">
      <c r="A53" s="7">
        <f t="shared" ca="1" si="0"/>
        <v>0</v>
      </c>
      <c r="B53" s="132" t="str">
        <f ca="1">IF(ROW()-9&gt;COPIA!$CI$1,SUBSTITUTE(IFERROR(INDEX(ECONOMICO,MATCH((ROWS($B$12:B53)-COPIA!$CI$2),COPIA!$CD$191:$CD$247,0),4),""),"_"," "),IF(ROW()-9&lt;=COPIA!$CI$1,CONCATENATE(IFERROR(IF(MID(CONCATENATE(SUBSTITUTE(IFERROR(INDEX(ATTIVO,MATCH(ROWS(B$13:$B53),COPIA!$CD$3:$CD$250,0),4),""),"_"," ")," ",),8,6)="di cui",CONCATENATE(SUBSTITUTE(IFERROR(INDEX(ATTIVO,MATCH(ROWS(B$13:$B53),COPIA!$CD$3:$CD$250,0),4),""),"_"," ")," ",FIXED(IFERROR(INDEX(ATTIVO,MATCH(ROW()-12,COPIA!$CD$3:$CD$250,0),2),""),,FALSE)," euro"),SUBSTITUTE(IFERROR(INDEX(ATTIVO,MATCH(ROWS(B$13:$B53),COPIA!$CD$3:$CD$250,0),4),""),"_"," ")),"")),""))</f>
        <v/>
      </c>
      <c r="C53" s="115" t="str">
        <f ca="1">IF(IFERROR(IF(ROW()-9&gt;COPIA!$CI$1,INDEX(ECONOMICO,MATCH((ROWS($B$12:B53)-COPIA!$CI$2),COPIA!$CD$191:$CD$247,0),5),INDEX(ATTIVO,MATCH(ROWS($C$13:C53),COPIA!$CD$3:$CD$250,0),5)),0)=0,"",IFERROR(IF(ROW()-9&gt;COPIA!$CI$1,INDEX(ECONOMICO,MATCH((ROWS($B$12:B53)-COPIA!$CI$2),COPIA!$CD$191:$CD$247,0),5),INDEX(ATTIVO,MATCH(ROWS($C$13:C53),COPIA!$CD$3:$CD$250,0),5)),0))</f>
        <v/>
      </c>
      <c r="D53" s="135" t="str">
        <f ca="1">CONCATENATE(IFERROR(IF(MID(CONCATENATE(SUBSTITUTE(IFERROR(INDEX(PASSIVO,MATCH(ROWS(D$13:$D53),COPIA!$CD$105:$CD$189,0),4),""),"_"," ")," ",),8,6)="di cui",CONCATENATE(SUBSTITUTE(IFERROR(INDEX(PASSIVO,MATCH(ROWS(D$13:$D53),COPIA!$CD$105:$CD$189,0),4),""),"_"," ")," ",FIXED(IFERROR(INDEX(PASSIVO,MATCH(ROW()-12,COPIA!$CD$105:$CD$189,0),2),""),,FALSE)," euro"),SUBSTITUTE(IFERROR(INDEX(PASSIVO,MATCH(ROWS($D$13:$D53),COPIA!$CD$105:$CD$189,0),4),""),"_"," ")),""))</f>
        <v/>
      </c>
      <c r="E53" s="115" t="str">
        <f ca="1">IF(IFERROR(INDEX(PASSIVO,MATCH(ROWS($E$13:E53),COPIA!$CD$105:$CD$189,0),5),0)=0,"",IFERROR(INDEX(PASSIVO,MATCH(ROWS($E$13:E53),COPIA!$CD$105:$CD$189,0),5),0))</f>
        <v/>
      </c>
      <c r="H53" s="137" t="str">
        <f ca="1">SUBSTITUTE(IFERROR(INDEX(COPIA!$CG$22:$CK$187,MATCH(ROWS($H$13:H53),COPIA!$CK$22:$CK$187,0),1),""),"_"," ")</f>
        <v/>
      </c>
      <c r="I53" s="71"/>
      <c r="J53" s="7" t="str">
        <f ca="1">IFERROR(INDEX(COPIA!$CK$22:$CL$187,MATCH(ROWS(BILANCIO!$J$13:J53),COPIA!$CK$22:$CK$187,0),2),"")</f>
        <v/>
      </c>
    </row>
    <row r="54" spans="1:10" ht="15.9" customHeight="1" x14ac:dyDescent="0.3">
      <c r="A54" s="7">
        <f t="shared" ca="1" si="0"/>
        <v>0</v>
      </c>
      <c r="B54" s="132" t="str">
        <f ca="1">IF(ROW()-9&gt;COPIA!$CI$1,SUBSTITUTE(IFERROR(INDEX(ECONOMICO,MATCH((ROWS($B$12:B54)-COPIA!$CI$2),COPIA!$CD$191:$CD$247,0),4),""),"_"," "),IF(ROW()-9&lt;=COPIA!$CI$1,CONCATENATE(IFERROR(IF(MID(CONCATENATE(SUBSTITUTE(IFERROR(INDEX(ATTIVO,MATCH(ROWS(B$13:$B54),COPIA!$CD$3:$CD$250,0),4),""),"_"," ")," ",),8,6)="di cui",CONCATENATE(SUBSTITUTE(IFERROR(INDEX(ATTIVO,MATCH(ROWS(B$13:$B54),COPIA!$CD$3:$CD$250,0),4),""),"_"," ")," ",FIXED(IFERROR(INDEX(ATTIVO,MATCH(ROW()-12,COPIA!$CD$3:$CD$250,0),2),""),,FALSE)," euro"),SUBSTITUTE(IFERROR(INDEX(ATTIVO,MATCH(ROWS(B$13:$B54),COPIA!$CD$3:$CD$250,0),4),""),"_"," ")),"")),""))</f>
        <v/>
      </c>
      <c r="C54" s="115" t="str">
        <f ca="1">IF(IFERROR(IF(ROW()-9&gt;COPIA!$CI$1,INDEX(ECONOMICO,MATCH((ROWS($B$12:B54)-COPIA!$CI$2),COPIA!$CD$191:$CD$247,0),5),INDEX(ATTIVO,MATCH(ROWS($C$13:C54),COPIA!$CD$3:$CD$250,0),5)),0)=0,"",IFERROR(IF(ROW()-9&gt;COPIA!$CI$1,INDEX(ECONOMICO,MATCH((ROWS($B$12:B54)-COPIA!$CI$2),COPIA!$CD$191:$CD$247,0),5),INDEX(ATTIVO,MATCH(ROWS($C$13:C54),COPIA!$CD$3:$CD$250,0),5)),0))</f>
        <v/>
      </c>
      <c r="D54" s="135" t="str">
        <f ca="1">CONCATENATE(IFERROR(IF(MID(CONCATENATE(SUBSTITUTE(IFERROR(INDEX(PASSIVO,MATCH(ROWS(D$13:$D54),COPIA!$CD$105:$CD$189,0),4),""),"_"," ")," ",),8,6)="di cui",CONCATENATE(SUBSTITUTE(IFERROR(INDEX(PASSIVO,MATCH(ROWS(D$13:$D54),COPIA!$CD$105:$CD$189,0),4),""),"_"," ")," ",FIXED(IFERROR(INDEX(PASSIVO,MATCH(ROW()-12,COPIA!$CD$105:$CD$189,0),2),""),,FALSE)," euro"),SUBSTITUTE(IFERROR(INDEX(PASSIVO,MATCH(ROWS($D$13:$D54),COPIA!$CD$105:$CD$189,0),4),""),"_"," ")),""))</f>
        <v/>
      </c>
      <c r="E54" s="115" t="str">
        <f ca="1">IF(IFERROR(INDEX(PASSIVO,MATCH(ROWS($E$13:E54),COPIA!$CD$105:$CD$189,0),5),0)=0,"",IFERROR(INDEX(PASSIVO,MATCH(ROWS($E$13:E54),COPIA!$CD$105:$CD$189,0),5),0))</f>
        <v/>
      </c>
      <c r="H54" s="137" t="str">
        <f ca="1">SUBSTITUTE(IFERROR(INDEX(COPIA!$CG$22:$CK$187,MATCH(ROWS($H$13:H54),COPIA!$CK$22:$CK$187,0),1),""),"_"," ")</f>
        <v/>
      </c>
      <c r="I54" s="71"/>
      <c r="J54" s="7" t="str">
        <f ca="1">IFERROR(INDEX(COPIA!$CK$22:$CL$187,MATCH(ROWS(BILANCIO!$J$13:J54),COPIA!$CK$22:$CK$187,0),2),"")</f>
        <v/>
      </c>
    </row>
    <row r="55" spans="1:10" ht="15.9" customHeight="1" x14ac:dyDescent="0.3">
      <c r="A55" s="7">
        <f t="shared" ca="1" si="0"/>
        <v>0</v>
      </c>
      <c r="B55" s="132" t="str">
        <f ca="1">IF(ROW()-9&gt;COPIA!$CI$1,SUBSTITUTE(IFERROR(INDEX(ECONOMICO,MATCH((ROWS($B$12:B55)-COPIA!$CI$2),COPIA!$CD$191:$CD$247,0),4),""),"_"," "),IF(ROW()-9&lt;=COPIA!$CI$1,CONCATENATE(IFERROR(IF(MID(CONCATENATE(SUBSTITUTE(IFERROR(INDEX(ATTIVO,MATCH(ROWS(B$13:$B55),COPIA!$CD$3:$CD$250,0),4),""),"_"," ")," ",),8,6)="di cui",CONCATENATE(SUBSTITUTE(IFERROR(INDEX(ATTIVO,MATCH(ROWS(B$13:$B55),COPIA!$CD$3:$CD$250,0),4),""),"_"," ")," ",FIXED(IFERROR(INDEX(ATTIVO,MATCH(ROW()-12,COPIA!$CD$3:$CD$250,0),2),""),,FALSE)," euro"),SUBSTITUTE(IFERROR(INDEX(ATTIVO,MATCH(ROWS(B$13:$B55),COPIA!$CD$3:$CD$250,0),4),""),"_"," ")),"")),""))</f>
        <v/>
      </c>
      <c r="C55" s="115" t="str">
        <f ca="1">IF(IFERROR(IF(ROW()-9&gt;COPIA!$CI$1,INDEX(ECONOMICO,MATCH((ROWS($B$12:B55)-COPIA!$CI$2),COPIA!$CD$191:$CD$247,0),5),INDEX(ATTIVO,MATCH(ROWS($C$13:C55),COPIA!$CD$3:$CD$250,0),5)),0)=0,"",IFERROR(IF(ROW()-9&gt;COPIA!$CI$1,INDEX(ECONOMICO,MATCH((ROWS($B$12:B55)-COPIA!$CI$2),COPIA!$CD$191:$CD$247,0),5),INDEX(ATTIVO,MATCH(ROWS($C$13:C55),COPIA!$CD$3:$CD$250,0),5)),0))</f>
        <v/>
      </c>
      <c r="D55" s="135" t="str">
        <f ca="1">CONCATENATE(IFERROR(IF(MID(CONCATENATE(SUBSTITUTE(IFERROR(INDEX(PASSIVO,MATCH(ROWS(D$13:$D55),COPIA!$CD$105:$CD$189,0),4),""),"_"," ")," ",),8,6)="di cui",CONCATENATE(SUBSTITUTE(IFERROR(INDEX(PASSIVO,MATCH(ROWS(D$13:$D55),COPIA!$CD$105:$CD$189,0),4),""),"_"," ")," ",FIXED(IFERROR(INDEX(PASSIVO,MATCH(ROW()-12,COPIA!$CD$105:$CD$189,0),2),""),,FALSE)," euro"),SUBSTITUTE(IFERROR(INDEX(PASSIVO,MATCH(ROWS($D$13:$D55),COPIA!$CD$105:$CD$189,0),4),""),"_"," ")),""))</f>
        <v/>
      </c>
      <c r="E55" s="115" t="str">
        <f ca="1">IF(IFERROR(INDEX(PASSIVO,MATCH(ROWS($E$13:E55),COPIA!$CD$105:$CD$189,0),5),0)=0,"",IFERROR(INDEX(PASSIVO,MATCH(ROWS($E$13:E55),COPIA!$CD$105:$CD$189,0),5),0))</f>
        <v/>
      </c>
      <c r="H55" s="137" t="str">
        <f ca="1">SUBSTITUTE(IFERROR(INDEX(COPIA!$CG$22:$CK$187,MATCH(ROWS($H$13:H55),COPIA!$CK$22:$CK$187,0),1),""),"_"," ")</f>
        <v/>
      </c>
      <c r="I55" s="71"/>
      <c r="J55" s="7" t="str">
        <f ca="1">IFERROR(INDEX(COPIA!$CK$22:$CL$187,MATCH(ROWS(BILANCIO!$J$13:J55),COPIA!$CK$22:$CK$187,0),2),"")</f>
        <v/>
      </c>
    </row>
    <row r="56" spans="1:10" ht="15.9" customHeight="1" x14ac:dyDescent="0.3">
      <c r="A56" s="7">
        <f t="shared" ca="1" si="0"/>
        <v>0</v>
      </c>
      <c r="B56" s="132" t="str">
        <f ca="1">IF(ROW()-9&gt;COPIA!$CI$1,SUBSTITUTE(IFERROR(INDEX(ECONOMICO,MATCH((ROWS($B$12:B56)-COPIA!$CI$2),COPIA!$CD$191:$CD$247,0),4),""),"_"," "),IF(ROW()-9&lt;=COPIA!$CI$1,CONCATENATE(IFERROR(IF(MID(CONCATENATE(SUBSTITUTE(IFERROR(INDEX(ATTIVO,MATCH(ROWS(B$13:$B56),COPIA!$CD$3:$CD$250,0),4),""),"_"," ")," ",),8,6)="di cui",CONCATENATE(SUBSTITUTE(IFERROR(INDEX(ATTIVO,MATCH(ROWS(B$13:$B56),COPIA!$CD$3:$CD$250,0),4),""),"_"," ")," ",FIXED(IFERROR(INDEX(ATTIVO,MATCH(ROW()-12,COPIA!$CD$3:$CD$250,0),2),""),,FALSE)," euro"),SUBSTITUTE(IFERROR(INDEX(ATTIVO,MATCH(ROWS(B$13:$B56),COPIA!$CD$3:$CD$250,0),4),""),"_"," ")),"")),""))</f>
        <v/>
      </c>
      <c r="C56" s="115" t="str">
        <f ca="1">IF(IFERROR(IF(ROW()-9&gt;COPIA!$CI$1,INDEX(ECONOMICO,MATCH((ROWS($B$12:B56)-COPIA!$CI$2),COPIA!$CD$191:$CD$247,0),5),INDEX(ATTIVO,MATCH(ROWS($C$13:C56),COPIA!$CD$3:$CD$250,0),5)),0)=0,"",IFERROR(IF(ROW()-9&gt;COPIA!$CI$1,INDEX(ECONOMICO,MATCH((ROWS($B$12:B56)-COPIA!$CI$2),COPIA!$CD$191:$CD$247,0),5),INDEX(ATTIVO,MATCH(ROWS($C$13:C56),COPIA!$CD$3:$CD$250,0),5)),0))</f>
        <v/>
      </c>
      <c r="D56" s="135" t="str">
        <f ca="1">CONCATENATE(IFERROR(IF(MID(CONCATENATE(SUBSTITUTE(IFERROR(INDEX(PASSIVO,MATCH(ROWS(D$13:$D56),COPIA!$CD$105:$CD$189,0),4),""),"_"," ")," ",),8,6)="di cui",CONCATENATE(SUBSTITUTE(IFERROR(INDEX(PASSIVO,MATCH(ROWS(D$13:$D56),COPIA!$CD$105:$CD$189,0),4),""),"_"," ")," ",FIXED(IFERROR(INDEX(PASSIVO,MATCH(ROW()-12,COPIA!$CD$105:$CD$189,0),2),""),,FALSE)," euro"),SUBSTITUTE(IFERROR(INDEX(PASSIVO,MATCH(ROWS($D$13:$D56),COPIA!$CD$105:$CD$189,0),4),""),"_"," ")),""))</f>
        <v/>
      </c>
      <c r="E56" s="115" t="str">
        <f ca="1">IF(IFERROR(INDEX(PASSIVO,MATCH(ROWS($E$13:E56),COPIA!$CD$105:$CD$189,0),5),0)=0,"",IFERROR(INDEX(PASSIVO,MATCH(ROWS($E$13:E56),COPIA!$CD$105:$CD$189,0),5),0))</f>
        <v/>
      </c>
      <c r="H56" s="137" t="str">
        <f ca="1">SUBSTITUTE(IFERROR(INDEX(COPIA!$CG$22:$CK$187,MATCH(ROWS($H$13:H56),COPIA!$CK$22:$CK$187,0),1),""),"_"," ")</f>
        <v/>
      </c>
      <c r="I56" s="71"/>
      <c r="J56" s="7" t="str">
        <f ca="1">IFERROR(INDEX(COPIA!$CK$22:$CL$187,MATCH(ROWS(BILANCIO!$J$13:J56),COPIA!$CK$22:$CK$187,0),2),"")</f>
        <v/>
      </c>
    </row>
    <row r="57" spans="1:10" ht="15.9" customHeight="1" x14ac:dyDescent="0.3">
      <c r="A57" s="7">
        <f t="shared" ca="1" si="0"/>
        <v>0</v>
      </c>
      <c r="B57" s="132" t="str">
        <f ca="1">IF(ROW()-9&gt;COPIA!$CI$1,SUBSTITUTE(IFERROR(INDEX(ECONOMICO,MATCH((ROWS($B$12:B57)-COPIA!$CI$2),COPIA!$CD$191:$CD$247,0),4),""),"_"," "),IF(ROW()-9&lt;=COPIA!$CI$1,CONCATENATE(IFERROR(IF(MID(CONCATENATE(SUBSTITUTE(IFERROR(INDEX(ATTIVO,MATCH(ROWS(B$13:$B57),COPIA!$CD$3:$CD$250,0),4),""),"_"," ")," ",),8,6)="di cui",CONCATENATE(SUBSTITUTE(IFERROR(INDEX(ATTIVO,MATCH(ROWS(B$13:$B57),COPIA!$CD$3:$CD$250,0),4),""),"_"," ")," ",FIXED(IFERROR(INDEX(ATTIVO,MATCH(ROW()-12,COPIA!$CD$3:$CD$250,0),2),""),,FALSE)," euro"),SUBSTITUTE(IFERROR(INDEX(ATTIVO,MATCH(ROWS(B$13:$B57),COPIA!$CD$3:$CD$250,0),4),""),"_"," ")),"")),""))</f>
        <v/>
      </c>
      <c r="C57" s="115" t="str">
        <f ca="1">IF(IFERROR(IF(ROW()-9&gt;COPIA!$CI$1,INDEX(ECONOMICO,MATCH((ROWS($B$12:B57)-COPIA!$CI$2),COPIA!$CD$191:$CD$247,0),5),INDEX(ATTIVO,MATCH(ROWS($C$13:C57),COPIA!$CD$3:$CD$250,0),5)),0)=0,"",IFERROR(IF(ROW()-9&gt;COPIA!$CI$1,INDEX(ECONOMICO,MATCH((ROWS($B$12:B57)-COPIA!$CI$2),COPIA!$CD$191:$CD$247,0),5),INDEX(ATTIVO,MATCH(ROWS($C$13:C57),COPIA!$CD$3:$CD$250,0),5)),0))</f>
        <v/>
      </c>
      <c r="D57" s="135" t="str">
        <f ca="1">CONCATENATE(IFERROR(IF(MID(CONCATENATE(SUBSTITUTE(IFERROR(INDEX(PASSIVO,MATCH(ROWS(D$13:$D57),COPIA!$CD$105:$CD$189,0),4),""),"_"," ")," ",),8,6)="di cui",CONCATENATE(SUBSTITUTE(IFERROR(INDEX(PASSIVO,MATCH(ROWS(D$13:$D57),COPIA!$CD$105:$CD$189,0),4),""),"_"," ")," ",FIXED(IFERROR(INDEX(PASSIVO,MATCH(ROW()-12,COPIA!$CD$105:$CD$189,0),2),""),,FALSE)," euro"),SUBSTITUTE(IFERROR(INDEX(PASSIVO,MATCH(ROWS($D$13:$D57),COPIA!$CD$105:$CD$189,0),4),""),"_"," ")),""))</f>
        <v/>
      </c>
      <c r="E57" s="115" t="str">
        <f ca="1">IF(IFERROR(INDEX(PASSIVO,MATCH(ROWS($E$13:E57),COPIA!$CD$105:$CD$189,0),5),0)=0,"",IFERROR(INDEX(PASSIVO,MATCH(ROWS($E$13:E57),COPIA!$CD$105:$CD$189,0),5),0))</f>
        <v/>
      </c>
      <c r="H57" s="137" t="str">
        <f ca="1">SUBSTITUTE(IFERROR(INDEX(COPIA!$CG$22:$CK$187,MATCH(ROWS($H$13:H57),COPIA!$CK$22:$CK$187,0),1),""),"_"," ")</f>
        <v/>
      </c>
      <c r="I57" s="71"/>
      <c r="J57" s="7" t="str">
        <f ca="1">IFERROR(INDEX(COPIA!$CK$22:$CL$187,MATCH(ROWS(BILANCIO!$J$13:J57),COPIA!$CK$22:$CK$187,0),2),"")</f>
        <v/>
      </c>
    </row>
    <row r="58" spans="1:10" ht="15.9" customHeight="1" x14ac:dyDescent="0.3">
      <c r="A58" s="7">
        <f t="shared" ca="1" si="0"/>
        <v>0</v>
      </c>
      <c r="B58" s="132" t="str">
        <f ca="1">IF(ROW()-9&gt;COPIA!$CI$1,SUBSTITUTE(IFERROR(INDEX(ECONOMICO,MATCH((ROWS($B$12:B58)-COPIA!$CI$2),COPIA!$CD$191:$CD$247,0),4),""),"_"," "),IF(ROW()-9&lt;=COPIA!$CI$1,CONCATENATE(IFERROR(IF(MID(CONCATENATE(SUBSTITUTE(IFERROR(INDEX(ATTIVO,MATCH(ROWS(B$13:$B58),COPIA!$CD$3:$CD$250,0),4),""),"_"," ")," ",),8,6)="di cui",CONCATENATE(SUBSTITUTE(IFERROR(INDEX(ATTIVO,MATCH(ROWS(B$13:$B58),COPIA!$CD$3:$CD$250,0),4),""),"_"," ")," ",FIXED(IFERROR(INDEX(ATTIVO,MATCH(ROW()-12,COPIA!$CD$3:$CD$250,0),2),""),,FALSE)," euro"),SUBSTITUTE(IFERROR(INDEX(ATTIVO,MATCH(ROWS(B$13:$B58),COPIA!$CD$3:$CD$250,0),4),""),"_"," ")),"")),""))</f>
        <v/>
      </c>
      <c r="C58" s="115" t="str">
        <f ca="1">IF(IFERROR(IF(ROW()-9&gt;COPIA!$CI$1,INDEX(ECONOMICO,MATCH((ROWS($B$12:B58)-COPIA!$CI$2),COPIA!$CD$191:$CD$247,0),5),INDEX(ATTIVO,MATCH(ROWS($C$13:C58),COPIA!$CD$3:$CD$250,0),5)),0)=0,"",IFERROR(IF(ROW()-9&gt;COPIA!$CI$1,INDEX(ECONOMICO,MATCH((ROWS($B$12:B58)-COPIA!$CI$2),COPIA!$CD$191:$CD$247,0),5),INDEX(ATTIVO,MATCH(ROWS($C$13:C58),COPIA!$CD$3:$CD$250,0),5)),0))</f>
        <v/>
      </c>
      <c r="D58" s="135" t="str">
        <f ca="1">CONCATENATE(IFERROR(IF(MID(CONCATENATE(SUBSTITUTE(IFERROR(INDEX(PASSIVO,MATCH(ROWS(D$13:$D58),COPIA!$CD$105:$CD$189,0),4),""),"_"," ")," ",),8,6)="di cui",CONCATENATE(SUBSTITUTE(IFERROR(INDEX(PASSIVO,MATCH(ROWS(D$13:$D58),COPIA!$CD$105:$CD$189,0),4),""),"_"," ")," ",FIXED(IFERROR(INDEX(PASSIVO,MATCH(ROW()-12,COPIA!$CD$105:$CD$189,0),2),""),,FALSE)," euro"),SUBSTITUTE(IFERROR(INDEX(PASSIVO,MATCH(ROWS($D$13:$D58),COPIA!$CD$105:$CD$189,0),4),""),"_"," ")),""))</f>
        <v/>
      </c>
      <c r="E58" s="115" t="str">
        <f ca="1">IF(IFERROR(INDEX(PASSIVO,MATCH(ROWS($E$13:E58),COPIA!$CD$105:$CD$189,0),5),0)=0,"",IFERROR(INDEX(PASSIVO,MATCH(ROWS($E$13:E58),COPIA!$CD$105:$CD$189,0),5),0))</f>
        <v/>
      </c>
      <c r="H58" s="137" t="str">
        <f ca="1">SUBSTITUTE(IFERROR(INDEX(COPIA!$CG$22:$CK$187,MATCH(ROWS($H$13:H58),COPIA!$CK$22:$CK$187,0),1),""),"_"," ")</f>
        <v/>
      </c>
      <c r="I58" s="71"/>
      <c r="J58" s="7" t="str">
        <f ca="1">IFERROR(INDEX(COPIA!$CK$22:$CL$187,MATCH(ROWS(BILANCIO!$J$13:J58),COPIA!$CK$22:$CK$187,0),2),"")</f>
        <v/>
      </c>
    </row>
    <row r="59" spans="1:10" ht="15.9" customHeight="1" x14ac:dyDescent="0.3">
      <c r="A59" s="7">
        <f t="shared" ca="1" si="0"/>
        <v>0</v>
      </c>
      <c r="B59" s="132" t="str">
        <f ca="1">IF(ROW()-9&gt;COPIA!$CI$1,SUBSTITUTE(IFERROR(INDEX(ECONOMICO,MATCH((ROWS($B$12:B59)-COPIA!$CI$2),COPIA!$CD$191:$CD$247,0),4),""),"_"," "),IF(ROW()-9&lt;=COPIA!$CI$1,CONCATENATE(IFERROR(IF(MID(CONCATENATE(SUBSTITUTE(IFERROR(INDEX(ATTIVO,MATCH(ROWS(B$13:$B59),COPIA!$CD$3:$CD$250,0),4),""),"_"," ")," ",),8,6)="di cui",CONCATENATE(SUBSTITUTE(IFERROR(INDEX(ATTIVO,MATCH(ROWS(B$13:$B59),COPIA!$CD$3:$CD$250,0),4),""),"_"," ")," ",FIXED(IFERROR(INDEX(ATTIVO,MATCH(ROW()-12,COPIA!$CD$3:$CD$250,0),2),""),,FALSE)," euro"),SUBSTITUTE(IFERROR(INDEX(ATTIVO,MATCH(ROWS(B$13:$B59),COPIA!$CD$3:$CD$250,0),4),""),"_"," ")),"")),""))</f>
        <v/>
      </c>
      <c r="C59" s="115" t="str">
        <f ca="1">IF(IFERROR(IF(ROW()-9&gt;COPIA!$CI$1,INDEX(ECONOMICO,MATCH((ROWS($B$12:B59)-COPIA!$CI$2),COPIA!$CD$191:$CD$247,0),5),INDEX(ATTIVO,MATCH(ROWS($C$13:C59),COPIA!$CD$3:$CD$250,0),5)),0)=0,"",IFERROR(IF(ROW()-9&gt;COPIA!$CI$1,INDEX(ECONOMICO,MATCH((ROWS($B$12:B59)-COPIA!$CI$2),COPIA!$CD$191:$CD$247,0),5),INDEX(ATTIVO,MATCH(ROWS($C$13:C59),COPIA!$CD$3:$CD$250,0),5)),0))</f>
        <v/>
      </c>
      <c r="D59" s="135" t="str">
        <f ca="1">CONCATENATE(IFERROR(IF(MID(CONCATENATE(SUBSTITUTE(IFERROR(INDEX(PASSIVO,MATCH(ROWS(D$13:$D59),COPIA!$CD$105:$CD$189,0),4),""),"_"," ")," ",),8,6)="di cui",CONCATENATE(SUBSTITUTE(IFERROR(INDEX(PASSIVO,MATCH(ROWS(D$13:$D59),COPIA!$CD$105:$CD$189,0),4),""),"_"," ")," ",FIXED(IFERROR(INDEX(PASSIVO,MATCH(ROW()-12,COPIA!$CD$105:$CD$189,0),2),""),,FALSE)," euro"),SUBSTITUTE(IFERROR(INDEX(PASSIVO,MATCH(ROWS($D$13:$D59),COPIA!$CD$105:$CD$189,0),4),""),"_"," ")),""))</f>
        <v/>
      </c>
      <c r="E59" s="115" t="str">
        <f ca="1">IF(IFERROR(INDEX(PASSIVO,MATCH(ROWS($E$13:E59),COPIA!$CD$105:$CD$189,0),5),0)=0,"",IFERROR(INDEX(PASSIVO,MATCH(ROWS($E$13:E59),COPIA!$CD$105:$CD$189,0),5),0))</f>
        <v/>
      </c>
      <c r="H59" s="137" t="str">
        <f ca="1">SUBSTITUTE(IFERROR(INDEX(COPIA!$CG$22:$CK$187,MATCH(ROWS($H$13:H59),COPIA!$CK$22:$CK$187,0),1),""),"_"," ")</f>
        <v/>
      </c>
      <c r="I59" s="70"/>
      <c r="J59" s="7" t="str">
        <f ca="1">IFERROR(INDEX(COPIA!$CK$22:$CL$187,MATCH(ROWS(BILANCIO!$J$13:J59),COPIA!$CK$22:$CK$187,0),2),"")</f>
        <v/>
      </c>
    </row>
    <row r="60" spans="1:10" ht="15.9" customHeight="1" x14ac:dyDescent="0.3">
      <c r="A60" s="7">
        <f t="shared" ca="1" si="0"/>
        <v>0</v>
      </c>
      <c r="B60" s="132" t="str">
        <f ca="1">IF(ROW()-9&gt;COPIA!$CI$1,SUBSTITUTE(IFERROR(INDEX(ECONOMICO,MATCH((ROWS($B$12:B60)-COPIA!$CI$2),COPIA!$CD$191:$CD$247,0),4),""),"_"," "),IF(ROW()-9&lt;=COPIA!$CI$1,CONCATENATE(IFERROR(IF(MID(CONCATENATE(SUBSTITUTE(IFERROR(INDEX(ATTIVO,MATCH(ROWS(B$13:$B60),COPIA!$CD$3:$CD$250,0),4),""),"_"," ")," ",),8,6)="di cui",CONCATENATE(SUBSTITUTE(IFERROR(INDEX(ATTIVO,MATCH(ROWS(B$13:$B60),COPIA!$CD$3:$CD$250,0),4),""),"_"," ")," ",FIXED(IFERROR(INDEX(ATTIVO,MATCH(ROW()-12,COPIA!$CD$3:$CD$250,0),2),""),,FALSE)," euro"),SUBSTITUTE(IFERROR(INDEX(ATTIVO,MATCH(ROWS(B$13:$B60),COPIA!$CD$3:$CD$250,0),4),""),"_"," ")),"")),""))</f>
        <v/>
      </c>
      <c r="C60" s="115" t="str">
        <f ca="1">IF(IFERROR(IF(ROW()-9&gt;COPIA!$CI$1,INDEX(ECONOMICO,MATCH((ROWS($B$12:B60)-COPIA!$CI$2),COPIA!$CD$191:$CD$247,0),5),INDEX(ATTIVO,MATCH(ROWS($C$13:C60),COPIA!$CD$3:$CD$250,0),5)),0)=0,"",IFERROR(IF(ROW()-9&gt;COPIA!$CI$1,INDEX(ECONOMICO,MATCH((ROWS($B$12:B60)-COPIA!$CI$2),COPIA!$CD$191:$CD$247,0),5),INDEX(ATTIVO,MATCH(ROWS($C$13:C60),COPIA!$CD$3:$CD$250,0),5)),0))</f>
        <v/>
      </c>
      <c r="D60" s="135" t="str">
        <f ca="1">CONCATENATE(IFERROR(IF(MID(CONCATENATE(SUBSTITUTE(IFERROR(INDEX(PASSIVO,MATCH(ROWS(D$13:$D60),COPIA!$CD$105:$CD$189,0),4),""),"_"," ")," ",),8,6)="di cui",CONCATENATE(SUBSTITUTE(IFERROR(INDEX(PASSIVO,MATCH(ROWS(D$13:$D60),COPIA!$CD$105:$CD$189,0),4),""),"_"," ")," ",FIXED(IFERROR(INDEX(PASSIVO,MATCH(ROW()-12,COPIA!$CD$105:$CD$189,0),2),""),,FALSE)," euro"),SUBSTITUTE(IFERROR(INDEX(PASSIVO,MATCH(ROWS($D$13:$D60),COPIA!$CD$105:$CD$189,0),4),""),"_"," ")),""))</f>
        <v/>
      </c>
      <c r="E60" s="115" t="str">
        <f ca="1">IF(IFERROR(INDEX(PASSIVO,MATCH(ROWS($E$13:E60),COPIA!$CD$105:$CD$189,0),5),0)=0,"",IFERROR(INDEX(PASSIVO,MATCH(ROWS($E$13:E60),COPIA!$CD$105:$CD$189,0),5),0))</f>
        <v/>
      </c>
    </row>
    <row r="61" spans="1:10" ht="15.9" customHeight="1" x14ac:dyDescent="0.3">
      <c r="A61" s="7">
        <f t="shared" ca="1" si="0"/>
        <v>0</v>
      </c>
      <c r="B61" s="132" t="str">
        <f ca="1">IF(ROW()-9&gt;COPIA!$CI$1,SUBSTITUTE(IFERROR(INDEX(ECONOMICO,MATCH((ROWS($B$12:B61)-COPIA!$CI$2),COPIA!$CD$191:$CD$247,0),4),""),"_"," "),IF(ROW()-9&lt;=COPIA!$CI$1,CONCATENATE(IFERROR(IF(MID(CONCATENATE(SUBSTITUTE(IFERROR(INDEX(ATTIVO,MATCH(ROWS(B$13:$B61),COPIA!$CD$3:$CD$250,0),4),""),"_"," ")," ",),8,6)="di cui",CONCATENATE(SUBSTITUTE(IFERROR(INDEX(ATTIVO,MATCH(ROWS(B$13:$B61),COPIA!$CD$3:$CD$250,0),4),""),"_"," ")," ",FIXED(IFERROR(INDEX(ATTIVO,MATCH(ROW()-12,COPIA!$CD$3:$CD$250,0),2),""),,FALSE)," euro"),SUBSTITUTE(IFERROR(INDEX(ATTIVO,MATCH(ROWS(B$13:$B61),COPIA!$CD$3:$CD$250,0),4),""),"_"," ")),"")),""))</f>
        <v/>
      </c>
      <c r="C61" s="115" t="str">
        <f ca="1">IF(IFERROR(IF(ROW()-9&gt;COPIA!$CI$1,INDEX(ECONOMICO,MATCH((ROWS($B$12:B61)-COPIA!$CI$2),COPIA!$CD$191:$CD$247,0),5),INDEX(ATTIVO,MATCH(ROWS($C$13:C61),COPIA!$CD$3:$CD$250,0),5)),0)=0,"",IFERROR(IF(ROW()-9&gt;COPIA!$CI$1,INDEX(ECONOMICO,MATCH((ROWS($B$12:B61)-COPIA!$CI$2),COPIA!$CD$191:$CD$247,0),5),INDEX(ATTIVO,MATCH(ROWS($C$13:C61),COPIA!$CD$3:$CD$250,0),5)),0))</f>
        <v/>
      </c>
      <c r="D61" s="135" t="str">
        <f ca="1">CONCATENATE(IFERROR(IF(MID(CONCATENATE(SUBSTITUTE(IFERROR(INDEX(PASSIVO,MATCH(ROWS(D$13:$D61),COPIA!$CD$105:$CD$189,0),4),""),"_"," ")," ",),8,6)="di cui",CONCATENATE(SUBSTITUTE(IFERROR(INDEX(PASSIVO,MATCH(ROWS(D$13:$D61),COPIA!$CD$105:$CD$189,0),4),""),"_"," ")," ",FIXED(IFERROR(INDEX(PASSIVO,MATCH(ROW()-12,COPIA!$CD$105:$CD$189,0),2),""),,FALSE)," euro"),SUBSTITUTE(IFERROR(INDEX(PASSIVO,MATCH(ROWS($D$13:$D61),COPIA!$CD$105:$CD$189,0),4),""),"_"," ")),""))</f>
        <v/>
      </c>
      <c r="E61" s="115" t="str">
        <f ca="1">IF(IFERROR(INDEX(PASSIVO,MATCH(ROWS($E$13:E61),COPIA!$CD$105:$CD$189,0),5),0)=0,"",IFERROR(INDEX(PASSIVO,MATCH(ROWS($E$13:E61),COPIA!$CD$105:$CD$189,0),5),0))</f>
        <v/>
      </c>
    </row>
    <row r="62" spans="1:10" ht="15.9" customHeight="1" x14ac:dyDescent="0.3">
      <c r="A62" s="7">
        <f t="shared" ca="1" si="0"/>
        <v>0</v>
      </c>
      <c r="B62" s="132" t="str">
        <f ca="1">IF(ROW()-9&gt;COPIA!$CI$1,SUBSTITUTE(IFERROR(INDEX(ECONOMICO,MATCH((ROWS($B$12:B62)-COPIA!$CI$2),COPIA!$CD$191:$CD$247,0),4),""),"_"," "),IF(ROW()-9&lt;=COPIA!$CI$1,CONCATENATE(IFERROR(IF(MID(CONCATENATE(SUBSTITUTE(IFERROR(INDEX(ATTIVO,MATCH(ROWS(B$13:$B62),COPIA!$CD$3:$CD$250,0),4),""),"_"," ")," ",),8,6)="di cui",CONCATENATE(SUBSTITUTE(IFERROR(INDEX(ATTIVO,MATCH(ROWS(B$13:$B62),COPIA!$CD$3:$CD$250,0),4),""),"_"," ")," ",FIXED(IFERROR(INDEX(ATTIVO,MATCH(ROW()-12,COPIA!$CD$3:$CD$250,0),2),""),,FALSE)," euro"),SUBSTITUTE(IFERROR(INDEX(ATTIVO,MATCH(ROWS(B$13:$B62),COPIA!$CD$3:$CD$250,0),4),""),"_"," ")),"")),""))</f>
        <v/>
      </c>
      <c r="C62" s="115" t="str">
        <f ca="1">IF(IFERROR(IF(ROW()-9&gt;COPIA!$CI$1,INDEX(ECONOMICO,MATCH((ROWS($B$12:B62)-COPIA!$CI$2),COPIA!$CD$191:$CD$247,0),5),INDEX(ATTIVO,MATCH(ROWS($C$13:C62),COPIA!$CD$3:$CD$250,0),5)),0)=0,"",IFERROR(IF(ROW()-9&gt;COPIA!$CI$1,INDEX(ECONOMICO,MATCH((ROWS($B$12:B62)-COPIA!$CI$2),COPIA!$CD$191:$CD$247,0),5),INDEX(ATTIVO,MATCH(ROWS($C$13:C62),COPIA!$CD$3:$CD$250,0),5)),0))</f>
        <v/>
      </c>
      <c r="D62" s="135" t="str">
        <f ca="1">CONCATENATE(IFERROR(IF(MID(CONCATENATE(SUBSTITUTE(IFERROR(INDEX(PASSIVO,MATCH(ROWS(D$13:$D62),COPIA!$CD$105:$CD$189,0),4),""),"_"," ")," ",),8,6)="di cui",CONCATENATE(SUBSTITUTE(IFERROR(INDEX(PASSIVO,MATCH(ROWS(D$13:$D62),COPIA!$CD$105:$CD$189,0),4),""),"_"," ")," ",FIXED(IFERROR(INDEX(PASSIVO,MATCH(ROW()-12,COPIA!$CD$105:$CD$189,0),2),""),,FALSE)," euro"),SUBSTITUTE(IFERROR(INDEX(PASSIVO,MATCH(ROWS($D$13:$D62),COPIA!$CD$105:$CD$189,0),4),""),"_"," ")),""))</f>
        <v/>
      </c>
      <c r="E62" s="115" t="str">
        <f ca="1">IF(IFERROR(INDEX(PASSIVO,MATCH(ROWS($E$13:E62),COPIA!$CD$105:$CD$189,0),5),0)=0,"",IFERROR(INDEX(PASSIVO,MATCH(ROWS($E$13:E62),COPIA!$CD$105:$CD$189,0),5),0))</f>
        <v/>
      </c>
    </row>
    <row r="63" spans="1:10" ht="15.9" customHeight="1" x14ac:dyDescent="0.3">
      <c r="A63" s="7">
        <f t="shared" ca="1" si="0"/>
        <v>0</v>
      </c>
      <c r="B63" s="132" t="str">
        <f ca="1">IF(ROW()-9&gt;COPIA!$CI$1,SUBSTITUTE(IFERROR(INDEX(ECONOMICO,MATCH((ROWS($B$12:B63)-COPIA!$CI$2),COPIA!$CD$191:$CD$247,0),4),""),"_"," "),IF(ROW()-9&lt;=COPIA!$CI$1,CONCATENATE(IFERROR(IF(MID(CONCATENATE(SUBSTITUTE(IFERROR(INDEX(ATTIVO,MATCH(ROWS(B$13:$B63),COPIA!$CD$3:$CD$250,0),4),""),"_"," ")," ",),8,6)="di cui",CONCATENATE(SUBSTITUTE(IFERROR(INDEX(ATTIVO,MATCH(ROWS(B$13:$B63),COPIA!$CD$3:$CD$250,0),4),""),"_"," ")," ",FIXED(IFERROR(INDEX(ATTIVO,MATCH(ROW()-12,COPIA!$CD$3:$CD$250,0),2),""),,FALSE)," euro"),SUBSTITUTE(IFERROR(INDEX(ATTIVO,MATCH(ROWS(B$13:$B63),COPIA!$CD$3:$CD$250,0),4),""),"_"," ")),"")),""))</f>
        <v/>
      </c>
      <c r="C63" s="115" t="str">
        <f ca="1">IF(IFERROR(IF(ROW()-9&gt;COPIA!$CI$1,INDEX(ECONOMICO,MATCH((ROWS($B$12:B63)-COPIA!$CI$2),COPIA!$CD$191:$CD$247,0),5),INDEX(ATTIVO,MATCH(ROWS($C$13:C63),COPIA!$CD$3:$CD$250,0),5)),0)=0,"",IFERROR(IF(ROW()-9&gt;COPIA!$CI$1,INDEX(ECONOMICO,MATCH((ROWS($B$12:B63)-COPIA!$CI$2),COPIA!$CD$191:$CD$247,0),5),INDEX(ATTIVO,MATCH(ROWS($C$13:C63),COPIA!$CD$3:$CD$250,0),5)),0))</f>
        <v/>
      </c>
      <c r="D63" s="135" t="str">
        <f ca="1">CONCATENATE(IFERROR(IF(MID(CONCATENATE(SUBSTITUTE(IFERROR(INDEX(PASSIVO,MATCH(ROWS(D$13:$D63),COPIA!$CD$105:$CD$189,0),4),""),"_"," ")," ",),8,6)="di cui",CONCATENATE(SUBSTITUTE(IFERROR(INDEX(PASSIVO,MATCH(ROWS(D$13:$D63),COPIA!$CD$105:$CD$189,0),4),""),"_"," ")," ",FIXED(IFERROR(INDEX(PASSIVO,MATCH(ROW()-12,COPIA!$CD$105:$CD$189,0),2),""),,FALSE)," euro"),SUBSTITUTE(IFERROR(INDEX(PASSIVO,MATCH(ROWS($D$13:$D63),COPIA!$CD$105:$CD$189,0),4),""),"_"," ")),""))</f>
        <v/>
      </c>
      <c r="E63" s="115" t="str">
        <f ca="1">IF(IFERROR(INDEX(PASSIVO,MATCH(ROWS($E$13:E63),COPIA!$CD$105:$CD$189,0),5),0)=0,"",IFERROR(INDEX(PASSIVO,MATCH(ROWS($E$13:E63),COPIA!$CD$105:$CD$189,0),5),0))</f>
        <v/>
      </c>
    </row>
    <row r="64" spans="1:10" ht="15.9" customHeight="1" x14ac:dyDescent="0.3">
      <c r="A64" s="7">
        <f t="shared" ca="1" si="0"/>
        <v>0</v>
      </c>
      <c r="B64" s="132" t="str">
        <f ca="1">IF(ROW()-9&gt;COPIA!$CI$1,SUBSTITUTE(IFERROR(INDEX(ECONOMICO,MATCH((ROWS($B$12:B64)-COPIA!$CI$2),COPIA!$CD$191:$CD$247,0),4),""),"_"," "),IF(ROW()-9&lt;=COPIA!$CI$1,CONCATENATE(IFERROR(IF(MID(CONCATENATE(SUBSTITUTE(IFERROR(INDEX(ATTIVO,MATCH(ROWS(B$13:$B64),COPIA!$CD$3:$CD$250,0),4),""),"_"," ")," ",),8,6)="di cui",CONCATENATE(SUBSTITUTE(IFERROR(INDEX(ATTIVO,MATCH(ROWS(B$13:$B64),COPIA!$CD$3:$CD$250,0),4),""),"_"," ")," ",FIXED(IFERROR(INDEX(ATTIVO,MATCH(ROW()-12,COPIA!$CD$3:$CD$250,0),2),""),,FALSE)," euro"),SUBSTITUTE(IFERROR(INDEX(ATTIVO,MATCH(ROWS(B$13:$B64),COPIA!$CD$3:$CD$250,0),4),""),"_"," ")),"")),""))</f>
        <v/>
      </c>
      <c r="C64" s="115" t="str">
        <f ca="1">IF(IFERROR(IF(ROW()-9&gt;COPIA!$CI$1,INDEX(ECONOMICO,MATCH((ROWS($B$12:B64)-COPIA!$CI$2),COPIA!$CD$191:$CD$247,0),5),INDEX(ATTIVO,MATCH(ROWS($C$13:C64),COPIA!$CD$3:$CD$250,0),5)),0)=0,"",IFERROR(IF(ROW()-9&gt;COPIA!$CI$1,INDEX(ECONOMICO,MATCH((ROWS($B$12:B64)-COPIA!$CI$2),COPIA!$CD$191:$CD$247,0),5),INDEX(ATTIVO,MATCH(ROWS($C$13:C64),COPIA!$CD$3:$CD$250,0),5)),0))</f>
        <v/>
      </c>
      <c r="D64" s="135" t="str">
        <f ca="1">CONCATENATE(IFERROR(IF(MID(CONCATENATE(SUBSTITUTE(IFERROR(INDEX(PASSIVO,MATCH(ROWS(D$13:$D64),COPIA!$CD$105:$CD$189,0),4),""),"_"," ")," ",),8,6)="di cui",CONCATENATE(SUBSTITUTE(IFERROR(INDEX(PASSIVO,MATCH(ROWS(D$13:$D64),COPIA!$CD$105:$CD$189,0),4),""),"_"," ")," ",FIXED(IFERROR(INDEX(PASSIVO,MATCH(ROW()-12,COPIA!$CD$105:$CD$189,0),2),""),,FALSE)," euro"),SUBSTITUTE(IFERROR(INDEX(PASSIVO,MATCH(ROWS($D$13:$D64),COPIA!$CD$105:$CD$189,0),4),""),"_"," ")),""))</f>
        <v/>
      </c>
      <c r="E64" s="115" t="str">
        <f ca="1">IF(IFERROR(INDEX(PASSIVO,MATCH(ROWS($E$13:E64),COPIA!$CD$105:$CD$189,0),5),0)=0,"",IFERROR(INDEX(PASSIVO,MATCH(ROWS($E$13:E64),COPIA!$CD$105:$CD$189,0),5),0))</f>
        <v/>
      </c>
    </row>
    <row r="65" spans="1:5" ht="15.9" customHeight="1" x14ac:dyDescent="0.3">
      <c r="A65" s="7">
        <f t="shared" ca="1" si="0"/>
        <v>0</v>
      </c>
      <c r="B65" s="132" t="str">
        <f ca="1">IF(ROW()-9&gt;COPIA!$CI$1,SUBSTITUTE(IFERROR(INDEX(ECONOMICO,MATCH((ROWS($B$12:B65)-COPIA!$CI$2),COPIA!$CD$191:$CD$247,0),4),""),"_"," "),IF(ROW()-9&lt;=COPIA!$CI$1,CONCATENATE(IFERROR(IF(MID(CONCATENATE(SUBSTITUTE(IFERROR(INDEX(ATTIVO,MATCH(ROWS(B$13:$B65),COPIA!$CD$3:$CD$250,0),4),""),"_"," ")," ",),8,6)="di cui",CONCATENATE(SUBSTITUTE(IFERROR(INDEX(ATTIVO,MATCH(ROWS(B$13:$B65),COPIA!$CD$3:$CD$250,0),4),""),"_"," ")," ",FIXED(IFERROR(INDEX(ATTIVO,MATCH(ROW()-12,COPIA!$CD$3:$CD$250,0),2),""),,FALSE)," euro"),SUBSTITUTE(IFERROR(INDEX(ATTIVO,MATCH(ROWS(B$13:$B65),COPIA!$CD$3:$CD$250,0),4),""),"_"," ")),"")),""))</f>
        <v/>
      </c>
      <c r="C65" s="115" t="str">
        <f ca="1">IF(IFERROR(IF(ROW()-9&gt;COPIA!$CI$1,INDEX(ECONOMICO,MATCH((ROWS($B$12:B65)-COPIA!$CI$2),COPIA!$CD$191:$CD$247,0),5),INDEX(ATTIVO,MATCH(ROWS($C$13:C65),COPIA!$CD$3:$CD$250,0),5)),0)=0,"",IFERROR(IF(ROW()-9&gt;COPIA!$CI$1,INDEX(ECONOMICO,MATCH((ROWS($B$12:B65)-COPIA!$CI$2),COPIA!$CD$191:$CD$247,0),5),INDEX(ATTIVO,MATCH(ROWS($C$13:C65),COPIA!$CD$3:$CD$250,0),5)),0))</f>
        <v/>
      </c>
      <c r="D65" s="135" t="str">
        <f ca="1">CONCATENATE(IFERROR(IF(MID(CONCATENATE(SUBSTITUTE(IFERROR(INDEX(PASSIVO,MATCH(ROWS(D$13:$D65),COPIA!$CD$105:$CD$189,0),4),""),"_"," ")," ",),8,6)="di cui",CONCATENATE(SUBSTITUTE(IFERROR(INDEX(PASSIVO,MATCH(ROWS(D$13:$D65),COPIA!$CD$105:$CD$189,0),4),""),"_"," ")," ",FIXED(IFERROR(INDEX(PASSIVO,MATCH(ROW()-12,COPIA!$CD$105:$CD$189,0),2),""),,FALSE)," euro"),SUBSTITUTE(IFERROR(INDEX(PASSIVO,MATCH(ROWS($D$13:$D65),COPIA!$CD$105:$CD$189,0),4),""),"_"," ")),""))</f>
        <v/>
      </c>
      <c r="E65" s="115" t="str">
        <f ca="1">IF(IFERROR(INDEX(PASSIVO,MATCH(ROWS($E$13:E65),COPIA!$CD$105:$CD$189,0),5),0)=0,"",IFERROR(INDEX(PASSIVO,MATCH(ROWS($E$13:E65),COPIA!$CD$105:$CD$189,0),5),0))</f>
        <v/>
      </c>
    </row>
    <row r="66" spans="1:5" ht="15.9" customHeight="1" x14ac:dyDescent="0.3">
      <c r="A66" s="7">
        <f t="shared" ca="1" si="0"/>
        <v>0</v>
      </c>
      <c r="B66" s="132" t="str">
        <f ca="1">IF(ROW()-9&gt;COPIA!$CI$1,SUBSTITUTE(IFERROR(INDEX(ECONOMICO,MATCH((ROWS($B$12:B66)-COPIA!$CI$2),COPIA!$CD$191:$CD$247,0),4),""),"_"," "),IF(ROW()-9&lt;=COPIA!$CI$1,CONCATENATE(IFERROR(IF(MID(CONCATENATE(SUBSTITUTE(IFERROR(INDEX(ATTIVO,MATCH(ROWS(B$13:$B66),COPIA!$CD$3:$CD$250,0),4),""),"_"," ")," ",),8,6)="di cui",CONCATENATE(SUBSTITUTE(IFERROR(INDEX(ATTIVO,MATCH(ROWS(B$13:$B66),COPIA!$CD$3:$CD$250,0),4),""),"_"," ")," ",FIXED(IFERROR(INDEX(ATTIVO,MATCH(ROW()-12,COPIA!$CD$3:$CD$250,0),2),""),,FALSE)," euro"),SUBSTITUTE(IFERROR(INDEX(ATTIVO,MATCH(ROWS(B$13:$B66),COPIA!$CD$3:$CD$250,0),4),""),"_"," ")),"")),""))</f>
        <v/>
      </c>
      <c r="C66" s="115" t="str">
        <f ca="1">IF(IFERROR(IF(ROW()-9&gt;COPIA!$CI$1,INDEX(ECONOMICO,MATCH((ROWS($B$12:B66)-COPIA!$CI$2),COPIA!$CD$191:$CD$247,0),5),INDEX(ATTIVO,MATCH(ROWS($C$13:C66),COPIA!$CD$3:$CD$250,0),5)),0)=0,"",IFERROR(IF(ROW()-9&gt;COPIA!$CI$1,INDEX(ECONOMICO,MATCH((ROWS($B$12:B66)-COPIA!$CI$2),COPIA!$CD$191:$CD$247,0),5),INDEX(ATTIVO,MATCH(ROWS($C$13:C66),COPIA!$CD$3:$CD$250,0),5)),0))</f>
        <v/>
      </c>
      <c r="D66" s="135" t="str">
        <f ca="1">CONCATENATE(IFERROR(IF(MID(CONCATENATE(SUBSTITUTE(IFERROR(INDEX(PASSIVO,MATCH(ROWS(D$13:$D66),COPIA!$CD$105:$CD$189,0),4),""),"_"," ")," ",),8,6)="di cui",CONCATENATE(SUBSTITUTE(IFERROR(INDEX(PASSIVO,MATCH(ROWS(D$13:$D66),COPIA!$CD$105:$CD$189,0),4),""),"_"," ")," ",FIXED(IFERROR(INDEX(PASSIVO,MATCH(ROW()-12,COPIA!$CD$105:$CD$189,0),2),""),,FALSE)," euro"),SUBSTITUTE(IFERROR(INDEX(PASSIVO,MATCH(ROWS($D$13:$D66),COPIA!$CD$105:$CD$189,0),4),""),"_"," ")),""))</f>
        <v/>
      </c>
      <c r="E66" s="115" t="str">
        <f ca="1">IF(IFERROR(INDEX(PASSIVO,MATCH(ROWS($E$13:E66),COPIA!$CD$105:$CD$189,0),5),0)=0,"",IFERROR(INDEX(PASSIVO,MATCH(ROWS($E$13:E66),COPIA!$CD$105:$CD$189,0),5),0))</f>
        <v/>
      </c>
    </row>
    <row r="67" spans="1:5" ht="15.9" customHeight="1" x14ac:dyDescent="0.3">
      <c r="A67" s="7">
        <f t="shared" ca="1" si="0"/>
        <v>0</v>
      </c>
      <c r="B67" s="132" t="str">
        <f ca="1">IF(ROW()-9&gt;COPIA!$CI$1,SUBSTITUTE(IFERROR(INDEX(ECONOMICO,MATCH((ROWS($B$12:B67)-COPIA!$CI$2),COPIA!$CD$191:$CD$247,0),4),""),"_"," "),IF(ROW()-9&lt;=COPIA!$CI$1,CONCATENATE(IFERROR(IF(MID(CONCATENATE(SUBSTITUTE(IFERROR(INDEX(ATTIVO,MATCH(ROWS(B$13:$B67),COPIA!$CD$3:$CD$250,0),4),""),"_"," ")," ",),8,6)="di cui",CONCATENATE(SUBSTITUTE(IFERROR(INDEX(ATTIVO,MATCH(ROWS(B$13:$B67),COPIA!$CD$3:$CD$250,0),4),""),"_"," ")," ",FIXED(IFERROR(INDEX(ATTIVO,MATCH(ROW()-12,COPIA!$CD$3:$CD$250,0),2),""),,FALSE)," euro"),SUBSTITUTE(IFERROR(INDEX(ATTIVO,MATCH(ROWS(B$13:$B67),COPIA!$CD$3:$CD$250,0),4),""),"_"," ")),"")),""))</f>
        <v/>
      </c>
      <c r="C67" s="115" t="str">
        <f ca="1">IF(IFERROR(IF(ROW()-9&gt;COPIA!$CI$1,INDEX(ECONOMICO,MATCH((ROWS($B$12:B67)-COPIA!$CI$2),COPIA!$CD$191:$CD$247,0),5),INDEX(ATTIVO,MATCH(ROWS($C$13:C67),COPIA!$CD$3:$CD$250,0),5)),0)=0,"",IFERROR(IF(ROW()-9&gt;COPIA!$CI$1,INDEX(ECONOMICO,MATCH((ROWS($B$12:B67)-COPIA!$CI$2),COPIA!$CD$191:$CD$247,0),5),INDEX(ATTIVO,MATCH(ROWS($C$13:C67),COPIA!$CD$3:$CD$250,0),5)),0))</f>
        <v/>
      </c>
      <c r="D67" s="135" t="str">
        <f ca="1">CONCATENATE(IFERROR(IF(MID(CONCATENATE(SUBSTITUTE(IFERROR(INDEX(PASSIVO,MATCH(ROWS(D$13:$D67),COPIA!$CD$105:$CD$189,0),4),""),"_"," ")," ",),8,6)="di cui",CONCATENATE(SUBSTITUTE(IFERROR(INDEX(PASSIVO,MATCH(ROWS(D$13:$D67),COPIA!$CD$105:$CD$189,0),4),""),"_"," ")," ",FIXED(IFERROR(INDEX(PASSIVO,MATCH(ROW()-12,COPIA!$CD$105:$CD$189,0),2),""),,FALSE)," euro"),SUBSTITUTE(IFERROR(INDEX(PASSIVO,MATCH(ROWS($D$13:$D67),COPIA!$CD$105:$CD$189,0),4),""),"_"," ")),""))</f>
        <v/>
      </c>
      <c r="E67" s="115" t="str">
        <f ca="1">IF(IFERROR(INDEX(PASSIVO,MATCH(ROWS($E$13:E67),COPIA!$CD$105:$CD$189,0),5),0)=0,"",IFERROR(INDEX(PASSIVO,MATCH(ROWS($E$13:E67),COPIA!$CD$105:$CD$189,0),5),0))</f>
        <v/>
      </c>
    </row>
    <row r="68" spans="1:5" ht="15.9" customHeight="1" x14ac:dyDescent="0.3">
      <c r="A68" s="7">
        <f t="shared" ca="1" si="0"/>
        <v>0</v>
      </c>
      <c r="B68" s="132" t="str">
        <f ca="1">IF(ROW()-9&gt;COPIA!$CI$1,SUBSTITUTE(IFERROR(INDEX(ECONOMICO,MATCH((ROWS($B$12:B68)-COPIA!$CI$2),COPIA!$CD$191:$CD$247,0),4),""),"_"," "),IF(ROW()-9&lt;=COPIA!$CI$1,CONCATENATE(IFERROR(IF(MID(CONCATENATE(SUBSTITUTE(IFERROR(INDEX(ATTIVO,MATCH(ROWS(B$13:$B68),COPIA!$CD$3:$CD$250,0),4),""),"_"," ")," ",),8,6)="di cui",CONCATENATE(SUBSTITUTE(IFERROR(INDEX(ATTIVO,MATCH(ROWS(B$13:$B68),COPIA!$CD$3:$CD$250,0),4),""),"_"," ")," ",FIXED(IFERROR(INDEX(ATTIVO,MATCH(ROW()-12,COPIA!$CD$3:$CD$250,0),2),""),,FALSE)," euro"),SUBSTITUTE(IFERROR(INDEX(ATTIVO,MATCH(ROWS(B$13:$B68),COPIA!$CD$3:$CD$250,0),4),""),"_"," ")),"")),""))</f>
        <v/>
      </c>
      <c r="C68" s="115" t="str">
        <f ca="1">IF(IFERROR(IF(ROW()-9&gt;COPIA!$CI$1,INDEX(ECONOMICO,MATCH((ROWS($B$12:B68)-COPIA!$CI$2),COPIA!$CD$191:$CD$247,0),5),INDEX(ATTIVO,MATCH(ROWS($C$13:C68),COPIA!$CD$3:$CD$250,0),5)),0)=0,"",IFERROR(IF(ROW()-9&gt;COPIA!$CI$1,INDEX(ECONOMICO,MATCH((ROWS($B$12:B68)-COPIA!$CI$2),COPIA!$CD$191:$CD$247,0),5),INDEX(ATTIVO,MATCH(ROWS($C$13:C68),COPIA!$CD$3:$CD$250,0),5)),0))</f>
        <v/>
      </c>
      <c r="D68" s="135" t="str">
        <f ca="1">CONCATENATE(IFERROR(IF(MID(CONCATENATE(SUBSTITUTE(IFERROR(INDEX(PASSIVO,MATCH(ROWS(D$13:$D68),COPIA!$CD$105:$CD$189,0),4),""),"_"," ")," ",),8,6)="di cui",CONCATENATE(SUBSTITUTE(IFERROR(INDEX(PASSIVO,MATCH(ROWS(D$13:$D68),COPIA!$CD$105:$CD$189,0),4),""),"_"," ")," ",FIXED(IFERROR(INDEX(PASSIVO,MATCH(ROW()-12,COPIA!$CD$105:$CD$189,0),2),""),,FALSE)," euro"),SUBSTITUTE(IFERROR(INDEX(PASSIVO,MATCH(ROWS($D$13:$D68),COPIA!$CD$105:$CD$189,0),4),""),"_"," ")),""))</f>
        <v/>
      </c>
      <c r="E68" s="115" t="str">
        <f ca="1">IF(IFERROR(INDEX(PASSIVO,MATCH(ROWS($E$13:E68),COPIA!$CD$105:$CD$189,0),5),0)=0,"",IFERROR(INDEX(PASSIVO,MATCH(ROWS($E$13:E68),COPIA!$CD$105:$CD$189,0),5),0))</f>
        <v/>
      </c>
    </row>
    <row r="69" spans="1:5" ht="15.9" customHeight="1" x14ac:dyDescent="0.3">
      <c r="A69" s="7">
        <f t="shared" ca="1" si="0"/>
        <v>0</v>
      </c>
      <c r="B69" s="132" t="str">
        <f ca="1">IF(ROW()-9&gt;COPIA!$CI$1,SUBSTITUTE(IFERROR(INDEX(ECONOMICO,MATCH((ROWS($B$12:B69)-COPIA!$CI$2),COPIA!$CD$191:$CD$247,0),4),""),"_"," "),IF(ROW()-9&lt;=COPIA!$CI$1,CONCATENATE(IFERROR(IF(MID(CONCATENATE(SUBSTITUTE(IFERROR(INDEX(ATTIVO,MATCH(ROWS(B$13:$B69),COPIA!$CD$3:$CD$250,0),4),""),"_"," ")," ",),8,6)="di cui",CONCATENATE(SUBSTITUTE(IFERROR(INDEX(ATTIVO,MATCH(ROWS(B$13:$B69),COPIA!$CD$3:$CD$250,0),4),""),"_"," ")," ",FIXED(IFERROR(INDEX(ATTIVO,MATCH(ROW()-12,COPIA!$CD$3:$CD$250,0),2),""),,FALSE)," euro"),SUBSTITUTE(IFERROR(INDEX(ATTIVO,MATCH(ROWS(B$13:$B69),COPIA!$CD$3:$CD$250,0),4),""),"_"," ")),"")),""))</f>
        <v/>
      </c>
      <c r="C69" s="115" t="str">
        <f ca="1">IF(IFERROR(IF(ROW()-9&gt;COPIA!$CI$1,INDEX(ECONOMICO,MATCH((ROWS($B$12:B69)-COPIA!$CI$2),COPIA!$CD$191:$CD$247,0),5),INDEX(ATTIVO,MATCH(ROWS($C$13:C69),COPIA!$CD$3:$CD$250,0),5)),0)=0,"",IFERROR(IF(ROW()-9&gt;COPIA!$CI$1,INDEX(ECONOMICO,MATCH((ROWS($B$12:B69)-COPIA!$CI$2),COPIA!$CD$191:$CD$247,0),5),INDEX(ATTIVO,MATCH(ROWS($C$13:C69),COPIA!$CD$3:$CD$250,0),5)),0))</f>
        <v/>
      </c>
      <c r="D69" s="135" t="str">
        <f ca="1">CONCATENATE(IFERROR(IF(MID(CONCATENATE(SUBSTITUTE(IFERROR(INDEX(PASSIVO,MATCH(ROWS(D$13:$D69),COPIA!$CD$105:$CD$189,0),4),""),"_"," ")," ",),8,6)="di cui",CONCATENATE(SUBSTITUTE(IFERROR(INDEX(PASSIVO,MATCH(ROWS(D$13:$D69),COPIA!$CD$105:$CD$189,0),4),""),"_"," ")," ",FIXED(IFERROR(INDEX(PASSIVO,MATCH(ROW()-12,COPIA!$CD$105:$CD$189,0),2),""),,FALSE)," euro"),SUBSTITUTE(IFERROR(INDEX(PASSIVO,MATCH(ROWS($D$13:$D69),COPIA!$CD$105:$CD$189,0),4),""),"_"," ")),""))</f>
        <v/>
      </c>
      <c r="E69" s="115" t="str">
        <f ca="1">IF(IFERROR(INDEX(PASSIVO,MATCH(ROWS($E$13:E69),COPIA!$CD$105:$CD$189,0),5),0)=0,"",IFERROR(INDEX(PASSIVO,MATCH(ROWS($E$13:E69),COPIA!$CD$105:$CD$189,0),5),0))</f>
        <v/>
      </c>
    </row>
    <row r="70" spans="1:5" ht="15.9" customHeight="1" x14ac:dyDescent="0.3">
      <c r="A70" s="7">
        <f t="shared" ca="1" si="0"/>
        <v>0</v>
      </c>
      <c r="B70" s="132" t="str">
        <f ca="1">IF(ROW()-9&gt;COPIA!$CI$1,SUBSTITUTE(IFERROR(INDEX(ECONOMICO,MATCH((ROWS($B$12:B70)-COPIA!$CI$2),COPIA!$CD$191:$CD$247,0),4),""),"_"," "),IF(ROW()-9&lt;=COPIA!$CI$1,CONCATENATE(IFERROR(IF(MID(CONCATENATE(SUBSTITUTE(IFERROR(INDEX(ATTIVO,MATCH(ROWS(B$13:$B70),COPIA!$CD$3:$CD$250,0),4),""),"_"," ")," ",),8,6)="di cui",CONCATENATE(SUBSTITUTE(IFERROR(INDEX(ATTIVO,MATCH(ROWS(B$13:$B70),COPIA!$CD$3:$CD$250,0),4),""),"_"," ")," ",FIXED(IFERROR(INDEX(ATTIVO,MATCH(ROW()-12,COPIA!$CD$3:$CD$250,0),2),""),,FALSE)," euro"),SUBSTITUTE(IFERROR(INDEX(ATTIVO,MATCH(ROWS(B$13:$B70),COPIA!$CD$3:$CD$250,0),4),""),"_"," ")),"")),""))</f>
        <v/>
      </c>
      <c r="C70" s="115" t="str">
        <f ca="1">IF(IFERROR(IF(ROW()-9&gt;COPIA!$CI$1,INDEX(ECONOMICO,MATCH((ROWS($B$12:B70)-COPIA!$CI$2),COPIA!$CD$191:$CD$247,0),5),INDEX(ATTIVO,MATCH(ROWS($C$13:C70),COPIA!$CD$3:$CD$250,0),5)),0)=0,"",IFERROR(IF(ROW()-9&gt;COPIA!$CI$1,INDEX(ECONOMICO,MATCH((ROWS($B$12:B70)-COPIA!$CI$2),COPIA!$CD$191:$CD$247,0),5),INDEX(ATTIVO,MATCH(ROWS($C$13:C70),COPIA!$CD$3:$CD$250,0),5)),0))</f>
        <v/>
      </c>
      <c r="D70" s="135" t="str">
        <f ca="1">CONCATENATE(IFERROR(IF(MID(CONCATENATE(SUBSTITUTE(IFERROR(INDEX(PASSIVO,MATCH(ROWS(D$13:$D70),COPIA!$CD$105:$CD$189,0),4),""),"_"," ")," ",),8,6)="di cui",CONCATENATE(SUBSTITUTE(IFERROR(INDEX(PASSIVO,MATCH(ROWS(D$13:$D70),COPIA!$CD$105:$CD$189,0),4),""),"_"," ")," ",FIXED(IFERROR(INDEX(PASSIVO,MATCH(ROW()-12,COPIA!$CD$105:$CD$189,0),2),""),,FALSE)," euro"),SUBSTITUTE(IFERROR(INDEX(PASSIVO,MATCH(ROWS($D$13:$D70),COPIA!$CD$105:$CD$189,0),4),""),"_"," ")),""))</f>
        <v/>
      </c>
      <c r="E70" s="115" t="str">
        <f ca="1">IF(IFERROR(INDEX(PASSIVO,MATCH(ROWS($E$13:E70),COPIA!$CD$105:$CD$189,0),5),0)=0,"",IFERROR(INDEX(PASSIVO,MATCH(ROWS($E$13:E70),COPIA!$CD$105:$CD$189,0),5),0))</f>
        <v/>
      </c>
    </row>
    <row r="71" spans="1:5" ht="15.9" customHeight="1" x14ac:dyDescent="0.3">
      <c r="A71" s="7">
        <f t="shared" ca="1" si="0"/>
        <v>0</v>
      </c>
      <c r="B71" s="132" t="str">
        <f ca="1">IF(ROW()-9&gt;COPIA!$CI$1,SUBSTITUTE(IFERROR(INDEX(ECONOMICO,MATCH((ROWS($B$12:B71)-COPIA!$CI$2),COPIA!$CD$191:$CD$247,0),4),""),"_"," "),IF(ROW()-9&lt;=COPIA!$CI$1,CONCATENATE(IFERROR(IF(MID(CONCATENATE(SUBSTITUTE(IFERROR(INDEX(ATTIVO,MATCH(ROWS(B$13:$B71),COPIA!$CD$3:$CD$250,0),4),""),"_"," ")," ",),8,6)="di cui",CONCATENATE(SUBSTITUTE(IFERROR(INDEX(ATTIVO,MATCH(ROWS(B$13:$B71),COPIA!$CD$3:$CD$250,0),4),""),"_"," ")," ",FIXED(IFERROR(INDEX(ATTIVO,MATCH(ROW()-12,COPIA!$CD$3:$CD$250,0),2),""),,FALSE)," euro"),SUBSTITUTE(IFERROR(INDEX(ATTIVO,MATCH(ROWS(B$13:$B71),COPIA!$CD$3:$CD$250,0),4),""),"_"," ")),"")),""))</f>
        <v/>
      </c>
      <c r="C71" s="115" t="str">
        <f ca="1">IF(IFERROR(IF(ROW()-9&gt;COPIA!$CI$1,INDEX(ECONOMICO,MATCH((ROWS($B$12:B71)-COPIA!$CI$2),COPIA!$CD$191:$CD$247,0),5),INDEX(ATTIVO,MATCH(ROWS($C$13:C71),COPIA!$CD$3:$CD$250,0),5)),0)=0,"",IFERROR(IF(ROW()-9&gt;COPIA!$CI$1,INDEX(ECONOMICO,MATCH((ROWS($B$12:B71)-COPIA!$CI$2),COPIA!$CD$191:$CD$247,0),5),INDEX(ATTIVO,MATCH(ROWS($C$13:C71),COPIA!$CD$3:$CD$250,0),5)),0))</f>
        <v/>
      </c>
      <c r="D71" s="135" t="str">
        <f ca="1">CONCATENATE(IFERROR(IF(MID(CONCATENATE(SUBSTITUTE(IFERROR(INDEX(PASSIVO,MATCH(ROWS(D$13:$D71),COPIA!$CD$105:$CD$189,0),4),""),"_"," ")," ",),8,6)="di cui",CONCATENATE(SUBSTITUTE(IFERROR(INDEX(PASSIVO,MATCH(ROWS(D$13:$D71),COPIA!$CD$105:$CD$189,0),4),""),"_"," ")," ",FIXED(IFERROR(INDEX(PASSIVO,MATCH(ROW()-12,COPIA!$CD$105:$CD$189,0),2),""),,FALSE)," euro"),SUBSTITUTE(IFERROR(INDEX(PASSIVO,MATCH(ROWS($D$13:$D71),COPIA!$CD$105:$CD$189,0),4),""),"_"," ")),""))</f>
        <v/>
      </c>
      <c r="E71" s="115" t="str">
        <f ca="1">IF(IFERROR(INDEX(PASSIVO,MATCH(ROWS($E$13:E71),COPIA!$CD$105:$CD$189,0),5),0)=0,"",IFERROR(INDEX(PASSIVO,MATCH(ROWS($E$13:E71),COPIA!$CD$105:$CD$189,0),5),0))</f>
        <v/>
      </c>
    </row>
    <row r="72" spans="1:5" ht="15.9" customHeight="1" x14ac:dyDescent="0.3">
      <c r="A72" s="7">
        <f t="shared" ca="1" si="0"/>
        <v>0</v>
      </c>
      <c r="B72" s="132" t="str">
        <f ca="1">IF(ROW()-9&gt;COPIA!$CI$1,SUBSTITUTE(IFERROR(INDEX(ECONOMICO,MATCH((ROWS($B$12:B72)-COPIA!$CI$2),COPIA!$CD$191:$CD$247,0),4),""),"_"," "),IF(ROW()-9&lt;=COPIA!$CI$1,CONCATENATE(IFERROR(IF(MID(CONCATENATE(SUBSTITUTE(IFERROR(INDEX(ATTIVO,MATCH(ROWS(B$13:$B72),COPIA!$CD$3:$CD$250,0),4),""),"_"," ")," ",),8,6)="di cui",CONCATENATE(SUBSTITUTE(IFERROR(INDEX(ATTIVO,MATCH(ROWS(B$13:$B72),COPIA!$CD$3:$CD$250,0),4),""),"_"," ")," ",FIXED(IFERROR(INDEX(ATTIVO,MATCH(ROW()-12,COPIA!$CD$3:$CD$250,0),2),""),,FALSE)," euro"),SUBSTITUTE(IFERROR(INDEX(ATTIVO,MATCH(ROWS(B$13:$B72),COPIA!$CD$3:$CD$250,0),4),""),"_"," ")),"")),""))</f>
        <v/>
      </c>
      <c r="C72" s="115" t="str">
        <f ca="1">IF(IFERROR(IF(ROW()-9&gt;COPIA!$CI$1,INDEX(ECONOMICO,MATCH((ROWS($B$12:B72)-COPIA!$CI$2),COPIA!$CD$191:$CD$247,0),5),INDEX(ATTIVO,MATCH(ROWS($C$13:C72),COPIA!$CD$3:$CD$250,0),5)),0)=0,"",IFERROR(IF(ROW()-9&gt;COPIA!$CI$1,INDEX(ECONOMICO,MATCH((ROWS($B$12:B72)-COPIA!$CI$2),COPIA!$CD$191:$CD$247,0),5),INDEX(ATTIVO,MATCH(ROWS($C$13:C72),COPIA!$CD$3:$CD$250,0),5)),0))</f>
        <v/>
      </c>
      <c r="D72" s="135" t="str">
        <f ca="1">CONCATENATE(IFERROR(IF(MID(CONCATENATE(SUBSTITUTE(IFERROR(INDEX(PASSIVO,MATCH(ROWS(D$13:$D72),COPIA!$CD$105:$CD$189,0),4),""),"_"," ")," ",),8,6)="di cui",CONCATENATE(SUBSTITUTE(IFERROR(INDEX(PASSIVO,MATCH(ROWS(D$13:$D72),COPIA!$CD$105:$CD$189,0),4),""),"_"," ")," ",FIXED(IFERROR(INDEX(PASSIVO,MATCH(ROW()-12,COPIA!$CD$105:$CD$189,0),2),""),,FALSE)," euro"),SUBSTITUTE(IFERROR(INDEX(PASSIVO,MATCH(ROWS($D$13:$D72),COPIA!$CD$105:$CD$189,0),4),""),"_"," ")),""))</f>
        <v/>
      </c>
      <c r="E72" s="115" t="str">
        <f ca="1">IF(IFERROR(INDEX(PASSIVO,MATCH(ROWS($E$13:E72),COPIA!$CD$105:$CD$189,0),5),0)=0,"",IFERROR(INDEX(PASSIVO,MATCH(ROWS($E$13:E72),COPIA!$CD$105:$CD$189,0),5),0))</f>
        <v/>
      </c>
    </row>
    <row r="73" spans="1:5" ht="15.9" customHeight="1" x14ac:dyDescent="0.3">
      <c r="A73" s="7">
        <f t="shared" ca="1" si="0"/>
        <v>0</v>
      </c>
      <c r="B73" s="132" t="str">
        <f ca="1">IF(ROW()-9&gt;COPIA!$CI$1,SUBSTITUTE(IFERROR(INDEX(ECONOMICO,MATCH((ROWS($B$12:B73)-COPIA!$CI$2),COPIA!$CD$191:$CD$247,0),4),""),"_"," "),IF(ROW()-9&lt;=COPIA!$CI$1,CONCATENATE(IFERROR(IF(MID(CONCATENATE(SUBSTITUTE(IFERROR(INDEX(ATTIVO,MATCH(ROWS(B$13:$B73),COPIA!$CD$3:$CD$250,0),4),""),"_"," ")," ",),8,6)="di cui",CONCATENATE(SUBSTITUTE(IFERROR(INDEX(ATTIVO,MATCH(ROWS(B$13:$B73),COPIA!$CD$3:$CD$250,0),4),""),"_"," ")," ",FIXED(IFERROR(INDEX(ATTIVO,MATCH(ROW()-12,COPIA!$CD$3:$CD$250,0),2),""),,FALSE)," euro"),SUBSTITUTE(IFERROR(INDEX(ATTIVO,MATCH(ROWS(B$13:$B73),COPIA!$CD$3:$CD$250,0),4),""),"_"," ")),"")),""))</f>
        <v/>
      </c>
      <c r="C73" s="115" t="str">
        <f ca="1">IF(IFERROR(IF(ROW()-9&gt;COPIA!$CI$1,INDEX(ECONOMICO,MATCH((ROWS($B$12:B73)-COPIA!$CI$2),COPIA!$CD$191:$CD$247,0),5),INDEX(ATTIVO,MATCH(ROWS($C$13:C73),COPIA!$CD$3:$CD$250,0),5)),0)=0,"",IFERROR(IF(ROW()-9&gt;COPIA!$CI$1,INDEX(ECONOMICO,MATCH((ROWS($B$12:B73)-COPIA!$CI$2),COPIA!$CD$191:$CD$247,0),5),INDEX(ATTIVO,MATCH(ROWS($C$13:C73),COPIA!$CD$3:$CD$250,0),5)),0))</f>
        <v/>
      </c>
      <c r="D73" s="135" t="str">
        <f ca="1">CONCATENATE(IFERROR(IF(MID(CONCATENATE(SUBSTITUTE(IFERROR(INDEX(PASSIVO,MATCH(ROWS(D$13:$D73),COPIA!$CD$105:$CD$189,0),4),""),"_"," ")," ",),8,6)="di cui",CONCATENATE(SUBSTITUTE(IFERROR(INDEX(PASSIVO,MATCH(ROWS(D$13:$D73),COPIA!$CD$105:$CD$189,0),4),""),"_"," ")," ",FIXED(IFERROR(INDEX(PASSIVO,MATCH(ROW()-12,COPIA!$CD$105:$CD$189,0),2),""),,FALSE)," euro"),SUBSTITUTE(IFERROR(INDEX(PASSIVO,MATCH(ROWS($D$13:$D73),COPIA!$CD$105:$CD$189,0),4),""),"_"," ")),""))</f>
        <v/>
      </c>
      <c r="E73" s="115" t="str">
        <f ca="1">IF(IFERROR(INDEX(PASSIVO,MATCH(ROWS($E$13:E73),COPIA!$CD$105:$CD$189,0),5),0)=0,"",IFERROR(INDEX(PASSIVO,MATCH(ROWS($E$13:E73),COPIA!$CD$105:$CD$189,0),5),0))</f>
        <v/>
      </c>
    </row>
    <row r="74" spans="1:5" ht="15.9" customHeight="1" x14ac:dyDescent="0.3">
      <c r="A74" s="7">
        <f t="shared" ca="1" si="0"/>
        <v>0</v>
      </c>
      <c r="B74" s="132" t="str">
        <f ca="1">IF(ROW()-9&gt;COPIA!$CI$1,SUBSTITUTE(IFERROR(INDEX(ECONOMICO,MATCH((ROWS($B$12:B74)-COPIA!$CI$2),COPIA!$CD$191:$CD$247,0),4),""),"_"," "),IF(ROW()-9&lt;=COPIA!$CI$1,CONCATENATE(IFERROR(IF(MID(CONCATENATE(SUBSTITUTE(IFERROR(INDEX(ATTIVO,MATCH(ROWS(B$13:$B74),COPIA!$CD$3:$CD$250,0),4),""),"_"," ")," ",),8,6)="di cui",CONCATENATE(SUBSTITUTE(IFERROR(INDEX(ATTIVO,MATCH(ROWS(B$13:$B74),COPIA!$CD$3:$CD$250,0),4),""),"_"," ")," ",FIXED(IFERROR(INDEX(ATTIVO,MATCH(ROW()-12,COPIA!$CD$3:$CD$250,0),2),""),,FALSE)," euro"),SUBSTITUTE(IFERROR(INDEX(ATTIVO,MATCH(ROWS(B$13:$B74),COPIA!$CD$3:$CD$250,0),4),""),"_"," ")),"")),""))</f>
        <v/>
      </c>
      <c r="C74" s="115" t="str">
        <f ca="1">IF(IFERROR(IF(ROW()-9&gt;COPIA!$CI$1,INDEX(ECONOMICO,MATCH((ROWS($B$12:B74)-COPIA!$CI$2),COPIA!$CD$191:$CD$247,0),5),INDEX(ATTIVO,MATCH(ROWS($C$13:C74),COPIA!$CD$3:$CD$250,0),5)),0)=0,"",IFERROR(IF(ROW()-9&gt;COPIA!$CI$1,INDEX(ECONOMICO,MATCH((ROWS($B$12:B74)-COPIA!$CI$2),COPIA!$CD$191:$CD$247,0),5),INDEX(ATTIVO,MATCH(ROWS($C$13:C74),COPIA!$CD$3:$CD$250,0),5)),0))</f>
        <v/>
      </c>
      <c r="D74" s="135" t="str">
        <f ca="1">CONCATENATE(IFERROR(IF(MID(CONCATENATE(SUBSTITUTE(IFERROR(INDEX(PASSIVO,MATCH(ROWS(D$13:$D74),COPIA!$CD$105:$CD$189,0),4),""),"_"," ")," ",),8,6)="di cui",CONCATENATE(SUBSTITUTE(IFERROR(INDEX(PASSIVO,MATCH(ROWS(D$13:$D74),COPIA!$CD$105:$CD$189,0),4),""),"_"," ")," ",FIXED(IFERROR(INDEX(PASSIVO,MATCH(ROW()-12,COPIA!$CD$105:$CD$189,0),2),""),,FALSE)," euro"),SUBSTITUTE(IFERROR(INDEX(PASSIVO,MATCH(ROWS($D$13:$D74),COPIA!$CD$105:$CD$189,0),4),""),"_"," ")),""))</f>
        <v/>
      </c>
      <c r="E74" s="115" t="str">
        <f ca="1">IF(IFERROR(INDEX(PASSIVO,MATCH(ROWS($E$13:E74),COPIA!$CD$105:$CD$189,0),5),0)=0,"",IFERROR(INDEX(PASSIVO,MATCH(ROWS($E$13:E74),COPIA!$CD$105:$CD$189,0),5),0))</f>
        <v/>
      </c>
    </row>
    <row r="75" spans="1:5" ht="15.9" customHeight="1" x14ac:dyDescent="0.3">
      <c r="A75" s="7">
        <f t="shared" ca="1" si="0"/>
        <v>0</v>
      </c>
      <c r="B75" s="132" t="str">
        <f ca="1">IF(ROW()-9&gt;COPIA!$CI$1,SUBSTITUTE(IFERROR(INDEX(ECONOMICO,MATCH((ROWS($B$12:B75)-COPIA!$CI$2),COPIA!$CD$191:$CD$247,0),4),""),"_"," "),IF(ROW()-9&lt;=COPIA!$CI$1,CONCATENATE(IFERROR(IF(MID(CONCATENATE(SUBSTITUTE(IFERROR(INDEX(ATTIVO,MATCH(ROWS(B$13:$B75),COPIA!$CD$3:$CD$250,0),4),""),"_"," ")," ",),8,6)="di cui",CONCATENATE(SUBSTITUTE(IFERROR(INDEX(ATTIVO,MATCH(ROWS(B$13:$B75),COPIA!$CD$3:$CD$250,0),4),""),"_"," ")," ",FIXED(IFERROR(INDEX(ATTIVO,MATCH(ROW()-12,COPIA!$CD$3:$CD$250,0),2),""),,FALSE)," euro"),SUBSTITUTE(IFERROR(INDEX(ATTIVO,MATCH(ROWS(B$13:$B75),COPIA!$CD$3:$CD$250,0),4),""),"_"," ")),"")),""))</f>
        <v/>
      </c>
      <c r="C75" s="115" t="str">
        <f ca="1">IF(IFERROR(IF(ROW()-9&gt;COPIA!$CI$1,INDEX(ECONOMICO,MATCH((ROWS($B$12:B75)-COPIA!$CI$2),COPIA!$CD$191:$CD$247,0),5),INDEX(ATTIVO,MATCH(ROWS($C$13:C75),COPIA!$CD$3:$CD$250,0),5)),0)=0,"",IFERROR(IF(ROW()-9&gt;COPIA!$CI$1,INDEX(ECONOMICO,MATCH((ROWS($B$12:B75)-COPIA!$CI$2),COPIA!$CD$191:$CD$247,0),5),INDEX(ATTIVO,MATCH(ROWS($C$13:C75),COPIA!$CD$3:$CD$250,0),5)),0))</f>
        <v/>
      </c>
      <c r="D75" s="135" t="str">
        <f ca="1">CONCATENATE(IFERROR(IF(MID(CONCATENATE(SUBSTITUTE(IFERROR(INDEX(PASSIVO,MATCH(ROWS(D$13:$D75),COPIA!$CD$105:$CD$189,0),4),""),"_"," ")," ",),8,6)="di cui",CONCATENATE(SUBSTITUTE(IFERROR(INDEX(PASSIVO,MATCH(ROWS(D$13:$D75),COPIA!$CD$105:$CD$189,0),4),""),"_"," ")," ",FIXED(IFERROR(INDEX(PASSIVO,MATCH(ROW()-12,COPIA!$CD$105:$CD$189,0),2),""),,FALSE)," euro"),SUBSTITUTE(IFERROR(INDEX(PASSIVO,MATCH(ROWS($D$13:$D75),COPIA!$CD$105:$CD$189,0),4),""),"_"," ")),""))</f>
        <v/>
      </c>
      <c r="E75" s="115" t="str">
        <f ca="1">IF(IFERROR(INDEX(PASSIVO,MATCH(ROWS($E$13:E75),COPIA!$CD$105:$CD$189,0),5),0)=0,"",IFERROR(INDEX(PASSIVO,MATCH(ROWS($E$13:E75),COPIA!$CD$105:$CD$189,0),5),0))</f>
        <v/>
      </c>
    </row>
    <row r="76" spans="1:5" ht="15.9" customHeight="1" x14ac:dyDescent="0.3">
      <c r="A76" s="7">
        <f t="shared" ca="1" si="0"/>
        <v>0</v>
      </c>
      <c r="B76" s="132" t="str">
        <f ca="1">IF(ROW()-9&gt;COPIA!$CI$1,SUBSTITUTE(IFERROR(INDEX(ECONOMICO,MATCH((ROWS($B$12:B76)-COPIA!$CI$2),COPIA!$CD$191:$CD$247,0),4),""),"_"," "),IF(ROW()-9&lt;=COPIA!$CI$1,CONCATENATE(IFERROR(IF(MID(CONCATENATE(SUBSTITUTE(IFERROR(INDEX(ATTIVO,MATCH(ROWS(B$13:$B76),COPIA!$CD$3:$CD$250,0),4),""),"_"," ")," ",),8,6)="di cui",CONCATENATE(SUBSTITUTE(IFERROR(INDEX(ATTIVO,MATCH(ROWS(B$13:$B76),COPIA!$CD$3:$CD$250,0),4),""),"_"," ")," ",FIXED(IFERROR(INDEX(ATTIVO,MATCH(ROW()-12,COPIA!$CD$3:$CD$250,0),2),""),,FALSE)," euro"),SUBSTITUTE(IFERROR(INDEX(ATTIVO,MATCH(ROWS(B$13:$B76),COPIA!$CD$3:$CD$250,0),4),""),"_"," ")),"")),""))</f>
        <v/>
      </c>
      <c r="C76" s="115" t="str">
        <f ca="1">IF(IFERROR(IF(ROW()-9&gt;COPIA!$CI$1,INDEX(ECONOMICO,MATCH((ROWS($B$12:B76)-COPIA!$CI$2),COPIA!$CD$191:$CD$247,0),5),INDEX(ATTIVO,MATCH(ROWS($C$13:C76),COPIA!$CD$3:$CD$250,0),5)),0)=0,"",IFERROR(IF(ROW()-9&gt;COPIA!$CI$1,INDEX(ECONOMICO,MATCH((ROWS($B$12:B76)-COPIA!$CI$2),COPIA!$CD$191:$CD$247,0),5),INDEX(ATTIVO,MATCH(ROWS($C$13:C76),COPIA!$CD$3:$CD$250,0),5)),0))</f>
        <v/>
      </c>
      <c r="D76" s="135" t="str">
        <f ca="1">CONCATENATE(IFERROR(IF(MID(CONCATENATE(SUBSTITUTE(IFERROR(INDEX(PASSIVO,MATCH(ROWS(D$13:$D76),COPIA!$CD$105:$CD$189,0),4),""),"_"," ")," ",),8,6)="di cui",CONCATENATE(SUBSTITUTE(IFERROR(INDEX(PASSIVO,MATCH(ROWS(D$13:$D76),COPIA!$CD$105:$CD$189,0),4),""),"_"," ")," ",FIXED(IFERROR(INDEX(PASSIVO,MATCH(ROW()-12,COPIA!$CD$105:$CD$189,0),2),""),,FALSE)," euro"),SUBSTITUTE(IFERROR(INDEX(PASSIVO,MATCH(ROWS($D$13:$D76),COPIA!$CD$105:$CD$189,0),4),""),"_"," ")),""))</f>
        <v/>
      </c>
      <c r="E76" s="115" t="str">
        <f ca="1">IF(IFERROR(INDEX(PASSIVO,MATCH(ROWS($E$13:E76),COPIA!$CD$105:$CD$189,0),5),0)=0,"",IFERROR(INDEX(PASSIVO,MATCH(ROWS($E$13:E76),COPIA!$CD$105:$CD$189,0),5),0))</f>
        <v/>
      </c>
    </row>
    <row r="77" spans="1:5" ht="15.9" customHeight="1" x14ac:dyDescent="0.3">
      <c r="A77" s="7">
        <f t="shared" ca="1" si="0"/>
        <v>0</v>
      </c>
      <c r="B77" s="132" t="str">
        <f ca="1">IF(ROW()-9&gt;COPIA!$CI$1,SUBSTITUTE(IFERROR(INDEX(ECONOMICO,MATCH((ROWS($B$12:B77)-COPIA!$CI$2),COPIA!$CD$191:$CD$247,0),4),""),"_"," "),IF(ROW()-9&lt;=COPIA!$CI$1,CONCATENATE(IFERROR(IF(MID(CONCATENATE(SUBSTITUTE(IFERROR(INDEX(ATTIVO,MATCH(ROWS(B$13:$B77),COPIA!$CD$3:$CD$250,0),4),""),"_"," ")," ",),8,6)="di cui",CONCATENATE(SUBSTITUTE(IFERROR(INDEX(ATTIVO,MATCH(ROWS(B$13:$B77),COPIA!$CD$3:$CD$250,0),4),""),"_"," ")," ",FIXED(IFERROR(INDEX(ATTIVO,MATCH(ROW()-12,COPIA!$CD$3:$CD$250,0),2),""),,FALSE)," euro"),SUBSTITUTE(IFERROR(INDEX(ATTIVO,MATCH(ROWS(B$13:$B77),COPIA!$CD$3:$CD$250,0),4),""),"_"," ")),"")),""))</f>
        <v/>
      </c>
      <c r="C77" s="115" t="str">
        <f ca="1">IF(IFERROR(IF(ROW()-9&gt;COPIA!$CI$1,INDEX(ECONOMICO,MATCH((ROWS($B$12:B77)-COPIA!$CI$2),COPIA!$CD$191:$CD$247,0),5),INDEX(ATTIVO,MATCH(ROWS($C$13:C77),COPIA!$CD$3:$CD$250,0),5)),0)=0,"",IFERROR(IF(ROW()-9&gt;COPIA!$CI$1,INDEX(ECONOMICO,MATCH((ROWS($B$12:B77)-COPIA!$CI$2),COPIA!$CD$191:$CD$247,0),5),INDEX(ATTIVO,MATCH(ROWS($C$13:C77),COPIA!$CD$3:$CD$250,0),5)),0))</f>
        <v/>
      </c>
      <c r="D77" s="135" t="str">
        <f ca="1">CONCATENATE(IFERROR(IF(MID(CONCATENATE(SUBSTITUTE(IFERROR(INDEX(PASSIVO,MATCH(ROWS(D$13:$D77),COPIA!$CD$105:$CD$189,0),4),""),"_"," ")," ",),8,6)="di cui",CONCATENATE(SUBSTITUTE(IFERROR(INDEX(PASSIVO,MATCH(ROWS(D$13:$D77),COPIA!$CD$105:$CD$189,0),4),""),"_"," ")," ",FIXED(IFERROR(INDEX(PASSIVO,MATCH(ROW()-12,COPIA!$CD$105:$CD$189,0),2),""),,FALSE)," euro"),SUBSTITUTE(IFERROR(INDEX(PASSIVO,MATCH(ROWS($D$13:$D77),COPIA!$CD$105:$CD$189,0),4),""),"_"," ")),""))</f>
        <v/>
      </c>
      <c r="E77" s="115" t="str">
        <f ca="1">IF(IFERROR(INDEX(PASSIVO,MATCH(ROWS($E$13:E77),COPIA!$CD$105:$CD$189,0),5),0)=0,"",IFERROR(INDEX(PASSIVO,MATCH(ROWS($E$13:E77),COPIA!$CD$105:$CD$189,0),5),0))</f>
        <v/>
      </c>
    </row>
    <row r="78" spans="1:5" ht="15.9" customHeight="1" x14ac:dyDescent="0.3">
      <c r="A78" s="7">
        <f t="shared" ref="A78:A139" ca="1" si="1">IF(ROW()&lt;=$A$11,ROW(),0)</f>
        <v>0</v>
      </c>
      <c r="B78" s="132" t="str">
        <f ca="1">IF(ROW()-9&gt;COPIA!$CI$1,SUBSTITUTE(IFERROR(INDEX(ECONOMICO,MATCH((ROWS($B$12:B78)-COPIA!$CI$2),COPIA!$CD$191:$CD$247,0),4),""),"_"," "),IF(ROW()-9&lt;=COPIA!$CI$1,CONCATENATE(IFERROR(IF(MID(CONCATENATE(SUBSTITUTE(IFERROR(INDEX(ATTIVO,MATCH(ROWS(B$13:$B78),COPIA!$CD$3:$CD$250,0),4),""),"_"," ")," ",),8,6)="di cui",CONCATENATE(SUBSTITUTE(IFERROR(INDEX(ATTIVO,MATCH(ROWS(B$13:$B78),COPIA!$CD$3:$CD$250,0),4),""),"_"," ")," ",FIXED(IFERROR(INDEX(ATTIVO,MATCH(ROW()-12,COPIA!$CD$3:$CD$250,0),2),""),,FALSE)," euro"),SUBSTITUTE(IFERROR(INDEX(ATTIVO,MATCH(ROWS(B$13:$B78),COPIA!$CD$3:$CD$250,0),4),""),"_"," ")),"")),""))</f>
        <v/>
      </c>
      <c r="C78" s="115" t="str">
        <f ca="1">IF(IFERROR(IF(ROW()-9&gt;COPIA!$CI$1,INDEX(ECONOMICO,MATCH((ROWS($B$12:B78)-COPIA!$CI$2),COPIA!$CD$191:$CD$247,0),5),INDEX(ATTIVO,MATCH(ROWS($C$13:C78),COPIA!$CD$3:$CD$250,0),5)),0)=0,"",IFERROR(IF(ROW()-9&gt;COPIA!$CI$1,INDEX(ECONOMICO,MATCH((ROWS($B$12:B78)-COPIA!$CI$2),COPIA!$CD$191:$CD$247,0),5),INDEX(ATTIVO,MATCH(ROWS($C$13:C78),COPIA!$CD$3:$CD$250,0),5)),0))</f>
        <v/>
      </c>
      <c r="D78" s="135" t="str">
        <f ca="1">CONCATENATE(IFERROR(IF(MID(CONCATENATE(SUBSTITUTE(IFERROR(INDEX(PASSIVO,MATCH(ROWS(D$13:$D78),COPIA!$CD$105:$CD$189,0),4),""),"_"," ")," ",),8,6)="di cui",CONCATENATE(SUBSTITUTE(IFERROR(INDEX(PASSIVO,MATCH(ROWS(D$13:$D78),COPIA!$CD$105:$CD$189,0),4),""),"_"," ")," ",FIXED(IFERROR(INDEX(PASSIVO,MATCH(ROW()-12,COPIA!$CD$105:$CD$189,0),2),""),,FALSE)," euro"),SUBSTITUTE(IFERROR(INDEX(PASSIVO,MATCH(ROWS($D$13:$D78),COPIA!$CD$105:$CD$189,0),4),""),"_"," ")),""))</f>
        <v/>
      </c>
      <c r="E78" s="115" t="str">
        <f ca="1">IF(IFERROR(INDEX(PASSIVO,MATCH(ROWS($E$13:E78),COPIA!$CD$105:$CD$189,0),5),0)=0,"",IFERROR(INDEX(PASSIVO,MATCH(ROWS($E$13:E78),COPIA!$CD$105:$CD$189,0),5),0))</f>
        <v/>
      </c>
    </row>
    <row r="79" spans="1:5" ht="15.9" customHeight="1" x14ac:dyDescent="0.3">
      <c r="A79" s="7">
        <f t="shared" ca="1" si="1"/>
        <v>0</v>
      </c>
      <c r="B79" s="132" t="str">
        <f ca="1">IF(ROW()-9&gt;COPIA!$CI$1,SUBSTITUTE(IFERROR(INDEX(ECONOMICO,MATCH((ROWS($B$12:B79)-COPIA!$CI$2),COPIA!$CD$191:$CD$247,0),4),""),"_"," "),IF(ROW()-9&lt;=COPIA!$CI$1,CONCATENATE(IFERROR(IF(MID(CONCATENATE(SUBSTITUTE(IFERROR(INDEX(ATTIVO,MATCH(ROWS(B$13:$B79),COPIA!$CD$3:$CD$250,0),4),""),"_"," ")," ",),8,6)="di cui",CONCATENATE(SUBSTITUTE(IFERROR(INDEX(ATTIVO,MATCH(ROWS(B$13:$B79),COPIA!$CD$3:$CD$250,0),4),""),"_"," ")," ",FIXED(IFERROR(INDEX(ATTIVO,MATCH(ROW()-12,COPIA!$CD$3:$CD$250,0),2),""),,FALSE)," euro"),SUBSTITUTE(IFERROR(INDEX(ATTIVO,MATCH(ROWS(B$13:$B79),COPIA!$CD$3:$CD$250,0),4),""),"_"," ")),"")),""))</f>
        <v/>
      </c>
      <c r="C79" s="115" t="str">
        <f ca="1">IF(IFERROR(IF(ROW()-9&gt;COPIA!$CI$1,INDEX(ECONOMICO,MATCH((ROWS($B$12:B79)-COPIA!$CI$2),COPIA!$CD$191:$CD$247,0),5),INDEX(ATTIVO,MATCH(ROWS($C$13:C79),COPIA!$CD$3:$CD$250,0),5)),0)=0,"",IFERROR(IF(ROW()-9&gt;COPIA!$CI$1,INDEX(ECONOMICO,MATCH((ROWS($B$12:B79)-COPIA!$CI$2),COPIA!$CD$191:$CD$247,0),5),INDEX(ATTIVO,MATCH(ROWS($C$13:C79),COPIA!$CD$3:$CD$250,0),5)),0))</f>
        <v/>
      </c>
      <c r="D79" s="135" t="str">
        <f ca="1">CONCATENATE(IFERROR(IF(MID(CONCATENATE(SUBSTITUTE(IFERROR(INDEX(PASSIVO,MATCH(ROWS(D$13:$D79),COPIA!$CD$105:$CD$189,0),4),""),"_"," ")," ",),8,6)="di cui",CONCATENATE(SUBSTITUTE(IFERROR(INDEX(PASSIVO,MATCH(ROWS(D$13:$D79),COPIA!$CD$105:$CD$189,0),4),""),"_"," ")," ",FIXED(IFERROR(INDEX(PASSIVO,MATCH(ROW()-12,COPIA!$CD$105:$CD$189,0),2),""),,FALSE)," euro"),SUBSTITUTE(IFERROR(INDEX(PASSIVO,MATCH(ROWS($D$13:$D79),COPIA!$CD$105:$CD$189,0),4),""),"_"," ")),""))</f>
        <v/>
      </c>
      <c r="E79" s="115" t="str">
        <f ca="1">IF(IFERROR(INDEX(PASSIVO,MATCH(ROWS($E$13:E79),COPIA!$CD$105:$CD$189,0),5),0)=0,"",IFERROR(INDEX(PASSIVO,MATCH(ROWS($E$13:E79),COPIA!$CD$105:$CD$189,0),5),0))</f>
        <v/>
      </c>
    </row>
    <row r="80" spans="1:5" ht="15.9" customHeight="1" x14ac:dyDescent="0.3">
      <c r="A80" s="7">
        <f t="shared" ca="1" si="1"/>
        <v>0</v>
      </c>
      <c r="B80" s="132" t="str">
        <f ca="1">IF(ROW()-9&gt;COPIA!$CI$1,SUBSTITUTE(IFERROR(INDEX(ECONOMICO,MATCH((ROWS($B$12:B80)-COPIA!$CI$2),COPIA!$CD$191:$CD$247,0),4),""),"_"," "),IF(ROW()-9&lt;=COPIA!$CI$1,CONCATENATE(IFERROR(IF(MID(CONCATENATE(SUBSTITUTE(IFERROR(INDEX(ATTIVO,MATCH(ROWS(B$13:$B80),COPIA!$CD$3:$CD$250,0),4),""),"_"," ")," ",),8,6)="di cui",CONCATENATE(SUBSTITUTE(IFERROR(INDEX(ATTIVO,MATCH(ROWS(B$13:$B80),COPIA!$CD$3:$CD$250,0),4),""),"_"," ")," ",FIXED(IFERROR(INDEX(ATTIVO,MATCH(ROW()-12,COPIA!$CD$3:$CD$250,0),2),""),,FALSE)," euro"),SUBSTITUTE(IFERROR(INDEX(ATTIVO,MATCH(ROWS(B$13:$B80),COPIA!$CD$3:$CD$250,0),4),""),"_"," ")),"")),""))</f>
        <v/>
      </c>
      <c r="C80" s="115" t="str">
        <f ca="1">IF(IFERROR(IF(ROW()-9&gt;COPIA!$CI$1,INDEX(ECONOMICO,MATCH((ROWS($B$12:B80)-COPIA!$CI$2),COPIA!$CD$191:$CD$247,0),5),INDEX(ATTIVO,MATCH(ROWS($C$13:C80),COPIA!$CD$3:$CD$250,0),5)),0)=0,"",IFERROR(IF(ROW()-9&gt;COPIA!$CI$1,INDEX(ECONOMICO,MATCH((ROWS($B$12:B80)-COPIA!$CI$2),COPIA!$CD$191:$CD$247,0),5),INDEX(ATTIVO,MATCH(ROWS($C$13:C80),COPIA!$CD$3:$CD$250,0),5)),0))</f>
        <v/>
      </c>
      <c r="D80" s="135" t="str">
        <f ca="1">CONCATENATE(IFERROR(IF(MID(CONCATENATE(SUBSTITUTE(IFERROR(INDEX(PASSIVO,MATCH(ROWS(D$13:$D80),COPIA!$CD$105:$CD$189,0),4),""),"_"," ")," ",),8,6)="di cui",CONCATENATE(SUBSTITUTE(IFERROR(INDEX(PASSIVO,MATCH(ROWS(D$13:$D80),COPIA!$CD$105:$CD$189,0),4),""),"_"," ")," ",FIXED(IFERROR(INDEX(PASSIVO,MATCH(ROW()-12,COPIA!$CD$105:$CD$189,0),2),""),,FALSE)," euro"),SUBSTITUTE(IFERROR(INDEX(PASSIVO,MATCH(ROWS($D$13:$D80),COPIA!$CD$105:$CD$189,0),4),""),"_"," ")),""))</f>
        <v/>
      </c>
      <c r="E80" s="115" t="str">
        <f ca="1">IF(IFERROR(INDEX(PASSIVO,MATCH(ROWS($E$13:E80),COPIA!$CD$105:$CD$189,0),5),0)=0,"",IFERROR(INDEX(PASSIVO,MATCH(ROWS($E$13:E80),COPIA!$CD$105:$CD$189,0),5),0))</f>
        <v/>
      </c>
    </row>
    <row r="81" spans="1:5" ht="15.9" customHeight="1" x14ac:dyDescent="0.3">
      <c r="A81" s="7">
        <f t="shared" ca="1" si="1"/>
        <v>0</v>
      </c>
      <c r="B81" s="132" t="str">
        <f ca="1">IF(ROW()-9&gt;COPIA!$CI$1,SUBSTITUTE(IFERROR(INDEX(ECONOMICO,MATCH((ROWS($B$12:B81)-COPIA!$CI$2),COPIA!$CD$191:$CD$247,0),4),""),"_"," "),IF(ROW()-9&lt;=COPIA!$CI$1,CONCATENATE(IFERROR(IF(MID(CONCATENATE(SUBSTITUTE(IFERROR(INDEX(ATTIVO,MATCH(ROWS(B$13:$B81),COPIA!$CD$3:$CD$250,0),4),""),"_"," ")," ",),8,6)="di cui",CONCATENATE(SUBSTITUTE(IFERROR(INDEX(ATTIVO,MATCH(ROWS(B$13:$B81),COPIA!$CD$3:$CD$250,0),4),""),"_"," ")," ",FIXED(IFERROR(INDEX(ATTIVO,MATCH(ROW()-12,COPIA!$CD$3:$CD$250,0),2),""),,FALSE)," euro"),SUBSTITUTE(IFERROR(INDEX(ATTIVO,MATCH(ROWS(B$13:$B81),COPIA!$CD$3:$CD$250,0),4),""),"_"," ")),"")),""))</f>
        <v/>
      </c>
      <c r="C81" s="115" t="str">
        <f ca="1">IF(IFERROR(IF(ROW()-9&gt;COPIA!$CI$1,INDEX(ECONOMICO,MATCH((ROWS($B$12:B81)-COPIA!$CI$2),COPIA!$CD$191:$CD$247,0),5),INDEX(ATTIVO,MATCH(ROWS($C$13:C81),COPIA!$CD$3:$CD$250,0),5)),0)=0,"",IFERROR(IF(ROW()-9&gt;COPIA!$CI$1,INDEX(ECONOMICO,MATCH((ROWS($B$12:B81)-COPIA!$CI$2),COPIA!$CD$191:$CD$247,0),5),INDEX(ATTIVO,MATCH(ROWS($C$13:C81),COPIA!$CD$3:$CD$250,0),5)),0))</f>
        <v/>
      </c>
      <c r="D81" s="135" t="str">
        <f ca="1">CONCATENATE(IFERROR(IF(MID(CONCATENATE(SUBSTITUTE(IFERROR(INDEX(PASSIVO,MATCH(ROWS(D$13:$D81),COPIA!$CD$105:$CD$189,0),4),""),"_"," ")," ",),8,6)="di cui",CONCATENATE(SUBSTITUTE(IFERROR(INDEX(PASSIVO,MATCH(ROWS(D$13:$D81),COPIA!$CD$105:$CD$189,0),4),""),"_"," ")," ",FIXED(IFERROR(INDEX(PASSIVO,MATCH(ROW()-12,COPIA!$CD$105:$CD$189,0),2),""),,FALSE)," euro"),SUBSTITUTE(IFERROR(INDEX(PASSIVO,MATCH(ROWS($D$13:$D81),COPIA!$CD$105:$CD$189,0),4),""),"_"," ")),""))</f>
        <v/>
      </c>
      <c r="E81" s="115" t="str">
        <f ca="1">IF(IFERROR(INDEX(PASSIVO,MATCH(ROWS($E$13:E81),COPIA!$CD$105:$CD$189,0),5),0)=0,"",IFERROR(INDEX(PASSIVO,MATCH(ROWS($E$13:E81),COPIA!$CD$105:$CD$189,0),5),0))</f>
        <v/>
      </c>
    </row>
    <row r="82" spans="1:5" ht="15.9" customHeight="1" x14ac:dyDescent="0.3">
      <c r="A82" s="7">
        <f t="shared" ca="1" si="1"/>
        <v>0</v>
      </c>
      <c r="B82" s="132" t="str">
        <f ca="1">IF(ROW()-9&gt;COPIA!$CI$1,SUBSTITUTE(IFERROR(INDEX(ECONOMICO,MATCH((ROWS($B$12:B82)-COPIA!$CI$2),COPIA!$CD$191:$CD$247,0),4),""),"_"," "),IF(ROW()-9&lt;=COPIA!$CI$1,CONCATENATE(IFERROR(IF(MID(CONCATENATE(SUBSTITUTE(IFERROR(INDEX(ATTIVO,MATCH(ROWS(B$13:$B82),COPIA!$CD$3:$CD$250,0),4),""),"_"," ")," ",),8,6)="di cui",CONCATENATE(SUBSTITUTE(IFERROR(INDEX(ATTIVO,MATCH(ROWS(B$13:$B82),COPIA!$CD$3:$CD$250,0),4),""),"_"," ")," ",FIXED(IFERROR(INDEX(ATTIVO,MATCH(ROW()-12,COPIA!$CD$3:$CD$250,0),2),""),,FALSE)," euro"),SUBSTITUTE(IFERROR(INDEX(ATTIVO,MATCH(ROWS(B$13:$B82),COPIA!$CD$3:$CD$250,0),4),""),"_"," ")),"")),""))</f>
        <v/>
      </c>
      <c r="C82" s="115" t="str">
        <f ca="1">IF(IFERROR(IF(ROW()-9&gt;COPIA!$CI$1,INDEX(ECONOMICO,MATCH((ROWS($B$12:B82)-COPIA!$CI$2),COPIA!$CD$191:$CD$247,0),5),INDEX(ATTIVO,MATCH(ROWS($C$13:C82),COPIA!$CD$3:$CD$250,0),5)),0)=0,"",IFERROR(IF(ROW()-9&gt;COPIA!$CI$1,INDEX(ECONOMICO,MATCH((ROWS($B$12:B82)-COPIA!$CI$2),COPIA!$CD$191:$CD$247,0),5),INDEX(ATTIVO,MATCH(ROWS($C$13:C82),COPIA!$CD$3:$CD$250,0),5)),0))</f>
        <v/>
      </c>
      <c r="D82" s="135" t="str">
        <f ca="1">CONCATENATE(IFERROR(IF(MID(CONCATENATE(SUBSTITUTE(IFERROR(INDEX(PASSIVO,MATCH(ROWS(D$13:$D82),COPIA!$CD$105:$CD$189,0),4),""),"_"," ")," ",),8,6)="di cui",CONCATENATE(SUBSTITUTE(IFERROR(INDEX(PASSIVO,MATCH(ROWS(D$13:$D82),COPIA!$CD$105:$CD$189,0),4),""),"_"," ")," ",FIXED(IFERROR(INDEX(PASSIVO,MATCH(ROW()-12,COPIA!$CD$105:$CD$189,0),2),""),,FALSE)," euro"),SUBSTITUTE(IFERROR(INDEX(PASSIVO,MATCH(ROWS($D$13:$D82),COPIA!$CD$105:$CD$189,0),4),""),"_"," ")),""))</f>
        <v/>
      </c>
      <c r="E82" s="115" t="str">
        <f ca="1">IF(IFERROR(INDEX(PASSIVO,MATCH(ROWS($E$13:E82),COPIA!$CD$105:$CD$189,0),5),0)=0,"",IFERROR(INDEX(PASSIVO,MATCH(ROWS($E$13:E82),COPIA!$CD$105:$CD$189,0),5),0))</f>
        <v/>
      </c>
    </row>
    <row r="83" spans="1:5" ht="15.9" customHeight="1" x14ac:dyDescent="0.3">
      <c r="A83" s="7">
        <f t="shared" ca="1" si="1"/>
        <v>0</v>
      </c>
      <c r="B83" s="132" t="str">
        <f ca="1">IF(ROW()-9&gt;COPIA!$CI$1,SUBSTITUTE(IFERROR(INDEX(ECONOMICO,MATCH((ROWS($B$12:B83)-COPIA!$CI$2),COPIA!$CD$191:$CD$247,0),4),""),"_"," "),IF(ROW()-9&lt;=COPIA!$CI$1,CONCATENATE(IFERROR(IF(MID(CONCATENATE(SUBSTITUTE(IFERROR(INDEX(ATTIVO,MATCH(ROWS(B$13:$B83),COPIA!$CD$3:$CD$250,0),4),""),"_"," ")," ",),8,6)="di cui",CONCATENATE(SUBSTITUTE(IFERROR(INDEX(ATTIVO,MATCH(ROWS(B$13:$B83),COPIA!$CD$3:$CD$250,0),4),""),"_"," ")," ",FIXED(IFERROR(INDEX(ATTIVO,MATCH(ROW()-12,COPIA!$CD$3:$CD$250,0),2),""),,FALSE)," euro"),SUBSTITUTE(IFERROR(INDEX(ATTIVO,MATCH(ROWS(B$13:$B83),COPIA!$CD$3:$CD$250,0),4),""),"_"," ")),"")),""))</f>
        <v/>
      </c>
      <c r="C83" s="115" t="str">
        <f ca="1">IF(IFERROR(IF(ROW()-9&gt;COPIA!$CI$1,INDEX(ECONOMICO,MATCH((ROWS($B$12:B83)-COPIA!$CI$2),COPIA!$CD$191:$CD$247,0),5),INDEX(ATTIVO,MATCH(ROWS($C$13:C83),COPIA!$CD$3:$CD$250,0),5)),0)=0,"",IFERROR(IF(ROW()-9&gt;COPIA!$CI$1,INDEX(ECONOMICO,MATCH((ROWS($B$12:B83)-COPIA!$CI$2),COPIA!$CD$191:$CD$247,0),5),INDEX(ATTIVO,MATCH(ROWS($C$13:C83),COPIA!$CD$3:$CD$250,0),5)),0))</f>
        <v/>
      </c>
      <c r="D83" s="135" t="str">
        <f ca="1">CONCATENATE(IFERROR(IF(MID(CONCATENATE(SUBSTITUTE(IFERROR(INDEX(PASSIVO,MATCH(ROWS(D$13:$D83),COPIA!$CD$105:$CD$189,0),4),""),"_"," ")," ",),8,6)="di cui",CONCATENATE(SUBSTITUTE(IFERROR(INDEX(PASSIVO,MATCH(ROWS(D$13:$D83),COPIA!$CD$105:$CD$189,0),4),""),"_"," ")," ",FIXED(IFERROR(INDEX(PASSIVO,MATCH(ROW()-12,COPIA!$CD$105:$CD$189,0),2),""),,FALSE)," euro"),SUBSTITUTE(IFERROR(INDEX(PASSIVO,MATCH(ROWS($D$13:$D83),COPIA!$CD$105:$CD$189,0),4),""),"_"," ")),""))</f>
        <v/>
      </c>
      <c r="E83" s="115" t="str">
        <f ca="1">IF(IFERROR(INDEX(PASSIVO,MATCH(ROWS($E$13:E83),COPIA!$CD$105:$CD$189,0),5),0)=0,"",IFERROR(INDEX(PASSIVO,MATCH(ROWS($E$13:E83),COPIA!$CD$105:$CD$189,0),5),0))</f>
        <v/>
      </c>
    </row>
    <row r="84" spans="1:5" ht="15.9" customHeight="1" x14ac:dyDescent="0.3">
      <c r="A84" s="7">
        <f t="shared" ca="1" si="1"/>
        <v>0</v>
      </c>
      <c r="B84" s="132" t="str">
        <f ca="1">IF(ROW()-9&gt;COPIA!$CI$1,SUBSTITUTE(IFERROR(INDEX(ECONOMICO,MATCH((ROWS($B$12:B84)-COPIA!$CI$2),COPIA!$CD$191:$CD$247,0),4),""),"_"," "),IF(ROW()-9&lt;=COPIA!$CI$1,CONCATENATE(IFERROR(IF(MID(CONCATENATE(SUBSTITUTE(IFERROR(INDEX(ATTIVO,MATCH(ROWS(B$13:$B84),COPIA!$CD$3:$CD$250,0),4),""),"_"," ")," ",),8,6)="di cui",CONCATENATE(SUBSTITUTE(IFERROR(INDEX(ATTIVO,MATCH(ROWS(B$13:$B84),COPIA!$CD$3:$CD$250,0),4),""),"_"," ")," ",FIXED(IFERROR(INDEX(ATTIVO,MATCH(ROW()-12,COPIA!$CD$3:$CD$250,0),2),""),,FALSE)," euro"),SUBSTITUTE(IFERROR(INDEX(ATTIVO,MATCH(ROWS(B$13:$B84),COPIA!$CD$3:$CD$250,0),4),""),"_"," ")),"")),""))</f>
        <v/>
      </c>
      <c r="C84" s="115" t="str">
        <f ca="1">IF(IFERROR(IF(ROW()-9&gt;COPIA!$CI$1,INDEX(ECONOMICO,MATCH((ROWS($B$12:B84)-COPIA!$CI$2),COPIA!$CD$191:$CD$247,0),5),INDEX(ATTIVO,MATCH(ROWS($C$13:C84),COPIA!$CD$3:$CD$250,0),5)),0)=0,"",IFERROR(IF(ROW()-9&gt;COPIA!$CI$1,INDEX(ECONOMICO,MATCH((ROWS($B$12:B84)-COPIA!$CI$2),COPIA!$CD$191:$CD$247,0),5),INDEX(ATTIVO,MATCH(ROWS($C$13:C84),COPIA!$CD$3:$CD$250,0),5)),0))</f>
        <v/>
      </c>
      <c r="D84" s="135" t="str">
        <f ca="1">CONCATENATE(IFERROR(IF(MID(CONCATENATE(SUBSTITUTE(IFERROR(INDEX(PASSIVO,MATCH(ROWS(D$13:$D84),COPIA!$CD$105:$CD$189,0),4),""),"_"," ")," ",),8,6)="di cui",CONCATENATE(SUBSTITUTE(IFERROR(INDEX(PASSIVO,MATCH(ROWS(D$13:$D84),COPIA!$CD$105:$CD$189,0),4),""),"_"," ")," ",FIXED(IFERROR(INDEX(PASSIVO,MATCH(ROW()-12,COPIA!$CD$105:$CD$189,0),2),""),,FALSE)," euro"),SUBSTITUTE(IFERROR(INDEX(PASSIVO,MATCH(ROWS($D$13:$D84),COPIA!$CD$105:$CD$189,0),4),""),"_"," ")),""))</f>
        <v/>
      </c>
      <c r="E84" s="115" t="str">
        <f ca="1">IF(IFERROR(INDEX(PASSIVO,MATCH(ROWS($E$13:E84),COPIA!$CD$105:$CD$189,0),5),0)=0,"",IFERROR(INDEX(PASSIVO,MATCH(ROWS($E$13:E84),COPIA!$CD$105:$CD$189,0),5),0))</f>
        <v/>
      </c>
    </row>
    <row r="85" spans="1:5" ht="15.9" customHeight="1" x14ac:dyDescent="0.3">
      <c r="A85" s="7">
        <f t="shared" ca="1" si="1"/>
        <v>0</v>
      </c>
      <c r="B85" s="132" t="str">
        <f ca="1">IF(ROW()-9&gt;COPIA!$CI$1,SUBSTITUTE(IFERROR(INDEX(ECONOMICO,MATCH((ROWS($B$12:B85)-COPIA!$CI$2),COPIA!$CD$191:$CD$247,0),4),""),"_"," "),IF(ROW()-9&lt;=COPIA!$CI$1,CONCATENATE(IFERROR(IF(MID(CONCATENATE(SUBSTITUTE(IFERROR(INDEX(ATTIVO,MATCH(ROWS(B$13:$B85),COPIA!$CD$3:$CD$250,0),4),""),"_"," ")," ",),8,6)="di cui",CONCATENATE(SUBSTITUTE(IFERROR(INDEX(ATTIVO,MATCH(ROWS(B$13:$B85),COPIA!$CD$3:$CD$250,0),4),""),"_"," ")," ",FIXED(IFERROR(INDEX(ATTIVO,MATCH(ROW()-12,COPIA!$CD$3:$CD$250,0),2),""),,FALSE)," euro"),SUBSTITUTE(IFERROR(INDEX(ATTIVO,MATCH(ROWS(B$13:$B85),COPIA!$CD$3:$CD$250,0),4),""),"_"," ")),"")),""))</f>
        <v/>
      </c>
      <c r="C85" s="115" t="str">
        <f ca="1">IF(IFERROR(IF(ROW()-9&gt;COPIA!$CI$1,INDEX(ECONOMICO,MATCH((ROWS($B$12:B85)-COPIA!$CI$2),COPIA!$CD$191:$CD$247,0),5),INDEX(ATTIVO,MATCH(ROWS($C$13:C85),COPIA!$CD$3:$CD$250,0),5)),0)=0,"",IFERROR(IF(ROW()-9&gt;COPIA!$CI$1,INDEX(ECONOMICO,MATCH((ROWS($B$12:B85)-COPIA!$CI$2),COPIA!$CD$191:$CD$247,0),5),INDEX(ATTIVO,MATCH(ROWS($C$13:C85),COPIA!$CD$3:$CD$250,0),5)),0))</f>
        <v/>
      </c>
      <c r="D85" s="135" t="str">
        <f ca="1">CONCATENATE(IFERROR(IF(MID(CONCATENATE(SUBSTITUTE(IFERROR(INDEX(PASSIVO,MATCH(ROWS(D$13:$D85),COPIA!$CD$105:$CD$189,0),4),""),"_"," ")," ",),8,6)="di cui",CONCATENATE(SUBSTITUTE(IFERROR(INDEX(PASSIVO,MATCH(ROWS(D$13:$D85),COPIA!$CD$105:$CD$189,0),4),""),"_"," ")," ",FIXED(IFERROR(INDEX(PASSIVO,MATCH(ROW()-12,COPIA!$CD$105:$CD$189,0),2),""),,FALSE)," euro"),SUBSTITUTE(IFERROR(INDEX(PASSIVO,MATCH(ROWS($D$13:$D85),COPIA!$CD$105:$CD$189,0),4),""),"_"," ")),""))</f>
        <v/>
      </c>
      <c r="E85" s="115" t="str">
        <f ca="1">IF(IFERROR(INDEX(PASSIVO,MATCH(ROWS($E$13:E85),COPIA!$CD$105:$CD$189,0),5),0)=0,"",IFERROR(INDEX(PASSIVO,MATCH(ROWS($E$13:E85),COPIA!$CD$105:$CD$189,0),5),0))</f>
        <v/>
      </c>
    </row>
    <row r="86" spans="1:5" ht="15" customHeight="1" x14ac:dyDescent="0.3">
      <c r="A86" s="7">
        <f t="shared" ca="1" si="1"/>
        <v>0</v>
      </c>
      <c r="B86" s="132" t="str">
        <f ca="1">IF(ROW()-9&gt;COPIA!$CI$1,SUBSTITUTE(IFERROR(INDEX(ECONOMICO,MATCH((ROWS($B$12:B86)-COPIA!$CI$2),COPIA!$CD$191:$CD$247,0),4),""),"_"," "),IF(ROW()-9&lt;=COPIA!$CI$1,CONCATENATE(IFERROR(IF(MID(CONCATENATE(SUBSTITUTE(IFERROR(INDEX(ATTIVO,MATCH(ROWS(B$13:$B86),COPIA!$CD$3:$CD$250,0),4),""),"_"," ")," ",),8,6)="di cui",CONCATENATE(SUBSTITUTE(IFERROR(INDEX(ATTIVO,MATCH(ROWS(B$13:$B86),COPIA!$CD$3:$CD$250,0),4),""),"_"," ")," ",FIXED(IFERROR(INDEX(ATTIVO,MATCH(ROW()-12,COPIA!$CD$3:$CD$250,0),2),""),,FALSE)," euro"),SUBSTITUTE(IFERROR(INDEX(ATTIVO,MATCH(ROWS(B$13:$B86),COPIA!$CD$3:$CD$250,0),4),""),"_"," ")),"")),""))</f>
        <v/>
      </c>
      <c r="C86" s="115" t="str">
        <f ca="1">IF(IFERROR(IF(ROW()-9&gt;COPIA!$CI$1,INDEX(ECONOMICO,MATCH((ROWS($B$12:B86)-COPIA!$CI$2),COPIA!$CD$191:$CD$247,0),5),INDEX(ATTIVO,MATCH(ROWS($C$13:C86),COPIA!$CD$3:$CD$250,0),5)),0)=0,"",IFERROR(IF(ROW()-9&gt;COPIA!$CI$1,INDEX(ECONOMICO,MATCH((ROWS($B$12:B86)-COPIA!$CI$2),COPIA!$CD$191:$CD$247,0),5),INDEX(ATTIVO,MATCH(ROWS($C$13:C86),COPIA!$CD$3:$CD$250,0),5)),0))</f>
        <v/>
      </c>
      <c r="D86" s="135" t="str">
        <f ca="1">CONCATENATE(IFERROR(IF(MID(CONCATENATE(SUBSTITUTE(IFERROR(INDEX(PASSIVO,MATCH(ROWS(D$13:$D86),COPIA!$CD$105:$CD$189,0),4),""),"_"," ")," ",),8,6)="di cui",CONCATENATE(SUBSTITUTE(IFERROR(INDEX(PASSIVO,MATCH(ROWS(D$13:$D86),COPIA!$CD$105:$CD$189,0),4),""),"_"," ")," ",FIXED(IFERROR(INDEX(PASSIVO,MATCH(ROW()-12,COPIA!$CD$105:$CD$189,0),2),""),,FALSE)," euro"),SUBSTITUTE(IFERROR(INDEX(PASSIVO,MATCH(ROWS($D$13:$D86),COPIA!$CD$105:$CD$189,0),4),""),"_"," ")),""))</f>
        <v/>
      </c>
      <c r="E86" s="115" t="str">
        <f ca="1">IF(IFERROR(INDEX(PASSIVO,MATCH(ROWS($E$13:E86),COPIA!$CD$105:$CD$189,0),5),0)=0,"",IFERROR(INDEX(PASSIVO,MATCH(ROWS($E$13:E86),COPIA!$CD$105:$CD$189,0),5),0))</f>
        <v/>
      </c>
    </row>
    <row r="87" spans="1:5" ht="15" customHeight="1" x14ac:dyDescent="0.3">
      <c r="A87" s="7">
        <f t="shared" ca="1" si="1"/>
        <v>0</v>
      </c>
      <c r="B87" s="132" t="str">
        <f ca="1">IF(ROW()-9&gt;COPIA!$CI$1,SUBSTITUTE(IFERROR(INDEX(ECONOMICO,MATCH((ROWS($B$12:B87)-COPIA!$CI$2),COPIA!$CD$191:$CD$247,0),4),""),"_"," "),IF(ROW()-9&lt;=COPIA!$CI$1,CONCATENATE(IFERROR(IF(MID(CONCATENATE(SUBSTITUTE(IFERROR(INDEX(ATTIVO,MATCH(ROWS(B$13:$B87),COPIA!$CD$3:$CD$250,0),4),""),"_"," ")," ",),8,6)="di cui",CONCATENATE(SUBSTITUTE(IFERROR(INDEX(ATTIVO,MATCH(ROWS(B$13:$B87),COPIA!$CD$3:$CD$250,0),4),""),"_"," ")," ",FIXED(IFERROR(INDEX(ATTIVO,MATCH(ROW()-12,COPIA!$CD$3:$CD$250,0),2),""),,FALSE)," euro"),SUBSTITUTE(IFERROR(INDEX(ATTIVO,MATCH(ROWS(B$13:$B87),COPIA!$CD$3:$CD$250,0),4),""),"_"," ")),"")),""))</f>
        <v/>
      </c>
      <c r="C87" s="115" t="str">
        <f ca="1">IF(IFERROR(IF(ROW()-9&gt;COPIA!$CI$1,INDEX(ECONOMICO,MATCH((ROWS($B$12:B87)-COPIA!$CI$2),COPIA!$CD$191:$CD$247,0),5),INDEX(ATTIVO,MATCH(ROWS($C$13:C87),COPIA!$CD$3:$CD$250,0),5)),0)=0,"",IFERROR(IF(ROW()-9&gt;COPIA!$CI$1,INDEX(ECONOMICO,MATCH((ROWS($B$12:B87)-COPIA!$CI$2),COPIA!$CD$191:$CD$247,0),5),INDEX(ATTIVO,MATCH(ROWS($C$13:C87),COPIA!$CD$3:$CD$250,0),5)),0))</f>
        <v/>
      </c>
      <c r="D87" s="135" t="str">
        <f ca="1">CONCATENATE(IFERROR(IF(MID(CONCATENATE(SUBSTITUTE(IFERROR(INDEX(PASSIVO,MATCH(ROWS(D$13:$D87),COPIA!$CD$105:$CD$189,0),4),""),"_"," ")," ",),8,6)="di cui",CONCATENATE(SUBSTITUTE(IFERROR(INDEX(PASSIVO,MATCH(ROWS(D$13:$D87),COPIA!$CD$105:$CD$189,0),4),""),"_"," ")," ",FIXED(IFERROR(INDEX(PASSIVO,MATCH(ROW()-12,COPIA!$CD$105:$CD$189,0),2),""),,FALSE)," euro"),SUBSTITUTE(IFERROR(INDEX(PASSIVO,MATCH(ROWS($D$13:$D87),COPIA!$CD$105:$CD$189,0),4),""),"_"," ")),""))</f>
        <v/>
      </c>
      <c r="E87" s="115" t="str">
        <f ca="1">IF(IFERROR(INDEX(PASSIVO,MATCH(ROWS($E$13:E87),COPIA!$CD$105:$CD$189,0),5),0)=0,"",IFERROR(INDEX(PASSIVO,MATCH(ROWS($E$13:E87),COPIA!$CD$105:$CD$189,0),5),0))</f>
        <v/>
      </c>
    </row>
    <row r="88" spans="1:5" ht="15" customHeight="1" x14ac:dyDescent="0.3">
      <c r="A88" s="7">
        <f t="shared" ca="1" si="1"/>
        <v>0</v>
      </c>
      <c r="B88" s="132" t="str">
        <f ca="1">IF(ROW()-9&gt;COPIA!$CI$1,SUBSTITUTE(IFERROR(INDEX(ECONOMICO,MATCH((ROWS($B$12:B88)-COPIA!$CI$2),COPIA!$CD$191:$CD$247,0),4),""),"_"," "),IF(ROW()-9&lt;=COPIA!$CI$1,CONCATENATE(IFERROR(IF(MID(CONCATENATE(SUBSTITUTE(IFERROR(INDEX(ATTIVO,MATCH(ROWS(B$13:$B88),COPIA!$CD$3:$CD$250,0),4),""),"_"," ")," ",),8,6)="di cui",CONCATENATE(SUBSTITUTE(IFERROR(INDEX(ATTIVO,MATCH(ROWS(B$13:$B88),COPIA!$CD$3:$CD$250,0),4),""),"_"," ")," ",FIXED(IFERROR(INDEX(ATTIVO,MATCH(ROW()-12,COPIA!$CD$3:$CD$250,0),2),""),,FALSE)," euro"),SUBSTITUTE(IFERROR(INDEX(ATTIVO,MATCH(ROWS(B$13:$B88),COPIA!$CD$3:$CD$250,0),4),""),"_"," ")),"")),""))</f>
        <v/>
      </c>
      <c r="C88" s="115" t="str">
        <f ca="1">IF(IFERROR(IF(ROW()-9&gt;COPIA!$CI$1,INDEX(ECONOMICO,MATCH((ROWS($B$12:B88)-COPIA!$CI$2),COPIA!$CD$191:$CD$247,0),5),INDEX(ATTIVO,MATCH(ROWS($C$13:C88),COPIA!$CD$3:$CD$250,0),5)),0)=0,"",IFERROR(IF(ROW()-9&gt;COPIA!$CI$1,INDEX(ECONOMICO,MATCH((ROWS($B$12:B88)-COPIA!$CI$2),COPIA!$CD$191:$CD$247,0),5),INDEX(ATTIVO,MATCH(ROWS($C$13:C88),COPIA!$CD$3:$CD$250,0),5)),0))</f>
        <v/>
      </c>
      <c r="D88" s="135" t="str">
        <f ca="1">CONCATENATE(IFERROR(IF(MID(CONCATENATE(SUBSTITUTE(IFERROR(INDEX(PASSIVO,MATCH(ROWS(D$13:$D88),COPIA!$CD$105:$CD$189,0),4),""),"_"," ")," ",),8,6)="di cui",CONCATENATE(SUBSTITUTE(IFERROR(INDEX(PASSIVO,MATCH(ROWS(D$13:$D88),COPIA!$CD$105:$CD$189,0),4),""),"_"," ")," ",FIXED(IFERROR(INDEX(PASSIVO,MATCH(ROW()-12,COPIA!$CD$105:$CD$189,0),2),""),,FALSE)," euro"),SUBSTITUTE(IFERROR(INDEX(PASSIVO,MATCH(ROWS($D$13:$D88),COPIA!$CD$105:$CD$189,0),4),""),"_"," ")),""))</f>
        <v/>
      </c>
      <c r="E88" s="115" t="str">
        <f ca="1">IF(IFERROR(INDEX(PASSIVO,MATCH(ROWS($E$13:E88),COPIA!$CD$105:$CD$189,0),5),0)=0,"",IFERROR(INDEX(PASSIVO,MATCH(ROWS($E$13:E88),COPIA!$CD$105:$CD$189,0),5),0))</f>
        <v/>
      </c>
    </row>
    <row r="89" spans="1:5" ht="15" customHeight="1" x14ac:dyDescent="0.3">
      <c r="A89" s="7">
        <f t="shared" ca="1" si="1"/>
        <v>0</v>
      </c>
      <c r="B89" s="132" t="str">
        <f ca="1">IF(ROW()-9&gt;COPIA!$CI$1,SUBSTITUTE(IFERROR(INDEX(ECONOMICO,MATCH((ROWS($B$12:B89)-COPIA!$CI$2),COPIA!$CD$191:$CD$247,0),4),""),"_"," "),IF(ROW()-9&lt;=COPIA!$CI$1,CONCATENATE(IFERROR(IF(MID(CONCATENATE(SUBSTITUTE(IFERROR(INDEX(ATTIVO,MATCH(ROWS(B$13:$B89),COPIA!$CD$3:$CD$250,0),4),""),"_"," ")," ",),8,6)="di cui",CONCATENATE(SUBSTITUTE(IFERROR(INDEX(ATTIVO,MATCH(ROWS(B$13:$B89),COPIA!$CD$3:$CD$250,0),4),""),"_"," ")," ",FIXED(IFERROR(INDEX(ATTIVO,MATCH(ROW()-12,COPIA!$CD$3:$CD$250,0),2),""),,FALSE)," euro"),SUBSTITUTE(IFERROR(INDEX(ATTIVO,MATCH(ROWS(B$13:$B89),COPIA!$CD$3:$CD$250,0),4),""),"_"," ")),"")),""))</f>
        <v/>
      </c>
      <c r="C89" s="115" t="str">
        <f ca="1">IF(IFERROR(IF(ROW()-9&gt;COPIA!$CI$1,INDEX(ECONOMICO,MATCH((ROWS($B$12:B89)-COPIA!$CI$2),COPIA!$CD$191:$CD$247,0),5),INDEX(ATTIVO,MATCH(ROWS($C$13:C89),COPIA!$CD$3:$CD$250,0),5)),0)=0,"",IFERROR(IF(ROW()-9&gt;COPIA!$CI$1,INDEX(ECONOMICO,MATCH((ROWS($B$12:B89)-COPIA!$CI$2),COPIA!$CD$191:$CD$247,0),5),INDEX(ATTIVO,MATCH(ROWS($C$13:C89),COPIA!$CD$3:$CD$250,0),5)),0))</f>
        <v/>
      </c>
      <c r="D89" s="135" t="str">
        <f ca="1">CONCATENATE(IFERROR(IF(MID(CONCATENATE(SUBSTITUTE(IFERROR(INDEX(PASSIVO,MATCH(ROWS(D$13:$D89),COPIA!$CD$105:$CD$189,0),4),""),"_"," ")," ",),8,6)="di cui",CONCATENATE(SUBSTITUTE(IFERROR(INDEX(PASSIVO,MATCH(ROWS(D$13:$D89),COPIA!$CD$105:$CD$189,0),4),""),"_"," ")," ",FIXED(IFERROR(INDEX(PASSIVO,MATCH(ROW()-12,COPIA!$CD$105:$CD$189,0),2),""),,FALSE)," euro"),SUBSTITUTE(IFERROR(INDEX(PASSIVO,MATCH(ROWS($D$13:$D89),COPIA!$CD$105:$CD$189,0),4),""),"_"," ")),""))</f>
        <v/>
      </c>
      <c r="E89" s="115" t="str">
        <f ca="1">IF(IFERROR(INDEX(PASSIVO,MATCH(ROWS($E$13:E89),COPIA!$CD$105:$CD$189,0),5),0)=0,"",IFERROR(INDEX(PASSIVO,MATCH(ROWS($E$13:E89),COPIA!$CD$105:$CD$189,0),5),0))</f>
        <v/>
      </c>
    </row>
    <row r="90" spans="1:5" ht="15" customHeight="1" x14ac:dyDescent="0.3">
      <c r="A90" s="7">
        <f t="shared" ca="1" si="1"/>
        <v>0</v>
      </c>
      <c r="B90" s="132" t="str">
        <f ca="1">IF(ROW()-9&gt;COPIA!$CI$1,SUBSTITUTE(IFERROR(INDEX(ECONOMICO,MATCH((ROWS($B$12:B90)-COPIA!$CI$2),COPIA!$CD$191:$CD$247,0),4),""),"_"," "),IF(ROW()-9&lt;=COPIA!$CI$1,CONCATENATE(IFERROR(IF(MID(CONCATENATE(SUBSTITUTE(IFERROR(INDEX(ATTIVO,MATCH(ROWS(B$13:$B90),COPIA!$CD$3:$CD$250,0),4),""),"_"," ")," ",),8,6)="di cui",CONCATENATE(SUBSTITUTE(IFERROR(INDEX(ATTIVO,MATCH(ROWS(B$13:$B90),COPIA!$CD$3:$CD$250,0),4),""),"_"," ")," ",FIXED(IFERROR(INDEX(ATTIVO,MATCH(ROW()-12,COPIA!$CD$3:$CD$250,0),2),""),,FALSE)," euro"),SUBSTITUTE(IFERROR(INDEX(ATTIVO,MATCH(ROWS(B$13:$B90),COPIA!$CD$3:$CD$250,0),4),""),"_"," ")),"")),""))</f>
        <v/>
      </c>
      <c r="C90" s="115" t="str">
        <f ca="1">IF(IFERROR(IF(ROW()-9&gt;COPIA!$CI$1,INDEX(ECONOMICO,MATCH((ROWS($B$12:B90)-COPIA!$CI$2),COPIA!$CD$191:$CD$247,0),5),INDEX(ATTIVO,MATCH(ROWS($C$13:C90),COPIA!$CD$3:$CD$250,0),5)),0)=0,"",IFERROR(IF(ROW()-9&gt;COPIA!$CI$1,INDEX(ECONOMICO,MATCH((ROWS($B$12:B90)-COPIA!$CI$2),COPIA!$CD$191:$CD$247,0),5),INDEX(ATTIVO,MATCH(ROWS($C$13:C90),COPIA!$CD$3:$CD$250,0),5)),0))</f>
        <v/>
      </c>
      <c r="D90" s="135" t="str">
        <f ca="1">CONCATENATE(IFERROR(IF(MID(CONCATENATE(SUBSTITUTE(IFERROR(INDEX(PASSIVO,MATCH(ROWS(D$13:$D90),COPIA!$CD$105:$CD$189,0),4),""),"_"," ")," ",),8,6)="di cui",CONCATENATE(SUBSTITUTE(IFERROR(INDEX(PASSIVO,MATCH(ROWS(D$13:$D90),COPIA!$CD$105:$CD$189,0),4),""),"_"," ")," ",FIXED(IFERROR(INDEX(PASSIVO,MATCH(ROW()-12,COPIA!$CD$105:$CD$189,0),2),""),,FALSE)," euro"),SUBSTITUTE(IFERROR(INDEX(PASSIVO,MATCH(ROWS($D$13:$D90),COPIA!$CD$105:$CD$189,0),4),""),"_"," ")),""))</f>
        <v/>
      </c>
      <c r="E90" s="115" t="str">
        <f ca="1">IF(IFERROR(INDEX(PASSIVO,MATCH(ROWS($E$13:E90),COPIA!$CD$105:$CD$189,0),5),0)=0,"",IFERROR(INDEX(PASSIVO,MATCH(ROWS($E$13:E90),COPIA!$CD$105:$CD$189,0),5),0))</f>
        <v/>
      </c>
    </row>
    <row r="91" spans="1:5" ht="15" customHeight="1" x14ac:dyDescent="0.3">
      <c r="A91" s="7">
        <f t="shared" ca="1" si="1"/>
        <v>0</v>
      </c>
      <c r="B91" s="132" t="str">
        <f ca="1">IF(ROW()-9&gt;COPIA!$CI$1,SUBSTITUTE(IFERROR(INDEX(ECONOMICO,MATCH((ROWS($B$12:B91)-COPIA!$CI$2),COPIA!$CD$191:$CD$247,0),4),""),"_"," "),IF(ROW()-9&lt;=COPIA!$CI$1,CONCATENATE(IFERROR(IF(MID(CONCATENATE(SUBSTITUTE(IFERROR(INDEX(ATTIVO,MATCH(ROWS(B$13:$B91),COPIA!$CD$3:$CD$250,0),4),""),"_"," ")," ",),8,6)="di cui",CONCATENATE(SUBSTITUTE(IFERROR(INDEX(ATTIVO,MATCH(ROWS(B$13:$B91),COPIA!$CD$3:$CD$250,0),4),""),"_"," ")," ",FIXED(IFERROR(INDEX(ATTIVO,MATCH(ROW()-12,COPIA!$CD$3:$CD$250,0),2),""),,FALSE)," euro"),SUBSTITUTE(IFERROR(INDEX(ATTIVO,MATCH(ROWS(B$13:$B91),COPIA!$CD$3:$CD$250,0),4),""),"_"," ")),"")),""))</f>
        <v/>
      </c>
      <c r="C91" s="115" t="str">
        <f ca="1">IF(IFERROR(IF(ROW()-9&gt;COPIA!$CI$1,INDEX(ECONOMICO,MATCH((ROWS($B$12:B91)-COPIA!$CI$2),COPIA!$CD$191:$CD$247,0),5),INDEX(ATTIVO,MATCH(ROWS($C$13:C91),COPIA!$CD$3:$CD$250,0),5)),0)=0,"",IFERROR(IF(ROW()-9&gt;COPIA!$CI$1,INDEX(ECONOMICO,MATCH((ROWS($B$12:B91)-COPIA!$CI$2),COPIA!$CD$191:$CD$247,0),5),INDEX(ATTIVO,MATCH(ROWS($C$13:C91),COPIA!$CD$3:$CD$250,0),5)),0))</f>
        <v/>
      </c>
      <c r="D91" s="135" t="str">
        <f ca="1">CONCATENATE(IFERROR(IF(MID(CONCATENATE(SUBSTITUTE(IFERROR(INDEX(PASSIVO,MATCH(ROWS(D$13:$D91),COPIA!$CD$105:$CD$189,0),4),""),"_"," ")," ",),8,6)="di cui",CONCATENATE(SUBSTITUTE(IFERROR(INDEX(PASSIVO,MATCH(ROWS(D$13:$D91),COPIA!$CD$105:$CD$189,0),4),""),"_"," ")," ",FIXED(IFERROR(INDEX(PASSIVO,MATCH(ROW()-12,COPIA!$CD$105:$CD$189,0),2),""),,FALSE)," euro"),SUBSTITUTE(IFERROR(INDEX(PASSIVO,MATCH(ROWS($D$13:$D91),COPIA!$CD$105:$CD$189,0),4),""),"_"," ")),""))</f>
        <v/>
      </c>
      <c r="E91" s="115" t="str">
        <f ca="1">IF(IFERROR(INDEX(PASSIVO,MATCH(ROWS($E$13:E91),COPIA!$CD$105:$CD$189,0),5),0)=0,"",IFERROR(INDEX(PASSIVO,MATCH(ROWS($E$13:E91),COPIA!$CD$105:$CD$189,0),5),0))</f>
        <v/>
      </c>
    </row>
    <row r="92" spans="1:5" ht="15" customHeight="1" x14ac:dyDescent="0.3">
      <c r="A92" s="7">
        <f t="shared" ca="1" si="1"/>
        <v>0</v>
      </c>
      <c r="B92" s="132" t="str">
        <f ca="1">IF(ROW()-9&gt;COPIA!$CI$1,SUBSTITUTE(IFERROR(INDEX(ECONOMICO,MATCH((ROWS($B$12:B92)-COPIA!$CI$2),COPIA!$CD$191:$CD$247,0),4),""),"_"," "),IF(ROW()-9&lt;=COPIA!$CI$1,CONCATENATE(IFERROR(IF(MID(CONCATENATE(SUBSTITUTE(IFERROR(INDEX(ATTIVO,MATCH(ROWS(B$13:$B92),COPIA!$CD$3:$CD$250,0),4),""),"_"," ")," ",),8,6)="di cui",CONCATENATE(SUBSTITUTE(IFERROR(INDEX(ATTIVO,MATCH(ROWS(B$13:$B92),COPIA!$CD$3:$CD$250,0),4),""),"_"," ")," ",FIXED(IFERROR(INDEX(ATTIVO,MATCH(ROW()-12,COPIA!$CD$3:$CD$250,0),2),""),,FALSE)," euro"),SUBSTITUTE(IFERROR(INDEX(ATTIVO,MATCH(ROWS(B$13:$B92),COPIA!$CD$3:$CD$250,0),4),""),"_"," ")),"")),""))</f>
        <v/>
      </c>
      <c r="C92" s="115" t="str">
        <f ca="1">IF(IFERROR(IF(ROW()-9&gt;COPIA!$CI$1,INDEX(ECONOMICO,MATCH((ROWS($B$12:B92)-COPIA!$CI$2),COPIA!$CD$191:$CD$247,0),5),INDEX(ATTIVO,MATCH(ROWS($C$13:C92),COPIA!$CD$3:$CD$250,0),5)),0)=0,"",IFERROR(IF(ROW()-9&gt;COPIA!$CI$1,INDEX(ECONOMICO,MATCH((ROWS($B$12:B92)-COPIA!$CI$2),COPIA!$CD$191:$CD$247,0),5),INDEX(ATTIVO,MATCH(ROWS($C$13:C92),COPIA!$CD$3:$CD$250,0),5)),0))</f>
        <v/>
      </c>
      <c r="D92" s="135" t="str">
        <f ca="1">CONCATENATE(IFERROR(IF(MID(CONCATENATE(SUBSTITUTE(IFERROR(INDEX(PASSIVO,MATCH(ROWS(D$13:$D92),COPIA!$CD$105:$CD$189,0),4),""),"_"," ")," ",),8,6)="di cui",CONCATENATE(SUBSTITUTE(IFERROR(INDEX(PASSIVO,MATCH(ROWS(D$13:$D92),COPIA!$CD$105:$CD$189,0),4),""),"_"," ")," ",FIXED(IFERROR(INDEX(PASSIVO,MATCH(ROW()-12,COPIA!$CD$105:$CD$189,0),2),""),,FALSE)," euro"),SUBSTITUTE(IFERROR(INDEX(PASSIVO,MATCH(ROWS($D$13:$D92),COPIA!$CD$105:$CD$189,0),4),""),"_"," ")),""))</f>
        <v/>
      </c>
      <c r="E92" s="115" t="str">
        <f ca="1">IF(IFERROR(INDEX(PASSIVO,MATCH(ROWS($E$13:E92),COPIA!$CD$105:$CD$189,0),5),0)=0,"",IFERROR(INDEX(PASSIVO,MATCH(ROWS($E$13:E92),COPIA!$CD$105:$CD$189,0),5),0))</f>
        <v/>
      </c>
    </row>
    <row r="93" spans="1:5" ht="15" customHeight="1" x14ac:dyDescent="0.3">
      <c r="A93" s="7">
        <f t="shared" ca="1" si="1"/>
        <v>0</v>
      </c>
      <c r="B93" s="132" t="str">
        <f ca="1">IF(ROW()-9&gt;COPIA!$CI$1,SUBSTITUTE(IFERROR(INDEX(ECONOMICO,MATCH((ROWS($B$12:B93)-COPIA!$CI$2),COPIA!$CD$191:$CD$247,0),4),""),"_"," "),IF(ROW()-9&lt;=COPIA!$CI$1,CONCATENATE(IFERROR(IF(MID(CONCATENATE(SUBSTITUTE(IFERROR(INDEX(ATTIVO,MATCH(ROWS(B$13:$B93),COPIA!$CD$3:$CD$250,0),4),""),"_"," ")," ",),8,6)="di cui",CONCATENATE(SUBSTITUTE(IFERROR(INDEX(ATTIVO,MATCH(ROWS(B$13:$B93),COPIA!$CD$3:$CD$250,0),4),""),"_"," ")," ",FIXED(IFERROR(INDEX(ATTIVO,MATCH(ROW()-12,COPIA!$CD$3:$CD$250,0),2),""),,FALSE)," euro"),SUBSTITUTE(IFERROR(INDEX(ATTIVO,MATCH(ROWS(B$13:$B93),COPIA!$CD$3:$CD$250,0),4),""),"_"," ")),"")),""))</f>
        <v/>
      </c>
      <c r="C93" s="115" t="str">
        <f ca="1">IF(IFERROR(IF(ROW()-9&gt;COPIA!$CI$1,INDEX(ECONOMICO,MATCH((ROWS($B$12:B93)-COPIA!$CI$2),COPIA!$CD$191:$CD$247,0),5),INDEX(ATTIVO,MATCH(ROWS($C$13:C93),COPIA!$CD$3:$CD$250,0),5)),0)=0,"",IFERROR(IF(ROW()-9&gt;COPIA!$CI$1,INDEX(ECONOMICO,MATCH((ROWS($B$12:B93)-COPIA!$CI$2),COPIA!$CD$191:$CD$247,0),5),INDEX(ATTIVO,MATCH(ROWS($C$13:C93),COPIA!$CD$3:$CD$250,0),5)),0))</f>
        <v/>
      </c>
      <c r="D93" s="135" t="str">
        <f ca="1">CONCATENATE(IFERROR(IF(MID(CONCATENATE(SUBSTITUTE(IFERROR(INDEX(PASSIVO,MATCH(ROWS(D$13:$D93),COPIA!$CD$105:$CD$189,0),4),""),"_"," ")," ",),8,6)="di cui",CONCATENATE(SUBSTITUTE(IFERROR(INDEX(PASSIVO,MATCH(ROWS(D$13:$D93),COPIA!$CD$105:$CD$189,0),4),""),"_"," ")," ",FIXED(IFERROR(INDEX(PASSIVO,MATCH(ROW()-12,COPIA!$CD$105:$CD$189,0),2),""),,FALSE)," euro"),SUBSTITUTE(IFERROR(INDEX(PASSIVO,MATCH(ROWS($D$13:$D93),COPIA!$CD$105:$CD$189,0),4),""),"_"," ")),""))</f>
        <v/>
      </c>
      <c r="E93" s="115" t="str">
        <f ca="1">IF(IFERROR(INDEX(PASSIVO,MATCH(ROWS($E$13:E93),COPIA!$CD$105:$CD$189,0),5),0)=0,"",IFERROR(INDEX(PASSIVO,MATCH(ROWS($E$13:E93),COPIA!$CD$105:$CD$189,0),5),0))</f>
        <v/>
      </c>
    </row>
    <row r="94" spans="1:5" ht="15" customHeight="1" x14ac:dyDescent="0.3">
      <c r="A94" s="7">
        <f t="shared" ca="1" si="1"/>
        <v>0</v>
      </c>
      <c r="B94" s="132" t="str">
        <f ca="1">IF(ROW()-9&gt;COPIA!$CI$1,SUBSTITUTE(IFERROR(INDEX(ECONOMICO,MATCH((ROWS($B$12:B94)-COPIA!$CI$2),COPIA!$CD$191:$CD$247,0),4),""),"_"," "),IF(ROW()-9&lt;=COPIA!$CI$1,CONCATENATE(IFERROR(IF(MID(CONCATENATE(SUBSTITUTE(IFERROR(INDEX(ATTIVO,MATCH(ROWS(B$13:$B94),COPIA!$CD$3:$CD$250,0),4),""),"_"," ")," ",),8,6)="di cui",CONCATENATE(SUBSTITUTE(IFERROR(INDEX(ATTIVO,MATCH(ROWS(B$13:$B94),COPIA!$CD$3:$CD$250,0),4),""),"_"," ")," ",FIXED(IFERROR(INDEX(ATTIVO,MATCH(ROW()-12,COPIA!$CD$3:$CD$250,0),2),""),,FALSE)," euro"),SUBSTITUTE(IFERROR(INDEX(ATTIVO,MATCH(ROWS(B$13:$B94),COPIA!$CD$3:$CD$250,0),4),""),"_"," ")),"")),""))</f>
        <v/>
      </c>
      <c r="C94" s="115" t="str">
        <f ca="1">IF(IFERROR(IF(ROW()-9&gt;COPIA!$CI$1,INDEX(ECONOMICO,MATCH((ROWS($B$12:B94)-COPIA!$CI$2),COPIA!$CD$191:$CD$247,0),5),INDEX(ATTIVO,MATCH(ROWS($C$13:C94),COPIA!$CD$3:$CD$250,0),5)),0)=0,"",IFERROR(IF(ROW()-9&gt;COPIA!$CI$1,INDEX(ECONOMICO,MATCH((ROWS($B$12:B94)-COPIA!$CI$2),COPIA!$CD$191:$CD$247,0),5),INDEX(ATTIVO,MATCH(ROWS($C$13:C94),COPIA!$CD$3:$CD$250,0),5)),0))</f>
        <v/>
      </c>
      <c r="D94" s="135" t="str">
        <f ca="1">CONCATENATE(IFERROR(IF(MID(CONCATENATE(SUBSTITUTE(IFERROR(INDEX(PASSIVO,MATCH(ROWS(D$13:$D94),COPIA!$CD$105:$CD$189,0),4),""),"_"," ")," ",),8,6)="di cui",CONCATENATE(SUBSTITUTE(IFERROR(INDEX(PASSIVO,MATCH(ROWS(D$13:$D94),COPIA!$CD$105:$CD$189,0),4),""),"_"," ")," ",FIXED(IFERROR(INDEX(PASSIVO,MATCH(ROW()-12,COPIA!$CD$105:$CD$189,0),2),""),,FALSE)," euro"),SUBSTITUTE(IFERROR(INDEX(PASSIVO,MATCH(ROWS($D$13:$D94),COPIA!$CD$105:$CD$189,0),4),""),"_"," ")),""))</f>
        <v/>
      </c>
      <c r="E94" s="115" t="str">
        <f ca="1">IF(IFERROR(INDEX(PASSIVO,MATCH(ROWS($E$13:E94),COPIA!$CD$105:$CD$189,0),5),0)=0,"",IFERROR(INDEX(PASSIVO,MATCH(ROWS($E$13:E94),COPIA!$CD$105:$CD$189,0),5),0))</f>
        <v/>
      </c>
    </row>
    <row r="95" spans="1:5" ht="15" customHeight="1" x14ac:dyDescent="0.3">
      <c r="A95" s="7">
        <f t="shared" ca="1" si="1"/>
        <v>0</v>
      </c>
      <c r="B95" s="132" t="str">
        <f ca="1">IF(ROW()-9&gt;COPIA!$CI$1,SUBSTITUTE(IFERROR(INDEX(ECONOMICO,MATCH((ROWS($B$12:B95)-COPIA!$CI$2),COPIA!$CD$191:$CD$247,0),4),""),"_"," "),IF(ROW()-9&lt;=COPIA!$CI$1,CONCATENATE(IFERROR(IF(MID(CONCATENATE(SUBSTITUTE(IFERROR(INDEX(ATTIVO,MATCH(ROWS(B$13:$B95),COPIA!$CD$3:$CD$250,0),4),""),"_"," ")," ",),8,6)="di cui",CONCATENATE(SUBSTITUTE(IFERROR(INDEX(ATTIVO,MATCH(ROWS(B$13:$B95),COPIA!$CD$3:$CD$250,0),4),""),"_"," ")," ",FIXED(IFERROR(INDEX(ATTIVO,MATCH(ROW()-12,COPIA!$CD$3:$CD$250,0),2),""),,FALSE)," euro"),SUBSTITUTE(IFERROR(INDEX(ATTIVO,MATCH(ROWS(B$13:$B95),COPIA!$CD$3:$CD$250,0),4),""),"_"," ")),"")),""))</f>
        <v/>
      </c>
      <c r="C95" s="115" t="str">
        <f ca="1">IF(IFERROR(IF(ROW()-9&gt;COPIA!$CI$1,INDEX(ECONOMICO,MATCH((ROWS($B$12:B95)-COPIA!$CI$2),COPIA!$CD$191:$CD$247,0),5),INDEX(ATTIVO,MATCH(ROWS($C$13:C95),COPIA!$CD$3:$CD$250,0),5)),0)=0,"",IFERROR(IF(ROW()-9&gt;COPIA!$CI$1,INDEX(ECONOMICO,MATCH((ROWS($B$12:B95)-COPIA!$CI$2),COPIA!$CD$191:$CD$247,0),5),INDEX(ATTIVO,MATCH(ROWS($C$13:C95),COPIA!$CD$3:$CD$250,0),5)),0))</f>
        <v/>
      </c>
      <c r="D95" s="135" t="str">
        <f ca="1">CONCATENATE(IFERROR(IF(MID(CONCATENATE(SUBSTITUTE(IFERROR(INDEX(PASSIVO,MATCH(ROWS(D$13:$D95),COPIA!$CD$105:$CD$189,0),4),""),"_"," ")," ",),8,6)="di cui",CONCATENATE(SUBSTITUTE(IFERROR(INDEX(PASSIVO,MATCH(ROWS(D$13:$D95),COPIA!$CD$105:$CD$189,0),4),""),"_"," ")," ",FIXED(IFERROR(INDEX(PASSIVO,MATCH(ROW()-12,COPIA!$CD$105:$CD$189,0),2),""),,FALSE)," euro"),SUBSTITUTE(IFERROR(INDEX(PASSIVO,MATCH(ROWS($D$13:$D95),COPIA!$CD$105:$CD$189,0),4),""),"_"," ")),""))</f>
        <v/>
      </c>
      <c r="E95" s="115" t="str">
        <f ca="1">IF(IFERROR(INDEX(PASSIVO,MATCH(ROWS($E$13:E95),COPIA!$CD$105:$CD$189,0),5),0)=0,"",IFERROR(INDEX(PASSIVO,MATCH(ROWS($E$13:E95),COPIA!$CD$105:$CD$189,0),5),0))</f>
        <v/>
      </c>
    </row>
    <row r="96" spans="1:5" ht="15" customHeight="1" x14ac:dyDescent="0.3">
      <c r="A96" s="7">
        <f t="shared" ca="1" si="1"/>
        <v>0</v>
      </c>
      <c r="B96" s="132" t="str">
        <f ca="1">IF(ROW()-9&gt;COPIA!$CI$1,SUBSTITUTE(IFERROR(INDEX(ECONOMICO,MATCH((ROWS($B$12:B96)-COPIA!$CI$2),COPIA!$CD$191:$CD$247,0),4),""),"_"," "),IF(ROW()-9&lt;=COPIA!$CI$1,CONCATENATE(IFERROR(IF(MID(CONCATENATE(SUBSTITUTE(IFERROR(INDEX(ATTIVO,MATCH(ROWS(B$13:$B96),COPIA!$CD$3:$CD$250,0),4),""),"_"," ")," ",),8,6)="di cui",CONCATENATE(SUBSTITUTE(IFERROR(INDEX(ATTIVO,MATCH(ROWS(B$13:$B96),COPIA!$CD$3:$CD$250,0),4),""),"_"," ")," ",FIXED(IFERROR(INDEX(ATTIVO,MATCH(ROW()-12,COPIA!$CD$3:$CD$250,0),2),""),,FALSE)," euro"),SUBSTITUTE(IFERROR(INDEX(ATTIVO,MATCH(ROWS(B$13:$B96),COPIA!$CD$3:$CD$250,0),4),""),"_"," ")),"")),""))</f>
        <v/>
      </c>
      <c r="C96" s="115" t="str">
        <f ca="1">IF(IFERROR(IF(ROW()-9&gt;COPIA!$CI$1,INDEX(ECONOMICO,MATCH((ROWS($B$12:B96)-COPIA!$CI$2),COPIA!$CD$191:$CD$247,0),5),INDEX(ATTIVO,MATCH(ROWS($C$13:C96),COPIA!$CD$3:$CD$250,0),5)),0)=0,"",IFERROR(IF(ROW()-9&gt;COPIA!$CI$1,INDEX(ECONOMICO,MATCH((ROWS($B$12:B96)-COPIA!$CI$2),COPIA!$CD$191:$CD$247,0),5),INDEX(ATTIVO,MATCH(ROWS($C$13:C96),COPIA!$CD$3:$CD$250,0),5)),0))</f>
        <v/>
      </c>
      <c r="D96" s="135" t="str">
        <f ca="1">CONCATENATE(IFERROR(IF(MID(CONCATENATE(SUBSTITUTE(IFERROR(INDEX(PASSIVO,MATCH(ROWS(D$13:$D96),COPIA!$CD$105:$CD$189,0),4),""),"_"," ")," ",),8,6)="di cui",CONCATENATE(SUBSTITUTE(IFERROR(INDEX(PASSIVO,MATCH(ROWS(D$13:$D96),COPIA!$CD$105:$CD$189,0),4),""),"_"," ")," ",FIXED(IFERROR(INDEX(PASSIVO,MATCH(ROW()-12,COPIA!$CD$105:$CD$189,0),2),""),,FALSE)," euro"),SUBSTITUTE(IFERROR(INDEX(PASSIVO,MATCH(ROWS($D$13:$D96),COPIA!$CD$105:$CD$189,0),4),""),"_"," ")),""))</f>
        <v/>
      </c>
      <c r="E96" s="115" t="str">
        <f ca="1">IF(IFERROR(INDEX(PASSIVO,MATCH(ROWS($E$13:E96),COPIA!$CD$105:$CD$189,0),5),0)=0,"",IFERROR(INDEX(PASSIVO,MATCH(ROWS($E$13:E96),COPIA!$CD$105:$CD$189,0),5),0))</f>
        <v/>
      </c>
    </row>
    <row r="97" spans="1:5" ht="15" customHeight="1" x14ac:dyDescent="0.3">
      <c r="A97" s="7">
        <f t="shared" ca="1" si="1"/>
        <v>0</v>
      </c>
      <c r="B97" s="132" t="str">
        <f ca="1">IF(ROW()-9&gt;COPIA!$CI$1,SUBSTITUTE(IFERROR(INDEX(ECONOMICO,MATCH((ROWS($B$12:B97)-COPIA!$CI$2),COPIA!$CD$191:$CD$247,0),4),""),"_"," "),IF(ROW()-9&lt;=COPIA!$CI$1,CONCATENATE(IFERROR(IF(MID(CONCATENATE(SUBSTITUTE(IFERROR(INDEX(ATTIVO,MATCH(ROWS(B$13:$B97),COPIA!$CD$3:$CD$250,0),4),""),"_"," ")," ",),8,6)="di cui",CONCATENATE(SUBSTITUTE(IFERROR(INDEX(ATTIVO,MATCH(ROWS(B$13:$B97),COPIA!$CD$3:$CD$250,0),4),""),"_"," ")," ",FIXED(IFERROR(INDEX(ATTIVO,MATCH(ROW()-12,COPIA!$CD$3:$CD$250,0),2),""),,FALSE)," euro"),SUBSTITUTE(IFERROR(INDEX(ATTIVO,MATCH(ROWS(B$13:$B97),COPIA!$CD$3:$CD$250,0),4),""),"_"," ")),"")),""))</f>
        <v/>
      </c>
      <c r="C97" s="115" t="str">
        <f ca="1">IF(IFERROR(IF(ROW()-9&gt;COPIA!$CI$1,INDEX(ECONOMICO,MATCH((ROWS($B$12:B97)-COPIA!$CI$2),COPIA!$CD$191:$CD$247,0),5),INDEX(ATTIVO,MATCH(ROWS($C$13:C97),COPIA!$CD$3:$CD$250,0),5)),0)=0,"",IFERROR(IF(ROW()-9&gt;COPIA!$CI$1,INDEX(ECONOMICO,MATCH((ROWS($B$12:B97)-COPIA!$CI$2),COPIA!$CD$191:$CD$247,0),5),INDEX(ATTIVO,MATCH(ROWS($C$13:C97),COPIA!$CD$3:$CD$250,0),5)),0))</f>
        <v/>
      </c>
      <c r="D97" s="135" t="str">
        <f ca="1">CONCATENATE(IFERROR(IF(MID(CONCATENATE(SUBSTITUTE(IFERROR(INDEX(PASSIVO,MATCH(ROWS(D$13:$D97),COPIA!$CD$105:$CD$189,0),4),""),"_"," ")," ",),8,6)="di cui",CONCATENATE(SUBSTITUTE(IFERROR(INDEX(PASSIVO,MATCH(ROWS(D$13:$D97),COPIA!$CD$105:$CD$189,0),4),""),"_"," ")," ",FIXED(IFERROR(INDEX(PASSIVO,MATCH(ROW()-12,COPIA!$CD$105:$CD$189,0),2),""),,FALSE)," euro"),SUBSTITUTE(IFERROR(INDEX(PASSIVO,MATCH(ROWS($D$13:$D97),COPIA!$CD$105:$CD$189,0),4),""),"_"," ")),""))</f>
        <v/>
      </c>
      <c r="E97" s="115" t="str">
        <f ca="1">IF(IFERROR(INDEX(PASSIVO,MATCH(ROWS($E$13:E97),COPIA!$CD$105:$CD$189,0),5),0)=0,"",IFERROR(INDEX(PASSIVO,MATCH(ROWS($E$13:E97),COPIA!$CD$105:$CD$189,0),5),0))</f>
        <v/>
      </c>
    </row>
    <row r="98" spans="1:5" ht="15" customHeight="1" x14ac:dyDescent="0.3">
      <c r="A98" s="7">
        <f t="shared" ca="1" si="1"/>
        <v>0</v>
      </c>
      <c r="B98" s="132" t="str">
        <f ca="1">IF(ROW()-9&gt;COPIA!$CI$1,SUBSTITUTE(IFERROR(INDEX(ECONOMICO,MATCH((ROWS($B$12:B98)-COPIA!$CI$2),COPIA!$CD$191:$CD$247,0),4),""),"_"," "),IF(ROW()-9&lt;=COPIA!$CI$1,CONCATENATE(IFERROR(IF(MID(CONCATENATE(SUBSTITUTE(IFERROR(INDEX(ATTIVO,MATCH(ROWS(B$13:$B98),COPIA!$CD$3:$CD$250,0),4),""),"_"," ")," ",),8,6)="di cui",CONCATENATE(SUBSTITUTE(IFERROR(INDEX(ATTIVO,MATCH(ROWS(B$13:$B98),COPIA!$CD$3:$CD$250,0),4),""),"_"," ")," ",FIXED(IFERROR(INDEX(ATTIVO,MATCH(ROW()-12,COPIA!$CD$3:$CD$250,0),2),""),,FALSE)," euro"),SUBSTITUTE(IFERROR(INDEX(ATTIVO,MATCH(ROWS(B$13:$B98),COPIA!$CD$3:$CD$250,0),4),""),"_"," ")),"")),""))</f>
        <v/>
      </c>
      <c r="C98" s="115" t="str">
        <f ca="1">IF(IFERROR(IF(ROW()-9&gt;COPIA!$CI$1,INDEX(ECONOMICO,MATCH((ROWS($B$12:B98)-COPIA!$CI$2),COPIA!$CD$191:$CD$247,0),5),INDEX(ATTIVO,MATCH(ROWS($C$13:C98),COPIA!$CD$3:$CD$250,0),5)),0)=0,"",IFERROR(IF(ROW()-9&gt;COPIA!$CI$1,INDEX(ECONOMICO,MATCH((ROWS($B$12:B98)-COPIA!$CI$2),COPIA!$CD$191:$CD$247,0),5),INDEX(ATTIVO,MATCH(ROWS($C$13:C98),COPIA!$CD$3:$CD$250,0),5)),0))</f>
        <v/>
      </c>
      <c r="D98" s="135" t="str">
        <f ca="1">CONCATENATE(IFERROR(IF(MID(CONCATENATE(SUBSTITUTE(IFERROR(INDEX(PASSIVO,MATCH(ROWS(D$13:$D98),COPIA!$CD$105:$CD$189,0),4),""),"_"," ")," ",),8,6)="di cui",CONCATENATE(SUBSTITUTE(IFERROR(INDEX(PASSIVO,MATCH(ROWS(D$13:$D98),COPIA!$CD$105:$CD$189,0),4),""),"_"," ")," ",FIXED(IFERROR(INDEX(PASSIVO,MATCH(ROW()-12,COPIA!$CD$105:$CD$189,0),2),""),,FALSE)," euro"),SUBSTITUTE(IFERROR(INDEX(PASSIVO,MATCH(ROWS($D$13:$D98),COPIA!$CD$105:$CD$189,0),4),""),"_"," ")),""))</f>
        <v/>
      </c>
      <c r="E98" s="115" t="str">
        <f ca="1">IF(IFERROR(INDEX(PASSIVO,MATCH(ROWS($E$13:E98),COPIA!$CD$105:$CD$189,0),5),0)=0,"",IFERROR(INDEX(PASSIVO,MATCH(ROWS($E$13:E98),COPIA!$CD$105:$CD$189,0),5),0))</f>
        <v/>
      </c>
    </row>
    <row r="99" spans="1:5" ht="15" customHeight="1" x14ac:dyDescent="0.3">
      <c r="A99" s="7">
        <f t="shared" ca="1" si="1"/>
        <v>0</v>
      </c>
      <c r="B99" s="132" t="str">
        <f ca="1">IF(ROW()-9&gt;COPIA!$CI$1,SUBSTITUTE(IFERROR(INDEX(ECONOMICO,MATCH((ROWS($B$12:B99)-COPIA!$CI$2),COPIA!$CD$191:$CD$247,0),4),""),"_"," "),IF(ROW()-9&lt;=COPIA!$CI$1,CONCATENATE(IFERROR(IF(MID(CONCATENATE(SUBSTITUTE(IFERROR(INDEX(ATTIVO,MATCH(ROWS(B$13:$B99),COPIA!$CD$3:$CD$250,0),4),""),"_"," ")," ",),8,6)="di cui",CONCATENATE(SUBSTITUTE(IFERROR(INDEX(ATTIVO,MATCH(ROWS(B$13:$B99),COPIA!$CD$3:$CD$250,0),4),""),"_"," ")," ",FIXED(IFERROR(INDEX(ATTIVO,MATCH(ROW()-12,COPIA!$CD$3:$CD$250,0),2),""),,FALSE)," euro"),SUBSTITUTE(IFERROR(INDEX(ATTIVO,MATCH(ROWS(B$13:$B99),COPIA!$CD$3:$CD$250,0),4),""),"_"," ")),"")),""))</f>
        <v/>
      </c>
      <c r="C99" s="115" t="str">
        <f ca="1">IF(IFERROR(IF(ROW()-9&gt;COPIA!$CI$1,INDEX(ECONOMICO,MATCH((ROWS($B$12:B99)-COPIA!$CI$2),COPIA!$CD$191:$CD$247,0),5),INDEX(ATTIVO,MATCH(ROWS($C$13:C99),COPIA!$CD$3:$CD$250,0),5)),0)=0,"",IFERROR(IF(ROW()-9&gt;COPIA!$CI$1,INDEX(ECONOMICO,MATCH((ROWS($B$12:B99)-COPIA!$CI$2),COPIA!$CD$191:$CD$247,0),5),INDEX(ATTIVO,MATCH(ROWS($C$13:C99),COPIA!$CD$3:$CD$250,0),5)),0))</f>
        <v/>
      </c>
      <c r="D99" s="135" t="str">
        <f ca="1">CONCATENATE(IFERROR(IF(MID(CONCATENATE(SUBSTITUTE(IFERROR(INDEX(PASSIVO,MATCH(ROWS(D$13:$D99),COPIA!$CD$105:$CD$189,0),4),""),"_"," ")," ",),8,6)="di cui",CONCATENATE(SUBSTITUTE(IFERROR(INDEX(PASSIVO,MATCH(ROWS(D$13:$D99),COPIA!$CD$105:$CD$189,0),4),""),"_"," ")," ",FIXED(IFERROR(INDEX(PASSIVO,MATCH(ROW()-12,COPIA!$CD$105:$CD$189,0),2),""),,FALSE)," euro"),SUBSTITUTE(IFERROR(INDEX(PASSIVO,MATCH(ROWS($D$13:$D99),COPIA!$CD$105:$CD$189,0),4),""),"_"," ")),""))</f>
        <v/>
      </c>
      <c r="E99" s="115" t="str">
        <f ca="1">IF(IFERROR(INDEX(PASSIVO,MATCH(ROWS($E$13:E99),COPIA!$CD$105:$CD$189,0),5),0)=0,"",IFERROR(INDEX(PASSIVO,MATCH(ROWS($E$13:E99),COPIA!$CD$105:$CD$189,0),5),0))</f>
        <v/>
      </c>
    </row>
    <row r="100" spans="1:5" ht="15" customHeight="1" x14ac:dyDescent="0.3">
      <c r="A100" s="7">
        <f t="shared" ca="1" si="1"/>
        <v>0</v>
      </c>
      <c r="B100" s="132" t="str">
        <f ca="1">IF(ROW()-9&gt;COPIA!$CI$1,SUBSTITUTE(IFERROR(INDEX(ECONOMICO,MATCH((ROWS($B$12:B100)-COPIA!$CI$2),COPIA!$CD$191:$CD$247,0),4),""),"_"," "),IF(ROW()-9&lt;=COPIA!$CI$1,CONCATENATE(IFERROR(IF(MID(CONCATENATE(SUBSTITUTE(IFERROR(INDEX(ATTIVO,MATCH(ROWS(B$13:$B100),COPIA!$CD$3:$CD$250,0),4),""),"_"," ")," ",),8,6)="di cui",CONCATENATE(SUBSTITUTE(IFERROR(INDEX(ATTIVO,MATCH(ROWS(B$13:$B100),COPIA!$CD$3:$CD$250,0),4),""),"_"," ")," ",FIXED(IFERROR(INDEX(ATTIVO,MATCH(ROW()-12,COPIA!$CD$3:$CD$250,0),2),""),,FALSE)," euro"),SUBSTITUTE(IFERROR(INDEX(ATTIVO,MATCH(ROWS(B$13:$B100),COPIA!$CD$3:$CD$250,0),4),""),"_"," ")),"")),""))</f>
        <v/>
      </c>
      <c r="C100" s="115" t="str">
        <f ca="1">IF(IFERROR(IF(ROW()-9&gt;COPIA!$CI$1,INDEX(ECONOMICO,MATCH((ROWS($B$12:B100)-COPIA!$CI$2),COPIA!$CD$191:$CD$247,0),5),INDEX(ATTIVO,MATCH(ROWS($C$13:C100),COPIA!$CD$3:$CD$250,0),5)),0)=0,"",IFERROR(IF(ROW()-9&gt;COPIA!$CI$1,INDEX(ECONOMICO,MATCH((ROWS($B$12:B100)-COPIA!$CI$2),COPIA!$CD$191:$CD$247,0),5),INDEX(ATTIVO,MATCH(ROWS($C$13:C100),COPIA!$CD$3:$CD$250,0),5)),0))</f>
        <v/>
      </c>
      <c r="D100" s="135" t="str">
        <f ca="1">CONCATENATE(IFERROR(IF(MID(CONCATENATE(SUBSTITUTE(IFERROR(INDEX(PASSIVO,MATCH(ROWS(D$13:$D100),COPIA!$CD$105:$CD$189,0),4),""),"_"," ")," ",),8,6)="di cui",CONCATENATE(SUBSTITUTE(IFERROR(INDEX(PASSIVO,MATCH(ROWS(D$13:$D100),COPIA!$CD$105:$CD$189,0),4),""),"_"," ")," ",FIXED(IFERROR(INDEX(PASSIVO,MATCH(ROW()-12,COPIA!$CD$105:$CD$189,0),2),""),,FALSE)," euro"),SUBSTITUTE(IFERROR(INDEX(PASSIVO,MATCH(ROWS($D$13:$D100),COPIA!$CD$105:$CD$189,0),4),""),"_"," ")),""))</f>
        <v/>
      </c>
      <c r="E100" s="115" t="str">
        <f ca="1">IF(IFERROR(INDEX(PASSIVO,MATCH(ROWS($E$13:E100),COPIA!$CD$105:$CD$189,0),5),0)=0,"",IFERROR(INDEX(PASSIVO,MATCH(ROWS($E$13:E100),COPIA!$CD$105:$CD$189,0),5),0))</f>
        <v/>
      </c>
    </row>
    <row r="101" spans="1:5" ht="15" customHeight="1" x14ac:dyDescent="0.3">
      <c r="A101" s="7">
        <f t="shared" ca="1" si="1"/>
        <v>0</v>
      </c>
      <c r="B101" s="132" t="str">
        <f ca="1">IF(ROW()-9&gt;COPIA!$CI$1,SUBSTITUTE(IFERROR(INDEX(ECONOMICO,MATCH((ROWS($B$12:B101)-COPIA!$CI$2),COPIA!$CD$191:$CD$247,0),4),""),"_"," "),IF(ROW()-9&lt;=COPIA!$CI$1,CONCATENATE(IFERROR(IF(MID(CONCATENATE(SUBSTITUTE(IFERROR(INDEX(ATTIVO,MATCH(ROWS(B$13:$B101),COPIA!$CD$3:$CD$250,0),4),""),"_"," ")," ",),8,6)="di cui",CONCATENATE(SUBSTITUTE(IFERROR(INDEX(ATTIVO,MATCH(ROWS(B$13:$B101),COPIA!$CD$3:$CD$250,0),4),""),"_"," ")," ",FIXED(IFERROR(INDEX(ATTIVO,MATCH(ROW()-12,COPIA!$CD$3:$CD$250,0),2),""),,FALSE)," euro"),SUBSTITUTE(IFERROR(INDEX(ATTIVO,MATCH(ROWS(B$13:$B101),COPIA!$CD$3:$CD$250,0),4),""),"_"," ")),"")),""))</f>
        <v/>
      </c>
      <c r="C101" s="115" t="str">
        <f ca="1">IF(IFERROR(IF(ROW()-9&gt;COPIA!$CI$1,INDEX(ECONOMICO,MATCH((ROWS($B$12:B101)-COPIA!$CI$2),COPIA!$CD$191:$CD$247,0),5),INDEX(ATTIVO,MATCH(ROWS($C$13:C101),COPIA!$CD$3:$CD$250,0),5)),0)=0,"",IFERROR(IF(ROW()-9&gt;COPIA!$CI$1,INDEX(ECONOMICO,MATCH((ROWS($B$12:B101)-COPIA!$CI$2),COPIA!$CD$191:$CD$247,0),5),INDEX(ATTIVO,MATCH(ROWS($C$13:C101),COPIA!$CD$3:$CD$250,0),5)),0))</f>
        <v/>
      </c>
      <c r="D101" s="135" t="str">
        <f ca="1">CONCATENATE(IFERROR(IF(MID(CONCATENATE(SUBSTITUTE(IFERROR(INDEX(PASSIVO,MATCH(ROWS(D$13:$D101),COPIA!$CD$105:$CD$189,0),4),""),"_"," ")," ",),8,6)="di cui",CONCATENATE(SUBSTITUTE(IFERROR(INDEX(PASSIVO,MATCH(ROWS(D$13:$D101),COPIA!$CD$105:$CD$189,0),4),""),"_"," ")," ",FIXED(IFERROR(INDEX(PASSIVO,MATCH(ROW()-12,COPIA!$CD$105:$CD$189,0),2),""),,FALSE)," euro"),SUBSTITUTE(IFERROR(INDEX(PASSIVO,MATCH(ROWS($D$13:$D101),COPIA!$CD$105:$CD$189,0),4),""),"_"," ")),""))</f>
        <v/>
      </c>
      <c r="E101" s="115" t="str">
        <f ca="1">IF(IFERROR(INDEX(PASSIVO,MATCH(ROWS($E$13:E101),COPIA!$CD$105:$CD$189,0),5),0)=0,"",IFERROR(INDEX(PASSIVO,MATCH(ROWS($E$13:E101),COPIA!$CD$105:$CD$189,0),5),0))</f>
        <v/>
      </c>
    </row>
    <row r="102" spans="1:5" ht="15" customHeight="1" x14ac:dyDescent="0.3">
      <c r="A102" s="7">
        <f t="shared" ca="1" si="1"/>
        <v>0</v>
      </c>
      <c r="B102" s="132" t="str">
        <f ca="1">IF(ROW()-9&gt;COPIA!$CI$1,SUBSTITUTE(IFERROR(INDEX(ECONOMICO,MATCH((ROWS($B$12:B102)-COPIA!$CI$2),COPIA!$CD$191:$CD$247,0),4),""),"_"," "),IF(ROW()-9&lt;=COPIA!$CI$1,CONCATENATE(IFERROR(IF(MID(CONCATENATE(SUBSTITUTE(IFERROR(INDEX(ATTIVO,MATCH(ROWS(B$13:$B102),COPIA!$CD$3:$CD$250,0),4),""),"_"," ")," ",),8,6)="di cui",CONCATENATE(SUBSTITUTE(IFERROR(INDEX(ATTIVO,MATCH(ROWS(B$13:$B102),COPIA!$CD$3:$CD$250,0),4),""),"_"," ")," ",FIXED(IFERROR(INDEX(ATTIVO,MATCH(ROW()-12,COPIA!$CD$3:$CD$250,0),2),""),,FALSE)," euro"),SUBSTITUTE(IFERROR(INDEX(ATTIVO,MATCH(ROWS(B$13:$B102),COPIA!$CD$3:$CD$250,0),4),""),"_"," ")),"")),""))</f>
        <v/>
      </c>
      <c r="C102" s="115" t="str">
        <f ca="1">IF(IFERROR(IF(ROW()-9&gt;COPIA!$CI$1,INDEX(ECONOMICO,MATCH((ROWS($B$12:B102)-COPIA!$CI$2),COPIA!$CD$191:$CD$247,0),5),INDEX(ATTIVO,MATCH(ROWS($C$13:C102),COPIA!$CD$3:$CD$250,0),5)),0)=0,"",IFERROR(IF(ROW()-9&gt;COPIA!$CI$1,INDEX(ECONOMICO,MATCH((ROWS($B$12:B102)-COPIA!$CI$2),COPIA!$CD$191:$CD$247,0),5),INDEX(ATTIVO,MATCH(ROWS($C$13:C102),COPIA!$CD$3:$CD$250,0),5)),0))</f>
        <v/>
      </c>
      <c r="D102" s="135" t="str">
        <f ca="1">CONCATENATE(IFERROR(IF(MID(CONCATENATE(SUBSTITUTE(IFERROR(INDEX(PASSIVO,MATCH(ROWS(D$13:$D102),COPIA!$CD$105:$CD$189,0),4),""),"_"," ")," ",),8,6)="di cui",CONCATENATE(SUBSTITUTE(IFERROR(INDEX(PASSIVO,MATCH(ROWS(D$13:$D102),COPIA!$CD$105:$CD$189,0),4),""),"_"," ")," ",FIXED(IFERROR(INDEX(PASSIVO,MATCH(ROW()-12,COPIA!$CD$105:$CD$189,0),2),""),,FALSE)," euro"),SUBSTITUTE(IFERROR(INDEX(PASSIVO,MATCH(ROWS($D$13:$D102),COPIA!$CD$105:$CD$189,0),4),""),"_"," ")),""))</f>
        <v/>
      </c>
      <c r="E102" s="115" t="str">
        <f ca="1">IF(IFERROR(INDEX(PASSIVO,MATCH(ROWS($E$13:E102),COPIA!$CD$105:$CD$189,0),5),0)=0,"",IFERROR(INDEX(PASSIVO,MATCH(ROWS($E$13:E102),COPIA!$CD$105:$CD$189,0),5),0))</f>
        <v/>
      </c>
    </row>
    <row r="103" spans="1:5" ht="15" customHeight="1" x14ac:dyDescent="0.3">
      <c r="A103" s="7">
        <f t="shared" ca="1" si="1"/>
        <v>0</v>
      </c>
      <c r="B103" s="132" t="str">
        <f ca="1">IF(ROW()-9&gt;COPIA!$CI$1,SUBSTITUTE(IFERROR(INDEX(ECONOMICO,MATCH((ROWS($B$12:B103)-COPIA!$CI$2),COPIA!$CD$191:$CD$247,0),4),""),"_"," "),IF(ROW()-9&lt;=COPIA!$CI$1,CONCATENATE(IFERROR(IF(MID(CONCATENATE(SUBSTITUTE(IFERROR(INDEX(ATTIVO,MATCH(ROWS(B$13:$B103),COPIA!$CD$3:$CD$250,0),4),""),"_"," ")," ",),8,6)="di cui",CONCATENATE(SUBSTITUTE(IFERROR(INDEX(ATTIVO,MATCH(ROWS(B$13:$B103),COPIA!$CD$3:$CD$250,0),4),""),"_"," ")," ",FIXED(IFERROR(INDEX(ATTIVO,MATCH(ROW()-12,COPIA!$CD$3:$CD$250,0),2),""),,FALSE)," euro"),SUBSTITUTE(IFERROR(INDEX(ATTIVO,MATCH(ROWS(B$13:$B103),COPIA!$CD$3:$CD$250,0),4),""),"_"," ")),"")),""))</f>
        <v/>
      </c>
      <c r="C103" s="115" t="str">
        <f ca="1">IF(IFERROR(IF(ROW()-9&gt;COPIA!$CI$1,INDEX(ECONOMICO,MATCH((ROWS($B$12:B103)-COPIA!$CI$2),COPIA!$CD$191:$CD$247,0),5),INDEX(ATTIVO,MATCH(ROWS($C$13:C103),COPIA!$CD$3:$CD$250,0),5)),0)=0,"",IFERROR(IF(ROW()-9&gt;COPIA!$CI$1,INDEX(ECONOMICO,MATCH((ROWS($B$12:B103)-COPIA!$CI$2),COPIA!$CD$191:$CD$247,0),5),INDEX(ATTIVO,MATCH(ROWS($C$13:C103),COPIA!$CD$3:$CD$250,0),5)),0))</f>
        <v/>
      </c>
      <c r="D103" s="135" t="str">
        <f ca="1">CONCATENATE(IFERROR(IF(MID(CONCATENATE(SUBSTITUTE(IFERROR(INDEX(PASSIVO,MATCH(ROWS(D$13:$D103),COPIA!$CD$105:$CD$189,0),4),""),"_"," ")," ",),8,6)="di cui",CONCATENATE(SUBSTITUTE(IFERROR(INDEX(PASSIVO,MATCH(ROWS(D$13:$D103),COPIA!$CD$105:$CD$189,0),4),""),"_"," ")," ",FIXED(IFERROR(INDEX(PASSIVO,MATCH(ROW()-12,COPIA!$CD$105:$CD$189,0),2),""),,FALSE)," euro"),SUBSTITUTE(IFERROR(INDEX(PASSIVO,MATCH(ROWS($D$13:$D103),COPIA!$CD$105:$CD$189,0),4),""),"_"," ")),""))</f>
        <v/>
      </c>
      <c r="E103" s="115" t="str">
        <f ca="1">IF(IFERROR(INDEX(PASSIVO,MATCH(ROWS($E$13:E103),COPIA!$CD$105:$CD$189,0),5),0)=0,"",IFERROR(INDEX(PASSIVO,MATCH(ROWS($E$13:E103),COPIA!$CD$105:$CD$189,0),5),0))</f>
        <v/>
      </c>
    </row>
    <row r="104" spans="1:5" ht="15" customHeight="1" x14ac:dyDescent="0.3">
      <c r="A104" s="7">
        <f t="shared" ca="1" si="1"/>
        <v>0</v>
      </c>
      <c r="B104" s="132" t="str">
        <f ca="1">IF(ROW()-9&gt;COPIA!$CI$1,SUBSTITUTE(IFERROR(INDEX(ECONOMICO,MATCH((ROWS($B$12:B104)-COPIA!$CI$2),COPIA!$CD$191:$CD$247,0),4),""),"_"," "),IF(ROW()-9&lt;=COPIA!$CI$1,CONCATENATE(IFERROR(IF(MID(CONCATENATE(SUBSTITUTE(IFERROR(INDEX(ATTIVO,MATCH(ROWS(B$13:$B104),COPIA!$CD$3:$CD$250,0),4),""),"_"," ")," ",),8,6)="di cui",CONCATENATE(SUBSTITUTE(IFERROR(INDEX(ATTIVO,MATCH(ROWS(B$13:$B104),COPIA!$CD$3:$CD$250,0),4),""),"_"," ")," ",FIXED(IFERROR(INDEX(ATTIVO,MATCH(ROW()-12,COPIA!$CD$3:$CD$250,0),2),""),,FALSE)," euro"),SUBSTITUTE(IFERROR(INDEX(ATTIVO,MATCH(ROWS(B$13:$B104),COPIA!$CD$3:$CD$250,0),4),""),"_"," ")),"")),""))</f>
        <v/>
      </c>
      <c r="C104" s="115" t="str">
        <f ca="1">IF(IFERROR(IF(ROW()-9&gt;COPIA!$CI$1,INDEX(ECONOMICO,MATCH((ROWS($B$12:B104)-COPIA!$CI$2),COPIA!$CD$191:$CD$247,0),5),INDEX(ATTIVO,MATCH(ROWS($C$13:C104),COPIA!$CD$3:$CD$250,0),5)),0)=0,"",IFERROR(IF(ROW()-9&gt;COPIA!$CI$1,INDEX(ECONOMICO,MATCH((ROWS($B$12:B104)-COPIA!$CI$2),COPIA!$CD$191:$CD$247,0),5),INDEX(ATTIVO,MATCH(ROWS($C$13:C104),COPIA!$CD$3:$CD$250,0),5)),0))</f>
        <v/>
      </c>
      <c r="D104" s="135" t="str">
        <f ca="1">CONCATENATE(IFERROR(IF(MID(CONCATENATE(SUBSTITUTE(IFERROR(INDEX(PASSIVO,MATCH(ROWS(D$13:$D104),COPIA!$CD$105:$CD$189,0),4),""),"_"," ")," ",),8,6)="di cui",CONCATENATE(SUBSTITUTE(IFERROR(INDEX(PASSIVO,MATCH(ROWS(D$13:$D104),COPIA!$CD$105:$CD$189,0),4),""),"_"," ")," ",FIXED(IFERROR(INDEX(PASSIVO,MATCH(ROW()-12,COPIA!$CD$105:$CD$189,0),2),""),,FALSE)," euro"),SUBSTITUTE(IFERROR(INDEX(PASSIVO,MATCH(ROWS($D$13:$D104),COPIA!$CD$105:$CD$189,0),4),""),"_"," ")),""))</f>
        <v/>
      </c>
      <c r="E104" s="115" t="str">
        <f ca="1">IF(IFERROR(INDEX(PASSIVO,MATCH(ROWS($E$13:E104),COPIA!$CD$105:$CD$189,0),5),0)=0,"",IFERROR(INDEX(PASSIVO,MATCH(ROWS($E$13:E104),COPIA!$CD$105:$CD$189,0),5),0))</f>
        <v/>
      </c>
    </row>
    <row r="105" spans="1:5" ht="15" customHeight="1" x14ac:dyDescent="0.3">
      <c r="A105" s="7">
        <f t="shared" ca="1" si="1"/>
        <v>0</v>
      </c>
      <c r="B105" s="132" t="str">
        <f ca="1">IF(ROW()-9&gt;COPIA!$CI$1,SUBSTITUTE(IFERROR(INDEX(ECONOMICO,MATCH((ROWS($B$12:B105)-COPIA!$CI$2),COPIA!$CD$191:$CD$247,0),4),""),"_"," "),IF(ROW()-9&lt;=COPIA!$CI$1,CONCATENATE(IFERROR(IF(MID(CONCATENATE(SUBSTITUTE(IFERROR(INDEX(ATTIVO,MATCH(ROWS(B$13:$B105),COPIA!$CD$3:$CD$250,0),4),""),"_"," ")," ",),8,6)="di cui",CONCATENATE(SUBSTITUTE(IFERROR(INDEX(ATTIVO,MATCH(ROWS(B$13:$B105),COPIA!$CD$3:$CD$250,0),4),""),"_"," ")," ",FIXED(IFERROR(INDEX(ATTIVO,MATCH(ROW()-12,COPIA!$CD$3:$CD$250,0),2),""),,FALSE)," euro"),SUBSTITUTE(IFERROR(INDEX(ATTIVO,MATCH(ROWS(B$13:$B105),COPIA!$CD$3:$CD$250,0),4),""),"_"," ")),"")),""))</f>
        <v/>
      </c>
      <c r="C105" s="115" t="str">
        <f ca="1">IF(IFERROR(IF(ROW()-9&gt;COPIA!$CI$1,INDEX(ECONOMICO,MATCH((ROWS($B$12:B105)-COPIA!$CI$2),COPIA!$CD$191:$CD$247,0),5),INDEX(ATTIVO,MATCH(ROWS($C$13:C105),COPIA!$CD$3:$CD$250,0),5)),0)=0,"",IFERROR(IF(ROW()-9&gt;COPIA!$CI$1,INDEX(ECONOMICO,MATCH((ROWS($B$12:B105)-COPIA!$CI$2),COPIA!$CD$191:$CD$247,0),5),INDEX(ATTIVO,MATCH(ROWS($C$13:C105),COPIA!$CD$3:$CD$250,0),5)),0))</f>
        <v/>
      </c>
      <c r="D105" s="135" t="str">
        <f ca="1">CONCATENATE(IFERROR(IF(MID(CONCATENATE(SUBSTITUTE(IFERROR(INDEX(PASSIVO,MATCH(ROWS(D$13:$D105),COPIA!$CD$105:$CD$189,0),4),""),"_"," ")," ",),8,6)="di cui",CONCATENATE(SUBSTITUTE(IFERROR(INDEX(PASSIVO,MATCH(ROWS(D$13:$D105),COPIA!$CD$105:$CD$189,0),4),""),"_"," ")," ",FIXED(IFERROR(INDEX(PASSIVO,MATCH(ROW()-12,COPIA!$CD$105:$CD$189,0),2),""),,FALSE)," euro"),SUBSTITUTE(IFERROR(INDEX(PASSIVO,MATCH(ROWS($D$13:$D105),COPIA!$CD$105:$CD$189,0),4),""),"_"," ")),""))</f>
        <v/>
      </c>
      <c r="E105" s="115" t="str">
        <f ca="1">IF(IFERROR(INDEX(PASSIVO,MATCH(ROWS($E$13:E105),COPIA!$CD$105:$CD$189,0),5),0)=0,"",IFERROR(INDEX(PASSIVO,MATCH(ROWS($E$13:E105),COPIA!$CD$105:$CD$189,0),5),0))</f>
        <v/>
      </c>
    </row>
    <row r="106" spans="1:5" ht="15" customHeight="1" x14ac:dyDescent="0.3">
      <c r="A106" s="7">
        <f t="shared" ca="1" si="1"/>
        <v>0</v>
      </c>
      <c r="B106" s="132" t="str">
        <f ca="1">IF(ROW()-9&gt;COPIA!$CI$1,SUBSTITUTE(IFERROR(INDEX(ECONOMICO,MATCH((ROWS($B$12:B106)-COPIA!$CI$2),COPIA!$CD$191:$CD$247,0),4),""),"_"," "),IF(ROW()-9&lt;=COPIA!$CI$1,CONCATENATE(IFERROR(IF(MID(CONCATENATE(SUBSTITUTE(IFERROR(INDEX(ATTIVO,MATCH(ROWS(B$13:$B106),COPIA!$CD$3:$CD$250,0),4),""),"_"," ")," ",),8,6)="di cui",CONCATENATE(SUBSTITUTE(IFERROR(INDEX(ATTIVO,MATCH(ROWS(B$13:$B106),COPIA!$CD$3:$CD$250,0),4),""),"_"," ")," ",FIXED(IFERROR(INDEX(ATTIVO,MATCH(ROW()-12,COPIA!$CD$3:$CD$250,0),2),""),,FALSE)," euro"),SUBSTITUTE(IFERROR(INDEX(ATTIVO,MATCH(ROWS(B$13:$B106),COPIA!$CD$3:$CD$250,0),4),""),"_"," ")),"")),""))</f>
        <v/>
      </c>
      <c r="C106" s="115" t="str">
        <f ca="1">IF(IFERROR(IF(ROW()-9&gt;COPIA!$CI$1,INDEX(ECONOMICO,MATCH((ROWS($B$12:B106)-COPIA!$CI$2),COPIA!$CD$191:$CD$247,0),5),INDEX(ATTIVO,MATCH(ROWS($C$13:C106),COPIA!$CD$3:$CD$250,0),5)),0)=0,"",IFERROR(IF(ROW()-9&gt;COPIA!$CI$1,INDEX(ECONOMICO,MATCH((ROWS($B$12:B106)-COPIA!$CI$2),COPIA!$CD$191:$CD$247,0),5),INDEX(ATTIVO,MATCH(ROWS($C$13:C106),COPIA!$CD$3:$CD$250,0),5)),0))</f>
        <v/>
      </c>
      <c r="D106" s="135" t="str">
        <f ca="1">CONCATENATE(IFERROR(IF(MID(CONCATENATE(SUBSTITUTE(IFERROR(INDEX(PASSIVO,MATCH(ROWS(D$13:$D106),COPIA!$CD$105:$CD$189,0),4),""),"_"," ")," ",),8,6)="di cui",CONCATENATE(SUBSTITUTE(IFERROR(INDEX(PASSIVO,MATCH(ROWS(D$13:$D106),COPIA!$CD$105:$CD$189,0),4),""),"_"," ")," ",FIXED(IFERROR(INDEX(PASSIVO,MATCH(ROW()-12,COPIA!$CD$105:$CD$189,0),2),""),,FALSE)," euro"),SUBSTITUTE(IFERROR(INDEX(PASSIVO,MATCH(ROWS($D$13:$D106),COPIA!$CD$105:$CD$189,0),4),""),"_"," ")),""))</f>
        <v/>
      </c>
      <c r="E106" s="115" t="str">
        <f ca="1">IF(IFERROR(INDEX(PASSIVO,MATCH(ROWS($E$13:E106),COPIA!$CD$105:$CD$189,0),5),0)=0,"",IFERROR(INDEX(PASSIVO,MATCH(ROWS($E$13:E106),COPIA!$CD$105:$CD$189,0),5),0))</f>
        <v/>
      </c>
    </row>
    <row r="107" spans="1:5" ht="15" customHeight="1" x14ac:dyDescent="0.3">
      <c r="A107" s="7">
        <f t="shared" ca="1" si="1"/>
        <v>0</v>
      </c>
      <c r="B107" s="132" t="str">
        <f ca="1">IF(ROW()-9&gt;COPIA!$CI$1,SUBSTITUTE(IFERROR(INDEX(ECONOMICO,MATCH((ROWS($B$12:B107)-COPIA!$CI$2),COPIA!$CD$191:$CD$247,0),4),""),"_"," "),IF(ROW()-9&lt;=COPIA!$CI$1,CONCATENATE(IFERROR(IF(MID(CONCATENATE(SUBSTITUTE(IFERROR(INDEX(ATTIVO,MATCH(ROWS(B$13:$B107),COPIA!$CD$3:$CD$250,0),4),""),"_"," ")," ",),8,6)="di cui",CONCATENATE(SUBSTITUTE(IFERROR(INDEX(ATTIVO,MATCH(ROWS(B$13:$B107),COPIA!$CD$3:$CD$250,0),4),""),"_"," ")," ",FIXED(IFERROR(INDEX(ATTIVO,MATCH(ROW()-12,COPIA!$CD$3:$CD$250,0),2),""),,FALSE)," euro"),SUBSTITUTE(IFERROR(INDEX(ATTIVO,MATCH(ROWS(B$13:$B107),COPIA!$CD$3:$CD$250,0),4),""),"_"," ")),"")),""))</f>
        <v/>
      </c>
      <c r="C107" s="115" t="str">
        <f ca="1">IF(IFERROR(IF(ROW()-9&gt;COPIA!$CI$1,INDEX(ECONOMICO,MATCH((ROWS($B$12:B107)-COPIA!$CI$2),COPIA!$CD$191:$CD$247,0),5),INDEX(ATTIVO,MATCH(ROWS($C$13:C107),COPIA!$CD$3:$CD$250,0),5)),0)=0,"",IFERROR(IF(ROW()-9&gt;COPIA!$CI$1,INDEX(ECONOMICO,MATCH((ROWS($B$12:B107)-COPIA!$CI$2),COPIA!$CD$191:$CD$247,0),5),INDEX(ATTIVO,MATCH(ROWS($C$13:C107),COPIA!$CD$3:$CD$250,0),5)),0))</f>
        <v/>
      </c>
      <c r="D107" s="135" t="str">
        <f ca="1">CONCATENATE(IFERROR(IF(MID(CONCATENATE(SUBSTITUTE(IFERROR(INDEX(PASSIVO,MATCH(ROWS(D$13:$D107),COPIA!$CD$105:$CD$189,0),4),""),"_"," ")," ",),8,6)="di cui",CONCATENATE(SUBSTITUTE(IFERROR(INDEX(PASSIVO,MATCH(ROWS(D$13:$D107),COPIA!$CD$105:$CD$189,0),4),""),"_"," ")," ",FIXED(IFERROR(INDEX(PASSIVO,MATCH(ROW()-12,COPIA!$CD$105:$CD$189,0),2),""),,FALSE)," euro"),SUBSTITUTE(IFERROR(INDEX(PASSIVO,MATCH(ROWS($D$13:$D107),COPIA!$CD$105:$CD$189,0),4),""),"_"," ")),""))</f>
        <v/>
      </c>
      <c r="E107" s="115" t="str">
        <f ca="1">IF(IFERROR(INDEX(PASSIVO,MATCH(ROWS($E$13:E107),COPIA!$CD$105:$CD$189,0),5),0)=0,"",IFERROR(INDEX(PASSIVO,MATCH(ROWS($E$13:E107),COPIA!$CD$105:$CD$189,0),5),0))</f>
        <v/>
      </c>
    </row>
    <row r="108" spans="1:5" ht="15" customHeight="1" x14ac:dyDescent="0.3">
      <c r="A108" s="7">
        <f t="shared" ca="1" si="1"/>
        <v>0</v>
      </c>
      <c r="B108" s="132" t="str">
        <f ca="1">IF(ROW()-9&gt;COPIA!$CI$1,SUBSTITUTE(IFERROR(INDEX(ECONOMICO,MATCH((ROWS($B$12:B108)-COPIA!$CI$2),COPIA!$CD$191:$CD$247,0),4),""),"_"," "),IF(ROW()-9&lt;=COPIA!$CI$1,CONCATENATE(IFERROR(IF(MID(CONCATENATE(SUBSTITUTE(IFERROR(INDEX(ATTIVO,MATCH(ROWS(B$13:$B108),COPIA!$CD$3:$CD$250,0),4),""),"_"," ")," ",),8,6)="di cui",CONCATENATE(SUBSTITUTE(IFERROR(INDEX(ATTIVO,MATCH(ROWS(B$13:$B108),COPIA!$CD$3:$CD$250,0),4),""),"_"," ")," ",FIXED(IFERROR(INDEX(ATTIVO,MATCH(ROW()-12,COPIA!$CD$3:$CD$250,0),2),""),,FALSE)," euro"),SUBSTITUTE(IFERROR(INDEX(ATTIVO,MATCH(ROWS(B$13:$B108),COPIA!$CD$3:$CD$250,0),4),""),"_"," ")),"")),""))</f>
        <v/>
      </c>
      <c r="C108" s="115" t="str">
        <f ca="1">IF(IFERROR(IF(ROW()-9&gt;COPIA!$CI$1,INDEX(ECONOMICO,MATCH((ROWS($B$12:B108)-COPIA!$CI$2),COPIA!$CD$191:$CD$247,0),5),INDEX(ATTIVO,MATCH(ROWS($C$13:C108),COPIA!$CD$3:$CD$250,0),5)),0)=0,"",IFERROR(IF(ROW()-9&gt;COPIA!$CI$1,INDEX(ECONOMICO,MATCH((ROWS($B$12:B108)-COPIA!$CI$2),COPIA!$CD$191:$CD$247,0),5),INDEX(ATTIVO,MATCH(ROWS($C$13:C108),COPIA!$CD$3:$CD$250,0),5)),0))</f>
        <v/>
      </c>
      <c r="D108" s="135" t="str">
        <f ca="1">CONCATENATE(IFERROR(IF(MID(CONCATENATE(SUBSTITUTE(IFERROR(INDEX(PASSIVO,MATCH(ROWS(D$13:$D108),COPIA!$CD$105:$CD$189,0),4),""),"_"," ")," ",),8,6)="di cui",CONCATENATE(SUBSTITUTE(IFERROR(INDEX(PASSIVO,MATCH(ROWS(D$13:$D108),COPIA!$CD$105:$CD$189,0),4),""),"_"," ")," ",FIXED(IFERROR(INDEX(PASSIVO,MATCH(ROW()-12,COPIA!$CD$105:$CD$189,0),2),""),,FALSE)," euro"),SUBSTITUTE(IFERROR(INDEX(PASSIVO,MATCH(ROWS($D$13:$D108),COPIA!$CD$105:$CD$189,0),4),""),"_"," ")),""))</f>
        <v/>
      </c>
      <c r="E108" s="115" t="str">
        <f ca="1">IF(IFERROR(INDEX(PASSIVO,MATCH(ROWS($E$13:E108),COPIA!$CD$105:$CD$189,0),5),0)=0,"",IFERROR(INDEX(PASSIVO,MATCH(ROWS($E$13:E108),COPIA!$CD$105:$CD$189,0),5),0))</f>
        <v/>
      </c>
    </row>
    <row r="109" spans="1:5" ht="15" customHeight="1" x14ac:dyDescent="0.3">
      <c r="A109" s="7">
        <f t="shared" ca="1" si="1"/>
        <v>0</v>
      </c>
      <c r="B109" s="132" t="str">
        <f ca="1">IF(ROW()-9&gt;COPIA!$CI$1,SUBSTITUTE(IFERROR(INDEX(ECONOMICO,MATCH((ROWS($B$12:B109)-COPIA!$CI$2),COPIA!$CD$191:$CD$247,0),4),""),"_"," "),IF(ROW()-9&lt;=COPIA!$CI$1,CONCATENATE(IFERROR(IF(MID(CONCATENATE(SUBSTITUTE(IFERROR(INDEX(ATTIVO,MATCH(ROWS(B$13:$B109),COPIA!$CD$3:$CD$250,0),4),""),"_"," ")," ",),8,6)="di cui",CONCATENATE(SUBSTITUTE(IFERROR(INDEX(ATTIVO,MATCH(ROWS(B$13:$B109),COPIA!$CD$3:$CD$250,0),4),""),"_"," ")," ",FIXED(IFERROR(INDEX(ATTIVO,MATCH(ROW()-12,COPIA!$CD$3:$CD$250,0),2),""),,FALSE)," euro"),SUBSTITUTE(IFERROR(INDEX(ATTIVO,MATCH(ROWS(B$13:$B109),COPIA!$CD$3:$CD$250,0),4),""),"_"," ")),"")),""))</f>
        <v/>
      </c>
      <c r="C109" s="115" t="str">
        <f ca="1">IF(IFERROR(IF(ROW()-9&gt;COPIA!$CI$1,INDEX(ECONOMICO,MATCH((ROWS($B$12:B109)-COPIA!$CI$2),COPIA!$CD$191:$CD$247,0),5),INDEX(ATTIVO,MATCH(ROWS($C$13:C109),COPIA!$CD$3:$CD$250,0),5)),0)=0,"",IFERROR(IF(ROW()-9&gt;COPIA!$CI$1,INDEX(ECONOMICO,MATCH((ROWS($B$12:B109)-COPIA!$CI$2),COPIA!$CD$191:$CD$247,0),5),INDEX(ATTIVO,MATCH(ROWS($C$13:C109),COPIA!$CD$3:$CD$250,0),5)),0))</f>
        <v/>
      </c>
      <c r="D109" s="135" t="str">
        <f ca="1">CONCATENATE(IFERROR(IF(MID(CONCATENATE(SUBSTITUTE(IFERROR(INDEX(PASSIVO,MATCH(ROWS(D$13:$D109),COPIA!$CD$105:$CD$189,0),4),""),"_"," ")," ",),8,6)="di cui",CONCATENATE(SUBSTITUTE(IFERROR(INDEX(PASSIVO,MATCH(ROWS(D$13:$D109),COPIA!$CD$105:$CD$189,0),4),""),"_"," ")," ",FIXED(IFERROR(INDEX(PASSIVO,MATCH(ROW()-12,COPIA!$CD$105:$CD$189,0),2),""),,FALSE)," euro"),SUBSTITUTE(IFERROR(INDEX(PASSIVO,MATCH(ROWS($D$13:$D109),COPIA!$CD$105:$CD$189,0),4),""),"_"," ")),""))</f>
        <v/>
      </c>
      <c r="E109" s="115" t="str">
        <f ca="1">IF(IFERROR(INDEX(PASSIVO,MATCH(ROWS($E$13:E109),COPIA!$CD$105:$CD$189,0),5),0)=0,"",IFERROR(INDEX(PASSIVO,MATCH(ROWS($E$13:E109),COPIA!$CD$105:$CD$189,0),5),0))</f>
        <v/>
      </c>
    </row>
    <row r="110" spans="1:5" x14ac:dyDescent="0.3">
      <c r="A110" s="7">
        <f t="shared" ca="1" si="1"/>
        <v>0</v>
      </c>
      <c r="B110" s="132" t="str">
        <f ca="1">IF(ROW()-9&gt;COPIA!$CI$1,SUBSTITUTE(IFERROR(INDEX(ECONOMICO,MATCH((ROWS($B$12:B110)-COPIA!$CI$2),COPIA!$CD$191:$CD$247,0),4),""),"_"," "),IF(ROW()-9&lt;=COPIA!$CI$1,CONCATENATE(IFERROR(IF(MID(CONCATENATE(SUBSTITUTE(IFERROR(INDEX(ATTIVO,MATCH(ROWS(B$13:$B110),COPIA!$CD$3:$CD$250,0),4),""),"_"," ")," ",),8,6)="di cui",CONCATENATE(SUBSTITUTE(IFERROR(INDEX(ATTIVO,MATCH(ROWS(B$13:$B110),COPIA!$CD$3:$CD$250,0),4),""),"_"," ")," ",FIXED(IFERROR(INDEX(ATTIVO,MATCH(ROW()-12,COPIA!$CD$3:$CD$250,0),2),""),,FALSE)," euro"),SUBSTITUTE(IFERROR(INDEX(ATTIVO,MATCH(ROWS(B$13:$B110),COPIA!$CD$3:$CD$250,0),4),""),"_"," ")),"")),""))</f>
        <v/>
      </c>
      <c r="C110" s="115" t="str">
        <f ca="1">IF(IFERROR(IF(ROW()-9&gt;COPIA!$CI$1,INDEX(ECONOMICO,MATCH((ROWS($B$12:B110)-COPIA!$CI$2),COPIA!$CD$191:$CD$247,0),5),INDEX(ATTIVO,MATCH(ROWS($C$13:C110),COPIA!$CD$3:$CD$250,0),5)),0)=0,"",IFERROR(IF(ROW()-9&gt;COPIA!$CI$1,INDEX(ECONOMICO,MATCH((ROWS($B$12:B110)-COPIA!$CI$2),COPIA!$CD$191:$CD$247,0),5),INDEX(ATTIVO,MATCH(ROWS($C$13:C110),COPIA!$CD$3:$CD$250,0),5)),0))</f>
        <v/>
      </c>
      <c r="D110" s="135" t="str">
        <f ca="1">CONCATENATE(IFERROR(IF(MID(CONCATENATE(SUBSTITUTE(IFERROR(INDEX(PASSIVO,MATCH(ROWS(D$13:$D110),COPIA!$CD$105:$CD$189,0),4),""),"_"," ")," ",),8,6)="di cui",CONCATENATE(SUBSTITUTE(IFERROR(INDEX(PASSIVO,MATCH(ROWS(D$13:$D110),COPIA!$CD$105:$CD$189,0),4),""),"_"," ")," ",FIXED(IFERROR(INDEX(PASSIVO,MATCH(ROW()-12,COPIA!$CD$105:$CD$189,0),2),""),,FALSE)," euro"),SUBSTITUTE(IFERROR(INDEX(PASSIVO,MATCH(ROWS($D$13:$D110),COPIA!$CD$105:$CD$189,0),4),""),"_"," ")),""))</f>
        <v/>
      </c>
      <c r="E110" s="115" t="str">
        <f ca="1">IF(IFERROR(INDEX(PASSIVO,MATCH(ROWS($E$13:E110),COPIA!$CD$105:$CD$189,0),5),0)=0,"",IFERROR(INDEX(PASSIVO,MATCH(ROWS($E$13:E110),COPIA!$CD$105:$CD$189,0),5),0))</f>
        <v/>
      </c>
    </row>
    <row r="111" spans="1:5" x14ac:dyDescent="0.3">
      <c r="A111" s="7">
        <f t="shared" ca="1" si="1"/>
        <v>0</v>
      </c>
      <c r="B111" s="132" t="str">
        <f ca="1">IF(ROW()-9&gt;COPIA!$CI$1,SUBSTITUTE(IFERROR(INDEX(ECONOMICO,MATCH((ROWS($B$12:B111)-COPIA!$CI$2),COPIA!$CD$191:$CD$247,0),4),""),"_"," "),IF(ROW()-9&lt;=COPIA!$CI$1,CONCATENATE(IFERROR(IF(MID(CONCATENATE(SUBSTITUTE(IFERROR(INDEX(ATTIVO,MATCH(ROWS(B$13:$B111),COPIA!$CD$3:$CD$250,0),4),""),"_"," ")," ",),8,6)="di cui",CONCATENATE(SUBSTITUTE(IFERROR(INDEX(ATTIVO,MATCH(ROWS(B$13:$B111),COPIA!$CD$3:$CD$250,0),4),""),"_"," ")," ",FIXED(IFERROR(INDEX(ATTIVO,MATCH(ROW()-12,COPIA!$CD$3:$CD$250,0),2),""),,FALSE)," euro"),SUBSTITUTE(IFERROR(INDEX(ATTIVO,MATCH(ROWS(B$13:$B111),COPIA!$CD$3:$CD$250,0),4),""),"_"," ")),"")),""))</f>
        <v/>
      </c>
      <c r="C111" s="115" t="str">
        <f ca="1">IF(IFERROR(IF(ROW()-9&gt;COPIA!$CI$1,INDEX(ECONOMICO,MATCH((ROWS($B$12:B111)-COPIA!$CI$2),COPIA!$CD$191:$CD$247,0),5),INDEX(ATTIVO,MATCH(ROWS($C$13:C111),COPIA!$CD$3:$CD$250,0),5)),0)=0,"",IFERROR(IF(ROW()-9&gt;COPIA!$CI$1,INDEX(ECONOMICO,MATCH((ROWS($B$12:B111)-COPIA!$CI$2),COPIA!$CD$191:$CD$247,0),5),INDEX(ATTIVO,MATCH(ROWS($C$13:C111),COPIA!$CD$3:$CD$250,0),5)),0))</f>
        <v/>
      </c>
      <c r="D111" s="135" t="str">
        <f ca="1">CONCATENATE(IFERROR(IF(MID(CONCATENATE(SUBSTITUTE(IFERROR(INDEX(PASSIVO,MATCH(ROWS(D$13:$D111),COPIA!$CD$105:$CD$189,0),4),""),"_"," ")," ",),8,6)="di cui",CONCATENATE(SUBSTITUTE(IFERROR(INDEX(PASSIVO,MATCH(ROWS(D$13:$D111),COPIA!$CD$105:$CD$189,0),4),""),"_"," ")," ",FIXED(IFERROR(INDEX(PASSIVO,MATCH(ROW()-12,COPIA!$CD$105:$CD$189,0),2),""),,FALSE)," euro"),SUBSTITUTE(IFERROR(INDEX(PASSIVO,MATCH(ROWS($D$13:$D111),COPIA!$CD$105:$CD$189,0),4),""),"_"," ")),""))</f>
        <v/>
      </c>
      <c r="E111" s="115" t="str">
        <f ca="1">IF(IFERROR(INDEX(PASSIVO,MATCH(ROWS($E$13:E111),COPIA!$CD$105:$CD$189,0),5),0)=0,"",IFERROR(INDEX(PASSIVO,MATCH(ROWS($E$13:E111),COPIA!$CD$105:$CD$189,0),5),0))</f>
        <v/>
      </c>
    </row>
    <row r="112" spans="1:5" x14ac:dyDescent="0.3">
      <c r="A112" s="7">
        <f t="shared" ca="1" si="1"/>
        <v>0</v>
      </c>
      <c r="B112" s="132" t="str">
        <f ca="1">IF(ROW()-9&gt;COPIA!$CI$1,SUBSTITUTE(IFERROR(INDEX(ECONOMICO,MATCH((ROWS($B$12:B112)-COPIA!$CI$2),COPIA!$CD$191:$CD$247,0),4),""),"_"," "),IF(ROW()-9&lt;=COPIA!$CI$1,CONCATENATE(IFERROR(IF(MID(CONCATENATE(SUBSTITUTE(IFERROR(INDEX(ATTIVO,MATCH(ROWS(B$13:$B112),COPIA!$CD$3:$CD$250,0),4),""),"_"," ")," ",),8,6)="di cui",CONCATENATE(SUBSTITUTE(IFERROR(INDEX(ATTIVO,MATCH(ROWS(B$13:$B112),COPIA!$CD$3:$CD$250,0),4),""),"_"," ")," ",FIXED(IFERROR(INDEX(ATTIVO,MATCH(ROW()-12,COPIA!$CD$3:$CD$250,0),2),""),,FALSE)," euro"),SUBSTITUTE(IFERROR(INDEX(ATTIVO,MATCH(ROWS(B$13:$B112),COPIA!$CD$3:$CD$250,0),4),""),"_"," ")),"")),""))</f>
        <v/>
      </c>
      <c r="C112" s="115" t="str">
        <f ca="1">IF(IFERROR(IF(ROW()-9&gt;COPIA!$CI$1,INDEX(ECONOMICO,MATCH((ROWS($B$12:B112)-COPIA!$CI$2),COPIA!$CD$191:$CD$247,0),5),INDEX(ATTIVO,MATCH(ROWS($C$13:C112),COPIA!$CD$3:$CD$250,0),5)),0)=0,"",IFERROR(IF(ROW()-9&gt;COPIA!$CI$1,INDEX(ECONOMICO,MATCH((ROWS($B$12:B112)-COPIA!$CI$2),COPIA!$CD$191:$CD$247,0),5),INDEX(ATTIVO,MATCH(ROWS($C$13:C112),COPIA!$CD$3:$CD$250,0),5)),0))</f>
        <v/>
      </c>
      <c r="D112" s="135" t="str">
        <f ca="1">CONCATENATE(IFERROR(IF(MID(CONCATENATE(SUBSTITUTE(IFERROR(INDEX(PASSIVO,MATCH(ROWS(D$13:$D112),COPIA!$CD$105:$CD$189,0),4),""),"_"," ")," ",),8,6)="di cui",CONCATENATE(SUBSTITUTE(IFERROR(INDEX(PASSIVO,MATCH(ROWS(D$13:$D112),COPIA!$CD$105:$CD$189,0),4),""),"_"," ")," ",FIXED(IFERROR(INDEX(PASSIVO,MATCH(ROW()-12,COPIA!$CD$105:$CD$189,0),2),""),,FALSE)," euro"),SUBSTITUTE(IFERROR(INDEX(PASSIVO,MATCH(ROWS($D$13:$D112),COPIA!$CD$105:$CD$189,0),4),""),"_"," ")),""))</f>
        <v/>
      </c>
      <c r="E112" s="115" t="str">
        <f ca="1">IF(IFERROR(INDEX(PASSIVO,MATCH(ROWS($E$13:E112),COPIA!$CD$105:$CD$189,0),5),0)=0,"",IFERROR(INDEX(PASSIVO,MATCH(ROWS($E$13:E112),COPIA!$CD$105:$CD$189,0),5),0))</f>
        <v/>
      </c>
    </row>
    <row r="113" spans="1:5" x14ac:dyDescent="0.3">
      <c r="A113" s="7">
        <f t="shared" ca="1" si="1"/>
        <v>0</v>
      </c>
      <c r="B113" s="132" t="str">
        <f ca="1">IF(ROW()-9&gt;COPIA!$CI$1,SUBSTITUTE(IFERROR(INDEX(ECONOMICO,MATCH((ROWS($B$12:B113)-COPIA!$CI$2),COPIA!$CD$191:$CD$247,0),4),""),"_"," "),IF(ROW()-9&lt;=COPIA!$CI$1,CONCATENATE(IFERROR(IF(MID(CONCATENATE(SUBSTITUTE(IFERROR(INDEX(ATTIVO,MATCH(ROWS(B$13:$B113),COPIA!$CD$3:$CD$250,0),4),""),"_"," ")," ",),8,6)="di cui",CONCATENATE(SUBSTITUTE(IFERROR(INDEX(ATTIVO,MATCH(ROWS(B$13:$B113),COPIA!$CD$3:$CD$250,0),4),""),"_"," ")," ",FIXED(IFERROR(INDEX(ATTIVO,MATCH(ROW()-12,COPIA!$CD$3:$CD$250,0),2),""),,FALSE)," euro"),SUBSTITUTE(IFERROR(INDEX(ATTIVO,MATCH(ROWS(B$13:$B113),COPIA!$CD$3:$CD$250,0),4),""),"_"," ")),"")),""))</f>
        <v/>
      </c>
      <c r="C113" s="115" t="str">
        <f ca="1">IF(IFERROR(IF(ROW()-9&gt;COPIA!$CI$1,INDEX(ECONOMICO,MATCH((ROWS($B$12:B113)-COPIA!$CI$2),COPIA!$CD$191:$CD$247,0),5),INDEX(ATTIVO,MATCH(ROWS($C$13:C113),COPIA!$CD$3:$CD$250,0),5)),0)=0,"",IFERROR(IF(ROW()-9&gt;COPIA!$CI$1,INDEX(ECONOMICO,MATCH((ROWS($B$12:B113)-COPIA!$CI$2),COPIA!$CD$191:$CD$247,0),5),INDEX(ATTIVO,MATCH(ROWS($C$13:C113),COPIA!$CD$3:$CD$250,0),5)),0))</f>
        <v/>
      </c>
      <c r="D113" s="135" t="str">
        <f ca="1">CONCATENATE(IFERROR(IF(MID(CONCATENATE(SUBSTITUTE(IFERROR(INDEX(PASSIVO,MATCH(ROWS(D$13:$D113),COPIA!$CD$105:$CD$189,0),4),""),"_"," ")," ",),8,6)="di cui",CONCATENATE(SUBSTITUTE(IFERROR(INDEX(PASSIVO,MATCH(ROWS(D$13:$D113),COPIA!$CD$105:$CD$189,0),4),""),"_"," ")," ",FIXED(IFERROR(INDEX(PASSIVO,MATCH(ROW()-12,COPIA!$CD$105:$CD$189,0),2),""),,FALSE)," euro"),SUBSTITUTE(IFERROR(INDEX(PASSIVO,MATCH(ROWS($D$13:$D113),COPIA!$CD$105:$CD$189,0),4),""),"_"," ")),""))</f>
        <v/>
      </c>
      <c r="E113" s="115" t="str">
        <f ca="1">IF(IFERROR(INDEX(PASSIVO,MATCH(ROWS($E$13:E113),COPIA!$CD$105:$CD$189,0),5),0)=0,"",IFERROR(INDEX(PASSIVO,MATCH(ROWS($E$13:E113),COPIA!$CD$105:$CD$189,0),5),0))</f>
        <v/>
      </c>
    </row>
    <row r="114" spans="1:5" x14ac:dyDescent="0.3">
      <c r="A114" s="7">
        <f t="shared" ca="1" si="1"/>
        <v>0</v>
      </c>
      <c r="B114" s="132" t="str">
        <f ca="1">IF(ROW()-9&gt;COPIA!$CI$1,SUBSTITUTE(IFERROR(INDEX(ECONOMICO,MATCH((ROWS($B$12:B114)-COPIA!$CI$2),COPIA!$CD$191:$CD$247,0),4),""),"_"," "),IF(ROW()-9&lt;=COPIA!$CI$1,CONCATENATE(IFERROR(IF(MID(CONCATENATE(SUBSTITUTE(IFERROR(INDEX(ATTIVO,MATCH(ROWS(B$13:$B114),COPIA!$CD$3:$CD$250,0),4),""),"_"," ")," ",),8,6)="di cui",CONCATENATE(SUBSTITUTE(IFERROR(INDEX(ATTIVO,MATCH(ROWS(B$13:$B114),COPIA!$CD$3:$CD$250,0),4),""),"_"," ")," ",FIXED(IFERROR(INDEX(ATTIVO,MATCH(ROW()-12,COPIA!$CD$3:$CD$250,0),2),""),,FALSE)," euro"),SUBSTITUTE(IFERROR(INDEX(ATTIVO,MATCH(ROWS(B$13:$B114),COPIA!$CD$3:$CD$250,0),4),""),"_"," ")),"")),""))</f>
        <v/>
      </c>
      <c r="C114" s="115" t="str">
        <f ca="1">IF(IFERROR(IF(ROW()-9&gt;COPIA!$CI$1,INDEX(ECONOMICO,MATCH((ROWS($B$12:B114)-COPIA!$CI$2),COPIA!$CD$191:$CD$247,0),5),INDEX(ATTIVO,MATCH(ROWS($C$13:C114),COPIA!$CD$3:$CD$250,0),5)),0)=0,"",IFERROR(IF(ROW()-9&gt;COPIA!$CI$1,INDEX(ECONOMICO,MATCH((ROWS($B$12:B114)-COPIA!$CI$2),COPIA!$CD$191:$CD$247,0),5),INDEX(ATTIVO,MATCH(ROWS($C$13:C114),COPIA!$CD$3:$CD$250,0),5)),0))</f>
        <v/>
      </c>
      <c r="D114" s="135" t="str">
        <f ca="1">CONCATENATE(IFERROR(IF(MID(CONCATENATE(SUBSTITUTE(IFERROR(INDEX(PASSIVO,MATCH(ROWS(D$13:$D114),COPIA!$CD$105:$CD$189,0),4),""),"_"," ")," ",),8,6)="di cui",CONCATENATE(SUBSTITUTE(IFERROR(INDEX(PASSIVO,MATCH(ROWS(D$13:$D114),COPIA!$CD$105:$CD$189,0),4),""),"_"," ")," ",FIXED(IFERROR(INDEX(PASSIVO,MATCH(ROW()-12,COPIA!$CD$105:$CD$189,0),2),""),,FALSE)," euro"),SUBSTITUTE(IFERROR(INDEX(PASSIVO,MATCH(ROWS($D$13:$D114),COPIA!$CD$105:$CD$189,0),4),""),"_"," ")),""))</f>
        <v/>
      </c>
      <c r="E114" s="115" t="str">
        <f ca="1">IF(IFERROR(INDEX(PASSIVO,MATCH(ROWS($E$13:E114),COPIA!$CD$105:$CD$189,0),5),0)=0,"",IFERROR(INDEX(PASSIVO,MATCH(ROWS($E$13:E114),COPIA!$CD$105:$CD$189,0),5),0))</f>
        <v/>
      </c>
    </row>
    <row r="115" spans="1:5" x14ac:dyDescent="0.3">
      <c r="A115" s="7">
        <f t="shared" ca="1" si="1"/>
        <v>0</v>
      </c>
      <c r="B115" s="132" t="str">
        <f ca="1">IF(ROW()-9&gt;COPIA!$CI$1,SUBSTITUTE(IFERROR(INDEX(ECONOMICO,MATCH((ROWS($B$12:B115)-COPIA!$CI$2),COPIA!$CD$191:$CD$247,0),4),""),"_"," "),IF(ROW()-9&lt;=COPIA!$CI$1,CONCATENATE(IFERROR(IF(MID(CONCATENATE(SUBSTITUTE(IFERROR(INDEX(ATTIVO,MATCH(ROWS(B$13:$B115),COPIA!$CD$3:$CD$250,0),4),""),"_"," ")," ",),8,6)="di cui",CONCATENATE(SUBSTITUTE(IFERROR(INDEX(ATTIVO,MATCH(ROWS(B$13:$B115),COPIA!$CD$3:$CD$250,0),4),""),"_"," ")," ",FIXED(IFERROR(INDEX(ATTIVO,MATCH(ROW()-12,COPIA!$CD$3:$CD$250,0),2),""),,FALSE)," euro"),SUBSTITUTE(IFERROR(INDEX(ATTIVO,MATCH(ROWS(B$13:$B115),COPIA!$CD$3:$CD$250,0),4),""),"_"," ")),"")),""))</f>
        <v/>
      </c>
      <c r="C115" s="115" t="str">
        <f ca="1">IF(IFERROR(IF(ROW()-9&gt;COPIA!$CI$1,INDEX(ECONOMICO,MATCH((ROWS($B$12:B115)-COPIA!$CI$2),COPIA!$CD$191:$CD$247,0),5),INDEX(ATTIVO,MATCH(ROWS($C$13:C115),COPIA!$CD$3:$CD$250,0),5)),0)=0,"",IFERROR(IF(ROW()-9&gt;COPIA!$CI$1,INDEX(ECONOMICO,MATCH((ROWS($B$12:B115)-COPIA!$CI$2),COPIA!$CD$191:$CD$247,0),5),INDEX(ATTIVO,MATCH(ROWS($C$13:C115),COPIA!$CD$3:$CD$250,0),5)),0))</f>
        <v/>
      </c>
      <c r="D115" s="135" t="str">
        <f ca="1">CONCATENATE(IFERROR(IF(MID(CONCATENATE(SUBSTITUTE(IFERROR(INDEX(PASSIVO,MATCH(ROWS(D$13:$D115),COPIA!$CD$105:$CD$189,0),4),""),"_"," ")," ",),8,6)="di cui",CONCATENATE(SUBSTITUTE(IFERROR(INDEX(PASSIVO,MATCH(ROWS(D$13:$D115),COPIA!$CD$105:$CD$189,0),4),""),"_"," ")," ",FIXED(IFERROR(INDEX(PASSIVO,MATCH(ROW()-12,COPIA!$CD$105:$CD$189,0),2),""),,FALSE)," euro"),SUBSTITUTE(IFERROR(INDEX(PASSIVO,MATCH(ROWS($D$13:$D115),COPIA!$CD$105:$CD$189,0),4),""),"_"," ")),""))</f>
        <v/>
      </c>
      <c r="E115" s="115" t="str">
        <f ca="1">IF(IFERROR(INDEX(PASSIVO,MATCH(ROWS($E$13:E115),COPIA!$CD$105:$CD$189,0),5),0)=0,"",IFERROR(INDEX(PASSIVO,MATCH(ROWS($E$13:E115),COPIA!$CD$105:$CD$189,0),5),0))</f>
        <v/>
      </c>
    </row>
    <row r="116" spans="1:5" x14ac:dyDescent="0.3">
      <c r="A116" s="7">
        <f t="shared" ca="1" si="1"/>
        <v>0</v>
      </c>
      <c r="B116" s="132" t="str">
        <f ca="1">IF(ROW()-9&gt;COPIA!$CI$1,SUBSTITUTE(IFERROR(INDEX(ECONOMICO,MATCH((ROWS($B$12:B116)-COPIA!$CI$2),COPIA!$CD$191:$CD$247,0),4),""),"_"," "),IF(ROW()-9&lt;=COPIA!$CI$1,CONCATENATE(IFERROR(IF(MID(CONCATENATE(SUBSTITUTE(IFERROR(INDEX(ATTIVO,MATCH(ROWS(B$13:$B116),COPIA!$CD$3:$CD$250,0),4),""),"_"," ")," ",),8,6)="di cui",CONCATENATE(SUBSTITUTE(IFERROR(INDEX(ATTIVO,MATCH(ROWS(B$13:$B116),COPIA!$CD$3:$CD$250,0),4),""),"_"," ")," ",FIXED(IFERROR(INDEX(ATTIVO,MATCH(ROW()-12,COPIA!$CD$3:$CD$250,0),2),""),,FALSE)," euro"),SUBSTITUTE(IFERROR(INDEX(ATTIVO,MATCH(ROWS(B$13:$B116),COPIA!$CD$3:$CD$250,0),4),""),"_"," ")),"")),""))</f>
        <v/>
      </c>
      <c r="C116" s="115" t="str">
        <f ca="1">IF(IFERROR(IF(ROW()-9&gt;COPIA!$CI$1,INDEX(ECONOMICO,MATCH((ROWS($B$12:B116)-COPIA!$CI$2),COPIA!$CD$191:$CD$247,0),5),INDEX(ATTIVO,MATCH(ROWS($C$13:C116),COPIA!$CD$3:$CD$250,0),5)),0)=0,"",IFERROR(IF(ROW()-9&gt;COPIA!$CI$1,INDEX(ECONOMICO,MATCH((ROWS($B$12:B116)-COPIA!$CI$2),COPIA!$CD$191:$CD$247,0),5),INDEX(ATTIVO,MATCH(ROWS($C$13:C116),COPIA!$CD$3:$CD$250,0),5)),0))</f>
        <v/>
      </c>
      <c r="D116" s="135" t="str">
        <f ca="1">CONCATENATE(IFERROR(IF(MID(CONCATENATE(SUBSTITUTE(IFERROR(INDEX(PASSIVO,MATCH(ROWS(D$13:$D116),COPIA!$CD$105:$CD$189,0),4),""),"_"," ")," ",),8,6)="di cui",CONCATENATE(SUBSTITUTE(IFERROR(INDEX(PASSIVO,MATCH(ROWS(D$13:$D116),COPIA!$CD$105:$CD$189,0),4),""),"_"," ")," ",FIXED(IFERROR(INDEX(PASSIVO,MATCH(ROW()-12,COPIA!$CD$105:$CD$189,0),2),""),,FALSE)," euro"),SUBSTITUTE(IFERROR(INDEX(PASSIVO,MATCH(ROWS($D$13:$D116),COPIA!$CD$105:$CD$189,0),4),""),"_"," ")),""))</f>
        <v/>
      </c>
      <c r="E116" s="115" t="str">
        <f ca="1">IF(IFERROR(INDEX(PASSIVO,MATCH(ROWS($E$13:E116),COPIA!$CD$105:$CD$189,0),5),0)=0,"",IFERROR(INDEX(PASSIVO,MATCH(ROWS($E$13:E116),COPIA!$CD$105:$CD$189,0),5),0))</f>
        <v/>
      </c>
    </row>
    <row r="117" spans="1:5" x14ac:dyDescent="0.3">
      <c r="A117" s="7">
        <f t="shared" ca="1" si="1"/>
        <v>0</v>
      </c>
      <c r="B117" s="132" t="str">
        <f ca="1">IF(ROW()-9&gt;COPIA!$CI$1,SUBSTITUTE(IFERROR(INDEX(ECONOMICO,MATCH((ROWS($B$12:B117)-COPIA!$CI$2),COPIA!$CD$191:$CD$247,0),4),""),"_"," "),IF(ROW()-9&lt;=COPIA!$CI$1,CONCATENATE(IFERROR(IF(MID(CONCATENATE(SUBSTITUTE(IFERROR(INDEX(ATTIVO,MATCH(ROWS(B$13:$B117),COPIA!$CD$3:$CD$250,0),4),""),"_"," ")," ",),8,6)="di cui",CONCATENATE(SUBSTITUTE(IFERROR(INDEX(ATTIVO,MATCH(ROWS(B$13:$B117),COPIA!$CD$3:$CD$250,0),4),""),"_"," ")," ",FIXED(IFERROR(INDEX(ATTIVO,MATCH(ROW()-12,COPIA!$CD$3:$CD$250,0),2),""),,FALSE)," euro"),SUBSTITUTE(IFERROR(INDEX(ATTIVO,MATCH(ROWS(B$13:$B117),COPIA!$CD$3:$CD$250,0),4),""),"_"," ")),"")),""))</f>
        <v/>
      </c>
      <c r="C117" s="115" t="str">
        <f ca="1">IF(IFERROR(IF(ROW()-9&gt;COPIA!$CI$1,INDEX(ECONOMICO,MATCH((ROWS($B$12:B117)-COPIA!$CI$2),COPIA!$CD$191:$CD$247,0),5),INDEX(ATTIVO,MATCH(ROWS($C$13:C117),COPIA!$CD$3:$CD$250,0),5)),0)=0,"",IFERROR(IF(ROW()-9&gt;COPIA!$CI$1,INDEX(ECONOMICO,MATCH((ROWS($B$12:B117)-COPIA!$CI$2),COPIA!$CD$191:$CD$247,0),5),INDEX(ATTIVO,MATCH(ROWS($C$13:C117),COPIA!$CD$3:$CD$250,0),5)),0))</f>
        <v/>
      </c>
      <c r="D117" s="135" t="str">
        <f ca="1">CONCATENATE(IFERROR(IF(MID(CONCATENATE(SUBSTITUTE(IFERROR(INDEX(PASSIVO,MATCH(ROWS(D$13:$D117),COPIA!$CD$105:$CD$189,0),4),""),"_"," ")," ",),8,6)="di cui",CONCATENATE(SUBSTITUTE(IFERROR(INDEX(PASSIVO,MATCH(ROWS(D$13:$D117),COPIA!$CD$105:$CD$189,0),4),""),"_"," ")," ",FIXED(IFERROR(INDEX(PASSIVO,MATCH(ROW()-12,COPIA!$CD$105:$CD$189,0),2),""),,FALSE)," euro"),SUBSTITUTE(IFERROR(INDEX(PASSIVO,MATCH(ROWS($D$13:$D117),COPIA!$CD$105:$CD$189,0),4),""),"_"," ")),""))</f>
        <v/>
      </c>
      <c r="E117" s="115" t="str">
        <f ca="1">IF(IFERROR(INDEX(PASSIVO,MATCH(ROWS($E$13:E117),COPIA!$CD$105:$CD$189,0),5),0)=0,"",IFERROR(INDEX(PASSIVO,MATCH(ROWS($E$13:E117),COPIA!$CD$105:$CD$189,0),5),0))</f>
        <v/>
      </c>
    </row>
    <row r="118" spans="1:5" x14ac:dyDescent="0.3">
      <c r="A118" s="7">
        <f t="shared" ca="1" si="1"/>
        <v>0</v>
      </c>
      <c r="B118" s="132" t="str">
        <f ca="1">IF(ROW()-9&gt;COPIA!$CI$1,SUBSTITUTE(IFERROR(INDEX(ECONOMICO,MATCH((ROWS($B$12:B118)-COPIA!$CI$2),COPIA!$CD$191:$CD$247,0),4),""),"_"," "),IF(ROW()-9&lt;=COPIA!$CI$1,CONCATENATE(IFERROR(IF(MID(CONCATENATE(SUBSTITUTE(IFERROR(INDEX(ATTIVO,MATCH(ROWS(B$13:$B118),COPIA!$CD$3:$CD$250,0),4),""),"_"," ")," ",),8,6)="di cui",CONCATENATE(SUBSTITUTE(IFERROR(INDEX(ATTIVO,MATCH(ROWS(B$13:$B118),COPIA!$CD$3:$CD$250,0),4),""),"_"," ")," ",FIXED(IFERROR(INDEX(ATTIVO,MATCH(ROW()-12,COPIA!$CD$3:$CD$250,0),2),""),,FALSE)," euro"),SUBSTITUTE(IFERROR(INDEX(ATTIVO,MATCH(ROWS(B$13:$B118),COPIA!$CD$3:$CD$250,0),4),""),"_"," ")),"")),""))</f>
        <v/>
      </c>
      <c r="C118" s="115" t="str">
        <f ca="1">IF(IFERROR(IF(ROW()-9&gt;COPIA!$CI$1,INDEX(ECONOMICO,MATCH((ROWS($B$12:B118)-COPIA!$CI$2),COPIA!$CD$191:$CD$247,0),5),INDEX(ATTIVO,MATCH(ROWS($C$13:C118),COPIA!$CD$3:$CD$250,0),5)),0)=0,"",IFERROR(IF(ROW()-9&gt;COPIA!$CI$1,INDEX(ECONOMICO,MATCH((ROWS($B$12:B118)-COPIA!$CI$2),COPIA!$CD$191:$CD$247,0),5),INDEX(ATTIVO,MATCH(ROWS($C$13:C118),COPIA!$CD$3:$CD$250,0),5)),0))</f>
        <v/>
      </c>
      <c r="D118" s="135" t="str">
        <f ca="1">CONCATENATE(IFERROR(IF(MID(CONCATENATE(SUBSTITUTE(IFERROR(INDEX(PASSIVO,MATCH(ROWS(D$13:$D118),COPIA!$CD$105:$CD$189,0),4),""),"_"," ")," ",),8,6)="di cui",CONCATENATE(SUBSTITUTE(IFERROR(INDEX(PASSIVO,MATCH(ROWS(D$13:$D118),COPIA!$CD$105:$CD$189,0),4),""),"_"," ")," ",FIXED(IFERROR(INDEX(PASSIVO,MATCH(ROW()-12,COPIA!$CD$105:$CD$189,0),2),""),,FALSE)," euro"),SUBSTITUTE(IFERROR(INDEX(PASSIVO,MATCH(ROWS($D$13:$D118),COPIA!$CD$105:$CD$189,0),4),""),"_"," ")),""))</f>
        <v/>
      </c>
      <c r="E118" s="115" t="str">
        <f ca="1">IF(IFERROR(INDEX(PASSIVO,MATCH(ROWS($E$13:E118),COPIA!$CD$105:$CD$189,0),5),0)=0,"",IFERROR(INDEX(PASSIVO,MATCH(ROWS($E$13:E118),COPIA!$CD$105:$CD$189,0),5),0))</f>
        <v/>
      </c>
    </row>
    <row r="119" spans="1:5" x14ac:dyDescent="0.3">
      <c r="A119" s="7">
        <f t="shared" ca="1" si="1"/>
        <v>0</v>
      </c>
      <c r="B119" s="132" t="str">
        <f ca="1">IF(ROW()-9&gt;COPIA!$CI$1,SUBSTITUTE(IFERROR(INDEX(ECONOMICO,MATCH((ROWS($B$12:B119)-COPIA!$CI$2),COPIA!$CD$191:$CD$247,0),4),""),"_"," "),IF(ROW()-9&lt;=COPIA!$CI$1,CONCATENATE(IFERROR(IF(MID(CONCATENATE(SUBSTITUTE(IFERROR(INDEX(ATTIVO,MATCH(ROWS(B$13:$B119),COPIA!$CD$3:$CD$250,0),4),""),"_"," ")," ",),8,6)="di cui",CONCATENATE(SUBSTITUTE(IFERROR(INDEX(ATTIVO,MATCH(ROWS(B$13:$B119),COPIA!$CD$3:$CD$250,0),4),""),"_"," ")," ",FIXED(IFERROR(INDEX(ATTIVO,MATCH(ROW()-12,COPIA!$CD$3:$CD$250,0),2),""),,FALSE)," euro"),SUBSTITUTE(IFERROR(INDEX(ATTIVO,MATCH(ROWS(B$13:$B119),COPIA!$CD$3:$CD$250,0),4),""),"_"," ")),"")),""))</f>
        <v/>
      </c>
      <c r="C119" s="115" t="str">
        <f ca="1">IF(IFERROR(IF(ROW()-9&gt;COPIA!$CI$1,INDEX(ECONOMICO,MATCH((ROWS($B$12:B119)-COPIA!$CI$2),COPIA!$CD$191:$CD$247,0),5),INDEX(ATTIVO,MATCH(ROWS($C$13:C119),COPIA!$CD$3:$CD$250,0),5)),0)=0,"",IFERROR(IF(ROW()-9&gt;COPIA!$CI$1,INDEX(ECONOMICO,MATCH((ROWS($B$12:B119)-COPIA!$CI$2),COPIA!$CD$191:$CD$247,0),5),INDEX(ATTIVO,MATCH(ROWS($C$13:C119),COPIA!$CD$3:$CD$250,0),5)),0))</f>
        <v/>
      </c>
      <c r="D119" s="135" t="str">
        <f ca="1">CONCATENATE(IFERROR(IF(MID(CONCATENATE(SUBSTITUTE(IFERROR(INDEX(PASSIVO,MATCH(ROWS(D$13:$D119),COPIA!$CD$105:$CD$189,0),4),""),"_"," ")," ",),8,6)="di cui",CONCATENATE(SUBSTITUTE(IFERROR(INDEX(PASSIVO,MATCH(ROWS(D$13:$D119),COPIA!$CD$105:$CD$189,0),4),""),"_"," ")," ",FIXED(IFERROR(INDEX(PASSIVO,MATCH(ROW()-12,COPIA!$CD$105:$CD$189,0),2),""),,FALSE)," euro"),SUBSTITUTE(IFERROR(INDEX(PASSIVO,MATCH(ROWS($D$13:$D119),COPIA!$CD$105:$CD$189,0),4),""),"_"," ")),""))</f>
        <v/>
      </c>
      <c r="E119" s="115" t="str">
        <f ca="1">IF(IFERROR(INDEX(PASSIVO,MATCH(ROWS($E$13:E119),COPIA!$CD$105:$CD$189,0),5),0)=0,"",IFERROR(INDEX(PASSIVO,MATCH(ROWS($E$13:E119),COPIA!$CD$105:$CD$189,0),5),0))</f>
        <v/>
      </c>
    </row>
    <row r="120" spans="1:5" x14ac:dyDescent="0.3">
      <c r="A120" s="7">
        <f t="shared" ca="1" si="1"/>
        <v>0</v>
      </c>
      <c r="B120" s="132" t="str">
        <f ca="1">IF(ROW()-9&gt;COPIA!$CI$1,SUBSTITUTE(IFERROR(INDEX(ECONOMICO,MATCH((ROWS($B$12:B120)-COPIA!$CI$2),COPIA!$CD$191:$CD$247,0),4),""),"_"," "),IF(ROW()-9&lt;=COPIA!$CI$1,CONCATENATE(IFERROR(IF(MID(CONCATENATE(SUBSTITUTE(IFERROR(INDEX(ATTIVO,MATCH(ROWS(B$13:$B120),COPIA!$CD$3:$CD$250,0),4),""),"_"," ")," ",),8,6)="di cui",CONCATENATE(SUBSTITUTE(IFERROR(INDEX(ATTIVO,MATCH(ROWS(B$13:$B120),COPIA!$CD$3:$CD$250,0),4),""),"_"," ")," ",FIXED(IFERROR(INDEX(ATTIVO,MATCH(ROW()-12,COPIA!$CD$3:$CD$250,0),2),""),,FALSE)," euro"),SUBSTITUTE(IFERROR(INDEX(ATTIVO,MATCH(ROWS(B$13:$B120),COPIA!$CD$3:$CD$250,0),4),""),"_"," ")),"")),""))</f>
        <v/>
      </c>
      <c r="C120" s="115" t="str">
        <f ca="1">IF(IFERROR(IF(ROW()-9&gt;COPIA!$CI$1,INDEX(ECONOMICO,MATCH((ROWS($B$12:B120)-COPIA!$CI$2),COPIA!$CD$191:$CD$247,0),5),INDEX(ATTIVO,MATCH(ROWS($C$13:C120),COPIA!$CD$3:$CD$250,0),5)),0)=0,"",IFERROR(IF(ROW()-9&gt;COPIA!$CI$1,INDEX(ECONOMICO,MATCH((ROWS($B$12:B120)-COPIA!$CI$2),COPIA!$CD$191:$CD$247,0),5),INDEX(ATTIVO,MATCH(ROWS($C$13:C120),COPIA!$CD$3:$CD$250,0),5)),0))</f>
        <v/>
      </c>
      <c r="D120" s="135" t="str">
        <f ca="1">CONCATENATE(IFERROR(IF(MID(CONCATENATE(SUBSTITUTE(IFERROR(INDEX(PASSIVO,MATCH(ROWS(D$13:$D120),COPIA!$CD$105:$CD$189,0),4),""),"_"," ")," ",),8,6)="di cui",CONCATENATE(SUBSTITUTE(IFERROR(INDEX(PASSIVO,MATCH(ROWS(D$13:$D120),COPIA!$CD$105:$CD$189,0),4),""),"_"," ")," ",FIXED(IFERROR(INDEX(PASSIVO,MATCH(ROW()-12,COPIA!$CD$105:$CD$189,0),2),""),,FALSE)," euro"),SUBSTITUTE(IFERROR(INDEX(PASSIVO,MATCH(ROWS($D$13:$D120),COPIA!$CD$105:$CD$189,0),4),""),"_"," ")),""))</f>
        <v/>
      </c>
      <c r="E120" s="115" t="str">
        <f ca="1">IF(IFERROR(INDEX(PASSIVO,MATCH(ROWS($E$13:E120),COPIA!$CD$105:$CD$189,0),5),0)=0,"",IFERROR(INDEX(PASSIVO,MATCH(ROWS($E$13:E120),COPIA!$CD$105:$CD$189,0),5),0))</f>
        <v/>
      </c>
    </row>
    <row r="121" spans="1:5" x14ac:dyDescent="0.3">
      <c r="A121" s="7">
        <f t="shared" ca="1" si="1"/>
        <v>0</v>
      </c>
      <c r="B121" s="132" t="str">
        <f ca="1">IF(ROW()-9&gt;COPIA!$CI$1,SUBSTITUTE(IFERROR(INDEX(ECONOMICO,MATCH((ROWS($B$12:B121)-COPIA!$CI$2),COPIA!$CD$191:$CD$247,0),4),""),"_"," "),IF(ROW()-9&lt;=COPIA!$CI$1,CONCATENATE(IFERROR(IF(MID(CONCATENATE(SUBSTITUTE(IFERROR(INDEX(ATTIVO,MATCH(ROWS(B$13:$B121),COPIA!$CD$3:$CD$250,0),4),""),"_"," ")," ",),8,6)="di cui",CONCATENATE(SUBSTITUTE(IFERROR(INDEX(ATTIVO,MATCH(ROWS(B$13:$B121),COPIA!$CD$3:$CD$250,0),4),""),"_"," ")," ",FIXED(IFERROR(INDEX(ATTIVO,MATCH(ROW()-12,COPIA!$CD$3:$CD$250,0),2),""),,FALSE)," euro"),SUBSTITUTE(IFERROR(INDEX(ATTIVO,MATCH(ROWS(B$13:$B121),COPIA!$CD$3:$CD$250,0),4),""),"_"," ")),"")),""))</f>
        <v/>
      </c>
      <c r="C121" s="115" t="str">
        <f ca="1">IF(IFERROR(IF(ROW()-9&gt;COPIA!$CI$1,INDEX(ECONOMICO,MATCH((ROWS($B$12:B121)-COPIA!$CI$2),COPIA!$CD$191:$CD$247,0),5),INDEX(ATTIVO,MATCH(ROWS($C$13:C121),COPIA!$CD$3:$CD$250,0),5)),0)=0,"",IFERROR(IF(ROW()-9&gt;COPIA!$CI$1,INDEX(ECONOMICO,MATCH((ROWS($B$12:B121)-COPIA!$CI$2),COPIA!$CD$191:$CD$247,0),5),INDEX(ATTIVO,MATCH(ROWS($C$13:C121),COPIA!$CD$3:$CD$250,0),5)),0))</f>
        <v/>
      </c>
      <c r="D121" s="135" t="str">
        <f ca="1">CONCATENATE(IFERROR(IF(MID(CONCATENATE(SUBSTITUTE(IFERROR(INDEX(PASSIVO,MATCH(ROWS(D$13:$D121),COPIA!$CD$105:$CD$189,0),4),""),"_"," ")," ",),8,6)="di cui",CONCATENATE(SUBSTITUTE(IFERROR(INDEX(PASSIVO,MATCH(ROWS(D$13:$D121),COPIA!$CD$105:$CD$189,0),4),""),"_"," ")," ",FIXED(IFERROR(INDEX(PASSIVO,MATCH(ROW()-12,COPIA!$CD$105:$CD$189,0),2),""),,FALSE)," euro"),SUBSTITUTE(IFERROR(INDEX(PASSIVO,MATCH(ROWS($D$13:$D121),COPIA!$CD$105:$CD$189,0),4),""),"_"," ")),""))</f>
        <v/>
      </c>
      <c r="E121" s="115" t="str">
        <f ca="1">IF(IFERROR(INDEX(PASSIVO,MATCH(ROWS($E$13:E121),COPIA!$CD$105:$CD$189,0),5),0)=0,"",IFERROR(INDEX(PASSIVO,MATCH(ROWS($E$13:E121),COPIA!$CD$105:$CD$189,0),5),0))</f>
        <v/>
      </c>
    </row>
    <row r="122" spans="1:5" x14ac:dyDescent="0.3">
      <c r="A122" s="7">
        <f t="shared" ca="1" si="1"/>
        <v>0</v>
      </c>
      <c r="B122" s="132" t="str">
        <f ca="1">IF(ROW()-9&gt;COPIA!$CI$1,SUBSTITUTE(IFERROR(INDEX(ECONOMICO,MATCH((ROWS($B$12:B122)-COPIA!$CI$2),COPIA!$CD$191:$CD$247,0),4),""),"_"," "),IF(ROW()-9&lt;=COPIA!$CI$1,CONCATENATE(IFERROR(IF(MID(CONCATENATE(SUBSTITUTE(IFERROR(INDEX(ATTIVO,MATCH(ROWS(B$13:$B122),COPIA!$CD$3:$CD$250,0),4),""),"_"," ")," ",),8,6)="di cui",CONCATENATE(SUBSTITUTE(IFERROR(INDEX(ATTIVO,MATCH(ROWS(B$13:$B122),COPIA!$CD$3:$CD$250,0),4),""),"_"," ")," ",FIXED(IFERROR(INDEX(ATTIVO,MATCH(ROW()-12,COPIA!$CD$3:$CD$250,0),2),""),,FALSE)," euro"),SUBSTITUTE(IFERROR(INDEX(ATTIVO,MATCH(ROWS(B$13:$B122),COPIA!$CD$3:$CD$250,0),4),""),"_"," ")),"")),""))</f>
        <v/>
      </c>
      <c r="C122" s="115" t="str">
        <f ca="1">IF(IFERROR(IF(ROW()-9&gt;COPIA!$CI$1,INDEX(ECONOMICO,MATCH((ROWS($B$12:B122)-COPIA!$CI$2),COPIA!$CD$191:$CD$247,0),5),INDEX(ATTIVO,MATCH(ROWS($C$13:C122),COPIA!$CD$3:$CD$250,0),5)),0)=0,"",IFERROR(IF(ROW()-9&gt;COPIA!$CI$1,INDEX(ECONOMICO,MATCH((ROWS($B$12:B122)-COPIA!$CI$2),COPIA!$CD$191:$CD$247,0),5),INDEX(ATTIVO,MATCH(ROWS($C$13:C122),COPIA!$CD$3:$CD$250,0),5)),0))</f>
        <v/>
      </c>
      <c r="D122" s="135" t="str">
        <f ca="1">CONCATENATE(IFERROR(IF(MID(CONCATENATE(SUBSTITUTE(IFERROR(INDEX(PASSIVO,MATCH(ROWS(D$13:$D122),COPIA!$CD$105:$CD$189,0),4),""),"_"," ")," ",),8,6)="di cui",CONCATENATE(SUBSTITUTE(IFERROR(INDEX(PASSIVO,MATCH(ROWS(D$13:$D122),COPIA!$CD$105:$CD$189,0),4),""),"_"," ")," ",FIXED(IFERROR(INDEX(PASSIVO,MATCH(ROW()-12,COPIA!$CD$105:$CD$189,0),2),""),,FALSE)," euro"),SUBSTITUTE(IFERROR(INDEX(PASSIVO,MATCH(ROWS($D$13:$D122),COPIA!$CD$105:$CD$189,0),4),""),"_"," ")),""))</f>
        <v/>
      </c>
      <c r="E122" s="115" t="str">
        <f ca="1">IF(IFERROR(INDEX(PASSIVO,MATCH(ROWS($E$13:E122),COPIA!$CD$105:$CD$189,0),5),0)=0,"",IFERROR(INDEX(PASSIVO,MATCH(ROWS($E$13:E122),COPIA!$CD$105:$CD$189,0),5),0))</f>
        <v/>
      </c>
    </row>
    <row r="123" spans="1:5" x14ac:dyDescent="0.3">
      <c r="A123" s="7">
        <f t="shared" ca="1" si="1"/>
        <v>0</v>
      </c>
      <c r="B123" s="132" t="str">
        <f ca="1">IF(ROW()-9&gt;COPIA!$CI$1,SUBSTITUTE(IFERROR(INDEX(ECONOMICO,MATCH((ROWS($B$12:B123)-COPIA!$CI$2),COPIA!$CD$191:$CD$247,0),4),""),"_"," "),IF(ROW()-9&lt;=COPIA!$CI$1,CONCATENATE(IFERROR(IF(MID(CONCATENATE(SUBSTITUTE(IFERROR(INDEX(ATTIVO,MATCH(ROWS(B$13:$B123),COPIA!$CD$3:$CD$250,0),4),""),"_"," ")," ",),8,6)="di cui",CONCATENATE(SUBSTITUTE(IFERROR(INDEX(ATTIVO,MATCH(ROWS(B$13:$B123),COPIA!$CD$3:$CD$250,0),4),""),"_"," ")," ",FIXED(IFERROR(INDEX(ATTIVO,MATCH(ROW()-12,COPIA!$CD$3:$CD$250,0),2),""),,FALSE)," euro"),SUBSTITUTE(IFERROR(INDEX(ATTIVO,MATCH(ROWS(B$13:$B123),COPIA!$CD$3:$CD$250,0),4),""),"_"," ")),"")),""))</f>
        <v/>
      </c>
      <c r="C123" s="115" t="str">
        <f ca="1">IF(IFERROR(IF(ROW()-9&gt;COPIA!$CI$1,INDEX(ECONOMICO,MATCH((ROWS($B$12:B123)-COPIA!$CI$2),COPIA!$CD$191:$CD$247,0),5),INDEX(ATTIVO,MATCH(ROWS($C$13:C123),COPIA!$CD$3:$CD$250,0),5)),0)=0,"",IFERROR(IF(ROW()-9&gt;COPIA!$CI$1,INDEX(ECONOMICO,MATCH((ROWS($B$12:B123)-COPIA!$CI$2),COPIA!$CD$191:$CD$247,0),5),INDEX(ATTIVO,MATCH(ROWS($C$13:C123),COPIA!$CD$3:$CD$250,0),5)),0))</f>
        <v/>
      </c>
      <c r="D123" s="135" t="str">
        <f ca="1">CONCATENATE(IFERROR(IF(MID(CONCATENATE(SUBSTITUTE(IFERROR(INDEX(PASSIVO,MATCH(ROWS(D$13:$D123),COPIA!$CD$105:$CD$189,0),4),""),"_"," ")," ",),8,6)="di cui",CONCATENATE(SUBSTITUTE(IFERROR(INDEX(PASSIVO,MATCH(ROWS(D$13:$D123),COPIA!$CD$105:$CD$189,0),4),""),"_"," ")," ",FIXED(IFERROR(INDEX(PASSIVO,MATCH(ROW()-12,COPIA!$CD$105:$CD$189,0),2),""),,FALSE)," euro"),SUBSTITUTE(IFERROR(INDEX(PASSIVO,MATCH(ROWS($D$13:$D123),COPIA!$CD$105:$CD$189,0),4),""),"_"," ")),""))</f>
        <v/>
      </c>
      <c r="E123" s="115" t="str">
        <f ca="1">IF(IFERROR(INDEX(PASSIVO,MATCH(ROWS($E$13:E123),COPIA!$CD$105:$CD$189,0),5),0)=0,"",IFERROR(INDEX(PASSIVO,MATCH(ROWS($E$13:E123),COPIA!$CD$105:$CD$189,0),5),0))</f>
        <v/>
      </c>
    </row>
    <row r="124" spans="1:5" x14ac:dyDescent="0.3">
      <c r="A124" s="7">
        <f t="shared" ca="1" si="1"/>
        <v>0</v>
      </c>
      <c r="B124" s="132" t="str">
        <f ca="1">IF(ROW()-9&gt;COPIA!$CI$1,SUBSTITUTE(IFERROR(INDEX(ECONOMICO,MATCH((ROWS($B$12:B124)-COPIA!$CI$2),COPIA!$CD$191:$CD$247,0),4),""),"_"," "),IF(ROW()-9&lt;=COPIA!$CI$1,CONCATENATE(IFERROR(IF(MID(CONCATENATE(SUBSTITUTE(IFERROR(INDEX(ATTIVO,MATCH(ROWS(B$13:$B124),COPIA!$CD$3:$CD$250,0),4),""),"_"," ")," ",),8,6)="di cui",CONCATENATE(SUBSTITUTE(IFERROR(INDEX(ATTIVO,MATCH(ROWS(B$13:$B124),COPIA!$CD$3:$CD$250,0),4),""),"_"," ")," ",FIXED(IFERROR(INDEX(ATTIVO,MATCH(ROW()-12,COPIA!$CD$3:$CD$250,0),2),""),,FALSE)," euro"),SUBSTITUTE(IFERROR(INDEX(ATTIVO,MATCH(ROWS(B$13:$B124),COPIA!$CD$3:$CD$250,0),4),""),"_"," ")),"")),""))</f>
        <v/>
      </c>
      <c r="C124" s="115" t="str">
        <f ca="1">IF(IFERROR(IF(ROW()-9&gt;COPIA!$CI$1,INDEX(ECONOMICO,MATCH((ROWS($B$12:B124)-COPIA!$CI$2),COPIA!$CD$191:$CD$247,0),5),INDEX(ATTIVO,MATCH(ROWS($C$13:C124),COPIA!$CD$3:$CD$250,0),5)),0)=0,"",IFERROR(IF(ROW()-9&gt;COPIA!$CI$1,INDEX(ECONOMICO,MATCH((ROWS($B$12:B124)-COPIA!$CI$2),COPIA!$CD$191:$CD$247,0),5),INDEX(ATTIVO,MATCH(ROWS($C$13:C124),COPIA!$CD$3:$CD$250,0),5)),0))</f>
        <v/>
      </c>
      <c r="D124" s="135" t="str">
        <f ca="1">CONCATENATE(IFERROR(IF(MID(CONCATENATE(SUBSTITUTE(IFERROR(INDEX(PASSIVO,MATCH(ROWS(D$13:$D124),COPIA!$CD$105:$CD$189,0),4),""),"_"," ")," ",),8,6)="di cui",CONCATENATE(SUBSTITUTE(IFERROR(INDEX(PASSIVO,MATCH(ROWS(D$13:$D124),COPIA!$CD$105:$CD$189,0),4),""),"_"," ")," ",FIXED(IFERROR(INDEX(PASSIVO,MATCH(ROW()-12,COPIA!$CD$105:$CD$189,0),2),""),,FALSE)," euro"),SUBSTITUTE(IFERROR(INDEX(PASSIVO,MATCH(ROWS($D$13:$D124),COPIA!$CD$105:$CD$189,0),4),""),"_"," ")),""))</f>
        <v/>
      </c>
      <c r="E124" s="115" t="str">
        <f ca="1">IF(IFERROR(INDEX(PASSIVO,MATCH(ROWS($E$13:E124),COPIA!$CD$105:$CD$189,0),5),0)=0,"",IFERROR(INDEX(PASSIVO,MATCH(ROWS($E$13:E124),COPIA!$CD$105:$CD$189,0),5),0))</f>
        <v/>
      </c>
    </row>
    <row r="125" spans="1:5" x14ac:dyDescent="0.3">
      <c r="A125" s="7">
        <f t="shared" ca="1" si="1"/>
        <v>0</v>
      </c>
      <c r="B125" s="132" t="str">
        <f ca="1">IF(ROW()-9&gt;COPIA!$CI$1,SUBSTITUTE(IFERROR(INDEX(ECONOMICO,MATCH((ROWS($B$12:B125)-COPIA!$CI$2),COPIA!$CD$191:$CD$247,0),4),""),"_"," "),IF(ROW()-9&lt;=COPIA!$CI$1,CONCATENATE(IFERROR(IF(MID(CONCATENATE(SUBSTITUTE(IFERROR(INDEX(ATTIVO,MATCH(ROWS(B$13:$B125),COPIA!$CD$3:$CD$250,0),4),""),"_"," ")," ",),8,6)="di cui",CONCATENATE(SUBSTITUTE(IFERROR(INDEX(ATTIVO,MATCH(ROWS(B$13:$B125),COPIA!$CD$3:$CD$250,0),4),""),"_"," ")," ",FIXED(IFERROR(INDEX(ATTIVO,MATCH(ROW()-12,COPIA!$CD$3:$CD$250,0),2),""),,FALSE)," euro"),SUBSTITUTE(IFERROR(INDEX(ATTIVO,MATCH(ROWS(B$13:$B125),COPIA!$CD$3:$CD$250,0),4),""),"_"," ")),"")),""))</f>
        <v/>
      </c>
      <c r="C125" s="115" t="str">
        <f ca="1">IF(IFERROR(IF(ROW()-9&gt;COPIA!$CI$1,INDEX(ECONOMICO,MATCH((ROWS($B$12:B125)-COPIA!$CI$2),COPIA!$CD$191:$CD$247,0),5),INDEX(ATTIVO,MATCH(ROWS($C$13:C125),COPIA!$CD$3:$CD$250,0),5)),0)=0,"",IFERROR(IF(ROW()-9&gt;COPIA!$CI$1,INDEX(ECONOMICO,MATCH((ROWS($B$12:B125)-COPIA!$CI$2),COPIA!$CD$191:$CD$247,0),5),INDEX(ATTIVO,MATCH(ROWS($C$13:C125),COPIA!$CD$3:$CD$250,0),5)),0))</f>
        <v/>
      </c>
      <c r="D125" s="135" t="str">
        <f ca="1">CONCATENATE(IFERROR(IF(MID(CONCATENATE(SUBSTITUTE(IFERROR(INDEX(PASSIVO,MATCH(ROWS(D$13:$D125),COPIA!$CD$105:$CD$189,0),4),""),"_"," ")," ",),8,6)="di cui",CONCATENATE(SUBSTITUTE(IFERROR(INDEX(PASSIVO,MATCH(ROWS(D$13:$D125),COPIA!$CD$105:$CD$189,0),4),""),"_"," ")," ",FIXED(IFERROR(INDEX(PASSIVO,MATCH(ROW()-12,COPIA!$CD$105:$CD$189,0),2),""),,FALSE)," euro"),SUBSTITUTE(IFERROR(INDEX(PASSIVO,MATCH(ROWS($D$13:$D125),COPIA!$CD$105:$CD$189,0),4),""),"_"," ")),""))</f>
        <v/>
      </c>
      <c r="E125" s="115" t="str">
        <f ca="1">IF(IFERROR(INDEX(PASSIVO,MATCH(ROWS($E$13:E125),COPIA!$CD$105:$CD$189,0),5),0)=0,"",IFERROR(INDEX(PASSIVO,MATCH(ROWS($E$13:E125),COPIA!$CD$105:$CD$189,0),5),0))</f>
        <v/>
      </c>
    </row>
    <row r="126" spans="1:5" x14ac:dyDescent="0.3">
      <c r="A126" s="7">
        <f t="shared" ca="1" si="1"/>
        <v>0</v>
      </c>
      <c r="B126" s="132" t="str">
        <f ca="1">IF(ROW()-9&gt;COPIA!$CI$1,SUBSTITUTE(IFERROR(INDEX(ECONOMICO,MATCH((ROWS($B$12:B126)-COPIA!$CI$2),COPIA!$CD$191:$CD$247,0),4),""),"_"," "),IF(ROW()-9&lt;=COPIA!$CI$1,CONCATENATE(IFERROR(IF(MID(CONCATENATE(SUBSTITUTE(IFERROR(INDEX(ATTIVO,MATCH(ROWS(B$13:$B126),COPIA!$CD$3:$CD$250,0),4),""),"_"," ")," ",),8,6)="di cui",CONCATENATE(SUBSTITUTE(IFERROR(INDEX(ATTIVO,MATCH(ROWS(B$13:$B126),COPIA!$CD$3:$CD$250,0),4),""),"_"," ")," ",FIXED(IFERROR(INDEX(ATTIVO,MATCH(ROW()-12,COPIA!$CD$3:$CD$250,0),2),""),,FALSE)," euro"),SUBSTITUTE(IFERROR(INDEX(ATTIVO,MATCH(ROWS(B$13:$B126),COPIA!$CD$3:$CD$250,0),4),""),"_"," ")),"")),""))</f>
        <v/>
      </c>
      <c r="C126" s="115" t="str">
        <f ca="1">IF(IFERROR(IF(ROW()-9&gt;COPIA!$CI$1,INDEX(ECONOMICO,MATCH((ROWS($B$12:B126)-COPIA!$CI$2),COPIA!$CD$191:$CD$247,0),5),INDEX(ATTIVO,MATCH(ROWS($C$13:C126),COPIA!$CD$3:$CD$250,0),5)),0)=0,"",IFERROR(IF(ROW()-9&gt;COPIA!$CI$1,INDEX(ECONOMICO,MATCH((ROWS($B$12:B126)-COPIA!$CI$2),COPIA!$CD$191:$CD$247,0),5),INDEX(ATTIVO,MATCH(ROWS($C$13:C126),COPIA!$CD$3:$CD$250,0),5)),0))</f>
        <v/>
      </c>
      <c r="D126" s="135" t="str">
        <f ca="1">CONCATENATE(IFERROR(IF(MID(CONCATENATE(SUBSTITUTE(IFERROR(INDEX(PASSIVO,MATCH(ROWS(D$13:$D126),COPIA!$CD$105:$CD$189,0),4),""),"_"," ")," ",),8,6)="di cui",CONCATENATE(SUBSTITUTE(IFERROR(INDEX(PASSIVO,MATCH(ROWS(D$13:$D126),COPIA!$CD$105:$CD$189,0),4),""),"_"," ")," ",FIXED(IFERROR(INDEX(PASSIVO,MATCH(ROW()-12,COPIA!$CD$105:$CD$189,0),2),""),,FALSE)," euro"),SUBSTITUTE(IFERROR(INDEX(PASSIVO,MATCH(ROWS($D$13:$D126),COPIA!$CD$105:$CD$189,0),4),""),"_"," ")),""))</f>
        <v/>
      </c>
      <c r="E126" s="115" t="str">
        <f ca="1">IF(IFERROR(INDEX(PASSIVO,MATCH(ROWS($E$13:E126),COPIA!$CD$105:$CD$189,0),5),0)=0,"",IFERROR(INDEX(PASSIVO,MATCH(ROWS($E$13:E126),COPIA!$CD$105:$CD$189,0),5),0))</f>
        <v/>
      </c>
    </row>
    <row r="127" spans="1:5" x14ac:dyDescent="0.3">
      <c r="A127" s="7">
        <f t="shared" ca="1" si="1"/>
        <v>0</v>
      </c>
      <c r="B127" s="132" t="str">
        <f ca="1">IF(ROW()-9&gt;COPIA!$CI$1,SUBSTITUTE(IFERROR(INDEX(ECONOMICO,MATCH((ROWS($B$12:B127)-COPIA!$CI$2),COPIA!$CD$191:$CD$247,0),4),""),"_"," "),IF(ROW()-9&lt;=COPIA!$CI$1,CONCATENATE(IFERROR(IF(MID(CONCATENATE(SUBSTITUTE(IFERROR(INDEX(ATTIVO,MATCH(ROWS(B$13:$B127),COPIA!$CD$3:$CD$250,0),4),""),"_"," ")," ",),8,6)="di cui",CONCATENATE(SUBSTITUTE(IFERROR(INDEX(ATTIVO,MATCH(ROWS(B$13:$B127),COPIA!$CD$3:$CD$250,0),4),""),"_"," ")," ",FIXED(IFERROR(INDEX(ATTIVO,MATCH(ROW()-12,COPIA!$CD$3:$CD$250,0),2),""),,FALSE)," euro"),SUBSTITUTE(IFERROR(INDEX(ATTIVO,MATCH(ROWS(B$13:$B127),COPIA!$CD$3:$CD$250,0),4),""),"_"," ")),"")),""))</f>
        <v/>
      </c>
      <c r="C127" s="115" t="str">
        <f ca="1">IF(IFERROR(IF(ROW()-9&gt;COPIA!$CI$1,INDEX(ECONOMICO,MATCH((ROWS($B$12:B127)-COPIA!$CI$2),COPIA!$CD$191:$CD$247,0),5),INDEX(ATTIVO,MATCH(ROWS($C$13:C127),COPIA!$CD$3:$CD$250,0),5)),0)=0,"",IFERROR(IF(ROW()-9&gt;COPIA!$CI$1,INDEX(ECONOMICO,MATCH((ROWS($B$12:B127)-COPIA!$CI$2),COPIA!$CD$191:$CD$247,0),5),INDEX(ATTIVO,MATCH(ROWS($C$13:C127),COPIA!$CD$3:$CD$250,0),5)),0))</f>
        <v/>
      </c>
      <c r="D127" s="135" t="str">
        <f ca="1">CONCATENATE(IFERROR(IF(MID(CONCATENATE(SUBSTITUTE(IFERROR(INDEX(PASSIVO,MATCH(ROWS(D$13:$D127),COPIA!$CD$105:$CD$189,0),4),""),"_"," ")," ",),8,6)="di cui",CONCATENATE(SUBSTITUTE(IFERROR(INDEX(PASSIVO,MATCH(ROWS(D$13:$D127),COPIA!$CD$105:$CD$189,0),4),""),"_"," ")," ",FIXED(IFERROR(INDEX(PASSIVO,MATCH(ROW()-12,COPIA!$CD$105:$CD$189,0),2),""),,FALSE)," euro"),SUBSTITUTE(IFERROR(INDEX(PASSIVO,MATCH(ROWS($D$13:$D127),COPIA!$CD$105:$CD$189,0),4),""),"_"," ")),""))</f>
        <v/>
      </c>
      <c r="E127" s="115" t="str">
        <f ca="1">IF(IFERROR(INDEX(PASSIVO,MATCH(ROWS($E$13:E127),COPIA!$CD$105:$CD$189,0),5),0)=0,"",IFERROR(INDEX(PASSIVO,MATCH(ROWS($E$13:E127),COPIA!$CD$105:$CD$189,0),5),0))</f>
        <v/>
      </c>
    </row>
    <row r="128" spans="1:5" x14ac:dyDescent="0.3">
      <c r="A128" s="7">
        <f t="shared" ca="1" si="1"/>
        <v>0</v>
      </c>
      <c r="B128" s="132" t="str">
        <f ca="1">IF(ROW()-9&gt;COPIA!$CI$1,SUBSTITUTE(IFERROR(INDEX(ECONOMICO,MATCH((ROWS($B$12:B128)-COPIA!$CI$2),COPIA!$CD$191:$CD$247,0),4),""),"_"," "),IF(ROW()-9&lt;=COPIA!$CI$1,CONCATENATE(IFERROR(IF(MID(CONCATENATE(SUBSTITUTE(IFERROR(INDEX(ATTIVO,MATCH(ROWS(B$13:$B128),COPIA!$CD$3:$CD$250,0),4),""),"_"," ")," ",),8,6)="di cui",CONCATENATE(SUBSTITUTE(IFERROR(INDEX(ATTIVO,MATCH(ROWS(B$13:$B128),COPIA!$CD$3:$CD$250,0),4),""),"_"," ")," ",FIXED(IFERROR(INDEX(ATTIVO,MATCH(ROW()-12,COPIA!$CD$3:$CD$250,0),2),""),,FALSE)," euro"),SUBSTITUTE(IFERROR(INDEX(ATTIVO,MATCH(ROWS(B$13:$B128),COPIA!$CD$3:$CD$250,0),4),""),"_"," ")),"")),""))</f>
        <v/>
      </c>
      <c r="C128" s="115" t="str">
        <f ca="1">IF(IFERROR(IF(ROW()-9&gt;COPIA!$CI$1,INDEX(ECONOMICO,MATCH((ROWS($B$12:B128)-COPIA!$CI$2),COPIA!$CD$191:$CD$247,0),5),INDEX(ATTIVO,MATCH(ROWS($C$13:C128),COPIA!$CD$3:$CD$250,0),5)),0)=0,"",IFERROR(IF(ROW()-9&gt;COPIA!$CI$1,INDEX(ECONOMICO,MATCH((ROWS($B$12:B128)-COPIA!$CI$2),COPIA!$CD$191:$CD$247,0),5),INDEX(ATTIVO,MATCH(ROWS($C$13:C128),COPIA!$CD$3:$CD$250,0),5)),0))</f>
        <v/>
      </c>
      <c r="D128" s="135" t="str">
        <f ca="1">CONCATENATE(IFERROR(IF(MID(CONCATENATE(SUBSTITUTE(IFERROR(INDEX(PASSIVO,MATCH(ROWS(D$13:$D128),COPIA!$CD$105:$CD$189,0),4),""),"_"," ")," ",),8,6)="di cui",CONCATENATE(SUBSTITUTE(IFERROR(INDEX(PASSIVO,MATCH(ROWS(D$13:$D128),COPIA!$CD$105:$CD$189,0),4),""),"_"," ")," ",FIXED(IFERROR(INDEX(PASSIVO,MATCH(ROW()-12,COPIA!$CD$105:$CD$189,0),2),""),,FALSE)," euro"),SUBSTITUTE(IFERROR(INDEX(PASSIVO,MATCH(ROWS($D$13:$D128),COPIA!$CD$105:$CD$189,0),4),""),"_"," ")),""))</f>
        <v/>
      </c>
      <c r="E128" s="115" t="str">
        <f ca="1">IF(IFERROR(INDEX(PASSIVO,MATCH(ROWS($E$13:E128),COPIA!$CD$105:$CD$189,0),5),0)=0,"",IFERROR(INDEX(PASSIVO,MATCH(ROWS($E$13:E128),COPIA!$CD$105:$CD$189,0),5),0))</f>
        <v/>
      </c>
    </row>
    <row r="129" spans="1:5" x14ac:dyDescent="0.3">
      <c r="A129" s="7">
        <f t="shared" ca="1" si="1"/>
        <v>0</v>
      </c>
      <c r="B129" s="132" t="str">
        <f ca="1">IF(ROW()-9&gt;COPIA!$CI$1,SUBSTITUTE(IFERROR(INDEX(ECONOMICO,MATCH((ROWS($B$12:B129)-COPIA!$CI$2),COPIA!$CD$191:$CD$247,0),4),""),"_"," "),IF(ROW()-9&lt;=COPIA!$CI$1,CONCATENATE(IFERROR(IF(MID(CONCATENATE(SUBSTITUTE(IFERROR(INDEX(ATTIVO,MATCH(ROWS(B$13:$B129),COPIA!$CD$3:$CD$250,0),4),""),"_"," ")," ",),8,6)="di cui",CONCATENATE(SUBSTITUTE(IFERROR(INDEX(ATTIVO,MATCH(ROWS(B$13:$B129),COPIA!$CD$3:$CD$250,0),4),""),"_"," ")," ",FIXED(IFERROR(INDEX(ATTIVO,MATCH(ROW()-12,COPIA!$CD$3:$CD$250,0),2),""),,FALSE)," euro"),SUBSTITUTE(IFERROR(INDEX(ATTIVO,MATCH(ROWS(B$13:$B129),COPIA!$CD$3:$CD$250,0),4),""),"_"," ")),"")),""))</f>
        <v/>
      </c>
      <c r="C129" s="115" t="str">
        <f ca="1">IF(IFERROR(IF(ROW()-9&gt;COPIA!$CI$1,INDEX(ECONOMICO,MATCH((ROWS($B$12:B129)-COPIA!$CI$2),COPIA!$CD$191:$CD$247,0),5),INDEX(ATTIVO,MATCH(ROWS($C$13:C129),COPIA!$CD$3:$CD$250,0),5)),0)=0,"",IFERROR(IF(ROW()-9&gt;COPIA!$CI$1,INDEX(ECONOMICO,MATCH((ROWS($B$12:B129)-COPIA!$CI$2),COPIA!$CD$191:$CD$247,0),5),INDEX(ATTIVO,MATCH(ROWS($C$13:C129),COPIA!$CD$3:$CD$250,0),5)),0))</f>
        <v/>
      </c>
      <c r="D129" s="135" t="str">
        <f ca="1">CONCATENATE(IFERROR(IF(MID(CONCATENATE(SUBSTITUTE(IFERROR(INDEX(PASSIVO,MATCH(ROWS(D$13:$D129),COPIA!$CD$105:$CD$189,0),4),""),"_"," ")," ",),8,6)="di cui",CONCATENATE(SUBSTITUTE(IFERROR(INDEX(PASSIVO,MATCH(ROWS(D$13:$D129),COPIA!$CD$105:$CD$189,0),4),""),"_"," ")," ",FIXED(IFERROR(INDEX(PASSIVO,MATCH(ROW()-12,COPIA!$CD$105:$CD$189,0),2),""),,FALSE)," euro"),SUBSTITUTE(IFERROR(INDEX(PASSIVO,MATCH(ROWS($D$13:$D129),COPIA!$CD$105:$CD$189,0),4),""),"_"," ")),""))</f>
        <v/>
      </c>
      <c r="E129" s="115" t="str">
        <f ca="1">IF(IFERROR(INDEX(PASSIVO,MATCH(ROWS($E$13:E129),COPIA!$CD$105:$CD$189,0),5),0)=0,"",IFERROR(INDEX(PASSIVO,MATCH(ROWS($E$13:E129),COPIA!$CD$105:$CD$189,0),5),0))</f>
        <v/>
      </c>
    </row>
    <row r="130" spans="1:5" x14ac:dyDescent="0.3">
      <c r="A130" s="7">
        <f t="shared" ca="1" si="1"/>
        <v>0</v>
      </c>
      <c r="B130" s="132" t="str">
        <f ca="1">IF(ROW()-9&gt;COPIA!$CI$1,SUBSTITUTE(IFERROR(INDEX(ECONOMICO,MATCH((ROWS($B$12:B130)-COPIA!$CI$2),COPIA!$CD$191:$CD$247,0),4),""),"_"," "),IF(ROW()-9&lt;=COPIA!$CI$1,CONCATENATE(IFERROR(IF(MID(CONCATENATE(SUBSTITUTE(IFERROR(INDEX(ATTIVO,MATCH(ROWS(B$13:$B130),COPIA!$CD$3:$CD$250,0),4),""),"_"," ")," ",),8,6)="di cui",CONCATENATE(SUBSTITUTE(IFERROR(INDEX(ATTIVO,MATCH(ROWS(B$13:$B130),COPIA!$CD$3:$CD$250,0),4),""),"_"," ")," ",FIXED(IFERROR(INDEX(ATTIVO,MATCH(ROW()-12,COPIA!$CD$3:$CD$250,0),2),""),,FALSE)," euro"),SUBSTITUTE(IFERROR(INDEX(ATTIVO,MATCH(ROWS(B$13:$B130),COPIA!$CD$3:$CD$250,0),4),""),"_"," ")),"")),""))</f>
        <v/>
      </c>
      <c r="C130" s="115" t="str">
        <f ca="1">IF(IFERROR(IF(ROW()-9&gt;COPIA!$CI$1,INDEX(ECONOMICO,MATCH((ROWS($B$12:B130)-COPIA!$CI$2),COPIA!$CD$191:$CD$247,0),5),INDEX(ATTIVO,MATCH(ROWS($C$13:C130),COPIA!$CD$3:$CD$250,0),5)),0)=0,"",IFERROR(IF(ROW()-9&gt;COPIA!$CI$1,INDEX(ECONOMICO,MATCH((ROWS($B$12:B130)-COPIA!$CI$2),COPIA!$CD$191:$CD$247,0),5),INDEX(ATTIVO,MATCH(ROWS($C$13:C130),COPIA!$CD$3:$CD$250,0),5)),0))</f>
        <v/>
      </c>
      <c r="D130" s="135" t="str">
        <f ca="1">CONCATENATE(IFERROR(IF(MID(CONCATENATE(SUBSTITUTE(IFERROR(INDEX(PASSIVO,MATCH(ROWS(D$13:$D130),COPIA!$CD$105:$CD$189,0),4),""),"_"," ")," ",),8,6)="di cui",CONCATENATE(SUBSTITUTE(IFERROR(INDEX(PASSIVO,MATCH(ROWS(D$13:$D130),COPIA!$CD$105:$CD$189,0),4),""),"_"," ")," ",FIXED(IFERROR(INDEX(PASSIVO,MATCH(ROW()-12,COPIA!$CD$105:$CD$189,0),2),""),,FALSE)," euro"),SUBSTITUTE(IFERROR(INDEX(PASSIVO,MATCH(ROWS($D$13:$D130),COPIA!$CD$105:$CD$189,0),4),""),"_"," ")),""))</f>
        <v/>
      </c>
      <c r="E130" s="115" t="str">
        <f ca="1">IF(IFERROR(INDEX(PASSIVO,MATCH(ROWS($E$13:E130),COPIA!$CD$105:$CD$189,0),5),0)=0,"",IFERROR(INDEX(PASSIVO,MATCH(ROWS($E$13:E130),COPIA!$CD$105:$CD$189,0),5),0))</f>
        <v/>
      </c>
    </row>
    <row r="131" spans="1:5" x14ac:dyDescent="0.3">
      <c r="A131" s="7">
        <f t="shared" ca="1" si="1"/>
        <v>0</v>
      </c>
      <c r="B131" s="132" t="str">
        <f ca="1">IF(ROW()-9&gt;COPIA!$CI$1,SUBSTITUTE(IFERROR(INDEX(ECONOMICO,MATCH((ROWS($B$12:B131)-COPIA!$CI$2),COPIA!$CD$191:$CD$247,0),4),""),"_"," "),IF(ROW()-9&lt;=COPIA!$CI$1,CONCATENATE(IFERROR(IF(MID(CONCATENATE(SUBSTITUTE(IFERROR(INDEX(ATTIVO,MATCH(ROWS(B$13:$B131),COPIA!$CD$3:$CD$250,0),4),""),"_"," ")," ",),8,6)="di cui",CONCATENATE(SUBSTITUTE(IFERROR(INDEX(ATTIVO,MATCH(ROWS(B$13:$B131),COPIA!$CD$3:$CD$250,0),4),""),"_"," ")," ",FIXED(IFERROR(INDEX(ATTIVO,MATCH(ROW()-12,COPIA!$CD$3:$CD$250,0),2),""),,FALSE)," euro"),SUBSTITUTE(IFERROR(INDEX(ATTIVO,MATCH(ROWS(B$13:$B131),COPIA!$CD$3:$CD$250,0),4),""),"_"," ")),"")),""))</f>
        <v/>
      </c>
      <c r="C131" s="115" t="str">
        <f ca="1">IF(IFERROR(IF(ROW()-9&gt;COPIA!$CI$1,INDEX(ECONOMICO,MATCH((ROWS($B$12:B131)-COPIA!$CI$2),COPIA!$CD$191:$CD$247,0),5),INDEX(ATTIVO,MATCH(ROWS($C$13:C131),COPIA!$CD$3:$CD$250,0),5)),0)=0,"",IFERROR(IF(ROW()-9&gt;COPIA!$CI$1,INDEX(ECONOMICO,MATCH((ROWS($B$12:B131)-COPIA!$CI$2),COPIA!$CD$191:$CD$247,0),5),INDEX(ATTIVO,MATCH(ROWS($C$13:C131),COPIA!$CD$3:$CD$250,0),5)),0))</f>
        <v/>
      </c>
      <c r="D131" s="135" t="str">
        <f ca="1">CONCATENATE(IFERROR(IF(MID(CONCATENATE(SUBSTITUTE(IFERROR(INDEX(PASSIVO,MATCH(ROWS(D$13:$D131),COPIA!$CD$105:$CD$189,0),4),""),"_"," ")," ",),8,6)="di cui",CONCATENATE(SUBSTITUTE(IFERROR(INDEX(PASSIVO,MATCH(ROWS(D$13:$D131),COPIA!$CD$105:$CD$189,0),4),""),"_"," ")," ",FIXED(IFERROR(INDEX(PASSIVO,MATCH(ROW()-12,COPIA!$CD$105:$CD$189,0),2),""),,FALSE)," euro"),SUBSTITUTE(IFERROR(INDEX(PASSIVO,MATCH(ROWS($D$13:$D131),COPIA!$CD$105:$CD$189,0),4),""),"_"," ")),""))</f>
        <v/>
      </c>
      <c r="E131" s="115" t="str">
        <f ca="1">IF(IFERROR(INDEX(PASSIVO,MATCH(ROWS($E$13:E131),COPIA!$CD$105:$CD$189,0),5),0)=0,"",IFERROR(INDEX(PASSIVO,MATCH(ROWS($E$13:E131),COPIA!$CD$105:$CD$189,0),5),0))</f>
        <v/>
      </c>
    </row>
    <row r="132" spans="1:5" x14ac:dyDescent="0.3">
      <c r="A132" s="7">
        <f t="shared" ca="1" si="1"/>
        <v>0</v>
      </c>
      <c r="B132" s="132" t="str">
        <f ca="1">IF(ROW()-9&gt;COPIA!$CI$1,SUBSTITUTE(IFERROR(INDEX(ECONOMICO,MATCH((ROWS($B$12:B132)-COPIA!$CI$2),COPIA!$CD$191:$CD$247,0),4),""),"_"," "),IF(ROW()-9&lt;=COPIA!$CI$1,CONCATENATE(IFERROR(IF(MID(CONCATENATE(SUBSTITUTE(IFERROR(INDEX(ATTIVO,MATCH(ROWS(B$13:$B132),COPIA!$CD$3:$CD$250,0),4),""),"_"," ")," ",),8,6)="di cui",CONCATENATE(SUBSTITUTE(IFERROR(INDEX(ATTIVO,MATCH(ROWS(B$13:$B132),COPIA!$CD$3:$CD$250,0),4),""),"_"," ")," ",FIXED(IFERROR(INDEX(ATTIVO,MATCH(ROW()-12,COPIA!$CD$3:$CD$250,0),2),""),,FALSE)," euro"),SUBSTITUTE(IFERROR(INDEX(ATTIVO,MATCH(ROWS(B$13:$B132),COPIA!$CD$3:$CD$250,0),4),""),"_"," ")),"")),""))</f>
        <v/>
      </c>
      <c r="C132" s="115" t="str">
        <f ca="1">IF(IFERROR(IF(ROW()-9&gt;COPIA!$CI$1,INDEX(ECONOMICO,MATCH((ROWS($B$12:B132)-COPIA!$CI$2),COPIA!$CD$191:$CD$247,0),5),INDEX(ATTIVO,MATCH(ROWS($C$13:C132),COPIA!$CD$3:$CD$250,0),5)),0)=0,"",IFERROR(IF(ROW()-9&gt;COPIA!$CI$1,INDEX(ECONOMICO,MATCH((ROWS($B$12:B132)-COPIA!$CI$2),COPIA!$CD$191:$CD$247,0),5),INDEX(ATTIVO,MATCH(ROWS($C$13:C132),COPIA!$CD$3:$CD$250,0),5)),0))</f>
        <v/>
      </c>
      <c r="D132" s="135" t="str">
        <f ca="1">CONCATENATE(IFERROR(IF(MID(CONCATENATE(SUBSTITUTE(IFERROR(INDEX(PASSIVO,MATCH(ROWS(D$13:$D132),COPIA!$CD$105:$CD$189,0),4),""),"_"," ")," ",),8,6)="di cui",CONCATENATE(SUBSTITUTE(IFERROR(INDEX(PASSIVO,MATCH(ROWS(D$13:$D132),COPIA!$CD$105:$CD$189,0),4),""),"_"," ")," ",FIXED(IFERROR(INDEX(PASSIVO,MATCH(ROW()-12,COPIA!$CD$105:$CD$189,0),2),""),,FALSE)," euro"),SUBSTITUTE(IFERROR(INDEX(PASSIVO,MATCH(ROWS($D$13:$D132),COPIA!$CD$105:$CD$189,0),4),""),"_"," ")),""))</f>
        <v/>
      </c>
      <c r="E132" s="115" t="str">
        <f ca="1">IF(IFERROR(INDEX(PASSIVO,MATCH(ROWS($E$13:E132),COPIA!$CD$105:$CD$189,0),5),0)=0,"",IFERROR(INDEX(PASSIVO,MATCH(ROWS($E$13:E132),COPIA!$CD$105:$CD$189,0),5),0))</f>
        <v/>
      </c>
    </row>
    <row r="133" spans="1:5" x14ac:dyDescent="0.3">
      <c r="A133" s="7">
        <f t="shared" ca="1" si="1"/>
        <v>0</v>
      </c>
      <c r="B133" s="132" t="str">
        <f ca="1">IF(ROW()-9&gt;COPIA!$CI$1,SUBSTITUTE(IFERROR(INDEX(ECONOMICO,MATCH((ROWS($B$12:B133)-COPIA!$CI$2),COPIA!$CD$191:$CD$247,0),4),""),"_"," "),IF(ROW()-9&lt;=COPIA!$CI$1,CONCATENATE(IFERROR(IF(MID(CONCATENATE(SUBSTITUTE(IFERROR(INDEX(ATTIVO,MATCH(ROWS(B$13:$B133),COPIA!$CD$3:$CD$250,0),4),""),"_"," ")," ",),8,6)="di cui",CONCATENATE(SUBSTITUTE(IFERROR(INDEX(ATTIVO,MATCH(ROWS(B$13:$B133),COPIA!$CD$3:$CD$250,0),4),""),"_"," ")," ",FIXED(IFERROR(INDEX(ATTIVO,MATCH(ROW()-12,COPIA!$CD$3:$CD$250,0),2),""),,FALSE)," euro"),SUBSTITUTE(IFERROR(INDEX(ATTIVO,MATCH(ROWS(B$13:$B133),COPIA!$CD$3:$CD$250,0),4),""),"_"," ")),"")),""))</f>
        <v/>
      </c>
      <c r="C133" s="115" t="str">
        <f ca="1">IF(IFERROR(IF(ROW()-9&gt;COPIA!$CI$1,INDEX(ECONOMICO,MATCH((ROWS($B$12:B133)-COPIA!$CI$2),COPIA!$CD$191:$CD$247,0),5),INDEX(ATTIVO,MATCH(ROWS($C$13:C133),COPIA!$CD$3:$CD$250,0),5)),0)=0,"",IFERROR(IF(ROW()-9&gt;COPIA!$CI$1,INDEX(ECONOMICO,MATCH((ROWS($B$12:B133)-COPIA!$CI$2),COPIA!$CD$191:$CD$247,0),5),INDEX(ATTIVO,MATCH(ROWS($C$13:C133),COPIA!$CD$3:$CD$250,0),5)),0))</f>
        <v/>
      </c>
      <c r="D133" s="135" t="str">
        <f ca="1">CONCATENATE(IFERROR(IF(MID(CONCATENATE(SUBSTITUTE(IFERROR(INDEX(PASSIVO,MATCH(ROWS(D$13:$D133),COPIA!$CD$105:$CD$189,0),4),""),"_"," ")," ",),8,6)="di cui",CONCATENATE(SUBSTITUTE(IFERROR(INDEX(PASSIVO,MATCH(ROWS(D$13:$D133),COPIA!$CD$105:$CD$189,0),4),""),"_"," ")," ",FIXED(IFERROR(INDEX(PASSIVO,MATCH(ROW()-12,COPIA!$CD$105:$CD$189,0),2),""),,FALSE)," euro"),SUBSTITUTE(IFERROR(INDEX(PASSIVO,MATCH(ROWS($D$13:$D133),COPIA!$CD$105:$CD$189,0),4),""),"_"," ")),""))</f>
        <v/>
      </c>
      <c r="E133" s="115" t="str">
        <f ca="1">IF(IFERROR(INDEX(PASSIVO,MATCH(ROWS($E$13:E133),COPIA!$CD$105:$CD$189,0),5),0)=0,"",IFERROR(INDEX(PASSIVO,MATCH(ROWS($E$13:E133),COPIA!$CD$105:$CD$189,0),5),0))</f>
        <v/>
      </c>
    </row>
    <row r="134" spans="1:5" x14ac:dyDescent="0.3">
      <c r="A134" s="7">
        <f t="shared" ca="1" si="1"/>
        <v>0</v>
      </c>
      <c r="B134" s="132" t="str">
        <f ca="1">IF(ROW()-9&gt;COPIA!$CI$1,SUBSTITUTE(IFERROR(INDEX(ECONOMICO,MATCH((ROWS($B$12:B134)-COPIA!$CI$2),COPIA!$CD$191:$CD$247,0),4),""),"_"," "),IF(ROW()-9&lt;=COPIA!$CI$1,CONCATENATE(IFERROR(IF(MID(CONCATENATE(SUBSTITUTE(IFERROR(INDEX(ATTIVO,MATCH(ROWS(B$13:$B134),COPIA!$CD$3:$CD$250,0),4),""),"_"," ")," ",),8,6)="di cui",CONCATENATE(SUBSTITUTE(IFERROR(INDEX(ATTIVO,MATCH(ROWS(B$13:$B134),COPIA!$CD$3:$CD$250,0),4),""),"_"," ")," ",FIXED(IFERROR(INDEX(ATTIVO,MATCH(ROW()-12,COPIA!$CD$3:$CD$250,0),2),""),,FALSE)," euro"),SUBSTITUTE(IFERROR(INDEX(ATTIVO,MATCH(ROWS(B$13:$B134),COPIA!$CD$3:$CD$250,0),4),""),"_"," ")),"")),""))</f>
        <v/>
      </c>
      <c r="C134" s="115" t="str">
        <f ca="1">IF(IFERROR(IF(ROW()-9&gt;COPIA!$CI$1,INDEX(ECONOMICO,MATCH((ROWS($B$12:B134)-COPIA!$CI$2),COPIA!$CD$191:$CD$247,0),5),INDEX(ATTIVO,MATCH(ROWS($C$13:C134),COPIA!$CD$3:$CD$250,0),5)),0)=0,"",IFERROR(IF(ROW()-9&gt;COPIA!$CI$1,INDEX(ECONOMICO,MATCH((ROWS($B$12:B134)-COPIA!$CI$2),COPIA!$CD$191:$CD$247,0),5),INDEX(ATTIVO,MATCH(ROWS($C$13:C134),COPIA!$CD$3:$CD$250,0),5)),0))</f>
        <v/>
      </c>
      <c r="D134" s="135" t="str">
        <f ca="1">CONCATENATE(IFERROR(IF(MID(CONCATENATE(SUBSTITUTE(IFERROR(INDEX(PASSIVO,MATCH(ROWS(D$13:$D134),COPIA!$CD$105:$CD$189,0),4),""),"_"," ")," ",),8,6)="di cui",CONCATENATE(SUBSTITUTE(IFERROR(INDEX(PASSIVO,MATCH(ROWS(D$13:$D134),COPIA!$CD$105:$CD$189,0),4),""),"_"," ")," ",FIXED(IFERROR(INDEX(PASSIVO,MATCH(ROW()-12,COPIA!$CD$105:$CD$189,0),2),""),,FALSE)," euro"),SUBSTITUTE(IFERROR(INDEX(PASSIVO,MATCH(ROWS($D$13:$D134),COPIA!$CD$105:$CD$189,0),4),""),"_"," ")),""))</f>
        <v/>
      </c>
      <c r="E134" s="115" t="str">
        <f ca="1">IF(IFERROR(INDEX(PASSIVO,MATCH(ROWS($E$13:E134),COPIA!$CD$105:$CD$189,0),5),0)=0,"",IFERROR(INDEX(PASSIVO,MATCH(ROWS($E$13:E134),COPIA!$CD$105:$CD$189,0),5),0))</f>
        <v/>
      </c>
    </row>
    <row r="135" spans="1:5" x14ac:dyDescent="0.3">
      <c r="A135" s="7">
        <f t="shared" ca="1" si="1"/>
        <v>0</v>
      </c>
      <c r="B135" s="132" t="str">
        <f ca="1">IF(ROW()-9&gt;COPIA!$CI$1,SUBSTITUTE(IFERROR(INDEX(ECONOMICO,MATCH((ROWS($B$12:B135)-COPIA!$CI$2),COPIA!$CD$191:$CD$247,0),4),""),"_"," "),IF(ROW()-9&lt;=COPIA!$CI$1,CONCATENATE(IFERROR(IF(MID(CONCATENATE(SUBSTITUTE(IFERROR(INDEX(ATTIVO,MATCH(ROWS(B$13:$B135),COPIA!$CD$3:$CD$250,0),4),""),"_"," ")," ",),8,6)="di cui",CONCATENATE(SUBSTITUTE(IFERROR(INDEX(ATTIVO,MATCH(ROWS(B$13:$B135),COPIA!$CD$3:$CD$250,0),4),""),"_"," ")," ",FIXED(IFERROR(INDEX(ATTIVO,MATCH(ROW()-12,COPIA!$CD$3:$CD$250,0),2),""),,FALSE)," euro"),SUBSTITUTE(IFERROR(INDEX(ATTIVO,MATCH(ROWS(B$13:$B135),COPIA!$CD$3:$CD$250,0),4),""),"_"," ")),"")),""))</f>
        <v/>
      </c>
      <c r="C135" s="115" t="str">
        <f ca="1">IF(IFERROR(IF(ROW()-9&gt;COPIA!$CI$1,INDEX(ECONOMICO,MATCH((ROWS($B$12:B135)-COPIA!$CI$2),COPIA!$CD$191:$CD$247,0),5),INDEX(ATTIVO,MATCH(ROWS($C$13:C135),COPIA!$CD$3:$CD$250,0),5)),0)=0,"",IFERROR(IF(ROW()-9&gt;COPIA!$CI$1,INDEX(ECONOMICO,MATCH((ROWS($B$12:B135)-COPIA!$CI$2),COPIA!$CD$191:$CD$247,0),5),INDEX(ATTIVO,MATCH(ROWS($C$13:C135),COPIA!$CD$3:$CD$250,0),5)),0))</f>
        <v/>
      </c>
      <c r="D135" s="135" t="str">
        <f ca="1">CONCATENATE(IFERROR(IF(MID(CONCATENATE(SUBSTITUTE(IFERROR(INDEX(PASSIVO,MATCH(ROWS(D$13:$D135),COPIA!$CD$105:$CD$189,0),4),""),"_"," ")," ",),8,6)="di cui",CONCATENATE(SUBSTITUTE(IFERROR(INDEX(PASSIVO,MATCH(ROWS(D$13:$D135),COPIA!$CD$105:$CD$189,0),4),""),"_"," ")," ",FIXED(IFERROR(INDEX(PASSIVO,MATCH(ROW()-12,COPIA!$CD$105:$CD$189,0),2),""),,FALSE)," euro"),SUBSTITUTE(IFERROR(INDEX(PASSIVO,MATCH(ROWS($D$13:$D135),COPIA!$CD$105:$CD$189,0),4),""),"_"," ")),""))</f>
        <v/>
      </c>
      <c r="E135" s="115" t="str">
        <f ca="1">IF(IFERROR(INDEX(PASSIVO,MATCH(ROWS($E$13:E135),COPIA!$CD$105:$CD$189,0),5),0)=0,"",IFERROR(INDEX(PASSIVO,MATCH(ROWS($E$13:E135),COPIA!$CD$105:$CD$189,0),5),0))</f>
        <v/>
      </c>
    </row>
    <row r="136" spans="1:5" x14ac:dyDescent="0.3">
      <c r="A136" s="7">
        <f t="shared" ca="1" si="1"/>
        <v>0</v>
      </c>
      <c r="B136" s="132" t="str">
        <f ca="1">IF(ROW()-9&gt;COPIA!$CI$1,SUBSTITUTE(IFERROR(INDEX(ECONOMICO,MATCH((ROWS($B$12:B136)-COPIA!$CI$2),COPIA!$CD$191:$CD$247,0),4),""),"_"," "),IF(ROW()-9&lt;=COPIA!$CI$1,CONCATENATE(IFERROR(IF(MID(CONCATENATE(SUBSTITUTE(IFERROR(INDEX(ATTIVO,MATCH(ROWS(B$13:$B136),COPIA!$CD$3:$CD$250,0),4),""),"_"," ")," ",),8,6)="di cui",CONCATENATE(SUBSTITUTE(IFERROR(INDEX(ATTIVO,MATCH(ROWS(B$13:$B136),COPIA!$CD$3:$CD$250,0),4),""),"_"," ")," ",FIXED(IFERROR(INDEX(ATTIVO,MATCH(ROW()-12,COPIA!$CD$3:$CD$250,0),2),""),,FALSE)," euro"),SUBSTITUTE(IFERROR(INDEX(ATTIVO,MATCH(ROWS(B$13:$B136),COPIA!$CD$3:$CD$250,0),4),""),"_"," ")),"")),""))</f>
        <v/>
      </c>
      <c r="C136" s="115" t="str">
        <f ca="1">IF(IFERROR(IF(ROW()-9&gt;COPIA!$CI$1,INDEX(ECONOMICO,MATCH((ROWS($B$12:B136)-COPIA!$CI$2),COPIA!$CD$191:$CD$247,0),5),INDEX(ATTIVO,MATCH(ROWS($C$13:C136),COPIA!$CD$3:$CD$250,0),5)),0)=0,"",IFERROR(IF(ROW()-9&gt;COPIA!$CI$1,INDEX(ECONOMICO,MATCH((ROWS($B$12:B136)-COPIA!$CI$2),COPIA!$CD$191:$CD$247,0),5),INDEX(ATTIVO,MATCH(ROWS($C$13:C136),COPIA!$CD$3:$CD$250,0),5)),0))</f>
        <v/>
      </c>
      <c r="D136" s="135" t="str">
        <f ca="1">CONCATENATE(IFERROR(IF(MID(CONCATENATE(SUBSTITUTE(IFERROR(INDEX(PASSIVO,MATCH(ROWS(D$13:$D136),COPIA!$CD$105:$CD$189,0),4),""),"_"," ")," ",),8,6)="di cui",CONCATENATE(SUBSTITUTE(IFERROR(INDEX(PASSIVO,MATCH(ROWS(D$13:$D136),COPIA!$CD$105:$CD$189,0),4),""),"_"," ")," ",FIXED(IFERROR(INDEX(PASSIVO,MATCH(ROW()-12,COPIA!$CD$105:$CD$189,0),2),""),,FALSE)," euro"),SUBSTITUTE(IFERROR(INDEX(PASSIVO,MATCH(ROWS($D$13:$D136),COPIA!$CD$105:$CD$189,0),4),""),"_"," ")),""))</f>
        <v/>
      </c>
      <c r="E136" s="115" t="str">
        <f ca="1">IF(IFERROR(INDEX(PASSIVO,MATCH(ROWS($E$13:E136),COPIA!$CD$105:$CD$189,0),5),0)=0,"",IFERROR(INDEX(PASSIVO,MATCH(ROWS($E$13:E136),COPIA!$CD$105:$CD$189,0),5),0))</f>
        <v/>
      </c>
    </row>
    <row r="137" spans="1:5" x14ac:dyDescent="0.3">
      <c r="A137" s="7">
        <f t="shared" ca="1" si="1"/>
        <v>0</v>
      </c>
      <c r="B137" s="132" t="str">
        <f ca="1">IF(ROW()-9&gt;COPIA!$CI$1,SUBSTITUTE(IFERROR(INDEX(ECONOMICO,MATCH((ROWS($B$12:B137)-COPIA!$CI$2),COPIA!$CD$191:$CD$247,0),4),""),"_"," "),IF(ROW()-9&lt;=COPIA!$CI$1,CONCATENATE(IFERROR(IF(MID(CONCATENATE(SUBSTITUTE(IFERROR(INDEX(ATTIVO,MATCH(ROWS(B$13:$B137),COPIA!$CD$3:$CD$250,0),4),""),"_"," ")," ",),8,6)="di cui",CONCATENATE(SUBSTITUTE(IFERROR(INDEX(ATTIVO,MATCH(ROWS(B$13:$B137),COPIA!$CD$3:$CD$250,0),4),""),"_"," ")," ",FIXED(IFERROR(INDEX(ATTIVO,MATCH(ROW()-12,COPIA!$CD$3:$CD$250,0),2),""),,FALSE)," euro"),SUBSTITUTE(IFERROR(INDEX(ATTIVO,MATCH(ROWS(B$13:$B137),COPIA!$CD$3:$CD$250,0),4),""),"_"," ")),"")),""))</f>
        <v/>
      </c>
      <c r="C137" s="115" t="str">
        <f ca="1">IF(IFERROR(IF(ROW()-9&gt;COPIA!$CI$1,INDEX(ECONOMICO,MATCH((ROWS($B$12:B137)-COPIA!$CI$2),COPIA!$CD$191:$CD$247,0),5),INDEX(ATTIVO,MATCH(ROWS($C$13:C137),COPIA!$CD$3:$CD$250,0),5)),0)=0,"",IFERROR(IF(ROW()-9&gt;COPIA!$CI$1,INDEX(ECONOMICO,MATCH((ROWS($B$12:B137)-COPIA!$CI$2),COPIA!$CD$191:$CD$247,0),5),INDEX(ATTIVO,MATCH(ROWS($C$13:C137),COPIA!$CD$3:$CD$250,0),5)),0))</f>
        <v/>
      </c>
      <c r="D137" s="135" t="str">
        <f ca="1">CONCATENATE(IFERROR(IF(MID(CONCATENATE(SUBSTITUTE(IFERROR(INDEX(PASSIVO,MATCH(ROWS(D$13:$D137),COPIA!$CD$105:$CD$189,0),4),""),"_"," ")," ",),8,6)="di cui",CONCATENATE(SUBSTITUTE(IFERROR(INDEX(PASSIVO,MATCH(ROWS(D$13:$D137),COPIA!$CD$105:$CD$189,0),4),""),"_"," ")," ",FIXED(IFERROR(INDEX(PASSIVO,MATCH(ROW()-12,COPIA!$CD$105:$CD$189,0),2),""),,FALSE)," euro"),SUBSTITUTE(IFERROR(INDEX(PASSIVO,MATCH(ROWS($D$13:$D137),COPIA!$CD$105:$CD$189,0),4),""),"_"," ")),""))</f>
        <v/>
      </c>
      <c r="E137" s="115" t="str">
        <f ca="1">IF(IFERROR(INDEX(PASSIVO,MATCH(ROWS($E$13:E137),COPIA!$CD$105:$CD$189,0),5),0)=0,"",IFERROR(INDEX(PASSIVO,MATCH(ROWS($E$13:E137),COPIA!$CD$105:$CD$189,0),5),0))</f>
        <v/>
      </c>
    </row>
    <row r="138" spans="1:5" x14ac:dyDescent="0.3">
      <c r="A138" s="7">
        <f t="shared" ca="1" si="1"/>
        <v>0</v>
      </c>
      <c r="B138" s="132" t="str">
        <f ca="1">IF(ROW()-9&gt;COPIA!$CI$1,SUBSTITUTE(IFERROR(INDEX(ECONOMICO,MATCH((ROWS($B$12:B138)-COPIA!$CI$2),COPIA!$CD$191:$CD$247,0),4),""),"_"," "),IF(ROW()-9&lt;=COPIA!$CI$1,CONCATENATE(IFERROR(IF(MID(CONCATENATE(SUBSTITUTE(IFERROR(INDEX(ATTIVO,MATCH(ROWS(B$13:$B138),COPIA!$CD$3:$CD$250,0),4),""),"_"," ")," ",),8,6)="di cui",CONCATENATE(SUBSTITUTE(IFERROR(INDEX(ATTIVO,MATCH(ROWS(B$13:$B138),COPIA!$CD$3:$CD$250,0),4),""),"_"," ")," ",FIXED(IFERROR(INDEX(ATTIVO,MATCH(ROW()-12,COPIA!$CD$3:$CD$250,0),2),""),,FALSE)," euro"),SUBSTITUTE(IFERROR(INDEX(ATTIVO,MATCH(ROWS(B$13:$B138),COPIA!$CD$3:$CD$250,0),4),""),"_"," ")),"")),""))</f>
        <v/>
      </c>
      <c r="C138" s="115" t="str">
        <f ca="1">IF(IFERROR(IF(ROW()-9&gt;COPIA!$CI$1,INDEX(ECONOMICO,MATCH((ROWS($B$12:B138)-COPIA!$CI$2),COPIA!$CD$191:$CD$247,0),5),INDEX(ATTIVO,MATCH(ROWS($C$13:C138),COPIA!$CD$3:$CD$250,0),5)),0)=0,"",IFERROR(IF(ROW()-9&gt;COPIA!$CI$1,INDEX(ECONOMICO,MATCH((ROWS($B$12:B138)-COPIA!$CI$2),COPIA!$CD$191:$CD$247,0),5),INDEX(ATTIVO,MATCH(ROWS($C$13:C138),COPIA!$CD$3:$CD$250,0),5)),0))</f>
        <v/>
      </c>
      <c r="D138" s="135" t="str">
        <f ca="1">CONCATENATE(IFERROR(IF(MID(CONCATENATE(SUBSTITUTE(IFERROR(INDEX(PASSIVO,MATCH(ROWS(D$13:$D138),COPIA!$CD$105:$CD$189,0),4),""),"_"," ")," ",),8,6)="di cui",CONCATENATE(SUBSTITUTE(IFERROR(INDEX(PASSIVO,MATCH(ROWS(D$13:$D138),COPIA!$CD$105:$CD$189,0),4),""),"_"," ")," ",FIXED(IFERROR(INDEX(PASSIVO,MATCH(ROW()-12,COPIA!$CD$105:$CD$189,0),2),""),,FALSE)," euro"),SUBSTITUTE(IFERROR(INDEX(PASSIVO,MATCH(ROWS($D$13:$D138),COPIA!$CD$105:$CD$189,0),4),""),"_"," ")),""))</f>
        <v/>
      </c>
      <c r="E138" s="115" t="str">
        <f ca="1">IF(IFERROR(INDEX(PASSIVO,MATCH(ROWS($E$13:E138),COPIA!$CD$105:$CD$189,0),5),0)=0,"",IFERROR(INDEX(PASSIVO,MATCH(ROWS($E$13:E138),COPIA!$CD$105:$CD$189,0),5),0))</f>
        <v/>
      </c>
    </row>
    <row r="139" spans="1:5" x14ac:dyDescent="0.3">
      <c r="A139" s="7">
        <f t="shared" ca="1" si="1"/>
        <v>0</v>
      </c>
      <c r="B139" s="132" t="str">
        <f ca="1">IF(ROW()-9&gt;COPIA!$CI$1,SUBSTITUTE(IFERROR(INDEX(ECONOMICO,MATCH((ROWS($B$12:B139)-COPIA!$CI$2),COPIA!$CD$191:$CD$247,0),4),""),"_"," "),IF(ROW()-9&lt;=COPIA!$CI$1,CONCATENATE(IFERROR(IF(MID(CONCATENATE(SUBSTITUTE(IFERROR(INDEX(ATTIVO,MATCH(ROWS(B$13:$B139),COPIA!$CD$3:$CD$250,0),4),""),"_"," ")," ",),8,6)="di cui",CONCATENATE(SUBSTITUTE(IFERROR(INDEX(ATTIVO,MATCH(ROWS(B$13:$B139),COPIA!$CD$3:$CD$250,0),4),""),"_"," ")," ",FIXED(IFERROR(INDEX(ATTIVO,MATCH(ROW()-12,COPIA!$CD$3:$CD$250,0),2),""),,FALSE)," euro"),SUBSTITUTE(IFERROR(INDEX(ATTIVO,MATCH(ROWS(B$13:$B139),COPIA!$CD$3:$CD$250,0),4),""),"_"," ")),"")),""))</f>
        <v/>
      </c>
      <c r="C139" s="115" t="str">
        <f ca="1">IF(IFERROR(IF(ROW()-9&gt;COPIA!$CI$1,INDEX(ECONOMICO,MATCH((ROWS($B$12:B139)-COPIA!$CI$2),COPIA!$CD$191:$CD$247,0),5),INDEX(ATTIVO,MATCH(ROWS($C$13:C139),COPIA!$CD$3:$CD$250,0),5)),0)=0,"",IFERROR(IF(ROW()-9&gt;COPIA!$CI$1,INDEX(ECONOMICO,MATCH((ROWS($B$12:B139)-COPIA!$CI$2),COPIA!$CD$191:$CD$247,0),5),INDEX(ATTIVO,MATCH(ROWS($C$13:C139),COPIA!$CD$3:$CD$250,0),5)),0))</f>
        <v/>
      </c>
      <c r="D139" s="135" t="str">
        <f ca="1">CONCATENATE(IFERROR(IF(MID(CONCATENATE(SUBSTITUTE(IFERROR(INDEX(PASSIVO,MATCH(ROWS(D$13:$D139),COPIA!$CD$105:$CD$189,0),4),""),"_"," ")," ",),8,6)="di cui",CONCATENATE(SUBSTITUTE(IFERROR(INDEX(PASSIVO,MATCH(ROWS(D$13:$D139),COPIA!$CD$105:$CD$189,0),4),""),"_"," ")," ",FIXED(IFERROR(INDEX(PASSIVO,MATCH(ROW()-12,COPIA!$CD$105:$CD$189,0),2),""),,FALSE)," euro"),SUBSTITUTE(IFERROR(INDEX(PASSIVO,MATCH(ROWS($D$13:$D139),COPIA!$CD$105:$CD$189,0),4),""),"_"," ")),""))</f>
        <v/>
      </c>
      <c r="E139" s="115" t="str">
        <f ca="1">IF(IFERROR(INDEX(PASSIVO,MATCH(ROWS($E$13:E139),COPIA!$CD$105:$CD$189,0),5),0)=0,"",IFERROR(INDEX(PASSIVO,MATCH(ROWS($E$13:E139),COPIA!$CD$105:$CD$189,0),5),0))</f>
        <v/>
      </c>
    </row>
  </sheetData>
  <sheetProtection algorithmName="SHA-512" hashValue="zK8vWRr3OEz9B1Z9um3SfmGkCBbJho8cvFI6v82WuthbSBZm2RCz64r+SsGWvdAdtbjBKNDq7sEogPT70cT5MQ==" saltValue="+FdXqugB5WFsyxlgoYqk2w==" spinCount="100000" sheet="1" objects="1" scenarios="1"/>
  <mergeCells count="7">
    <mergeCell ref="H11:I11"/>
    <mergeCell ref="B11:E11"/>
    <mergeCell ref="E6:G7"/>
    <mergeCell ref="E3:G4"/>
    <mergeCell ref="H10:I10"/>
    <mergeCell ref="H9:J9"/>
    <mergeCell ref="B9:G9"/>
  </mergeCells>
  <conditionalFormatting sqref="B13:B150">
    <cfRule type="expression" dxfId="15" priority="4">
      <formula>MID($B13,1,4)=" 21)"</formula>
    </cfRule>
    <cfRule type="expression" dxfId="14" priority="9">
      <formula>AND(MID($B13,1,4)&lt;&gt;" 21)",$B13&lt;&gt;"TOTALE ATTIVO",OR(MID($B13,1,5)&lt;&gt;"CONTO"),MID($B13,1,8)&lt;&gt;"STRALCIO",OR($B13&lt;&gt;"",$D13&lt;&gt;""))</formula>
    </cfRule>
  </conditionalFormatting>
  <conditionalFormatting sqref="B13:C150">
    <cfRule type="expression" dxfId="13" priority="1">
      <formula>OR(MID($B13,1,8)="stralcio",MID($B13,1,5)="CONTO")</formula>
    </cfRule>
  </conditionalFormatting>
  <conditionalFormatting sqref="B12:E12">
    <cfRule type="expression" dxfId="12" priority="17">
      <formula>$B$12="attivo"</formula>
    </cfRule>
  </conditionalFormatting>
  <conditionalFormatting sqref="B13:E150">
    <cfRule type="expression" dxfId="11" priority="3">
      <formula>$B13="TOTALE ATTIVO"</formula>
    </cfRule>
  </conditionalFormatting>
  <conditionalFormatting sqref="C13:C150">
    <cfRule type="expression" dxfId="10" priority="6">
      <formula>OR(MID($B13,1,11)="     Totale",MID($B13,1,8)="  Totale",MID($B13,1,9)="Risultato",MID($B13,1,12)="  Differenza",MID($B13,1,4)=" 21)")</formula>
    </cfRule>
    <cfRule type="expression" dxfId="9" priority="7">
      <formula>AND(OR($B13&lt;&gt;"",$D13&lt;&gt;""),OR(MID($B13,1,11)&lt;&gt;"     Totale",MID($B13,1,8)&lt;&gt;"  Totale",MID($B13,1,9)&lt;&gt;"Risultato",MID($B13,1,12)&lt;&gt;"  Differenza",MID($B13,1,4)&lt;&gt;" 21)",MID($B13,1,8)&lt;&gt;"stralcio",MID($B13,1,8)&lt;&gt;"conto ec",$B13&lt;&gt;"TOTALE ATTIVO"))</formula>
    </cfRule>
  </conditionalFormatting>
  <conditionalFormatting sqref="E13:E150">
    <cfRule type="expression" dxfId="8" priority="2">
      <formula>MID($D13,1,9)="   Totale"</formula>
    </cfRule>
    <cfRule type="expression" dxfId="7" priority="8">
      <formula>AND(ROW()-12&lt;$A$12,$D$13&lt;&gt;"",MID($D13,1,9)&lt;&gt;"   Totale")</formula>
    </cfRule>
  </conditionalFormatting>
  <conditionalFormatting sqref="F13:F63">
    <cfRule type="expression" dxfId="6" priority="55">
      <formula>$E13="   Totale"</formula>
    </cfRule>
  </conditionalFormatting>
  <conditionalFormatting sqref="I13:I59">
    <cfRule type="expression" dxfId="5" priority="19">
      <formula>MID(J13,1,1)="p"</formula>
    </cfRule>
  </conditionalFormatting>
  <dataValidations count="5">
    <dataValidation type="list" allowBlank="1" showInputMessage="1" showErrorMessage="1" sqref="B4" xr:uid="{00000000-0002-0000-0500-000000000000}">
      <formula1>"IN FORMA ORDINARIA,IN FORMA ABBREVIATA"</formula1>
    </dataValidation>
    <dataValidation type="list" allowBlank="1" showInputMessage="1" showErrorMessage="1" sqref="D4" xr:uid="{00000000-0002-0000-0500-000001000000}">
      <formula1>"SOLO IL TOTALE DEI PROSPETTI,DELLE CLASSI,DELLE CLASSI E DELLE SOTTOCLASSI,DELLE SOTTOCLASSI"</formula1>
    </dataValidation>
    <dataValidation type="list" allowBlank="1" showInputMessage="1" showErrorMessage="1" sqref="B7" xr:uid="{00000000-0002-0000-0500-000002000000}">
      <formula1>"ATTIVATE,NON ATTIVATE"</formula1>
    </dataValidation>
    <dataValidation type="list" allowBlank="1" showInputMessage="1" showErrorMessage="1" sqref="D7" xr:uid="{00000000-0002-0000-0500-000003000000}">
      <formula1>"C 16 b),C 16 d) INTERESSI ATTIVI V/CONTROLLATE,C 16 d) INTERESSI ATTIVI V/COLLEGATE,C 16 d) INTERESSI ATTIVI V/CONTROLLANTI"</formula1>
    </dataValidation>
    <dataValidation type="list" allowBlank="1" showInputMessage="1" showErrorMessage="1" sqref="E6:G7" xr:uid="{00000000-0002-0000-0500-000004000000}">
      <formula1>RIGHE_TRA_I_PROSPETTI</formula1>
    </dataValidation>
  </dataValidations>
  <printOptions horizontalCentered="1"/>
  <pageMargins left="0.11811023622047245" right="0.11811023622047245" top="0.59055118110236227" bottom="0.59055118110236227" header="0.31496062992125984" footer="0.31496062992125984"/>
  <pageSetup paperSize="9" orientation="landscape" r:id="rId1"/>
  <headerFooter>
    <oddHeader>&amp;L&amp;"Arial Narrow,Grassetto"&amp;10&amp;K08-021&amp;A&amp;R&amp;G</oddHeader>
    <oddFooter>&amp;L&amp;"Arial Narrow,Grassetto"&amp;8&amp;K08-047TRAMONTANA - FUTURO IMPRESA SMART 4 - T-SMART -  Autore: Biagio PALACINO&amp;C&amp;"Arial Narrow,Grassetto"&amp;10&amp;K08-047&amp;D&amp;R&amp;"Arial Narrow,Grassetto"&amp;10&amp;K08-047pag.&amp;P di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>
    <tabColor rgb="FF26C84D"/>
  </sheetPr>
  <dimension ref="A1:M108"/>
  <sheetViews>
    <sheetView showGridLines="0" showRowColHeaders="0" zoomScale="120" zoomScaleNormal="120" workbookViewId="0">
      <pane ySplit="8" topLeftCell="A9" activePane="bottomLeft" state="frozen"/>
      <selection pane="bottomLeft" activeCell="B1" sqref="B1:F1"/>
    </sheetView>
  </sheetViews>
  <sheetFormatPr defaultColWidth="9" defaultRowHeight="15.6" x14ac:dyDescent="0.3"/>
  <cols>
    <col min="1" max="1" width="1.59765625" style="11" customWidth="1"/>
    <col min="2" max="2" width="6.19921875" style="36" bestFit="1" customWidth="1"/>
    <col min="3" max="3" width="6.3984375" style="36" customWidth="1"/>
    <col min="4" max="4" width="7.5" style="36" customWidth="1"/>
    <col min="5" max="5" width="46.5" style="37" customWidth="1"/>
    <col min="6" max="6" width="1.5" style="101" customWidth="1"/>
    <col min="7" max="7" width="32" style="38" customWidth="1"/>
    <col min="8" max="8" width="15" style="39" customWidth="1"/>
    <col min="9" max="9" width="15.09765625" style="39" customWidth="1"/>
    <col min="10" max="10" width="2.3984375" style="11" customWidth="1"/>
    <col min="11" max="16384" width="9" style="11"/>
  </cols>
  <sheetData>
    <row r="1" spans="1:13" ht="22.5" customHeight="1" x14ac:dyDescent="0.3">
      <c r="A1" s="4"/>
      <c r="B1" s="333" t="s">
        <v>1153</v>
      </c>
      <c r="C1" s="386"/>
      <c r="D1" s="386"/>
      <c r="E1" s="386"/>
      <c r="F1" s="386"/>
      <c r="G1" s="366"/>
      <c r="H1" s="366"/>
      <c r="I1" s="366"/>
    </row>
    <row r="2" spans="1:13" ht="16.5" customHeight="1" x14ac:dyDescent="0.3">
      <c r="B2" s="372" t="s">
        <v>995</v>
      </c>
      <c r="C2" s="373"/>
      <c r="D2" s="374"/>
      <c r="E2" s="387" t="str">
        <f ca="1">LIBRO_GIORNALE!E3</f>
        <v/>
      </c>
      <c r="G2" s="383" t="s">
        <v>996</v>
      </c>
      <c r="H2" s="367" t="s">
        <v>983</v>
      </c>
      <c r="I2" s="368"/>
    </row>
    <row r="3" spans="1:13" x14ac:dyDescent="0.3">
      <c r="B3" s="375"/>
      <c r="C3" s="376"/>
      <c r="D3" s="377"/>
      <c r="E3" s="387"/>
      <c r="G3" s="384"/>
      <c r="H3" s="212" t="s">
        <v>974</v>
      </c>
      <c r="I3" s="213" t="s">
        <v>984</v>
      </c>
    </row>
    <row r="4" spans="1:13" x14ac:dyDescent="0.3">
      <c r="B4" s="375"/>
      <c r="C4" s="376"/>
      <c r="D4" s="377"/>
      <c r="G4" s="384"/>
      <c r="H4" s="214">
        <f ca="1">ROUND(SUMIFS(INDIRECT(CONCATENATE(ADDRESS(9,8,,,),":",ADDRESS(108,8,,,))),INDIRECT(CONCATENATE(ADDRESS(9,4,,,),":",ADDRESS(108,4,,,))),"&lt;="&amp;FINE_PERIODO,INDIRECT(CONCATENATE(ADDRESS(9,4,,,),":",ADDRESS(108,4,,,))),"&gt;="&amp;INIZIO_A_PC,$B$9:$B$108,"&lt;&gt;"&amp;0),2)</f>
        <v>0</v>
      </c>
      <c r="I4" s="215">
        <f ca="1">ROUND(SUMIFS(INDIRECT(CONCATENATE(ADDRESS(9,9,,,),":",ADDRESS(108,9,,,))),INDIRECT(CONCATENATE(ADDRESS(9,4,,,),":",ADDRESS(108,4,,,))),"&lt;="&amp;FINE_PERIODO,INDIRECT(CONCATENATE(ADDRESS(9,4,,,),":",ADDRESS(108,4,,,))),"&gt;="&amp;INIZIO_A_PC,$B$9:$B$108,"&lt;&gt;"&amp;0),2)</f>
        <v>0</v>
      </c>
    </row>
    <row r="5" spans="1:13" x14ac:dyDescent="0.3">
      <c r="B5" s="375"/>
      <c r="C5" s="376"/>
      <c r="D5" s="377"/>
      <c r="G5" s="385"/>
      <c r="H5" s="369" t="str">
        <f ca="1">K7</f>
        <v>Bilanciamento richiesto.</v>
      </c>
      <c r="I5" s="370"/>
    </row>
    <row r="6" spans="1:13" ht="30" customHeight="1" x14ac:dyDescent="0.3">
      <c r="B6" s="378"/>
      <c r="C6" s="379"/>
      <c r="D6" s="380"/>
      <c r="E6" s="216" t="str">
        <f ca="1">LIBRO_GIORNALE!E5</f>
        <v>ATTIVA LA VERSIONE  ONLINE</v>
      </c>
      <c r="G6" s="178" t="s">
        <v>1146</v>
      </c>
      <c r="H6" s="381" t="s">
        <v>997</v>
      </c>
      <c r="I6" s="382"/>
    </row>
    <row r="7" spans="1:13" ht="18.75" customHeight="1" x14ac:dyDescent="0.35">
      <c r="A7" s="4"/>
      <c r="B7" s="15"/>
      <c r="C7" s="14"/>
      <c r="D7" s="14"/>
      <c r="E7" s="15"/>
      <c r="F7" s="100"/>
      <c r="G7" s="146" t="str">
        <f ca="1">IF(INDIRECT(ADDRESS(8,6,,,"LIBRO_GIORNALE"))="","",INDIRECT(ADDRESS(8,6,,,"LIBRO_GIORNALE")))</f>
        <v/>
      </c>
      <c r="H7" s="371" t="str">
        <f ca="1">IF(INDIRECT(ADDRESS(8,7,,,"LIBRO_GIORNALE"))="","",INDIRECT(ADDRESS(8,7,,,"LIBRO_GIORNALE")))</f>
        <v/>
      </c>
      <c r="I7" s="371"/>
      <c r="K7" s="128" t="str">
        <f ca="1">IF(COPIA!$I$1=2,"Bilanciamento non richiesto.","Bilanciamento richiesto.")</f>
        <v>Bilanciamento richiesto.</v>
      </c>
      <c r="L7" s="129"/>
      <c r="M7" s="129"/>
    </row>
    <row r="8" spans="1:13" ht="15.75" customHeight="1" x14ac:dyDescent="0.3">
      <c r="B8" s="118" t="s">
        <v>10</v>
      </c>
      <c r="C8" s="118" t="s">
        <v>315</v>
      </c>
      <c r="D8" s="119" t="s">
        <v>0</v>
      </c>
      <c r="E8" s="119" t="s">
        <v>316</v>
      </c>
      <c r="F8" s="163"/>
      <c r="G8" s="211" t="s">
        <v>317</v>
      </c>
      <c r="H8" s="120" t="s">
        <v>2</v>
      </c>
      <c r="I8" s="120" t="s">
        <v>3</v>
      </c>
      <c r="K8" s="7">
        <f ca="1">COPIA!$AP$1</f>
        <v>2026</v>
      </c>
    </row>
    <row r="9" spans="1:13" ht="20.100000000000001" customHeight="1" x14ac:dyDescent="0.3">
      <c r="B9" s="67">
        <f t="shared" ref="B9:B40" ca="1" si="0">IF(INDIRECT(ADDRESS(ROW(),4,,,))="",0,IFERROR(INDEX(PDC,MATCH(INDIRECT(ADDRESS(ROW(),5,,,)),DEN_PDC,0),1),0))</f>
        <v>0</v>
      </c>
      <c r="C9" s="68" t="str">
        <f ca="1">IF(INDIRECT(ADDRESS(ROW(),5,4,,"VALORI_INIZIALI"))&lt;&gt;"",CONCATENATE(ROW()-8," V.I."),"")</f>
        <v/>
      </c>
      <c r="D9" s="44"/>
      <c r="E9" s="42"/>
      <c r="F9" s="106" t="str">
        <f ca="1">IF(AND(COPIA!$AK$2=TRUE,INDIRECT(ADDRESS(ROW(),4,,,))&lt;&gt;"",INDIRECT(ADDRESS(ROW(),5,,,))&lt;&gt;"",INDIRECT(ADDRESS(ROW(),7,,,))=""),"valore iniziale","")</f>
        <v/>
      </c>
      <c r="G9" s="102"/>
      <c r="H9" s="43"/>
      <c r="I9" s="43"/>
      <c r="K9" s="99">
        <f ca="1">IF(INDIRECT(ADDRESS(ROW(),4,4,,))&lt;&gt;"",YEAR(INDIRECT(ADDRESS(ROW(),4,4,,))),0)</f>
        <v>0</v>
      </c>
      <c r="L9" s="46"/>
      <c r="M9" s="46"/>
    </row>
    <row r="10" spans="1:13" ht="20.100000000000001" customHeight="1" x14ac:dyDescent="0.3">
      <c r="B10" s="67">
        <f t="shared" ca="1" si="0"/>
        <v>0</v>
      </c>
      <c r="C10" s="68" t="str">
        <f t="shared" ref="C10:C73" ca="1" si="1">IF(INDIRECT(ADDRESS(ROW(),5,4,,"VALORI_INIZIALI"))&lt;&gt;"",CONCATENATE(ROW()-8," V.I."),"")</f>
        <v/>
      </c>
      <c r="D10" s="44"/>
      <c r="E10" s="42"/>
      <c r="F10" s="106" t="str">
        <f ca="1">IF(AND(COPIA!$AK$2=TRUE,INDIRECT(ADDRESS(ROW(),4,,,))&lt;&gt;"",INDIRECT(ADDRESS(ROW(),5,,,))&lt;&gt;"",INDIRECT(ADDRESS(ROW(),7,,,))=""),"valore iniziale","")</f>
        <v/>
      </c>
      <c r="G10" s="103"/>
      <c r="H10" s="43"/>
      <c r="I10" s="43"/>
      <c r="K10" s="99">
        <f t="shared" ref="K10:K73" ca="1" si="2">IF(INDIRECT(ADDRESS(ROW(),4,4,,))&lt;&gt;"",YEAR(INDIRECT(ADDRESS(ROW(),4,4,,))),0)</f>
        <v>0</v>
      </c>
      <c r="L10" s="46"/>
      <c r="M10" s="46"/>
    </row>
    <row r="11" spans="1:13" ht="20.100000000000001" customHeight="1" x14ac:dyDescent="0.3">
      <c r="B11" s="67">
        <f t="shared" ca="1" si="0"/>
        <v>0</v>
      </c>
      <c r="C11" s="68" t="str">
        <f t="shared" ca="1" si="1"/>
        <v/>
      </c>
      <c r="D11" s="44"/>
      <c r="E11" s="42"/>
      <c r="F11" s="106" t="str">
        <f ca="1">IF(AND(COPIA!$AK$2=TRUE,INDIRECT(ADDRESS(ROW(),4,,,))&lt;&gt;"",INDIRECT(ADDRESS(ROW(),5,,,))&lt;&gt;"",INDIRECT(ADDRESS(ROW(),7,,,))=""),"valore iniziale","")</f>
        <v/>
      </c>
      <c r="G11" s="103"/>
      <c r="H11" s="43"/>
      <c r="I11" s="43"/>
      <c r="K11" s="99">
        <f t="shared" ca="1" si="2"/>
        <v>0</v>
      </c>
    </row>
    <row r="12" spans="1:13" ht="20.100000000000001" customHeight="1" x14ac:dyDescent="0.3">
      <c r="B12" s="67">
        <f t="shared" ca="1" si="0"/>
        <v>0</v>
      </c>
      <c r="C12" s="68" t="str">
        <f t="shared" ca="1" si="1"/>
        <v/>
      </c>
      <c r="D12" s="44"/>
      <c r="E12" s="42"/>
      <c r="F12" s="106" t="str">
        <f ca="1">IF(AND(COPIA!$AK$2=TRUE,INDIRECT(ADDRESS(ROW(),4,,,))&lt;&gt;"",INDIRECT(ADDRESS(ROW(),5,,,))&lt;&gt;"",INDIRECT(ADDRESS(ROW(),7,,,))=""),"valore iniziale","")</f>
        <v/>
      </c>
      <c r="G12" s="104"/>
      <c r="H12" s="43"/>
      <c r="I12" s="43"/>
      <c r="K12" s="99">
        <f t="shared" ca="1" si="2"/>
        <v>0</v>
      </c>
    </row>
    <row r="13" spans="1:13" ht="20.100000000000001" customHeight="1" x14ac:dyDescent="0.3">
      <c r="B13" s="67">
        <f t="shared" ca="1" si="0"/>
        <v>0</v>
      </c>
      <c r="C13" s="68" t="str">
        <f t="shared" ca="1" si="1"/>
        <v/>
      </c>
      <c r="D13" s="44"/>
      <c r="E13" s="42"/>
      <c r="F13" s="106" t="str">
        <f ca="1">IF(AND(COPIA!$AK$2=TRUE,INDIRECT(ADDRESS(ROW(),4,,,))&lt;&gt;"",INDIRECT(ADDRESS(ROW(),5,,,))&lt;&gt;"",INDIRECT(ADDRESS(ROW(),7,,,))=""),"valore iniziale","")</f>
        <v/>
      </c>
      <c r="G13" s="103"/>
      <c r="H13" s="43"/>
      <c r="I13" s="43"/>
      <c r="K13" s="99">
        <f t="shared" ca="1" si="2"/>
        <v>0</v>
      </c>
    </row>
    <row r="14" spans="1:13" ht="20.100000000000001" customHeight="1" x14ac:dyDescent="0.3">
      <c r="B14" s="67">
        <f t="shared" ca="1" si="0"/>
        <v>0</v>
      </c>
      <c r="C14" s="68" t="str">
        <f t="shared" ca="1" si="1"/>
        <v/>
      </c>
      <c r="D14" s="44"/>
      <c r="E14" s="42"/>
      <c r="F14" s="106" t="str">
        <f ca="1">IF(AND(COPIA!$AK$2=TRUE,INDIRECT(ADDRESS(ROW(),4,,,))&lt;&gt;"",INDIRECT(ADDRESS(ROW(),5,,,))&lt;&gt;"",INDIRECT(ADDRESS(ROW(),7,,,))=""),"valore iniziale","")</f>
        <v/>
      </c>
      <c r="G14" s="103"/>
      <c r="H14" s="43"/>
      <c r="I14" s="43"/>
      <c r="K14" s="99">
        <f t="shared" ca="1" si="2"/>
        <v>0</v>
      </c>
    </row>
    <row r="15" spans="1:13" ht="20.100000000000001" customHeight="1" x14ac:dyDescent="0.3">
      <c r="B15" s="67">
        <f t="shared" ca="1" si="0"/>
        <v>0</v>
      </c>
      <c r="C15" s="68" t="str">
        <f t="shared" ca="1" si="1"/>
        <v/>
      </c>
      <c r="D15" s="44"/>
      <c r="E15" s="42"/>
      <c r="F15" s="106" t="str">
        <f ca="1">IF(AND(COPIA!$AK$2=TRUE,INDIRECT(ADDRESS(ROW(),4,,,))&lt;&gt;"",INDIRECT(ADDRESS(ROW(),5,,,))&lt;&gt;"",INDIRECT(ADDRESS(ROW(),7,,,))=""),"valore iniziale","")</f>
        <v/>
      </c>
      <c r="G15" s="103"/>
      <c r="H15" s="43"/>
      <c r="I15" s="43"/>
      <c r="K15" s="99">
        <f t="shared" ca="1" si="2"/>
        <v>0</v>
      </c>
    </row>
    <row r="16" spans="1:13" ht="20.100000000000001" customHeight="1" x14ac:dyDescent="0.3">
      <c r="B16" s="67">
        <f t="shared" ca="1" si="0"/>
        <v>0</v>
      </c>
      <c r="C16" s="68" t="str">
        <f t="shared" ca="1" si="1"/>
        <v/>
      </c>
      <c r="D16" s="44"/>
      <c r="E16" s="42"/>
      <c r="F16" s="106" t="str">
        <f ca="1">IF(AND(COPIA!$AK$2=TRUE,INDIRECT(ADDRESS(ROW(),4,,,))&lt;&gt;"",INDIRECT(ADDRESS(ROW(),5,,,))&lt;&gt;"",INDIRECT(ADDRESS(ROW(),7,,,))=""),"valore iniziale","")</f>
        <v/>
      </c>
      <c r="G16" s="103"/>
      <c r="H16" s="43"/>
      <c r="I16" s="43"/>
      <c r="K16" s="99">
        <f t="shared" ca="1" si="2"/>
        <v>0</v>
      </c>
    </row>
    <row r="17" spans="2:11" ht="20.100000000000001" customHeight="1" x14ac:dyDescent="0.3">
      <c r="B17" s="67">
        <f t="shared" ca="1" si="0"/>
        <v>0</v>
      </c>
      <c r="C17" s="68" t="str">
        <f t="shared" ca="1" si="1"/>
        <v/>
      </c>
      <c r="D17" s="44"/>
      <c r="E17" s="42"/>
      <c r="F17" s="106" t="str">
        <f ca="1">IF(AND(COPIA!$AK$2=TRUE,INDIRECT(ADDRESS(ROW(),4,,,))&lt;&gt;"",INDIRECT(ADDRESS(ROW(),5,,,))&lt;&gt;"",INDIRECT(ADDRESS(ROW(),7,,,))=""),"valore iniziale","")</f>
        <v/>
      </c>
      <c r="G17" s="103"/>
      <c r="H17" s="43"/>
      <c r="I17" s="43"/>
      <c r="K17" s="99">
        <f t="shared" ca="1" si="2"/>
        <v>0</v>
      </c>
    </row>
    <row r="18" spans="2:11" ht="20.100000000000001" customHeight="1" x14ac:dyDescent="0.3">
      <c r="B18" s="67">
        <f t="shared" ca="1" si="0"/>
        <v>0</v>
      </c>
      <c r="C18" s="68" t="str">
        <f t="shared" ca="1" si="1"/>
        <v/>
      </c>
      <c r="D18" s="44"/>
      <c r="E18" s="42"/>
      <c r="F18" s="106" t="str">
        <f ca="1">IF(AND(COPIA!$AK$2=TRUE,INDIRECT(ADDRESS(ROW(),4,,,))&lt;&gt;"",INDIRECT(ADDRESS(ROW(),5,,,))&lt;&gt;"",INDIRECT(ADDRESS(ROW(),7,,,))=""),"valore iniziale","")</f>
        <v/>
      </c>
      <c r="G18" s="103"/>
      <c r="H18" s="43"/>
      <c r="I18" s="43"/>
      <c r="K18" s="99">
        <f t="shared" ca="1" si="2"/>
        <v>0</v>
      </c>
    </row>
    <row r="19" spans="2:11" ht="20.100000000000001" customHeight="1" x14ac:dyDescent="0.3">
      <c r="B19" s="67">
        <f t="shared" ca="1" si="0"/>
        <v>0</v>
      </c>
      <c r="C19" s="68" t="str">
        <f t="shared" ca="1" si="1"/>
        <v/>
      </c>
      <c r="D19" s="44"/>
      <c r="E19" s="42"/>
      <c r="F19" s="106" t="str">
        <f ca="1">IF(AND(COPIA!$AK$2=TRUE,INDIRECT(ADDRESS(ROW(),4,,,))&lt;&gt;"",INDIRECT(ADDRESS(ROW(),5,,,))&lt;&gt;"",INDIRECT(ADDRESS(ROW(),7,,,))=""),"valore iniziale","")</f>
        <v/>
      </c>
      <c r="G19" s="103"/>
      <c r="H19" s="43"/>
      <c r="I19" s="43"/>
      <c r="K19" s="99">
        <f t="shared" ca="1" si="2"/>
        <v>0</v>
      </c>
    </row>
    <row r="20" spans="2:11" ht="20.100000000000001" customHeight="1" x14ac:dyDescent="0.3">
      <c r="B20" s="67">
        <f t="shared" ca="1" si="0"/>
        <v>0</v>
      </c>
      <c r="C20" s="68" t="str">
        <f t="shared" ca="1" si="1"/>
        <v/>
      </c>
      <c r="D20" s="44"/>
      <c r="E20" s="42"/>
      <c r="F20" s="106" t="str">
        <f ca="1">IF(AND(COPIA!$AK$2=TRUE,INDIRECT(ADDRESS(ROW(),4,,,))&lt;&gt;"",INDIRECT(ADDRESS(ROW(),5,,,))&lt;&gt;"",INDIRECT(ADDRESS(ROW(),7,,,))=""),"valore iniziale","")</f>
        <v/>
      </c>
      <c r="G20" s="103"/>
      <c r="H20" s="43"/>
      <c r="I20" s="43"/>
      <c r="K20" s="99">
        <f t="shared" ca="1" si="2"/>
        <v>0</v>
      </c>
    </row>
    <row r="21" spans="2:11" ht="20.100000000000001" customHeight="1" x14ac:dyDescent="0.3">
      <c r="B21" s="67">
        <f t="shared" ca="1" si="0"/>
        <v>0</v>
      </c>
      <c r="C21" s="68" t="str">
        <f t="shared" ca="1" si="1"/>
        <v/>
      </c>
      <c r="D21" s="44"/>
      <c r="E21" s="42"/>
      <c r="F21" s="106" t="str">
        <f ca="1">IF(AND(COPIA!$AK$2=TRUE,INDIRECT(ADDRESS(ROW(),4,,,))&lt;&gt;"",INDIRECT(ADDRESS(ROW(),5,,,))&lt;&gt;"",INDIRECT(ADDRESS(ROW(),7,,,))=""),"valore iniziale","")</f>
        <v/>
      </c>
      <c r="G21" s="103"/>
      <c r="H21" s="43"/>
      <c r="I21" s="43"/>
      <c r="K21" s="99">
        <f t="shared" ca="1" si="2"/>
        <v>0</v>
      </c>
    </row>
    <row r="22" spans="2:11" ht="20.100000000000001" customHeight="1" x14ac:dyDescent="0.3">
      <c r="B22" s="67">
        <f t="shared" ca="1" si="0"/>
        <v>0</v>
      </c>
      <c r="C22" s="68" t="str">
        <f t="shared" ca="1" si="1"/>
        <v/>
      </c>
      <c r="D22" s="44"/>
      <c r="E22" s="42"/>
      <c r="F22" s="106" t="str">
        <f ca="1">IF(AND(COPIA!$AK$2=TRUE,INDIRECT(ADDRESS(ROW(),4,,,))&lt;&gt;"",INDIRECT(ADDRESS(ROW(),5,,,))&lt;&gt;"",INDIRECT(ADDRESS(ROW(),7,,,))=""),"valore iniziale","")</f>
        <v/>
      </c>
      <c r="G22" s="103"/>
      <c r="H22" s="43"/>
      <c r="I22" s="43"/>
      <c r="K22" s="99">
        <f t="shared" ca="1" si="2"/>
        <v>0</v>
      </c>
    </row>
    <row r="23" spans="2:11" ht="20.100000000000001" customHeight="1" x14ac:dyDescent="0.3">
      <c r="B23" s="67">
        <f t="shared" ca="1" si="0"/>
        <v>0</v>
      </c>
      <c r="C23" s="68" t="str">
        <f t="shared" ca="1" si="1"/>
        <v/>
      </c>
      <c r="D23" s="44"/>
      <c r="E23" s="42"/>
      <c r="F23" s="106" t="str">
        <f ca="1">IF(AND(COPIA!$AK$2=TRUE,INDIRECT(ADDRESS(ROW(),4,,,))&lt;&gt;"",INDIRECT(ADDRESS(ROW(),5,,,))&lt;&gt;"",INDIRECT(ADDRESS(ROW(),7,,,))=""),"valore iniziale","")</f>
        <v/>
      </c>
      <c r="G23" s="103"/>
      <c r="H23" s="43"/>
      <c r="I23" s="43"/>
      <c r="K23" s="99">
        <f t="shared" ca="1" si="2"/>
        <v>0</v>
      </c>
    </row>
    <row r="24" spans="2:11" ht="20.100000000000001" customHeight="1" x14ac:dyDescent="0.3">
      <c r="B24" s="67">
        <f t="shared" ca="1" si="0"/>
        <v>0</v>
      </c>
      <c r="C24" s="68" t="str">
        <f t="shared" ca="1" si="1"/>
        <v/>
      </c>
      <c r="D24" s="44"/>
      <c r="E24" s="42"/>
      <c r="F24" s="106" t="str">
        <f ca="1">IF(AND(COPIA!$AK$2=TRUE,INDIRECT(ADDRESS(ROW(),4,,,))&lt;&gt;"",INDIRECT(ADDRESS(ROW(),5,,,))&lt;&gt;"",INDIRECT(ADDRESS(ROW(),7,,,))=""),"valore iniziale","")</f>
        <v/>
      </c>
      <c r="G24" s="105"/>
      <c r="H24" s="43"/>
      <c r="I24" s="43"/>
      <c r="K24" s="99">
        <f t="shared" ca="1" si="2"/>
        <v>0</v>
      </c>
    </row>
    <row r="25" spans="2:11" ht="20.100000000000001" customHeight="1" x14ac:dyDescent="0.3">
      <c r="B25" s="67">
        <f t="shared" ca="1" si="0"/>
        <v>0</v>
      </c>
      <c r="C25" s="68" t="str">
        <f t="shared" ca="1" si="1"/>
        <v/>
      </c>
      <c r="D25" s="44"/>
      <c r="E25" s="42"/>
      <c r="F25" s="106" t="str">
        <f ca="1">IF(AND(COPIA!$AK$2=TRUE,INDIRECT(ADDRESS(ROW(),4,,,))&lt;&gt;"",INDIRECT(ADDRESS(ROW(),5,,,))&lt;&gt;"",INDIRECT(ADDRESS(ROW(),7,,,))=""),"valore iniziale","")</f>
        <v/>
      </c>
      <c r="G25" s="103"/>
      <c r="H25" s="43"/>
      <c r="I25" s="43"/>
      <c r="K25" s="99">
        <f t="shared" ca="1" si="2"/>
        <v>0</v>
      </c>
    </row>
    <row r="26" spans="2:11" ht="20.100000000000001" customHeight="1" x14ac:dyDescent="0.3">
      <c r="B26" s="67">
        <f t="shared" ca="1" si="0"/>
        <v>0</v>
      </c>
      <c r="C26" s="68" t="str">
        <f t="shared" ca="1" si="1"/>
        <v/>
      </c>
      <c r="D26" s="44"/>
      <c r="E26" s="42"/>
      <c r="F26" s="106" t="str">
        <f ca="1">IF(AND(COPIA!$AK$2=TRUE,INDIRECT(ADDRESS(ROW(),4,,,))&lt;&gt;"",INDIRECT(ADDRESS(ROW(),5,,,))&lt;&gt;"",INDIRECT(ADDRESS(ROW(),7,,,))=""),"valore iniziale","")</f>
        <v/>
      </c>
      <c r="G26" s="103"/>
      <c r="H26" s="43"/>
      <c r="I26" s="43"/>
      <c r="K26" s="99">
        <f t="shared" ca="1" si="2"/>
        <v>0</v>
      </c>
    </row>
    <row r="27" spans="2:11" ht="20.100000000000001" customHeight="1" x14ac:dyDescent="0.3">
      <c r="B27" s="67">
        <f t="shared" ca="1" si="0"/>
        <v>0</v>
      </c>
      <c r="C27" s="68" t="str">
        <f t="shared" ca="1" si="1"/>
        <v/>
      </c>
      <c r="D27" s="44"/>
      <c r="E27" s="42"/>
      <c r="F27" s="106" t="str">
        <f ca="1">IF(AND(COPIA!$AK$2=TRUE,INDIRECT(ADDRESS(ROW(),4,,,))&lt;&gt;"",INDIRECT(ADDRESS(ROW(),5,,,))&lt;&gt;"",INDIRECT(ADDRESS(ROW(),7,,,))=""),"valore iniziale","")</f>
        <v/>
      </c>
      <c r="G27" s="103"/>
      <c r="H27" s="43"/>
      <c r="I27" s="43"/>
      <c r="K27" s="99">
        <f t="shared" ca="1" si="2"/>
        <v>0</v>
      </c>
    </row>
    <row r="28" spans="2:11" ht="20.100000000000001" customHeight="1" x14ac:dyDescent="0.3">
      <c r="B28" s="67">
        <f t="shared" ca="1" si="0"/>
        <v>0</v>
      </c>
      <c r="C28" s="68" t="str">
        <f t="shared" ca="1" si="1"/>
        <v/>
      </c>
      <c r="D28" s="44"/>
      <c r="E28" s="42"/>
      <c r="F28" s="106" t="str">
        <f ca="1">IF(AND(COPIA!$AK$2=TRUE,INDIRECT(ADDRESS(ROW(),4,,,))&lt;&gt;"",INDIRECT(ADDRESS(ROW(),5,,,))&lt;&gt;"",INDIRECT(ADDRESS(ROW(),7,,,))=""),"valore iniziale","")</f>
        <v/>
      </c>
      <c r="G28" s="103"/>
      <c r="H28" s="43"/>
      <c r="I28" s="43"/>
      <c r="K28" s="99">
        <f t="shared" ca="1" si="2"/>
        <v>0</v>
      </c>
    </row>
    <row r="29" spans="2:11" ht="20.100000000000001" customHeight="1" x14ac:dyDescent="0.3">
      <c r="B29" s="67">
        <f t="shared" ca="1" si="0"/>
        <v>0</v>
      </c>
      <c r="C29" s="68" t="str">
        <f t="shared" ca="1" si="1"/>
        <v/>
      </c>
      <c r="D29" s="44"/>
      <c r="E29" s="42"/>
      <c r="F29" s="106" t="str">
        <f ca="1">IF(AND(COPIA!$AK$2=TRUE,INDIRECT(ADDRESS(ROW(),4,,,))&lt;&gt;"",INDIRECT(ADDRESS(ROW(),5,,,))&lt;&gt;"",INDIRECT(ADDRESS(ROW(),7,,,))=""),"valore iniziale","")</f>
        <v/>
      </c>
      <c r="G29" s="103"/>
      <c r="H29" s="43"/>
      <c r="I29" s="43"/>
      <c r="K29" s="99">
        <f t="shared" ca="1" si="2"/>
        <v>0</v>
      </c>
    </row>
    <row r="30" spans="2:11" ht="20.100000000000001" customHeight="1" x14ac:dyDescent="0.3">
      <c r="B30" s="67">
        <f t="shared" ca="1" si="0"/>
        <v>0</v>
      </c>
      <c r="C30" s="68" t="str">
        <f t="shared" ca="1" si="1"/>
        <v/>
      </c>
      <c r="D30" s="44"/>
      <c r="E30" s="42"/>
      <c r="F30" s="106" t="str">
        <f ca="1">IF(AND(COPIA!$AK$2=TRUE,INDIRECT(ADDRESS(ROW(),4,,,))&lt;&gt;"",INDIRECT(ADDRESS(ROW(),5,,,))&lt;&gt;"",INDIRECT(ADDRESS(ROW(),7,,,))=""),"valore iniziale","")</f>
        <v/>
      </c>
      <c r="G30" s="103"/>
      <c r="H30" s="43"/>
      <c r="I30" s="43"/>
      <c r="K30" s="99">
        <f t="shared" ca="1" si="2"/>
        <v>0</v>
      </c>
    </row>
    <row r="31" spans="2:11" ht="20.100000000000001" customHeight="1" x14ac:dyDescent="0.3">
      <c r="B31" s="67">
        <f t="shared" ca="1" si="0"/>
        <v>0</v>
      </c>
      <c r="C31" s="68" t="str">
        <f t="shared" ca="1" si="1"/>
        <v/>
      </c>
      <c r="D31" s="44"/>
      <c r="E31" s="42"/>
      <c r="F31" s="106" t="str">
        <f ca="1">IF(AND(COPIA!$AK$2=TRUE,INDIRECT(ADDRESS(ROW(),4,,,))&lt;&gt;"",INDIRECT(ADDRESS(ROW(),5,,,))&lt;&gt;"",INDIRECT(ADDRESS(ROW(),7,,,))=""),"valore iniziale","")</f>
        <v/>
      </c>
      <c r="G31" s="103"/>
      <c r="H31" s="43"/>
      <c r="I31" s="43"/>
      <c r="K31" s="99">
        <f t="shared" ca="1" si="2"/>
        <v>0</v>
      </c>
    </row>
    <row r="32" spans="2:11" ht="20.100000000000001" customHeight="1" x14ac:dyDescent="0.3">
      <c r="B32" s="67">
        <f t="shared" ca="1" si="0"/>
        <v>0</v>
      </c>
      <c r="C32" s="68" t="str">
        <f t="shared" ca="1" si="1"/>
        <v/>
      </c>
      <c r="D32" s="44"/>
      <c r="E32" s="42"/>
      <c r="F32" s="106" t="str">
        <f ca="1">IF(AND(COPIA!$AK$2=TRUE,INDIRECT(ADDRESS(ROW(),4,,,))&lt;&gt;"",INDIRECT(ADDRESS(ROW(),5,,,))&lt;&gt;"",INDIRECT(ADDRESS(ROW(),7,,,))=""),"valore iniziale","")</f>
        <v/>
      </c>
      <c r="G32" s="103"/>
      <c r="H32" s="43"/>
      <c r="I32" s="43"/>
      <c r="K32" s="99">
        <f t="shared" ca="1" si="2"/>
        <v>0</v>
      </c>
    </row>
    <row r="33" spans="2:11" ht="20.100000000000001" customHeight="1" x14ac:dyDescent="0.3">
      <c r="B33" s="67">
        <f t="shared" ca="1" si="0"/>
        <v>0</v>
      </c>
      <c r="C33" s="68" t="str">
        <f t="shared" ca="1" si="1"/>
        <v/>
      </c>
      <c r="D33" s="44"/>
      <c r="E33" s="42"/>
      <c r="F33" s="106" t="str">
        <f ca="1">IF(AND(COPIA!$AK$2=TRUE,INDIRECT(ADDRESS(ROW(),4,,,))&lt;&gt;"",INDIRECT(ADDRESS(ROW(),5,,,))&lt;&gt;"",INDIRECT(ADDRESS(ROW(),7,,,))=""),"valore iniziale","")</f>
        <v/>
      </c>
      <c r="G33" s="103"/>
      <c r="H33" s="43"/>
      <c r="I33" s="43"/>
      <c r="K33" s="99">
        <f t="shared" ca="1" si="2"/>
        <v>0</v>
      </c>
    </row>
    <row r="34" spans="2:11" ht="20.100000000000001" customHeight="1" x14ac:dyDescent="0.3">
      <c r="B34" s="67">
        <f t="shared" ca="1" si="0"/>
        <v>0</v>
      </c>
      <c r="C34" s="68" t="str">
        <f t="shared" ca="1" si="1"/>
        <v/>
      </c>
      <c r="D34" s="44"/>
      <c r="E34" s="42"/>
      <c r="F34" s="106" t="str">
        <f ca="1">IF(AND(COPIA!$AK$2=TRUE,INDIRECT(ADDRESS(ROW(),4,,,))&lt;&gt;"",INDIRECT(ADDRESS(ROW(),5,,,))&lt;&gt;"",INDIRECT(ADDRESS(ROW(),7,,,))=""),"valore iniziale","")</f>
        <v/>
      </c>
      <c r="G34" s="103"/>
      <c r="H34" s="43"/>
      <c r="I34" s="43"/>
      <c r="K34" s="99">
        <f t="shared" ca="1" si="2"/>
        <v>0</v>
      </c>
    </row>
    <row r="35" spans="2:11" ht="20.100000000000001" customHeight="1" x14ac:dyDescent="0.3">
      <c r="B35" s="67">
        <f t="shared" ca="1" si="0"/>
        <v>0</v>
      </c>
      <c r="C35" s="68" t="str">
        <f t="shared" ca="1" si="1"/>
        <v/>
      </c>
      <c r="D35" s="44"/>
      <c r="E35" s="42"/>
      <c r="F35" s="106" t="str">
        <f ca="1">IF(AND(COPIA!$AK$2=TRUE,INDIRECT(ADDRESS(ROW(),4,,,))&lt;&gt;"",INDIRECT(ADDRESS(ROW(),5,,,))&lt;&gt;"",INDIRECT(ADDRESS(ROW(),7,,,))=""),"valore iniziale","")</f>
        <v/>
      </c>
      <c r="G35" s="103"/>
      <c r="H35" s="43"/>
      <c r="I35" s="43"/>
      <c r="K35" s="99">
        <f t="shared" ca="1" si="2"/>
        <v>0</v>
      </c>
    </row>
    <row r="36" spans="2:11" ht="20.100000000000001" customHeight="1" x14ac:dyDescent="0.3">
      <c r="B36" s="67">
        <f t="shared" ca="1" si="0"/>
        <v>0</v>
      </c>
      <c r="C36" s="68" t="str">
        <f t="shared" ca="1" si="1"/>
        <v/>
      </c>
      <c r="D36" s="44"/>
      <c r="E36" s="42"/>
      <c r="F36" s="106" t="str">
        <f ca="1">IF(AND(COPIA!$AK$2=TRUE,INDIRECT(ADDRESS(ROW(),4,,,))&lt;&gt;"",INDIRECT(ADDRESS(ROW(),5,,,))&lt;&gt;"",INDIRECT(ADDRESS(ROW(),7,,,))=""),"valore iniziale","")</f>
        <v/>
      </c>
      <c r="G36" s="103"/>
      <c r="H36" s="43"/>
      <c r="I36" s="43"/>
      <c r="K36" s="99">
        <f t="shared" ca="1" si="2"/>
        <v>0</v>
      </c>
    </row>
    <row r="37" spans="2:11" ht="20.100000000000001" customHeight="1" x14ac:dyDescent="0.3">
      <c r="B37" s="67">
        <f t="shared" ca="1" si="0"/>
        <v>0</v>
      </c>
      <c r="C37" s="68" t="str">
        <f t="shared" ca="1" si="1"/>
        <v/>
      </c>
      <c r="D37" s="44"/>
      <c r="E37" s="42"/>
      <c r="F37" s="106" t="str">
        <f ca="1">IF(AND(COPIA!$AK$2=TRUE,INDIRECT(ADDRESS(ROW(),4,,,))&lt;&gt;"",INDIRECT(ADDRESS(ROW(),5,,,))&lt;&gt;"",INDIRECT(ADDRESS(ROW(),7,,,))=""),"valore iniziale","")</f>
        <v/>
      </c>
      <c r="G37" s="103"/>
      <c r="H37" s="43"/>
      <c r="I37" s="43"/>
      <c r="K37" s="99">
        <f t="shared" ca="1" si="2"/>
        <v>0</v>
      </c>
    </row>
    <row r="38" spans="2:11" ht="20.100000000000001" customHeight="1" x14ac:dyDescent="0.3">
      <c r="B38" s="67">
        <f t="shared" ca="1" si="0"/>
        <v>0</v>
      </c>
      <c r="C38" s="68" t="str">
        <f t="shared" ca="1" si="1"/>
        <v/>
      </c>
      <c r="D38" s="44"/>
      <c r="E38" s="42"/>
      <c r="F38" s="106" t="str">
        <f ca="1">IF(AND(COPIA!$AK$2=TRUE,INDIRECT(ADDRESS(ROW(),4,,,))&lt;&gt;"",INDIRECT(ADDRESS(ROW(),5,,,))&lt;&gt;"",INDIRECT(ADDRESS(ROW(),7,,,))=""),"valore iniziale","")</f>
        <v/>
      </c>
      <c r="G38" s="103"/>
      <c r="H38" s="43"/>
      <c r="I38" s="43"/>
      <c r="K38" s="99">
        <f t="shared" ca="1" si="2"/>
        <v>0</v>
      </c>
    </row>
    <row r="39" spans="2:11" ht="20.100000000000001" customHeight="1" x14ac:dyDescent="0.3">
      <c r="B39" s="67">
        <f t="shared" ca="1" si="0"/>
        <v>0</v>
      </c>
      <c r="C39" s="68" t="str">
        <f t="shared" ca="1" si="1"/>
        <v/>
      </c>
      <c r="D39" s="44"/>
      <c r="E39" s="42"/>
      <c r="F39" s="106" t="str">
        <f ca="1">IF(AND(COPIA!$AK$2=TRUE,INDIRECT(ADDRESS(ROW(),4,,,))&lt;&gt;"",INDIRECT(ADDRESS(ROW(),5,,,))&lt;&gt;"",INDIRECT(ADDRESS(ROW(),7,,,))=""),"valore iniziale","")</f>
        <v/>
      </c>
      <c r="G39" s="103"/>
      <c r="H39" s="43"/>
      <c r="I39" s="43"/>
      <c r="K39" s="99">
        <f t="shared" ca="1" si="2"/>
        <v>0</v>
      </c>
    </row>
    <row r="40" spans="2:11" ht="20.100000000000001" customHeight="1" x14ac:dyDescent="0.3">
      <c r="B40" s="67">
        <f t="shared" ca="1" si="0"/>
        <v>0</v>
      </c>
      <c r="C40" s="68" t="str">
        <f t="shared" ca="1" si="1"/>
        <v/>
      </c>
      <c r="D40" s="44"/>
      <c r="E40" s="42"/>
      <c r="F40" s="106" t="str">
        <f ca="1">IF(AND(COPIA!$AK$2=TRUE,INDIRECT(ADDRESS(ROW(),4,,,))&lt;&gt;"",INDIRECT(ADDRESS(ROW(),5,,,))&lt;&gt;"",INDIRECT(ADDRESS(ROW(),7,,,))=""),"valore iniziale","")</f>
        <v/>
      </c>
      <c r="G40" s="103"/>
      <c r="H40" s="43"/>
      <c r="I40" s="43"/>
      <c r="K40" s="99">
        <f t="shared" ca="1" si="2"/>
        <v>0</v>
      </c>
    </row>
    <row r="41" spans="2:11" ht="20.100000000000001" customHeight="1" x14ac:dyDescent="0.3">
      <c r="B41" s="67">
        <f t="shared" ref="B41:B104" ca="1" si="3">IF(INDIRECT(ADDRESS(ROW(),4,,,))="",0,IFERROR(INDEX(PDC,MATCH(INDIRECT(ADDRESS(ROW(),5,,,)),DEN_PDC,0),1),0))</f>
        <v>0</v>
      </c>
      <c r="C41" s="68" t="str">
        <f t="shared" ca="1" si="1"/>
        <v/>
      </c>
      <c r="D41" s="44"/>
      <c r="E41" s="42"/>
      <c r="F41" s="106" t="str">
        <f ca="1">IF(AND(COPIA!$AK$2=TRUE,INDIRECT(ADDRESS(ROW(),4,,,))&lt;&gt;"",INDIRECT(ADDRESS(ROW(),5,,,))&lt;&gt;"",INDIRECT(ADDRESS(ROW(),7,,,))=""),"valore iniziale","")</f>
        <v/>
      </c>
      <c r="G41" s="103"/>
      <c r="H41" s="43"/>
      <c r="I41" s="43"/>
      <c r="K41" s="99">
        <f t="shared" ca="1" si="2"/>
        <v>0</v>
      </c>
    </row>
    <row r="42" spans="2:11" ht="20.100000000000001" customHeight="1" x14ac:dyDescent="0.3">
      <c r="B42" s="67">
        <f t="shared" ca="1" si="3"/>
        <v>0</v>
      </c>
      <c r="C42" s="68" t="str">
        <f t="shared" ca="1" si="1"/>
        <v/>
      </c>
      <c r="D42" s="44"/>
      <c r="E42" s="42"/>
      <c r="F42" s="106" t="str">
        <f ca="1">IF(AND(COPIA!$AK$2=TRUE,INDIRECT(ADDRESS(ROW(),4,,,))&lt;&gt;"",INDIRECT(ADDRESS(ROW(),5,,,))&lt;&gt;"",INDIRECT(ADDRESS(ROW(),7,,,))=""),"valore iniziale","")</f>
        <v/>
      </c>
      <c r="G42" s="103"/>
      <c r="H42" s="43"/>
      <c r="I42" s="43"/>
      <c r="K42" s="99">
        <f t="shared" ca="1" si="2"/>
        <v>0</v>
      </c>
    </row>
    <row r="43" spans="2:11" ht="20.100000000000001" customHeight="1" x14ac:dyDescent="0.3">
      <c r="B43" s="67">
        <f t="shared" ca="1" si="3"/>
        <v>0</v>
      </c>
      <c r="C43" s="68" t="str">
        <f t="shared" ca="1" si="1"/>
        <v/>
      </c>
      <c r="D43" s="44"/>
      <c r="E43" s="42"/>
      <c r="F43" s="106" t="str">
        <f ca="1">IF(AND(COPIA!$AK$2=TRUE,INDIRECT(ADDRESS(ROW(),4,,,))&lt;&gt;"",INDIRECT(ADDRESS(ROW(),5,,,))&lt;&gt;"",INDIRECT(ADDRESS(ROW(),7,,,))=""),"valore iniziale","")</f>
        <v/>
      </c>
      <c r="G43" s="103"/>
      <c r="H43" s="43"/>
      <c r="I43" s="43"/>
      <c r="K43" s="99">
        <f t="shared" ca="1" si="2"/>
        <v>0</v>
      </c>
    </row>
    <row r="44" spans="2:11" ht="20.100000000000001" customHeight="1" x14ac:dyDescent="0.3">
      <c r="B44" s="67">
        <f t="shared" ca="1" si="3"/>
        <v>0</v>
      </c>
      <c r="C44" s="68" t="str">
        <f t="shared" ca="1" si="1"/>
        <v/>
      </c>
      <c r="D44" s="44"/>
      <c r="E44" s="42"/>
      <c r="F44" s="106" t="str">
        <f ca="1">IF(AND(COPIA!$AK$2=TRUE,INDIRECT(ADDRESS(ROW(),4,,,))&lt;&gt;"",INDIRECT(ADDRESS(ROW(),5,,,))&lt;&gt;"",INDIRECT(ADDRESS(ROW(),7,,,))=""),"valore iniziale","")</f>
        <v/>
      </c>
      <c r="G44" s="103"/>
      <c r="H44" s="43"/>
      <c r="I44" s="43"/>
      <c r="K44" s="99">
        <f t="shared" ca="1" si="2"/>
        <v>0</v>
      </c>
    </row>
    <row r="45" spans="2:11" ht="20.100000000000001" customHeight="1" x14ac:dyDescent="0.3">
      <c r="B45" s="67">
        <f t="shared" ca="1" si="3"/>
        <v>0</v>
      </c>
      <c r="C45" s="68" t="str">
        <f t="shared" ca="1" si="1"/>
        <v/>
      </c>
      <c r="D45" s="44"/>
      <c r="E45" s="42"/>
      <c r="F45" s="106" t="str">
        <f ca="1">IF(AND(COPIA!$AK$2=TRUE,INDIRECT(ADDRESS(ROW(),4,,,))&lt;&gt;"",INDIRECT(ADDRESS(ROW(),5,,,))&lt;&gt;"",INDIRECT(ADDRESS(ROW(),7,,,))=""),"valore iniziale","")</f>
        <v/>
      </c>
      <c r="G45" s="103"/>
      <c r="H45" s="43"/>
      <c r="I45" s="43"/>
      <c r="K45" s="99">
        <f t="shared" ca="1" si="2"/>
        <v>0</v>
      </c>
    </row>
    <row r="46" spans="2:11" ht="20.100000000000001" customHeight="1" x14ac:dyDescent="0.3">
      <c r="B46" s="67">
        <f t="shared" ca="1" si="3"/>
        <v>0</v>
      </c>
      <c r="C46" s="68" t="str">
        <f t="shared" ca="1" si="1"/>
        <v/>
      </c>
      <c r="D46" s="44"/>
      <c r="E46" s="42"/>
      <c r="F46" s="106" t="str">
        <f ca="1">IF(AND(COPIA!$AK$2=TRUE,INDIRECT(ADDRESS(ROW(),4,,,))&lt;&gt;"",INDIRECT(ADDRESS(ROW(),5,,,))&lt;&gt;"",INDIRECT(ADDRESS(ROW(),7,,,))=""),"valore iniziale","")</f>
        <v/>
      </c>
      <c r="G46" s="103"/>
      <c r="H46" s="43"/>
      <c r="I46" s="43"/>
      <c r="K46" s="99">
        <f t="shared" ca="1" si="2"/>
        <v>0</v>
      </c>
    </row>
    <row r="47" spans="2:11" ht="20.100000000000001" customHeight="1" x14ac:dyDescent="0.3">
      <c r="B47" s="67">
        <f t="shared" ca="1" si="3"/>
        <v>0</v>
      </c>
      <c r="C47" s="68" t="str">
        <f t="shared" ca="1" si="1"/>
        <v/>
      </c>
      <c r="D47" s="44"/>
      <c r="E47" s="42"/>
      <c r="F47" s="106" t="str">
        <f ca="1">IF(AND(COPIA!$AK$2=TRUE,INDIRECT(ADDRESS(ROW(),4,,,))&lt;&gt;"",INDIRECT(ADDRESS(ROW(),5,,,))&lt;&gt;"",INDIRECT(ADDRESS(ROW(),7,,,))=""),"valore iniziale","")</f>
        <v/>
      </c>
      <c r="G47" s="103"/>
      <c r="H47" s="43"/>
      <c r="I47" s="43"/>
      <c r="K47" s="99">
        <f t="shared" ca="1" si="2"/>
        <v>0</v>
      </c>
    </row>
    <row r="48" spans="2:11" ht="20.100000000000001" customHeight="1" x14ac:dyDescent="0.3">
      <c r="B48" s="67">
        <f t="shared" ca="1" si="3"/>
        <v>0</v>
      </c>
      <c r="C48" s="68" t="str">
        <f t="shared" ca="1" si="1"/>
        <v/>
      </c>
      <c r="D48" s="44"/>
      <c r="E48" s="42"/>
      <c r="F48" s="106" t="str">
        <f ca="1">IF(AND(COPIA!$AK$2=TRUE,INDIRECT(ADDRESS(ROW(),4,,,))&lt;&gt;"",INDIRECT(ADDRESS(ROW(),5,,,))&lt;&gt;"",INDIRECT(ADDRESS(ROW(),7,,,))=""),"valore iniziale","")</f>
        <v/>
      </c>
      <c r="G48" s="103"/>
      <c r="H48" s="43"/>
      <c r="I48" s="43"/>
      <c r="K48" s="99">
        <f t="shared" ca="1" si="2"/>
        <v>0</v>
      </c>
    </row>
    <row r="49" spans="2:11" ht="20.100000000000001" customHeight="1" x14ac:dyDescent="0.3">
      <c r="B49" s="67">
        <f t="shared" ca="1" si="3"/>
        <v>0</v>
      </c>
      <c r="C49" s="68" t="str">
        <f t="shared" ca="1" si="1"/>
        <v/>
      </c>
      <c r="D49" s="44"/>
      <c r="E49" s="42"/>
      <c r="F49" s="106" t="str">
        <f ca="1">IF(AND(COPIA!$AK$2=TRUE,INDIRECT(ADDRESS(ROW(),4,,,))&lt;&gt;"",INDIRECT(ADDRESS(ROW(),5,,,))&lt;&gt;"",INDIRECT(ADDRESS(ROW(),7,,,))=""),"valore iniziale","")</f>
        <v/>
      </c>
      <c r="G49" s="103"/>
      <c r="H49" s="43"/>
      <c r="I49" s="43"/>
      <c r="K49" s="99">
        <f t="shared" ca="1" si="2"/>
        <v>0</v>
      </c>
    </row>
    <row r="50" spans="2:11" ht="20.100000000000001" customHeight="1" x14ac:dyDescent="0.3">
      <c r="B50" s="67">
        <f t="shared" ca="1" si="3"/>
        <v>0</v>
      </c>
      <c r="C50" s="68" t="str">
        <f t="shared" ca="1" si="1"/>
        <v/>
      </c>
      <c r="D50" s="44"/>
      <c r="E50" s="42"/>
      <c r="F50" s="106" t="str">
        <f ca="1">IF(AND(COPIA!$AK$2=TRUE,INDIRECT(ADDRESS(ROW(),4,,,))&lt;&gt;"",INDIRECT(ADDRESS(ROW(),5,,,))&lt;&gt;"",INDIRECT(ADDRESS(ROW(),7,,,))=""),"valore iniziale","")</f>
        <v/>
      </c>
      <c r="G50" s="103"/>
      <c r="H50" s="43"/>
      <c r="I50" s="43"/>
      <c r="K50" s="99">
        <f t="shared" ca="1" si="2"/>
        <v>0</v>
      </c>
    </row>
    <row r="51" spans="2:11" ht="20.100000000000001" customHeight="1" x14ac:dyDescent="0.3">
      <c r="B51" s="67">
        <f t="shared" ca="1" si="3"/>
        <v>0</v>
      </c>
      <c r="C51" s="68" t="str">
        <f t="shared" ca="1" si="1"/>
        <v/>
      </c>
      <c r="D51" s="44"/>
      <c r="E51" s="42"/>
      <c r="F51" s="106" t="str">
        <f ca="1">IF(AND(COPIA!$AK$2=TRUE,INDIRECT(ADDRESS(ROW(),4,,,))&lt;&gt;"",INDIRECT(ADDRESS(ROW(),5,,,))&lt;&gt;"",INDIRECT(ADDRESS(ROW(),7,,,))=""),"valore iniziale","")</f>
        <v/>
      </c>
      <c r="G51" s="103"/>
      <c r="H51" s="43"/>
      <c r="I51" s="43"/>
      <c r="K51" s="99">
        <f t="shared" ca="1" si="2"/>
        <v>0</v>
      </c>
    </row>
    <row r="52" spans="2:11" ht="20.100000000000001" customHeight="1" x14ac:dyDescent="0.3">
      <c r="B52" s="67">
        <f t="shared" ca="1" si="3"/>
        <v>0</v>
      </c>
      <c r="C52" s="68" t="str">
        <f t="shared" ca="1" si="1"/>
        <v/>
      </c>
      <c r="D52" s="44"/>
      <c r="E52" s="42"/>
      <c r="F52" s="106" t="str">
        <f ca="1">IF(AND(COPIA!$AK$2=TRUE,INDIRECT(ADDRESS(ROW(),4,,,))&lt;&gt;"",INDIRECT(ADDRESS(ROW(),5,,,))&lt;&gt;"",INDIRECT(ADDRESS(ROW(),7,,,))=""),"valore iniziale","")</f>
        <v/>
      </c>
      <c r="G52" s="103"/>
      <c r="H52" s="43"/>
      <c r="I52" s="43"/>
      <c r="K52" s="99">
        <f t="shared" ca="1" si="2"/>
        <v>0</v>
      </c>
    </row>
    <row r="53" spans="2:11" ht="20.100000000000001" customHeight="1" x14ac:dyDescent="0.3">
      <c r="B53" s="67">
        <f t="shared" ca="1" si="3"/>
        <v>0</v>
      </c>
      <c r="C53" s="68" t="str">
        <f t="shared" ca="1" si="1"/>
        <v/>
      </c>
      <c r="D53" s="44"/>
      <c r="E53" s="42"/>
      <c r="F53" s="106" t="str">
        <f ca="1">IF(AND(COPIA!$AK$2=TRUE,INDIRECT(ADDRESS(ROW(),4,,,))&lt;&gt;"",INDIRECT(ADDRESS(ROW(),5,,,))&lt;&gt;"",INDIRECT(ADDRESS(ROW(),7,,,))=""),"valore iniziale","")</f>
        <v/>
      </c>
      <c r="G53" s="103"/>
      <c r="H53" s="43"/>
      <c r="I53" s="43"/>
      <c r="K53" s="99">
        <f t="shared" ca="1" si="2"/>
        <v>0</v>
      </c>
    </row>
    <row r="54" spans="2:11" ht="20.100000000000001" customHeight="1" x14ac:dyDescent="0.3">
      <c r="B54" s="67">
        <f t="shared" ca="1" si="3"/>
        <v>0</v>
      </c>
      <c r="C54" s="68" t="str">
        <f t="shared" ca="1" si="1"/>
        <v/>
      </c>
      <c r="D54" s="44"/>
      <c r="E54" s="42"/>
      <c r="F54" s="106" t="str">
        <f ca="1">IF(AND(COPIA!$AK$2=TRUE,INDIRECT(ADDRESS(ROW(),4,,,))&lt;&gt;"",INDIRECT(ADDRESS(ROW(),5,,,))&lt;&gt;"",INDIRECT(ADDRESS(ROW(),7,,,))=""),"valore iniziale","")</f>
        <v/>
      </c>
      <c r="G54" s="103"/>
      <c r="H54" s="43"/>
      <c r="I54" s="43"/>
      <c r="K54" s="99">
        <f t="shared" ca="1" si="2"/>
        <v>0</v>
      </c>
    </row>
    <row r="55" spans="2:11" ht="20.100000000000001" customHeight="1" x14ac:dyDescent="0.3">
      <c r="B55" s="67">
        <f t="shared" ca="1" si="3"/>
        <v>0</v>
      </c>
      <c r="C55" s="68" t="str">
        <f t="shared" ca="1" si="1"/>
        <v/>
      </c>
      <c r="D55" s="44"/>
      <c r="E55" s="42"/>
      <c r="F55" s="106" t="str">
        <f ca="1">IF(AND(COPIA!$AK$2=TRUE,INDIRECT(ADDRESS(ROW(),4,,,))&lt;&gt;"",INDIRECT(ADDRESS(ROW(),5,,,))&lt;&gt;"",INDIRECT(ADDRESS(ROW(),7,,,))=""),"valore iniziale","")</f>
        <v/>
      </c>
      <c r="G55" s="103"/>
      <c r="H55" s="43"/>
      <c r="I55" s="43"/>
      <c r="K55" s="99">
        <f t="shared" ca="1" si="2"/>
        <v>0</v>
      </c>
    </row>
    <row r="56" spans="2:11" ht="20.100000000000001" customHeight="1" x14ac:dyDescent="0.3">
      <c r="B56" s="67">
        <f t="shared" ca="1" si="3"/>
        <v>0</v>
      </c>
      <c r="C56" s="68" t="str">
        <f t="shared" ca="1" si="1"/>
        <v/>
      </c>
      <c r="D56" s="44"/>
      <c r="E56" s="42"/>
      <c r="F56" s="106" t="str">
        <f ca="1">IF(AND(COPIA!$AK$2=TRUE,INDIRECT(ADDRESS(ROW(),4,,,))&lt;&gt;"",INDIRECT(ADDRESS(ROW(),5,,,))&lt;&gt;"",INDIRECT(ADDRESS(ROW(),7,,,))=""),"valore iniziale","")</f>
        <v/>
      </c>
      <c r="G56" s="103"/>
      <c r="H56" s="43"/>
      <c r="I56" s="43"/>
      <c r="K56" s="99">
        <f t="shared" ca="1" si="2"/>
        <v>0</v>
      </c>
    </row>
    <row r="57" spans="2:11" ht="20.100000000000001" customHeight="1" x14ac:dyDescent="0.3">
      <c r="B57" s="67">
        <f t="shared" ca="1" si="3"/>
        <v>0</v>
      </c>
      <c r="C57" s="68" t="str">
        <f t="shared" ca="1" si="1"/>
        <v/>
      </c>
      <c r="D57" s="44"/>
      <c r="E57" s="42"/>
      <c r="F57" s="106" t="str">
        <f ca="1">IF(AND(COPIA!$AK$2=TRUE,INDIRECT(ADDRESS(ROW(),4,,,))&lt;&gt;"",INDIRECT(ADDRESS(ROW(),5,,,))&lt;&gt;"",INDIRECT(ADDRESS(ROW(),7,,,))=""),"valore iniziale","")</f>
        <v/>
      </c>
      <c r="G57" s="103"/>
      <c r="H57" s="43"/>
      <c r="I57" s="43"/>
      <c r="K57" s="99">
        <f t="shared" ca="1" si="2"/>
        <v>0</v>
      </c>
    </row>
    <row r="58" spans="2:11" ht="20.100000000000001" customHeight="1" x14ac:dyDescent="0.3">
      <c r="B58" s="67">
        <f t="shared" ca="1" si="3"/>
        <v>0</v>
      </c>
      <c r="C58" s="68" t="str">
        <f t="shared" ca="1" si="1"/>
        <v/>
      </c>
      <c r="D58" s="44"/>
      <c r="E58" s="42"/>
      <c r="F58" s="106" t="str">
        <f ca="1">IF(AND(COPIA!$AK$2=TRUE,INDIRECT(ADDRESS(ROW(),4,,,))&lt;&gt;"",INDIRECT(ADDRESS(ROW(),5,,,))&lt;&gt;"",INDIRECT(ADDRESS(ROW(),7,,,))=""),"valore iniziale","")</f>
        <v/>
      </c>
      <c r="G58" s="103"/>
      <c r="H58" s="43"/>
      <c r="I58" s="43"/>
      <c r="K58" s="99">
        <f t="shared" ca="1" si="2"/>
        <v>0</v>
      </c>
    </row>
    <row r="59" spans="2:11" ht="20.100000000000001" customHeight="1" x14ac:dyDescent="0.3">
      <c r="B59" s="67">
        <f t="shared" ca="1" si="3"/>
        <v>0</v>
      </c>
      <c r="C59" s="68" t="str">
        <f t="shared" ca="1" si="1"/>
        <v/>
      </c>
      <c r="D59" s="44"/>
      <c r="E59" s="42"/>
      <c r="F59" s="106" t="str">
        <f ca="1">IF(AND(COPIA!$AK$2=TRUE,INDIRECT(ADDRESS(ROW(),4,,,))&lt;&gt;"",INDIRECT(ADDRESS(ROW(),5,,,))&lt;&gt;"",INDIRECT(ADDRESS(ROW(),7,,,))=""),"valore iniziale","")</f>
        <v/>
      </c>
      <c r="G59" s="103"/>
      <c r="H59" s="43"/>
      <c r="I59" s="43"/>
      <c r="K59" s="99">
        <f t="shared" ca="1" si="2"/>
        <v>0</v>
      </c>
    </row>
    <row r="60" spans="2:11" ht="20.100000000000001" customHeight="1" x14ac:dyDescent="0.3">
      <c r="B60" s="67">
        <f t="shared" ca="1" si="3"/>
        <v>0</v>
      </c>
      <c r="C60" s="68" t="str">
        <f t="shared" ca="1" si="1"/>
        <v/>
      </c>
      <c r="D60" s="44"/>
      <c r="E60" s="42"/>
      <c r="F60" s="106" t="str">
        <f ca="1">IF(AND(COPIA!$AK$2=TRUE,INDIRECT(ADDRESS(ROW(),4,,,))&lt;&gt;"",INDIRECT(ADDRESS(ROW(),5,,,))&lt;&gt;"",INDIRECT(ADDRESS(ROW(),7,,,))=""),"valore iniziale","")</f>
        <v/>
      </c>
      <c r="G60" s="103"/>
      <c r="H60" s="43"/>
      <c r="I60" s="43"/>
      <c r="K60" s="99">
        <f t="shared" ca="1" si="2"/>
        <v>0</v>
      </c>
    </row>
    <row r="61" spans="2:11" ht="20.100000000000001" customHeight="1" x14ac:dyDescent="0.3">
      <c r="B61" s="67">
        <f t="shared" ca="1" si="3"/>
        <v>0</v>
      </c>
      <c r="C61" s="68" t="str">
        <f t="shared" ca="1" si="1"/>
        <v/>
      </c>
      <c r="D61" s="44"/>
      <c r="E61" s="42"/>
      <c r="F61" s="106" t="str">
        <f ca="1">IF(AND(COPIA!$AK$2=TRUE,INDIRECT(ADDRESS(ROW(),4,,,))&lt;&gt;"",INDIRECT(ADDRESS(ROW(),5,,,))&lt;&gt;"",INDIRECT(ADDRESS(ROW(),7,,,))=""),"valore iniziale","")</f>
        <v/>
      </c>
      <c r="G61" s="103"/>
      <c r="H61" s="43"/>
      <c r="I61" s="43"/>
      <c r="K61" s="99">
        <f t="shared" ca="1" si="2"/>
        <v>0</v>
      </c>
    </row>
    <row r="62" spans="2:11" ht="20.100000000000001" customHeight="1" x14ac:dyDescent="0.3">
      <c r="B62" s="67">
        <f t="shared" ca="1" si="3"/>
        <v>0</v>
      </c>
      <c r="C62" s="68" t="str">
        <f t="shared" ca="1" si="1"/>
        <v/>
      </c>
      <c r="D62" s="44"/>
      <c r="E62" s="42"/>
      <c r="F62" s="106" t="str">
        <f ca="1">IF(AND(COPIA!$AK$2=TRUE,INDIRECT(ADDRESS(ROW(),4,,,))&lt;&gt;"",INDIRECT(ADDRESS(ROW(),5,,,))&lt;&gt;"",INDIRECT(ADDRESS(ROW(),7,,,))=""),"valore iniziale","")</f>
        <v/>
      </c>
      <c r="G62" s="103"/>
      <c r="H62" s="43"/>
      <c r="I62" s="43"/>
      <c r="K62" s="99">
        <f t="shared" ca="1" si="2"/>
        <v>0</v>
      </c>
    </row>
    <row r="63" spans="2:11" ht="20.100000000000001" customHeight="1" x14ac:dyDescent="0.3">
      <c r="B63" s="67">
        <f t="shared" ca="1" si="3"/>
        <v>0</v>
      </c>
      <c r="C63" s="68" t="str">
        <f t="shared" ca="1" si="1"/>
        <v/>
      </c>
      <c r="D63" s="44"/>
      <c r="E63" s="42"/>
      <c r="F63" s="106" t="str">
        <f ca="1">IF(AND(COPIA!$AK$2=TRUE,INDIRECT(ADDRESS(ROW(),4,,,))&lt;&gt;"",INDIRECT(ADDRESS(ROW(),5,,,))&lt;&gt;"",INDIRECT(ADDRESS(ROW(),7,,,))=""),"valore iniziale","")</f>
        <v/>
      </c>
      <c r="G63" s="103"/>
      <c r="H63" s="43"/>
      <c r="I63" s="43"/>
      <c r="K63" s="99">
        <f t="shared" ca="1" si="2"/>
        <v>0</v>
      </c>
    </row>
    <row r="64" spans="2:11" ht="20.100000000000001" customHeight="1" x14ac:dyDescent="0.3">
      <c r="B64" s="67">
        <f t="shared" ca="1" si="3"/>
        <v>0</v>
      </c>
      <c r="C64" s="68" t="str">
        <f t="shared" ca="1" si="1"/>
        <v/>
      </c>
      <c r="D64" s="44"/>
      <c r="E64" s="42"/>
      <c r="F64" s="106" t="str">
        <f ca="1">IF(AND(COPIA!$AK$2=TRUE,INDIRECT(ADDRESS(ROW(),4,,,))&lt;&gt;"",INDIRECT(ADDRESS(ROW(),5,,,))&lt;&gt;"",INDIRECT(ADDRESS(ROW(),7,,,))=""),"valore iniziale","")</f>
        <v/>
      </c>
      <c r="G64" s="103"/>
      <c r="H64" s="43"/>
      <c r="I64" s="43"/>
      <c r="K64" s="99">
        <f t="shared" ca="1" si="2"/>
        <v>0</v>
      </c>
    </row>
    <row r="65" spans="2:11" ht="20.100000000000001" customHeight="1" x14ac:dyDescent="0.3">
      <c r="B65" s="67">
        <f t="shared" ca="1" si="3"/>
        <v>0</v>
      </c>
      <c r="C65" s="68" t="str">
        <f t="shared" ca="1" si="1"/>
        <v/>
      </c>
      <c r="D65" s="44"/>
      <c r="E65" s="42"/>
      <c r="F65" s="106" t="str">
        <f ca="1">IF(AND(COPIA!$AK$2=TRUE,INDIRECT(ADDRESS(ROW(),4,,,))&lt;&gt;"",INDIRECT(ADDRESS(ROW(),5,,,))&lt;&gt;"",INDIRECT(ADDRESS(ROW(),7,,,))=""),"valore iniziale","")</f>
        <v/>
      </c>
      <c r="G65" s="103"/>
      <c r="H65" s="43"/>
      <c r="I65" s="43"/>
      <c r="K65" s="99">
        <f t="shared" ca="1" si="2"/>
        <v>0</v>
      </c>
    </row>
    <row r="66" spans="2:11" ht="20.100000000000001" customHeight="1" x14ac:dyDescent="0.3">
      <c r="B66" s="67">
        <f t="shared" ca="1" si="3"/>
        <v>0</v>
      </c>
      <c r="C66" s="68" t="str">
        <f t="shared" ca="1" si="1"/>
        <v/>
      </c>
      <c r="D66" s="44"/>
      <c r="E66" s="42"/>
      <c r="F66" s="106" t="str">
        <f ca="1">IF(AND(COPIA!$AK$2=TRUE,INDIRECT(ADDRESS(ROW(),4,,,))&lt;&gt;"",INDIRECT(ADDRESS(ROW(),5,,,))&lt;&gt;"",INDIRECT(ADDRESS(ROW(),7,,,))=""),"valore iniziale","")</f>
        <v/>
      </c>
      <c r="G66" s="103"/>
      <c r="H66" s="43"/>
      <c r="I66" s="43"/>
      <c r="K66" s="99">
        <f t="shared" ca="1" si="2"/>
        <v>0</v>
      </c>
    </row>
    <row r="67" spans="2:11" ht="20.100000000000001" customHeight="1" x14ac:dyDescent="0.3">
      <c r="B67" s="67">
        <f t="shared" ca="1" si="3"/>
        <v>0</v>
      </c>
      <c r="C67" s="68" t="str">
        <f t="shared" ca="1" si="1"/>
        <v/>
      </c>
      <c r="D67" s="44"/>
      <c r="E67" s="42"/>
      <c r="F67" s="106" t="str">
        <f ca="1">IF(AND(COPIA!$AK$2=TRUE,INDIRECT(ADDRESS(ROW(),4,,,))&lt;&gt;"",INDIRECT(ADDRESS(ROW(),5,,,))&lt;&gt;"",INDIRECT(ADDRESS(ROW(),7,,,))=""),"valore iniziale","")</f>
        <v/>
      </c>
      <c r="G67" s="103"/>
      <c r="H67" s="43"/>
      <c r="I67" s="43"/>
      <c r="K67" s="99">
        <f t="shared" ca="1" si="2"/>
        <v>0</v>
      </c>
    </row>
    <row r="68" spans="2:11" ht="20.100000000000001" customHeight="1" x14ac:dyDescent="0.3">
      <c r="B68" s="67">
        <f t="shared" ca="1" si="3"/>
        <v>0</v>
      </c>
      <c r="C68" s="68" t="str">
        <f t="shared" ca="1" si="1"/>
        <v/>
      </c>
      <c r="D68" s="44"/>
      <c r="E68" s="42"/>
      <c r="F68" s="106" t="str">
        <f ca="1">IF(AND(COPIA!$AK$2=TRUE,INDIRECT(ADDRESS(ROW(),4,,,))&lt;&gt;"",INDIRECT(ADDRESS(ROW(),5,,,))&lt;&gt;"",INDIRECT(ADDRESS(ROW(),7,,,))=""),"valore iniziale","")</f>
        <v/>
      </c>
      <c r="G68" s="103"/>
      <c r="H68" s="43"/>
      <c r="I68" s="43"/>
      <c r="K68" s="99">
        <f t="shared" ca="1" si="2"/>
        <v>0</v>
      </c>
    </row>
    <row r="69" spans="2:11" ht="20.100000000000001" customHeight="1" x14ac:dyDescent="0.3">
      <c r="B69" s="67">
        <f t="shared" ca="1" si="3"/>
        <v>0</v>
      </c>
      <c r="C69" s="68" t="str">
        <f t="shared" ca="1" si="1"/>
        <v/>
      </c>
      <c r="D69" s="44"/>
      <c r="E69" s="42"/>
      <c r="F69" s="106" t="str">
        <f ca="1">IF(AND(COPIA!$AK$2=TRUE,INDIRECT(ADDRESS(ROW(),4,,,))&lt;&gt;"",INDIRECT(ADDRESS(ROW(),5,,,))&lt;&gt;"",INDIRECT(ADDRESS(ROW(),7,,,))=""),"valore iniziale","")</f>
        <v/>
      </c>
      <c r="G69" s="103"/>
      <c r="H69" s="43"/>
      <c r="I69" s="43"/>
      <c r="K69" s="99">
        <f t="shared" ca="1" si="2"/>
        <v>0</v>
      </c>
    </row>
    <row r="70" spans="2:11" ht="20.100000000000001" customHeight="1" x14ac:dyDescent="0.3">
      <c r="B70" s="67">
        <f t="shared" ca="1" si="3"/>
        <v>0</v>
      </c>
      <c r="C70" s="68" t="str">
        <f t="shared" ca="1" si="1"/>
        <v/>
      </c>
      <c r="D70" s="44"/>
      <c r="E70" s="42"/>
      <c r="F70" s="106" t="str">
        <f ca="1">IF(AND(COPIA!$AK$2=TRUE,INDIRECT(ADDRESS(ROW(),4,,,))&lt;&gt;"",INDIRECT(ADDRESS(ROW(),5,,,))&lt;&gt;"",INDIRECT(ADDRESS(ROW(),7,,,))=""),"valore iniziale","")</f>
        <v/>
      </c>
      <c r="G70" s="103"/>
      <c r="H70" s="43"/>
      <c r="I70" s="43"/>
      <c r="K70" s="99">
        <f t="shared" ca="1" si="2"/>
        <v>0</v>
      </c>
    </row>
    <row r="71" spans="2:11" ht="20.100000000000001" customHeight="1" x14ac:dyDescent="0.3">
      <c r="B71" s="67">
        <f t="shared" ca="1" si="3"/>
        <v>0</v>
      </c>
      <c r="C71" s="68" t="str">
        <f t="shared" ca="1" si="1"/>
        <v/>
      </c>
      <c r="D71" s="44"/>
      <c r="E71" s="42"/>
      <c r="F71" s="106" t="str">
        <f ca="1">IF(AND(COPIA!$AK$2=TRUE,INDIRECT(ADDRESS(ROW(),4,,,))&lt;&gt;"",INDIRECT(ADDRESS(ROW(),5,,,))&lt;&gt;"",INDIRECT(ADDRESS(ROW(),7,,,))=""),"valore iniziale","")</f>
        <v/>
      </c>
      <c r="G71" s="103"/>
      <c r="H71" s="43"/>
      <c r="I71" s="43"/>
      <c r="K71" s="99">
        <f t="shared" ca="1" si="2"/>
        <v>0</v>
      </c>
    </row>
    <row r="72" spans="2:11" ht="20.100000000000001" customHeight="1" x14ac:dyDescent="0.3">
      <c r="B72" s="67">
        <f t="shared" ca="1" si="3"/>
        <v>0</v>
      </c>
      <c r="C72" s="68" t="str">
        <f t="shared" ca="1" si="1"/>
        <v/>
      </c>
      <c r="D72" s="44"/>
      <c r="E72" s="42"/>
      <c r="F72" s="106" t="str">
        <f ca="1">IF(AND(COPIA!$AK$2=TRUE,INDIRECT(ADDRESS(ROW(),4,,,))&lt;&gt;"",INDIRECT(ADDRESS(ROW(),5,,,))&lt;&gt;"",INDIRECT(ADDRESS(ROW(),7,,,))=""),"valore iniziale","")</f>
        <v/>
      </c>
      <c r="G72" s="103"/>
      <c r="H72" s="43"/>
      <c r="I72" s="43"/>
      <c r="K72" s="99">
        <f t="shared" ca="1" si="2"/>
        <v>0</v>
      </c>
    </row>
    <row r="73" spans="2:11" ht="20.100000000000001" customHeight="1" x14ac:dyDescent="0.3">
      <c r="B73" s="67">
        <f t="shared" ca="1" si="3"/>
        <v>0</v>
      </c>
      <c r="C73" s="68" t="str">
        <f t="shared" ca="1" si="1"/>
        <v/>
      </c>
      <c r="D73" s="44"/>
      <c r="E73" s="42"/>
      <c r="F73" s="106" t="str">
        <f ca="1">IF(AND(COPIA!$AK$2=TRUE,INDIRECT(ADDRESS(ROW(),4,,,))&lt;&gt;"",INDIRECT(ADDRESS(ROW(),5,,,))&lt;&gt;"",INDIRECT(ADDRESS(ROW(),7,,,))=""),"valore iniziale","")</f>
        <v/>
      </c>
      <c r="G73" s="103"/>
      <c r="H73" s="43"/>
      <c r="I73" s="43"/>
      <c r="K73" s="99">
        <f t="shared" ca="1" si="2"/>
        <v>0</v>
      </c>
    </row>
    <row r="74" spans="2:11" ht="20.100000000000001" customHeight="1" x14ac:dyDescent="0.3">
      <c r="B74" s="67">
        <f t="shared" ca="1" si="3"/>
        <v>0</v>
      </c>
      <c r="C74" s="68" t="str">
        <f t="shared" ref="C74:C108" ca="1" si="4">IF(INDIRECT(ADDRESS(ROW(),5,4,,"VALORI_INIZIALI"))&lt;&gt;"",CONCATENATE(ROW()-8," V.I."),"")</f>
        <v/>
      </c>
      <c r="D74" s="44"/>
      <c r="E74" s="42"/>
      <c r="F74" s="106" t="str">
        <f ca="1">IF(AND(COPIA!$AK$2=TRUE,INDIRECT(ADDRESS(ROW(),4,,,))&lt;&gt;"",INDIRECT(ADDRESS(ROW(),5,,,))&lt;&gt;"",INDIRECT(ADDRESS(ROW(),7,,,))=""),"valore iniziale","")</f>
        <v/>
      </c>
      <c r="G74" s="103"/>
      <c r="H74" s="43"/>
      <c r="I74" s="43"/>
      <c r="K74" s="99">
        <f t="shared" ref="K74:K76" ca="1" si="5">IF(INDIRECT(ADDRESS(ROW(),4,4,,))&lt;&gt;"",YEAR(INDIRECT(ADDRESS(ROW(),4,4,,))),0)</f>
        <v>0</v>
      </c>
    </row>
    <row r="75" spans="2:11" ht="20.100000000000001" customHeight="1" x14ac:dyDescent="0.3">
      <c r="B75" s="67">
        <f t="shared" ca="1" si="3"/>
        <v>0</v>
      </c>
      <c r="C75" s="68" t="str">
        <f t="shared" ca="1" si="4"/>
        <v/>
      </c>
      <c r="D75" s="44"/>
      <c r="E75" s="42"/>
      <c r="F75" s="106" t="str">
        <f ca="1">IF(AND(COPIA!$AK$2=TRUE,INDIRECT(ADDRESS(ROW(),4,,,))&lt;&gt;"",INDIRECT(ADDRESS(ROW(),5,,,))&lt;&gt;"",INDIRECT(ADDRESS(ROW(),7,,,))=""),"valore iniziale","")</f>
        <v/>
      </c>
      <c r="G75" s="103"/>
      <c r="H75" s="43"/>
      <c r="I75" s="43"/>
      <c r="K75" s="99">
        <f t="shared" ca="1" si="5"/>
        <v>0</v>
      </c>
    </row>
    <row r="76" spans="2:11" ht="20.100000000000001" customHeight="1" x14ac:dyDescent="0.3">
      <c r="B76" s="67">
        <f t="shared" ca="1" si="3"/>
        <v>0</v>
      </c>
      <c r="C76" s="68" t="str">
        <f t="shared" ca="1" si="4"/>
        <v/>
      </c>
      <c r="D76" s="44"/>
      <c r="E76" s="42"/>
      <c r="F76" s="106" t="str">
        <f ca="1">IF(AND(COPIA!$AK$2=TRUE,INDIRECT(ADDRESS(ROW(),4,,,))&lt;&gt;"",INDIRECT(ADDRESS(ROW(),5,,,))&lt;&gt;"",INDIRECT(ADDRESS(ROW(),7,,,))=""),"valore iniziale","")</f>
        <v/>
      </c>
      <c r="G76" s="103"/>
      <c r="H76" s="43"/>
      <c r="I76" s="43"/>
      <c r="K76" s="99">
        <f t="shared" ca="1" si="5"/>
        <v>0</v>
      </c>
    </row>
    <row r="77" spans="2:11" ht="20.100000000000001" customHeight="1" x14ac:dyDescent="0.3">
      <c r="B77" s="67">
        <f t="shared" ca="1" si="3"/>
        <v>0</v>
      </c>
      <c r="C77" s="68" t="str">
        <f t="shared" ca="1" si="4"/>
        <v/>
      </c>
      <c r="D77" s="44"/>
      <c r="E77" s="42"/>
      <c r="F77" s="106" t="str">
        <f ca="1">IF(AND(COPIA!$AK$2=TRUE,INDIRECT(ADDRESS(ROW(),4,,,))&lt;&gt;"",INDIRECT(ADDRESS(ROW(),5,,,))&lt;&gt;"",INDIRECT(ADDRESS(ROW(),7,,,))=""),"valore iniziale","")</f>
        <v/>
      </c>
      <c r="G77" s="103"/>
      <c r="H77" s="43"/>
      <c r="I77" s="43"/>
      <c r="J77" s="35"/>
      <c r="K77" s="99">
        <f ca="1">IF(INDIRECT(ADDRESS(ROW(),4,4,,))&lt;&gt;"",YEAR(INDIRECT(ADDRESS(ROW(),4,4,,))),0)</f>
        <v>0</v>
      </c>
    </row>
    <row r="78" spans="2:11" ht="20.100000000000001" customHeight="1" x14ac:dyDescent="0.3">
      <c r="B78" s="67">
        <f t="shared" ca="1" si="3"/>
        <v>0</v>
      </c>
      <c r="C78" s="68" t="str">
        <f t="shared" ca="1" si="4"/>
        <v/>
      </c>
      <c r="D78" s="44"/>
      <c r="E78" s="42"/>
      <c r="F78" s="106" t="str">
        <f ca="1">IF(AND(COPIA!$AK$2=TRUE,INDIRECT(ADDRESS(ROW(),4,,,))&lt;&gt;"",INDIRECT(ADDRESS(ROW(),5,,,))&lt;&gt;"",INDIRECT(ADDRESS(ROW(),7,,,))=""),"valore iniziale","")</f>
        <v/>
      </c>
      <c r="G78" s="103"/>
      <c r="H78" s="43"/>
      <c r="I78" s="43"/>
      <c r="K78" s="99">
        <f t="shared" ref="K78:K108" ca="1" si="6">IF(INDIRECT(ADDRESS(ROW(),4,4,,))&lt;&gt;"",YEAR(INDIRECT(ADDRESS(ROW(),4,4,,))),0)</f>
        <v>0</v>
      </c>
    </row>
    <row r="79" spans="2:11" ht="20.100000000000001" customHeight="1" x14ac:dyDescent="0.3">
      <c r="B79" s="67">
        <f t="shared" ca="1" si="3"/>
        <v>0</v>
      </c>
      <c r="C79" s="68" t="str">
        <f t="shared" ca="1" si="4"/>
        <v/>
      </c>
      <c r="D79" s="44"/>
      <c r="E79" s="42"/>
      <c r="F79" s="106" t="str">
        <f ca="1">IF(AND(COPIA!$AK$2=TRUE,INDIRECT(ADDRESS(ROW(),4,,,))&lt;&gt;"",INDIRECT(ADDRESS(ROW(),5,,,))&lt;&gt;"",INDIRECT(ADDRESS(ROW(),7,,,))=""),"valore iniziale","")</f>
        <v/>
      </c>
      <c r="G79" s="103"/>
      <c r="H79" s="43"/>
      <c r="I79" s="43"/>
      <c r="K79" s="99">
        <f t="shared" ca="1" si="6"/>
        <v>0</v>
      </c>
    </row>
    <row r="80" spans="2:11" ht="20.100000000000001" customHeight="1" x14ac:dyDescent="0.3">
      <c r="B80" s="67">
        <f t="shared" ca="1" si="3"/>
        <v>0</v>
      </c>
      <c r="C80" s="68" t="str">
        <f t="shared" ca="1" si="4"/>
        <v/>
      </c>
      <c r="D80" s="44"/>
      <c r="E80" s="42"/>
      <c r="F80" s="106" t="str">
        <f ca="1">IF(AND(COPIA!$AK$2=TRUE,INDIRECT(ADDRESS(ROW(),4,,,))&lt;&gt;"",INDIRECT(ADDRESS(ROW(),5,,,))&lt;&gt;"",INDIRECT(ADDRESS(ROW(),7,,,))=""),"valore iniziale","")</f>
        <v/>
      </c>
      <c r="G80" s="103"/>
      <c r="H80" s="43"/>
      <c r="I80" s="43"/>
      <c r="K80" s="99">
        <f t="shared" ca="1" si="6"/>
        <v>0</v>
      </c>
    </row>
    <row r="81" spans="2:11" ht="20.100000000000001" customHeight="1" x14ac:dyDescent="0.3">
      <c r="B81" s="67">
        <f t="shared" ca="1" si="3"/>
        <v>0</v>
      </c>
      <c r="C81" s="68" t="str">
        <f t="shared" ca="1" si="4"/>
        <v/>
      </c>
      <c r="D81" s="44"/>
      <c r="E81" s="42"/>
      <c r="F81" s="106" t="str">
        <f ca="1">IF(AND(COPIA!$AK$2=TRUE,INDIRECT(ADDRESS(ROW(),4,,,))&lt;&gt;"",INDIRECT(ADDRESS(ROW(),5,,,))&lt;&gt;"",INDIRECT(ADDRESS(ROW(),7,,,))=""),"valore iniziale","")</f>
        <v/>
      </c>
      <c r="G81" s="103"/>
      <c r="H81" s="43"/>
      <c r="I81" s="43"/>
      <c r="K81" s="99">
        <f t="shared" ca="1" si="6"/>
        <v>0</v>
      </c>
    </row>
    <row r="82" spans="2:11" ht="20.100000000000001" customHeight="1" x14ac:dyDescent="0.3">
      <c r="B82" s="67">
        <f t="shared" ca="1" si="3"/>
        <v>0</v>
      </c>
      <c r="C82" s="68" t="str">
        <f t="shared" ca="1" si="4"/>
        <v/>
      </c>
      <c r="D82" s="44"/>
      <c r="E82" s="42"/>
      <c r="F82" s="106" t="str">
        <f ca="1">IF(AND(COPIA!$AK$2=TRUE,INDIRECT(ADDRESS(ROW(),4,,,))&lt;&gt;"",INDIRECT(ADDRESS(ROW(),5,,,))&lt;&gt;"",INDIRECT(ADDRESS(ROW(),7,,,))=""),"valore iniziale","")</f>
        <v/>
      </c>
      <c r="G82" s="103"/>
      <c r="H82" s="43"/>
      <c r="I82" s="43"/>
      <c r="K82" s="99">
        <f t="shared" ca="1" si="6"/>
        <v>0</v>
      </c>
    </row>
    <row r="83" spans="2:11" ht="20.100000000000001" customHeight="1" x14ac:dyDescent="0.3">
      <c r="B83" s="67">
        <f t="shared" ca="1" si="3"/>
        <v>0</v>
      </c>
      <c r="C83" s="68" t="str">
        <f t="shared" ca="1" si="4"/>
        <v/>
      </c>
      <c r="D83" s="44"/>
      <c r="E83" s="42"/>
      <c r="F83" s="106" t="str">
        <f ca="1">IF(AND(COPIA!$AK$2=TRUE,INDIRECT(ADDRESS(ROW(),4,,,))&lt;&gt;"",INDIRECT(ADDRESS(ROW(),5,,,))&lt;&gt;"",INDIRECT(ADDRESS(ROW(),7,,,))=""),"valore iniziale","")</f>
        <v/>
      </c>
      <c r="G83" s="103"/>
      <c r="H83" s="43"/>
      <c r="I83" s="43"/>
      <c r="K83" s="99">
        <f t="shared" ca="1" si="6"/>
        <v>0</v>
      </c>
    </row>
    <row r="84" spans="2:11" ht="20.100000000000001" customHeight="1" x14ac:dyDescent="0.3">
      <c r="B84" s="67">
        <f t="shared" ca="1" si="3"/>
        <v>0</v>
      </c>
      <c r="C84" s="68" t="str">
        <f t="shared" ca="1" si="4"/>
        <v/>
      </c>
      <c r="D84" s="44"/>
      <c r="E84" s="42"/>
      <c r="F84" s="106" t="str">
        <f ca="1">IF(AND(COPIA!$AK$2=TRUE,INDIRECT(ADDRESS(ROW(),4,,,))&lt;&gt;"",INDIRECT(ADDRESS(ROW(),5,,,))&lt;&gt;"",INDIRECT(ADDRESS(ROW(),7,,,))=""),"valore iniziale","")</f>
        <v/>
      </c>
      <c r="G84" s="103"/>
      <c r="H84" s="43"/>
      <c r="I84" s="43"/>
      <c r="K84" s="99">
        <f t="shared" ca="1" si="6"/>
        <v>0</v>
      </c>
    </row>
    <row r="85" spans="2:11" ht="20.100000000000001" customHeight="1" x14ac:dyDescent="0.3">
      <c r="B85" s="67">
        <f t="shared" ca="1" si="3"/>
        <v>0</v>
      </c>
      <c r="C85" s="68" t="str">
        <f t="shared" ca="1" si="4"/>
        <v/>
      </c>
      <c r="D85" s="44"/>
      <c r="E85" s="42"/>
      <c r="F85" s="106" t="str">
        <f ca="1">IF(AND(COPIA!$AK$2=TRUE,INDIRECT(ADDRESS(ROW(),4,,,))&lt;&gt;"",INDIRECT(ADDRESS(ROW(),5,,,))&lt;&gt;"",INDIRECT(ADDRESS(ROW(),7,,,))=""),"valore iniziale","")</f>
        <v/>
      </c>
      <c r="G85" s="103"/>
      <c r="H85" s="43"/>
      <c r="I85" s="43"/>
      <c r="K85" s="99">
        <f t="shared" ca="1" si="6"/>
        <v>0</v>
      </c>
    </row>
    <row r="86" spans="2:11" ht="20.100000000000001" customHeight="1" x14ac:dyDescent="0.3">
      <c r="B86" s="67">
        <f t="shared" ca="1" si="3"/>
        <v>0</v>
      </c>
      <c r="C86" s="68" t="str">
        <f t="shared" ca="1" si="4"/>
        <v/>
      </c>
      <c r="D86" s="44"/>
      <c r="E86" s="42"/>
      <c r="F86" s="106" t="str">
        <f ca="1">IF(AND(COPIA!$AK$2=TRUE,INDIRECT(ADDRESS(ROW(),4,,,))&lt;&gt;"",INDIRECT(ADDRESS(ROW(),5,,,))&lt;&gt;"",INDIRECT(ADDRESS(ROW(),7,,,))=""),"valore iniziale","")</f>
        <v/>
      </c>
      <c r="G86" s="103"/>
      <c r="H86" s="43"/>
      <c r="I86" s="43"/>
      <c r="K86" s="99">
        <f t="shared" ca="1" si="6"/>
        <v>0</v>
      </c>
    </row>
    <row r="87" spans="2:11" ht="20.100000000000001" customHeight="1" x14ac:dyDescent="0.3">
      <c r="B87" s="67">
        <f t="shared" ca="1" si="3"/>
        <v>0</v>
      </c>
      <c r="C87" s="68" t="str">
        <f t="shared" ca="1" si="4"/>
        <v/>
      </c>
      <c r="D87" s="44"/>
      <c r="E87" s="42"/>
      <c r="F87" s="106" t="str">
        <f ca="1">IF(AND(COPIA!$AK$2=TRUE,INDIRECT(ADDRESS(ROW(),4,,,))&lt;&gt;"",INDIRECT(ADDRESS(ROW(),5,,,))&lt;&gt;"",INDIRECT(ADDRESS(ROW(),7,,,))=""),"valore iniziale","")</f>
        <v/>
      </c>
      <c r="G87" s="103"/>
      <c r="H87" s="43"/>
      <c r="I87" s="43"/>
      <c r="K87" s="99">
        <f t="shared" ca="1" si="6"/>
        <v>0</v>
      </c>
    </row>
    <row r="88" spans="2:11" ht="20.100000000000001" customHeight="1" x14ac:dyDescent="0.3">
      <c r="B88" s="67">
        <f t="shared" ca="1" si="3"/>
        <v>0</v>
      </c>
      <c r="C88" s="68" t="str">
        <f t="shared" ca="1" si="4"/>
        <v/>
      </c>
      <c r="D88" s="44"/>
      <c r="E88" s="42"/>
      <c r="F88" s="106" t="str">
        <f ca="1">IF(AND(COPIA!$AK$2=TRUE,INDIRECT(ADDRESS(ROW(),4,,,))&lt;&gt;"",INDIRECT(ADDRESS(ROW(),5,,,))&lt;&gt;"",INDIRECT(ADDRESS(ROW(),7,,,))=""),"valore iniziale","")</f>
        <v/>
      </c>
      <c r="G88" s="103"/>
      <c r="H88" s="43"/>
      <c r="I88" s="43"/>
      <c r="K88" s="99">
        <f t="shared" ca="1" si="6"/>
        <v>0</v>
      </c>
    </row>
    <row r="89" spans="2:11" ht="20.100000000000001" customHeight="1" x14ac:dyDescent="0.3">
      <c r="B89" s="67">
        <f t="shared" ca="1" si="3"/>
        <v>0</v>
      </c>
      <c r="C89" s="68" t="str">
        <f t="shared" ca="1" si="4"/>
        <v/>
      </c>
      <c r="D89" s="44"/>
      <c r="E89" s="42"/>
      <c r="F89" s="106" t="str">
        <f ca="1">IF(AND(COPIA!$AK$2=TRUE,INDIRECT(ADDRESS(ROW(),4,,,))&lt;&gt;"",INDIRECT(ADDRESS(ROW(),5,,,))&lt;&gt;"",INDIRECT(ADDRESS(ROW(),7,,,))=""),"valore iniziale","")</f>
        <v/>
      </c>
      <c r="G89" s="103"/>
      <c r="H89" s="43"/>
      <c r="I89" s="43"/>
      <c r="K89" s="99">
        <f t="shared" ca="1" si="6"/>
        <v>0</v>
      </c>
    </row>
    <row r="90" spans="2:11" ht="20.100000000000001" customHeight="1" x14ac:dyDescent="0.3">
      <c r="B90" s="67">
        <f t="shared" ca="1" si="3"/>
        <v>0</v>
      </c>
      <c r="C90" s="68" t="str">
        <f t="shared" ca="1" si="4"/>
        <v/>
      </c>
      <c r="D90" s="44"/>
      <c r="E90" s="42"/>
      <c r="F90" s="106" t="str">
        <f ca="1">IF(AND(COPIA!$AK$2=TRUE,INDIRECT(ADDRESS(ROW(),4,,,))&lt;&gt;"",INDIRECT(ADDRESS(ROW(),5,,,))&lt;&gt;"",INDIRECT(ADDRESS(ROW(),7,,,))=""),"valore iniziale","")</f>
        <v/>
      </c>
      <c r="G90" s="103"/>
      <c r="H90" s="43"/>
      <c r="I90" s="43"/>
      <c r="K90" s="99">
        <f t="shared" ca="1" si="6"/>
        <v>0</v>
      </c>
    </row>
    <row r="91" spans="2:11" ht="20.100000000000001" customHeight="1" x14ac:dyDescent="0.3">
      <c r="B91" s="67">
        <f t="shared" ca="1" si="3"/>
        <v>0</v>
      </c>
      <c r="C91" s="68" t="str">
        <f t="shared" ca="1" si="4"/>
        <v/>
      </c>
      <c r="D91" s="44"/>
      <c r="E91" s="42"/>
      <c r="F91" s="106" t="str">
        <f ca="1">IF(AND(COPIA!$AK$2=TRUE,INDIRECT(ADDRESS(ROW(),4,,,))&lt;&gt;"",INDIRECT(ADDRESS(ROW(),5,,,))&lt;&gt;"",INDIRECT(ADDRESS(ROW(),7,,,))=""),"valore iniziale","")</f>
        <v/>
      </c>
      <c r="G91" s="103"/>
      <c r="H91" s="43"/>
      <c r="I91" s="43"/>
      <c r="K91" s="99">
        <f t="shared" ca="1" si="6"/>
        <v>0</v>
      </c>
    </row>
    <row r="92" spans="2:11" ht="20.100000000000001" customHeight="1" x14ac:dyDescent="0.3">
      <c r="B92" s="67">
        <f t="shared" ca="1" si="3"/>
        <v>0</v>
      </c>
      <c r="C92" s="68" t="str">
        <f t="shared" ca="1" si="4"/>
        <v/>
      </c>
      <c r="D92" s="44"/>
      <c r="E92" s="42"/>
      <c r="F92" s="106" t="str">
        <f ca="1">IF(AND(COPIA!$AK$2=TRUE,INDIRECT(ADDRESS(ROW(),4,,,))&lt;&gt;"",INDIRECT(ADDRESS(ROW(),5,,,))&lt;&gt;"",INDIRECT(ADDRESS(ROW(),7,,,))=""),"valore iniziale","")</f>
        <v/>
      </c>
      <c r="G92" s="103"/>
      <c r="H92" s="43"/>
      <c r="I92" s="43"/>
      <c r="K92" s="99">
        <f t="shared" ca="1" si="6"/>
        <v>0</v>
      </c>
    </row>
    <row r="93" spans="2:11" ht="20.100000000000001" customHeight="1" x14ac:dyDescent="0.3">
      <c r="B93" s="67">
        <f t="shared" ca="1" si="3"/>
        <v>0</v>
      </c>
      <c r="C93" s="68" t="str">
        <f t="shared" ca="1" si="4"/>
        <v/>
      </c>
      <c r="D93" s="44"/>
      <c r="E93" s="42"/>
      <c r="F93" s="106" t="str">
        <f ca="1">IF(AND(COPIA!$AK$2=TRUE,INDIRECT(ADDRESS(ROW(),4,,,))&lt;&gt;"",INDIRECT(ADDRESS(ROW(),5,,,))&lt;&gt;"",INDIRECT(ADDRESS(ROW(),7,,,))=""),"valore iniziale","")</f>
        <v/>
      </c>
      <c r="G93" s="103"/>
      <c r="H93" s="43"/>
      <c r="I93" s="43"/>
      <c r="K93" s="99">
        <f t="shared" ca="1" si="6"/>
        <v>0</v>
      </c>
    </row>
    <row r="94" spans="2:11" ht="20.100000000000001" customHeight="1" x14ac:dyDescent="0.3">
      <c r="B94" s="67">
        <f t="shared" ca="1" si="3"/>
        <v>0</v>
      </c>
      <c r="C94" s="68" t="str">
        <f t="shared" ca="1" si="4"/>
        <v/>
      </c>
      <c r="D94" s="44"/>
      <c r="E94" s="42"/>
      <c r="F94" s="106" t="str">
        <f ca="1">IF(AND(COPIA!$AK$2=TRUE,INDIRECT(ADDRESS(ROW(),4,,,))&lt;&gt;"",INDIRECT(ADDRESS(ROW(),5,,,))&lt;&gt;"",INDIRECT(ADDRESS(ROW(),7,,,))=""),"valore iniziale","")</f>
        <v/>
      </c>
      <c r="G94" s="103"/>
      <c r="H94" s="43"/>
      <c r="I94" s="43"/>
      <c r="K94" s="99">
        <f t="shared" ca="1" si="6"/>
        <v>0</v>
      </c>
    </row>
    <row r="95" spans="2:11" ht="20.100000000000001" customHeight="1" x14ac:dyDescent="0.3">
      <c r="B95" s="67">
        <f t="shared" ca="1" si="3"/>
        <v>0</v>
      </c>
      <c r="C95" s="68" t="str">
        <f t="shared" ca="1" si="4"/>
        <v/>
      </c>
      <c r="D95" s="44"/>
      <c r="E95" s="42"/>
      <c r="F95" s="106" t="str">
        <f ca="1">IF(AND(COPIA!$AK$2=TRUE,INDIRECT(ADDRESS(ROW(),4,,,))&lt;&gt;"",INDIRECT(ADDRESS(ROW(),5,,,))&lt;&gt;"",INDIRECT(ADDRESS(ROW(),7,,,))=""),"valore iniziale","")</f>
        <v/>
      </c>
      <c r="G95" s="103"/>
      <c r="H95" s="43"/>
      <c r="I95" s="43"/>
      <c r="K95" s="99">
        <f t="shared" ca="1" si="6"/>
        <v>0</v>
      </c>
    </row>
    <row r="96" spans="2:11" ht="20.100000000000001" customHeight="1" x14ac:dyDescent="0.3">
      <c r="B96" s="67">
        <f t="shared" ca="1" si="3"/>
        <v>0</v>
      </c>
      <c r="C96" s="68" t="str">
        <f t="shared" ca="1" si="4"/>
        <v/>
      </c>
      <c r="D96" s="44"/>
      <c r="E96" s="42"/>
      <c r="F96" s="106" t="str">
        <f ca="1">IF(AND(COPIA!$AK$2=TRUE,INDIRECT(ADDRESS(ROW(),4,,,))&lt;&gt;"",INDIRECT(ADDRESS(ROW(),5,,,))&lt;&gt;"",INDIRECT(ADDRESS(ROW(),7,,,))=""),"valore iniziale","")</f>
        <v/>
      </c>
      <c r="G96" s="103"/>
      <c r="H96" s="43"/>
      <c r="I96" s="43"/>
      <c r="K96" s="99">
        <f t="shared" ca="1" si="6"/>
        <v>0</v>
      </c>
    </row>
    <row r="97" spans="2:11" ht="20.100000000000001" customHeight="1" x14ac:dyDescent="0.3">
      <c r="B97" s="67">
        <f t="shared" ca="1" si="3"/>
        <v>0</v>
      </c>
      <c r="C97" s="68" t="str">
        <f t="shared" ca="1" si="4"/>
        <v/>
      </c>
      <c r="D97" s="44"/>
      <c r="E97" s="42"/>
      <c r="F97" s="106" t="str">
        <f ca="1">IF(AND(COPIA!$AK$2=TRUE,INDIRECT(ADDRESS(ROW(),4,,,))&lt;&gt;"",INDIRECT(ADDRESS(ROW(),5,,,))&lt;&gt;"",INDIRECT(ADDRESS(ROW(),7,,,))=""),"valore iniziale","")</f>
        <v/>
      </c>
      <c r="G97" s="103"/>
      <c r="H97" s="43"/>
      <c r="I97" s="43"/>
      <c r="K97" s="99">
        <f t="shared" ca="1" si="6"/>
        <v>0</v>
      </c>
    </row>
    <row r="98" spans="2:11" ht="20.100000000000001" customHeight="1" x14ac:dyDescent="0.3">
      <c r="B98" s="67">
        <f t="shared" ca="1" si="3"/>
        <v>0</v>
      </c>
      <c r="C98" s="68" t="str">
        <f t="shared" ca="1" si="4"/>
        <v/>
      </c>
      <c r="D98" s="44"/>
      <c r="E98" s="42"/>
      <c r="F98" s="106" t="str">
        <f ca="1">IF(AND(COPIA!$AK$2=TRUE,INDIRECT(ADDRESS(ROW(),4,,,))&lt;&gt;"",INDIRECT(ADDRESS(ROW(),5,,,))&lt;&gt;"",INDIRECT(ADDRESS(ROW(),7,,,))=""),"valore iniziale","")</f>
        <v/>
      </c>
      <c r="G98" s="103"/>
      <c r="H98" s="43"/>
      <c r="I98" s="43"/>
      <c r="K98" s="99">
        <f t="shared" ca="1" si="6"/>
        <v>0</v>
      </c>
    </row>
    <row r="99" spans="2:11" ht="20.100000000000001" customHeight="1" x14ac:dyDescent="0.3">
      <c r="B99" s="67">
        <f t="shared" ca="1" si="3"/>
        <v>0</v>
      </c>
      <c r="C99" s="68" t="str">
        <f t="shared" ca="1" si="4"/>
        <v/>
      </c>
      <c r="D99" s="44"/>
      <c r="E99" s="42"/>
      <c r="F99" s="106" t="str">
        <f ca="1">IF(AND(COPIA!$AK$2=TRUE,INDIRECT(ADDRESS(ROW(),4,,,))&lt;&gt;"",INDIRECT(ADDRESS(ROW(),5,,,))&lt;&gt;"",INDIRECT(ADDRESS(ROW(),7,,,))=""),"valore iniziale","")</f>
        <v/>
      </c>
      <c r="G99" s="103"/>
      <c r="H99" s="43"/>
      <c r="I99" s="43"/>
      <c r="K99" s="99">
        <f t="shared" ca="1" si="6"/>
        <v>0</v>
      </c>
    </row>
    <row r="100" spans="2:11" ht="20.100000000000001" customHeight="1" x14ac:dyDescent="0.3">
      <c r="B100" s="67">
        <f t="shared" ca="1" si="3"/>
        <v>0</v>
      </c>
      <c r="C100" s="68" t="str">
        <f t="shared" ca="1" si="4"/>
        <v/>
      </c>
      <c r="D100" s="44"/>
      <c r="E100" s="42"/>
      <c r="F100" s="106" t="str">
        <f ca="1">IF(AND(COPIA!$AK$2=TRUE,INDIRECT(ADDRESS(ROW(),4,,,))&lt;&gt;"",INDIRECT(ADDRESS(ROW(),5,,,))&lt;&gt;"",INDIRECT(ADDRESS(ROW(),7,,,))=""),"valore iniziale","")</f>
        <v/>
      </c>
      <c r="G100" s="103"/>
      <c r="H100" s="43"/>
      <c r="I100" s="43"/>
      <c r="K100" s="99">
        <f t="shared" ca="1" si="6"/>
        <v>0</v>
      </c>
    </row>
    <row r="101" spans="2:11" ht="20.100000000000001" customHeight="1" x14ac:dyDescent="0.3">
      <c r="B101" s="67">
        <f t="shared" ca="1" si="3"/>
        <v>0</v>
      </c>
      <c r="C101" s="68" t="str">
        <f t="shared" ca="1" si="4"/>
        <v/>
      </c>
      <c r="D101" s="44"/>
      <c r="E101" s="42"/>
      <c r="F101" s="106" t="str">
        <f ca="1">IF(AND(COPIA!$AK$2=TRUE,INDIRECT(ADDRESS(ROW(),4,,,))&lt;&gt;"",INDIRECT(ADDRESS(ROW(),5,,,))&lt;&gt;"",INDIRECT(ADDRESS(ROW(),7,,,))=""),"valore iniziale","")</f>
        <v/>
      </c>
      <c r="G101" s="103"/>
      <c r="H101" s="43"/>
      <c r="I101" s="43"/>
      <c r="K101" s="99">
        <f t="shared" ca="1" si="6"/>
        <v>0</v>
      </c>
    </row>
    <row r="102" spans="2:11" ht="20.100000000000001" customHeight="1" x14ac:dyDescent="0.3">
      <c r="B102" s="67">
        <f t="shared" ca="1" si="3"/>
        <v>0</v>
      </c>
      <c r="C102" s="68" t="str">
        <f t="shared" ca="1" si="4"/>
        <v/>
      </c>
      <c r="D102" s="44"/>
      <c r="E102" s="42"/>
      <c r="F102" s="106" t="str">
        <f ca="1">IF(AND(COPIA!$AK$2=TRUE,INDIRECT(ADDRESS(ROW(),4,,,))&lt;&gt;"",INDIRECT(ADDRESS(ROW(),5,,,))&lt;&gt;"",INDIRECT(ADDRESS(ROW(),7,,,))=""),"valore iniziale","")</f>
        <v/>
      </c>
      <c r="G102" s="103"/>
      <c r="H102" s="43"/>
      <c r="I102" s="43"/>
      <c r="K102" s="99">
        <f t="shared" ca="1" si="6"/>
        <v>0</v>
      </c>
    </row>
    <row r="103" spans="2:11" ht="20.100000000000001" customHeight="1" x14ac:dyDescent="0.3">
      <c r="B103" s="67">
        <f t="shared" ca="1" si="3"/>
        <v>0</v>
      </c>
      <c r="C103" s="68" t="str">
        <f t="shared" ca="1" si="4"/>
        <v/>
      </c>
      <c r="D103" s="44"/>
      <c r="E103" s="42"/>
      <c r="F103" s="106" t="str">
        <f ca="1">IF(AND(COPIA!$AK$2=TRUE,INDIRECT(ADDRESS(ROW(),4,,,))&lt;&gt;"",INDIRECT(ADDRESS(ROW(),5,,,))&lt;&gt;"",INDIRECT(ADDRESS(ROW(),7,,,))=""),"valore iniziale","")</f>
        <v/>
      </c>
      <c r="G103" s="103"/>
      <c r="H103" s="43"/>
      <c r="I103" s="43"/>
      <c r="K103" s="99">
        <f t="shared" ca="1" si="6"/>
        <v>0</v>
      </c>
    </row>
    <row r="104" spans="2:11" ht="20.100000000000001" customHeight="1" x14ac:dyDescent="0.3">
      <c r="B104" s="67">
        <f t="shared" ca="1" si="3"/>
        <v>0</v>
      </c>
      <c r="C104" s="68" t="str">
        <f t="shared" ca="1" si="4"/>
        <v/>
      </c>
      <c r="D104" s="44"/>
      <c r="E104" s="42"/>
      <c r="F104" s="106" t="str">
        <f ca="1">IF(AND(COPIA!$AK$2=TRUE,INDIRECT(ADDRESS(ROW(),4,,,))&lt;&gt;"",INDIRECT(ADDRESS(ROW(),5,,,))&lt;&gt;"",INDIRECT(ADDRESS(ROW(),7,,,))=""),"valore iniziale","")</f>
        <v/>
      </c>
      <c r="G104" s="103"/>
      <c r="H104" s="43"/>
      <c r="I104" s="43"/>
      <c r="K104" s="99">
        <f t="shared" ca="1" si="6"/>
        <v>0</v>
      </c>
    </row>
    <row r="105" spans="2:11" ht="20.100000000000001" customHeight="1" x14ac:dyDescent="0.3">
      <c r="B105" s="67">
        <f t="shared" ref="B105:B108" ca="1" si="7">IF(INDIRECT(ADDRESS(ROW(),4,,,))="",0,IFERROR(INDEX(PDC,MATCH(INDIRECT(ADDRESS(ROW(),5,,,)),DEN_PDC,0),1),0))</f>
        <v>0</v>
      </c>
      <c r="C105" s="68" t="str">
        <f t="shared" ca="1" si="4"/>
        <v/>
      </c>
      <c r="D105" s="44"/>
      <c r="E105" s="42"/>
      <c r="F105" s="106" t="str">
        <f ca="1">IF(AND(COPIA!$AK$2=TRUE,INDIRECT(ADDRESS(ROW(),4,,,))&lt;&gt;"",INDIRECT(ADDRESS(ROW(),5,,,))&lt;&gt;"",INDIRECT(ADDRESS(ROW(),7,,,))=""),"valore iniziale","")</f>
        <v/>
      </c>
      <c r="G105" s="103"/>
      <c r="H105" s="43"/>
      <c r="I105" s="43"/>
      <c r="K105" s="99">
        <f t="shared" ca="1" si="6"/>
        <v>0</v>
      </c>
    </row>
    <row r="106" spans="2:11" ht="20.100000000000001" customHeight="1" x14ac:dyDescent="0.3">
      <c r="B106" s="67">
        <f t="shared" ca="1" si="7"/>
        <v>0</v>
      </c>
      <c r="C106" s="68" t="str">
        <f t="shared" ca="1" si="4"/>
        <v/>
      </c>
      <c r="D106" s="44"/>
      <c r="E106" s="42"/>
      <c r="F106" s="106" t="str">
        <f ca="1">IF(AND(COPIA!$AK$2=TRUE,INDIRECT(ADDRESS(ROW(),4,,,))&lt;&gt;"",INDIRECT(ADDRESS(ROW(),5,,,))&lt;&gt;"",INDIRECT(ADDRESS(ROW(),7,,,))=""),"valore iniziale","")</f>
        <v/>
      </c>
      <c r="G106" s="103"/>
      <c r="H106" s="43"/>
      <c r="I106" s="43"/>
      <c r="K106" s="99">
        <f t="shared" ca="1" si="6"/>
        <v>0</v>
      </c>
    </row>
    <row r="107" spans="2:11" ht="20.100000000000001" customHeight="1" x14ac:dyDescent="0.3">
      <c r="B107" s="67">
        <f t="shared" ca="1" si="7"/>
        <v>0</v>
      </c>
      <c r="C107" s="68" t="str">
        <f t="shared" ca="1" si="4"/>
        <v/>
      </c>
      <c r="D107" s="44"/>
      <c r="E107" s="42"/>
      <c r="F107" s="106" t="str">
        <f ca="1">IF(AND(COPIA!$AK$2=TRUE,INDIRECT(ADDRESS(ROW(),4,,,))&lt;&gt;"",INDIRECT(ADDRESS(ROW(),5,,,))&lt;&gt;"",INDIRECT(ADDRESS(ROW(),7,,,))=""),"valore iniziale","")</f>
        <v/>
      </c>
      <c r="G107" s="103"/>
      <c r="H107" s="43"/>
      <c r="I107" s="43"/>
      <c r="K107" s="99">
        <f t="shared" ca="1" si="6"/>
        <v>0</v>
      </c>
    </row>
    <row r="108" spans="2:11" ht="20.100000000000001" customHeight="1" x14ac:dyDescent="0.3">
      <c r="B108" s="67">
        <f t="shared" ca="1" si="7"/>
        <v>0</v>
      </c>
      <c r="C108" s="68" t="str">
        <f t="shared" ca="1" si="4"/>
        <v/>
      </c>
      <c r="D108" s="44"/>
      <c r="E108" s="42"/>
      <c r="F108" s="106" t="str">
        <f ca="1">IF(AND(COPIA!$AK$2=TRUE,INDIRECT(ADDRESS(ROW(),4,,,))&lt;&gt;"",INDIRECT(ADDRESS(ROW(),5,,,))&lt;&gt;"",INDIRECT(ADDRESS(ROW(),7,,,))=""),"valore iniziale","")</f>
        <v/>
      </c>
      <c r="G108" s="103"/>
      <c r="H108" s="43"/>
      <c r="I108" s="43"/>
      <c r="K108" s="99">
        <f t="shared" ca="1" si="6"/>
        <v>0</v>
      </c>
    </row>
  </sheetData>
  <sheetProtection algorithmName="SHA-512" hashValue="1leE8v1qqP09HrbvrLaqQE8Pn06UJ8skMqFyGFhPxpjSthhCK3Gq5s/JydaYDXz9k82vgcihGQHuj/G2kQM8Og==" saltValue="RZxnmzkwVftuaIIcLKOYpw==" spinCount="100000" sheet="1" objects="1" scenarios="1"/>
  <mergeCells count="9">
    <mergeCell ref="G1:I1"/>
    <mergeCell ref="H2:I2"/>
    <mergeCell ref="H5:I5"/>
    <mergeCell ref="H7:I7"/>
    <mergeCell ref="B2:D6"/>
    <mergeCell ref="H6:I6"/>
    <mergeCell ref="G2:G5"/>
    <mergeCell ref="B1:F1"/>
    <mergeCell ref="E2:E3"/>
  </mergeCells>
  <conditionalFormatting sqref="B9:B108">
    <cfRule type="expression" dxfId="4" priority="2">
      <formula>$B9=0</formula>
    </cfRule>
  </conditionalFormatting>
  <conditionalFormatting sqref="D9:D108">
    <cfRule type="expression" dxfId="3" priority="1">
      <formula>AND($K9&lt;&gt;0,$K9&lt;&gt;K$8)</formula>
    </cfRule>
  </conditionalFormatting>
  <conditionalFormatting sqref="H4:I4">
    <cfRule type="expression" dxfId="2" priority="3">
      <formula>$H$4=$I$4</formula>
    </cfRule>
    <cfRule type="expression" dxfId="1" priority="4">
      <formula>AND($H$4=0,$I$4=0)</formula>
    </cfRule>
    <cfRule type="expression" dxfId="0" priority="5">
      <formula>$H$4&lt;&gt;$I$4</formula>
    </cfRule>
  </conditionalFormatting>
  <dataValidations count="2">
    <dataValidation type="list" allowBlank="1" sqref="E9:E108" xr:uid="{00000000-0002-0000-0600-000000000000}">
      <formula1>TENDINA_GIORNALE</formula1>
    </dataValidation>
    <dataValidation type="list" allowBlank="1" showInputMessage="1" showErrorMessage="1" sqref="G6" xr:uid="{00000000-0002-0000-0600-000001000000}">
      <formula1>"RIPORTA LA DESCRIZIONE VALORE INIZIALE,NON RIPORTARE LA DESCRIZIONE VALORE INIZIALE"</formula1>
    </dataValidation>
  </dataValidations>
  <printOptions horizontalCentered="1"/>
  <pageMargins left="0.11811023622047245" right="0.11811023622047245" top="0.98425196850393704" bottom="0.55118110236220474" header="0.39370078740157483" footer="0.31496062992125984"/>
  <pageSetup paperSize="9" orientation="landscape" horizontalDpi="4294967294" r:id="rId1"/>
  <headerFooter>
    <oddHeader>&amp;L&amp;"Arial Narrow,Grassetto"&amp;10&amp;K08-045&amp;A&amp;R&amp;G</oddHeader>
    <oddFooter>&amp;L&amp;"Arial Narrow,Grassetto"&amp;8&amp;K08-043TRAMONTANA -FUTURO IMPRESA SMART 4 - T-SMART -  Autore: Biagio PALACINO&amp;C&amp;"Arial Narrow,Grassetto"&amp;10&amp;K08-047&amp;G&amp;R&amp;"Arial Narrow,Grassetto"&amp;10&amp;K08-044pag. &amp;P di &amp;N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5" name="List Box 10">
              <controlPr defaultSize="0" print="0" autoLine="0" autoPict="0">
                <anchor>
                  <from>
                    <xdr:col>4</xdr:col>
                    <xdr:colOff>228600</xdr:colOff>
                    <xdr:row>1</xdr:row>
                    <xdr:rowOff>7620</xdr:rowOff>
                  </from>
                  <to>
                    <xdr:col>4</xdr:col>
                    <xdr:colOff>3451860</xdr:colOff>
                    <xdr:row>5</xdr:row>
                    <xdr:rowOff>350520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6"/>
  <dimension ref="A1:FQ1339"/>
  <sheetViews>
    <sheetView topLeftCell="S1" zoomScale="85" zoomScaleNormal="85" workbookViewId="0">
      <pane ySplit="2" topLeftCell="A361" activePane="bottomLeft" state="frozen"/>
      <selection activeCell="AY1" sqref="AY1"/>
      <selection pane="bottomLeft" activeCell="S1" sqref="A1:XFD1048576"/>
    </sheetView>
  </sheetViews>
  <sheetFormatPr defaultColWidth="0.8984375" defaultRowHeight="15.6" x14ac:dyDescent="0.3"/>
  <cols>
    <col min="1" max="1" width="2" style="48" bestFit="1" customWidth="1"/>
    <col min="2" max="2" width="0.8984375" style="48"/>
    <col min="3" max="6" width="2" style="48" bestFit="1" customWidth="1"/>
    <col min="7" max="7" width="0.8984375" style="48"/>
    <col min="8" max="9" width="2" style="48" bestFit="1" customWidth="1"/>
    <col min="10" max="10" width="0.8984375" style="48"/>
    <col min="11" max="12" width="2" style="48" bestFit="1" customWidth="1"/>
    <col min="13" max="13" width="3.09765625" style="48" bestFit="1" customWidth="1"/>
    <col min="14" max="14" width="0.8984375" style="48"/>
    <col min="15" max="15" width="3.09765625" style="48" bestFit="1" customWidth="1"/>
    <col min="16" max="16" width="0.8984375" style="48"/>
    <col min="17" max="17" width="4.09765625" style="48" bestFit="1" customWidth="1"/>
    <col min="18" max="18" width="5.69921875" style="48" bestFit="1" customWidth="1"/>
    <col min="19" max="20" width="0.8984375" style="48"/>
    <col min="21" max="21" width="2" style="48" bestFit="1" customWidth="1"/>
    <col min="22" max="22" width="4.09765625" style="48" bestFit="1" customWidth="1"/>
    <col min="23" max="25" width="2" style="48" bestFit="1" customWidth="1"/>
    <col min="26" max="29" width="0.8984375" style="48"/>
    <col min="30" max="34" width="2" style="48" bestFit="1" customWidth="1"/>
    <col min="35" max="36" width="10.69921875" style="48" bestFit="1" customWidth="1"/>
    <col min="37" max="37" width="5.69921875" style="48" bestFit="1" customWidth="1"/>
    <col min="38" max="38" width="2" style="48" bestFit="1" customWidth="1"/>
    <col min="39" max="39" width="10.69921875" style="48" bestFit="1" customWidth="1"/>
    <col min="40" max="40" width="2" style="48" bestFit="1" customWidth="1"/>
    <col min="41" max="44" width="10.69921875" style="48" bestFit="1" customWidth="1"/>
    <col min="45" max="46" width="3.09765625" style="48" bestFit="1" customWidth="1"/>
    <col min="47" max="48" width="2" style="48" bestFit="1" customWidth="1"/>
    <col min="49" max="49" width="3.09765625" style="48" bestFit="1" customWidth="1"/>
    <col min="50" max="50" width="0.8984375" style="48"/>
    <col min="51" max="51" width="2" style="48" bestFit="1" customWidth="1"/>
    <col min="52" max="52" width="4.59765625" style="48" bestFit="1" customWidth="1"/>
    <col min="53" max="53" width="6.09765625" style="48" bestFit="1" customWidth="1"/>
    <col min="54" max="57" width="2" style="48" bestFit="1" customWidth="1"/>
    <col min="58" max="58" width="4.09765625" style="48" bestFit="1" customWidth="1"/>
    <col min="59" max="63" width="2" style="48" bestFit="1" customWidth="1"/>
    <col min="64" max="65" width="3.09765625" style="48" bestFit="1" customWidth="1"/>
    <col min="66" max="66" width="2" style="48" bestFit="1" customWidth="1"/>
    <col min="67" max="67" width="0.8984375" style="48"/>
    <col min="68" max="77" width="2" style="48" bestFit="1" customWidth="1"/>
    <col min="78" max="80" width="0.8984375" style="48"/>
    <col min="81" max="83" width="2" style="48" bestFit="1" customWidth="1"/>
    <col min="84" max="84" width="5.69921875" style="48" bestFit="1" customWidth="1"/>
    <col min="85" max="85" width="6.09765625" style="48" bestFit="1" customWidth="1"/>
    <col min="86" max="86" width="2" style="48" bestFit="1" customWidth="1"/>
    <col min="87" max="87" width="3.09765625" style="48" bestFit="1" customWidth="1"/>
    <col min="88" max="93" width="2" style="48" bestFit="1" customWidth="1"/>
    <col min="94" max="94" width="6.09765625" style="48" bestFit="1" customWidth="1"/>
    <col min="95" max="96" width="7.69921875" style="48" bestFit="1" customWidth="1"/>
    <col min="97" max="98" width="2" style="48" bestFit="1" customWidth="1"/>
    <col min="99" max="99" width="10.69921875" style="48" bestFit="1" customWidth="1"/>
    <col min="100" max="100" width="2" style="48" bestFit="1" customWidth="1"/>
    <col min="101" max="101" width="5.09765625" style="48" bestFit="1" customWidth="1"/>
    <col min="102" max="102" width="10.69921875" style="48" bestFit="1" customWidth="1"/>
    <col min="103" max="103" width="3.09765625" style="48" bestFit="1" customWidth="1"/>
    <col min="104" max="104" width="5.3984375" style="48" bestFit="1" customWidth="1"/>
    <col min="105" max="105" width="10.69921875" style="48" bestFit="1" customWidth="1"/>
    <col min="106" max="106" width="5.09765625" style="48" bestFit="1" customWidth="1"/>
    <col min="107" max="107" width="0.8984375" style="48"/>
    <col min="108" max="111" width="2" style="48" bestFit="1" customWidth="1"/>
    <col min="112" max="112" width="6.09765625" style="48" bestFit="1" customWidth="1"/>
    <col min="113" max="113" width="0.8984375" style="48"/>
    <col min="114" max="117" width="6.09765625" style="48" bestFit="1" customWidth="1"/>
    <col min="118" max="118" width="4.09765625" style="48" bestFit="1" customWidth="1"/>
    <col min="119" max="119" width="2" style="48" bestFit="1" customWidth="1"/>
    <col min="120" max="120" width="4.09765625" style="48" bestFit="1" customWidth="1"/>
    <col min="121" max="121" width="0.8984375" style="227"/>
    <col min="122" max="126" width="2" style="48" bestFit="1" customWidth="1"/>
    <col min="127" max="127" width="4.09765625" style="48" bestFit="1" customWidth="1"/>
    <col min="128" max="128" width="0.8984375" style="48"/>
    <col min="129" max="129" width="2" style="48" bestFit="1" customWidth="1"/>
    <col min="130" max="131" width="0.8984375" style="48"/>
    <col min="132" max="133" width="2" style="48" bestFit="1" customWidth="1"/>
    <col min="134" max="134" width="0.8984375" style="48"/>
    <col min="135" max="135" width="2" style="48" bestFit="1" customWidth="1"/>
    <col min="136" max="136" width="0.8984375" style="48"/>
    <col min="137" max="137" width="2" style="48" bestFit="1" customWidth="1"/>
    <col min="138" max="138" width="0.8984375" style="48"/>
    <col min="139" max="139" width="2" style="48" bestFit="1" customWidth="1"/>
    <col min="140" max="140" width="0.8984375" style="48"/>
    <col min="141" max="145" width="2" style="48" bestFit="1" customWidth="1"/>
    <col min="146" max="146" width="4.09765625" style="48" bestFit="1" customWidth="1"/>
    <col min="147" max="149" width="2" style="48" bestFit="1" customWidth="1"/>
    <col min="150" max="150" width="0.8984375" style="48"/>
    <col min="151" max="152" width="2" style="48" bestFit="1" customWidth="1"/>
    <col min="153" max="153" width="0.8984375" style="48"/>
    <col min="154" max="156" width="2" style="48" bestFit="1" customWidth="1"/>
    <col min="157" max="157" width="4.09765625" style="48" bestFit="1" customWidth="1"/>
    <col min="158" max="158" width="2" style="48" bestFit="1" customWidth="1"/>
    <col min="159" max="162" width="4.09765625" style="48" bestFit="1" customWidth="1"/>
    <col min="163" max="165" width="2" style="48" bestFit="1" customWidth="1"/>
    <col min="166" max="166" width="0.8984375" style="48"/>
    <col min="167" max="167" width="2" style="48" bestFit="1" customWidth="1"/>
    <col min="168" max="168" width="0.8984375" style="48"/>
    <col min="169" max="169" width="2" style="48" bestFit="1" customWidth="1"/>
    <col min="170" max="171" width="0.8984375" style="48"/>
    <col min="172" max="172" width="2" style="48" bestFit="1" customWidth="1"/>
    <col min="173" max="16384" width="0.8984375" style="48"/>
  </cols>
  <sheetData>
    <row r="1" spans="1:173" ht="39" customHeight="1" x14ac:dyDescent="0.3">
      <c r="A1" s="48">
        <f ca="1">IF(INDIRECT(ADDRESS(4,4,,,"PIANO_DEI_CONTI"))="SOCIETÀ IN NOME COLLETTIVO",1,2)</f>
        <v>2</v>
      </c>
      <c r="D1" s="93">
        <f ca="1">IF(AND(W18=0,$AI$1=0,$AF$1=0,$ES$1=0,$CL$2=$CM$2,$CN$2=$CO$2,LIBRO_GIORNALE!$G$4=LIBRO_GIORNALE!$H$4,VALORI_INIZIALI!$H$4=VALORI_INIZIALI!$I$4),1,0)</f>
        <v>1</v>
      </c>
      <c r="E1" s="93">
        <f ca="1">IF(AND(W2=0,W5=0,W6=0,$CT$107=0,$CT$84=0,$AF$1=0,$AI$1=0,$CO$1=1,$EL$2=0,$ES$1=0,$BD$1=1,$I$1=2,LIBRO_GIORNALE!$H$4=LIBRO_GIORNALE!$G$4),1,0)</f>
        <v>0</v>
      </c>
      <c r="F1" s="93">
        <f ca="1">IF(AND($D$1=1,$I$1=1,$BA$1&gt;0,$BD$1=1),1,0)</f>
        <v>0</v>
      </c>
      <c r="I1" s="48">
        <f ca="1">IF(INDIRECT(ADDRESS(4,6,,,"PIANO_DEI_CONTI"))="CALCOLO AUTOMATICO",1,2)</f>
        <v>1</v>
      </c>
      <c r="J1" s="48" t="str">
        <f ca="1">IF($CO$1=0,"",IF(AND($I$1=1,OR($BI$1&gt;0,$BJ$1&gt;0)),"SITUAZIONE ECONOMICA",IF($I$1=2,"SITUAZIONE ECONOMICA","")))</f>
        <v/>
      </c>
      <c r="M1" s="48" t="s">
        <v>307</v>
      </c>
      <c r="N1" s="217" t="s">
        <v>308</v>
      </c>
      <c r="O1" s="217" t="s">
        <v>309</v>
      </c>
      <c r="P1" s="217"/>
      <c r="Q1" s="217"/>
      <c r="R1" s="217" t="b">
        <f ca="1">IF(INDIRECT(ADDRESS(6,6,,,"LIBRO_GIORNALE"))="DELIMITAZIONE ARTICOLO ATTIVATA",TRUE,FALSE)</f>
        <v>1</v>
      </c>
      <c r="S1" s="217"/>
      <c r="T1" s="217" t="str">
        <f ca="1">IF(INDIRECT(ADDRESS(3,2,,,"LIBRO_GIORNALE"))="DESKTOP: Office",IF(ISNUMBER(U1),INDEX($R$3:$S$60,MATCH($U$1,$R$3:$R$60,0),2),U1),S2)</f>
        <v>VISUALIZZA TUTTI I CONTI</v>
      </c>
      <c r="U1" s="218">
        <v>1</v>
      </c>
      <c r="V1" s="217">
        <f ca="1">MAX($V$3:$V$400)</f>
        <v>291</v>
      </c>
      <c r="W1" s="217">
        <f ca="1">COUNTIFS(INDIRECT(CONCATENATE(ADDRESS(3,5,,,"LIBRO_GIORNALE"),":",ADDRESS(200,5,,,))),"="&amp;"CONTO DI RISULTATO ECONOMICO",INDIRECT(CONCATENATE(ADDRESS(3,4,,,"LIBRO_GIORNALE"),":",ADDRESS(200,4,,,))),"&gt;="&amp;INIZIO_A_PC,INDIRECT(CONCATENATE(ADDRESS(3,4,,,"LIBRO_GIORNALE"),":",ADDRESS(200,4,,,))),"&lt;="&amp;FINE_AC)</f>
        <v>0</v>
      </c>
      <c r="X1" s="217">
        <f ca="1">SUMIFS(INDIRECT(CONCATENATE(ADDRESS(3,8,,,"LIBRO_GIORNALE"),":",ADDRESS(200,8,,,))),INDIRECT(CONCATENATE(ADDRESS(3,5,,,"LIBRO_GIORNALE"),":",ADDRESS(200,5,,,))),"="&amp;"CONTO DI RISULTATO ECONOMICO",INDIRECT(CONCATENATE(ADDRESS(3,4,,,"LIBRO_GIORNALE"),":",ADDRESS(200,4,,,))),"&gt;="&amp;INIZIO_A_PC,INDIRECT(CONCATENATE(ADDRESS(3,4,,,"LIBRO_GIORNALE"),":",ADDRESS(200,4,,,))),"&lt;="&amp;FINE_AC)</f>
        <v>0</v>
      </c>
      <c r="Y1" s="217">
        <f ca="1">SUMIFS(INDIRECT(CONCATENATE(ADDRESS(3,7,,,"LIBRO_GIORNALE"),":",ADDRESS(200,7,,,))),INDIRECT(CONCATENATE(ADDRESS(3,5,,,"LIBRO_GIORNALE"),":",ADDRESS(200,5,,,))),"="&amp;"CONTO DI RISULTATO ECONOMICO",INDIRECT(CONCATENATE(ADDRESS(3,4,,,"LIBRO_GIORNALE"),":",ADDRESS(200,4,,,))),"&gt;="&amp;INIZIO_A_PC,INDIRECT(CONCATENATE(ADDRESS(3,4,,,"LIBRO_GIORNALE"),":",ADDRESS(200,4,,,))),"&lt;="&amp;FINE_AC)</f>
        <v>0</v>
      </c>
      <c r="Z1" s="217"/>
      <c r="AA1" s="217"/>
      <c r="AB1" s="219"/>
      <c r="AC1" s="219"/>
      <c r="AD1" s="219">
        <f ca="1">SUMIFS(dare_grezzo,den_grezzo,"="&amp;"BILANCIO DI APERTURA",data_grezzo,"&gt;="&amp;INIZIO_A_PC,data_grezzo,"&lt;="&amp;FINE_AC)</f>
        <v>0</v>
      </c>
      <c r="AE1" s="219">
        <f ca="1">SUMIFS(avere_grezzo,den_grezzo,"="&amp;"BILANCIO DI APERTURA",data_grezzo,"&gt;="&amp;INIZIO_A_PC,data_grezzo,"&lt;="&amp;FINE_AC)</f>
        <v>0</v>
      </c>
      <c r="AF1" s="219">
        <f ca="1">IF(AD1=AE1,0,1)</f>
        <v>0</v>
      </c>
      <c r="AG1" s="219">
        <f ca="1">SUMIFS(dare_grezzo,den_grezzo,"="&amp;"BILANCIO DI CHIUSURA",data_grezzo,"&gt;="&amp;INIZIO_A_PC,data_grezzo,"&lt;="&amp;FINE_AC)</f>
        <v>0</v>
      </c>
      <c r="AH1" s="219">
        <f ca="1">SUMIFS(avere_grezzo,den_grezzo,"="&amp;"BILANCIO DI CHIUSURA",data_grezzo,"&gt;="&amp;INIZIO_A_PC,data_grezzo,"&lt;="&amp;FINE_AC)</f>
        <v>0</v>
      </c>
      <c r="AI1" s="217">
        <f ca="1">IF(AG1=AH1,0,1)</f>
        <v>0</v>
      </c>
      <c r="AJ1" s="217"/>
      <c r="AK1" s="217">
        <f ca="1">AL1</f>
        <v>1</v>
      </c>
      <c r="AL1" s="217">
        <f ca="1">IF(INDIRECT(ADDRESS(5,4,,,"LIBRO_GIORNALE"))="N+1",2,IF(INDIRECT(ADDRESS(5,4,,,"LIBRO_GIORNALE"))="N+2",3,IF(INDIRECT(ADDRESS(5,4,,,"LIBRO_GIORNALE"))="N+3",4,IF(INDIRECT(ADDRESS(5,4,,,"LIBRO_GIORNALE"))="N+4",5,IF(INDIRECT(ADDRESS(5,4,,,"LIBRO_GIORNALE"))="N+5",6,1)))))</f>
        <v>1</v>
      </c>
      <c r="AM1" s="217"/>
      <c r="AN1" s="217">
        <f ca="1">AL1-1</f>
        <v>0</v>
      </c>
      <c r="AO1" s="217"/>
      <c r="AP1" s="217">
        <f ca="1">CW1</f>
        <v>2026</v>
      </c>
      <c r="AQ1" s="217"/>
      <c r="AR1" s="217">
        <f ca="1">AP1+AN1</f>
        <v>2026</v>
      </c>
      <c r="AS1" s="217">
        <f ca="1">IF(INDIRECT(ADDRESS(5,2,,,"LIBRO_GIORNALE"))="",31,INDIRECT(ADDRESS(5,2,,,"LIBRO_GIORNALE")))</f>
        <v>31</v>
      </c>
      <c r="AT1" s="217">
        <f ca="1">IF(INDIRECT(ADDRESS(5,3,,,"LIBRO_GIORNALE"))="",12,INDIRECT(ADDRESS(5,3,,,"LIBRO_GIORNALE")))</f>
        <v>12</v>
      </c>
      <c r="AU1" s="217"/>
      <c r="AV1" s="220"/>
      <c r="AW1" s="220" t="str">
        <f ca="1">UPPER(IF($AL$1=1,"n",IF($AL$1=2,"n+1",IF($AL$1=3,"n+2",IF($AL$1=4,"n+3",IF($AL$1=5,"n+4",IF($AL$1=6,"n+5","")))))))</f>
        <v>N</v>
      </c>
      <c r="AX1" s="221"/>
      <c r="AY1" s="220">
        <f ca="1">SUMIFS(avere_grezzo,den_grezzo,"="&amp;"GESTIONE TITOLI",data_grezzo,"&gt;="&amp;INIZIO_A_PC,data_grezzo,"&lt;="&amp;FINE_AC)-SUMIFS(dare_grezzo,den_grezzo,"="&amp;"GESTIONE TITOLI",data_grezzo,"&gt;="&amp;INIZIO_A_PC,data_grezzo,"&lt;="&amp;FINE_AC)</f>
        <v>0</v>
      </c>
      <c r="AZ1" s="222">
        <f ca="1">94-COUNTBLANK(AZ3:AZ96)+1</f>
        <v>1</v>
      </c>
      <c r="BA1" s="223">
        <f ca="1">ABS(SUMIFS(avere_grezzo,den_grezzo,"="&amp;"CAPITALE SOCIALE",data_grezzo,"&gt;="&amp;INIZIO_A_PC,data_grezzo,"&lt;="&amp;FINE_AC)-SUMIFS(dare_grezzo,den_grezzo,"="&amp;"CAPITALE SOCIALE",data_grezzo,"&gt;="&amp;INIZIO_A_PC,data_grezzo,"&lt;="&amp;FINE_AC))</f>
        <v>0</v>
      </c>
      <c r="BB1" s="217">
        <f ca="1">SUMIFS(dare_grezzo,dest_grezzo,"="&amp;"sp",data_grezzo,"&gt;="&amp;INIZIO_A_PC,data_grezzo,"&lt;="&amp;FINE_AC)</f>
        <v>0</v>
      </c>
      <c r="BC1" s="217">
        <f ca="1">SUMIFS(avere_grezzo,dest_grezzo,"="&amp;"sp",data_grezzo,"&gt;="&amp;INIZIO_A_PC,data_grezzo,"&lt;="&amp;FINE_AC)</f>
        <v>0</v>
      </c>
      <c r="BD1" s="217">
        <f ca="1">IF(BB1=BC1,1,0)</f>
        <v>1</v>
      </c>
      <c r="BE1" s="217"/>
      <c r="BF1" s="217">
        <f ca="1">IF(INDIRECT(ADDRESS(6,8,,,"LIBRO_GIORNALE"))="ATTIVA",1,INDIRECT(ADDRESS(6,8,,,"LIBRO_GIORNALE"))+1)</f>
        <v>1</v>
      </c>
      <c r="BG1" s="217">
        <f ca="1">MAX(BG3:BG388)</f>
        <v>0</v>
      </c>
      <c r="BH1" s="217">
        <f ca="1">MAX(BH3:BH400)</f>
        <v>0</v>
      </c>
      <c r="BI1" s="217">
        <f ca="1">MAX(BI3:BI400)</f>
        <v>0</v>
      </c>
      <c r="BJ1" s="217">
        <f ca="1">MAX(BJ3:BJ400)</f>
        <v>0</v>
      </c>
      <c r="BK1" s="224">
        <f ca="1">MAX(BG1,BH1)+5</f>
        <v>5</v>
      </c>
      <c r="BL1" s="224">
        <f ca="1">BK1+10+BN1</f>
        <v>19</v>
      </c>
      <c r="BM1" s="224">
        <f ca="1">BL1-1</f>
        <v>18</v>
      </c>
      <c r="BN1" s="225">
        <f ca="1">IFERROR(IF(INDIRECT(ADDRESS(4,3,,,"SIT.PATR._SIT.ECON."))="RIGHE TRA I PROSPETTI",4,INDIRECT(ADDRESS(4,3,,,"SIT.PATR._SIT.ECON."))+4),4)</f>
        <v>4</v>
      </c>
      <c r="BO1" s="225" t="str">
        <f ca="1">IF(AND(BP2=0,BR2=0),"","SITUAZIONE ECONOMICA")</f>
        <v/>
      </c>
      <c r="BP1" s="225"/>
      <c r="BQ1" s="225">
        <f ca="1">BS1+1</f>
        <v>5</v>
      </c>
      <c r="BR1" s="217">
        <f ca="1">BT1+2</f>
        <v>2</v>
      </c>
      <c r="BS1" s="217">
        <f ca="1">BR1+2</f>
        <v>4</v>
      </c>
      <c r="BT1" s="217">
        <f ca="1">MAX(BS3:BS399)</f>
        <v>0</v>
      </c>
      <c r="BU1" s="217">
        <f ca="1">IF(INDIRECT(ADDRESS(4,3,,,"SIT._CONTABILE"))="PER TOTALI",1,IF(INDIRECT(ADDRESS(4,3,,,"SIT._CONTABILE"))="PER ECCEDENZE",2,3))</f>
        <v>3</v>
      </c>
      <c r="BV1" s="217" t="str">
        <f ca="1">IF(BU1=1,"TOTALI",IF(BU1=2,"ECCEDENZE",IF(BU1=3,"TOTALI ED ECCEDENZE","")))</f>
        <v>TOTALI ED ECCEDENZE</v>
      </c>
      <c r="BW1" s="217">
        <f ca="1">IF(AND(BU401=BV401,BW401=BX401,BD1=1,$EL$2=0),1,0)</f>
        <v>1</v>
      </c>
      <c r="BX1" s="217">
        <f ca="1">IF(AND($I$1=1,LIBRO_GIORNALE!H4=LIBRO_GIORNALE!G4,VALORI_INIZIALI!H4=VALORI_INIZIALI!I4),1,IF(AND($I$1=2,LIBRO_GIORNALE!H4=LIBRO_GIORNALE!G4),1,0))</f>
        <v>1</v>
      </c>
      <c r="BY1" s="217">
        <f ca="1">MAX(BY3:BY400)</f>
        <v>0</v>
      </c>
      <c r="BZ1" s="217"/>
      <c r="CA1" s="225"/>
      <c r="CB1" s="225"/>
      <c r="CC1" s="225">
        <f ca="1">ROUND(SUMIFS(avere_grezzo,dest_grezzo,"="&amp;"SE AVERE",data_grezzo,"&lt;"&amp;INIZIO_AC,data_grezzo,"&gt;="&amp;INIZIO_A_PC)-SUMIFS(dare_grezzo,dest_grezzo,"="&amp;"SE DARE",data_grezzo,"&lt;"&amp;INIZIO_AC,data_grezzo,"&gt;="&amp;INIZIO_A_PC),0)</f>
        <v>0</v>
      </c>
      <c r="CD1" s="225">
        <f ca="1">MAX(CD3:CD103)+4</f>
        <v>4</v>
      </c>
      <c r="CE1" s="225">
        <f ca="1">MAX(CD105:CD189)+4</f>
        <v>4</v>
      </c>
      <c r="CF1" s="217" t="b">
        <f ca="1">IF(OR(INDIRECT(ADDRESS(4,4,,,"BILANCIO"))="DELLE CLASSI",INDIRECT(ADDRESS(4,4,,,"BILANCIO"))="DELLE CLASSI E DELLE SOTTOCLASSI"),TRUE,FALSE)</f>
        <v>1</v>
      </c>
      <c r="CG1" s="217" t="b">
        <f ca="1">IF(OR(INDIRECT(ADDRESS(4,4,,,"BILANCIO"))="DELLE SOTTOCLASSI",INDIRECT(ADDRESS(4,4,,,"BILANCIO"))="DELLE CLASSI E DELLE SOTTOCLASSI"),TRUE,FALSE)</f>
        <v>0</v>
      </c>
      <c r="CH1" s="217"/>
      <c r="CI1" s="217">
        <f ca="1">SUM(MAX(CD3:CD189),10,CE2)</f>
        <v>11</v>
      </c>
      <c r="CJ1" s="217" t="s">
        <v>307</v>
      </c>
      <c r="CK1" s="217"/>
      <c r="CL1" s="217">
        <f ca="1">IF(AND(CL2=CM2,CN2=CO2),1,0)</f>
        <v>1</v>
      </c>
      <c r="CM1" s="217"/>
      <c r="CN1" s="217"/>
      <c r="CO1" s="217">
        <f ca="1">IF(AND(SUM(dare_grezzo)=0,SUM(avere_grezzo)=0),0,1)</f>
        <v>0</v>
      </c>
      <c r="CP1" s="217" t="b">
        <f ca="1">IF(INDIRECT(ADDRESS(3,2,,,"SIT.PATR._SIT.ECON."))="VISUALIZZA IL RISULTATO ECONOMICO",TRUE,FALSE)</f>
        <v>0</v>
      </c>
      <c r="CQ1" s="217" t="b">
        <v>1</v>
      </c>
      <c r="CR1" s="217">
        <f ca="1">MAX(CR3:CR10)</f>
        <v>0</v>
      </c>
      <c r="CS1" s="217"/>
      <c r="CT1" s="217"/>
      <c r="CU1" s="226">
        <f ca="1">TODAY()</f>
        <v>46107</v>
      </c>
      <c r="CV1" s="217">
        <v>1</v>
      </c>
      <c r="CW1" s="217">
        <f ca="1">YEAR(CU1)</f>
        <v>2026</v>
      </c>
      <c r="CX1" s="226">
        <f ca="1">DATE(CW1,CV1,CV1)</f>
        <v>46023</v>
      </c>
      <c r="CY1" s="217">
        <f ca="1">AS1</f>
        <v>31</v>
      </c>
      <c r="CZ1" s="217">
        <f ca="1">AT1</f>
        <v>12</v>
      </c>
      <c r="DA1" s="226">
        <f ca="1">FINE_AC</f>
        <v>46387</v>
      </c>
      <c r="DB1" s="217">
        <f ca="1">MAX(CW3:CW220)</f>
        <v>0</v>
      </c>
      <c r="DC1" s="217" t="str">
        <f ca="1">IF(INDIRECT(ADDRESS(2,COLUMN()-102,,,"Conti_di_mastro"))&gt;31,"",INDIRECT(ADDRESS(2,COLUMN()-102,,,"Conti_di_mastro")))</f>
        <v/>
      </c>
      <c r="DD1" s="217">
        <f ca="1">IF(INDIRECT(ADDRESS(2,COLUMN()-102,,,"Conti_di_mastro"))&gt;12,"",INDIRECT(ADDRESS(2,COLUMN()-102,,,"Conti_di_mastro")))</f>
        <v>0</v>
      </c>
      <c r="DE1" s="217">
        <f ca="1">IF(DB1&gt;100,100,DB1)</f>
        <v>0</v>
      </c>
      <c r="DF1" s="217">
        <f ca="1">IF($DG$1&gt;$DB$1+1,0,DG1-1)</f>
        <v>0</v>
      </c>
      <c r="DG1" s="48">
        <f ca="1">DD2</f>
        <v>1</v>
      </c>
      <c r="DH1" s="48" t="b">
        <f ca="1">IF(INDIRECT(ADDRESS(7,4,,,"BILANCIO"))="C 16 d) INTERESSI ATTIVI V/CONTROLLATE",TRUE,FALSE)</f>
        <v>0</v>
      </c>
      <c r="DJ1" s="48" t="b">
        <f ca="1">IF(INDIRECT(ADDRESS(7,2,,,"BILANCIO"))="ATTIVATE",TRUE,FALSE)</f>
        <v>0</v>
      </c>
      <c r="DK1" s="48" t="b">
        <f ca="1">IF(INDIRECT(ADDRESS(7,4,,,"BILANCIO"))="C 16 d) INTERESSI ATTIVI V/COLLEGATE",TRUE,FALSE)</f>
        <v>0</v>
      </c>
      <c r="DL1" s="48" t="b">
        <f ca="1">IF(INDIRECT(ADDRESS(4,4,,,"PIANO_DEI_CONTI"))="Adatta ad una S.r.l. solo alcuni dei conti della S.p.A.",TRUE,FALSE)</f>
        <v>0</v>
      </c>
      <c r="DM1" s="48" t="b">
        <f ca="1">IF(INDIRECT(ADDRESS(7,4,,,"BILANCIO"))="C 16 d) INTERESSI ATTIVI V/CONTROLLANTI",TRUE,FALSE)</f>
        <v>0</v>
      </c>
      <c r="DN1" s="48">
        <f ca="1">IF(A1=2,MAX($DN$3:$DN$401),0)</f>
        <v>328</v>
      </c>
      <c r="DO1" s="48">
        <f ca="1">IF($A$1=1,MAX(DW3:DW400),0)</f>
        <v>0</v>
      </c>
      <c r="DP1" s="48">
        <f ca="1">MAX(DN1,DO1)</f>
        <v>328</v>
      </c>
      <c r="DR1" s="48">
        <f ca="1">SUM(DS1:DV1)</f>
        <v>0</v>
      </c>
      <c r="DS1" s="48">
        <f ca="1">IFERROR(FIND("SOCIO",$DR5),0)</f>
        <v>0</v>
      </c>
      <c r="DT1" s="48">
        <f ca="1">IFERROR(FIND("SOCIO",$DR6),0)</f>
        <v>0</v>
      </c>
      <c r="DU1" s="48">
        <f ca="1">IFERROR(FIND("SOCIO",$DR7),0)</f>
        <v>0</v>
      </c>
      <c r="DV1" s="48">
        <f ca="1">IFERROR(FIND("SOCIO",$DR8),0)</f>
        <v>0</v>
      </c>
      <c r="DW1" s="48">
        <f ca="1">IF(AND(DY1&gt;0,DY2&gt;0),0,1)</f>
        <v>1</v>
      </c>
      <c r="DX1" s="48" t="str">
        <f ca="1">IF(DY1&gt;0,"perdita d'esercizio","")</f>
        <v/>
      </c>
      <c r="DY1" s="48">
        <f ca="1">SUMIFS($AO$103:$AO$302,$AM$103:$AM$302,"="&amp;"perdita d'esercizio",$AL$103:$AL$302,"&gt;="&amp;INIZIO_A_PC,$AL$103:$AL$302,"&gt;="&amp;INIZIO_AC,$AL$103:$AL$302,"&lt;="&amp;FINE_AC)</f>
        <v>0</v>
      </c>
      <c r="EF1" s="48" t="str">
        <f ca="1">IF($CO$1=1,"SITUAZIONE PATRIMONIALE","")</f>
        <v/>
      </c>
      <c r="EK1" s="48" t="str">
        <f ca="1">IF(EL1&lt;0,"UTILE D'ESERCIZIO","")</f>
        <v/>
      </c>
      <c r="EL1" s="48">
        <f ca="1">IF(I1=2,0,SUMIFS(INDIRECT(CONCATENATE(ADDRESS(3,8,1,,"libro_giornale"),":",ADDRESS(200,8,1,,))),INDIRECT(CONCATENATE(ADDRESS(3,5,1,,"libro_giornale"),":",ADDRESS(200,5,1,,))),"="&amp;"UTILE D'ESERCIZIO",INDIRECT(CONCATENATE(ADDRESS(3,4,1,,"libro_giornale"),":",ADDRESS(200,4,1,,))),"&gt;="&amp;INIZIO_A_PC,INDIRECT(CONCATENATE(ADDRESS(3,4,1,,"libro_giornale"),":",ADDRESS(200,4,1,,))),"&lt;="&amp;FINE_AC)-SUMIFS(INDIRECT(CONCATENATE(ADDRESS(3,7,1,,"libro_giornale"),":",ADDRESS(200,7,1,,))),INDIRECT(CONCATENATE(ADDRESS(3,5,1,,"libro_giornale"),":",ADDRESS(200,5,1,,))),"="&amp;"UTILE D'ESERCIZIO",INDIRECT(CONCATENATE(ADDRESS(3,4,1,,"libro_giornale"),":",ADDRESS(200,4,1,,))),"&gt;="&amp;INIZIO_A_PC,INDIRECT(CONCATENATE(ADDRESS(3,4,1,,"libro_giornale"),":",ADDRESS(200,4,1,,))),"&lt;="&amp;FINE_AC))</f>
        <v>0</v>
      </c>
      <c r="EM1" s="48">
        <f ca="1">IF(I1=2,0,SUMIFS(INDIRECT(CONCATENATE(ADDRESS(3,7,1,,"libro_giornale"),":",ADDRESS(200,7,1,,))),INDIRECT(CONCATENATE(ADDRESS(3,5,1,,"libro_giornale"),":",ADDRESS(200,5,1,,))),"="&amp;"PERDITA D'ESERCIZIO",INDIRECT(CONCATENATE(ADDRESS(3,4,1,,"libro_giornale"),":",ADDRESS(200,4,1,,))),"&gt;="&amp;INIZIO_A_PC,INDIRECT(CONCATENATE(ADDRESS(3,4,1,,"libro_giornale"),":",ADDRESS(200,4,1,,))),"&lt;="&amp;FINE_AC)-SUMIFS(INDIRECT(CONCATENATE(ADDRESS(3,8,1,,"libro_giornale"),":",ADDRESS(200,8,1,,))),INDIRECT(CONCATENATE(ADDRESS(3,5,1,,"libro_giornale"),":",ADDRESS(200,5,1,,))),"="&amp;"PERDITA D'ESERCIZIO",INDIRECT(CONCATENATE(ADDRESS(3,4,1,,"libro_giornale"),":",ADDRESS(200,4,1,,))),"&gt;="&amp;INIZIO_A_PC,INDIRECT(CONCATENATE(ADDRESS(3,4,1,,"libro_giornale"),":",ADDRESS(200,4,1,,))),"&lt;="&amp;FINE_AC))</f>
        <v>0</v>
      </c>
      <c r="EN1" s="48" t="str">
        <f ca="1">IF(EM1&lt;0,"PERDITA D'ESERCIZIO","")</f>
        <v/>
      </c>
      <c r="EO1" s="48">
        <f ca="1">IF($EL$2=0,SUMIFS(avere_grezzo,dest_grezzo,"="&amp;"SE AVERE",data_grezzo,"&lt;="&amp;FINE_AC,data_grezzo,"&gt;="&amp;INIZIO_AC,progressivo,"&lt;="&amp;$EP$1)+SUMIFS(avere_grezzo,dest_grezzo,"="&amp;"SE DARE",data_grezzo,"&lt;="&amp;FINE_AC,data_grezzo,"&gt;="&amp;INIZIO_AC,progressivo,"&lt;="&amp;$EP1)-SUMIFS(dare_grezzo,dest_grezzo,"="&amp;"SE AVERE",data_grezzo,"&lt;="&amp;FINE_AC,data_grezzo,"&gt;="&amp;INIZIO_AC,progressivo,"&lt;="&amp;EP1)-SUMIFS(dare_grezzo,dest_grezzo,"="&amp;"SE DARE",data_grezzo,"&lt;="&amp;FINE_AC,data_grezzo,"&gt;="&amp;INIZIO_AC,progressivo,"&lt;="&amp;EP1),0)</f>
        <v>0</v>
      </c>
      <c r="EP1" s="48">
        <f ca="1">IF(BF1=1,400,68+BF1)</f>
        <v>400</v>
      </c>
      <c r="ES1" s="48">
        <f ca="1">MAX($ER$3:$ER$400)</f>
        <v>0</v>
      </c>
      <c r="EV1" s="48">
        <f ca="1">IF(INDIRECT(ADDRESS(6,5,,,"CONTI_DI_MASTRO"))="VISUALIZZA PRIMA I CONTI DELL'ULTIMO ARTICOLO",1,0)</f>
        <v>1</v>
      </c>
      <c r="FG1" s="48" t="str">
        <f ca="1">IF(FG2&gt;0,"I movimenti non sono in ordine cronologico","")</f>
        <v/>
      </c>
      <c r="FJ1" s="48" t="str">
        <f ca="1">IF(AND(FK1=0,FP1=0),"","Non sono stati girati i seguenti conti: ")</f>
        <v/>
      </c>
      <c r="FK1" s="48">
        <f ca="1">MAX(FK3:FK400)</f>
        <v>0</v>
      </c>
      <c r="FL1" s="48" t="str">
        <f ca="1">CONCATENATE(FJ1,FL3,FL4,FL5,FL6,FL7,FL8,FL9,FL10,FL11," - ",FQ3,FQ4,FQ5,FQ6,FQ7,FQ8,FQ9,FQ10,FQ11)</f>
        <v xml:space="preserve"> - </v>
      </c>
      <c r="FP1" s="48">
        <f ca="1">MAX(FP3:FP400)</f>
        <v>0</v>
      </c>
      <c r="FQ1" s="48" t="str">
        <f ca="1">IF(FP1=0,"",CONCATENATE("Non sono stati girati i seguenti conti: ",FQ3,FQ4,FQ5,FQ6,FQ7,FQ8,FQ9,FQ10,FQ11))</f>
        <v/>
      </c>
    </row>
    <row r="2" spans="1:173" x14ac:dyDescent="0.3">
      <c r="C2" s="228"/>
      <c r="J2" s="48" t="str">
        <f ca="1">IF($CO$1=0,"",IF(AND($I$1=1,OR($BI$1&gt;0,$BJ$1&gt;0)),"COSTI",IF($I$1=2,"COSTI","")))</f>
        <v/>
      </c>
      <c r="L2" s="48" t="str">
        <f ca="1">IF($CO$1=0,"",IF(AND($I$1=1,OR($BI$1&gt;0,$BJ$1&gt;0)),"importi        ",IF($I$1=2,"importi        ","")))</f>
        <v/>
      </c>
      <c r="S2" s="48" t="str">
        <f ca="1">IF(INDIRECT(ADDRESS(3,2,,,"LIBRO_GIORNALE"))="Cloud: Office 365","VISUALIZZA TUTTI I CONTI","VISUALIZZA TUTTI I CONTI")</f>
        <v>VISUALIZZA TUTTI I CONTI</v>
      </c>
      <c r="U2" s="229">
        <f ca="1">IF(INDIRECT(ADDRESS(2,5,,,"LIBRO_GIORNALE"))="CONTI SUDDIVISI PER CLASSIFICAZIONE",1,2)</f>
        <v>2</v>
      </c>
      <c r="W2" s="230">
        <f ca="1">COUNTIFS(INDIRECT(CONCATENATE(ADDRESS(3,5,,,"VALORI_INIZIALI"),":",ADDRESS(70,5,,,))),"="&amp;"CONTO DI RISULTATO ECONOMICO",INDIRECT(CONCATENATE(ADDRESS(3,4,,,"VALORI_INIZIALI"),":",ADDRESS(70,4,,,))),"&gt;="&amp;INIZIO_A_PC,INDIRECT(CONCATENATE(ADDRESS(3,4,,,"valori_iniziali"),":",ADDRESS(70,4,,,))),"&lt;="&amp;FINE_A_PC)</f>
        <v>0</v>
      </c>
      <c r="X2" s="48">
        <f ca="1">SUMIFS(INDIRECT(CONCATENATE(ADDRESS(3,7,,,"LIBRO_GIORNALE"),":",ADDRESS(200,7,,,))),INDIRECT(CONCATENATE(ADDRESS(3,5,,,"LIBRO_GIORNALE"),":",ADDRESS(200,5,,,))),"="&amp;"PERDITA D'ESERCIZIO",INDIRECT(CONCATENATE(ADDRESS(3,4,,,"LIBRO_GIORNALE"),":",ADDRESS(200,4,,,))),"&gt;="&amp;INIZIO_A_PC,INDIRECT(CONCATENATE(ADDRESS(3,4,,,"LIBRO_GIORNALE"),":",ADDRESS(200,4,,,))),"&lt;="&amp;FINE_AC)</f>
        <v>0</v>
      </c>
      <c r="Y2" s="48">
        <f ca="1">SUMIFS(INDIRECT(CONCATENATE(ADDRESS(3,8,,,"LIBRO_GIORNALE"),":",ADDRESS(200,8,,,))),INDIRECT(CONCATENATE(ADDRESS(3,5,,,"LIBRO_GIORNALE"),":",ADDRESS(200,5,,,))),"="&amp;"UTILE D'ESERCIZIO",INDIRECT(CONCATENATE(ADDRESS(3,4,,,"LIBRO_GIORNALE"),":",ADDRESS(200,4,,,))),"&gt;="&amp;INIZIO_A_PC,INDIRECT(CONCATENATE(ADDRESS(3,4,,,"LIBRO_GIORNALE"),":",ADDRESS(200,4,,,))),"&lt;="&amp;FINE_AC)</f>
        <v>0</v>
      </c>
      <c r="Z2" s="231"/>
      <c r="AI2" s="232">
        <f ca="1">DATE(ANNO_SELEZIONATO-1,1,1)</f>
        <v>45658</v>
      </c>
      <c r="AJ2" s="232">
        <f ca="1">DATE(ANNO_SELEZIONATO-1,12,31)</f>
        <v>46022</v>
      </c>
      <c r="AK2" s="48" t="b">
        <f ca="1">IF(INDIRECT(ADDRESS(6,7,,,"VALORI_INIZIALI"))="RIPORTA LA DESCRIZIONE VALORE INIZIALE",TRUE,FALSE)</f>
        <v>1</v>
      </c>
      <c r="AL2" s="48">
        <f ca="1">COUNTIFS($AL$71:$AL$400,"&gt;"&amp;0)</f>
        <v>0</v>
      </c>
      <c r="AM2" s="232">
        <f ca="1">DATE(anno_CORRENTE,12,31)</f>
        <v>46387</v>
      </c>
      <c r="AO2" s="232">
        <f ca="1">DATE(AP1,1,1)</f>
        <v>46023</v>
      </c>
      <c r="AP2" s="232">
        <f ca="1">DATE(AP1+5,12,31)</f>
        <v>48213</v>
      </c>
      <c r="AQ2" s="232">
        <f ca="1">DATE(AR1,1,1)</f>
        <v>46023</v>
      </c>
      <c r="AR2" s="232">
        <f ca="1">DATE(AR1,AT1,AS1)</f>
        <v>46387</v>
      </c>
      <c r="AX2" s="233"/>
      <c r="AY2" s="234"/>
      <c r="BF2" s="48">
        <f ca="1">IF($BF$1=1,400,BF1-1)</f>
        <v>400</v>
      </c>
      <c r="BL2" s="48">
        <f ca="1">SUM(BL3:BL398)</f>
        <v>0</v>
      </c>
      <c r="BN2" s="48">
        <f ca="1">SUM(BN3:BN398)</f>
        <v>0</v>
      </c>
      <c r="BO2" s="48" t="str">
        <f ca="1">IF(AND(I1=1,BP2=0,BR2=0),"","COSTI")</f>
        <v/>
      </c>
      <c r="BP2" s="48">
        <f ca="1">SUM(BP3:BP398)</f>
        <v>0</v>
      </c>
      <c r="BQ2" s="48" t="str">
        <f ca="1">IF(AND(I1=1,BP2=0,BR2=0),"","RICAVI")</f>
        <v/>
      </c>
      <c r="BR2" s="48">
        <f ca="1">SUM(BR3:BR398)</f>
        <v>0</v>
      </c>
      <c r="CE2" s="48">
        <f ca="1">IFERROR(IF(INDIRECT(ADDRESS(6,5,,,"BILANCIO"))="RIGHE TRA I PROSPETTI",1,INDIRECT(ADDRESS(6,5,,,"BILANCIO"))+1),1)</f>
        <v>1</v>
      </c>
      <c r="CF2" s="48" t="b">
        <v>1</v>
      </c>
      <c r="CG2" s="48" t="b">
        <v>1</v>
      </c>
      <c r="CH2" s="48">
        <f ca="1">SUMIFS(dare_grezzo,dest_grezzo,"="&amp;"sp dare")+SUMIFS(avere_grezzo,dest_grezzo,"="&amp;"SP AVERE")</f>
        <v>0</v>
      </c>
      <c r="CI2" s="48">
        <f ca="1">CI1-2</f>
        <v>9</v>
      </c>
      <c r="CJ2" s="48" t="s">
        <v>308</v>
      </c>
      <c r="CL2" s="48">
        <f ca="1">SUM($BU$3:$BU$398)</f>
        <v>0</v>
      </c>
      <c r="CM2" s="48">
        <f ca="1">SUM($BV$3:$BV$398)</f>
        <v>0</v>
      </c>
      <c r="CN2" s="48">
        <f ca="1">SUM($BW$3:$BW$398)</f>
        <v>0</v>
      </c>
      <c r="CO2" s="48">
        <f ca="1">SUM($BX$3:$BX$398)</f>
        <v>0</v>
      </c>
      <c r="CV2" s="235" t="s">
        <v>1001</v>
      </c>
      <c r="CY2" s="48" t="s">
        <v>306</v>
      </c>
      <c r="DA2" s="93" t="b">
        <f ca="1">IF(INDIRECT(ADDRESS(6,8,,,"CONTI_DI_MASTRO"))="VISUALIZZA I MOVIMENTI E IL SALDO",TRUE,FALSE)</f>
        <v>1</v>
      </c>
      <c r="DB2" s="48">
        <f ca="1">IF(OR($DC$1=0,$DD$1=0),$CW$1-1,$AR$1)</f>
        <v>2025</v>
      </c>
      <c r="DC2" s="48" t="str">
        <f ca="1">IF(INDIRECT(ADDRESS(6,4,,,"CONTI_DI_MASTRO"))="",1,INDIRECT(ADDRESS(6,4,,,"CONTI_DI_MASTRO")))</f>
        <v>MOSTRA UN CONTO IN EVIDENZA</v>
      </c>
      <c r="DD2" s="48">
        <f ca="1">IFERROR(MATCH(DC2,$CV$2:$CV$400,0),1)</f>
        <v>1</v>
      </c>
      <c r="DF2" s="48">
        <f ca="1">DG2</f>
        <v>0</v>
      </c>
      <c r="DG2" s="48">
        <f ca="1">MAX(DF1304:DF1339)</f>
        <v>0</v>
      </c>
      <c r="DH2" s="236"/>
      <c r="DI2" s="237"/>
      <c r="DJ2" s="237"/>
      <c r="DK2" s="238"/>
      <c r="DL2" s="237"/>
      <c r="DM2" s="238"/>
      <c r="DO2" s="229"/>
      <c r="DQ2" s="236"/>
      <c r="DR2" s="237"/>
      <c r="DS2" s="237"/>
      <c r="DT2" s="238"/>
      <c r="DU2" s="237"/>
      <c r="DV2" s="238"/>
      <c r="DX2" s="48" t="str">
        <f ca="1">IF(DY2&gt;0,"utile d'esercizio","")</f>
        <v/>
      </c>
      <c r="DY2" s="48">
        <f ca="1">SUMIFS($AP$103:$AP$302,$AM$103:$AM$302,"="&amp;"utile d'esercizio",$AL$103:$AL$302,"&gt;="&amp;INIZIO_A_PC,$AL$103:$AL$302,"&gt;="&amp;INIZIO_AC,$AL$103:$AL$302,"&lt;="&amp;FINE_AC)</f>
        <v>0</v>
      </c>
      <c r="EA2" s="48" t="str">
        <f ca="1">IF($CO$1=0,"",IF(AND($I$1=1,OR($BI$1&gt;0,$BJ$1&gt;0)),"RICAVI",IF($I$1=2,"RICAVI","")))</f>
        <v/>
      </c>
      <c r="EC2" s="48" t="str">
        <f ca="1">IF($CO$1=0,"",IF(AND($I$1=1,OR($BI$1&gt;0,$BJ$1&gt;0)),"importi        ",IF($I$1=2,"importi        ","")))</f>
        <v/>
      </c>
      <c r="EF2" s="48" t="str">
        <f ca="1">IF($CO$1=1,"ATTIVITÀ","")</f>
        <v/>
      </c>
      <c r="EG2" s="48" t="str">
        <f ca="1">IF($CO$1=1,"importi         ","")</f>
        <v/>
      </c>
      <c r="EJ2" s="48" t="str">
        <f ca="1">IF($CO$1=1,"PASSIVITÀ E NETTO","")</f>
        <v/>
      </c>
      <c r="EK2" s="48" t="str">
        <f ca="1">IF($CO$1=1,"importi        ","")</f>
        <v/>
      </c>
      <c r="EL2" s="48">
        <f ca="1">COUNTIFS(EL3:EL400,"&lt;"&amp;0)</f>
        <v>0</v>
      </c>
      <c r="EN2" s="239">
        <f ca="1">MAX(EM3:EM400)</f>
        <v>0</v>
      </c>
      <c r="EO2" s="240"/>
      <c r="FF2" s="48" t="s">
        <v>1002</v>
      </c>
      <c r="FG2" s="48">
        <f ca="1">SUM(FG103:FG400)</f>
        <v>0</v>
      </c>
    </row>
    <row r="3" spans="1:173" x14ac:dyDescent="0.3">
      <c r="A3" s="48" t="str">
        <f ca="1">IFERROR(IF($A$1=2,INDEX($DH$3:$DN$401,MATCH(ROWS(A$3:A3),$DN$3:$DN$401,0),COLUMN()),IF($A$1=1,INDEX($DQ$3:$DW$401,MATCH(ROWS(A$3:A3),$DW$3:$DW$401,0),COLUMN()),"")),"")</f>
        <v>00.00</v>
      </c>
      <c r="B3" s="48" t="str">
        <f ca="1">IFERROR(IF($A$1=2,INDEX($DH$3:$DN$401,MATCH(ROWS(B$3:B3),$DN$3:$DN$401,0),COLUMN()),IF($A$1=1,INDEX($DQ$3:$DW$400,MATCH(ROWS(B$3:B3),$DW$3:$DW$401,0),COLUMN()),"")),"")</f>
        <v>CREDITI V/SOCI</v>
      </c>
      <c r="C3" s="48">
        <f ca="1">IFERROR(IF($A$1=2,INDEX($DH$3:$DN$401,MATCH(ROWS(C$3:C3),$DN$3:$DN$401,0),COLUMN()),IF($A$1=1,INDEX($DQ$3:$DW$401,MATCH(ROWS(C$3:C3),$DW$3:$DW$401,0),COLUMN()),"")),"")</f>
        <v>0</v>
      </c>
      <c r="D3" s="48">
        <f ca="1">IFERROR(IF($A$1=2,INDEX($DH$3:$DN$401,MATCH(ROWS(D$3:D3),$DN$3:$DN$401,0),COLUMN()),IF($A$1=1,INDEX($DQ$3:$DW$401,MATCH(ROWS(D$3:D3),$DW$3:$DW$401,0),COLUMN()),"")),"")</f>
        <v>0</v>
      </c>
      <c r="E3" s="48">
        <f ca="1">IFERROR(IF($A$1=2,INDEX($DH$3:$DN$401,MATCH(ROWS(E$3:E3),$DN$3:$DN$401,0),COLUMN()),IF($A$1=1,INDEX($DQ$3:$DW$401,MATCH(ROWS(E$3:E3),$DW$3:$DW$401,0),COLUMN()),"")),"")</f>
        <v>0</v>
      </c>
      <c r="F3" s="48">
        <f ca="1">IFERROR(IF($A$1=2,INDEX($DH$3:$DN$401,MATCH(ROWS(F$3:F3),$DN$3:$DN$401,0),COLUMN()),IF($A$1=1,INDEX($DQ$3:$DX$401,MATCH(ROWS(F$3:F3),$DW$3:$DW$401,0),COLUMN()),"")),"")</f>
        <v>0</v>
      </c>
      <c r="G3" s="48" t="str">
        <f ca="1">IFERROR(MID(F3,1,2),"")</f>
        <v>0</v>
      </c>
      <c r="H3" s="48">
        <f ca="1">IFERROR(IF($A$1=2,INDEX($DH$3:$DO$400,MATCH(ROWS(H$3:H3),$DN$3:$DN$400,0),COLUMN()),IF($A$1=1,INDEX($DQ$3:$DX$400,MATCH(ROWS(H$3:H3),$DW$3:$DW$400,0),COLUMN()),"")),"")</f>
        <v>0</v>
      </c>
      <c r="I3" s="48" t="str">
        <f t="shared" ref="I3:I67" ca="1" si="0">IF(OR($ES$1&gt;0,$DW$1=0,$BX$1=0,$AY$1&lt;&gt;0),"",IF(AND($F$1=1,$BI$1&gt;=$BJ$1,$BP$2&gt;$BR$2,ROW()=$BI$1+5),"TOTALE COSTI",IF(AND($F$1=1,$BI$1&lt;=$BJ$1,$BP$2&gt;$BR$2,ROW()=$BJ$1+5),"TOTALE COSTI",IF(AND($F$1=1,$BI$1&gt;=$BJ$1,$BP$2&lt;$BR$2,ROW()=$BI$1+3),"TOTALE COSTI",IF(AND($F$1=1,$BI$1&gt;=$BJ$1,$BP$2&lt;$BR$2,ROW()=$BI$1+4),"SALDO ECONOMICO POSITIVO",IF(AND($F$1=1,$BI$1&gt;=$BJ$1,$BP$2&lt;$BR$2,ROW()=$BI$1+5),"TOTALE A PAREGGIO",IF(AND($F$1=1,$BI$1&lt;=$BJ$1,$BP$2&lt;$BR$2,ROW()=$BJ$1+3),"TOTALE COSTI",IF(AND($F$1=1,$BI$1&lt;=$BJ$1,$BP$2&lt;$BR$2,ROW()=$BJ$1+4),"SALDO ECONOMICO POSITIVO",IF(AND($F$1=1,$BI$1&lt;=$BJ$1,$BP$2&lt;$BR$2,ROW()=$BJ$1+5),"TOTALE A PAREGGIO",IF(AND($F$1=1,$BI$1&gt;$BJ$1,$BP$2&lt;&gt;0,$BP$2=$BR$2,ROW()=$BI$1+3),"TOTALE COSTI",IF(AND($BP$2&lt;&gt;0,$F$1=1,$BI$1&lt;$BJ$1,$BP$2=$BR$2,ROW()=$BJ$1+3),"TOTALE COSTI",IF(AND($BP$2&lt;&gt;0,$F$1=1,$BI$1=$BJ$1,$BP$2=$BR$2,ROW()=$BI$1+3),"TOTALE COSTI",IF(AND($I$1=2,$E$1=1,$BI$1&gt;=$BJ$1,$DY$1&gt;0,ROW()=$BI$1+7),"TOTALE COSTI",IF(AND($I$1=2,$E$1=1,$BI$1&lt;=$BJ$1,$DY$1&gt;0,ROW()=$BJ$1+7),"TOTALE COSTI",IF(AND($I$1=2,$E$1=1,$BI$1&gt;=$BJ$1,$DY$2&gt;0,ROW()=$BI$1+5),"TOTALE COSTI",IF(AND($I$1=2,$E$1=1,$BI$1&lt;=$BJ$1,$DY$2&gt;0,ROW()=$BJ$1+5),"TOTALE COSTI",IF(AND($I$1=2,$E$1=1,$BI$1&lt;=$BJ$1,$DY$2&gt;0,ROW()=$BJ$1+6),"UTILE D'ESERCIZIO",IF(AND($I$1=2,$E$1=1,$BI$1&gt;=$BJ$1,$DY$2&gt;0,ROW()=$BI$1+6),"UTILE D'ESERCIZIO",IF(AND($I$1=2,$E$1=1,$BI$1&lt;=$BJ$1,$DY$2&gt;0,ROW()=$BJ$1+7),"TOTALE A PAREGGIO",IF(AND($I$1=2,$E$1=1,$BI$1&gt;=$BJ$1,$DY$2&gt;0,ROW()=$BI$1+7),"TOTALE A PAREGGIO",IF(AND($I$1=2,$E$1=1,$BI$1&gt;=$BJ$1,$DY$2=0,$DY$1=0,ROW()=$BI$1+5),"TOTALE",IF(AND($I$1=2,$E$1=1,$BI$1&lt;=$BJ$1,$DY$2=0,$DY$1=0,ROW()=$BJ$1+5),"TOTALE",""))))))))))))))))))))))</f>
        <v/>
      </c>
      <c r="J3" s="48" t="str">
        <f ca="1">IF($CO$1=0,"",IF(AND($CP$1=TRUE,CONCATENATE(I3,BO3)="SALDO ECONOMICO POSITIVO"),REPLACE(CONCATENATE(I3,BO3),1,30,"UTILE D'ESERCIZIO"),CONCATENATE(I3,BO3)))</f>
        <v/>
      </c>
      <c r="K3" s="48">
        <f ca="1">IF(AND($I$1=2,J3="……………….."),"_ _ _",IF(AND(J3="TOTALE",$I$1=2),"_ _ _",IF(AND(J3="TOTALE COSTI",$I$1=2),"_ _ _",IF(AND(J3="TOTALE A PAREGGIO",$I$1=2),"_ _ _",IF(AND(J3="UTILE D'ESERCIZIO",$I$1=2),$DY$2,IF(J3="TOTALE COSTI",$BP$2,IF(OR(J3="SALDO ECONOMICO POSITIVO",J3="UTILE D'ESERCIZIO"),$BR$2-$BP$2,IF(J3="TOTALE A PAREGGIO",$BR$2,0))))))))</f>
        <v>0</v>
      </c>
      <c r="L3" s="48">
        <f ca="1">IF(AND($I$1=2,K3&lt;&gt;0),K3,SUM(K3,BP3))</f>
        <v>0</v>
      </c>
      <c r="M3" s="48">
        <f ca="1">IFERROR(IF(IF(MID($A3,3,3)=".00",MID(A3,1,2),"")&lt;&gt;"",MAX($M$2:M2)+1,0),"")</f>
        <v>1</v>
      </c>
      <c r="N3" s="48" t="str">
        <f ca="1">IFERROR(IF(MID($A3,3,3)=".00",MID(A3,1,2),""),"")</f>
        <v>00</v>
      </c>
      <c r="O3" s="48" t="str">
        <f ca="1">IF(IFERROR(INDEX($N$3:$O$400,MATCH(ROWS($O$3:O3),$M$3:$M$400,0),1),"")&lt;&gt;"",CONCATENATE(INDEX($N$3:$O$400,MATCH(ROWS($O$3:O3),$M$3:$M$400,0),1),".00"),"")</f>
        <v>00.00</v>
      </c>
      <c r="P3" s="48" t="str">
        <f ca="1">IFERROR(INDEX($A$3:$B$400,MATCH(O3,$A$3:$A$400,0),2),"")</f>
        <v>CREDITI V/SOCI</v>
      </c>
      <c r="Q3" s="48">
        <f ca="1">IF(M3&gt;=1,0,MAX($Q$2:Q2)+1)</f>
        <v>0</v>
      </c>
      <c r="R3" s="93">
        <v>1</v>
      </c>
      <c r="S3" s="48" t="s">
        <v>992</v>
      </c>
      <c r="T3" s="48" t="s">
        <v>992</v>
      </c>
      <c r="U3" s="48" t="str">
        <f ca="1">IFERROR(INDEX(PDC,MATCH(ROWS(U$3:U3),$V$3:$V$400,0),2),"")</f>
        <v>AZIONISTI C/SOTTOSCRIZIONE</v>
      </c>
      <c r="V3" s="48">
        <f ca="1">IF(AND($T$1="VISUALIZZA TUTTI I CONTI",AA3&lt;&gt;""),MAX($V$2:V2)+1,IF(AND($U$2=2,AI3=$T$1),MAX($V$2:V2)+1,IF(AND($U$2=1,$T$1=AF3),MAX($V$2:V2)+1,0)))</f>
        <v>1</v>
      </c>
      <c r="X3" s="48">
        <f ca="1">IF(X2=X1,0,1)</f>
        <v>0</v>
      </c>
      <c r="Y3" s="48">
        <f ca="1">IF(Y2=Y1,0,1)</f>
        <v>0</v>
      </c>
      <c r="AA3" s="48" t="str">
        <f ca="1">IF(AC3&lt;&gt;"",CONCATENATE(MID(AB3,1,2),".00"),"")</f>
        <v>00.00</v>
      </c>
      <c r="AB3" s="48" t="str">
        <f ca="1">IFERROR(INDEX($A$3:$G$400,MATCH(ROWS(AB$3:AB3),$Q$3:$Q$400,0),1),"")</f>
        <v>00.01</v>
      </c>
      <c r="AC3" s="48" t="str">
        <f ca="1">IFERROR(INDEX($A$3:$G$400,MATCH(ROWS($AC$3:AC3),$Q$3:$Q$400,0),2),"")</f>
        <v>AZIONISTI C/SOTTOSCRIZIONE</v>
      </c>
      <c r="AD3" s="48" t="str">
        <f ca="1">IFERROR(INDEX($A$3:$G$400,MATCH(ROWS(AD$3:AD3),$Q$3:$Q$400,0),3),"")</f>
        <v>F</v>
      </c>
      <c r="AE3" s="48" t="str">
        <f ca="1">IFERROR(INDEX($A$3:$G$400,MATCH(ROWS(AE$3:AE3),$Q$3:$Q$400,0),4),"")</f>
        <v>D</v>
      </c>
      <c r="AF3" s="48" t="str">
        <f ca="1">IFERROR(INDEX($A$3:$G$400,MATCH(ROWS(AF$3:AF3),$Q$3:$Q$400,0),5),"")</f>
        <v>CREDITI</v>
      </c>
      <c r="AG3" s="48" t="str">
        <f ca="1">IFERROR(INDEX($A$3:$G$400,MATCH(ROWS(AG$3:AG3),$Q$3:$Q$400,0),6),"")</f>
        <v>SP DARE</v>
      </c>
      <c r="AH3" s="48" t="str">
        <f ca="1">IFERROR(INDEX($A$3:$G$400,MATCH(ROWS(AH$3:AH3),$Q$3:$Q$400,0),7),"")</f>
        <v>SP</v>
      </c>
      <c r="AI3" s="48" t="str">
        <f t="shared" ref="AI3:AI67" ca="1" si="1">INDEX($O$3:$P$50,MATCH(AA3,$O$3:$O$50,0),2)</f>
        <v>CREDITI V/SOCI</v>
      </c>
      <c r="AJ3" s="48" t="str">
        <f ca="1">IFERROR(INDEX($A$3:$H$400,MATCH(ROWS(AJ$3:AJ3),$Q$3:$Q$400,0),8),"")</f>
        <v>paa</v>
      </c>
      <c r="AK3" s="48">
        <f t="shared" ref="AK3:AK66" ca="1" si="2">IFERROR(INDEX(PDC,MATCH(AM3,DEN_PDC,0),6),0)</f>
        <v>0</v>
      </c>
      <c r="AL3" s="48">
        <f t="shared" ref="AL3:AL34" ca="1" si="3">IF(OR(INDIRECT(ADDRESS(ROW()+6,COLUMN()-34,,,"VALORI_INIZIALI"))&lt;INIZIO_A_PC,INDIRECT(ADDRESS(ROW()+6,COLUMN()-34,,,"VALORI_INIZIALI"))&gt;FINE_PERIODO),0,INDIRECT(ADDRESS(ROW()+6,COLUMN()-34,,,"VALORI_INIZIALI")))</f>
        <v>0</v>
      </c>
      <c r="AM3" s="48">
        <f ca="1">IF(AL3=0,0,INDIRECT(ADDRESS(ROW()+6,COLUMN()-34,,,"VALORI_INIZIALI")))</f>
        <v>0</v>
      </c>
      <c r="AN3" s="48" t="str">
        <f ca="1">IF(AND(CONCATENATE(INDIRECT(ADDRESS(ROW()+6,6,,,"VALORI_INIZIALI")),INDIRECT(ADDRESS(ROW()+6,7,,,"VALORI_INIZIALI")))="",AM3&lt;&gt;0),"manca la descrizione dell'operazione",CONCATENATE(INDIRECT(ADDRESS(ROW()+6,6,,,"VALORI_INIZIALI")),INDIRECT(ADDRESS(ROW()+6,7,,,"VALORI_INIZIALI"))))</f>
        <v/>
      </c>
      <c r="AO3" s="48">
        <f ca="1">IFERROR(ROUND(INDIRECT(ADDRESS(ROW()+6,COLUMN()-33,,,"VALORI_INIZIALI")),2),0)</f>
        <v>0</v>
      </c>
      <c r="AP3" s="48">
        <f ca="1">IFERROR(ROUND(INDIRECT(ADDRESS(ROW()+6,COLUMN()-33,,,"VALORI_INIZIALI")),2),0)</f>
        <v>0</v>
      </c>
      <c r="AQ3" s="48" t="str">
        <f t="shared" ref="AQ3:AQ66" ca="1" si="4">IF(INDEX(PDC,MATCH(AC3,DEN_PDC,0),7)="SP",AC3,"")</f>
        <v>AZIONISTI C/SOTTOSCRIZIONE</v>
      </c>
      <c r="AR3" s="48">
        <f t="shared" ref="AR3:AR66" ca="1" si="5">IFERROR(IF(AND(INDEX(PDC,MATCH($AQ3,DEN_PDC,0),4)="D",SUMIFS(dare_grezzo,den_grezzo,$AQ3,data_grezzo,"&lt;"&amp;INIZIO_AC,data_grezzo,"&gt;="&amp;INIZIO_A_PC)&gt;=SUMIFS(avere_grezzo,den_grezzo,$AQ3,data_grezzo,"&lt;"&amp;INIZIO_AC,data_grezzo,"&gt;="&amp;INIZIO_A_PC)),SUMIFS(dare_grezzo,den_grezzo,$AQ3,data_grezzo,"&lt;"&amp;INIZIO_AC,data_grezzo,"&gt;="&amp;INIZIO_A_PC),IF(AND(INDEX(PDC,MATCH($AQ3,DEN_PDC,0),4)="A",SUMIFS(avere_grezzo,den_grezzo,$AQ3,data_grezzo,"&lt;"&amp;INIZIO_AC,data_grezzo,"&gt;="&amp;INIZIO_A_PC)&gt;=SUMIFS(dare_grezzo,den_grezzo,$AQ3,data_grezzo,"&lt;"&amp;INIZIO_AC,data_grezzo,"&gt;="&amp;INIZIO_A_PC)),SUMIFS(dare_grezzo,den_grezzo,$AQ3,data_grezzo,"&lt;"&amp;INIZIO_AC,data_grezzo,"&gt;="&amp;INIZIO_A_PC),IF(INDEX(PDC,MATCH($AQ3,DEN_PDC,0),4)="D/A",SUMIFS(dare_grezzo,den_grezzo,$AQ3,data_grezzo,"&lt;"&amp;INIZIO_AC,data_grezzo,"&gt;="&amp;INIZIO_A_PC),0))),0)</f>
        <v>0</v>
      </c>
      <c r="AS3" s="48">
        <f t="shared" ref="AS3:AS66" ca="1" si="6">IFERROR(IF(AND(INDEX(PDC,MATCH($AQ3,DEN_PDC,0),4)="D",SUMIFS(dare_grezzo,den_grezzo,$AQ3,data_grezzo,"&lt;"&amp;INIZIO_AC,data_grezzo,"&gt;="&amp;INIZIO_A_PC)&gt;=SUMIFS(avere_grezzo,den_grezzo,$AQ3,data_grezzo,"&lt;"&amp;INIZIO_AC,data_grezzo,"&gt;="&amp;INIZIO_A_PC)),SUMIFS(avere_grezzo,den_grezzo,$AQ3,data_grezzo,"&lt;"&amp;INIZIO_AC,data_grezzo,"&gt;="&amp;INIZIO_A_PC),IF(AND(INDEX(PDC,MATCH($AQ3,DEN_PDC,0),4)="A",SUMIFS(avere_grezzo,den_grezzo,$AQ3,data_grezzo,"&lt;"&amp;INIZIO_AC,data_grezzo,"&gt;="&amp;INIZIO_A_PC)&gt;=SUMIFS(dare_grezzo,den_grezzo,$AQ3,data_grezzo,"&lt;"&amp;INIZIO_AC,data_grezzo,"&gt;="&amp;INIZIO_A_PC)),SUMIFS(avere_grezzo,den_grezzo,$AQ3,data_grezzo,"&lt;"&amp;INIZIO_AC,data_grezzo,"&gt;="&amp;INIZIO_A_PC),IF(INDEX(PDC,MATCH($AQ3,DEN_PDC,0),4)="D/A",SUMIFS(avere_grezzo,den_grezzo,$AQ3,data_grezzo,"&lt;"&amp;INIZIO_AC,data_grezzo,"&gt;="&amp;INIZIO_A_PC),0))),0)</f>
        <v>0</v>
      </c>
      <c r="AT3" s="48">
        <f ca="1">IF(AND(AQ3&lt;&gt;"",$AR3&gt;$AS3,OR($AR3&gt;0,$AS3&gt;0)),$AR3-$AS3,0)</f>
        <v>0</v>
      </c>
      <c r="AU3" s="48">
        <f ca="1">IF(AND(AQ3&lt;&gt;"",$AR3&lt;$AS3,OR($AR3&gt;0,$AS3&gt;0)),$AS3-$AR3,0)</f>
        <v>0</v>
      </c>
      <c r="AV3" s="48">
        <f ca="1">IF(OR(AT3&gt;0,AU3&gt;0),MAX($AV$2:AV2)+1,0)</f>
        <v>0</v>
      </c>
      <c r="AW3" s="239">
        <f>COUNTIFS(VALORI_INIZIALI!D9:D108,"&gt;"&amp;0)+2</f>
        <v>2</v>
      </c>
      <c r="AZ3" s="241" t="str">
        <f ca="1">IF(BA3=0,"",CONCATENATE(ROW()-2," A."))</f>
        <v/>
      </c>
      <c r="BA3" s="48">
        <f t="shared" ref="BA3:BA34" ca="1" si="7">IF(BB3&lt;&gt;0,INIZIO_AC,0)</f>
        <v>0</v>
      </c>
      <c r="BB3" s="48">
        <f ca="1">IFERROR(INDEX($AQ$3:$AV$220,MATCH(ROWS($BB$3:BB3),$AV$3:$AV$220,0),1),0)</f>
        <v>0</v>
      </c>
      <c r="BC3" s="48" t="str">
        <f ca="1">IF(BB3&lt;&gt;0,"apertura del conto","")</f>
        <v/>
      </c>
      <c r="BD3" s="48">
        <f ca="1">IFERROR(INDEX($AQ$3:$AV$220,MATCH(ROWS($BB$3:BD3),$AV$3:$AV$220,0),4),0)</f>
        <v>0</v>
      </c>
      <c r="BE3" s="48">
        <f ca="1">IFERROR(INDEX($AQ$3:$AV$220,MATCH(ROWS($BB$3:BE3),$AV$3:$AV$220,0),5),0)</f>
        <v>0</v>
      </c>
      <c r="BG3" s="48">
        <f ca="1">IF(IF(AND(OR(INDEX(PDC,MATCH($AC3,DEN_PDC,0),6)="SP DARE",INDEX(PDC,MATCH($AC3,DEN_PDC,0),6)="SP DARE/AVERE"),SUMIFS(DARE,DEN_G,$AC3)&gt;=SUMIFS(AVERE,DEN_G,$AC3)),SUMIFS(DARE,DEN_G,$AC3)-SUMIFS(AVERE,DEN_G,$AC3),0)&gt;0,MAX($BG$2:BG2)+1,0)</f>
        <v>0</v>
      </c>
      <c r="BH3" s="48">
        <f ca="1">IF(IF(AND(OR(INDEX(PDC,MATCH($AC3,DEN_PDC,0),6)="SP AVERE",INDEX(PDC,MATCH($AC3,DEN_PDC,0),6)="SP DARE/AVERE"),SUMIFS(AVERE,DEN_G,$AC3)&gt;=SUMIFS(DARE,DEN_G,$AC3)),SUMIFS(AVERE,DEN_G,$AC3)-SUMIFS(DARE,DEN_G,$AC3),0)&gt;0,MAX(BH$2:BH2)+1,0)</f>
        <v>0</v>
      </c>
      <c r="BI3" s="48">
        <f ca="1">IF(IF(AND(OR(INDEX(PDC,MATCH($AC3,DEN_PDC,0),6)="SE DARE",INDEX(PDC,MATCH($AC3,DEN_PDC,0),6)="SE DARE/AVERE"),SUMIFS(DARE,DEN_G,$AC3)&gt;=SUMIFS(AVERE,DEN_G,$AC3)),SUMIFS(DARE,DEN_G,$AC3)-SUMIFS(AVERE,DEN_G,$AC3),0)&gt;0,MAX(BI$2:BI2)+1,0)</f>
        <v>0</v>
      </c>
      <c r="BJ3" s="48">
        <f ca="1">IF(IF(AND(OR(INDEX(PDC,MATCH($AC3,DEN_PDC,0),6)="SE AVERE",INDEX(PDC,MATCH($AC3,DEN_PDC,0),6)="SE DARE/AVERE"),SUMIFS(AVERE,DEN_G,$AC3)&gt;=SUMIFS(DARE,DEN_G,$AC3)),SUMIFS(AVERE,DEN_G,$AC3)-SUMIFS(DARE,DEN_G,$AC3),0)&gt;0,MAX(BJ$2:BJ2)+1,0)</f>
        <v>0</v>
      </c>
      <c r="BK3" s="48" t="str">
        <f ca="1">IF(AND(AND($DY$2=0,$DY$1=0),$I$1=2,ROW()&gt;$BG$1+2,ROW()&lt;=$BG$1+4),"………………..",IF(AND(OR($DY$2&gt;0,$DY$1&gt;0),$I$1=2,ROW()&gt;$BG$1+2,ROW()&lt;=$BG$1+4),"………………..",IFERROR(INDEX($AC$3:$AC$398,MATCH(ROWS(BK$3:BK3),BG$3:BG$398,0),1),"")))</f>
        <v/>
      </c>
      <c r="BL3" s="48">
        <f t="shared" ref="BL3:BL9" ca="1" si="8">IF(AND($I$1=2,BK3="……………….."),"_ _ _",IF(BK3&lt;&gt;0,SUMIFS(DARE,DEN_G,$BK3)-SUMIFS(AVERE,DEN_G,$BK3),0))</f>
        <v>0</v>
      </c>
      <c r="BM3" s="48" t="str">
        <f ca="1">IF(AND(OR($DY$2=0,$DY$1=0),$I$1=2,ROW()&gt;$BH$1+2,ROW()&lt;=$BH$1+4),"………………..",IF(AND(OR($DY$2&gt;0,$DY$1&gt;0),$I$1=2,ROW()&gt;$BH$1+2,ROW()&lt;=$BH$1+4),"………………..",IFERROR(INDEX($AC$3:$AC$400,MATCH(ROWS(BM$3:BM3),BH$3:BH$400,0),1),"")))</f>
        <v/>
      </c>
      <c r="BN3" s="48">
        <f t="shared" ref="BN3:BN66" ca="1" si="9">IF(AND($I$1=2,BM3="……………….."),"_ _ _",IF(BM3&lt;&gt;0,SUMIFS(AVERE,DEN_G,$BM3)-SUMIFS(DARE,DEN_G,$BM3),0))</f>
        <v>0</v>
      </c>
      <c r="BO3" s="48" t="str">
        <f ca="1">IF(AND(OR($DY$2=0,$DY$1=0),$I$1=2,ROW()&gt;$BI$1+2,ROW()&lt;=$BI$1+4),"………………..",IF(AND(OR($DY$2&gt;0,$DY$1&gt;0),$I$1=2,ROW()&gt;$BI$1+2,ROW()&lt;=$BI$1+4),"………………..",IFERROR(INDEX($AC$3:$AC$400,MATCH(ROWS(BO$3:BO3),BI$3:BI$400,0),1),"")))</f>
        <v/>
      </c>
      <c r="BP3" s="48">
        <f t="shared" ref="BP3:BP66" ca="1" si="10">IF(AND($I$1=2,BO3="……………….."),"_ _ _",IF(BO3&lt;&gt;0,(SUMIFS(DARE,DEN_G,$BO3)-SUMIFS(AVERE,DEN_G,$BO3)),0))</f>
        <v>0</v>
      </c>
      <c r="BQ3" s="48" t="str">
        <f ca="1">IF(AND(OR($DY$2=0,$DY$1=0),$I$1=2,ROW()&gt;$BJ$1+2,ROW()&lt;=$BJ$1+4),"………………..",IF(AND(OR($DY$2&gt;0,$DY$1&gt;0),$I$1=2,ROW()&gt;$BJ$1+2,ROW()&lt;=$BJ$1+4),"………………..",IFERROR(INDEX($AC$3:$AC$400,MATCH(ROWS(BQ$3:BQ3),BJ$3:BJ$400,0),1),"")))</f>
        <v/>
      </c>
      <c r="BR3" s="48">
        <f t="shared" ref="BR3:BR66" ca="1" si="11">IF(AND($I$1=2,BQ3="……………….."),"_ _ _",IF(BQ3&lt;&gt;0,SUMIFS(AVERE,DEN_G,$BQ3)-SUMIFS(DARE,DEN_G,$BQ3),0))</f>
        <v>0</v>
      </c>
      <c r="BS3" s="48">
        <f ca="1">IF(IF(AND(OR(INDEX(PDC,MATCH($AC3,DEN_PDC,0),4)="D",INDEX(PDC,MATCH($AC3,DEN_PDC,0),4)="D/A"),SUMIFS(DARE,DEN_G,$AC3)&gt;=SUMIFS(AVERE,DEN_G,$AC3)),SUMIFS(DARE,DEN_G,$AC3),IF(AND(OR(INDEX(PDC,MATCH($AC3,DEN_PDC,0),4)="A",INDEX(PDC,MATCH($AC3,DEN_PDC,0),4)="D/A"),SUMIFS(AVERE,DEN_G,$AC3)&gt;=SUMIFS(DARE,DEN_G,$AC3)),SUMIFS(AVERE,DEN_G,$AC3),))&gt;0,MAX($BS$2:BS2)+1,0)</f>
        <v>0</v>
      </c>
      <c r="BT3" s="48" t="str">
        <f ca="1">IF($CO$1=0,"",IF(AND($I$1=2,ROW()&gt;$BR$1,ROW()&lt;=$BS$1)," …………….",IF(AND($E$1=1,$BX$1=1,$I$1=2,ROW()=$BQ$1),"TOTALI",IFERROR(INDEX(PDC,MATCH(ROWS(BT$3:BT3),BS$3:BS400,0),2),""))))</f>
        <v/>
      </c>
      <c r="BU3" s="48">
        <f t="shared" ref="BU3:BU66" ca="1" si="12">IF(BT3="",0,IF(BT3=" …………….","_ _ _    ",IF(BT3="",0,IF(AND($I$1=2,BT3="TOTALI"),"_ _ _    ",SUMIFS(DARE,DEN_G,$BT3)))))</f>
        <v>0</v>
      </c>
      <c r="BV3" s="48">
        <f t="shared" ref="BV3:BV66" ca="1" si="13">IF(BT3="",0,IF(BT3=" …………….","_ _ _    ",IF(BT3="",0,IF(AND($I$1=2,BT3="TOTALI"),"_ _ _    ",SUMIFS(AVERE,DEN_G,$BT3)))))</f>
        <v>0</v>
      </c>
      <c r="BW3" s="48">
        <f t="shared" ref="BW3:BW66" ca="1" si="14">IF(BU3&gt;BV3,BU3-BV3,IF(BU3="_ _ _    ","_ _ _    ",0))</f>
        <v>0</v>
      </c>
      <c r="BX3" s="48">
        <f t="shared" ref="BX3:BX66" ca="1" si="15">IF(BV3&gt;BU3,BV3-BU3,IF(BU3="_ _ _    ","_ _ _    ",0))</f>
        <v>0</v>
      </c>
      <c r="BY3" s="48">
        <f ca="1">IF(OR(BW3&gt;0,BX3&gt;0),MAX($BY$2:BY2)+1,0)</f>
        <v>0</v>
      </c>
      <c r="BZ3" s="48" t="str">
        <f ca="1">IFERROR(INDEX($BT$3:$BY$400,MATCH(ROWS(BZ$3:BZ3),$BY$3:$BY$400,0),1),"")</f>
        <v/>
      </c>
      <c r="CA3" s="48" t="str">
        <f ca="1">IFERROR(INDEX($BT$3:$BY$400,MATCH(ROWS(CA$3:CA3),$BY$3:$BY$400,0),4),"")</f>
        <v/>
      </c>
      <c r="CB3" s="48" t="str">
        <f ca="1">IFERROR(INDEX($BT$3:$BY$400,MATCH(ROWS(CB$3:CB3),$BY$3:$BY$400,0),5),"")</f>
        <v/>
      </c>
      <c r="CC3" s="48" t="str">
        <f t="shared" ref="CC3:CC66" ca="1" si="16">IFERROR(INDEX(PDC,MATCH(BZ3,DEN_PDC,0),9),"")</f>
        <v/>
      </c>
      <c r="CD3" s="48">
        <f ca="1">IF(AND($BF$9=1,CE3&lt;&gt;0),MAX($CD$2:CD2)+1,0)</f>
        <v>0</v>
      </c>
      <c r="CE3" s="48">
        <f ca="1">IF(ROUND(SUMIFS(COPIA!$CA$3:$CA$400,COPIA!$CC$3:$CC$400,CF3)-SUMIFS(COPIA!$CB$3:$CB$400,COPIA!$CC$3:$CC$400,CF3),0)&lt;0,0,ROUND(SUMIFS(COPIA!$CA$3:$CA$400,COPIA!$CC$3:$CC$400,CF3)-SUMIFS(COPIA!$CB$3:$CB$400,COPIA!$CC$3:$CC$400,CF3),0))</f>
        <v>0</v>
      </c>
      <c r="CF3" s="48" t="s">
        <v>625</v>
      </c>
      <c r="CG3" s="242" t="s">
        <v>970</v>
      </c>
      <c r="CH3" s="243">
        <f ca="1">CE3</f>
        <v>0</v>
      </c>
      <c r="CI3" s="242"/>
      <c r="CJ3" s="243" t="s">
        <v>309</v>
      </c>
      <c r="CL3" s="242"/>
      <c r="CM3" s="242" t="str">
        <f ca="1">IF($CO$1=0,"",IF(AND($E$1=1,$I$1=2,OR($BU$1=1,$BU$1=3)),"",IF(AND($E$1=1,$I$1=2,$BW$1=1,ROW()=$BS$1+1,OR($BU$1=1,$BU$1=3,$CL$1=1)),"TOTALI",IF(AND($F$1=1,$BA$1&gt;0,$I$1=1,ROW()=$BT$1+3,$CL$1=1,$BD$1=1,$EL$2=0),"TOTALI",""))))</f>
        <v/>
      </c>
      <c r="CN3" s="243">
        <f ca="1">IF(CM3="TOTALI",$BU$401,0)</f>
        <v>0</v>
      </c>
      <c r="CO3" s="48" t="str">
        <f ca="1">IF($CO$1=0,"",CONCATENATE(BT3,CM3))</f>
        <v/>
      </c>
      <c r="CQ3" s="48" t="str">
        <f ca="1">IFERROR(IF(AND($CO$1=1,$CT$36&gt;0,OR($I$1=1,$I$1=2)),"Verifica sul Libro giornale che il totale DARE coincida con il totale AVERE.",IF(W8=1,"Verifica che un conto non sia stato contemporaneamente accreditato e addebitato.","")),"")</f>
        <v/>
      </c>
      <c r="CR3" s="242">
        <f ca="1">IF(CQ3="",0,MAX($CR$2:CR2)+1)</f>
        <v>0</v>
      </c>
      <c r="CS3" s="48" t="str">
        <f ca="1">IF($CQ$1=FALSE,"",IFERROR(INDEX($CQ$3:$CR$13,MATCH(ROWS($CS$3:CS3),$CR$3:$CR$13,0),1),""))</f>
        <v/>
      </c>
      <c r="CT3" s="243"/>
      <c r="CU3" s="48">
        <f ca="1">IF(SUMIFS(AVERE,DEN_G,AC3,AVERE,"&gt;"&amp;0)+SUMIFS(DARE,DEN_G,AC3,DARE,"&gt;"&amp;0)&gt;0,MAX($CU$2:CU2)+1,0)</f>
        <v>0</v>
      </c>
      <c r="CV3" s="48" t="str">
        <f ca="1">IF(IFERROR(INDEX(PDC,MATCH(ROWS($CV$3:CV3),$CU$3:$CU$400,0),2),"")="CONTO DI RISULTATO ECONOMICO","",IFERROR(INDEX(PDC,MATCH(ROWS($CV$3:CV3),$CU$3:$CU$400,0),2),""))</f>
        <v/>
      </c>
      <c r="CW3" s="48">
        <f ca="1">IFERROR(IF(CV3&lt;&gt;"",MAX($CW$2:CW2)+1,0),0)</f>
        <v>0</v>
      </c>
      <c r="CX3" s="48">
        <f t="shared" ref="CX3:CX14" ca="1" si="17">$FF$3</f>
        <v>1</v>
      </c>
      <c r="CY3" s="48" t="str">
        <f t="shared" ref="CY3:CY14" ca="1" si="18">IF(ISERROR(INDEX($CV$3:$CX$1302,MATCH(CX3,$CW$3:$CW$1302,0),1)),"MASTRO",INDEX($CV$3:$CX$1302,MATCH(CX3,$CW$3:$CW$1302,0),1))</f>
        <v>MASTRO</v>
      </c>
      <c r="DA3" s="48" t="str">
        <f>IF(CY2="MASTRO","Conto n.","")</f>
        <v>Conto n.</v>
      </c>
      <c r="DB3" s="48" t="str">
        <f ca="1">IF(CY3=0,"",INDEX(PDC,MATCH(DC3,DEN_PDC,0),1))</f>
        <v/>
      </c>
      <c r="DC3" s="48" t="str">
        <f ca="1">IF(OR(CY3=0,CY3="mastro"),"",CY3)</f>
        <v/>
      </c>
      <c r="DD3" s="48" t="str">
        <f ca="1">IF(AND($DA$2=TRUE,OR(INDEX(PDC,MATCH($DC3,DEN_PDC,0),4)="A",INDEX(PDC,MATCH($DC3,DEN_PDC,0),4)="D/A"),SUMIFS(AVERE,DEN_G,"="&amp;$DC3,DATA,"&lt;="&amp;FINE_AC,DATA,"&gt;="&amp;INIZIO_AC)&gt;SUMIFS(DARE,DEN_G,"="&amp;$DC3,DATA,"&lt;="&amp;FINE_AC,DATA,"&gt;="&amp;INIZIO_AC)),CONCATENATE("s ",FIXED(ABS(SUMIFS(AVERE,DEN_G,"="&amp;$DC3,DATA,"&lt;="&amp;FINE_AC,DATA,"&gt;="&amp;INIZIO_AC)-SUMIFS(DARE,DEN_G,"="&amp;$DC3,DATA,"&lt;="&amp;FINE_AC,DATA,"&gt;="&amp;INIZIO_AC)),2)),"")</f>
        <v/>
      </c>
      <c r="DE3" s="48" t="str">
        <f ca="1">IF(AND($DA$2=TRUE,OR(INDEX(PDC,MATCH($DC3,DEN_PDC,0),4)="D",INDEX(PDC,MATCH($DC3,DEN_PDC,0),4)="D/A"),SUMIFS(DARE,DEN_G,"="&amp;$DC3,DATA,"&lt;="&amp;FINE_AC,DATA,"&gt;="&amp;INIZIO_AC)&gt;SUMIFS(AVERE,DEN_G,"="&amp;$DC3,DATA,"&lt;="&amp;FINE_AC,DATA,"&gt;="&amp;INIZIO_AC)),CONCATENATE("s ",FIXED(ABS(SUMIFS(DARE,DEN_G,"="&amp;$DC3,DATA,"&lt;="&amp;FINE_AC,DATA,"&gt;="&amp;INIZIO_AC)-SUMIFS(AVERE,DEN_G,"="&amp;$DC3,DATA,"&lt;="&amp;FINE_AC,DATA,"&gt;="&amp;INIZIO_AC)),2)),"")</f>
        <v/>
      </c>
      <c r="DF3" s="48">
        <f ca="1">IF(AND(CX3=$DF$1,CX3&lt;&gt;""),0,IF(AND(DB3&lt;&gt;"",OR(DB2&lt;&gt;"",DB4&lt;&gt;"")),MAX($DF$2:DF2)+1,0))</f>
        <v>0</v>
      </c>
      <c r="DH3" s="244" t="s">
        <v>322</v>
      </c>
      <c r="DI3" s="48" t="s">
        <v>323</v>
      </c>
      <c r="DN3" s="48">
        <f>IF(DI3&lt;&gt;"",MAX($DN$2:DN2)+1,0)</f>
        <v>1</v>
      </c>
      <c r="DQ3" s="227" t="s">
        <v>322</v>
      </c>
      <c r="DR3" s="48" t="s">
        <v>1046</v>
      </c>
      <c r="DW3" s="48">
        <f>IF(DR3&lt;&gt;"",MAX($DW$2:DW2)+1,0)</f>
        <v>1</v>
      </c>
      <c r="DY3" s="48" t="str">
        <f t="shared" ref="DY3:DY66" ca="1" si="19">IF(BB3=0,"",INDEX(PDC,MATCH(BB3,DEN_PDC,0),1))</f>
        <v/>
      </c>
      <c r="DZ3" s="48" t="str">
        <f ca="1">IF(OR($ES$1&gt;0,$DW$1=0,$BX$1=0,$AY$1&lt;&gt;0),"",IF(AND($F$1=1,$BI$1&gt;=$BJ$1,$BP$2&gt;$BR$2,ROW()=$BI$1+3),"TOTALE RICAVI",IF(AND($F$1=1,$BI$1&gt;=$BJ$1,$BP$2&gt;$BR$2,ROW()=$BI$1+4),"SALDO ECONOMICO NEGATIVO",IF(AND($F$1=1,$BI$1&gt;=$BJ$1,$BP$2&gt;$BR$2,ROW()=$BI$1+5),"TOTALE A PAREGGIO",IF(AND($F$1=1,$BI$1&lt;=$BJ$1,$BP$2&gt;$BR$2,ROW()=$BJ$1+3),"TOTALE RICAVI",IF(AND($F$1=1,$BI$1&lt;=$BJ$1,$BP$2&gt;$BR$2,ROW()=$BJ$1+4),"SALDO ECONOMICO NEGATIVO",IF(AND($F$1=1,$BI$1&lt;=$BJ$1,$BP$2&gt;$BR$2,ROW()=$BJ$1+5),"TOTALE A PAREGGIO",IF(AND($F$1=1,$BI$1&gt;=$BJ$1,$BP$2&lt;$BR$2,ROW()=$BI$1+5),"TOTALE RICAVI",IF(AND($F$1=1,$BI$1&lt;=$BJ$1,$BP$2&lt;$BR$2,ROW()=$BJ$1+5),"TOTALE RICAVI",IF(AND($BP$2&lt;&gt;0,$F$1=1,$BI$1&gt;$BJ$1,$BP$2=$BR$2,ROW()=$BI$1+3),"TOTALE RICAVI",IF(AND($BP$2&lt;&gt;0,$F$1=1,$BI$1&lt;$BJ$1,$BP$2=$BR$2,ROW()=$BJ$1+3),"TOTALE RICAVI",IF(AND($BP$2&lt;&gt;0,$F$1=1,$BI$1=$BJ$1,$BP$2=$BR$2,ROW()=$BI$1+3),"TOTALE RICAVI",IF(AND($I$1=2,$E$1=1,$BI$1&gt;=$BJ$1,$DY$1&gt;0,ROW()=$BI$1+5),"TOTALE RICAVI",IF(AND($I$1=2,$E$1=1,$BI$1&lt;=$BJ$1,$DY$1&gt;0,ROW()=$BJ$1+5),"TOTALE RICAVI",IF(AND($I$1=2,$E$1=1,$BI$1&gt;=$BJ$1,$DY$2&gt;0,ROW()=$BI$1+7),"TOTALE RICAVI",IF(AND($I$1=2,$E$1=1,$BI$1&lt;=$BJ$1,$DY$2&gt;0,ROW()=$BJ$1+7),"TOTALE RICAVI",IF(AND($I$1=2,$E$1=1,$BI$1&lt;=$BJ$1,$DY$1&gt;0,ROW()=$BJ$1+6),"PERDITA D'ESERCIZIO",IF(AND($I$1=2,$E$1=1,$BI$1&gt;=$BJ$1,$DY$1&gt;0,ROW()=$BI$1+6),"PERDITA D'ESERCIZIO",IF(AND($I$1=2,$E$1=1,$BI$1&lt;=$BJ$1,$DY$1&gt;0,ROW()=$BJ$1+7),"TOTALE A PAREGGIO",IF(AND($I$1=2,$E$1=1,$BI$1&gt;=$BJ$1,$DY$1&gt;0,ROW()=$BI$1+7),"TOTALE A PAREGGIO",IF(AND($I$1=2,$E$1=1,$BI$1&gt;=$BJ$1,$DY$2&gt;0,ROW()=$BI$1+7),"TOTALE A PAREGGIO",IF(AND($I$1=2,$E$1=1,$BI$1&gt;=$BJ$1,$DY$2=0,$DY$1=0,ROW()=$BI$1+5),"TOTALE",IF(AND($I$1=2,$E$1=1,$BI$1&lt;=$BJ$1,$DY$2=0,$DY$1=0,ROW()=$BJ$1+5),"TOTALE","")))))))))))))))))))))))</f>
        <v/>
      </c>
      <c r="EA3" s="48" t="str">
        <f ca="1">IF($CO$1=0,"",IF(AND($CP$1=TRUE,CONCATENATE(DZ3,BQ3)="SALDO ECONOMICO NEGATIVO"),REPLACE(CONCATENATE(DZ3,BQ3),1,30,"PERDITA D'ESERCIZIO"),CONCATENATE(DZ3,BQ3)))</f>
        <v/>
      </c>
      <c r="EB3" s="48">
        <f ca="1">IF(AND($I$1=2,EA3="……………….."),"_ _ _",IF(AND(DZ3="TOTALE",$I$1=2),"_ _ _",IF(AND(DZ3="TOTALE RICAVI",$I$1=2),"_ _ _",IF(AND(DZ3="TOTALE A PAREGGIO",$I$1=2),"_ _ _",IF(AND(DZ3="PERDITA D'ESERCIZIO",$I$1=2),$DY$1,IF(OR(EA3="SALDO ECONOMICO NEGATIVO",EA3="PERDITA D'ESERCIZIO"),$BP$2-$BR$2,IF(DZ3="TOTALE RICAVI",$BR$2,IF(DZ3="TOTALE A PAREGGIO",$BP$2,0))))))))</f>
        <v>0</v>
      </c>
      <c r="EC3" s="48">
        <f ca="1">IF(AND($I$1=2,EB3&lt;&gt;0),EB3,SUM(EB3,BR3))</f>
        <v>0</v>
      </c>
      <c r="ED3" s="48" t="str">
        <f ca="1">IF(OR($ES$1&gt;0,$DW$1=0,$BX$1=0,$AY$1&lt;&gt;0),"",IF(AND($F$1=1,$BG$1=$BH$1,$BL$2&gt;$BN$2,ROW()=$BG$1+5),"TOTALE",IF(AND($F$1=1,$BG$1=$BH$1,$BL$2=$BN$2,ROW()=$BG$1+3),"TOTALE",IF(AND($F$1=1,$BG$1=$BH$1,$BL$2&lt;$BN$2,ROW()=$BG$1+3),"TOTALE",IF(AND($F$1=1,$BG$1&gt;$BH$1,$BL$2&gt;$BN$2,ROW()=$BG$1+5),"TOTALE",IF(AND($F$1=1,$BG$1&gt;$BH$1,$BL$2=$BN$2,ROW()=$BG$1+3),"TOTALE",IF(AND($F$1=1,$BG$1&gt;$BH$1,$BL$2&lt;$BN$2,ROW()=$BG$1+3),"TOTALE",IF(AND($F$1=1,$BG$1&lt;$BH$1,$BL$2&gt;$BN$2,ROW()=$BH$1+5),"TOTALE",IF(AND($F$1=1,$BG$1&lt;$BH$1,$BL$2&lt;$BN$2,ROW()=$BH$1+3),"TOTALE",IF(AND($F$1=1,$BG$1&lt;$BH$1,$BL$2=$BN$2,ROW()=$BH$1+3),"TOTALE",IF(AND($F$1=1,$BG$1&lt;=$BH$1,$BL$2&lt;$BN$2,ROW()=$BH$1+4),"SALDO ECONOMICO NEGATIVO",IF(AND($F$1=1,$BG$1&gt;$BH$1,$BL$2&lt;$BN$2,ROW()=$BG$1+4),"SALDO ECONOMICO NEGATIVO",IF(AND($F$1=1,$BG$1&lt;$BH$1,$BL$2&lt;$BN$2,ROW()=$BH$1+5),"TOTALE A PAREGGIO",IF(AND($F$1=1,$BG$1&gt;=$BH$1,$BL$2&lt;$BN$2,ROW()=$BG$1+5),"TOTALE A PAREGGIO",IF(AND($I$1=2,$E$1=1,$BG$1&gt;=$BH$1,$DY$1&gt;0,ROW()=$BG$1+7),"TOTALE A PAREGGIO",IF(AND($I$1=2,$E$1=1,$BG$1&gt;=$BH$1,$DY$1&gt;0,ROW()=$BG$1+6),"PERDITA D'ESERCIZIO",IF(AND($I$1=2,$E$1=1,$BG$1&gt;=$BH$1,$DY$1&gt;0,ROW()=$BG$1+5),"TOTALE",IF(AND($I$1=2,$E$1=1,$BG$1&lt;=$BH$1,$DY$1&gt;0,ROW()=$BH$1+7),"TOTALE A PAREGGIO",IF(AND($I$1=2,$E$1=1,$BG$1&lt;=$BH$1,$DY$1&gt;0,ROW()=$BH$1+6),"PERDITA D'ESERCIZIO",IF(AND($I$1=2,$E$1=1,$BG$1&lt;=$BH$1,$DY$1&gt;0,ROW()=$BH$1+5),"TOTALE",IF(AND($I$1=2,$E$1=1,$BG$1&lt;=$BH$1,$DY$2&gt;0,ROW()=$BH$1+7),"TOTALE",IF(AND($I$1=2,$E$1=1,$BG$1&gt;=$BH$1,$DY$2&gt;0,ROW()=$BG$1+7),"TOTALE",IF(AND($I$1=2,$E$1=1,$BG$1&gt;=$BH$1,$DY$2=0,$DY$1=0,ROW()=$BG$1+5),"TOTALE",IF(AND($I$1=2,$E$1=1,$BG$1&lt;=$BH$1,$DY$2=0,$DY$1=0,ROW()=$BH$1+5),"TOTALE",""))))))))))))))))))))))))</f>
        <v/>
      </c>
      <c r="EE3" s="48">
        <f ca="1">IF(AND($I$1=2,EF3="……………….."),"_ _ _",IF(AND($I$1=2,ED3="TOTALE"),"_ _ _",IF(AND($I$1=2,ED3="TOTALE A PAREGGIO"),"_ _ _",IF(AND($I$1=2,ED3="PERDITA D'ESERCIZIO"),$DY$1,IF(ED3="totale",$BL$2,IF(ED3="SALDO ECONOMICO NEGATIVO",$BP$2-$BR$2,IF(ED3="TOTALE A PAREGGIO",$BN$2,0)))))))</f>
        <v>0</v>
      </c>
      <c r="EF3" s="48" t="str">
        <f ca="1">IF($CO$1=0,"",CONCATENATE(ED3,BK3))</f>
        <v/>
      </c>
      <c r="EG3" s="48">
        <f ca="1">IF(AND($I$1=2,EE3&lt;&gt;0),EE3,SUM(BL3,EE3))</f>
        <v>0</v>
      </c>
      <c r="EH3" s="48" t="str">
        <f ca="1">IF(OR($ES$1&gt;0,$DW$1=0,$BX$1=0,$AY$1&lt;&gt;0),"",IF(AND($F$1=1,$BG$1=$BH$1,$BL$2&gt;$BN$2,ROW()=$BG$1+3),"TOTALE",IF(AND($F$1=1,$BG$1=$BH$1,$BL$2=$BN$2,ROW()=$BG$1+3),"TOTALE",IF(AND($F$1=1,$BG$1=$BH$1,$BL$2&lt;$BN$2,ROW()=$BG$1+5),"TOTALE",IF(AND($F$1=1,$BG$1&gt;$BH$1,$BL$2&gt;$BN$2,ROW()=$BG$1+3),"TOTALE",IF(AND($F$1=1,$BG$1&gt;$BH$1,$BL$2=$BN$2,ROW()=$BG$1+3),"TOTALE",IF(AND($F$1=1,$BG$1&gt;$BH$1,$BL$2&lt;$BN$2,ROW()=$BG$1+5),"TOTALE",IF(AND($F$1=1,$BG$1&lt;$BH$1,$BL$2&gt;$BN$2,ROW()=$BH$1+3),"TOTALE",IF(AND($F$1=1,$BG$1&lt;$BH$1,$BL$2&lt;$BN$2,ROW()=$BH$1+5),"TOTALE",IF(AND($F$1=1,$BG$1&lt;$BH$1,$BL$2=$BN$2,ROW()=$BH$1+3),"TOTALE",IF(AND($F$1=1,$BG$1&lt;=$BH$1,$BL$2&gt;$BN$2,ROW()=$BH$1+4),"SALDO ECONOMICO POSITIVO",IF(AND($F$1=1,$BG$1&gt;$BH$1,$BL$2&gt;$BN$2,ROW()=$BG$1+4),"SALDO ECONOMICO POSITIVO",IF(AND($F$1=1,$BG$1&lt;$BH$1,$BL$2&gt;$BN$2,ROW()=$BH$1+5),"TOTALE A PAREGGIO",IF(AND($F$1=1,$BG$1&gt;=$BH$1,$BL$2&gt;$BN$2,ROW()=$BG$1+5),"TOTALE A PAREGGIO",IF(AND($I$1=2,$E$1=1,$BG$1&gt;=$BH$1,$DY$2&gt;0,ROW()=$BG$1+7),"TOTALE A PAREGGIO",IF(AND($I$1=2,$E$1=1,$BG$1&gt;=$BH$1,$DY$2&gt;0,ROW()=$BG$1+6),"UTILE D'ESERCIZIO",IF(AND($I$1=2,$E$1=1,$BG$1&gt;=$BH$1,$DY$2&gt;0,ROW()=$BG$1+5),"TOTALE",IF(AND($I$1=2,$E$1=1,$BG$1&lt;=$BH$1,$DY$2&gt;0,ROW()=$BH$1+7),"TOTALE A PAREGGIO",IF(AND($I$1=2,$E$1=1,$BG$1&lt;=$BH$1,$DY$2&gt;0,ROW()=$BH$1+6),"UTILE D'ESERCIZIO",IF(AND($I$1=2,$E$1=1,$BG$1&lt;=$BH$1,$DY$2&gt;0,ROW()=$BH$1+5),"TOTALE",IF(AND($I$1=2,$E$1=1,$BG$1&lt;=$BH$1,$DY$1&gt;0,ROW()=$BH$1+7),"TOTALE",IF(AND($I$1=2,$E$1=1,$BG$1&gt;=$BH$1,$DY$1&gt;0,ROW()=$BG$1+7),"TOTALE",IF(AND($I$1=2,$E$1=1,$BG$1&gt;=$BH$1,$DY$2=0,$DY$1=0,ROW()=$BG$1+5),"TOTALE",IF(AND($I$1=2,$E$1=1,$BG$1&lt;=$BH$1,$DY$2=0,$DY$1=0,ROW()=$BH$1+5),"TOTALE",""))))))))))))))))))))))))</f>
        <v/>
      </c>
      <c r="EI3" s="48">
        <f ca="1">IF(AND($I$1=2,EJ3="……………….."),"_ _ _",IF(AND($I$1=2,EH3="TOTALE"),"_ _ _",IF(AND($I$1=2,EH3="TOTALE A PAREGGIO"),"_ _ _",IF(AND($I$1=2,EH3="UTILE D'ESERCIZIO"),$DY$2,IF(EH3="totale",$BN$2,IF(EH3="SALDO ECONOMICO POSITIVO",$BR$2-$BP$2,IF(EH3="TOTALE A PAREGGIO",$BL$2,0)))))))</f>
        <v>0</v>
      </c>
      <c r="EJ3" s="48" t="str">
        <f ca="1">IF($CO$1=0,"",CONCATENATE(EH3,BM3))</f>
        <v/>
      </c>
      <c r="EK3" s="48">
        <f ca="1">IF(AND($I$1=2,EI3&lt;&gt;0),EI3,SUM(EI3,BN3))</f>
        <v>0</v>
      </c>
      <c r="EL3" s="48">
        <f t="shared" ref="EL3:EL66" ca="1" si="20">IF(OR(AND($I$1=1,AC3="perdita d'esercizio"),AND($I$1=1,AC3="utile d'esercizio")),0,IF(AND(AE3="d",AG3="SP DARE"),SUMIFS(dare_grezzo,den_grezzo,AC3,data_grezzo,"&lt;="&amp;FINE_AC,data_grezzo,"&gt;="&amp;INIZIO_A_PC)-SUMIFS(avere_grezzo,den_grezzo,AC3,data_grezzo,"&lt;="&amp;FINE_AC,data_grezzo,"&gt;="&amp;INIZIO_A_PC),IF(AND(AE3="a",AG3="SP AVERE"),SUMIFS(avere_grezzo,den_grezzo,AC3,data_grezzo,"&lt;="&amp;FINE_AC,data_grezzo,"&gt;="&amp;INIZIO_A_PC)-SUMIFS(dare_grezzo,den_grezzo,AC3,data_grezzo,"&lt;="&amp;FINE_AC,data_grezzo,"&gt;="&amp;INIZIO_A_PC),IF(AND(AE3="d",AG3="SE DARE"),SUMIFS(dare_grezzo,den_grezzo,AC3,data_grezzo,"&lt;="&amp;FINE_AC,data_grezzo,"&gt;="&amp;INIZIO_A_PC,data_grezzo,"&gt;="&amp;INIZIO_AC)-SUMIFS(avere_grezzo,den_grezzo,AC3,data_grezzo,"&lt;="&amp;FINE_AC,data_grezzo,"&gt;="&amp;INIZIO_A_PC,data_grezzo,"&gt;="&amp;INIZIO_AC),IF(AND(AE3="a",AG3="SE AVERE"),SUMIFS(avere_grezzo,den_grezzo,AC3,data_grezzo,"&lt;="&amp;FINE_AC,data_grezzo,"&gt;="&amp;INIZIO_A_PC,data_grezzo,"&gt;="&amp;INIZIO_AC)-SUMIFS(dare_grezzo,den_grezzo,AC3,data_grezzo,"&lt;="&amp;FINE_AC,data_grezzo,"&gt;="&amp;INIZIO_A_PC,data_grezzo,"&gt;="&amp;INIZIO_AC),0)))))</f>
        <v>0</v>
      </c>
      <c r="EM3" s="48">
        <f ca="1">IF(EL3&gt;=0,0,MAX($EM$2:EM2)+1)</f>
        <v>0</v>
      </c>
      <c r="EN3" s="48" t="str">
        <f t="shared" ref="EN3:EN67" ca="1" si="21">IF(EL3&lt;0,AC3,"")</f>
        <v/>
      </c>
      <c r="EO3" s="48" t="str">
        <f ca="1">IFERROR(INDEX($EM$3:$EN$400,MATCH(ROWS($EO$3:EO3),$EM$3:$EM$400,0),2),"")</f>
        <v/>
      </c>
      <c r="EP3" s="48">
        <f>ROW()</f>
        <v>3</v>
      </c>
      <c r="EQ3" s="48">
        <f t="shared" ref="EQ3:EQ66" ca="1" si="22">IF(AND(AM3&lt;&gt;0,AL3&lt;=FINE_AC),INDEX(PDC,MATCH(SUBSTITUTE(AM3,"[",""),DEN_PDC,0),1),0)</f>
        <v>0</v>
      </c>
      <c r="ER3" s="48">
        <f ca="1">IF(ISNA(EQ3)=TRUE,MAX($ER$2:ER2)+1,0)</f>
        <v>0</v>
      </c>
      <c r="ES3" s="48" t="str">
        <f ca="1">IF(ER3&lt;&gt;0,AM3,"")</f>
        <v/>
      </c>
      <c r="ET3" s="48" t="str">
        <f ca="1">IFERROR(INDEX($ER$3:$ES$400,MATCH(ROWS($ET$3:ET3),$ER$3:$ER$400,0),2),"")</f>
        <v/>
      </c>
      <c r="EU3" s="48">
        <f ca="1">SUM(EU5:EU250)</f>
        <v>0</v>
      </c>
      <c r="EV3" s="48">
        <f ca="1">IFERROR(INDEX(LIBRO_GIORNALE!$O$11:$P$408,MATCH(ROWS($EV$2:EV2),LIBRO_GIORNALE!$P$11:$P$408,0),1),0)</f>
        <v>0</v>
      </c>
      <c r="EW3" s="48" t="str">
        <f ca="1">UPPER(IFERROR(INDEX($AZ$103:$BB$400,MATCH(EV3,$AZ$103:$AZ$400,0),3),0))</f>
        <v>0</v>
      </c>
      <c r="EX3" s="48">
        <f ca="1">IF(EXACT(EW3,EW2),0,IF($EV$1=1,IFERROR(MATCH($EW3,$CV$3:$CV$400,0),0),0))</f>
        <v>0</v>
      </c>
      <c r="EY3" s="48">
        <f ca="1">IF(EX3&gt;0,MAX($EY$2:EY2)+1,0)</f>
        <v>0</v>
      </c>
      <c r="EZ3" s="48">
        <f ca="1">IFERROR(INDEX($EX$3:$EX$400,MATCH(ROWS($EZ$3:EZ3),$EY$3:$EY$400,0),1),0)</f>
        <v>0</v>
      </c>
      <c r="FA3" s="48">
        <f ca="1">IF(EZ3&gt;0,0,MAX($FA$2:FA2)+1)</f>
        <v>1</v>
      </c>
      <c r="FB3" s="48">
        <f ca="1">IFERROR(IF(FA3&gt;0,MATCH(FA3,$EZ$3:$EZ$400,0),0),0)</f>
        <v>0</v>
      </c>
      <c r="FC3" s="48">
        <f ca="1">IF(FB3=0,FA3,0)</f>
        <v>1</v>
      </c>
      <c r="FD3" s="48">
        <f ca="1">SUM(EZ3,FC3)</f>
        <v>1</v>
      </c>
      <c r="FE3" s="48">
        <f ca="1">IF(FD3=0,0,MAX($FE$2:FE2)+1)</f>
        <v>1</v>
      </c>
      <c r="FF3" s="48">
        <f ca="1">IFERROR(INDEX($FD$3:$FE$400,MATCH(ROWS($FF$3:FF3),$FE$3:$FE$400,0),1),"")</f>
        <v>1</v>
      </c>
      <c r="FG3" s="48" t="s">
        <v>1004</v>
      </c>
      <c r="FH3" s="48">
        <f ca="1">IF(F3="SP DARE/AVERE",B3,0)</f>
        <v>0</v>
      </c>
      <c r="FI3" s="48">
        <f ca="1">IF(FH3&lt;&gt;0,MAX($FI$2:FI2)+1,0)</f>
        <v>0</v>
      </c>
      <c r="FJ3" s="48" t="str">
        <f ca="1">IFERROR(INDEX($FH$3:$FI$400,MATCH(ROWS($FJ$3:FJ3),$FI$3:$FI$400,0),1),"")</f>
        <v>IVA C/LIQUIDAZIONE</v>
      </c>
      <c r="FK3" s="48">
        <f ca="1">IF(ABS(SUMIFS(DARE,DEN_G,"="&amp;FJ3,DATA,"&lt;="&amp;FINE_AC,DATA,"&gt;="&amp;INIZIO_A_PC)-SUMIFS(AVERE,DEN_G,"="&amp;FJ3,DATA,"&lt;="&amp;FINE_AC,DATA,"&gt;="&amp;INIZIO_A_PC))&gt;0,MAX($FK$2:FK2)+1,0)</f>
        <v>0</v>
      </c>
      <c r="FL3" s="48" t="str">
        <f ca="1">IF(AND(ROW()-2&lt;&gt;1,ROW()-2&lt;=$FK$1),CONCATENATE(" - ",IFERROR(INDEX($FJ$3:$FK$400,MATCH(ROWS($FL$3:FL3),$FK$3:$FK$400,0),1),"")),IFERROR(INDEX($FJ$3:$FK$400,MATCH(ROWS($FL$3:FL3),$FK$3:$FK$400,0),1),""))</f>
        <v/>
      </c>
      <c r="FM3" s="48">
        <f ca="1">IF(OR(B3="IVA ns/credito",B3="IVA NS/DEBITO",B3="IVA C/ACCONTO",B3="IMPOSTE C/ACCONTO",B3="CREDITI PER RITENUTE SUBITE",B3="CREDITI D'IMPOSTA"),MAX($FM$2:FM2)+1,0)</f>
        <v>0</v>
      </c>
      <c r="FN3" s="48" t="str">
        <f ca="1">IF(FM3&gt;0,B3,"")</f>
        <v/>
      </c>
      <c r="FO3" s="48" t="str">
        <f ca="1">IFERROR(INDEX($FM$3:$FN$400,MATCH(ROWS($FO$3:FO3),$FM$3:$FM$400,0),2),"")</f>
        <v>IVA NS/CREDITO</v>
      </c>
      <c r="FP3" s="48">
        <f ca="1">IF(ABS(SUMIFS(DARE,DEN_G,"="&amp;FO3,DATA,"&lt;="&amp;FINE_AC,DATA,"&gt;="&amp;INIZIO_A_PC)-SUMIFS(AVERE,DEN_G,"="&amp;FO3,DATA,"&lt;="&amp;FINE_AC,DATA,"&gt;="&amp;INIZIO_A_PC))&gt;0,MAX($FP$2:FP2)+1,0)</f>
        <v>0</v>
      </c>
      <c r="FQ3" s="48" t="str">
        <f ca="1">IF(AND(ROW()-2&lt;&gt;1,ROW()-2&lt;=$FP$1),CONCATENATE(" - ",IFERROR(INDEX($FO$3:$FP$400,MATCH(ROWS($FQ$3:FQ3),$FP$3:$FP$400,0),1),"")),IFERROR(INDEX($FO$3:$FP$400,MATCH(ROWS($FQ$3:FQ3),$FP$3:$FP$400,0),1),""))</f>
        <v/>
      </c>
    </row>
    <row r="4" spans="1:173" x14ac:dyDescent="0.3">
      <c r="A4" s="48" t="str">
        <f ca="1">IFERROR(IF($A$1=2,INDEX($DH$3:$DN$401,MATCH(ROWS(A$3:A4),$DN$3:$DN$401,0),COLUMN()),IF($A$1=1,INDEX($DQ$3:$DW$401,MATCH(ROWS(A$3:A4),$DW$3:$DW$401,0),COLUMN()),"")),"")</f>
        <v>00.01</v>
      </c>
      <c r="B4" s="48" t="str">
        <f ca="1">IFERROR(IF($A$1=2,INDEX($DH$3:$DN$401,MATCH(ROWS(B$3:B4),$DN$3:$DN$401,0),COLUMN()),IF($A$1=1,INDEX($DQ$3:$DW$400,MATCH(ROWS(B$3:B4),$DW$3:$DW$401,0),COLUMN()),"")),"")</f>
        <v>AZIONISTI C/SOTTOSCRIZIONE</v>
      </c>
      <c r="C4" s="48" t="str">
        <f ca="1">IFERROR(IF($A$1=2,INDEX($DH$3:$DN$401,MATCH(ROWS(C$3:C4),$DN$3:$DN$401,0),COLUMN()),IF($A$1=1,INDEX($DQ$3:$DW$401,MATCH(ROWS(C$3:C4),$DW$3:$DW$401,0),COLUMN()),"")),"")</f>
        <v>F</v>
      </c>
      <c r="D4" s="48" t="str">
        <f ca="1">IFERROR(IF($A$1=2,INDEX($DH$3:$DN$401,MATCH(ROWS(D$3:D4),$DN$3:$DN$401,0),COLUMN()),IF($A$1=1,INDEX($DQ$3:$DW$401,MATCH(ROWS(D$3:D4),$DW$3:$DW$401,0),COLUMN()),"")),"")</f>
        <v>D</v>
      </c>
      <c r="E4" s="48" t="str">
        <f ca="1">IFERROR(IF($A$1=2,INDEX($DH$3:$DN$401,MATCH(ROWS(E$3:E4),$DN$3:$DN$401,0),COLUMN()),IF($A$1=1,INDEX($DQ$3:$DW$401,MATCH(ROWS(E$3:E4),$DW$3:$DW$401,0),COLUMN()),"")),"")</f>
        <v>CREDITI</v>
      </c>
      <c r="F4" s="48" t="str">
        <f ca="1">IFERROR(IF($A$1=2,INDEX($DH$3:$DN$401,MATCH(ROWS(F$3:F4),$DN$3:$DN$401,0),COLUMN()),IF($A$1=1,INDEX($DQ$3:$DX$401,MATCH(ROWS(F$3:F4),$DW$3:$DW$401,0),COLUMN()),"")),"")</f>
        <v>SP DARE</v>
      </c>
      <c r="G4" s="48" t="str">
        <f t="shared" ref="G4:G67" ca="1" si="23">IFERROR(MID(F4,1,2),"")</f>
        <v>SP</v>
      </c>
      <c r="H4" s="48" t="str">
        <f ca="1">IFERROR(IF($A$1=2,INDEX($DH$3:$DO$400,MATCH(ROWS(H$3:H4),$DN$3:$DN$400,0),COLUMN()),IF($A$1=1,INDEX($DQ$3:$DX$400,MATCH(ROWS(H$3:H4),$DW$3:$DW$400,0),COLUMN()),"")),"")</f>
        <v>paa</v>
      </c>
      <c r="I4" s="48" t="str">
        <f t="shared" ca="1" si="0"/>
        <v/>
      </c>
      <c r="J4" s="48" t="str">
        <f t="shared" ref="J4:J67" ca="1" si="24">IF($CO$1=0,"",IF(AND($CP$1=TRUE,CONCATENATE(I4,BO4)="SALDO ECONOMICO POSITIVO"),REPLACE(CONCATENATE(I4,BO4),1,30,"UTILE D'ESERCIZIO"),CONCATENATE(I4,BO4)))</f>
        <v/>
      </c>
      <c r="K4" s="48">
        <f t="shared" ref="K4:K67" ca="1" si="25">IF(AND($I$1=2,J4="……………….."),"_ _ _",IF(AND(J4="TOTALE",$I$1=2),"_ _ _",IF(AND(J4="TOTALE COSTI",$I$1=2),"_ _ _",IF(AND(J4="TOTALE A PAREGGIO",$I$1=2),"_ _ _",IF(AND(J4="UTILE D'ESERCIZIO",$I$1=2),$DY$2,IF(J4="TOTALE COSTI",$BP$2,IF(OR(J4="SALDO ECONOMICO POSITIVO",J4="UTILE D'ESERCIZIO"),$BR$2-$BP$2,IF(J4="TOTALE A PAREGGIO",$BR$2,0))))))))</f>
        <v>0</v>
      </c>
      <c r="L4" s="48">
        <f t="shared" ref="L4:L67" ca="1" si="26">IF(AND($I$1=2,K4&lt;&gt;0),K4,SUM(K4,BP4))</f>
        <v>0</v>
      </c>
      <c r="M4" s="48">
        <f ca="1">IFERROR(IF(IF(MID($A4,3,3)=".00",MID(A4,1,2),"")&lt;&gt;"",MAX($M$2:M3)+1,0),"")</f>
        <v>0</v>
      </c>
      <c r="N4" s="48" t="str">
        <f t="shared" ref="N4:N67" ca="1" si="27">IFERROR(IF(MID($A4,3,3)=".00",MID(A4,1,2),""),"")</f>
        <v/>
      </c>
      <c r="O4" s="48" t="str">
        <f ca="1">IF(IFERROR(INDEX($N$3:$O$400,MATCH(ROWS($O$3:O4),$M$3:$M$400,0),1),"")&lt;&gt;"",CONCATENATE(INDEX($N$3:$O$400,MATCH(ROWS($O$3:O4),$M$3:$M$400,0),1),".00"),"")</f>
        <v>01.00</v>
      </c>
      <c r="P4" s="48" t="str">
        <f t="shared" ref="P4:P50" ca="1" si="28">IFERROR(INDEX($A$3:$B$400,MATCH(O4,$A$3:$A$400,0),2),"")</f>
        <v>IMMOBILIZZAZIONI IMMATERIALI</v>
      </c>
      <c r="Q4" s="48">
        <f ca="1">IF(M4&gt;=1,0,MAX($Q$2:Q3)+1)</f>
        <v>1</v>
      </c>
      <c r="R4" s="93">
        <f ca="1">IF(AND($U$2=1,S4&lt;&gt;""),MAX($R$2:R3)+1,0)</f>
        <v>0</v>
      </c>
      <c r="S4" s="48" t="s">
        <v>9</v>
      </c>
      <c r="T4" s="48" t="str">
        <f ca="1">IFERROR(INDEX($R$3:$S$64,MATCH(ROWS($T$2:T3),$R$3:$R$64,0),2),"")</f>
        <v>CREDITI V/SOCI</v>
      </c>
      <c r="U4" s="48" t="str">
        <f ca="1">IFERROR(INDEX(PDC,MATCH(ROWS(U$3:U4),$V$3:$V$400,0),2),"")</f>
        <v>AZIONISTI C/VERSAMENTI RICHIAMATI</v>
      </c>
      <c r="V4" s="48">
        <f ca="1">IF(AND($T$1="VISUALIZZA TUTTI I CONTI",AA4&lt;&gt;""),MAX($V$2:V3)+1,IF(AND($U$2=2,AI4=$T$1),MAX($V$2:V3)+1,IF(AND($U$2=1,$T$1=AF4),MAX($V$2:V3)+1,0)))</f>
        <v>2</v>
      </c>
      <c r="AA4" s="48" t="str">
        <f t="shared" ref="AA4:AA67" ca="1" si="29">IF(AC4&lt;&gt;"",CONCATENATE(MID(AB4,1,2),".00"),"")</f>
        <v>00.00</v>
      </c>
      <c r="AB4" s="48" t="str">
        <f ca="1">IFERROR(INDEX($A$3:$G$400,MATCH(ROWS(AB$3:AB4),$Q$3:$Q$400,0),1),"")</f>
        <v>00.02</v>
      </c>
      <c r="AC4" s="48" t="str">
        <f ca="1">IFERROR(INDEX($A$3:$G$400,MATCH(ROWS($AC$3:AC4),$Q$3:$Q$400,0),2),"")</f>
        <v>AZIONISTI C/VERSAMENTI RICHIAMATI</v>
      </c>
      <c r="AD4" s="48" t="str">
        <f ca="1">IFERROR(INDEX($A$3:$G$400,MATCH(ROWS(AD$3:AD4),$Q$3:$Q$400,0),3),"")</f>
        <v>F</v>
      </c>
      <c r="AE4" s="48" t="str">
        <f ca="1">IFERROR(INDEX($A$3:$G$400,MATCH(ROWS(AE$3:AE4),$Q$3:$Q$400,0),4),"")</f>
        <v>D</v>
      </c>
      <c r="AF4" s="48" t="str">
        <f ca="1">IFERROR(INDEX($A$3:$G$400,MATCH(ROWS(AF$3:AF4),$Q$3:$Q$400,0),5),"")</f>
        <v>CREDITI</v>
      </c>
      <c r="AG4" s="48" t="str">
        <f ca="1">IFERROR(INDEX($A$3:$G$400,MATCH(ROWS(AG$3:AG4),$Q$3:$Q$400,0),6),"")</f>
        <v>SP DARE</v>
      </c>
      <c r="AH4" s="48" t="str">
        <f ca="1">IFERROR(INDEX($A$3:$G$400,MATCH(ROWS(AH$3:AH4),$Q$3:$Q$400,0),7),"")</f>
        <v>SP</v>
      </c>
      <c r="AI4" s="48" t="str">
        <f t="shared" ca="1" si="1"/>
        <v>CREDITI V/SOCI</v>
      </c>
      <c r="AJ4" s="48" t="str">
        <f ca="1">IFERROR(INDEX($A$3:$H$400,MATCH(ROWS(AJ$3:AJ4),$Q$3:$Q$400,0),8),"")</f>
        <v>paa</v>
      </c>
      <c r="AK4" s="48">
        <f t="shared" ca="1" si="2"/>
        <v>0</v>
      </c>
      <c r="AL4" s="48">
        <f t="shared" ca="1" si="3"/>
        <v>0</v>
      </c>
      <c r="AM4" s="48">
        <f t="shared" ref="AM4:AM67" ca="1" si="30">IF(AL4=0,0,INDIRECT(ADDRESS(ROW()+6,COLUMN()-34,,,"VALORI_INIZIALI")))</f>
        <v>0</v>
      </c>
      <c r="AN4" s="48" t="str">
        <f t="shared" ref="AN4:AN67" ca="1" si="31">IF(AND(CONCATENATE(INDIRECT(ADDRESS(ROW()+6,6,,,"VALORI_INIZIALI")),INDIRECT(ADDRESS(ROW()+6,7,,,"VALORI_INIZIALI")))="",AM4&lt;&gt;0),"manca la descrizione dell'operazione",CONCATENATE(INDIRECT(ADDRESS(ROW()+6,6,,,"VALORI_INIZIALI")),INDIRECT(ADDRESS(ROW()+6,7,,,"VALORI_INIZIALI"))))</f>
        <v/>
      </c>
      <c r="AO4" s="48">
        <f t="shared" ref="AO4:AP67" ca="1" si="32">IFERROR(ROUND(INDIRECT(ADDRESS(ROW()+6,COLUMN()-33,,,"VALORI_INIZIALI")),2),0)</f>
        <v>0</v>
      </c>
      <c r="AP4" s="48">
        <f t="shared" ca="1" si="32"/>
        <v>0</v>
      </c>
      <c r="AQ4" s="48" t="str">
        <f t="shared" ca="1" si="4"/>
        <v>AZIONISTI C/VERSAMENTI RICHIAMATI</v>
      </c>
      <c r="AR4" s="48">
        <f t="shared" ca="1" si="5"/>
        <v>0</v>
      </c>
      <c r="AS4" s="48">
        <f t="shared" ca="1" si="6"/>
        <v>0</v>
      </c>
      <c r="AT4" s="48">
        <f t="shared" ref="AT4:AT67" ca="1" si="33">IF(AND(AQ4&lt;&gt;"",$AR4&gt;$AS4,OR($AR4&gt;0,$AS4&gt;0)),$AR4-$AS4,0)</f>
        <v>0</v>
      </c>
      <c r="AU4" s="48">
        <f t="shared" ref="AU4:AU67" ca="1" si="34">IF(AND(AQ4&lt;&gt;"",$AR4&lt;$AS4,OR($AR4&gt;0,$AS4&gt;0)),$AS4-$AR4,0)</f>
        <v>0</v>
      </c>
      <c r="AV4" s="48">
        <f ca="1">IF(OR(AT4&gt;0,AU4&gt;0),MAX($AV$2:AV3)+1,0)</f>
        <v>0</v>
      </c>
      <c r="AW4" s="48">
        <f ca="1">SUM(BILANCIO!A11,MAX(COPIA!CD191:CD247),CE2)+8</f>
        <v>12</v>
      </c>
      <c r="AZ4" s="241" t="str">
        <f t="shared" ref="AZ4:AZ67" ca="1" si="35">IF(BA4=0,"",CONCATENATE(ROW()-2," A."))</f>
        <v/>
      </c>
      <c r="BA4" s="48">
        <f t="shared" ca="1" si="7"/>
        <v>0</v>
      </c>
      <c r="BB4" s="48">
        <f ca="1">IFERROR(INDEX($AQ$3:$AV$220,MATCH(ROWS($BB$3:BB4),$AV$3:$AV$220,0),1),0)</f>
        <v>0</v>
      </c>
      <c r="BC4" s="48" t="str">
        <f t="shared" ref="BC4:BC67" ca="1" si="36">IF(BB4&lt;&gt;0,"apertura del conto","")</f>
        <v/>
      </c>
      <c r="BD4" s="48">
        <f ca="1">IFERROR(INDEX($AQ$3:$AV$220,MATCH(ROWS($BB$3:BD4),$AV$3:$AV$220,0),4),0)</f>
        <v>0</v>
      </c>
      <c r="BE4" s="48">
        <f ca="1">IFERROR(INDEX($AQ$3:$AV$220,MATCH(ROWS($BB$3:BE4),$AV$3:$AV$220,0),5),0)</f>
        <v>0</v>
      </c>
      <c r="BG4" s="48">
        <f ca="1">IF(IF(AND(OR(INDEX(PDC,MATCH($AC4,DEN_PDC,0),6)="SP DARE",INDEX(PDC,MATCH($AC4,DEN_PDC,0),6)="SP DARE/AVERE"),SUMIFS(DARE,DEN_G,$AC4)&gt;=SUMIFS(AVERE,DEN_G,$AC4)),SUMIFS(DARE,DEN_G,$AC4)-SUMIFS(AVERE,DEN_G,$AC4),0)&gt;0,MAX($BG$2:BG3)+1,0)</f>
        <v>0</v>
      </c>
      <c r="BH4" s="48">
        <f ca="1">IF(IF(AND(OR(INDEX(PDC,MATCH($AC4,DEN_PDC,0),6)="SP AVERE",INDEX(PDC,MATCH($AC4,DEN_PDC,0),6)="SP DARE/AVERE"),SUMIFS(AVERE,DEN_G,$AC4)&gt;=SUMIFS(DARE,DEN_G,$AC4)),SUMIFS(AVERE,DEN_G,$AC4)-SUMIFS(DARE,DEN_G,$AC4),0)&gt;0,MAX(BH$2:BH3)+1,0)</f>
        <v>0</v>
      </c>
      <c r="BI4" s="48">
        <f ca="1">IF(IF(AND(OR(INDEX(PDC,MATCH($AC4,DEN_PDC,0),6)="SE DARE",INDEX(PDC,MATCH($AC4,DEN_PDC,0),6)="SE DARE/AVERE"),SUMIFS(DARE,DEN_G,$AC4)&gt;=SUMIFS(AVERE,DEN_G,$AC4)),SUMIFS(DARE,DEN_G,$AC4)-SUMIFS(AVERE,DEN_G,$AC4),0)&gt;0,MAX(BI$2:BI3)+1,0)</f>
        <v>0</v>
      </c>
      <c r="BJ4" s="48">
        <f ca="1">IF(IF(AND(OR(INDEX(PDC,MATCH($AC4,DEN_PDC,0),6)="SE AVERE",INDEX(PDC,MATCH($AC4,DEN_PDC,0),6)="SE DARE/AVERE"),SUMIFS(AVERE,DEN_G,$AC4)&gt;=SUMIFS(DARE,DEN_G,$AC4)),SUMIFS(AVERE,DEN_G,$AC4)-SUMIFS(DARE,DEN_G,$AC4),0)&gt;0,MAX(BJ$2:BJ3)+1,0)</f>
        <v>0</v>
      </c>
      <c r="BK4" s="48" t="str">
        <f ca="1">IF(AND(AND($DY$2=0,$DY$1=0),$I$1=2,ROW()&gt;$BG$1+2,ROW()&lt;=$BG$1+4),"………………..",IF(AND(OR($DY$2&gt;0,$DY$1&gt;0),$I$1=2,ROW()&gt;$BG$1+2,ROW()&lt;=$BG$1+4),"………………..",IFERROR(INDEX($AC$3:$AC$398,MATCH(ROWS(BK$3:BK4),BG$3:BG$398,0),1),"")))</f>
        <v/>
      </c>
      <c r="BL4" s="48">
        <f t="shared" ca="1" si="8"/>
        <v>0</v>
      </c>
      <c r="BM4" s="48" t="str">
        <f ca="1">IF(AND(OR($DY$2=0,$DY$1=0),$I$1=2,ROW()&gt;$BH$1+2,ROW()&lt;=$BH$1+4),"………………..",IF(AND(OR($DY$2&gt;0,$DY$1&gt;0),$I$1=2,ROW()&gt;$BH$1+2,ROW()&lt;=$BH$1+4),"………………..",IFERROR(INDEX($AC$3:$AC$400,MATCH(ROWS(BM$3:BM4),BH$3:BH$400,0),1),"")))</f>
        <v/>
      </c>
      <c r="BN4" s="48">
        <f t="shared" ca="1" si="9"/>
        <v>0</v>
      </c>
      <c r="BO4" s="48" t="str">
        <f ca="1">IF(AND(OR($DY$2=0,$DY$1=0),$I$1=2,ROW()&gt;$BI$1+2,ROW()&lt;=$BI$1+4),"………………..",IF(AND(OR($DY$2&gt;0,$DY$1&gt;0),$I$1=2,ROW()&gt;$BI$1+2,ROW()&lt;=$BI$1+4),"………………..",IFERROR(INDEX($AC$3:$AC$400,MATCH(ROWS(BO$3:BO4),BI$3:BI$400,0),1),"")))</f>
        <v/>
      </c>
      <c r="BP4" s="48">
        <f t="shared" ca="1" si="10"/>
        <v>0</v>
      </c>
      <c r="BQ4" s="48" t="str">
        <f ca="1">IF(AND(OR($DY$2=0,$DY$1=0),$I$1=2,ROW()&gt;$BJ$1+2,ROW()&lt;=$BJ$1+4),"………………..",IF(AND(OR($DY$2&gt;0,$DY$1&gt;0),$I$1=2,ROW()&gt;$BJ$1+2,ROW()&lt;=$BJ$1+4),"………………..",IFERROR(INDEX($AC$3:$AC$400,MATCH(ROWS(BQ$3:BQ4),BJ$3:BJ$400,0),1),"")))</f>
        <v/>
      </c>
      <c r="BR4" s="48">
        <f t="shared" ca="1" si="11"/>
        <v>0</v>
      </c>
      <c r="BS4" s="48">
        <f ca="1">IF(IF(AND(OR(INDEX(PDC,MATCH($AC4,DEN_PDC,0),4)="D",INDEX(PDC,MATCH($AC4,DEN_PDC,0),4)="D/A"),SUMIFS(DARE,DEN_G,$AC4)&gt;=SUMIFS(AVERE,DEN_G,$AC4)),SUMIFS(DARE,DEN_G,$AC4),IF(AND(OR(INDEX(PDC,MATCH($AC4,DEN_PDC,0),4)="A",INDEX(PDC,MATCH($AC4,DEN_PDC,0),4)="D/A"),SUMIFS(AVERE,DEN_G,$AC4)&gt;=SUMIFS(DARE,DEN_G,$AC4)),SUMIFS(AVERE,DEN_G,$AC4),))&gt;0,MAX($BS$2:BS3)+1,0)</f>
        <v>0</v>
      </c>
      <c r="BT4" s="48" t="str">
        <f ca="1">IF($CO$1=0,"",IF(AND($I$1=2,ROW()&gt;$BR$1,ROW()&lt;=$BS$1)," …………….",IF(AND($E$1=1,$BX$1=1,$I$1=2,ROW()=$BQ$1),"TOTALI",IFERROR(INDEX(PDC,MATCH(ROWS(BT$3:BT4),BS$3:BS401,0),2),""))))</f>
        <v/>
      </c>
      <c r="BU4" s="48">
        <f t="shared" ca="1" si="12"/>
        <v>0</v>
      </c>
      <c r="BV4" s="48">
        <f t="shared" ca="1" si="13"/>
        <v>0</v>
      </c>
      <c r="BW4" s="48">
        <f t="shared" ca="1" si="14"/>
        <v>0</v>
      </c>
      <c r="BX4" s="48">
        <f t="shared" ca="1" si="15"/>
        <v>0</v>
      </c>
      <c r="BY4" s="48">
        <f ca="1">IF(OR(BW4&gt;0,BX4&gt;0),MAX($BY$2:BY3)+1,0)</f>
        <v>0</v>
      </c>
      <c r="BZ4" s="48" t="str">
        <f ca="1">IFERROR(INDEX($BT$3:$BY$400,MATCH(ROWS(BZ$3:BZ4),$BY$3:$BY$400,0),1),"")</f>
        <v/>
      </c>
      <c r="CA4" s="48" t="str">
        <f ca="1">IFERROR(INDEX($BT$3:$BY$400,MATCH(ROWS(CA$3:CA4),$BY$3:$BY$400,0),4),"")</f>
        <v/>
      </c>
      <c r="CB4" s="48" t="str">
        <f ca="1">IFERROR(INDEX($BT$3:$BY$400,MATCH(ROWS(CB$3:CB4),$BY$3:$BY$400,0),5),"")</f>
        <v/>
      </c>
      <c r="CC4" s="48" t="str">
        <f t="shared" ca="1" si="16"/>
        <v/>
      </c>
      <c r="CD4" s="48">
        <f ca="1">IF(AND($BF$9=1,CE4&lt;&gt;0),MAX($CD$2:CD3)+1,0)</f>
        <v>0</v>
      </c>
      <c r="CE4" s="48">
        <f ca="1">CI4</f>
        <v>0</v>
      </c>
      <c r="CF4" s="48" t="s">
        <v>683</v>
      </c>
      <c r="CG4" s="242" t="s">
        <v>765</v>
      </c>
      <c r="CH4" s="242"/>
      <c r="CI4" s="242">
        <f ca="1">IF($A$1=1,0,IF(AND($DJ$1=TRUE,$BF$9=2),0,IF(SUMIFS(DARE,CODICE_BILANCIO,"="&amp;"00.02")&gt;=SUMIFS(AVERE,CODICE_BILANCIO,"="&amp;"00.02"),SUMIFS(DARE,CODICE_BILANCIO,"="&amp;"00.02")-SUMIFS(AVERE,CODICE_BILANCIO,"="&amp;"00.02"),0)))</f>
        <v>0</v>
      </c>
      <c r="CJ4" s="242"/>
      <c r="CL4" s="242"/>
      <c r="CM4" s="242" t="str">
        <f t="shared" ref="CM4:CM67" ca="1" si="37">IF($CO$1=0,"",IF(AND($E$1=1,$I$1=2,OR($BU$1=1,$BU$1=3)),"",IF(AND($E$1=1,$I$1=2,$BW$1=1,ROW()=$BS$1+1,OR($BU$1=1,$BU$1=3,$CL$1=1)),"TOTALI",IF(AND($F$1=1,$BA$1&gt;0,$I$1=1,ROW()=$BT$1+3,$CL$1=1,$BD$1=1,$EL$2=0),"TOTALI",""))))</f>
        <v/>
      </c>
      <c r="CN4" s="243">
        <f t="shared" ref="CN4:CN67" ca="1" si="38">IF(CM4="TOTALI",$BU$401,0)</f>
        <v>0</v>
      </c>
      <c r="CO4" s="48" t="str">
        <f t="shared" ref="CO4:CO67" ca="1" si="39">IF($CO$1=0,"",CONCATENATE(BT4,CM4))</f>
        <v/>
      </c>
      <c r="CQ4" s="48" t="str">
        <f ca="1">IFERROR(IF(AND($CO$1=1,$I$1=1,$BA$1=0),"Verifica che il conto CAPITALE SOCIALE sia aperto.",IF(AND($CO$1=1,COPIA!W2&lt;&gt;0),"Il conto CONTO DI RISULTATO ECONOMICO non può essere movimentato nel Foglio Valori iniziali.","")),"")</f>
        <v/>
      </c>
      <c r="CR4" s="242">
        <f ca="1">IF(CQ4="",0,MAX($CR$2:CR3)+1)</f>
        <v>0</v>
      </c>
      <c r="CS4" s="48" t="str">
        <f ca="1">IF($CO$1=0,"",IFERROR(INDEX($CQ$3:$CR$13,MATCH(ROWS($CS$4:CS4),$CR$3:$CR$13,0),1),""))</f>
        <v/>
      </c>
      <c r="CT4" s="242"/>
      <c r="CU4" s="48">
        <f ca="1">IF(SUMIFS(AVERE,DEN_G,AC4,AVERE,"&gt;"&amp;0)+SUMIFS(DARE,DEN_G,AC4,DARE,"&gt;"&amp;0)&gt;0,MAX($CU$2:CU3)+1,0)</f>
        <v>0</v>
      </c>
      <c r="CV4" s="48" t="str">
        <f ca="1">IF(IFERROR(INDEX(PDC,MATCH(ROWS($CV$3:CV4),$CU$3:$CU$400,0),2),"")="CONTO DI RISULTATO ECONOMICO","",IFERROR(INDEX(PDC,MATCH(ROWS($CV$3:CV4),$CU$3:$CU$400,0),2),""))</f>
        <v/>
      </c>
      <c r="CW4" s="48">
        <f ca="1">IFERROR(IF(CV4&lt;&gt;"",MAX($CW$2:CW3)+1,0),0)</f>
        <v>0</v>
      </c>
      <c r="CX4" s="48">
        <f t="shared" ca="1" si="17"/>
        <v>1</v>
      </c>
      <c r="CY4" s="48" t="str">
        <f t="shared" ca="1" si="18"/>
        <v>MASTRO</v>
      </c>
      <c r="DA4" s="48" t="str">
        <f ca="1">IF(DB3="","","Num. riga")</f>
        <v/>
      </c>
      <c r="DB4" s="48" t="str">
        <f ca="1">IF(DB3="","","Data")</f>
        <v/>
      </c>
      <c r="DC4" s="48" t="str">
        <f ca="1">IF(DB3="","","Operazioni")</f>
        <v/>
      </c>
      <c r="DD4" s="48" t="str">
        <f ca="1">IF(DB3="","","Dare        ")</f>
        <v/>
      </c>
      <c r="DE4" s="48" t="str">
        <f ca="1">IF(DB3="","","Avere        ")</f>
        <v/>
      </c>
      <c r="DF4" s="48">
        <f ca="1">IF(AND(CX4=$DF$1,CX4&lt;&gt;""),0,IF(AND(DB4&lt;&gt;"",OR(DB3&lt;&gt;"",DB5&lt;&gt;"")),MAX($DF$2:DF3)+1,0))</f>
        <v>0</v>
      </c>
      <c r="DH4" s="244" t="s">
        <v>324</v>
      </c>
      <c r="DI4" s="48" t="str">
        <f ca="1">IF($DL$1=TRUE,"SOCI C/SOTTOSCRIZIONE","AZIONISTI C/SOTTOSCRIZIONE")</f>
        <v>AZIONISTI C/SOTTOSCRIZIONE</v>
      </c>
      <c r="DJ4" s="48" t="s">
        <v>312</v>
      </c>
      <c r="DK4" s="48" t="s">
        <v>275</v>
      </c>
      <c r="DL4" s="48" t="s">
        <v>6</v>
      </c>
      <c r="DM4" s="48" t="s">
        <v>270</v>
      </c>
      <c r="DN4" s="48">
        <f ca="1">IF(DI4&lt;&gt;"",MAX($DN$2:DN3)+1,0)</f>
        <v>2</v>
      </c>
      <c r="DO4" s="48" t="str">
        <f ca="1">IF($BF$9=1,"paa",IF(AND($BF$9=2,$DJ$1=FALSE),"paa","pac2"))</f>
        <v>paa</v>
      </c>
      <c r="DQ4" s="227" t="s">
        <v>324</v>
      </c>
      <c r="DR4" s="48" t="str">
        <f ca="1">IF($DR$1=0,"SOCIO … C/CONFERIMENTI","")</f>
        <v>SOCIO … C/CONFERIMENTI</v>
      </c>
      <c r="DS4" s="48" t="s">
        <v>312</v>
      </c>
      <c r="DT4" s="48" t="s">
        <v>275</v>
      </c>
      <c r="DU4" s="48" t="s">
        <v>6</v>
      </c>
      <c r="DV4" s="48" t="s">
        <v>270</v>
      </c>
      <c r="DW4" s="48">
        <f ca="1">IF(DR4&lt;&gt;"",MAX($DW$2:DW3)+1,0)</f>
        <v>2</v>
      </c>
      <c r="DX4" s="48" t="str">
        <f ca="1">IF($BF$9=1,"paa",IF(AND($BF$9=2,$DJ$1=FALSE),"paa","pac2"))</f>
        <v>paa</v>
      </c>
      <c r="DY4" s="48" t="str">
        <f t="shared" ca="1" si="19"/>
        <v/>
      </c>
      <c r="DZ4" s="48" t="str">
        <f t="shared" ref="DZ4:DZ67" ca="1" si="40">IF(OR($ES$1&gt;0,$DW$1=0,$BX$1=0,$AY$1&lt;&gt;0),"",IF(AND($F$1=1,$BI$1&gt;=$BJ$1,$BP$2&gt;$BR$2,ROW()=$BI$1+3),"TOTALE RICAVI",IF(AND($F$1=1,$BI$1&gt;=$BJ$1,$BP$2&gt;$BR$2,ROW()=$BI$1+4),"SALDO ECONOMICO NEGATIVO",IF(AND($F$1=1,$BI$1&gt;=$BJ$1,$BP$2&gt;$BR$2,ROW()=$BI$1+5),"TOTALE A PAREGGIO",IF(AND($F$1=1,$BI$1&lt;=$BJ$1,$BP$2&gt;$BR$2,ROW()=$BJ$1+3),"TOTALE RICAVI",IF(AND($F$1=1,$BI$1&lt;=$BJ$1,$BP$2&gt;$BR$2,ROW()=$BJ$1+4),"SALDO ECONOMICO NEGATIVO",IF(AND($F$1=1,$BI$1&lt;=$BJ$1,$BP$2&gt;$BR$2,ROW()=$BJ$1+5),"TOTALE A PAREGGIO",IF(AND($F$1=1,$BI$1&gt;=$BJ$1,$BP$2&lt;$BR$2,ROW()=$BI$1+5),"TOTALE RICAVI",IF(AND($F$1=1,$BI$1&lt;=$BJ$1,$BP$2&lt;$BR$2,ROW()=$BJ$1+5),"TOTALE RICAVI",IF(AND($BP$2&lt;&gt;0,$F$1=1,$BI$1&gt;$BJ$1,$BP$2=$BR$2,ROW()=$BI$1+3),"TOTALE RICAVI",IF(AND($BP$2&lt;&gt;0,$F$1=1,$BI$1&lt;$BJ$1,$BP$2=$BR$2,ROW()=$BJ$1+3),"TOTALE RICAVI",IF(AND($BP$2&lt;&gt;0,$F$1=1,$BI$1=$BJ$1,$BP$2=$BR$2,ROW()=$BI$1+3),"TOTALE RICAVI",IF(AND($I$1=2,$E$1=1,$BI$1&gt;=$BJ$1,$DY$1&gt;0,ROW()=$BI$1+5),"TOTALE RICAVI",IF(AND($I$1=2,$E$1=1,$BI$1&lt;=$BJ$1,$DY$1&gt;0,ROW()=$BJ$1+5),"TOTALE RICAVI",IF(AND($I$1=2,$E$1=1,$BI$1&gt;=$BJ$1,$DY$2&gt;0,ROW()=$BI$1+7),"TOTALE RICAVI",IF(AND($I$1=2,$E$1=1,$BI$1&lt;=$BJ$1,$DY$2&gt;0,ROW()=$BJ$1+7),"TOTALE RICAVI",IF(AND($I$1=2,$E$1=1,$BI$1&lt;=$BJ$1,$DY$1&gt;0,ROW()=$BJ$1+6),"PERDITA D'ESERCIZIO",IF(AND($I$1=2,$E$1=1,$BI$1&gt;=$BJ$1,$DY$1&gt;0,ROW()=$BI$1+6),"PERDITA D'ESERCIZIO",IF(AND($I$1=2,$E$1=1,$BI$1&lt;=$BJ$1,$DY$1&gt;0,ROW()=$BJ$1+7),"TOTALE A PAREGGIO",IF(AND($I$1=2,$E$1=1,$BI$1&gt;=$BJ$1,$DY$1&gt;0,ROW()=$BI$1+7),"TOTALE A PAREGGIO",IF(AND($I$1=2,$E$1=1,$BI$1&gt;=$BJ$1,$DY$2&gt;0,ROW()=$BI$1+7),"TOTALE A PAREGGIO",IF(AND($I$1=2,$E$1=1,$BI$1&gt;=$BJ$1,$DY$2=0,$DY$1=0,ROW()=$BI$1+5),"TOTALE",IF(AND($I$1=2,$E$1=1,$BI$1&lt;=$BJ$1,$DY$2=0,$DY$1=0,ROW()=$BJ$1+5),"TOTALE","")))))))))))))))))))))))</f>
        <v/>
      </c>
      <c r="EA4" s="48" t="str">
        <f t="shared" ref="EA4:EA67" ca="1" si="41">IF($CO$1=0,"",IF(AND($CP$1=TRUE,CONCATENATE(DZ4,BQ4)="SALDO ECONOMICO NEGATIVO"),REPLACE(CONCATENATE(DZ4,BQ4),1,30,"PERDITA D'ESERCIZIO"),CONCATENATE(DZ4,BQ4)))</f>
        <v/>
      </c>
      <c r="EB4" s="48">
        <f t="shared" ref="EB4:EB67" ca="1" si="42">IF(AND($I$1=2,EA4="……………….."),"_ _ _",IF(AND(DZ4="TOTALE",$I$1=2),"_ _ _",IF(AND(DZ4="TOTALE RICAVI",$I$1=2),"_ _ _",IF(AND(DZ4="TOTALE A PAREGGIO",$I$1=2),"_ _ _",IF(AND(DZ4="PERDITA D'ESERCIZIO",$I$1=2),$DY$1,IF(OR(EA4="SALDO ECONOMICO NEGATIVO",EA4="PERDITA D'ESERCIZIO"),$BP$2-$BR$2,IF(DZ4="TOTALE RICAVI",$BR$2,IF(DZ4="TOTALE A PAREGGIO",$BP$2,0))))))))</f>
        <v>0</v>
      </c>
      <c r="EC4" s="48">
        <f t="shared" ref="EC4:EC67" ca="1" si="43">IF(AND($I$1=2,EB4&lt;&gt;0),EB4,SUM(EB4,BR4))</f>
        <v>0</v>
      </c>
      <c r="ED4" s="48" t="str">
        <f t="shared" ref="ED4:ED67" ca="1" si="44">IF(OR($ES$1&gt;0,$DW$1=0,$BX$1=0,$AY$1&lt;&gt;0),"",IF(AND($F$1=1,$BG$1=$BH$1,$BL$2&gt;$BN$2,ROW()=$BG$1+5),"TOTALE",IF(AND($F$1=1,$BG$1=$BH$1,$BL$2=$BN$2,ROW()=$BG$1+3),"TOTALE",IF(AND($F$1=1,$BG$1=$BH$1,$BL$2&lt;$BN$2,ROW()=$BG$1+3),"TOTALE",IF(AND($F$1=1,$BG$1&gt;$BH$1,$BL$2&gt;$BN$2,ROW()=$BG$1+5),"TOTALE",IF(AND($F$1=1,$BG$1&gt;$BH$1,$BL$2=$BN$2,ROW()=$BG$1+3),"TOTALE",IF(AND($F$1=1,$BG$1&gt;$BH$1,$BL$2&lt;$BN$2,ROW()=$BG$1+3),"TOTALE",IF(AND($F$1=1,$BG$1&lt;$BH$1,$BL$2&gt;$BN$2,ROW()=$BH$1+5),"TOTALE",IF(AND($F$1=1,$BG$1&lt;$BH$1,$BL$2&lt;$BN$2,ROW()=$BH$1+3),"TOTALE",IF(AND($F$1=1,$BG$1&lt;$BH$1,$BL$2=$BN$2,ROW()=$BH$1+3),"TOTALE",IF(AND($F$1=1,$BG$1&lt;=$BH$1,$BL$2&lt;$BN$2,ROW()=$BH$1+4),"SALDO ECONOMICO NEGATIVO",IF(AND($F$1=1,$BG$1&gt;$BH$1,$BL$2&lt;$BN$2,ROW()=$BG$1+4),"SALDO ECONOMICO NEGATIVO",IF(AND($F$1=1,$BG$1&lt;$BH$1,$BL$2&lt;$BN$2,ROW()=$BH$1+5),"TOTALE A PAREGGIO",IF(AND($F$1=1,$BG$1&gt;=$BH$1,$BL$2&lt;$BN$2,ROW()=$BG$1+5),"TOTALE A PAREGGIO",IF(AND($I$1=2,$E$1=1,$BG$1&gt;=$BH$1,$DY$1&gt;0,ROW()=$BG$1+7),"TOTALE A PAREGGIO",IF(AND($I$1=2,$E$1=1,$BG$1&gt;=$BH$1,$DY$1&gt;0,ROW()=$BG$1+6),"PERDITA D'ESERCIZIO",IF(AND($I$1=2,$E$1=1,$BG$1&gt;=$BH$1,$DY$1&gt;0,ROW()=$BG$1+5),"TOTALE",IF(AND($I$1=2,$E$1=1,$BG$1&lt;=$BH$1,$DY$1&gt;0,ROW()=$BH$1+7),"TOTALE A PAREGGIO",IF(AND($I$1=2,$E$1=1,$BG$1&lt;=$BH$1,$DY$1&gt;0,ROW()=$BH$1+6),"PERDITA D'ESERCIZIO",IF(AND($I$1=2,$E$1=1,$BG$1&lt;=$BH$1,$DY$1&gt;0,ROW()=$BH$1+5),"TOTALE",IF(AND($I$1=2,$E$1=1,$BG$1&lt;=$BH$1,$DY$2&gt;0,ROW()=$BH$1+7),"TOTALE",IF(AND($I$1=2,$E$1=1,$BG$1&gt;=$BH$1,$DY$2&gt;0,ROW()=$BG$1+7),"TOTALE",IF(AND($I$1=2,$E$1=1,$BG$1&gt;=$BH$1,$DY$2=0,$DY$1=0,ROW()=$BG$1+5),"TOTALE",IF(AND($I$1=2,$E$1=1,$BG$1&lt;=$BH$1,$DY$2=0,$DY$1=0,ROW()=$BH$1+5),"TOTALE",""))))))))))))))))))))))))</f>
        <v/>
      </c>
      <c r="EE4" s="48">
        <f t="shared" ref="EE4:EE67" ca="1" si="45">IF(AND($I$1=2,EF4="……………….."),"_ _ _",IF(AND($I$1=2,ED4="TOTALE"),"_ _ _",IF(AND($I$1=2,ED4="TOTALE A PAREGGIO"),"_ _ _",IF(AND($I$1=2,ED4="PERDITA D'ESERCIZIO"),$DY$1,IF(ED4="totale",$BL$2,IF(ED4="SALDO ECONOMICO NEGATIVO",$BP$2-$BR$2,IF(ED4="TOTALE A PAREGGIO",$BN$2,0)))))))</f>
        <v>0</v>
      </c>
      <c r="EF4" s="48" t="str">
        <f t="shared" ref="EF4:EF67" ca="1" si="46">IF($CO$1=0,"",CONCATENATE(ED4,BK4))</f>
        <v/>
      </c>
      <c r="EG4" s="48">
        <f t="shared" ref="EG4:EG67" ca="1" si="47">IF(AND($I$1=2,EE4&lt;&gt;0),EE4,SUM(BL4,EE4))</f>
        <v>0</v>
      </c>
      <c r="EH4" s="48" t="str">
        <f t="shared" ref="EH4:EH67" ca="1" si="48">IF(OR($ES$1&gt;0,$DW$1=0,$BX$1=0,$AY$1&lt;&gt;0),"",IF(AND($F$1=1,$BG$1=$BH$1,$BL$2&gt;$BN$2,ROW()=$BG$1+3),"TOTALE",IF(AND($F$1=1,$BG$1=$BH$1,$BL$2=$BN$2,ROW()=$BG$1+3),"TOTALE",IF(AND($F$1=1,$BG$1=$BH$1,$BL$2&lt;$BN$2,ROW()=$BG$1+5),"TOTALE",IF(AND($F$1=1,$BG$1&gt;$BH$1,$BL$2&gt;$BN$2,ROW()=$BG$1+3),"TOTALE",IF(AND($F$1=1,$BG$1&gt;$BH$1,$BL$2=$BN$2,ROW()=$BG$1+3),"TOTALE",IF(AND($F$1=1,$BG$1&gt;$BH$1,$BL$2&lt;$BN$2,ROW()=$BG$1+5),"TOTALE",IF(AND($F$1=1,$BG$1&lt;$BH$1,$BL$2&gt;$BN$2,ROW()=$BH$1+3),"TOTALE",IF(AND($F$1=1,$BG$1&lt;$BH$1,$BL$2&lt;$BN$2,ROW()=$BH$1+5),"TOTALE",IF(AND($F$1=1,$BG$1&lt;$BH$1,$BL$2=$BN$2,ROW()=$BH$1+3),"TOTALE",IF(AND($F$1=1,$BG$1&lt;=$BH$1,$BL$2&gt;$BN$2,ROW()=$BH$1+4),"SALDO ECONOMICO POSITIVO",IF(AND($F$1=1,$BG$1&gt;$BH$1,$BL$2&gt;$BN$2,ROW()=$BG$1+4),"SALDO ECONOMICO POSITIVO",IF(AND($F$1=1,$BG$1&lt;$BH$1,$BL$2&gt;$BN$2,ROW()=$BH$1+5),"TOTALE A PAREGGIO",IF(AND($F$1=1,$BG$1&gt;=$BH$1,$BL$2&gt;$BN$2,ROW()=$BG$1+5),"TOTALE A PAREGGIO",IF(AND($I$1=2,$E$1=1,$BG$1&gt;=$BH$1,$DY$2&gt;0,ROW()=$BG$1+7),"TOTALE A PAREGGIO",IF(AND($I$1=2,$E$1=1,$BG$1&gt;=$BH$1,$DY$2&gt;0,ROW()=$BG$1+6),"UTILE D'ESERCIZIO",IF(AND($I$1=2,$E$1=1,$BG$1&gt;=$BH$1,$DY$2&gt;0,ROW()=$BG$1+5),"TOTALE",IF(AND($I$1=2,$E$1=1,$BG$1&lt;=$BH$1,$DY$2&gt;0,ROW()=$BH$1+7),"TOTALE A PAREGGIO",IF(AND($I$1=2,$E$1=1,$BG$1&lt;=$BH$1,$DY$2&gt;0,ROW()=$BH$1+6),"UTILE D'ESERCIZIO",IF(AND($I$1=2,$E$1=1,$BG$1&lt;=$BH$1,$DY$2&gt;0,ROW()=$BH$1+5),"TOTALE",IF(AND($I$1=2,$E$1=1,$BG$1&lt;=$BH$1,$DY$1&gt;0,ROW()=$BH$1+7),"TOTALE",IF(AND($I$1=2,$E$1=1,$BG$1&gt;=$BH$1,$DY$1&gt;0,ROW()=$BG$1+7),"TOTALE",IF(AND($I$1=2,$E$1=1,$BG$1&gt;=$BH$1,$DY$2=0,$DY$1=0,ROW()=$BG$1+5),"TOTALE",IF(AND($I$1=2,$E$1=1,$BG$1&lt;=$BH$1,$DY$2=0,$DY$1=0,ROW()=$BH$1+5),"TOTALE",""))))))))))))))))))))))))</f>
        <v/>
      </c>
      <c r="EI4" s="48">
        <f t="shared" ref="EI4:EI67" ca="1" si="49">IF(AND($I$1=2,EJ4="……………….."),"_ _ _",IF(AND($I$1=2,EH4="TOTALE"),"_ _ _",IF(AND($I$1=2,EH4="TOTALE A PAREGGIO"),"_ _ _",IF(AND($I$1=2,EH4="UTILE D'ESERCIZIO"),$DY$2,IF(EH4="totale",$BN$2,IF(EH4="SALDO ECONOMICO POSITIVO",$BR$2-$BP$2,IF(EH4="TOTALE A PAREGGIO",$BL$2,0)))))))</f>
        <v>0</v>
      </c>
      <c r="EJ4" s="48" t="str">
        <f t="shared" ref="EJ4:EJ67" ca="1" si="50">IF($CO$1=0,"",CONCATENATE(EH4,BM4))</f>
        <v/>
      </c>
      <c r="EK4" s="48">
        <f t="shared" ref="EK4:EK67" ca="1" si="51">IF(AND($I$1=2,EI4&lt;&gt;0),EI4,SUM(EI4,BN4))</f>
        <v>0</v>
      </c>
      <c r="EL4" s="48">
        <f t="shared" ca="1" si="20"/>
        <v>0</v>
      </c>
      <c r="EM4" s="48">
        <f ca="1">IF(EL4&gt;=0,0,MAX($EM$2:EM3)+1)</f>
        <v>0</v>
      </c>
      <c r="EN4" s="48" t="str">
        <f t="shared" ca="1" si="21"/>
        <v/>
      </c>
      <c r="EO4" s="48" t="str">
        <f ca="1">IFERROR(INDEX($EM$3:$EN$400,MATCH(ROWS($EO$3:EO4),$EM$3:$EM$400,0),2),"")</f>
        <v/>
      </c>
      <c r="EP4" s="48">
        <f>ROW()</f>
        <v>4</v>
      </c>
      <c r="EQ4" s="48">
        <f t="shared" ca="1" si="22"/>
        <v>0</v>
      </c>
      <c r="ER4" s="48">
        <f ca="1">IF(ISNA(EQ4)=TRUE,MAX($ER$2:ER3)+1,0)</f>
        <v>0</v>
      </c>
      <c r="ES4" s="48" t="str">
        <f t="shared" ref="ES4:ES67" ca="1" si="52">IF(ER4&lt;&gt;0,AM4,"")</f>
        <v/>
      </c>
      <c r="ET4" s="48" t="str">
        <f ca="1">IFERROR(INDEX($ER$3:$ES$400,MATCH(ROWS($ET$3:ET4),$ER$3:$ER$400,0),2),"")</f>
        <v/>
      </c>
      <c r="EV4" s="48">
        <f ca="1">IFERROR(INDEX(LIBRO_GIORNALE!$O$11:$P$408,MATCH(ROWS($EV$2:EV3),LIBRO_GIORNALE!$P$11:$P$408,0),1),0)</f>
        <v>0</v>
      </c>
      <c r="EW4" s="48" t="str">
        <f t="shared" ref="EW4:EW67" ca="1" si="53">UPPER(IFERROR(INDEX($AZ$103:$BB$400,MATCH(EV4,$AZ$103:$AZ$400,0),3),0))</f>
        <v>0</v>
      </c>
      <c r="EX4" s="48">
        <f t="shared" ref="EX4:EX67" ca="1" si="54">IF(EXACT(EW4,EW3),0,IF($EV$1=1,IFERROR(MATCH($EW4,$CV$3:$CV$400,0),0),0))</f>
        <v>0</v>
      </c>
      <c r="EY4" s="48">
        <f ca="1">IF(EX4&gt;0,MAX($EY$2:EY3)+1,0)</f>
        <v>0</v>
      </c>
      <c r="EZ4" s="48">
        <f ca="1">IFERROR(INDEX($EX$3:$EX$400,MATCH(ROWS($EZ$3:EZ4),$EY$3:$EY$400,0),1),0)</f>
        <v>0</v>
      </c>
      <c r="FA4" s="48">
        <f ca="1">IF(EZ4&gt;0,0,MAX($FA$2:FA3)+1)</f>
        <v>2</v>
      </c>
      <c r="FB4" s="48">
        <f t="shared" ref="FB4:FB67" ca="1" si="55">IFERROR(IF(FA4&gt;0,MATCH(FA4,$EZ$3:$EZ$400,0),0),0)</f>
        <v>0</v>
      </c>
      <c r="FC4" s="48">
        <f t="shared" ref="FC4:FC67" ca="1" si="56">IF(FB4=0,FA4,0)</f>
        <v>2</v>
      </c>
      <c r="FD4" s="48">
        <f t="shared" ref="FD4:FD67" ca="1" si="57">SUM(EZ4,FC4)</f>
        <v>2</v>
      </c>
      <c r="FE4" s="48">
        <f ca="1">IF(FD4=0,0,MAX($FE$2:FE3)+1)</f>
        <v>2</v>
      </c>
      <c r="FF4" s="48">
        <f ca="1">IFERROR(INDEX($FD$3:$FE$400,MATCH(ROWS($FF$3:FF4),$FE$3:$FE$400,0),1),"")</f>
        <v>2</v>
      </c>
      <c r="FH4" s="48">
        <f t="shared" ref="FH4:FH67" ca="1" si="58">IF(F4="SP DARE/AVERE",B4,0)</f>
        <v>0</v>
      </c>
      <c r="FI4" s="48">
        <f ca="1">IF(FH4&lt;&gt;0,MAX($FI$2:FI3)+1,0)</f>
        <v>0</v>
      </c>
      <c r="FJ4" s="48" t="str">
        <f ca="1">IFERROR(INDEX($FH$3:$FI$400,MATCH(ROWS($FJ$3:FJ4),$FI$3:$FI$400,0),1),"")</f>
        <v>ISTITUTI PREVIDENZIALI</v>
      </c>
      <c r="FK4" s="48">
        <f ca="1">IF(ABS(SUMIFS(DARE,DEN_G,"="&amp;FJ4,DATA,"&lt;="&amp;FINE_AC,DATA,"&gt;="&amp;INIZIO_A_PC)-SUMIFS(AVERE,DEN_G,"="&amp;FJ4,DATA,"&lt;="&amp;FINE_AC,DATA,"&gt;="&amp;INIZIO_A_PC))&gt;0,MAX($FK$2:FK3)+1,0)</f>
        <v>0</v>
      </c>
      <c r="FL4" s="48" t="str">
        <f ca="1">IF(AND(ROW()-2&lt;&gt;1,ROW()-2&lt;=$FK$1),CONCATENATE(" - ",IFERROR(INDEX($FJ$3:$FK$400,MATCH(ROWS($FL$3:FL4),$FK$3:$FK$400,0),1),"")),IFERROR(INDEX($FJ$3:$FK$400,MATCH(ROWS($FL$3:FL4),$FK$3:$FK$400,0),1),""))</f>
        <v/>
      </c>
      <c r="FM4" s="48">
        <f ca="1">IF(OR(B4="IVA ns/credito",B4="IVA NS/DEBITO",B4="IVA C/ACCONTO",B4="IMPOSTE C/ACCONTO",B4="CREDITI PER RITENUTE SUBITE",B4="CREDITI D'IMPOSTA"),MAX($FM$2:FM3)+1,0)</f>
        <v>0</v>
      </c>
      <c r="FN4" s="48" t="str">
        <f t="shared" ref="FN4:FN67" ca="1" si="59">IF(FM4&gt;0,B4,"")</f>
        <v/>
      </c>
      <c r="FO4" s="48" t="str">
        <f ca="1">IFERROR(INDEX($FM$3:$FN$400,MATCH(ROWS($FO$3:FO4),$FM$3:$FM$400,0),2),"")</f>
        <v>IVA C/ACCONTO</v>
      </c>
      <c r="FP4" s="48">
        <f ca="1">IF(ABS(SUMIFS(DARE,DEN_G,"="&amp;FO4,DATA,"&lt;="&amp;FINE_AC,DATA,"&gt;="&amp;INIZIO_A_PC)-SUMIFS(AVERE,DEN_G,"="&amp;FO4,DATA,"&lt;="&amp;FINE_AC,DATA,"&gt;="&amp;INIZIO_A_PC))&gt;0,MAX($FP$2:FP3)+1,0)</f>
        <v>0</v>
      </c>
      <c r="FQ4" s="48" t="str">
        <f ca="1">IF(AND(ROW()-2&lt;&gt;1,ROW()-2&lt;=$FP$1),CONCATENATE(" - ",IFERROR(INDEX($FO$3:$FP$400,MATCH(ROWS($FQ$3:FQ4),$FP$3:$FP$400,0),1),"")),IFERROR(INDEX($FO$3:$FP$400,MATCH(ROWS($FQ$3:FQ4),$FP$3:$FP$400,0),1),""))</f>
        <v/>
      </c>
    </row>
    <row r="5" spans="1:173" x14ac:dyDescent="0.3">
      <c r="A5" s="48" t="str">
        <f ca="1">IFERROR(IF($A$1=2,INDEX($DH$3:$DN$401,MATCH(ROWS(A$3:A5),$DN$3:$DN$401,0),COLUMN()),IF($A$1=1,INDEX($DQ$3:$DW$401,MATCH(ROWS(A$3:A5),$DW$3:$DW$401,0),COLUMN()),"")),"")</f>
        <v>00.02</v>
      </c>
      <c r="B5" s="48" t="str">
        <f ca="1">IFERROR(IF($A$1=2,INDEX($DH$3:$DN$401,MATCH(ROWS(B$3:B5),$DN$3:$DN$401,0),COLUMN()),IF($A$1=1,INDEX($DQ$3:$DW$400,MATCH(ROWS(B$3:B5),$DW$3:$DW$401,0),COLUMN()),"")),"")</f>
        <v>AZIONISTI C/VERSAMENTI RICHIAMATI</v>
      </c>
      <c r="C5" s="48" t="str">
        <f ca="1">IFERROR(IF($A$1=2,INDEX($DH$3:$DN$401,MATCH(ROWS(C$3:C5),$DN$3:$DN$401,0),COLUMN()),IF($A$1=1,INDEX($DQ$3:$DW$401,MATCH(ROWS(C$3:C5),$DW$3:$DW$401,0),COLUMN()),"")),"")</f>
        <v>F</v>
      </c>
      <c r="D5" s="48" t="str">
        <f ca="1">IFERROR(IF($A$1=2,INDEX($DH$3:$DN$401,MATCH(ROWS(D$3:D5),$DN$3:$DN$401,0),COLUMN()),IF($A$1=1,INDEX($DQ$3:$DW$401,MATCH(ROWS(D$3:D5),$DW$3:$DW$401,0),COLUMN()),"")),"")</f>
        <v>D</v>
      </c>
      <c r="E5" s="48" t="str">
        <f ca="1">IFERROR(IF($A$1=2,INDEX($DH$3:$DN$401,MATCH(ROWS(E$3:E5),$DN$3:$DN$401,0),COLUMN()),IF($A$1=1,INDEX($DQ$3:$DW$401,MATCH(ROWS(E$3:E5),$DW$3:$DW$401,0),COLUMN()),"")),"")</f>
        <v>CREDITI</v>
      </c>
      <c r="F5" s="48" t="str">
        <f ca="1">IFERROR(IF($A$1=2,INDEX($DH$3:$DN$401,MATCH(ROWS(F$3:F5),$DN$3:$DN$401,0),COLUMN()),IF($A$1=1,INDEX($DQ$3:$DX$401,MATCH(ROWS(F$3:F5),$DW$3:$DW$401,0),COLUMN()),"")),"")</f>
        <v>SP DARE</v>
      </c>
      <c r="G5" s="48" t="str">
        <f t="shared" ca="1" si="23"/>
        <v>SP</v>
      </c>
      <c r="H5" s="48" t="str">
        <f ca="1">IFERROR(IF($A$1=2,INDEX($DH$3:$DO$400,MATCH(ROWS(H$3:H5),$DN$3:$DN$400,0),COLUMN()),IF($A$1=1,INDEX($DQ$3:$DX$400,MATCH(ROWS(H$3:H5),$DW$3:$DW$400,0),COLUMN()),"")),"")</f>
        <v>paa</v>
      </c>
      <c r="I5" s="48" t="str">
        <f t="shared" ca="1" si="0"/>
        <v/>
      </c>
      <c r="J5" s="48" t="str">
        <f t="shared" ca="1" si="24"/>
        <v/>
      </c>
      <c r="K5" s="48">
        <f t="shared" ca="1" si="25"/>
        <v>0</v>
      </c>
      <c r="L5" s="48">
        <f t="shared" ca="1" si="26"/>
        <v>0</v>
      </c>
      <c r="M5" s="48">
        <f ca="1">IFERROR(IF(IF(MID($A5,3,3)=".00",MID(A5,1,2),"")&lt;&gt;"",MAX($M$2:M4)+1,0),"")</f>
        <v>0</v>
      </c>
      <c r="N5" s="48" t="str">
        <f t="shared" ca="1" si="27"/>
        <v/>
      </c>
      <c r="O5" s="48" t="str">
        <f ca="1">IF(IFERROR(INDEX($N$3:$O$400,MATCH(ROWS($O$3:O5),$M$3:$M$400,0),1),"")&lt;&gt;"",CONCATENATE(INDEX($N$3:$O$400,MATCH(ROWS($O$3:O5),$M$3:$M$400,0),1),".00"),"")</f>
        <v>02.00</v>
      </c>
      <c r="P5" s="48" t="str">
        <f t="shared" ca="1" si="28"/>
        <v>IMMOBILIZZAZIONI MATERIALI</v>
      </c>
      <c r="Q5" s="48">
        <f ca="1">IF(M5&gt;=1,0,MAX($Q$2:Q4)+1)</f>
        <v>2</v>
      </c>
      <c r="R5" s="93">
        <f ca="1">IF(AND($U$2=1,S5&lt;&gt;""),MAX($R$2:R4)+1,0)</f>
        <v>0</v>
      </c>
      <c r="S5" s="48" t="s">
        <v>318</v>
      </c>
      <c r="T5" s="48" t="str">
        <f ca="1">IFERROR(INDEX($R$3:$S$64,MATCH(ROWS($T$2:T4),$R$3:$R$64,0),2),"")</f>
        <v>IMMOBILIZZAZIONI IMMATERIALI</v>
      </c>
      <c r="U5" s="48" t="str">
        <f ca="1">IFERROR(INDEX(PDC,MATCH(ROWS(U$3:U5),$V$3:$V$400,0),2),"")</f>
        <v>AZIONISTI C/REINTEGRO</v>
      </c>
      <c r="V5" s="48">
        <f ca="1">IF(AND($T$1="VISUALIZZA TUTTI I CONTI",AA5&lt;&gt;""),MAX($V$2:V4)+1,IF(AND($U$2=2,AI5=$T$1),MAX($V$2:V4)+1,IF(AND($U$2=1,$T$1=AF5),MAX($V$2:V4)+1,0)))</f>
        <v>3</v>
      </c>
      <c r="W5" s="48">
        <f ca="1">IF(AND(W1=0,X2&lt;&gt;0),1,0)</f>
        <v>0</v>
      </c>
      <c r="AA5" s="48" t="str">
        <f t="shared" ca="1" si="29"/>
        <v>00.00</v>
      </c>
      <c r="AB5" s="48" t="str">
        <f ca="1">IFERROR(INDEX($A$3:$G$400,MATCH(ROWS(AB$3:AB5),$Q$3:$Q$400,0),1),"")</f>
        <v>00.03</v>
      </c>
      <c r="AC5" s="48" t="str">
        <f ca="1">IFERROR(INDEX($A$3:$G$400,MATCH(ROWS($AC$3:AC5),$Q$3:$Q$400,0),2),"")</f>
        <v>AZIONISTI C/REINTEGRO</v>
      </c>
      <c r="AD5" s="48" t="str">
        <f ca="1">IFERROR(INDEX($A$3:$G$400,MATCH(ROWS(AD$3:AD5),$Q$3:$Q$400,0),3),"")</f>
        <v>F</v>
      </c>
      <c r="AE5" s="48" t="str">
        <f ca="1">IFERROR(INDEX($A$3:$G$400,MATCH(ROWS(AE$3:AE5),$Q$3:$Q$400,0),4),"")</f>
        <v>D</v>
      </c>
      <c r="AF5" s="48" t="str">
        <f ca="1">IFERROR(INDEX($A$3:$G$400,MATCH(ROWS(AF$3:AF5),$Q$3:$Q$400,0),5),"")</f>
        <v>CREDITI</v>
      </c>
      <c r="AG5" s="48" t="str">
        <f ca="1">IFERROR(INDEX($A$3:$G$400,MATCH(ROWS(AG$3:AG5),$Q$3:$Q$400,0),6),"")</f>
        <v>SP DARE</v>
      </c>
      <c r="AH5" s="48" t="str">
        <f ca="1">IFERROR(INDEX($A$3:$G$400,MATCH(ROWS(AH$3:AH5),$Q$3:$Q$400,0),7),"")</f>
        <v>SP</v>
      </c>
      <c r="AI5" s="48" t="str">
        <f t="shared" ca="1" si="1"/>
        <v>CREDITI V/SOCI</v>
      </c>
      <c r="AJ5" s="48" t="str">
        <f ca="1">IFERROR(INDEX($A$3:$H$400,MATCH(ROWS(AJ$3:AJ5),$Q$3:$Q$400,0),8),"")</f>
        <v>paa</v>
      </c>
      <c r="AK5" s="48">
        <f t="shared" ca="1" si="2"/>
        <v>0</v>
      </c>
      <c r="AL5" s="48">
        <f t="shared" ca="1" si="3"/>
        <v>0</v>
      </c>
      <c r="AM5" s="48">
        <f t="shared" ca="1" si="30"/>
        <v>0</v>
      </c>
      <c r="AN5" s="48" t="str">
        <f t="shared" ca="1" si="31"/>
        <v/>
      </c>
      <c r="AO5" s="48">
        <f t="shared" ca="1" si="32"/>
        <v>0</v>
      </c>
      <c r="AP5" s="48">
        <f t="shared" ca="1" si="32"/>
        <v>0</v>
      </c>
      <c r="AQ5" s="48" t="str">
        <f t="shared" ca="1" si="4"/>
        <v>AZIONISTI C/REINTEGRO</v>
      </c>
      <c r="AR5" s="48">
        <f t="shared" ca="1" si="5"/>
        <v>0</v>
      </c>
      <c r="AS5" s="48">
        <f t="shared" ca="1" si="6"/>
        <v>0</v>
      </c>
      <c r="AT5" s="48">
        <f t="shared" ca="1" si="33"/>
        <v>0</v>
      </c>
      <c r="AU5" s="48">
        <f t="shared" ca="1" si="34"/>
        <v>0</v>
      </c>
      <c r="AV5" s="48">
        <f ca="1">IF(OR(AT5&gt;0,AU5&gt;0),MAX($AV$2:AV4)+1,0)</f>
        <v>0</v>
      </c>
      <c r="AW5" s="48">
        <f ca="1">MAX('SIT.PATR._SIT.ECON.'!A9:A126)-5</f>
        <v>-5</v>
      </c>
      <c r="AZ5" s="241" t="str">
        <f t="shared" ca="1" si="35"/>
        <v/>
      </c>
      <c r="BA5" s="48">
        <f t="shared" ca="1" si="7"/>
        <v>0</v>
      </c>
      <c r="BB5" s="48">
        <f ca="1">IFERROR(INDEX($AQ$3:$AV$220,MATCH(ROWS($BB$3:BB5),$AV$3:$AV$220,0),1),0)</f>
        <v>0</v>
      </c>
      <c r="BC5" s="48" t="str">
        <f t="shared" ca="1" si="36"/>
        <v/>
      </c>
      <c r="BD5" s="48">
        <f ca="1">IFERROR(INDEX($AQ$3:$AV$220,MATCH(ROWS($BB$3:BD5),$AV$3:$AV$220,0),4),0)</f>
        <v>0</v>
      </c>
      <c r="BE5" s="48">
        <f ca="1">IFERROR(INDEX($AQ$3:$AV$220,MATCH(ROWS($BB$3:BE5),$AV$3:$AV$220,0),5),0)</f>
        <v>0</v>
      </c>
      <c r="BG5" s="48">
        <f ca="1">IF(IF(AND(OR(INDEX(PDC,MATCH($AC5,DEN_PDC,0),6)="SP DARE",INDEX(PDC,MATCH($AC5,DEN_PDC,0),6)="SP DARE/AVERE"),SUMIFS(DARE,DEN_G,$AC5)&gt;=SUMIFS(AVERE,DEN_G,$AC5)),SUMIFS(DARE,DEN_G,$AC5)-SUMIFS(AVERE,DEN_G,$AC5),0)&gt;0,MAX($BG$2:BG4)+1,0)</f>
        <v>0</v>
      </c>
      <c r="BH5" s="48">
        <f ca="1">IF(IF(AND(OR(INDEX(PDC,MATCH($AC5,DEN_PDC,0),6)="SP AVERE",INDEX(PDC,MATCH($AC5,DEN_PDC,0),6)="SP DARE/AVERE"),SUMIFS(AVERE,DEN_G,$AC5)&gt;=SUMIFS(DARE,DEN_G,$AC5)),SUMIFS(AVERE,DEN_G,$AC5)-SUMIFS(DARE,DEN_G,$AC5),0)&gt;0,MAX(BH$2:BH4)+1,0)</f>
        <v>0</v>
      </c>
      <c r="BI5" s="48">
        <f ca="1">IF(IF(AND(OR(INDEX(PDC,MATCH($AC5,DEN_PDC,0),6)="SE DARE",INDEX(PDC,MATCH($AC5,DEN_PDC,0),6)="SE DARE/AVERE"),SUMIFS(DARE,DEN_G,$AC5)&gt;=SUMIFS(AVERE,DEN_G,$AC5)),SUMIFS(DARE,DEN_G,$AC5)-SUMIFS(AVERE,DEN_G,$AC5),0)&gt;0,MAX(BI$2:BI4)+1,0)</f>
        <v>0</v>
      </c>
      <c r="BJ5" s="48">
        <f ca="1">IF(IF(AND(OR(INDEX(PDC,MATCH($AC5,DEN_PDC,0),6)="SE AVERE",INDEX(PDC,MATCH($AC5,DEN_PDC,0),6)="SE DARE/AVERE"),SUMIFS(AVERE,DEN_G,$AC5)&gt;=SUMIFS(DARE,DEN_G,$AC5)),SUMIFS(AVERE,DEN_G,$AC5)-SUMIFS(DARE,DEN_G,$AC5),0)&gt;0,MAX(BJ$2:BJ4)+1,0)</f>
        <v>0</v>
      </c>
      <c r="BK5" s="48" t="str">
        <f ca="1">IF(AND(AND($DY$2=0,$DY$1=0),$I$1=2,ROW()&gt;$BG$1+2,ROW()&lt;=$BG$1+4),"………………..",IF(AND(OR($DY$2&gt;0,$DY$1&gt;0),$I$1=2,ROW()&gt;$BG$1+2,ROW()&lt;=$BG$1+4),"………………..",IFERROR(INDEX($AC$3:$AC$398,MATCH(ROWS(BK$3:BK5),BG$3:BG$398,0),1),"")))</f>
        <v/>
      </c>
      <c r="BL5" s="48">
        <f t="shared" ca="1" si="8"/>
        <v>0</v>
      </c>
      <c r="BM5" s="48" t="str">
        <f ca="1">IF(AND(OR($DY$2=0,$DY$1=0),$I$1=2,ROW()&gt;$BH$1+2,ROW()&lt;=$BH$1+4),"………………..",IF(AND(OR($DY$2&gt;0,$DY$1&gt;0),$I$1=2,ROW()&gt;$BH$1+2,ROW()&lt;=$BH$1+4),"………………..",IFERROR(INDEX($AC$3:$AC$400,MATCH(ROWS(BM$3:BM5),BH$3:BH$400,0),1),"")))</f>
        <v/>
      </c>
      <c r="BN5" s="48">
        <f t="shared" ca="1" si="9"/>
        <v>0</v>
      </c>
      <c r="BO5" s="48" t="str">
        <f ca="1">IF(AND(OR($DY$2=0,$DY$1=0),$I$1=2,ROW()&gt;$BI$1+2,ROW()&lt;=$BI$1+4),"………………..",IF(AND(OR($DY$2&gt;0,$DY$1&gt;0),$I$1=2,ROW()&gt;$BI$1+2,ROW()&lt;=$BI$1+4),"………………..",IFERROR(INDEX($AC$3:$AC$400,MATCH(ROWS(BO$3:BO5),BI$3:BI$400,0),1),"")))</f>
        <v/>
      </c>
      <c r="BP5" s="48">
        <f t="shared" ca="1" si="10"/>
        <v>0</v>
      </c>
      <c r="BQ5" s="48" t="str">
        <f ca="1">IF(AND(OR($DY$2=0,$DY$1=0),$I$1=2,ROW()&gt;$BJ$1+2,ROW()&lt;=$BJ$1+4),"………………..",IF(AND(OR($DY$2&gt;0,$DY$1&gt;0),$I$1=2,ROW()&gt;$BJ$1+2,ROW()&lt;=$BJ$1+4),"………………..",IFERROR(INDEX($AC$3:$AC$400,MATCH(ROWS(BQ$3:BQ5),BJ$3:BJ$400,0),1),"")))</f>
        <v/>
      </c>
      <c r="BR5" s="48">
        <f t="shared" ca="1" si="11"/>
        <v>0</v>
      </c>
      <c r="BS5" s="48">
        <f ca="1">IF(IF(AND(OR(INDEX(PDC,MATCH($AC5,DEN_PDC,0),4)="D",INDEX(PDC,MATCH($AC5,DEN_PDC,0),4)="D/A"),SUMIFS(DARE,DEN_G,$AC5)&gt;=SUMIFS(AVERE,DEN_G,$AC5)),SUMIFS(DARE,DEN_G,$AC5),IF(AND(OR(INDEX(PDC,MATCH($AC5,DEN_PDC,0),4)="A",INDEX(PDC,MATCH($AC5,DEN_PDC,0),4)="D/A"),SUMIFS(AVERE,DEN_G,$AC5)&gt;=SUMIFS(DARE,DEN_G,$AC5)),SUMIFS(AVERE,DEN_G,$AC5),))&gt;0,MAX($BS$2:BS4)+1,0)</f>
        <v>0</v>
      </c>
      <c r="BT5" s="48" t="str">
        <f ca="1">IF($CO$1=0,"",IF(AND($I$1=2,ROW()&gt;$BR$1,ROW()&lt;=$BS$1)," …………….",IF(AND($E$1=1,$BX$1=1,$I$1=2,ROW()=$BQ$1),"TOTALI",IFERROR(INDEX(PDC,MATCH(ROWS(BT$3:BT5),BS$3:BS402,0),2),""))))</f>
        <v/>
      </c>
      <c r="BU5" s="48">
        <f t="shared" ca="1" si="12"/>
        <v>0</v>
      </c>
      <c r="BV5" s="48">
        <f t="shared" ca="1" si="13"/>
        <v>0</v>
      </c>
      <c r="BW5" s="48">
        <f t="shared" ca="1" si="14"/>
        <v>0</v>
      </c>
      <c r="BX5" s="48">
        <f t="shared" ca="1" si="15"/>
        <v>0</v>
      </c>
      <c r="BY5" s="48">
        <f ca="1">IF(OR(BW5&gt;0,BX5&gt;0),MAX($BY$2:BY4)+1,0)</f>
        <v>0</v>
      </c>
      <c r="BZ5" s="48" t="str">
        <f ca="1">IFERROR(INDEX($BT$3:$BY$400,MATCH(ROWS(BZ$3:BZ5),$BY$3:$BY$400,0),1),"")</f>
        <v/>
      </c>
      <c r="CA5" s="48" t="str">
        <f ca="1">IFERROR(INDEX($BT$3:$BY$400,MATCH(ROWS(CA$3:CA5),$BY$3:$BY$400,0),4),"")</f>
        <v/>
      </c>
      <c r="CB5" s="48" t="str">
        <f ca="1">IFERROR(INDEX($BT$3:$BY$400,MATCH(ROWS(CB$3:CB5),$BY$3:$BY$400,0),5),"")</f>
        <v/>
      </c>
      <c r="CC5" s="48" t="str">
        <f t="shared" ca="1" si="16"/>
        <v/>
      </c>
      <c r="CD5" s="48">
        <f ca="1">IF(AND($BF$9=1,CE5&lt;&gt;0),MAX($CD$2:CD4)+1,0)</f>
        <v>0</v>
      </c>
      <c r="CE5" s="48">
        <f ca="1">IF(OR(CE43&gt;0,CE43="_ _ _"),"A",0)</f>
        <v>0</v>
      </c>
      <c r="CF5" s="48" t="s">
        <v>764</v>
      </c>
      <c r="CG5" s="242" t="s">
        <v>501</v>
      </c>
      <c r="CH5" s="242"/>
      <c r="CI5" s="242"/>
      <c r="CJ5" s="242"/>
      <c r="CL5" s="242"/>
      <c r="CM5" s="242" t="str">
        <f t="shared" ca="1" si="37"/>
        <v/>
      </c>
      <c r="CN5" s="243">
        <f t="shared" ca="1" si="38"/>
        <v>0</v>
      </c>
      <c r="CO5" s="48" t="str">
        <f t="shared" ca="1" si="39"/>
        <v/>
      </c>
      <c r="CQ5" s="242" t="str">
        <f ca="1">IFERROR(IF(AND($CO$1=1,OR($I$1=1,$I$1=2),$EL$2&gt;0),"Verifica che tutti i conti presentino un'eccedenza corretta.",""),"")</f>
        <v/>
      </c>
      <c r="CR5" s="242">
        <f ca="1">IF(CQ5="",0,MAX($CR$2:CR4)+1)</f>
        <v>0</v>
      </c>
      <c r="CT5" s="242"/>
      <c r="CU5" s="48">
        <f ca="1">IF(SUMIFS(AVERE,DEN_G,AC5,AVERE,"&gt;"&amp;0)+SUMIFS(DARE,DEN_G,AC5,DARE,"&gt;"&amp;0)&gt;0,MAX($CU$2:CU4)+1,0)</f>
        <v>0</v>
      </c>
      <c r="CV5" s="48" t="str">
        <f ca="1">IF(IFERROR(INDEX(PDC,MATCH(ROWS($CV$3:CV5),$CU$3:$CU$400,0),2),"")="CONTO DI RISULTATO ECONOMICO","",IFERROR(INDEX(PDC,MATCH(ROWS($CV$3:CV5),$CU$3:$CU$400,0),2),""))</f>
        <v/>
      </c>
      <c r="CW5" s="48">
        <f ca="1">IFERROR(IF(CV5&lt;&gt;"",MAX($CW$2:CW4)+1,0),0)</f>
        <v>0</v>
      </c>
      <c r="CX5" s="48">
        <f t="shared" ca="1" si="17"/>
        <v>1</v>
      </c>
      <c r="CY5" s="48" t="str">
        <f t="shared" ca="1" si="18"/>
        <v>MASTRO</v>
      </c>
      <c r="CZ5" s="48" t="e">
        <f t="shared" ref="CZ5:CZ14" ca="1" si="60">SUM(MATCH($CY5,INDIRECT(ADDRESS(SUM(CZ4)+3,54)&amp;":"&amp;ADDRESS(400,54)),0),CZ4)</f>
        <v>#N/A</v>
      </c>
      <c r="DA5" s="48" t="str">
        <f ca="1">IFERROR(INDEX(LIBRO_GIORNALE,CZ5,1),"")</f>
        <v/>
      </c>
      <c r="DB5" s="48" t="str">
        <f t="shared" ref="DB5:DB14" ca="1" si="61">IF(RIGHT(TEXT(IFERROR(INDEX(LIBRO_GIORNALE,CZ5,2),""),"gg/mm/aa"),1)="a",TEXT(IFERROR(INDEX(LIBRO_GIORNALE,CZ5,2),""),"dd/mm/yy"),TEXT(IFERROR(INDEX(LIBRO_GIORNALE,CZ5,2),""),"gg/mm/aa"))</f>
        <v/>
      </c>
      <c r="DC5" s="48" t="str">
        <f t="shared" ref="DC5:DC14" ca="1" si="62">IF(IFERROR(INDEX(LIBRO_GIORNALE,CZ5,4),"")=0,"manca la descrizione dell'operazione",IFERROR(INDEX(LIBRO_GIORNALE,CZ5,4),""))</f>
        <v/>
      </c>
      <c r="DD5" s="48" t="str">
        <f t="shared" ref="DD5:DD14" ca="1" si="63">IFERROR(IF(INDEX(LIBRO_GIORNALE,CZ5,5)&gt;0,INDEX(LIBRO_GIORNALE,CZ5,5),""),"")</f>
        <v/>
      </c>
      <c r="DE5" s="48" t="str">
        <f t="shared" ref="DE5:DE14" ca="1" si="64">IFERROR(IF(INDEX(LIBRO_GIORNALE,CZ5,6)&gt;0,INDEX(LIBRO_GIORNALE,CZ5,6),""),"")</f>
        <v/>
      </c>
      <c r="DF5" s="48">
        <f ca="1">IF(AND(CX5=$DF$1,CX5&lt;&gt;""),0,IF(AND(DB5&lt;&gt;"",OR(DB4&lt;&gt;"",DB6&lt;&gt;"")),MAX($DF$2:DF4)+1,0))</f>
        <v>0</v>
      </c>
      <c r="DG5" s="48">
        <f ca="1">IF(INDIRECT(ADDRESS(ROW()+8,11,,,"PIANO_DEI_CONTI"))&lt;&gt;0,UPPER(INDIRECT(ADDRESS(ROW()+8,11,,,"PIANO_DEI_CONTI"))),INDIRECT(ADDRESS(ROW()+8,11,,,"PIANO_DEI_CONTI")))</f>
        <v>0</v>
      </c>
      <c r="DH5" s="244" t="s">
        <v>324</v>
      </c>
      <c r="DI5" s="48" t="str">
        <f ca="1">IFERROR(IF(AND($DL$1=TRUE,DG5&lt;&gt;0),CONCATENATE("SOCIO ",DG5," C/SOTTOSCRIZIONE"),IF(AND($DL$1=FALSE,DG5&lt;&gt;0),CONCATENATE("AZIONISTA ",DG5," C/SOTTOSCRIZIONE"),"")),"")</f>
        <v/>
      </c>
      <c r="DJ5" s="48" t="s">
        <v>312</v>
      </c>
      <c r="DK5" s="48" t="s">
        <v>275</v>
      </c>
      <c r="DL5" s="48" t="s">
        <v>6</v>
      </c>
      <c r="DM5" s="48" t="s">
        <v>270</v>
      </c>
      <c r="DN5" s="48">
        <f ca="1">IF(DI5&lt;&gt;"",MAX($DN$2:DN4)+1,0)</f>
        <v>0</v>
      </c>
      <c r="DO5" s="48" t="str">
        <f t="shared" ref="DO5:DO18" ca="1" si="65">IF($BF$9=1,"paa",IF(AND($BF$9=2,$DJ$1=FALSE),"paa","pac2"))</f>
        <v>paa</v>
      </c>
      <c r="DP5" s="48">
        <f ca="1">IF(INDIRECT(ADDRESS(ROW()+8,11,,,"PIANO_DEI_CONTI"))&lt;&gt;0,UPPER(INDIRECT(ADDRESS(ROW()+8,11,,,"PIANO_DEI_CONTI"))),INDIRECT(ADDRESS(ROW()+8,11,,,"PIANO_DEI_CONTI")))</f>
        <v>0</v>
      </c>
      <c r="DQ5" s="227" t="s">
        <v>324</v>
      </c>
      <c r="DR5" s="48" t="str">
        <f ca="1">IFERROR(IF(DP5&lt;&gt;0,CONCATENATE("SOCIO ",DP5," C/CONFERIMENTI"),""),"")</f>
        <v/>
      </c>
      <c r="DS5" s="48" t="s">
        <v>312</v>
      </c>
      <c r="DT5" s="48" t="s">
        <v>275</v>
      </c>
      <c r="DU5" s="48" t="s">
        <v>6</v>
      </c>
      <c r="DV5" s="48" t="s">
        <v>270</v>
      </c>
      <c r="DW5" s="48">
        <f ca="1">IF(DR5&lt;&gt;"",MAX($DW$2:DW4)+1,0)</f>
        <v>0</v>
      </c>
      <c r="DX5" s="48" t="str">
        <f t="shared" ref="DX5:DX18" ca="1" si="66">IF($BF$9=1,"paa",IF(AND($BF$9=2,$DJ$1=FALSE),"paa","pac2"))</f>
        <v>paa</v>
      </c>
      <c r="DY5" s="48" t="str">
        <f t="shared" ca="1" si="19"/>
        <v/>
      </c>
      <c r="DZ5" s="48" t="str">
        <f t="shared" ca="1" si="40"/>
        <v/>
      </c>
      <c r="EA5" s="48" t="str">
        <f t="shared" ca="1" si="41"/>
        <v/>
      </c>
      <c r="EB5" s="48">
        <f t="shared" ca="1" si="42"/>
        <v>0</v>
      </c>
      <c r="EC5" s="48">
        <f t="shared" ca="1" si="43"/>
        <v>0</v>
      </c>
      <c r="ED5" s="48" t="str">
        <f t="shared" ca="1" si="44"/>
        <v/>
      </c>
      <c r="EE5" s="48">
        <f t="shared" ca="1" si="45"/>
        <v>0</v>
      </c>
      <c r="EF5" s="48" t="str">
        <f t="shared" ca="1" si="46"/>
        <v/>
      </c>
      <c r="EG5" s="48">
        <f t="shared" ca="1" si="47"/>
        <v>0</v>
      </c>
      <c r="EH5" s="48" t="str">
        <f t="shared" ca="1" si="48"/>
        <v/>
      </c>
      <c r="EI5" s="48">
        <f t="shared" ca="1" si="49"/>
        <v>0</v>
      </c>
      <c r="EJ5" s="48" t="str">
        <f t="shared" ca="1" si="50"/>
        <v/>
      </c>
      <c r="EK5" s="48">
        <f t="shared" ca="1" si="51"/>
        <v>0</v>
      </c>
      <c r="EL5" s="48">
        <f t="shared" ca="1" si="20"/>
        <v>0</v>
      </c>
      <c r="EM5" s="48">
        <f ca="1">IF(EL5&gt;=0,0,MAX($EM$2:EM4)+1)</f>
        <v>0</v>
      </c>
      <c r="EN5" s="48" t="str">
        <f t="shared" ca="1" si="21"/>
        <v/>
      </c>
      <c r="EO5" s="48" t="str">
        <f ca="1">IFERROR(INDEX($EM$3:$EN$400,MATCH(ROWS($EO$3:EO5),$EM$3:$EM$400,0),2),"")</f>
        <v/>
      </c>
      <c r="EP5" s="48">
        <f>ROW()</f>
        <v>5</v>
      </c>
      <c r="EQ5" s="48">
        <f t="shared" ca="1" si="22"/>
        <v>0</v>
      </c>
      <c r="ER5" s="48">
        <f ca="1">IF(ISNA(EQ5)=TRUE,MAX($ER$2:ER4)+1,0)</f>
        <v>0</v>
      </c>
      <c r="ES5" s="48" t="str">
        <f t="shared" ca="1" si="52"/>
        <v/>
      </c>
      <c r="ET5" s="48" t="str">
        <f ca="1">IFERROR(INDEX($ER$3:$ES$400,MATCH(ROWS($ET$3:ET5),$ER$3:$ER$400,0),2),"")</f>
        <v/>
      </c>
      <c r="EV5" s="48">
        <f ca="1">IFERROR(INDEX(LIBRO_GIORNALE!$O$11:$P$408,MATCH(ROWS($EV$2:EV4),LIBRO_GIORNALE!$P$11:$P$408,0),1),0)</f>
        <v>0</v>
      </c>
      <c r="EW5" s="48" t="str">
        <f t="shared" ca="1" si="53"/>
        <v>0</v>
      </c>
      <c r="EX5" s="48">
        <f t="shared" ca="1" si="54"/>
        <v>0</v>
      </c>
      <c r="EY5" s="48">
        <f ca="1">IF(EX5&gt;0,MAX($EY$2:EY4)+1,0)</f>
        <v>0</v>
      </c>
      <c r="EZ5" s="48">
        <f ca="1">IFERROR(INDEX($EX$3:$EX$400,MATCH(ROWS($EZ$3:EZ5),$EY$3:$EY$400,0),1),0)</f>
        <v>0</v>
      </c>
      <c r="FA5" s="48">
        <f ca="1">IF(EZ5&gt;0,0,MAX($FA$2:FA4)+1)</f>
        <v>3</v>
      </c>
      <c r="FB5" s="48">
        <f t="shared" ca="1" si="55"/>
        <v>0</v>
      </c>
      <c r="FC5" s="48">
        <f t="shared" ca="1" si="56"/>
        <v>3</v>
      </c>
      <c r="FD5" s="48">
        <f t="shared" ca="1" si="57"/>
        <v>3</v>
      </c>
      <c r="FE5" s="48">
        <f ca="1">IF(FD5=0,0,MAX($FE$2:FE4)+1)</f>
        <v>3</v>
      </c>
      <c r="FF5" s="48">
        <f ca="1">IFERROR(INDEX($FD$3:$FE$400,MATCH(ROWS($FF$3:FF5),$FE$3:$FE$400,0),1),"")</f>
        <v>3</v>
      </c>
      <c r="FH5" s="48">
        <f t="shared" ca="1" si="58"/>
        <v>0</v>
      </c>
      <c r="FI5" s="48">
        <f ca="1">IF(FH5&lt;&gt;0,MAX($FI$2:FI4)+1,0)</f>
        <v>0</v>
      </c>
      <c r="FJ5" s="48" t="str">
        <f ca="1">IFERROR(INDEX($FH$3:$FI$400,MATCH(ROWS($FJ$3:FJ5),$FI$3:$FI$400,0),1),"")</f>
        <v>BANCA X C/C</v>
      </c>
      <c r="FK5" s="48">
        <f ca="1">IF(ABS(SUMIFS(DARE,DEN_G,"="&amp;FJ5,DATA,"&lt;="&amp;FINE_AC,DATA,"&gt;="&amp;INIZIO_A_PC)-SUMIFS(AVERE,DEN_G,"="&amp;FJ5,DATA,"&lt;="&amp;FINE_AC,DATA,"&gt;="&amp;INIZIO_A_PC))&gt;0,MAX($FK$2:FK4)+1,0)</f>
        <v>0</v>
      </c>
      <c r="FL5" s="48" t="str">
        <f ca="1">IF(AND(ROW()-2&lt;&gt;1,ROW()-2&lt;=$FK$1),CONCATENATE(" - ",IFERROR(INDEX($FJ$3:$FK$400,MATCH(ROWS($FL$3:FL5),$FK$3:$FK$400,0),1),"")),IFERROR(INDEX($FJ$3:$FK$400,MATCH(ROWS($FL$3:FL5),$FK$3:$FK$400,0),1),""))</f>
        <v/>
      </c>
      <c r="FM5" s="48">
        <f ca="1">IF(OR(B5="IVA ns/credito",B5="IVA NS/DEBITO",B5="IVA C/ACCONTO",B5="IMPOSTE C/ACCONTO",B5="CREDITI PER RITENUTE SUBITE",B5="CREDITI D'IMPOSTA"),MAX($FM$2:FM4)+1,0)</f>
        <v>0</v>
      </c>
      <c r="FN5" s="48" t="str">
        <f t="shared" ca="1" si="59"/>
        <v/>
      </c>
      <c r="FO5" s="48" t="str">
        <f ca="1">IFERROR(INDEX($FM$3:$FN$400,MATCH(ROWS($FO$3:FO5),$FM$3:$FM$400,0),2),"")</f>
        <v>IMPOSTE C/ACCONTO</v>
      </c>
      <c r="FP5" s="48">
        <f ca="1">IF(ABS(SUMIFS(DARE,DEN_G,"="&amp;FO5,DATA,"&lt;="&amp;FINE_AC,DATA,"&gt;="&amp;INIZIO_A_PC)-SUMIFS(AVERE,DEN_G,"="&amp;FO5,DATA,"&lt;="&amp;FINE_AC,DATA,"&gt;="&amp;INIZIO_A_PC))&gt;0,MAX($FP$2:FP4)+1,0)</f>
        <v>0</v>
      </c>
      <c r="FQ5" s="48" t="str">
        <f ca="1">IF(AND(ROW()-2&lt;&gt;1,ROW()-2&lt;=$FP$1),CONCATENATE(" - ",IFERROR(INDEX($FO$3:$FP$400,MATCH(ROWS($FQ$3:FQ5),$FP$3:$FP$400,0),1),"")),IFERROR(INDEX($FO$3:$FP$400,MATCH(ROWS($FQ$3:FQ5),$FP$3:$FP$400,0),1),""))</f>
        <v/>
      </c>
    </row>
    <row r="6" spans="1:173" x14ac:dyDescent="0.3">
      <c r="A6" s="48" t="str">
        <f ca="1">IFERROR(IF($A$1=2,INDEX($DH$3:$DN$401,MATCH(ROWS(A$3:A6),$DN$3:$DN$401,0),COLUMN()),IF($A$1=1,INDEX($DQ$3:$DW$401,MATCH(ROWS(A$3:A6),$DW$3:$DW$401,0),COLUMN()),"")),"")</f>
        <v>00.03</v>
      </c>
      <c r="B6" s="48" t="str">
        <f ca="1">IFERROR(IF($A$1=2,INDEX($DH$3:$DN$401,MATCH(ROWS(B$3:B6),$DN$3:$DN$401,0),COLUMN()),IF($A$1=1,INDEX($DQ$3:$DW$400,MATCH(ROWS(B$3:B6),$DW$3:$DW$401,0),COLUMN()),"")),"")</f>
        <v>AZIONISTI C/REINTEGRO</v>
      </c>
      <c r="C6" s="48" t="str">
        <f ca="1">IFERROR(IF($A$1=2,INDEX($DH$3:$DN$401,MATCH(ROWS(C$3:C6),$DN$3:$DN$401,0),COLUMN()),IF($A$1=1,INDEX($DQ$3:$DW$401,MATCH(ROWS(C$3:C6),$DW$3:$DW$401,0),COLUMN()),"")),"")</f>
        <v>F</v>
      </c>
      <c r="D6" s="48" t="str">
        <f ca="1">IFERROR(IF($A$1=2,INDEX($DH$3:$DN$401,MATCH(ROWS(D$3:D6),$DN$3:$DN$401,0),COLUMN()),IF($A$1=1,INDEX($DQ$3:$DW$401,MATCH(ROWS(D$3:D6),$DW$3:$DW$401,0),COLUMN()),"")),"")</f>
        <v>D</v>
      </c>
      <c r="E6" s="48" t="str">
        <f ca="1">IFERROR(IF($A$1=2,INDEX($DH$3:$DN$401,MATCH(ROWS(E$3:E6),$DN$3:$DN$401,0),COLUMN()),IF($A$1=1,INDEX($DQ$3:$DW$401,MATCH(ROWS(E$3:E6),$DW$3:$DW$401,0),COLUMN()),"")),"")</f>
        <v>CREDITI</v>
      </c>
      <c r="F6" s="48" t="str">
        <f ca="1">IFERROR(IF($A$1=2,INDEX($DH$3:$DN$401,MATCH(ROWS(F$3:F6),$DN$3:$DN$401,0),COLUMN()),IF($A$1=1,INDEX($DQ$3:$DX$401,MATCH(ROWS(F$3:F6),$DW$3:$DW$401,0),COLUMN()),"")),"")</f>
        <v>SP DARE</v>
      </c>
      <c r="G6" s="48" t="str">
        <f t="shared" ca="1" si="23"/>
        <v>SP</v>
      </c>
      <c r="H6" s="48" t="str">
        <f ca="1">IFERROR(IF($A$1=2,INDEX($DH$3:$DO$400,MATCH(ROWS(H$3:H6),$DN$3:$DN$400,0),COLUMN()),IF($A$1=1,INDEX($DQ$3:$DX$400,MATCH(ROWS(H$3:H6),$DW$3:$DW$400,0),COLUMN()),"")),"")</f>
        <v>paa</v>
      </c>
      <c r="I6" s="48" t="str">
        <f t="shared" ca="1" si="0"/>
        <v/>
      </c>
      <c r="J6" s="48" t="str">
        <f t="shared" ca="1" si="24"/>
        <v/>
      </c>
      <c r="K6" s="48">
        <f t="shared" ca="1" si="25"/>
        <v>0</v>
      </c>
      <c r="L6" s="48">
        <f t="shared" ca="1" si="26"/>
        <v>0</v>
      </c>
      <c r="M6" s="48">
        <f ca="1">IFERROR(IF(IF(MID($A6,3,3)=".00",MID(A6,1,2),"")&lt;&gt;"",MAX($M$2:M5)+1,0),"")</f>
        <v>0</v>
      </c>
      <c r="N6" s="48" t="str">
        <f t="shared" ca="1" si="27"/>
        <v/>
      </c>
      <c r="O6" s="48" t="str">
        <f ca="1">IF(IFERROR(INDEX($N$3:$O$400,MATCH(ROWS($O$3:O6),$M$3:$M$400,0),1),"")&lt;&gt;"",CONCATENATE(INDEX($N$3:$O$400,MATCH(ROWS($O$3:O6),$M$3:$M$400,0),1),".00"),"")</f>
        <v>03.00</v>
      </c>
      <c r="P6" s="48" t="str">
        <f t="shared" ca="1" si="28"/>
        <v>IMMOBILIZZAZIONI FINANZIARIE</v>
      </c>
      <c r="Q6" s="48">
        <f ca="1">IF(M6&gt;=1,0,MAX($Q$2:Q5)+1)</f>
        <v>3</v>
      </c>
      <c r="R6" s="93">
        <f ca="1">IF(AND($U$2=1,S6&lt;&gt;""),MAX($R$2:R5)+1,0)</f>
        <v>0</v>
      </c>
      <c r="S6" s="48" t="s">
        <v>13</v>
      </c>
      <c r="T6" s="48" t="str">
        <f ca="1">IFERROR(INDEX($R$3:$S$64,MATCH(ROWS($T$2:T5),$R$3:$R$64,0),2),"")</f>
        <v>IMMOBILIZZAZIONI MATERIALI</v>
      </c>
      <c r="U6" s="48" t="str">
        <f ca="1">IFERROR(INDEX(PDC,MATCH(ROWS(U$3:U6),$V$3:$V$400,0),2),"")</f>
        <v>COSTI DI IMPIANTO</v>
      </c>
      <c r="V6" s="48">
        <f ca="1">IF(AND($T$1="VISUALIZZA TUTTI I CONTI",AA6&lt;&gt;""),MAX($V$2:V5)+1,IF(AND($U$2=2,AI6=$T$1),MAX($V$2:V5)+1,IF(AND($U$2=1,$T$1=AF6),MAX($V$2:V5)+1,0)))</f>
        <v>4</v>
      </c>
      <c r="W6" s="48">
        <f ca="1">IF(AND(W1=0,Y2&lt;&gt;0),1,0)</f>
        <v>0</v>
      </c>
      <c r="AA6" s="48" t="str">
        <f t="shared" ca="1" si="29"/>
        <v>01.00</v>
      </c>
      <c r="AB6" s="48" t="str">
        <f ca="1">IFERROR(INDEX($A$3:$G$400,MATCH(ROWS(AB$3:AB6),$Q$3:$Q$400,0),1),"")</f>
        <v>01.01</v>
      </c>
      <c r="AC6" s="48" t="str">
        <f ca="1">IFERROR(INDEX($A$3:$G$400,MATCH(ROWS($AC$3:AC6),$Q$3:$Q$400,0),2),"")</f>
        <v>COSTI DI IMPIANTO</v>
      </c>
      <c r="AD6" s="48" t="str">
        <f ca="1">IFERROR(INDEX($A$3:$G$400,MATCH(ROWS(AD$3:AD6),$Q$3:$Q$400,0),3),"")</f>
        <v>E</v>
      </c>
      <c r="AE6" s="48" t="str">
        <f ca="1">IFERROR(INDEX($A$3:$G$400,MATCH(ROWS(AE$3:AE6),$Q$3:$Q$400,0),4),"")</f>
        <v>D</v>
      </c>
      <c r="AF6" s="48" t="str">
        <f ca="1">IFERROR(INDEX($A$3:$G$400,MATCH(ROWS(AF$3:AF6),$Q$3:$Q$400,0),5),"")</f>
        <v>COSTI PLURIENNALI</v>
      </c>
      <c r="AG6" s="48" t="str">
        <f ca="1">IFERROR(INDEX($A$3:$G$400,MATCH(ROWS(AG$3:AG6),$Q$3:$Q$400,0),6),"")</f>
        <v>SP DARE</v>
      </c>
      <c r="AH6" s="48" t="str">
        <f ca="1">IFERROR(INDEX($A$3:$G$400,MATCH(ROWS(AH$3:AH6),$Q$3:$Q$400,0),7),"")</f>
        <v>SP</v>
      </c>
      <c r="AI6" s="48" t="str">
        <f t="shared" ca="1" si="1"/>
        <v>IMMOBILIZZAZIONI IMMATERIALI</v>
      </c>
      <c r="AJ6" s="48" t="str">
        <f ca="1">IFERROR(INDEX($A$3:$H$400,MATCH(ROWS(AJ$3:AJ6),$Q$3:$Q$400,0),8),"")</f>
        <v>pab1</v>
      </c>
      <c r="AK6" s="48">
        <f t="shared" ca="1" si="2"/>
        <v>0</v>
      </c>
      <c r="AL6" s="48">
        <f t="shared" ca="1" si="3"/>
        <v>0</v>
      </c>
      <c r="AM6" s="48">
        <f t="shared" ca="1" si="30"/>
        <v>0</v>
      </c>
      <c r="AN6" s="48" t="str">
        <f t="shared" ca="1" si="31"/>
        <v/>
      </c>
      <c r="AO6" s="48">
        <f t="shared" ca="1" si="32"/>
        <v>0</v>
      </c>
      <c r="AP6" s="48">
        <f t="shared" ca="1" si="32"/>
        <v>0</v>
      </c>
      <c r="AQ6" s="48" t="str">
        <f t="shared" ca="1" si="4"/>
        <v>COSTI DI IMPIANTO</v>
      </c>
      <c r="AR6" s="48">
        <f t="shared" ca="1" si="5"/>
        <v>0</v>
      </c>
      <c r="AS6" s="48">
        <f t="shared" ca="1" si="6"/>
        <v>0</v>
      </c>
      <c r="AT6" s="48">
        <f t="shared" ca="1" si="33"/>
        <v>0</v>
      </c>
      <c r="AU6" s="48">
        <f t="shared" ca="1" si="34"/>
        <v>0</v>
      </c>
      <c r="AV6" s="48">
        <f ca="1">IF(OR(AT6&gt;0,AU6&gt;0),MAX($AV$2:AV5)+1,0)</f>
        <v>0</v>
      </c>
      <c r="AZ6" s="241" t="str">
        <f t="shared" ca="1" si="35"/>
        <v/>
      </c>
      <c r="BA6" s="48">
        <f t="shared" ca="1" si="7"/>
        <v>0</v>
      </c>
      <c r="BB6" s="48">
        <f ca="1">IFERROR(INDEX($AQ$3:$AV$220,MATCH(ROWS($BB$3:BB6),$AV$3:$AV$220,0),1),0)</f>
        <v>0</v>
      </c>
      <c r="BC6" s="48" t="str">
        <f t="shared" ca="1" si="36"/>
        <v/>
      </c>
      <c r="BD6" s="48">
        <f ca="1">IFERROR(INDEX($AQ$3:$AV$220,MATCH(ROWS($BB$3:BD6),$AV$3:$AV$220,0),4),0)</f>
        <v>0</v>
      </c>
      <c r="BE6" s="48">
        <f ca="1">IFERROR(INDEX($AQ$3:$AV$220,MATCH(ROWS($BB$3:BE6),$AV$3:$AV$220,0),5),0)</f>
        <v>0</v>
      </c>
      <c r="BG6" s="48">
        <f ca="1">IF(IF(AND(OR(INDEX(PDC,MATCH($AC6,DEN_PDC,0),6)="SP DARE",INDEX(PDC,MATCH($AC6,DEN_PDC,0),6)="SP DARE/AVERE"),SUMIFS(DARE,DEN_G,$AC6)&gt;=SUMIFS(AVERE,DEN_G,$AC6)),SUMIFS(DARE,DEN_G,$AC6)-SUMIFS(AVERE,DEN_G,$AC6),0)&gt;0,MAX($BG$2:BG5)+1,0)</f>
        <v>0</v>
      </c>
      <c r="BH6" s="48">
        <f ca="1">IF(IF(AND(OR(INDEX(PDC,MATCH($AC6,DEN_PDC,0),6)="SP AVERE",INDEX(PDC,MATCH($AC6,DEN_PDC,0),6)="SP DARE/AVERE"),SUMIFS(AVERE,DEN_G,$AC6)&gt;=SUMIFS(DARE,DEN_G,$AC6)),SUMIFS(AVERE,DEN_G,$AC6)-SUMIFS(DARE,DEN_G,$AC6),0)&gt;0,MAX(BH$2:BH5)+1,0)</f>
        <v>0</v>
      </c>
      <c r="BI6" s="48">
        <f ca="1">IF(IF(AND(OR(INDEX(PDC,MATCH($AC6,DEN_PDC,0),6)="SE DARE",INDEX(PDC,MATCH($AC6,DEN_PDC,0),6)="SE DARE/AVERE"),SUMIFS(DARE,DEN_G,$AC6)&gt;=SUMIFS(AVERE,DEN_G,$AC6)),SUMIFS(DARE,DEN_G,$AC6)-SUMIFS(AVERE,DEN_G,$AC6),0)&gt;0,MAX(BI$2:BI5)+1,0)</f>
        <v>0</v>
      </c>
      <c r="BJ6" s="48">
        <f ca="1">IF(IF(AND(OR(INDEX(PDC,MATCH($AC6,DEN_PDC,0),6)="SE AVERE",INDEX(PDC,MATCH($AC6,DEN_PDC,0),6)="SE DARE/AVERE"),SUMIFS(AVERE,DEN_G,$AC6)&gt;=SUMIFS(DARE,DEN_G,$AC6)),SUMIFS(AVERE,DEN_G,$AC6)-SUMIFS(DARE,DEN_G,$AC6),0)&gt;0,MAX(BJ$2:BJ5)+1,0)</f>
        <v>0</v>
      </c>
      <c r="BK6" s="48" t="str">
        <f ca="1">IF(AND(AND($DY$2=0,$DY$1=0),$I$1=2,ROW()&gt;$BG$1+2,ROW()&lt;=$BG$1+4),"………………..",IF(AND(OR($DY$2&gt;0,$DY$1&gt;0),$I$1=2,ROW()&gt;$BG$1+2,ROW()&lt;=$BG$1+4),"………………..",IFERROR(INDEX($AC$3:$AC$398,MATCH(ROWS(BK$3:BK6),BG$3:BG$398,0),1),"")))</f>
        <v/>
      </c>
      <c r="BL6" s="48">
        <f t="shared" ca="1" si="8"/>
        <v>0</v>
      </c>
      <c r="BM6" s="48" t="str">
        <f ca="1">IF(AND(OR($DY$2=0,$DY$1=0),$I$1=2,ROW()&gt;$BH$1+2,ROW()&lt;=$BH$1+4),"………………..",IF(AND(OR($DY$2&gt;0,$DY$1&gt;0),$I$1=2,ROW()&gt;$BH$1+2,ROW()&lt;=$BH$1+4),"………………..",IFERROR(INDEX($AC$3:$AC$400,MATCH(ROWS(BM$3:BM6),BH$3:BH$400,0),1),"")))</f>
        <v/>
      </c>
      <c r="BN6" s="48">
        <f t="shared" ca="1" si="9"/>
        <v>0</v>
      </c>
      <c r="BO6" s="48" t="str">
        <f ca="1">IF(AND(OR($DY$2=0,$DY$1=0),$I$1=2,ROW()&gt;$BI$1+2,ROW()&lt;=$BI$1+4),"………………..",IF(AND(OR($DY$2&gt;0,$DY$1&gt;0),$I$1=2,ROW()&gt;$BI$1+2,ROW()&lt;=$BI$1+4),"………………..",IFERROR(INDEX($AC$3:$AC$400,MATCH(ROWS(BO$3:BO6),BI$3:BI$400,0),1),"")))</f>
        <v/>
      </c>
      <c r="BP6" s="48">
        <f t="shared" ca="1" si="10"/>
        <v>0</v>
      </c>
      <c r="BQ6" s="48" t="str">
        <f ca="1">IF(AND(OR($DY$2=0,$DY$1=0),$I$1=2,ROW()&gt;$BJ$1+2,ROW()&lt;=$BJ$1+4),"………………..",IF(AND(OR($DY$2&gt;0,$DY$1&gt;0),$I$1=2,ROW()&gt;$BJ$1+2,ROW()&lt;=$BJ$1+4),"………………..",IFERROR(INDEX($AC$3:$AC$400,MATCH(ROWS(BQ$3:BQ6),BJ$3:BJ$400,0),1),"")))</f>
        <v/>
      </c>
      <c r="BR6" s="48">
        <f t="shared" ca="1" si="11"/>
        <v>0</v>
      </c>
      <c r="BS6" s="48">
        <f ca="1">IF(IF(AND(OR(INDEX(PDC,MATCH($AC6,DEN_PDC,0),4)="D",INDEX(PDC,MATCH($AC6,DEN_PDC,0),4)="D/A"),SUMIFS(DARE,DEN_G,$AC6)&gt;=SUMIFS(AVERE,DEN_G,$AC6)),SUMIFS(DARE,DEN_G,$AC6),IF(AND(OR(INDEX(PDC,MATCH($AC6,DEN_PDC,0),4)="A",INDEX(PDC,MATCH($AC6,DEN_PDC,0),4)="D/A"),SUMIFS(AVERE,DEN_G,$AC6)&gt;=SUMIFS(DARE,DEN_G,$AC6)),SUMIFS(AVERE,DEN_G,$AC6),))&gt;0,MAX($BS$2:BS5)+1,0)</f>
        <v>0</v>
      </c>
      <c r="BT6" s="48" t="str">
        <f ca="1">IF($CO$1=0,"",IF(AND($I$1=2,ROW()&gt;$BR$1,ROW()&lt;=$BS$1)," …………….",IF(AND($E$1=1,$BX$1=1,$I$1=2,ROW()=$BQ$1),"TOTALI",IFERROR(INDEX(PDC,MATCH(ROWS(BT$3:BT6),BS$3:BS403,0),2),""))))</f>
        <v/>
      </c>
      <c r="BU6" s="48">
        <f t="shared" ca="1" si="12"/>
        <v>0</v>
      </c>
      <c r="BV6" s="48">
        <f t="shared" ca="1" si="13"/>
        <v>0</v>
      </c>
      <c r="BW6" s="48">
        <f t="shared" ca="1" si="14"/>
        <v>0</v>
      </c>
      <c r="BX6" s="48">
        <f t="shared" ca="1" si="15"/>
        <v>0</v>
      </c>
      <c r="BY6" s="48">
        <f ca="1">IF(OR(BW6&gt;0,BX6&gt;0),MAX($BY$2:BY5)+1,0)</f>
        <v>0</v>
      </c>
      <c r="BZ6" s="48" t="str">
        <f ca="1">IFERROR(INDEX($BT$3:$BY$400,MATCH(ROWS(BZ$3:BZ6),$BY$3:$BY$400,0),1),"")</f>
        <v/>
      </c>
      <c r="CA6" s="48" t="str">
        <f ca="1">IFERROR(INDEX($BT$3:$BY$400,MATCH(ROWS(CA$3:CA6),$BY$3:$BY$400,0),4),"")</f>
        <v/>
      </c>
      <c r="CB6" s="48" t="str">
        <f ca="1">IFERROR(INDEX($BT$3:$BY$400,MATCH(ROWS(CB$3:CB6),$BY$3:$BY$400,0),5),"")</f>
        <v/>
      </c>
      <c r="CC6" s="48" t="str">
        <f t="shared" ca="1" si="16"/>
        <v/>
      </c>
      <c r="CD6" s="48">
        <f ca="1">IF(AND($BF$9=1,CE6&lt;&gt;0),MAX($CD$2:CD5)+1,0)</f>
        <v>0</v>
      </c>
      <c r="CE6" s="48">
        <f ca="1">IF(OR(CE14&gt;0,CE14="_ _ _"),"a",0)</f>
        <v>0</v>
      </c>
      <c r="CF6" s="48" t="s">
        <v>682</v>
      </c>
      <c r="CG6" s="242" t="s">
        <v>768</v>
      </c>
      <c r="CH6" s="242"/>
      <c r="CI6" s="242"/>
      <c r="CJ6" s="242"/>
      <c r="CL6" s="242"/>
      <c r="CM6" s="242" t="str">
        <f t="shared" ca="1" si="37"/>
        <v/>
      </c>
      <c r="CN6" s="243">
        <f t="shared" ca="1" si="38"/>
        <v>0</v>
      </c>
      <c r="CO6" s="48" t="str">
        <f t="shared" ca="1" si="39"/>
        <v/>
      </c>
      <c r="CQ6" s="48" t="str">
        <f ca="1">IFERROR(IF(AND($CO$1=1,$I$1=1,VALORI_INIZIALI!$H$4&lt;&gt;VALORI_INIZIALI!$I$4),"Sul Foglio Valori iniziali verifica che il totale DARE coincida con il totale AVERE.",""),"")</f>
        <v/>
      </c>
      <c r="CR6" s="242">
        <f ca="1">IF(CQ6="",0,MAX($CR$2:CR5)+1)</f>
        <v>0</v>
      </c>
      <c r="CT6" s="242"/>
      <c r="CU6" s="48">
        <f ca="1">IF(SUMIFS(AVERE,DEN_G,AC6,AVERE,"&gt;"&amp;0)+SUMIFS(DARE,DEN_G,AC6,DARE,"&gt;"&amp;0)&gt;0,MAX($CU$2:CU5)+1,0)</f>
        <v>0</v>
      </c>
      <c r="CV6" s="48" t="str">
        <f ca="1">IF(IFERROR(INDEX(PDC,MATCH(ROWS($CV$3:CV6),$CU$3:$CU$400,0),2),"")="CONTO DI RISULTATO ECONOMICO","",IFERROR(INDEX(PDC,MATCH(ROWS($CV$3:CV6),$CU$3:$CU$400,0),2),""))</f>
        <v/>
      </c>
      <c r="CW6" s="48">
        <f ca="1">IFERROR(IF(CV6&lt;&gt;"",MAX($CW$2:CW5)+1,0),0)</f>
        <v>0</v>
      </c>
      <c r="CX6" s="48">
        <f t="shared" ca="1" si="17"/>
        <v>1</v>
      </c>
      <c r="CY6" s="48" t="str">
        <f t="shared" ca="1" si="18"/>
        <v>MASTRO</v>
      </c>
      <c r="CZ6" s="48" t="e">
        <f t="shared" ca="1" si="60"/>
        <v>#N/A</v>
      </c>
      <c r="DA6" s="48" t="str">
        <f t="shared" ref="DA6:DA14" ca="1" si="67">IFERROR(INDEX(LIBRO_GIORNALE,CZ6,1),"")</f>
        <v/>
      </c>
      <c r="DB6" s="48" t="str">
        <f t="shared" ca="1" si="61"/>
        <v/>
      </c>
      <c r="DC6" s="48" t="str">
        <f t="shared" ca="1" si="62"/>
        <v/>
      </c>
      <c r="DD6" s="48" t="str">
        <f t="shared" ca="1" si="63"/>
        <v/>
      </c>
      <c r="DE6" s="48" t="str">
        <f t="shared" ca="1" si="64"/>
        <v/>
      </c>
      <c r="DF6" s="48">
        <f ca="1">IF(AND(CX6=$DF$1,CX6&lt;&gt;""),0,IF(AND(DB6&lt;&gt;"",OR(DB5&lt;&gt;"",DB7&lt;&gt;"")),MAX($DF$2:DF5)+1,0))</f>
        <v>0</v>
      </c>
      <c r="DG6" s="48">
        <f ca="1">IF(INDIRECT(ADDRESS(ROW()+8,11,,,"PIANO_DEI_CONTI"))&lt;&gt;0,UPPER(INDIRECT(ADDRESS(ROW()+8,11,,,"PIANO_DEI_CONTI"))),INDIRECT(ADDRESS(ROW()+8,11,,,"PIANO_DEI_CONTI")))</f>
        <v>0</v>
      </c>
      <c r="DH6" s="244" t="s">
        <v>324</v>
      </c>
      <c r="DI6" s="48" t="str">
        <f ca="1">IFERROR(IF(AND($DL$1=TRUE,DG6&lt;&gt;0),CONCATENATE("SOCIO ",DG6," C/SOTTOSCRIZIONE"),IF(AND($DL$1=FALSE,DG6&lt;&gt;0),CONCATENATE("AZIONISTA ",DG6," C/SOTTOSCRIZIONE"),"")),"")</f>
        <v/>
      </c>
      <c r="DJ6" s="48" t="s">
        <v>312</v>
      </c>
      <c r="DK6" s="48" t="s">
        <v>275</v>
      </c>
      <c r="DL6" s="48" t="s">
        <v>6</v>
      </c>
      <c r="DM6" s="48" t="s">
        <v>270</v>
      </c>
      <c r="DN6" s="48">
        <f ca="1">IF(DI6&lt;&gt;"",MAX($DN$2:DN5)+1,0)</f>
        <v>0</v>
      </c>
      <c r="DO6" s="48" t="str">
        <f t="shared" ca="1" si="65"/>
        <v>paa</v>
      </c>
      <c r="DP6" s="48">
        <f ca="1">IF(INDIRECT(ADDRESS(ROW()+8,11,,,"PIANO_DEI_CONTI"))&lt;&gt;0,UPPER(INDIRECT(ADDRESS(ROW()+8,11,,,"PIANO_DEI_CONTI"))),INDIRECT(ADDRESS(ROW()+8,11,,,"PIANO_DEI_CONTI")))</f>
        <v>0</v>
      </c>
      <c r="DQ6" s="227" t="s">
        <v>325</v>
      </c>
      <c r="DR6" s="48" t="str">
        <f ca="1">IFERROR(IF(DP6&lt;&gt;0,CONCATENATE("SOCIO ",DP6," C/CONFERIMENTI"),""),"")</f>
        <v/>
      </c>
      <c r="DS6" s="48" t="s">
        <v>312</v>
      </c>
      <c r="DT6" s="48" t="s">
        <v>275</v>
      </c>
      <c r="DU6" s="48" t="s">
        <v>6</v>
      </c>
      <c r="DV6" s="48" t="s">
        <v>270</v>
      </c>
      <c r="DW6" s="48">
        <f ca="1">IF(DR6&lt;&gt;"",MAX($DW$2:DW5)+1,0)</f>
        <v>0</v>
      </c>
      <c r="DX6" s="48" t="str">
        <f t="shared" ca="1" si="66"/>
        <v>paa</v>
      </c>
      <c r="DY6" s="48" t="str">
        <f t="shared" ca="1" si="19"/>
        <v/>
      </c>
      <c r="DZ6" s="48" t="str">
        <f t="shared" ca="1" si="40"/>
        <v/>
      </c>
      <c r="EA6" s="48" t="str">
        <f t="shared" ca="1" si="41"/>
        <v/>
      </c>
      <c r="EB6" s="48">
        <f t="shared" ca="1" si="42"/>
        <v>0</v>
      </c>
      <c r="EC6" s="48">
        <f t="shared" ca="1" si="43"/>
        <v>0</v>
      </c>
      <c r="ED6" s="48" t="str">
        <f t="shared" ca="1" si="44"/>
        <v/>
      </c>
      <c r="EE6" s="48">
        <f t="shared" ca="1" si="45"/>
        <v>0</v>
      </c>
      <c r="EF6" s="48" t="str">
        <f t="shared" ca="1" si="46"/>
        <v/>
      </c>
      <c r="EG6" s="48">
        <f t="shared" ca="1" si="47"/>
        <v>0</v>
      </c>
      <c r="EH6" s="48" t="str">
        <f t="shared" ca="1" si="48"/>
        <v/>
      </c>
      <c r="EI6" s="48">
        <f t="shared" ca="1" si="49"/>
        <v>0</v>
      </c>
      <c r="EJ6" s="48" t="str">
        <f t="shared" ca="1" si="50"/>
        <v/>
      </c>
      <c r="EK6" s="48">
        <f t="shared" ca="1" si="51"/>
        <v>0</v>
      </c>
      <c r="EL6" s="48">
        <f t="shared" ca="1" si="20"/>
        <v>0</v>
      </c>
      <c r="EM6" s="48">
        <f ca="1">IF(EL6&gt;=0,0,MAX($EM$2:EM5)+1)</f>
        <v>0</v>
      </c>
      <c r="EN6" s="48" t="str">
        <f t="shared" ca="1" si="21"/>
        <v/>
      </c>
      <c r="EO6" s="48" t="str">
        <f ca="1">IFERROR(INDEX($EM$3:$EN$400,MATCH(ROWS($EO$3:EO6),$EM$3:$EM$400,0),2),"")</f>
        <v/>
      </c>
      <c r="EP6" s="48">
        <f>ROW()</f>
        <v>6</v>
      </c>
      <c r="EQ6" s="48">
        <f t="shared" ca="1" si="22"/>
        <v>0</v>
      </c>
      <c r="ER6" s="48">
        <f ca="1">IF(ISNA(EQ6)=TRUE,MAX($ER$2:ER5)+1,0)</f>
        <v>0</v>
      </c>
      <c r="ES6" s="48" t="str">
        <f t="shared" ca="1" si="52"/>
        <v/>
      </c>
      <c r="ET6" s="48" t="str">
        <f ca="1">IFERROR(INDEX($ER$3:$ES$400,MATCH(ROWS($ET$3:ET6),$ER$3:$ER$400,0),2),"")</f>
        <v/>
      </c>
      <c r="EU6" s="48">
        <f ca="1">IF(ROUND(SUMIFS(COPIA!$CA$3:$CA$400,COPIA!$CC$3:$CC$400,CF6)-SUMIFS(COPIA!$CB$3:$CB$400,COPIA!$CC$3:$CC$400,CF6),0)&lt;0,1,0)</f>
        <v>0</v>
      </c>
      <c r="EV6" s="48">
        <f ca="1">IFERROR(INDEX(LIBRO_GIORNALE!$O$11:$P$408,MATCH(ROWS($EV$2:EV5),LIBRO_GIORNALE!$P$11:$P$408,0),1),0)</f>
        <v>0</v>
      </c>
      <c r="EW6" s="48" t="str">
        <f t="shared" ca="1" si="53"/>
        <v>0</v>
      </c>
      <c r="EX6" s="48">
        <f t="shared" ca="1" si="54"/>
        <v>0</v>
      </c>
      <c r="EY6" s="48">
        <f ca="1">IF(EX6&gt;0,MAX($EY$2:EY5)+1,0)</f>
        <v>0</v>
      </c>
      <c r="EZ6" s="48">
        <f ca="1">IFERROR(INDEX($EX$3:$EX$400,MATCH(ROWS($EZ$3:EZ6),$EY$3:$EY$400,0),1),0)</f>
        <v>0</v>
      </c>
      <c r="FA6" s="48">
        <f ca="1">IF(EZ6&gt;0,0,MAX($FA$2:FA5)+1)</f>
        <v>4</v>
      </c>
      <c r="FB6" s="48">
        <f t="shared" ca="1" si="55"/>
        <v>0</v>
      </c>
      <c r="FC6" s="48">
        <f t="shared" ca="1" si="56"/>
        <v>4</v>
      </c>
      <c r="FD6" s="48">
        <f t="shared" ca="1" si="57"/>
        <v>4</v>
      </c>
      <c r="FE6" s="48">
        <f ca="1">IF(FD6=0,0,MAX($FE$2:FE5)+1)</f>
        <v>4</v>
      </c>
      <c r="FF6" s="48">
        <f ca="1">IFERROR(INDEX($FD$3:$FE$400,MATCH(ROWS($FF$3:FF6),$FE$3:$FE$400,0),1),"")</f>
        <v>4</v>
      </c>
      <c r="FH6" s="48">
        <f t="shared" ca="1" si="58"/>
        <v>0</v>
      </c>
      <c r="FI6" s="48">
        <f ca="1">IF(FH6&lt;&gt;0,MAX($FI$2:FI5)+1,0)</f>
        <v>0</v>
      </c>
      <c r="FJ6" s="48" t="str">
        <f ca="1">IFERROR(INDEX($FH$3:$FI$400,MATCH(ROWS($FJ$3:FJ6),$FI$3:$FI$400,0),1),"")</f>
        <v>BANCA Y C/C</v>
      </c>
      <c r="FK6" s="48">
        <f ca="1">IF(ABS(SUMIFS(DARE,DEN_G,"="&amp;FJ6,DATA,"&lt;="&amp;FINE_AC,DATA,"&gt;="&amp;INIZIO_A_PC)-SUMIFS(AVERE,DEN_G,"="&amp;FJ6,DATA,"&lt;="&amp;FINE_AC,DATA,"&gt;="&amp;INIZIO_A_PC))&gt;0,MAX($FK$2:FK5)+1,0)</f>
        <v>0</v>
      </c>
      <c r="FL6" s="48" t="str">
        <f ca="1">IF(AND(ROW()-2&lt;&gt;1,ROW()-2&lt;=$FK$1),CONCATENATE(" - ",IFERROR(INDEX($FJ$3:$FK$400,MATCH(ROWS($FL$3:FL6),$FK$3:$FK$400,0),1),"")),IFERROR(INDEX($FJ$3:$FK$400,MATCH(ROWS($FL$3:FL6),$FK$3:$FK$400,0),1),""))</f>
        <v/>
      </c>
      <c r="FM6" s="48">
        <f ca="1">IF(OR(B6="IVA ns/credito",B6="IVA NS/DEBITO",B6="IVA C/ACCONTO",B6="IMPOSTE C/ACCONTO",B6="CREDITI PER RITENUTE SUBITE",B6="CREDITI D'IMPOSTA"),MAX($FM$2:FM5)+1,0)</f>
        <v>0</v>
      </c>
      <c r="FN6" s="48" t="str">
        <f t="shared" ca="1" si="59"/>
        <v/>
      </c>
      <c r="FO6" s="48" t="str">
        <f ca="1">IFERROR(INDEX($FM$3:$FN$400,MATCH(ROWS($FO$3:FO6),$FM$3:$FM$400,0),2),"")</f>
        <v>CREDITI PER RITENUTE SUBITE</v>
      </c>
      <c r="FP6" s="48">
        <f ca="1">IF(ABS(SUMIFS(DARE,DEN_G,"="&amp;FO6,DATA,"&lt;="&amp;FINE_AC,DATA,"&gt;="&amp;INIZIO_A_PC)-SUMIFS(AVERE,DEN_G,"="&amp;FO6,DATA,"&lt;="&amp;FINE_AC,DATA,"&gt;="&amp;INIZIO_A_PC))&gt;0,MAX($FP$2:FP5)+1,0)</f>
        <v>0</v>
      </c>
      <c r="FQ6" s="48" t="str">
        <f ca="1">IF(AND(ROW()-2&lt;&gt;1,ROW()-2&lt;=$FP$1),CONCATENATE(" - ",IFERROR(INDEX($FO$3:$FP$400,MATCH(ROWS($FQ$3:FQ6),$FP$3:$FP$400,0),1),"")),IFERROR(INDEX($FO$3:$FP$400,MATCH(ROWS($FQ$3:FQ6),$FP$3:$FP$400,0),1),""))</f>
        <v/>
      </c>
    </row>
    <row r="7" spans="1:173" x14ac:dyDescent="0.3">
      <c r="A7" s="48" t="str">
        <f ca="1">IFERROR(IF($A$1=2,INDEX($DH$3:$DN$401,MATCH(ROWS(A$3:A7),$DN$3:$DN$401,0),COLUMN()),IF($A$1=1,INDEX($DQ$3:$DW$401,MATCH(ROWS(A$3:A7),$DW$3:$DW$401,0),COLUMN()),"")),"")</f>
        <v>01.00</v>
      </c>
      <c r="B7" s="48" t="str">
        <f ca="1">IFERROR(IF($A$1=2,INDEX($DH$3:$DN$401,MATCH(ROWS(B$3:B7),$DN$3:$DN$401,0),COLUMN()),IF($A$1=1,INDEX($DQ$3:$DW$400,MATCH(ROWS(B$3:B7),$DW$3:$DW$401,0),COLUMN()),"")),"")</f>
        <v>IMMOBILIZZAZIONI IMMATERIALI</v>
      </c>
      <c r="C7" s="48">
        <f ca="1">IFERROR(IF($A$1=2,INDEX($DH$3:$DN$401,MATCH(ROWS(C$3:C7),$DN$3:$DN$401,0),COLUMN()),IF($A$1=1,INDEX($DQ$3:$DW$401,MATCH(ROWS(C$3:C7),$DW$3:$DW$401,0),COLUMN()),"")),"")</f>
        <v>0</v>
      </c>
      <c r="D7" s="48">
        <f ca="1">IFERROR(IF($A$1=2,INDEX($DH$3:$DN$401,MATCH(ROWS(D$3:D7),$DN$3:$DN$401,0),COLUMN()),IF($A$1=1,INDEX($DQ$3:$DW$401,MATCH(ROWS(D$3:D7),$DW$3:$DW$401,0),COLUMN()),"")),"")</f>
        <v>0</v>
      </c>
      <c r="E7" s="48">
        <f ca="1">IFERROR(IF($A$1=2,INDEX($DH$3:$DN$401,MATCH(ROWS(E$3:E7),$DN$3:$DN$401,0),COLUMN()),IF($A$1=1,INDEX($DQ$3:$DW$401,MATCH(ROWS(E$3:E7),$DW$3:$DW$401,0),COLUMN()),"")),"")</f>
        <v>0</v>
      </c>
      <c r="F7" s="48">
        <f ca="1">IFERROR(IF($A$1=2,INDEX($DH$3:$DN$401,MATCH(ROWS(F$3:F7),$DN$3:$DN$401,0),COLUMN()),IF($A$1=1,INDEX($DQ$3:$DX$401,MATCH(ROWS(F$3:F7),$DW$3:$DW$401,0),COLUMN()),"")),"")</f>
        <v>0</v>
      </c>
      <c r="G7" s="48" t="str">
        <f t="shared" ca="1" si="23"/>
        <v>0</v>
      </c>
      <c r="H7" s="48">
        <f ca="1">IFERROR(IF($A$1=2,INDEX($DH$3:$DO$400,MATCH(ROWS(H$3:H7),$DN$3:$DN$400,0),COLUMN()),IF($A$1=1,INDEX($DQ$3:$DX$400,MATCH(ROWS(H$3:H7),$DW$3:$DW$400,0),COLUMN()),"")),"")</f>
        <v>0</v>
      </c>
      <c r="I7" s="48" t="str">
        <f t="shared" ca="1" si="0"/>
        <v/>
      </c>
      <c r="J7" s="48" t="str">
        <f t="shared" ca="1" si="24"/>
        <v/>
      </c>
      <c r="K7" s="48">
        <f t="shared" ca="1" si="25"/>
        <v>0</v>
      </c>
      <c r="L7" s="48">
        <f t="shared" ca="1" si="26"/>
        <v>0</v>
      </c>
      <c r="M7" s="48">
        <f ca="1">IFERROR(IF(IF(MID($A7,3,3)=".00",MID(A7,1,2),"")&lt;&gt;"",MAX($M$2:M6)+1,0),"")</f>
        <v>2</v>
      </c>
      <c r="N7" s="48" t="str">
        <f t="shared" ca="1" si="27"/>
        <v>01</v>
      </c>
      <c r="O7" s="48" t="str">
        <f ca="1">IF(IFERROR(INDEX($N$3:$O$400,MATCH(ROWS($O$3:O7),$M$3:$M$400,0),1),"")&lt;&gt;"",CONCATENATE(INDEX($N$3:$O$400,MATCH(ROWS($O$3:O7),$M$3:$M$400,0),1),".00"),"")</f>
        <v>04.00</v>
      </c>
      <c r="P7" s="48" t="str">
        <f t="shared" ca="1" si="28"/>
        <v>RIMANENZE</v>
      </c>
      <c r="Q7" s="48">
        <f ca="1">IF(M7&gt;=1,0,MAX($Q$2:Q6)+1)</f>
        <v>0</v>
      </c>
      <c r="R7" s="93">
        <f ca="1">IF(AND($U$2=1,S7&lt;&gt;""),MAX($R$2:R6)+1,0)</f>
        <v>0</v>
      </c>
      <c r="S7" s="48" t="s">
        <v>6</v>
      </c>
      <c r="T7" s="48" t="str">
        <f ca="1">IFERROR(INDEX($R$3:$S$64,MATCH(ROWS($T$2:T6),$R$3:$R$64,0),2),"")</f>
        <v>IMMOBILIZZAZIONI FINANZIARIE</v>
      </c>
      <c r="U7" s="48" t="str">
        <f ca="1">IFERROR(INDEX(PDC,MATCH(ROWS(U$3:U7),$V$3:$V$400,0),2),"")</f>
        <v>COSTI DI AMPLIAMENTO</v>
      </c>
      <c r="V7" s="48">
        <f ca="1">IF(AND($T$1="VISUALIZZA TUTTI I CONTI",AA7&lt;&gt;""),MAX($V$2:V6)+1,IF(AND($U$2=2,AI7=$T$1),MAX($V$2:V6)+1,IF(AND($U$2=1,$T$1=AF7),MAX($V$2:V6)+1,0)))</f>
        <v>5</v>
      </c>
      <c r="AA7" s="48" t="str">
        <f t="shared" ca="1" si="29"/>
        <v>01.00</v>
      </c>
      <c r="AB7" s="48" t="str">
        <f ca="1">IFERROR(INDEX($A$3:$G$400,MATCH(ROWS(AB$3:AB7),$Q$3:$Q$400,0),1),"")</f>
        <v>01.02</v>
      </c>
      <c r="AC7" s="48" t="str">
        <f ca="1">IFERROR(INDEX($A$3:$G$400,MATCH(ROWS($AC$3:AC7),$Q$3:$Q$400,0),2),"")</f>
        <v>COSTI DI AMPLIAMENTO</v>
      </c>
      <c r="AD7" s="48" t="str">
        <f ca="1">IFERROR(INDEX($A$3:$G$400,MATCH(ROWS(AD$3:AD7),$Q$3:$Q$400,0),3),"")</f>
        <v>E</v>
      </c>
      <c r="AE7" s="48" t="str">
        <f ca="1">IFERROR(INDEX($A$3:$G$400,MATCH(ROWS(AE$3:AE7),$Q$3:$Q$400,0),4),"")</f>
        <v>D</v>
      </c>
      <c r="AF7" s="48" t="str">
        <f ca="1">IFERROR(INDEX($A$3:$G$400,MATCH(ROWS(AF$3:AF7),$Q$3:$Q$400,0),5),"")</f>
        <v>COSTI PLURIENNALI</v>
      </c>
      <c r="AG7" s="48" t="str">
        <f ca="1">IFERROR(INDEX($A$3:$G$400,MATCH(ROWS(AG$3:AG7),$Q$3:$Q$400,0),6),"")</f>
        <v>SP DARE</v>
      </c>
      <c r="AH7" s="48" t="str">
        <f ca="1">IFERROR(INDEX($A$3:$G$400,MATCH(ROWS(AH$3:AH7),$Q$3:$Q$400,0),7),"")</f>
        <v>SP</v>
      </c>
      <c r="AI7" s="48" t="str">
        <f t="shared" ca="1" si="1"/>
        <v>IMMOBILIZZAZIONI IMMATERIALI</v>
      </c>
      <c r="AJ7" s="48" t="str">
        <f ca="1">IFERROR(INDEX($A$3:$H$400,MATCH(ROWS(AJ$3:AJ7),$Q$3:$Q$400,0),8),"")</f>
        <v>pab1</v>
      </c>
      <c r="AK7" s="48">
        <f t="shared" ca="1" si="2"/>
        <v>0</v>
      </c>
      <c r="AL7" s="48">
        <f t="shared" ca="1" si="3"/>
        <v>0</v>
      </c>
      <c r="AM7" s="48">
        <f t="shared" ca="1" si="30"/>
        <v>0</v>
      </c>
      <c r="AN7" s="48" t="str">
        <f t="shared" ca="1" si="31"/>
        <v/>
      </c>
      <c r="AO7" s="48">
        <f t="shared" ca="1" si="32"/>
        <v>0</v>
      </c>
      <c r="AP7" s="48">
        <f t="shared" ca="1" si="32"/>
        <v>0</v>
      </c>
      <c r="AQ7" s="48" t="str">
        <f t="shared" ca="1" si="4"/>
        <v>COSTI DI AMPLIAMENTO</v>
      </c>
      <c r="AR7" s="48">
        <f t="shared" ca="1" si="5"/>
        <v>0</v>
      </c>
      <c r="AS7" s="48">
        <f t="shared" ca="1" si="6"/>
        <v>0</v>
      </c>
      <c r="AT7" s="48">
        <f t="shared" ca="1" si="33"/>
        <v>0</v>
      </c>
      <c r="AU7" s="48">
        <f t="shared" ca="1" si="34"/>
        <v>0</v>
      </c>
      <c r="AV7" s="48">
        <f ca="1">IF(OR(AT7&gt;0,AU7&gt;0),MAX($AV$2:AV6)+1,0)</f>
        <v>0</v>
      </c>
      <c r="AZ7" s="241" t="str">
        <f t="shared" ca="1" si="35"/>
        <v/>
      </c>
      <c r="BA7" s="48">
        <f t="shared" ca="1" si="7"/>
        <v>0</v>
      </c>
      <c r="BB7" s="48">
        <f ca="1">IFERROR(INDEX($AQ$3:$AV$220,MATCH(ROWS($BB$3:BB7),$AV$3:$AV$220,0),1),0)</f>
        <v>0</v>
      </c>
      <c r="BC7" s="48" t="str">
        <f t="shared" ca="1" si="36"/>
        <v/>
      </c>
      <c r="BD7" s="48">
        <f ca="1">IFERROR(INDEX($AQ$3:$AV$220,MATCH(ROWS($BB$3:BD7),$AV$3:$AV$220,0),4),0)</f>
        <v>0</v>
      </c>
      <c r="BE7" s="48">
        <f ca="1">IFERROR(INDEX($AQ$3:$AV$220,MATCH(ROWS($BB$3:BE7),$AV$3:$AV$220,0),5),0)</f>
        <v>0</v>
      </c>
      <c r="BG7" s="48">
        <f ca="1">IF(IF(AND(OR(INDEX(PDC,MATCH($AC7,DEN_PDC,0),6)="SP DARE",INDEX(PDC,MATCH($AC7,DEN_PDC,0),6)="SP DARE/AVERE"),SUMIFS(DARE,DEN_G,$AC7)&gt;=SUMIFS(AVERE,DEN_G,$AC7)),SUMIFS(DARE,DEN_G,$AC7)-SUMIFS(AVERE,DEN_G,$AC7),0)&gt;0,MAX($BG$2:BG6)+1,0)</f>
        <v>0</v>
      </c>
      <c r="BH7" s="48">
        <f ca="1">IF(IF(AND(OR(INDEX(PDC,MATCH($AC7,DEN_PDC,0),6)="SP AVERE",INDEX(PDC,MATCH($AC7,DEN_PDC,0),6)="SP DARE/AVERE"),SUMIFS(AVERE,DEN_G,$AC7)&gt;=SUMIFS(DARE,DEN_G,$AC7)),SUMIFS(AVERE,DEN_G,$AC7)-SUMIFS(DARE,DEN_G,$AC7),0)&gt;0,MAX(BH$2:BH6)+1,0)</f>
        <v>0</v>
      </c>
      <c r="BI7" s="48">
        <f ca="1">IF(IF(AND(OR(INDEX(PDC,MATCH($AC7,DEN_PDC,0),6)="SE DARE",INDEX(PDC,MATCH($AC7,DEN_PDC,0),6)="SE DARE/AVERE"),SUMIFS(DARE,DEN_G,$AC7)&gt;=SUMIFS(AVERE,DEN_G,$AC7)),SUMIFS(DARE,DEN_G,$AC7)-SUMIFS(AVERE,DEN_G,$AC7),0)&gt;0,MAX(BI$2:BI6)+1,0)</f>
        <v>0</v>
      </c>
      <c r="BJ7" s="48">
        <f ca="1">IF(IF(AND(OR(INDEX(PDC,MATCH($AC7,DEN_PDC,0),6)="SE AVERE",INDEX(PDC,MATCH($AC7,DEN_PDC,0),6)="SE DARE/AVERE"),SUMIFS(AVERE,DEN_G,$AC7)&gt;=SUMIFS(DARE,DEN_G,$AC7)),SUMIFS(AVERE,DEN_G,$AC7)-SUMIFS(DARE,DEN_G,$AC7),0)&gt;0,MAX(BJ$2:BJ6)+1,0)</f>
        <v>0</v>
      </c>
      <c r="BK7" s="48" t="str">
        <f ca="1">IF(AND(AND($DY$2=0,$DY$1=0),$I$1=2,ROW()&gt;$BG$1+2,ROW()&lt;=$BG$1+4),"………………..",IF(AND(OR($DY$2&gt;0,$DY$1&gt;0),$I$1=2,ROW()&gt;$BG$1+2,ROW()&lt;=$BG$1+4),"………………..",IFERROR(INDEX($AC$3:$AC$398,MATCH(ROWS(BK$3:BK7),BG$3:BG$398,0),1),"")))</f>
        <v/>
      </c>
      <c r="BL7" s="48">
        <f t="shared" ca="1" si="8"/>
        <v>0</v>
      </c>
      <c r="BM7" s="48" t="str">
        <f ca="1">IF(AND(OR($DY$2=0,$DY$1=0),$I$1=2,ROW()&gt;$BH$1+2,ROW()&lt;=$BH$1+4),"………………..",IF(AND(OR($DY$2&gt;0,$DY$1&gt;0),$I$1=2,ROW()&gt;$BH$1+2,ROW()&lt;=$BH$1+4),"………………..",IFERROR(INDEX($AC$3:$AC$400,MATCH(ROWS(BM$3:BM7),BH$3:BH$400,0),1),"")))</f>
        <v/>
      </c>
      <c r="BN7" s="48">
        <f t="shared" ca="1" si="9"/>
        <v>0</v>
      </c>
      <c r="BO7" s="48" t="str">
        <f ca="1">IF(AND(OR($DY$2=0,$DY$1=0),$I$1=2,ROW()&gt;$BI$1+2,ROW()&lt;=$BI$1+4),"………………..",IF(AND(OR($DY$2&gt;0,$DY$1&gt;0),$I$1=2,ROW()&gt;$BI$1+2,ROW()&lt;=$BI$1+4),"………………..",IFERROR(INDEX($AC$3:$AC$400,MATCH(ROWS(BO$3:BO7),BI$3:BI$400,0),1),"")))</f>
        <v/>
      </c>
      <c r="BP7" s="48">
        <f t="shared" ca="1" si="10"/>
        <v>0</v>
      </c>
      <c r="BQ7" s="48" t="str">
        <f ca="1">IF(AND(OR($DY$2=0,$DY$1=0),$I$1=2,ROW()&gt;$BJ$1+2,ROW()&lt;=$BJ$1+4),"………………..",IF(AND(OR($DY$2&gt;0,$DY$1&gt;0),$I$1=2,ROW()&gt;$BJ$1+2,ROW()&lt;=$BJ$1+4),"………………..",IFERROR(INDEX($AC$3:$AC$400,MATCH(ROWS(BQ$3:BQ7),BJ$3:BJ$400,0),1),"")))</f>
        <v/>
      </c>
      <c r="BR7" s="48">
        <f t="shared" ca="1" si="11"/>
        <v>0</v>
      </c>
      <c r="BS7" s="48">
        <f ca="1">IF(IF(AND(OR(INDEX(PDC,MATCH($AC7,DEN_PDC,0),4)="D",INDEX(PDC,MATCH($AC7,DEN_PDC,0),4)="D/A"),SUMIFS(DARE,DEN_G,$AC7)&gt;=SUMIFS(AVERE,DEN_G,$AC7)),SUMIFS(DARE,DEN_G,$AC7),IF(AND(OR(INDEX(PDC,MATCH($AC7,DEN_PDC,0),4)="A",INDEX(PDC,MATCH($AC7,DEN_PDC,0),4)="D/A"),SUMIFS(AVERE,DEN_G,$AC7)&gt;=SUMIFS(DARE,DEN_G,$AC7)),SUMIFS(AVERE,DEN_G,$AC7),))&gt;0,MAX($BS$2:BS6)+1,0)</f>
        <v>0</v>
      </c>
      <c r="BT7" s="48" t="str">
        <f ca="1">IF($CO$1=0,"",IF(AND($I$1=2,ROW()&gt;$BR$1,ROW()&lt;=$BS$1)," …………….",IF(AND($E$1=1,$BX$1=1,$I$1=2,ROW()=$BQ$1),"TOTALI",IFERROR(INDEX(PDC,MATCH(ROWS(BT$3:BT7),BS$3:BS404,0),2),""))))</f>
        <v/>
      </c>
      <c r="BU7" s="48">
        <f t="shared" ca="1" si="12"/>
        <v>0</v>
      </c>
      <c r="BV7" s="48">
        <f t="shared" ca="1" si="13"/>
        <v>0</v>
      </c>
      <c r="BW7" s="48">
        <f t="shared" ca="1" si="14"/>
        <v>0</v>
      </c>
      <c r="BX7" s="48">
        <f t="shared" ca="1" si="15"/>
        <v>0</v>
      </c>
      <c r="BY7" s="48">
        <f ca="1">IF(OR(BW7&gt;0,BX7&gt;0),MAX($BY$2:BY6)+1,0)</f>
        <v>0</v>
      </c>
      <c r="BZ7" s="48" t="str">
        <f ca="1">IFERROR(INDEX($BT$3:$BY$400,MATCH(ROWS(BZ$3:BZ7),$BY$3:$BY$400,0),1),"")</f>
        <v/>
      </c>
      <c r="CA7" s="48" t="str">
        <f ca="1">IFERROR(INDEX($BT$3:$BY$400,MATCH(ROWS(CA$3:CA7),$BY$3:$BY$400,0),4),"")</f>
        <v/>
      </c>
      <c r="CB7" s="48" t="str">
        <f ca="1">IFERROR(INDEX($BT$3:$BY$400,MATCH(ROWS(CB$3:CB7),$BY$3:$BY$400,0),5),"")</f>
        <v/>
      </c>
      <c r="CC7" s="48" t="str">
        <f t="shared" ca="1" si="16"/>
        <v/>
      </c>
      <c r="CD7" s="48">
        <f ca="1">IF(AND($BF$9=1,CE7&lt;&gt;0),MAX($CD$2:CD6)+1,0)</f>
        <v>0</v>
      </c>
      <c r="CE7" s="48">
        <f ca="1">IF(ROUND(SUMIFS(COPIA!$CA$3:$CA$400,COPIA!$CC$3:$CC$400,CF7)-SUMIFS(COPIA!$CB$3:$CB$400,COPIA!$CC$3:$CC$400,CF7),0)&lt;0,0,ROUND(SUMIFS(COPIA!$CA$3:$CA$400,COPIA!$CC$3:$CC$400,CF7)-SUMIFS(COPIA!$CB$3:$CB$400,COPIA!$CC$3:$CC$400,CF7),0))</f>
        <v>0</v>
      </c>
      <c r="CF7" s="48" t="s">
        <v>618</v>
      </c>
      <c r="CG7" s="242" t="s">
        <v>769</v>
      </c>
      <c r="CH7" s="242">
        <f ca="1">CE7</f>
        <v>0</v>
      </c>
      <c r="CI7" s="242"/>
      <c r="CJ7" s="242"/>
      <c r="CL7" s="242"/>
      <c r="CM7" s="242" t="str">
        <f t="shared" ca="1" si="37"/>
        <v/>
      </c>
      <c r="CN7" s="243">
        <f t="shared" ca="1" si="38"/>
        <v>0</v>
      </c>
      <c r="CO7" s="48" t="str">
        <f t="shared" ca="1" si="39"/>
        <v/>
      </c>
      <c r="CQ7" s="48" t="str">
        <f ca="1">IFERROR(IF($AY$1&lt;&gt;0,"Se il conto GESTIONE TITOLI risulta acceso, solo la situazione contabile dell'anno in cui lo stesso è movimentato riporta i totali.",IF(EU3&gt;0,"Verifica che i conti accesi alle rettifiche abbiano un importo inferiore a quello dei conti da rettificare.","")),"")</f>
        <v/>
      </c>
      <c r="CR7" s="242">
        <f ca="1">IF(CQ7="",0,MAX($CR$2:CR6)+1)</f>
        <v>0</v>
      </c>
      <c r="CT7" s="242"/>
      <c r="CU7" s="48">
        <f ca="1">IF(SUMIFS(AVERE,DEN_G,AC7,AVERE,"&gt;"&amp;0)+SUMIFS(DARE,DEN_G,AC7,DARE,"&gt;"&amp;0)&gt;0,MAX($CU$2:CU6)+1,0)</f>
        <v>0</v>
      </c>
      <c r="CV7" s="48" t="str">
        <f ca="1">IF(IFERROR(INDEX(PDC,MATCH(ROWS($CV$3:CV7),$CU$3:$CU$400,0),2),"")="CONTO DI RISULTATO ECONOMICO","",IFERROR(INDEX(PDC,MATCH(ROWS($CV$3:CV7),$CU$3:$CU$400,0),2),""))</f>
        <v/>
      </c>
      <c r="CW7" s="48">
        <f ca="1">IFERROR(IF(CV7&lt;&gt;"",MAX($CW$2:CW6)+1,0),0)</f>
        <v>0</v>
      </c>
      <c r="CX7" s="48">
        <f t="shared" ca="1" si="17"/>
        <v>1</v>
      </c>
      <c r="CY7" s="48" t="str">
        <f t="shared" ca="1" si="18"/>
        <v>MASTRO</v>
      </c>
      <c r="CZ7" s="48" t="e">
        <f t="shared" ca="1" si="60"/>
        <v>#N/A</v>
      </c>
      <c r="DA7" s="48" t="str">
        <f t="shared" ca="1" si="67"/>
        <v/>
      </c>
      <c r="DB7" s="48" t="str">
        <f t="shared" ca="1" si="61"/>
        <v/>
      </c>
      <c r="DC7" s="48" t="str">
        <f t="shared" ca="1" si="62"/>
        <v/>
      </c>
      <c r="DD7" s="48" t="str">
        <f t="shared" ca="1" si="63"/>
        <v/>
      </c>
      <c r="DE7" s="48" t="str">
        <f t="shared" ca="1" si="64"/>
        <v/>
      </c>
      <c r="DF7" s="48">
        <f ca="1">IF(AND(CX7=$DF$1,CX7&lt;&gt;""),0,IF(AND(DB7&lt;&gt;"",OR(DB6&lt;&gt;"",DB8&lt;&gt;"")),MAX($DF$2:DF6)+1,0))</f>
        <v>0</v>
      </c>
      <c r="DG7" s="48">
        <f ca="1">IF(INDIRECT(ADDRESS(ROW()+8,11,,,"PIANO_DEI_CONTI"))&lt;&gt;0,UPPER(INDIRECT(ADDRESS(ROW()+8,11,,,"PIANO_DEI_CONTI"))),INDIRECT(ADDRESS(ROW()+8,11,,,"PIANO_DEI_CONTI")))</f>
        <v>0</v>
      </c>
      <c r="DH7" s="244" t="s">
        <v>324</v>
      </c>
      <c r="DI7" s="48" t="str">
        <f ca="1">IFERROR(IF(AND($DL$1=TRUE,DG7&lt;&gt;0),CONCATENATE("SOCIO ",DG7," C/SOTTOSCRIZIONE"),IF(AND($DL$1=FALSE,DG7&lt;&gt;0),CONCATENATE("AZIONISTA ",DG7," C/SOTTOSCRIZIONE"),"")),"")</f>
        <v/>
      </c>
      <c r="DJ7" s="48" t="s">
        <v>312</v>
      </c>
      <c r="DK7" s="48" t="s">
        <v>275</v>
      </c>
      <c r="DL7" s="48" t="s">
        <v>6</v>
      </c>
      <c r="DM7" s="48" t="s">
        <v>270</v>
      </c>
      <c r="DN7" s="48">
        <f ca="1">IF(DI7&lt;&gt;"",MAX($DN$2:DN6)+1,0)</f>
        <v>0</v>
      </c>
      <c r="DO7" s="48" t="str">
        <f t="shared" ca="1" si="65"/>
        <v>paa</v>
      </c>
      <c r="DP7" s="48">
        <f ca="1">IF(INDIRECT(ADDRESS(ROW()+8,11,,,"PIANO_DEI_CONTI"))&lt;&gt;0,UPPER(INDIRECT(ADDRESS(ROW()+8,11,,,"PIANO_DEI_CONTI"))),INDIRECT(ADDRESS(ROW()+8,11,,,"PIANO_DEI_CONTI")))</f>
        <v>0</v>
      </c>
      <c r="DQ7" s="227" t="s">
        <v>469</v>
      </c>
      <c r="DR7" s="48" t="str">
        <f ca="1">IFERROR(IF(DP7&lt;&gt;0,CONCATENATE("SOCIO ",DP7," C/CONFERIMENTI"),""),"")</f>
        <v/>
      </c>
      <c r="DS7" s="48" t="s">
        <v>312</v>
      </c>
      <c r="DT7" s="48" t="s">
        <v>275</v>
      </c>
      <c r="DU7" s="48" t="s">
        <v>6</v>
      </c>
      <c r="DV7" s="48" t="s">
        <v>270</v>
      </c>
      <c r="DW7" s="48">
        <f ca="1">IF(DR7&lt;&gt;"",MAX($DW$2:DW6)+1,0)</f>
        <v>0</v>
      </c>
      <c r="DX7" s="48" t="str">
        <f t="shared" ca="1" si="66"/>
        <v>paa</v>
      </c>
      <c r="DY7" s="48" t="str">
        <f t="shared" ca="1" si="19"/>
        <v/>
      </c>
      <c r="DZ7" s="48" t="str">
        <f t="shared" ca="1" si="40"/>
        <v/>
      </c>
      <c r="EA7" s="48" t="str">
        <f t="shared" ca="1" si="41"/>
        <v/>
      </c>
      <c r="EB7" s="48">
        <f t="shared" ca="1" si="42"/>
        <v>0</v>
      </c>
      <c r="EC7" s="48">
        <f t="shared" ca="1" si="43"/>
        <v>0</v>
      </c>
      <c r="ED7" s="48" t="str">
        <f t="shared" ca="1" si="44"/>
        <v/>
      </c>
      <c r="EE7" s="48">
        <f t="shared" ca="1" si="45"/>
        <v>0</v>
      </c>
      <c r="EF7" s="48" t="str">
        <f t="shared" ca="1" si="46"/>
        <v/>
      </c>
      <c r="EG7" s="48">
        <f t="shared" ca="1" si="47"/>
        <v>0</v>
      </c>
      <c r="EH7" s="48" t="str">
        <f t="shared" ca="1" si="48"/>
        <v/>
      </c>
      <c r="EI7" s="48">
        <f t="shared" ca="1" si="49"/>
        <v>0</v>
      </c>
      <c r="EJ7" s="48" t="str">
        <f t="shared" ca="1" si="50"/>
        <v/>
      </c>
      <c r="EK7" s="48">
        <f t="shared" ca="1" si="51"/>
        <v>0</v>
      </c>
      <c r="EL7" s="48">
        <f t="shared" ca="1" si="20"/>
        <v>0</v>
      </c>
      <c r="EM7" s="48">
        <f ca="1">IF(EL7&gt;=0,0,MAX($EM$2:EM6)+1)</f>
        <v>0</v>
      </c>
      <c r="EN7" s="48" t="str">
        <f t="shared" ca="1" si="21"/>
        <v/>
      </c>
      <c r="EO7" s="48" t="str">
        <f ca="1">IFERROR(INDEX($EM$3:$EN$400,MATCH(ROWS($EO$3:EO7),$EM$3:$EM$400,0),2),"")</f>
        <v/>
      </c>
      <c r="EP7" s="48">
        <f>ROW()</f>
        <v>7</v>
      </c>
      <c r="EQ7" s="48">
        <f t="shared" ca="1" si="22"/>
        <v>0</v>
      </c>
      <c r="ER7" s="48">
        <f ca="1">IF(ISNA(EQ7)=TRUE,MAX($ER$2:ER6)+1,0)</f>
        <v>0</v>
      </c>
      <c r="ES7" s="48" t="str">
        <f t="shared" ca="1" si="52"/>
        <v/>
      </c>
      <c r="ET7" s="48" t="str">
        <f ca="1">IFERROR(INDEX($ER$3:$ES$400,MATCH(ROWS($ET$3:ET7),$ER$3:$ER$400,0),2),"")</f>
        <v/>
      </c>
      <c r="EU7" s="48">
        <f ca="1">IF(ROUND(SUMIFS(COPIA!$CA$3:$CA$400,COPIA!$CC$3:$CC$400,CF7)-SUMIFS(COPIA!$CB$3:$CB$400,COPIA!$CC$3:$CC$400,CF7),0)&lt;0,1,0)</f>
        <v>0</v>
      </c>
      <c r="EV7" s="48">
        <f ca="1">IFERROR(INDEX(LIBRO_GIORNALE!$O$11:$P$408,MATCH(ROWS($EV$2:EV6),LIBRO_GIORNALE!$P$11:$P$408,0),1),0)</f>
        <v>0</v>
      </c>
      <c r="EW7" s="48" t="str">
        <f t="shared" ca="1" si="53"/>
        <v>0</v>
      </c>
      <c r="EX7" s="48">
        <f t="shared" ca="1" si="54"/>
        <v>0</v>
      </c>
      <c r="EY7" s="48">
        <f ca="1">IF(EX7&gt;0,MAX($EY$2:EY6)+1,0)</f>
        <v>0</v>
      </c>
      <c r="EZ7" s="48">
        <f ca="1">IFERROR(INDEX($EX$3:$EX$400,MATCH(ROWS($EZ$3:EZ7),$EY$3:$EY$400,0),1),0)</f>
        <v>0</v>
      </c>
      <c r="FA7" s="48">
        <f ca="1">IF(EZ7&gt;0,0,MAX($FA$2:FA6)+1)</f>
        <v>5</v>
      </c>
      <c r="FB7" s="48">
        <f t="shared" ca="1" si="55"/>
        <v>0</v>
      </c>
      <c r="FC7" s="48">
        <f t="shared" ca="1" si="56"/>
        <v>5</v>
      </c>
      <c r="FD7" s="48">
        <f t="shared" ca="1" si="57"/>
        <v>5</v>
      </c>
      <c r="FE7" s="48">
        <f ca="1">IF(FD7=0,0,MAX($FE$2:FE6)+1)</f>
        <v>5</v>
      </c>
      <c r="FF7" s="48">
        <f ca="1">IFERROR(INDEX($FD$3:$FE$400,MATCH(ROWS($FF$3:FF7),$FE$3:$FE$400,0),1),"")</f>
        <v>5</v>
      </c>
      <c r="FH7" s="48">
        <f t="shared" ca="1" si="58"/>
        <v>0</v>
      </c>
      <c r="FI7" s="48">
        <f ca="1">IF(FH7&lt;&gt;0,MAX($FI$2:FI6)+1,0)</f>
        <v>0</v>
      </c>
      <c r="FJ7" s="48" t="str">
        <f ca="1">IFERROR(INDEX($FH$3:$FI$400,MATCH(ROWS($FJ$3:FJ7),$FI$3:$FI$400,0),1),"")</f>
        <v>BANCA Z C/C</v>
      </c>
      <c r="FK7" s="48">
        <f ca="1">IF(ABS(SUMIFS(DARE,DEN_G,"="&amp;FJ7,DATA,"&lt;="&amp;FINE_AC,DATA,"&gt;="&amp;INIZIO_A_PC)-SUMIFS(AVERE,DEN_G,"="&amp;FJ7,DATA,"&lt;="&amp;FINE_AC,DATA,"&gt;="&amp;INIZIO_A_PC))&gt;0,MAX($FK$2:FK6)+1,0)</f>
        <v>0</v>
      </c>
      <c r="FL7" s="48" t="str">
        <f ca="1">IF(AND(ROW()-2&lt;&gt;1,ROW()-2&lt;=$FK$1),CONCATENATE(" - ",IFERROR(INDEX($FJ$3:$FK$400,MATCH(ROWS($FL$3:FL7),$FK$3:$FK$400,0),1),"")),IFERROR(INDEX($FJ$3:$FK$400,MATCH(ROWS($FL$3:FL7),$FK$3:$FK$400,0),1),""))</f>
        <v/>
      </c>
      <c r="FM7" s="48">
        <f ca="1">IF(OR(B7="IVA ns/credito",B7="IVA NS/DEBITO",B7="IVA C/ACCONTO",B7="IMPOSTE C/ACCONTO",B7="CREDITI PER RITENUTE SUBITE",B7="CREDITI D'IMPOSTA"),MAX($FM$2:FM6)+1,0)</f>
        <v>0</v>
      </c>
      <c r="FN7" s="48" t="str">
        <f t="shared" ca="1" si="59"/>
        <v/>
      </c>
      <c r="FO7" s="48" t="str">
        <f ca="1">IFERROR(INDEX($FM$3:$FN$400,MATCH(ROWS($FO$3:FO7),$FM$3:$FM$400,0),2),"")</f>
        <v>CREDITI D'IMPOSTA</v>
      </c>
      <c r="FP7" s="48">
        <f ca="1">IF(ABS(SUMIFS(DARE,DEN_G,"="&amp;FO7,DATA,"&lt;="&amp;FINE_AC,DATA,"&gt;="&amp;INIZIO_A_PC)-SUMIFS(AVERE,DEN_G,"="&amp;FO7,DATA,"&lt;="&amp;FINE_AC,DATA,"&gt;="&amp;INIZIO_A_PC))&gt;0,MAX($FP$2:FP6)+1,0)</f>
        <v>0</v>
      </c>
      <c r="FQ7" s="48" t="str">
        <f ca="1">IF(AND(ROW()-2&lt;&gt;1,ROW()-2&lt;=$FP$1),CONCATENATE(" - ",IFERROR(INDEX($FO$3:$FP$400,MATCH(ROWS($FQ$3:FQ7),$FP$3:$FP$400,0),1),"")),IFERROR(INDEX($FO$3:$FP$400,MATCH(ROWS($FQ$3:FQ7),$FP$3:$FP$400,0),1),""))</f>
        <v/>
      </c>
    </row>
    <row r="8" spans="1:173" x14ac:dyDescent="0.3">
      <c r="A8" s="48" t="str">
        <f ca="1">IFERROR(IF($A$1=2,INDEX($DH$3:$DN$401,MATCH(ROWS(A$3:A8),$DN$3:$DN$401,0),COLUMN()),IF($A$1=1,INDEX($DQ$3:$DW$401,MATCH(ROWS(A$3:A8),$DW$3:$DW$401,0),COLUMN()),"")),"")</f>
        <v>01.01</v>
      </c>
      <c r="B8" s="48" t="str">
        <f ca="1">IFERROR(IF($A$1=2,INDEX($DH$3:$DN$401,MATCH(ROWS(B$3:B8),$DN$3:$DN$401,0),COLUMN()),IF($A$1=1,INDEX($DQ$3:$DW$400,MATCH(ROWS(B$3:B8),$DW$3:$DW$401,0),COLUMN()),"")),"")</f>
        <v>COSTI DI IMPIANTO</v>
      </c>
      <c r="C8" s="48" t="str">
        <f ca="1">IFERROR(IF($A$1=2,INDEX($DH$3:$DN$401,MATCH(ROWS(C$3:C8),$DN$3:$DN$401,0),COLUMN()),IF($A$1=1,INDEX($DQ$3:$DW$401,MATCH(ROWS(C$3:C8),$DW$3:$DW$401,0),COLUMN()),"")),"")</f>
        <v>E</v>
      </c>
      <c r="D8" s="48" t="str">
        <f ca="1">IFERROR(IF($A$1=2,INDEX($DH$3:$DN$401,MATCH(ROWS(D$3:D8),$DN$3:$DN$401,0),COLUMN()),IF($A$1=1,INDEX($DQ$3:$DW$401,MATCH(ROWS(D$3:D8),$DW$3:$DW$401,0),COLUMN()),"")),"")</f>
        <v>D</v>
      </c>
      <c r="E8" s="48" t="str">
        <f ca="1">IFERROR(IF($A$1=2,INDEX($DH$3:$DN$401,MATCH(ROWS(E$3:E8),$DN$3:$DN$401,0),COLUMN()),IF($A$1=1,INDEX($DQ$3:$DW$401,MATCH(ROWS(E$3:E8),$DW$3:$DW$401,0),COLUMN()),"")),"")</f>
        <v>COSTI PLURIENNALI</v>
      </c>
      <c r="F8" s="48" t="str">
        <f ca="1">IFERROR(IF($A$1=2,INDEX($DH$3:$DN$401,MATCH(ROWS(F$3:F8),$DN$3:$DN$401,0),COLUMN()),IF($A$1=1,INDEX($DQ$3:$DX$401,MATCH(ROWS(F$3:F8),$DW$3:$DW$401,0),COLUMN()),"")),"")</f>
        <v>SP DARE</v>
      </c>
      <c r="G8" s="48" t="str">
        <f t="shared" ca="1" si="23"/>
        <v>SP</v>
      </c>
      <c r="H8" s="48" t="str">
        <f ca="1">IFERROR(IF($A$1=2,INDEX($DH$3:$DO$400,MATCH(ROWS(H$3:H8),$DN$3:$DN$400,0),COLUMN()),IF($A$1=1,INDEX($DQ$3:$DX$400,MATCH(ROWS(H$3:H8),$DW$3:$DW$400,0),COLUMN()),"")),"")</f>
        <v>pab1</v>
      </c>
      <c r="I8" s="48" t="str">
        <f t="shared" ca="1" si="0"/>
        <v/>
      </c>
      <c r="J8" s="48" t="str">
        <f t="shared" ca="1" si="24"/>
        <v/>
      </c>
      <c r="K8" s="48">
        <f t="shared" ca="1" si="25"/>
        <v>0</v>
      </c>
      <c r="L8" s="48">
        <f t="shared" ca="1" si="26"/>
        <v>0</v>
      </c>
      <c r="M8" s="48">
        <f ca="1">IFERROR(IF(IF(MID($A8,3,3)=".00",MID(A8,1,2),"")&lt;&gt;"",MAX($M$2:M7)+1,0),"")</f>
        <v>0</v>
      </c>
      <c r="N8" s="48" t="str">
        <f t="shared" ca="1" si="27"/>
        <v/>
      </c>
      <c r="O8" s="48" t="str">
        <f ca="1">IF(IFERROR(INDEX($N$3:$O$400,MATCH(ROWS($O$3:O8),$M$3:$M$400,0),1),"")&lt;&gt;"",CONCATENATE(INDEX($N$3:$O$400,MATCH(ROWS($O$3:O8),$M$3:$M$400,0),1),".00"),"")</f>
        <v>05.00</v>
      </c>
      <c r="P8" s="48" t="str">
        <f t="shared" ca="1" si="28"/>
        <v>CREDITI COMMERCIALI</v>
      </c>
      <c r="Q8" s="48">
        <f ca="1">IF(M8&gt;=1,0,MAX($Q$2:Q7)+1)</f>
        <v>4</v>
      </c>
      <c r="R8" s="93">
        <f ca="1">IF(AND($U$2=1,S8&lt;&gt;""),MAX($R$2:R7)+1,0)</f>
        <v>0</v>
      </c>
      <c r="S8" s="48" t="s">
        <v>82</v>
      </c>
      <c r="T8" s="48" t="str">
        <f ca="1">IFERROR(INDEX($R$3:$S$64,MATCH(ROWS($T$2:T7),$R$3:$R$64,0),2),"")</f>
        <v>RIMANENZE</v>
      </c>
      <c r="U8" s="48" t="str">
        <f ca="1">IFERROR(INDEX(PDC,MATCH(ROWS(U$3:U8),$V$3:$V$400,0),2),"")</f>
        <v>COSTI DI SVILUPPO</v>
      </c>
      <c r="V8" s="48">
        <f ca="1">IF(AND($T$1="VISUALIZZA TUTTI I CONTI",AA8&lt;&gt;""),MAX($V$2:V7)+1,IF(AND($U$2=2,AI8=$T$1),MAX($V$2:V7)+1,IF(AND($U$2=1,$T$1=AF8),MAX($V$2:V7)+1,0)))</f>
        <v>6</v>
      </c>
      <c r="W8" s="48">
        <f ca="1">COUNTIFS(INDIRECT(CONCATENATE(ADDRESS(3,7,,,"LIBRO_GIORNALE"),":",ADDRESS(200,7,,,))),"&gt;"&amp;0,INDIRECT(CONCATENATE(ADDRESS(3,8,,,"LIBRO_GIORNALE"),":",ADDRESS(200,8,,,))),"&gt;"&amp;0,INDIRECT(CONCATENATE(ADDRESS(3,4,,,"LIBRO_GIORNALE"),":",ADDRESS(200,4,,,))),"&gt;="&amp;INIZIO_A_PC,INDIRECT(CONCATENATE(ADDRESS(3,4,,,"LIBRO_GIORNALE"),":",ADDRESS(200,4,,,))),"&lt;="&amp;FINE_AC)</f>
        <v>0</v>
      </c>
      <c r="AA8" s="48" t="str">
        <f t="shared" ca="1" si="29"/>
        <v>01.00</v>
      </c>
      <c r="AB8" s="48" t="str">
        <f ca="1">IFERROR(INDEX($A$3:$G$400,MATCH(ROWS(AB$3:AB8),$Q$3:$Q$400,0),1),"")</f>
        <v>01.03</v>
      </c>
      <c r="AC8" s="48" t="str">
        <f ca="1">IFERROR(INDEX($A$3:$G$400,MATCH(ROWS($AC$3:AC8),$Q$3:$Q$400,0),2),"")</f>
        <v>COSTI DI SVILUPPO</v>
      </c>
      <c r="AD8" s="48" t="str">
        <f ca="1">IFERROR(INDEX($A$3:$G$400,MATCH(ROWS(AD$3:AD8),$Q$3:$Q$400,0),3),"")</f>
        <v>E</v>
      </c>
      <c r="AE8" s="48" t="str">
        <f ca="1">IFERROR(INDEX($A$3:$G$400,MATCH(ROWS(AE$3:AE8),$Q$3:$Q$400,0),4),"")</f>
        <v>D</v>
      </c>
      <c r="AF8" s="48" t="str">
        <f ca="1">IFERROR(INDEX($A$3:$G$400,MATCH(ROWS(AF$3:AF8),$Q$3:$Q$400,0),5),"")</f>
        <v>COSTI PLURIENNALI</v>
      </c>
      <c r="AG8" s="48" t="str">
        <f ca="1">IFERROR(INDEX($A$3:$G$400,MATCH(ROWS(AG$3:AG8),$Q$3:$Q$400,0),6),"")</f>
        <v>SP DARE</v>
      </c>
      <c r="AH8" s="48" t="str">
        <f ca="1">IFERROR(INDEX($A$3:$G$400,MATCH(ROWS(AH$3:AH8),$Q$3:$Q$400,0),7),"")</f>
        <v>SP</v>
      </c>
      <c r="AI8" s="48" t="str">
        <f t="shared" ca="1" si="1"/>
        <v>IMMOBILIZZAZIONI IMMATERIALI</v>
      </c>
      <c r="AJ8" s="48" t="str">
        <f ca="1">IFERROR(INDEX($A$3:$H$400,MATCH(ROWS(AJ$3:AJ8),$Q$3:$Q$400,0),8),"")</f>
        <v>pab1</v>
      </c>
      <c r="AK8" s="48">
        <f t="shared" ca="1" si="2"/>
        <v>0</v>
      </c>
      <c r="AL8" s="48">
        <f t="shared" ca="1" si="3"/>
        <v>0</v>
      </c>
      <c r="AM8" s="48">
        <f t="shared" ca="1" si="30"/>
        <v>0</v>
      </c>
      <c r="AN8" s="48" t="str">
        <f t="shared" ca="1" si="31"/>
        <v/>
      </c>
      <c r="AO8" s="48">
        <f t="shared" ca="1" si="32"/>
        <v>0</v>
      </c>
      <c r="AP8" s="48">
        <f t="shared" ca="1" si="32"/>
        <v>0</v>
      </c>
      <c r="AQ8" s="48" t="str">
        <f t="shared" ca="1" si="4"/>
        <v>COSTI DI SVILUPPO</v>
      </c>
      <c r="AR8" s="48">
        <f t="shared" ca="1" si="5"/>
        <v>0</v>
      </c>
      <c r="AS8" s="48">
        <f t="shared" ca="1" si="6"/>
        <v>0</v>
      </c>
      <c r="AT8" s="48">
        <f t="shared" ca="1" si="33"/>
        <v>0</v>
      </c>
      <c r="AU8" s="48">
        <f t="shared" ca="1" si="34"/>
        <v>0</v>
      </c>
      <c r="AV8" s="48">
        <f ca="1">IF(OR(AT8&gt;0,AU8&gt;0),MAX($AV$2:AV7)+1,0)</f>
        <v>0</v>
      </c>
      <c r="AZ8" s="241" t="str">
        <f t="shared" ca="1" si="35"/>
        <v/>
      </c>
      <c r="BA8" s="48">
        <f t="shared" ca="1" si="7"/>
        <v>0</v>
      </c>
      <c r="BB8" s="48">
        <f ca="1">IFERROR(INDEX($AQ$3:$AV$220,MATCH(ROWS($BB$3:BB8),$AV$3:$AV$220,0),1),0)</f>
        <v>0</v>
      </c>
      <c r="BC8" s="48" t="str">
        <f t="shared" ca="1" si="36"/>
        <v/>
      </c>
      <c r="BD8" s="48">
        <f ca="1">IFERROR(INDEX($AQ$3:$AV$220,MATCH(ROWS($BB$3:BD8),$AV$3:$AV$220,0),4),0)</f>
        <v>0</v>
      </c>
      <c r="BE8" s="48">
        <f ca="1">IFERROR(INDEX($AQ$3:$AV$220,MATCH(ROWS($BB$3:BE8),$AV$3:$AV$220,0),5),0)</f>
        <v>0</v>
      </c>
      <c r="BF8" s="245"/>
      <c r="BG8" s="48">
        <f ca="1">IF(IF(AND(OR(INDEX(PDC,MATCH($AC8,DEN_PDC,0),6)="SP DARE",INDEX(PDC,MATCH($AC8,DEN_PDC,0),6)="SP DARE/AVERE"),SUMIFS(DARE,DEN_G,$AC8)&gt;=SUMIFS(AVERE,DEN_G,$AC8)),SUMIFS(DARE,DEN_G,$AC8)-SUMIFS(AVERE,DEN_G,$AC8),0)&gt;0,MAX($BG$2:BG7)+1,0)</f>
        <v>0</v>
      </c>
      <c r="BH8" s="48">
        <f ca="1">IF(IF(AND(OR(INDEX(PDC,MATCH($AC8,DEN_PDC,0),6)="SP AVERE",INDEX(PDC,MATCH($AC8,DEN_PDC,0),6)="SP DARE/AVERE"),SUMIFS(AVERE,DEN_G,$AC8)&gt;=SUMIFS(DARE,DEN_G,$AC8)),SUMIFS(AVERE,DEN_G,$AC8)-SUMIFS(DARE,DEN_G,$AC8),0)&gt;0,MAX(BH$2:BH7)+1,0)</f>
        <v>0</v>
      </c>
      <c r="BI8" s="48">
        <f ca="1">IF(IF(AND(OR(INDEX(PDC,MATCH($AC8,DEN_PDC,0),6)="SE DARE",INDEX(PDC,MATCH($AC8,DEN_PDC,0),6)="SE DARE/AVERE"),SUMIFS(DARE,DEN_G,$AC8)&gt;=SUMIFS(AVERE,DEN_G,$AC8)),SUMIFS(DARE,DEN_G,$AC8)-SUMIFS(AVERE,DEN_G,$AC8),0)&gt;0,MAX(BI$2:BI7)+1,0)</f>
        <v>0</v>
      </c>
      <c r="BJ8" s="48">
        <f ca="1">IF(IF(AND(OR(INDEX(PDC,MATCH($AC8,DEN_PDC,0),6)="SE AVERE",INDEX(PDC,MATCH($AC8,DEN_PDC,0),6)="SE DARE/AVERE"),SUMIFS(AVERE,DEN_G,$AC8)&gt;=SUMIFS(DARE,DEN_G,$AC8)),SUMIFS(AVERE,DEN_G,$AC8)-SUMIFS(DARE,DEN_G,$AC8),0)&gt;0,MAX(BJ$2:BJ7)+1,0)</f>
        <v>0</v>
      </c>
      <c r="BK8" s="48" t="str">
        <f ca="1">IF(AND(AND($DY$2=0,$DY$1=0),$I$1=2,ROW()&gt;$BG$1+2,ROW()&lt;=$BG$1+4),"………………..",IF(AND(OR($DY$2&gt;0,$DY$1&gt;0),$I$1=2,ROW()&gt;$BG$1+2,ROW()&lt;=$BG$1+4),"………………..",IFERROR(INDEX($AC$3:$AC$398,MATCH(ROWS(BK$3:BK8),BG$3:BG$398,0),1),"")))</f>
        <v/>
      </c>
      <c r="BL8" s="48">
        <f t="shared" ca="1" si="8"/>
        <v>0</v>
      </c>
      <c r="BM8" s="48" t="str">
        <f ca="1">IF(AND(OR($DY$2=0,$DY$1=0),$I$1=2,ROW()&gt;$BH$1+2,ROW()&lt;=$BH$1+4),"………………..",IF(AND(OR($DY$2&gt;0,$DY$1&gt;0),$I$1=2,ROW()&gt;$BH$1+2,ROW()&lt;=$BH$1+4),"………………..",IFERROR(INDEX($AC$3:$AC$400,MATCH(ROWS(BM$3:BM8),BH$3:BH$400,0),1),"")))</f>
        <v/>
      </c>
      <c r="BN8" s="48">
        <f t="shared" ca="1" si="9"/>
        <v>0</v>
      </c>
      <c r="BO8" s="48" t="str">
        <f ca="1">IF(AND(OR($DY$2=0,$DY$1=0),$I$1=2,ROW()&gt;$BI$1+2,ROW()&lt;=$BI$1+4),"………………..",IF(AND(OR($DY$2&gt;0,$DY$1&gt;0),$I$1=2,ROW()&gt;$BI$1+2,ROW()&lt;=$BI$1+4),"………………..",IFERROR(INDEX($AC$3:$AC$400,MATCH(ROWS(BO$3:BO8),BI$3:BI$400,0),1),"")))</f>
        <v/>
      </c>
      <c r="BP8" s="48">
        <f t="shared" ca="1" si="10"/>
        <v>0</v>
      </c>
      <c r="BQ8" s="48" t="str">
        <f ca="1">IF(AND(OR($DY$2=0,$DY$1=0),$I$1=2,ROW()&gt;$BJ$1+2,ROW()&lt;=$BJ$1+4),"………………..",IF(AND(OR($DY$2&gt;0,$DY$1&gt;0),$I$1=2,ROW()&gt;$BJ$1+2,ROW()&lt;=$BJ$1+4),"………………..",IFERROR(INDEX($AC$3:$AC$400,MATCH(ROWS(BQ$3:BQ8),BJ$3:BJ$400,0),1),"")))</f>
        <v/>
      </c>
      <c r="BR8" s="48">
        <f t="shared" ca="1" si="11"/>
        <v>0</v>
      </c>
      <c r="BS8" s="48">
        <f ca="1">IF(IF(AND(OR(INDEX(PDC,MATCH($AC8,DEN_PDC,0),4)="D",INDEX(PDC,MATCH($AC8,DEN_PDC,0),4)="D/A"),SUMIFS(DARE,DEN_G,$AC8)&gt;=SUMIFS(AVERE,DEN_G,$AC8)),SUMIFS(DARE,DEN_G,$AC8),IF(AND(OR(INDEX(PDC,MATCH($AC8,DEN_PDC,0),4)="A",INDEX(PDC,MATCH($AC8,DEN_PDC,0),4)="D/A"),SUMIFS(AVERE,DEN_G,$AC8)&gt;=SUMIFS(DARE,DEN_G,$AC8)),SUMIFS(AVERE,DEN_G,$AC8),))&gt;0,MAX($BS$2:BS7)+1,0)</f>
        <v>0</v>
      </c>
      <c r="BT8" s="48" t="str">
        <f ca="1">IF($CO$1=0,"",IF(AND($I$1=2,ROW()&gt;$BR$1,ROW()&lt;=$BS$1)," …………….",IF(AND($E$1=1,$BX$1=1,$I$1=2,ROW()=$BQ$1),"TOTALI",IFERROR(INDEX(PDC,MATCH(ROWS(BT$3:BT8),BS$3:BS405,0),2),""))))</f>
        <v/>
      </c>
      <c r="BU8" s="48">
        <f t="shared" ca="1" si="12"/>
        <v>0</v>
      </c>
      <c r="BV8" s="48">
        <f t="shared" ca="1" si="13"/>
        <v>0</v>
      </c>
      <c r="BW8" s="48">
        <f t="shared" ca="1" si="14"/>
        <v>0</v>
      </c>
      <c r="BX8" s="48">
        <f t="shared" ca="1" si="15"/>
        <v>0</v>
      </c>
      <c r="BY8" s="48">
        <f ca="1">IF(OR(BW8&gt;0,BX8&gt;0),MAX($BY$2:BY7)+1,0)</f>
        <v>0</v>
      </c>
      <c r="BZ8" s="48" t="str">
        <f ca="1">IFERROR(INDEX($BT$3:$BY$400,MATCH(ROWS(BZ$3:BZ8),$BY$3:$BY$400,0),1),"")</f>
        <v/>
      </c>
      <c r="CA8" s="48" t="str">
        <f ca="1">IFERROR(INDEX($BT$3:$BY$400,MATCH(ROWS(CA$3:CA8),$BY$3:$BY$400,0),4),"")</f>
        <v/>
      </c>
      <c r="CB8" s="48" t="str">
        <f ca="1">IFERROR(INDEX($BT$3:$BY$400,MATCH(ROWS(CB$3:CB8),$BY$3:$BY$400,0),5),"")</f>
        <v/>
      </c>
      <c r="CC8" s="48" t="str">
        <f t="shared" ca="1" si="16"/>
        <v/>
      </c>
      <c r="CD8" s="48">
        <f ca="1">IF(AND($BF$9=1,CE8&lt;&gt;0),MAX($CD$2:CD7)+1,0)</f>
        <v>0</v>
      </c>
      <c r="CE8" s="48">
        <f ca="1">IF(ROUND(SUMIFS(COPIA!$CA$3:$CA$400,COPIA!$CC$3:$CC$400,CF8)-SUMIFS(COPIA!$CB$3:$CB$400,COPIA!$CC$3:$CC$400,CF8),0)&lt;0,0,ROUND(SUMIFS(COPIA!$CA$3:$CA$400,COPIA!$CC$3:$CC$400,CF8)-SUMIFS(COPIA!$CB$3:$CB$400,COPIA!$CC$3:$CC$400,CF8),0))</f>
        <v>0</v>
      </c>
      <c r="CF8" s="48" t="s">
        <v>619</v>
      </c>
      <c r="CG8" s="242" t="s">
        <v>763</v>
      </c>
      <c r="CH8" s="242">
        <f t="shared" ref="CH8:CH13" ca="1" si="68">CE8</f>
        <v>0</v>
      </c>
      <c r="CI8" s="242"/>
      <c r="CJ8" s="242"/>
      <c r="CL8" s="242"/>
      <c r="CM8" s="242" t="str">
        <f t="shared" ca="1" si="37"/>
        <v/>
      </c>
      <c r="CN8" s="243">
        <f t="shared" ca="1" si="38"/>
        <v>0</v>
      </c>
      <c r="CO8" s="48" t="str">
        <f t="shared" ca="1" si="39"/>
        <v/>
      </c>
      <c r="CQ8" s="48" t="str">
        <f ca="1">IFERROR(IF($AF$1=1,"Verifica che il conto transitorio BILANCIO DI APERTURA non risulti aperto.",IF($AI$1=1,"Verifica che il conto transitorio BILANCIO DI CHIUSURA non risulti aperto.",IF(AND(BF90&lt;&gt;0,BD1=1,BA1&gt;0,AY1=0,ES1=0,EL2=0,CL1=0,CO1=1,AF1=0,AI1=0,I1=1),CONCATENATE("Verifica che il risultato economico dell'esercizio ",CT67," sia stato sospeso o abbia trovato completa copertura o destinazione."),""))),"")</f>
        <v/>
      </c>
      <c r="CR8" s="242">
        <f ca="1">IF(CQ8="",0,MAX($CR$2:CR7)+1)</f>
        <v>0</v>
      </c>
      <c r="CT8" s="242"/>
      <c r="CU8" s="48">
        <f ca="1">IF(SUMIFS(AVERE,DEN_G,AC8,AVERE,"&gt;"&amp;0)+SUMIFS(DARE,DEN_G,AC8,DARE,"&gt;"&amp;0)&gt;0,MAX($CU$2:CU7)+1,0)</f>
        <v>0</v>
      </c>
      <c r="CV8" s="48" t="str">
        <f ca="1">IF(IFERROR(INDEX(PDC,MATCH(ROWS($CV$3:CV8),$CU$3:$CU$400,0),2),"")="CONTO DI RISULTATO ECONOMICO","",IFERROR(INDEX(PDC,MATCH(ROWS($CV$3:CV8),$CU$3:$CU$400,0),2),""))</f>
        <v/>
      </c>
      <c r="CW8" s="48">
        <f ca="1">IFERROR(IF(CV8&lt;&gt;"",MAX($CW$2:CW7)+1,0),0)</f>
        <v>0</v>
      </c>
      <c r="CX8" s="48">
        <f t="shared" ca="1" si="17"/>
        <v>1</v>
      </c>
      <c r="CY8" s="48" t="str">
        <f t="shared" ca="1" si="18"/>
        <v>MASTRO</v>
      </c>
      <c r="CZ8" s="48" t="e">
        <f t="shared" ca="1" si="60"/>
        <v>#N/A</v>
      </c>
      <c r="DA8" s="48" t="str">
        <f t="shared" ca="1" si="67"/>
        <v/>
      </c>
      <c r="DB8" s="48" t="str">
        <f t="shared" ca="1" si="61"/>
        <v/>
      </c>
      <c r="DC8" s="48" t="str">
        <f t="shared" ca="1" si="62"/>
        <v/>
      </c>
      <c r="DD8" s="48" t="str">
        <f t="shared" ca="1" si="63"/>
        <v/>
      </c>
      <c r="DE8" s="48" t="str">
        <f t="shared" ca="1" si="64"/>
        <v/>
      </c>
      <c r="DF8" s="48">
        <f ca="1">IF(AND(CX8=$DF$1,CX8&lt;&gt;""),0,IF(AND(DB8&lt;&gt;"",OR(DB7&lt;&gt;"",DB9&lt;&gt;"")),MAX($DF$2:DF7)+1,0))</f>
        <v>0</v>
      </c>
      <c r="DG8" s="48">
        <f ca="1">IF(INDIRECT(ADDRESS(ROW()+8,11,,,"PIANO_DEI_CONTI"))&lt;&gt;0,UPPER(INDIRECT(ADDRESS(ROW()+8,11,,,"PIANO_DEI_CONTI"))),INDIRECT(ADDRESS(ROW()+8,11,,,"PIANO_DEI_CONTI")))</f>
        <v>0</v>
      </c>
      <c r="DH8" s="244" t="s">
        <v>324</v>
      </c>
      <c r="DI8" s="48" t="str">
        <f ca="1">IFERROR(IF(AND($DL$1=TRUE,DG8&lt;&gt;0),CONCATENATE("SOCIO ",DG8," C/SOTTOSCRIZIONE"),IF(AND($DL$1=FALSE,DG8&lt;&gt;0),CONCATENATE("AZIONISTA ",DG8," C/SOTTOSCRIZIONE"),"")),"")</f>
        <v/>
      </c>
      <c r="DJ8" s="48" t="s">
        <v>312</v>
      </c>
      <c r="DK8" s="48" t="s">
        <v>275</v>
      </c>
      <c r="DL8" s="48" t="s">
        <v>6</v>
      </c>
      <c r="DM8" s="48" t="s">
        <v>270</v>
      </c>
      <c r="DN8" s="48">
        <f ca="1">IF(DI8&lt;&gt;"",MAX($DN$2:DN7)+1,0)</f>
        <v>0</v>
      </c>
      <c r="DO8" s="48" t="str">
        <f t="shared" ca="1" si="65"/>
        <v>paa</v>
      </c>
      <c r="DP8" s="48">
        <f ca="1">IF(INDIRECT(ADDRESS(ROW()+8,11,,,"PIANO_DEI_CONTI"))&lt;&gt;0,UPPER(INDIRECT(ADDRESS(ROW()+8,11,,,"PIANO_DEI_CONTI"))),INDIRECT(ADDRESS(ROW()+8,11,,,"PIANO_DEI_CONTI")))</f>
        <v>0</v>
      </c>
      <c r="DQ8" s="227" t="s">
        <v>485</v>
      </c>
      <c r="DR8" s="48" t="str">
        <f ca="1">IFERROR(IF(DP8&lt;&gt;0,CONCATENATE("SOCIO ",DP8," C/CONFERIMENTI"),""),"")</f>
        <v/>
      </c>
      <c r="DS8" s="48" t="s">
        <v>312</v>
      </c>
      <c r="DT8" s="48" t="s">
        <v>275</v>
      </c>
      <c r="DU8" s="48" t="s">
        <v>6</v>
      </c>
      <c r="DV8" s="48" t="s">
        <v>270</v>
      </c>
      <c r="DW8" s="48">
        <f ca="1">IF(DR8&lt;&gt;"",MAX($DW$2:DW7)+1,0)</f>
        <v>0</v>
      </c>
      <c r="DX8" s="48" t="str">
        <f t="shared" ca="1" si="66"/>
        <v>paa</v>
      </c>
      <c r="DY8" s="48" t="str">
        <f t="shared" ca="1" si="19"/>
        <v/>
      </c>
      <c r="DZ8" s="48" t="str">
        <f t="shared" ca="1" si="40"/>
        <v/>
      </c>
      <c r="EA8" s="48" t="str">
        <f t="shared" ca="1" si="41"/>
        <v/>
      </c>
      <c r="EB8" s="48">
        <f t="shared" ca="1" si="42"/>
        <v>0</v>
      </c>
      <c r="EC8" s="48">
        <f t="shared" ca="1" si="43"/>
        <v>0</v>
      </c>
      <c r="ED8" s="48" t="str">
        <f t="shared" ca="1" si="44"/>
        <v/>
      </c>
      <c r="EE8" s="48">
        <f t="shared" ca="1" si="45"/>
        <v>0</v>
      </c>
      <c r="EF8" s="48" t="str">
        <f t="shared" ca="1" si="46"/>
        <v/>
      </c>
      <c r="EG8" s="48">
        <f t="shared" ca="1" si="47"/>
        <v>0</v>
      </c>
      <c r="EH8" s="48" t="str">
        <f t="shared" ca="1" si="48"/>
        <v/>
      </c>
      <c r="EI8" s="48">
        <f t="shared" ca="1" si="49"/>
        <v>0</v>
      </c>
      <c r="EJ8" s="48" t="str">
        <f t="shared" ca="1" si="50"/>
        <v/>
      </c>
      <c r="EK8" s="48">
        <f t="shared" ca="1" si="51"/>
        <v>0</v>
      </c>
      <c r="EL8" s="48">
        <f t="shared" ca="1" si="20"/>
        <v>0</v>
      </c>
      <c r="EM8" s="48">
        <f ca="1">IF(EL8&gt;=0,0,MAX($EM$2:EM7)+1)</f>
        <v>0</v>
      </c>
      <c r="EN8" s="48" t="str">
        <f t="shared" ca="1" si="21"/>
        <v/>
      </c>
      <c r="EO8" s="48" t="str">
        <f ca="1">IFERROR(INDEX($EM$3:$EN$400,MATCH(ROWS($EO$3:EO8),$EM$3:$EM$400,0),2),"")</f>
        <v/>
      </c>
      <c r="EP8" s="48">
        <f>ROW()</f>
        <v>8</v>
      </c>
      <c r="EQ8" s="48">
        <f t="shared" ca="1" si="22"/>
        <v>0</v>
      </c>
      <c r="ER8" s="48">
        <f ca="1">IF(ISNA(EQ8)=TRUE,MAX($ER$2:ER7)+1,0)</f>
        <v>0</v>
      </c>
      <c r="ES8" s="48" t="str">
        <f t="shared" ca="1" si="52"/>
        <v/>
      </c>
      <c r="ET8" s="48" t="str">
        <f ca="1">IFERROR(INDEX($ER$3:$ES$400,MATCH(ROWS($ET$3:ET8),$ER$3:$ER$400,0),2),"")</f>
        <v/>
      </c>
      <c r="EU8" s="48">
        <f ca="1">IF(ROUND(SUMIFS(COPIA!$CA$3:$CA$400,COPIA!$CC$3:$CC$400,CF8)-SUMIFS(COPIA!$CB$3:$CB$400,COPIA!$CC$3:$CC$400,CF8),0)&lt;0,1,0)</f>
        <v>0</v>
      </c>
      <c r="EV8" s="48">
        <f ca="1">IFERROR(INDEX(LIBRO_GIORNALE!$O$11:$P$408,MATCH(ROWS($EV$2:EV7),LIBRO_GIORNALE!$P$11:$P$408,0),1),0)</f>
        <v>0</v>
      </c>
      <c r="EW8" s="48" t="str">
        <f t="shared" ca="1" si="53"/>
        <v>0</v>
      </c>
      <c r="EX8" s="48">
        <f t="shared" ca="1" si="54"/>
        <v>0</v>
      </c>
      <c r="EY8" s="48">
        <f ca="1">IF(EX8&gt;0,MAX($EY$2:EY7)+1,0)</f>
        <v>0</v>
      </c>
      <c r="EZ8" s="48">
        <f ca="1">IFERROR(INDEX($EX$3:$EX$400,MATCH(ROWS($EZ$3:EZ8),$EY$3:$EY$400,0),1),0)</f>
        <v>0</v>
      </c>
      <c r="FA8" s="48">
        <f ca="1">IF(EZ8&gt;0,0,MAX($FA$2:FA7)+1)</f>
        <v>6</v>
      </c>
      <c r="FB8" s="48">
        <f t="shared" ca="1" si="55"/>
        <v>0</v>
      </c>
      <c r="FC8" s="48">
        <f t="shared" ca="1" si="56"/>
        <v>6</v>
      </c>
      <c r="FD8" s="48">
        <f t="shared" ca="1" si="57"/>
        <v>6</v>
      </c>
      <c r="FE8" s="48">
        <f ca="1">IF(FD8=0,0,MAX($FE$2:FE7)+1)</f>
        <v>6</v>
      </c>
      <c r="FF8" s="48">
        <f ca="1">IFERROR(INDEX($FD$3:$FE$400,MATCH(ROWS($FF$3:FF8),$FE$3:$FE$400,0),1),"")</f>
        <v>6</v>
      </c>
      <c r="FH8" s="48">
        <f t="shared" ca="1" si="58"/>
        <v>0</v>
      </c>
      <c r="FI8" s="48">
        <f ca="1">IF(FH8&lt;&gt;0,MAX($FI$2:FI7)+1,0)</f>
        <v>0</v>
      </c>
      <c r="FJ8" s="48" t="str">
        <f ca="1">IFERROR(INDEX($FH$3:$FI$400,MATCH(ROWS($FJ$3:FJ8),$FI$3:$FI$400,0),1),"")</f>
        <v>SOCIETÀ DI FACTORING C/C</v>
      </c>
      <c r="FK8" s="48">
        <f ca="1">IF(ABS(SUMIFS(DARE,DEN_G,"="&amp;FJ8,DATA,"&lt;="&amp;FINE_AC,DATA,"&gt;="&amp;INIZIO_A_PC)-SUMIFS(AVERE,DEN_G,"="&amp;FJ8,DATA,"&lt;="&amp;FINE_AC,DATA,"&gt;="&amp;INIZIO_A_PC))&gt;0,MAX($FK$2:FK7)+1,0)</f>
        <v>0</v>
      </c>
      <c r="FL8" s="48" t="str">
        <f ca="1">IF(AND(ROW()-2&lt;&gt;1,ROW()-2&lt;=$FK$1),CONCATENATE(" - ",IFERROR(INDEX($FJ$3:$FK$400,MATCH(ROWS($FL$3:FL8),$FK$3:$FK$400,0),1),"")),IFERROR(INDEX($FJ$3:$FK$400,MATCH(ROWS($FL$3:FL8),$FK$3:$FK$400,0),1),""))</f>
        <v/>
      </c>
      <c r="FM8" s="48">
        <f ca="1">IF(OR(B8="IVA ns/credito",B8="IVA NS/DEBITO",B8="IVA C/ACCONTO",B8="IMPOSTE C/ACCONTO",B8="CREDITI PER RITENUTE SUBITE",B8="CREDITI D'IMPOSTA"),MAX($FM$2:FM7)+1,0)</f>
        <v>0</v>
      </c>
      <c r="FN8" s="48" t="str">
        <f t="shared" ca="1" si="59"/>
        <v/>
      </c>
      <c r="FO8" s="48" t="str">
        <f ca="1">IFERROR(INDEX($FM$3:$FN$400,MATCH(ROWS($FO$3:FO8),$FM$3:$FM$400,0),2),"")</f>
        <v>IVA NS/DEBITO</v>
      </c>
      <c r="FP8" s="48">
        <f ca="1">IF(ABS(SUMIFS(DARE,DEN_G,"="&amp;FO8,DATA,"&lt;="&amp;FINE_AC,DATA,"&gt;="&amp;INIZIO_A_PC)-SUMIFS(AVERE,DEN_G,"="&amp;FO8,DATA,"&lt;="&amp;FINE_AC,DATA,"&gt;="&amp;INIZIO_A_PC))&gt;0,MAX($FP$2:FP7)+1,0)</f>
        <v>0</v>
      </c>
      <c r="FQ8" s="48" t="str">
        <f ca="1">IF(AND(ROW()-2&lt;&gt;1,ROW()-2&lt;=$FP$1),CONCATENATE(" - ",IFERROR(INDEX($FO$3:$FP$400,MATCH(ROWS($FQ$3:FQ8),$FP$3:$FP$400,0),1),"")),IFERROR(INDEX($FO$3:$FP$400,MATCH(ROWS($FQ$3:FQ8),$FP$3:$FP$400,0),1),""))</f>
        <v/>
      </c>
    </row>
    <row r="9" spans="1:173" x14ac:dyDescent="0.3">
      <c r="A9" s="48" t="str">
        <f ca="1">IFERROR(IF($A$1=2,INDEX($DH$3:$DN$401,MATCH(ROWS(A$3:A9),$DN$3:$DN$401,0),COLUMN()),IF($A$1=1,INDEX($DQ$3:$DW$401,MATCH(ROWS(A$3:A9),$DW$3:$DW$401,0),COLUMN()),"")),"")</f>
        <v>01.02</v>
      </c>
      <c r="B9" s="48" t="str">
        <f ca="1">IFERROR(IF($A$1=2,INDEX($DH$3:$DN$401,MATCH(ROWS(B$3:B9),$DN$3:$DN$401,0),COLUMN()),IF($A$1=1,INDEX($DQ$3:$DW$400,MATCH(ROWS(B$3:B9),$DW$3:$DW$401,0),COLUMN()),"")),"")</f>
        <v>COSTI DI AMPLIAMENTO</v>
      </c>
      <c r="C9" s="48" t="str">
        <f ca="1">IFERROR(IF($A$1=2,INDEX($DH$3:$DN$401,MATCH(ROWS(C$3:C9),$DN$3:$DN$401,0),COLUMN()),IF($A$1=1,INDEX($DQ$3:$DW$401,MATCH(ROWS(C$3:C9),$DW$3:$DW$401,0),COLUMN()),"")),"")</f>
        <v>E</v>
      </c>
      <c r="D9" s="48" t="str">
        <f ca="1">IFERROR(IF($A$1=2,INDEX($DH$3:$DN$401,MATCH(ROWS(D$3:D9),$DN$3:$DN$401,0),COLUMN()),IF($A$1=1,INDEX($DQ$3:$DW$401,MATCH(ROWS(D$3:D9),$DW$3:$DW$401,0),COLUMN()),"")),"")</f>
        <v>D</v>
      </c>
      <c r="E9" s="48" t="str">
        <f ca="1">IFERROR(IF($A$1=2,INDEX($DH$3:$DN$401,MATCH(ROWS(E$3:E9),$DN$3:$DN$401,0),COLUMN()),IF($A$1=1,INDEX($DQ$3:$DW$401,MATCH(ROWS(E$3:E9),$DW$3:$DW$401,0),COLUMN()),"")),"")</f>
        <v>COSTI PLURIENNALI</v>
      </c>
      <c r="F9" s="48" t="str">
        <f ca="1">IFERROR(IF($A$1=2,INDEX($DH$3:$DN$401,MATCH(ROWS(F$3:F9),$DN$3:$DN$401,0),COLUMN()),IF($A$1=1,INDEX($DQ$3:$DX$401,MATCH(ROWS(F$3:F9),$DW$3:$DW$401,0),COLUMN()),"")),"")</f>
        <v>SP DARE</v>
      </c>
      <c r="G9" s="48" t="str">
        <f t="shared" ca="1" si="23"/>
        <v>SP</v>
      </c>
      <c r="H9" s="48" t="str">
        <f ca="1">IFERROR(IF($A$1=2,INDEX($DH$3:$DO$400,MATCH(ROWS(H$3:H9),$DN$3:$DN$400,0),COLUMN()),IF($A$1=1,INDEX($DQ$3:$DX$400,MATCH(ROWS(H$3:H9),$DW$3:$DW$400,0),COLUMN()),"")),"")</f>
        <v>pab1</v>
      </c>
      <c r="I9" s="48" t="str">
        <f t="shared" ca="1" si="0"/>
        <v/>
      </c>
      <c r="J9" s="48" t="str">
        <f t="shared" ca="1" si="24"/>
        <v/>
      </c>
      <c r="K9" s="48">
        <f t="shared" ca="1" si="25"/>
        <v>0</v>
      </c>
      <c r="L9" s="48">
        <f t="shared" ca="1" si="26"/>
        <v>0</v>
      </c>
      <c r="M9" s="48">
        <f ca="1">IFERROR(IF(IF(MID($A9,3,3)=".00",MID(A9,1,2),"")&lt;&gt;"",MAX($M$2:M8)+1,0),"")</f>
        <v>0</v>
      </c>
      <c r="N9" s="48" t="str">
        <f t="shared" ca="1" si="27"/>
        <v/>
      </c>
      <c r="O9" s="48" t="str">
        <f ca="1">IF(IFERROR(INDEX($N$3:$O$400,MATCH(ROWS($O$3:O9),$M$3:$M$400,0),1),"")&lt;&gt;"",CONCATENATE(INDEX($N$3:$O$400,MATCH(ROWS($O$3:O9),$M$3:$M$400,0),1),".00"),"")</f>
        <v>06.00</v>
      </c>
      <c r="P9" s="48" t="str">
        <f t="shared" ca="1" si="28"/>
        <v>CREDITI DIVERSI</v>
      </c>
      <c r="Q9" s="48">
        <f ca="1">IF(M9&gt;=1,0,MAX($Q$2:Q8)+1)</f>
        <v>5</v>
      </c>
      <c r="R9" s="93">
        <f ca="1">IF(AND($U$2=1,S9&lt;&gt;""),MAX($R$2:R8)+1,0)</f>
        <v>0</v>
      </c>
      <c r="S9" s="48" t="s">
        <v>4</v>
      </c>
      <c r="T9" s="48" t="str">
        <f ca="1">IFERROR(INDEX($R$3:$S$64,MATCH(ROWS($T$2:T8),$R$3:$R$64,0),2),"")</f>
        <v>CREDITI COMMERCIALI</v>
      </c>
      <c r="U9" s="48" t="str">
        <f ca="1">IFERROR(INDEX(PDC,MATCH(ROWS(U$3:U9),$V$3:$V$400,0),2),"")</f>
        <v>BREVETTI</v>
      </c>
      <c r="V9" s="48">
        <f ca="1">IF(AND($T$1="VISUALIZZA TUTTI I CONTI",AA9&lt;&gt;""),MAX($V$2:V8)+1,IF(AND($U$2=2,AI9=$T$1),MAX($V$2:V8)+1,IF(AND($U$2=1,$T$1=AF9),MAX($V$2:V8)+1,0)))</f>
        <v>7</v>
      </c>
      <c r="AA9" s="48" t="str">
        <f t="shared" ca="1" si="29"/>
        <v>01.00</v>
      </c>
      <c r="AB9" s="48" t="str">
        <f ca="1">IFERROR(INDEX($A$3:$G$400,MATCH(ROWS(AB$3:AB9),$Q$3:$Q$400,0),1),"")</f>
        <v>01.04</v>
      </c>
      <c r="AC9" s="48" t="str">
        <f ca="1">IFERROR(INDEX($A$3:$G$400,MATCH(ROWS($AC$3:AC9),$Q$3:$Q$400,0),2),"")</f>
        <v>BREVETTI</v>
      </c>
      <c r="AD9" s="48" t="str">
        <f ca="1">IFERROR(INDEX($A$3:$G$400,MATCH(ROWS(AD$3:AD9),$Q$3:$Q$400,0),3),"")</f>
        <v>E</v>
      </c>
      <c r="AE9" s="48" t="str">
        <f ca="1">IFERROR(INDEX($A$3:$G$400,MATCH(ROWS(AE$3:AE9),$Q$3:$Q$400,0),4),"")</f>
        <v>D</v>
      </c>
      <c r="AF9" s="48" t="str">
        <f ca="1">IFERROR(INDEX($A$3:$G$400,MATCH(ROWS(AF$3:AF9),$Q$3:$Q$400,0),5),"")</f>
        <v>COSTI PLURIENNALI</v>
      </c>
      <c r="AG9" s="48" t="str">
        <f ca="1">IFERROR(INDEX($A$3:$G$400,MATCH(ROWS(AG$3:AG9),$Q$3:$Q$400,0),6),"")</f>
        <v>SP DARE</v>
      </c>
      <c r="AH9" s="48" t="str">
        <f ca="1">IFERROR(INDEX($A$3:$G$400,MATCH(ROWS(AH$3:AH9),$Q$3:$Q$400,0),7),"")</f>
        <v>SP</v>
      </c>
      <c r="AI9" s="48" t="str">
        <f t="shared" ca="1" si="1"/>
        <v>IMMOBILIZZAZIONI IMMATERIALI</v>
      </c>
      <c r="AJ9" s="48" t="str">
        <f ca="1">IFERROR(INDEX($A$3:$H$400,MATCH(ROWS(AJ$3:AJ9),$Q$3:$Q$400,0),8),"")</f>
        <v>pab1</v>
      </c>
      <c r="AK9" s="48">
        <f t="shared" ca="1" si="2"/>
        <v>0</v>
      </c>
      <c r="AL9" s="48">
        <f t="shared" ca="1" si="3"/>
        <v>0</v>
      </c>
      <c r="AM9" s="48">
        <f t="shared" ca="1" si="30"/>
        <v>0</v>
      </c>
      <c r="AN9" s="48" t="str">
        <f t="shared" ca="1" si="31"/>
        <v/>
      </c>
      <c r="AO9" s="48">
        <f t="shared" ca="1" si="32"/>
        <v>0</v>
      </c>
      <c r="AP9" s="48">
        <f t="shared" ca="1" si="32"/>
        <v>0</v>
      </c>
      <c r="AQ9" s="48" t="str">
        <f t="shared" ca="1" si="4"/>
        <v>BREVETTI</v>
      </c>
      <c r="AR9" s="48">
        <f t="shared" ca="1" si="5"/>
        <v>0</v>
      </c>
      <c r="AS9" s="48">
        <f t="shared" ca="1" si="6"/>
        <v>0</v>
      </c>
      <c r="AT9" s="48">
        <f t="shared" ca="1" si="33"/>
        <v>0</v>
      </c>
      <c r="AU9" s="48">
        <f t="shared" ca="1" si="34"/>
        <v>0</v>
      </c>
      <c r="AV9" s="48">
        <f ca="1">IF(OR(AT9&gt;0,AU9&gt;0),MAX($AV$2:AV8)+1,0)</f>
        <v>0</v>
      </c>
      <c r="AZ9" s="241" t="str">
        <f t="shared" ca="1" si="35"/>
        <v/>
      </c>
      <c r="BA9" s="48">
        <f t="shared" ca="1" si="7"/>
        <v>0</v>
      </c>
      <c r="BB9" s="48">
        <f ca="1">IFERROR(INDEX($AQ$3:$AV$220,MATCH(ROWS($BB$3:BB9),$AV$3:$AV$220,0),1),0)</f>
        <v>0</v>
      </c>
      <c r="BC9" s="48" t="str">
        <f t="shared" ca="1" si="36"/>
        <v/>
      </c>
      <c r="BD9" s="48">
        <f ca="1">IFERROR(INDEX($AQ$3:$AV$220,MATCH(ROWS($BB$3:BD9),$AV$3:$AV$220,0),4),0)</f>
        <v>0</v>
      </c>
      <c r="BE9" s="48">
        <f ca="1">IFERROR(INDEX($AQ$3:$AV$220,MATCH(ROWS($BB$3:BE9),$AV$3:$AV$220,0),5),0)</f>
        <v>0</v>
      </c>
      <c r="BF9" s="48">
        <f ca="1">IF(INDIRECT(ADDRESS(4,2,,,"BILANCIO"))="IN FORMA ORDINARIA",1,2)</f>
        <v>2</v>
      </c>
      <c r="BG9" s="48">
        <f ca="1">IF(IF(AND(OR(INDEX(PDC,MATCH($AC9,DEN_PDC,0),6)="SP DARE",INDEX(PDC,MATCH($AC9,DEN_PDC,0),6)="SP DARE/AVERE"),SUMIFS(DARE,DEN_G,$AC9)&gt;=SUMIFS(AVERE,DEN_G,$AC9)),SUMIFS(DARE,DEN_G,$AC9)-SUMIFS(AVERE,DEN_G,$AC9),0)&gt;0,MAX($BG$2:BG8)+1,0)</f>
        <v>0</v>
      </c>
      <c r="BH9" s="48">
        <f ca="1">IF(IF(AND(OR(INDEX(PDC,MATCH($AC9,DEN_PDC,0),6)="SP AVERE",INDEX(PDC,MATCH($AC9,DEN_PDC,0),6)="SP DARE/AVERE"),SUMIFS(AVERE,DEN_G,$AC9)&gt;=SUMIFS(DARE,DEN_G,$AC9)),SUMIFS(AVERE,DEN_G,$AC9)-SUMIFS(DARE,DEN_G,$AC9),0)&gt;0,MAX(BH$2:BH8)+1,0)</f>
        <v>0</v>
      </c>
      <c r="BI9" s="48">
        <f ca="1">IF(IF(AND(OR(INDEX(PDC,MATCH($AC9,DEN_PDC,0),6)="SE DARE",INDEX(PDC,MATCH($AC9,DEN_PDC,0),6)="SE DARE/AVERE"),SUMIFS(DARE,DEN_G,$AC9)&gt;=SUMIFS(AVERE,DEN_G,$AC9)),SUMIFS(DARE,DEN_G,$AC9)-SUMIFS(AVERE,DEN_G,$AC9),0)&gt;0,MAX(BI$2:BI8)+1,0)</f>
        <v>0</v>
      </c>
      <c r="BJ9" s="48">
        <f ca="1">IF(IF(AND(OR(INDEX(PDC,MATCH($AC9,DEN_PDC,0),6)="SE AVERE",INDEX(PDC,MATCH($AC9,DEN_PDC,0),6)="SE DARE/AVERE"),SUMIFS(AVERE,DEN_G,$AC9)&gt;=SUMIFS(DARE,DEN_G,$AC9)),SUMIFS(AVERE,DEN_G,$AC9)-SUMIFS(DARE,DEN_G,$AC9),0)&gt;0,MAX(BJ$2:BJ8)+1,0)</f>
        <v>0</v>
      </c>
      <c r="BK9" s="48" t="str">
        <f ca="1">IF(AND(AND($DY$2=0,$DY$1=0),$I$1=2,ROW()&gt;$BG$1+2,ROW()&lt;=$BG$1+4),"………………..",IF(AND(OR($DY$2&gt;0,$DY$1&gt;0),$I$1=2,ROW()&gt;$BG$1+2,ROW()&lt;=$BG$1+4),"………………..",IFERROR(INDEX($AC$3:$AC$398,MATCH(ROWS(BK$3:BK9),BG$3:BG$398,0),1),"")))</f>
        <v/>
      </c>
      <c r="BL9" s="48">
        <f t="shared" ca="1" si="8"/>
        <v>0</v>
      </c>
      <c r="BM9" s="48" t="str">
        <f ca="1">IF(AND(OR($DY$2=0,$DY$1=0),$I$1=2,ROW()&gt;$BH$1+2,ROW()&lt;=$BH$1+4),"………………..",IF(AND(OR($DY$2&gt;0,$DY$1&gt;0),$I$1=2,ROW()&gt;$BH$1+2,ROW()&lt;=$BH$1+4),"………………..",IFERROR(INDEX($AC$3:$AC$400,MATCH(ROWS(BM$3:BM9),BH$3:BH$400,0),1),"")))</f>
        <v/>
      </c>
      <c r="BN9" s="48">
        <f t="shared" ca="1" si="9"/>
        <v>0</v>
      </c>
      <c r="BO9" s="48" t="str">
        <f ca="1">IF(AND(OR($DY$2=0,$DY$1=0),$I$1=2,ROW()&gt;$BI$1+2,ROW()&lt;=$BI$1+4),"………………..",IF(AND(OR($DY$2&gt;0,$DY$1&gt;0),$I$1=2,ROW()&gt;$BI$1+2,ROW()&lt;=$BI$1+4),"………………..",IFERROR(INDEX($AC$3:$AC$400,MATCH(ROWS(BO$3:BO9),BI$3:BI$400,0),1),"")))</f>
        <v/>
      </c>
      <c r="BP9" s="48">
        <f t="shared" ca="1" si="10"/>
        <v>0</v>
      </c>
      <c r="BQ9" s="48" t="str">
        <f ca="1">IF(AND(OR($DY$2=0,$DY$1=0),$I$1=2,ROW()&gt;$BJ$1+2,ROW()&lt;=$BJ$1+4),"………………..",IF(AND(OR($DY$2&gt;0,$DY$1&gt;0),$I$1=2,ROW()&gt;$BJ$1+2,ROW()&lt;=$BJ$1+4),"………………..",IFERROR(INDEX($AC$3:$AC$400,MATCH(ROWS(BQ$3:BQ9),BJ$3:BJ$400,0),1),"")))</f>
        <v/>
      </c>
      <c r="BR9" s="48">
        <f t="shared" ca="1" si="11"/>
        <v>0</v>
      </c>
      <c r="BS9" s="48">
        <f ca="1">IF(IF(AND(OR(INDEX(PDC,MATCH($AC9,DEN_PDC,0),4)="D",INDEX(PDC,MATCH($AC9,DEN_PDC,0),4)="D/A"),SUMIFS(DARE,DEN_G,$AC9)&gt;=SUMIFS(AVERE,DEN_G,$AC9)),SUMIFS(DARE,DEN_G,$AC9),IF(AND(OR(INDEX(PDC,MATCH($AC9,DEN_PDC,0),4)="A",INDEX(PDC,MATCH($AC9,DEN_PDC,0),4)="D/A"),SUMIFS(AVERE,DEN_G,$AC9)&gt;=SUMIFS(DARE,DEN_G,$AC9)),SUMIFS(AVERE,DEN_G,$AC9),))&gt;0,MAX($BS$2:BS8)+1,0)</f>
        <v>0</v>
      </c>
      <c r="BT9" s="48" t="str">
        <f ca="1">IF($CO$1=0,"",IF(AND($I$1=2,ROW()&gt;$BR$1,ROW()&lt;=$BS$1)," …………….",IF(AND($E$1=1,$BX$1=1,$I$1=2,ROW()=$BQ$1),"TOTALI",IFERROR(INDEX(PDC,MATCH(ROWS(BT$3:BT9),BS$3:BS406,0),2),""))))</f>
        <v/>
      </c>
      <c r="BU9" s="48">
        <f t="shared" ca="1" si="12"/>
        <v>0</v>
      </c>
      <c r="BV9" s="48">
        <f t="shared" ca="1" si="13"/>
        <v>0</v>
      </c>
      <c r="BW9" s="48">
        <f t="shared" ca="1" si="14"/>
        <v>0</v>
      </c>
      <c r="BX9" s="48">
        <f t="shared" ca="1" si="15"/>
        <v>0</v>
      </c>
      <c r="BY9" s="48">
        <f ca="1">IF(OR(BW9&gt;0,BX9&gt;0),MAX($BY$2:BY8)+1,0)</f>
        <v>0</v>
      </c>
      <c r="BZ9" s="48" t="str">
        <f ca="1">IFERROR(INDEX($BT$3:$BY$400,MATCH(ROWS(BZ$3:BZ9),$BY$3:$BY$400,0),1),"")</f>
        <v/>
      </c>
      <c r="CA9" s="48" t="str">
        <f ca="1">IFERROR(INDEX($BT$3:$BY$400,MATCH(ROWS(CA$3:CA9),$BY$3:$BY$400,0),4),"")</f>
        <v/>
      </c>
      <c r="CB9" s="48" t="str">
        <f ca="1">IFERROR(INDEX($BT$3:$BY$400,MATCH(ROWS(CB$3:CB9),$BY$3:$BY$400,0),5),"")</f>
        <v/>
      </c>
      <c r="CC9" s="48" t="str">
        <f t="shared" ca="1" si="16"/>
        <v/>
      </c>
      <c r="CD9" s="48">
        <f ca="1">IF(AND($BF$9=1,CE9&lt;&gt;0),MAX($CD$2:CD8)+1,0)</f>
        <v>0</v>
      </c>
      <c r="CE9" s="48">
        <f ca="1">IF(ROUND(SUMIFS(COPIA!$CA$3:$CA$400,COPIA!$CC$3:$CC$400,CF9)-SUMIFS(COPIA!$CB$3:$CB$400,COPIA!$CC$3:$CC$400,CF9),0)&lt;0,0,ROUND(SUMIFS(COPIA!$CA$3:$CA$400,COPIA!$CC$3:$CC$400,CF9)-SUMIFS(COPIA!$CB$3:$CB$400,COPIA!$CC$3:$CC$400,CF9),0))</f>
        <v>0</v>
      </c>
      <c r="CF9" s="48" t="s">
        <v>620</v>
      </c>
      <c r="CG9" s="242" t="s">
        <v>964</v>
      </c>
      <c r="CH9" s="242">
        <f t="shared" ca="1" si="68"/>
        <v>0</v>
      </c>
      <c r="CI9" s="242"/>
      <c r="CJ9" s="242"/>
      <c r="CL9" s="242"/>
      <c r="CM9" s="242" t="str">
        <f t="shared" ca="1" si="37"/>
        <v/>
      </c>
      <c r="CN9" s="243">
        <f t="shared" ca="1" si="38"/>
        <v>0</v>
      </c>
      <c r="CO9" s="48" t="str">
        <f t="shared" ca="1" si="39"/>
        <v/>
      </c>
      <c r="CQ9" s="242" t="str">
        <f ca="1">IFERROR(IF(AND($CO$1=1,$BD$1=0),"Verifica che ci sia bilanciamento tra i conti d'ordine.",IF(AND($I$1=2,$CT$84=1),"Verifica se nello stesso esercizio amministrativo è stato rilevato più volte il risultato economico.",IF(AND($I$1=2,$CT$107&gt;0),"Verifica che il risultato economico dell'esercizio precedente sia stato sospeso o abbia trovato completa copertura o destinazione.",IF(AND($I$1=2,OR(W5=1,W6=1)),"Verifica che la rilevazione relativa al risultato economico sia corretta.",IF(AND($I$1=1,OR(X3=1,Y3=1)),"Verifica che la rilevazione relativa al risultato economico sia corretta.",IF(AND(CO1=1,W18&gt;0,I1=1),"Verifica che il risultato economico dell'esercizio precedente sia stato sospeso o abbia trovato completa copertura o destinazione.","")))))),"")</f>
        <v/>
      </c>
      <c r="CR9" s="242">
        <f ca="1">IF(CQ9="",0,MAX($CR$2:CR8)+1)</f>
        <v>0</v>
      </c>
      <c r="CT9" s="242"/>
      <c r="CU9" s="48">
        <f ca="1">IF(SUMIFS(AVERE,DEN_G,AC9,AVERE,"&gt;"&amp;0)+SUMIFS(DARE,DEN_G,AC9,DARE,"&gt;"&amp;0)&gt;0,MAX($CU$2:CU8)+1,0)</f>
        <v>0</v>
      </c>
      <c r="CV9" s="48" t="str">
        <f ca="1">IF(IFERROR(INDEX(PDC,MATCH(ROWS($CV$3:CV9),$CU$3:$CU$400,0),2),"")="CONTO DI RISULTATO ECONOMICO","",IFERROR(INDEX(PDC,MATCH(ROWS($CV$3:CV9),$CU$3:$CU$400,0),2),""))</f>
        <v/>
      </c>
      <c r="CW9" s="48">
        <f ca="1">IFERROR(IF(CV9&lt;&gt;"",MAX($CW$2:CW8)+1,0),0)</f>
        <v>0</v>
      </c>
      <c r="CX9" s="48">
        <f t="shared" ca="1" si="17"/>
        <v>1</v>
      </c>
      <c r="CY9" s="48" t="str">
        <f t="shared" ca="1" si="18"/>
        <v>MASTRO</v>
      </c>
      <c r="CZ9" s="48" t="e">
        <f t="shared" ca="1" si="60"/>
        <v>#N/A</v>
      </c>
      <c r="DA9" s="48" t="str">
        <f t="shared" ca="1" si="67"/>
        <v/>
      </c>
      <c r="DB9" s="48" t="str">
        <f t="shared" ca="1" si="61"/>
        <v/>
      </c>
      <c r="DC9" s="48" t="str">
        <f t="shared" ca="1" si="62"/>
        <v/>
      </c>
      <c r="DD9" s="48" t="str">
        <f t="shared" ca="1" si="63"/>
        <v/>
      </c>
      <c r="DE9" s="48" t="str">
        <f t="shared" ca="1" si="64"/>
        <v/>
      </c>
      <c r="DF9" s="48">
        <f ca="1">IF(AND(CX9=$DF$1,CX9&lt;&gt;""),0,IF(AND(DB9&lt;&gt;"",OR(DB8&lt;&gt;"",DB10&lt;&gt;"")),MAX($DF$2:DF8)+1,0))</f>
        <v>0</v>
      </c>
      <c r="DH9" s="244" t="s">
        <v>325</v>
      </c>
      <c r="DI9" s="48" t="str">
        <f ca="1">IF($DL$1=TRUE,"SOCI C/VERSAMENTI RICHIAMATI","AZIONISTI C/VERSAMENTI RICHIAMATI")</f>
        <v>AZIONISTI C/VERSAMENTI RICHIAMATI</v>
      </c>
      <c r="DJ9" s="48" t="s">
        <v>312</v>
      </c>
      <c r="DK9" s="48" t="s">
        <v>275</v>
      </c>
      <c r="DL9" s="48" t="s">
        <v>6</v>
      </c>
      <c r="DM9" s="48" t="s">
        <v>270</v>
      </c>
      <c r="DN9" s="48">
        <f ca="1">IF(DI9&lt;&gt;"",MAX($DN$2:DN8)+1,0)</f>
        <v>3</v>
      </c>
      <c r="DO9" s="48" t="str">
        <f t="shared" ca="1" si="65"/>
        <v>paa</v>
      </c>
      <c r="DQ9" s="227" t="s">
        <v>483</v>
      </c>
      <c r="DR9" s="48" t="str">
        <f ca="1">IF($DR$1=0,"SOCIO … C/REINTEGRO","")</f>
        <v>SOCIO … C/REINTEGRO</v>
      </c>
      <c r="DS9" s="48" t="s">
        <v>312</v>
      </c>
      <c r="DT9" s="48" t="s">
        <v>275</v>
      </c>
      <c r="DU9" s="48" t="s">
        <v>6</v>
      </c>
      <c r="DV9" s="48" t="s">
        <v>270</v>
      </c>
      <c r="DW9" s="48">
        <f ca="1">IF(DR9&lt;&gt;"",MAX($DW$2:DW8)+1,0)</f>
        <v>3</v>
      </c>
      <c r="DX9" s="48" t="str">
        <f t="shared" ca="1" si="66"/>
        <v>paa</v>
      </c>
      <c r="DY9" s="48" t="str">
        <f t="shared" ca="1" si="19"/>
        <v/>
      </c>
      <c r="DZ9" s="48" t="str">
        <f t="shared" ca="1" si="40"/>
        <v/>
      </c>
      <c r="EA9" s="48" t="str">
        <f t="shared" ca="1" si="41"/>
        <v/>
      </c>
      <c r="EB9" s="48">
        <f t="shared" ca="1" si="42"/>
        <v>0</v>
      </c>
      <c r="EC9" s="48">
        <f t="shared" ca="1" si="43"/>
        <v>0</v>
      </c>
      <c r="ED9" s="48" t="str">
        <f t="shared" ca="1" si="44"/>
        <v/>
      </c>
      <c r="EE9" s="48">
        <f t="shared" ca="1" si="45"/>
        <v>0</v>
      </c>
      <c r="EF9" s="48" t="str">
        <f t="shared" ca="1" si="46"/>
        <v/>
      </c>
      <c r="EG9" s="48">
        <f t="shared" ca="1" si="47"/>
        <v>0</v>
      </c>
      <c r="EH9" s="48" t="str">
        <f t="shared" ca="1" si="48"/>
        <v/>
      </c>
      <c r="EI9" s="48">
        <f t="shared" ca="1" si="49"/>
        <v>0</v>
      </c>
      <c r="EJ9" s="48" t="str">
        <f t="shared" ca="1" si="50"/>
        <v/>
      </c>
      <c r="EK9" s="48">
        <f t="shared" ca="1" si="51"/>
        <v>0</v>
      </c>
      <c r="EL9" s="48">
        <f t="shared" ca="1" si="20"/>
        <v>0</v>
      </c>
      <c r="EM9" s="48">
        <f ca="1">IF(EL9&gt;=0,0,MAX($EM$2:EM8)+1)</f>
        <v>0</v>
      </c>
      <c r="EN9" s="48" t="str">
        <f t="shared" ca="1" si="21"/>
        <v/>
      </c>
      <c r="EO9" s="48" t="str">
        <f ca="1">IFERROR(INDEX($EM$3:$EN$400,MATCH(ROWS($EO$3:EO9),$EM$3:$EM$400,0),2),"")</f>
        <v/>
      </c>
      <c r="EP9" s="48">
        <f>ROW()</f>
        <v>9</v>
      </c>
      <c r="EQ9" s="48">
        <f t="shared" ca="1" si="22"/>
        <v>0</v>
      </c>
      <c r="ER9" s="48">
        <f ca="1">IF(ISNA(EQ9)=TRUE,MAX($ER$2:ER8)+1,0)</f>
        <v>0</v>
      </c>
      <c r="ES9" s="48" t="str">
        <f t="shared" ca="1" si="52"/>
        <v/>
      </c>
      <c r="ET9" s="48" t="str">
        <f ca="1">IFERROR(INDEX($ER$3:$ES$400,MATCH(ROWS($ET$3:ET9),$ER$3:$ER$400,0),2),"")</f>
        <v/>
      </c>
      <c r="EU9" s="48">
        <f ca="1">IF(ROUND(SUMIFS(COPIA!$CA$3:$CA$400,COPIA!$CC$3:$CC$400,CF9)-SUMIFS(COPIA!$CB$3:$CB$400,COPIA!$CC$3:$CC$400,CF9),0)&lt;0,1,0)</f>
        <v>0</v>
      </c>
      <c r="EV9" s="48">
        <f ca="1">IFERROR(INDEX(LIBRO_GIORNALE!$O$11:$P$408,MATCH(ROWS($EV$2:EV8),LIBRO_GIORNALE!$P$11:$P$408,0),1),0)</f>
        <v>0</v>
      </c>
      <c r="EW9" s="48" t="str">
        <f t="shared" ca="1" si="53"/>
        <v>0</v>
      </c>
      <c r="EX9" s="48">
        <f t="shared" ca="1" si="54"/>
        <v>0</v>
      </c>
      <c r="EY9" s="48">
        <f ca="1">IF(EX9&gt;0,MAX($EY$2:EY8)+1,0)</f>
        <v>0</v>
      </c>
      <c r="EZ9" s="48">
        <f ca="1">IFERROR(INDEX($EX$3:$EX$400,MATCH(ROWS($EZ$3:EZ9),$EY$3:$EY$400,0),1),0)</f>
        <v>0</v>
      </c>
      <c r="FA9" s="48">
        <f ca="1">IF(EZ9&gt;0,0,MAX($FA$2:FA8)+1)</f>
        <v>7</v>
      </c>
      <c r="FB9" s="48">
        <f t="shared" ca="1" si="55"/>
        <v>0</v>
      </c>
      <c r="FC9" s="48">
        <f t="shared" ca="1" si="56"/>
        <v>7</v>
      </c>
      <c r="FD9" s="48">
        <f t="shared" ca="1" si="57"/>
        <v>7</v>
      </c>
      <c r="FE9" s="48">
        <f ca="1">IF(FD9=0,0,MAX($FE$2:FE8)+1)</f>
        <v>7</v>
      </c>
      <c r="FF9" s="48">
        <f ca="1">IFERROR(INDEX($FD$3:$FE$400,MATCH(ROWS($FF$3:FF9),$FE$3:$FE$400,0),1),"")</f>
        <v>7</v>
      </c>
      <c r="FH9" s="48">
        <f t="shared" ca="1" si="58"/>
        <v>0</v>
      </c>
      <c r="FI9" s="48">
        <f ca="1">IF(FH9&lt;&gt;0,MAX($FI$2:FI8)+1,0)</f>
        <v>0</v>
      </c>
      <c r="FJ9" s="48" t="str">
        <f ca="1">IFERROR(INDEX($FH$3:$FI$400,MATCH(ROWS($FJ$3:FJ9),$FI$3:$FI$400,0),1),"")</f>
        <v/>
      </c>
      <c r="FK9" s="48">
        <f ca="1">IF(ABS(SUMIFS(DARE,DEN_G,"="&amp;FJ9,DATA,"&lt;="&amp;FINE_AC,DATA,"&gt;="&amp;INIZIO_A_PC)-SUMIFS(AVERE,DEN_G,"="&amp;FJ9,DATA,"&lt;="&amp;FINE_AC,DATA,"&gt;="&amp;INIZIO_A_PC))&gt;0,MAX($FK$2:FK8)+1,0)</f>
        <v>0</v>
      </c>
      <c r="FL9" s="48" t="str">
        <f ca="1">IF(AND(ROW()-2&lt;&gt;1,ROW()-2&lt;=$FK$1),CONCATENATE(" - ",IFERROR(INDEX($FJ$3:$FK$400,MATCH(ROWS($FL$3:FL9),$FK$3:$FK$400,0),1),"")),IFERROR(INDEX($FJ$3:$FK$400,MATCH(ROWS($FL$3:FL9),$FK$3:$FK$400,0),1),""))</f>
        <v/>
      </c>
      <c r="FM9" s="48">
        <f ca="1">IF(OR(B9="IVA ns/credito",B9="IVA NS/DEBITO",B9="IVA C/ACCONTO",B9="IMPOSTE C/ACCONTO",B9="CREDITI PER RITENUTE SUBITE",B9="CREDITI D'IMPOSTA"),MAX($FM$2:FM8)+1,0)</f>
        <v>0</v>
      </c>
      <c r="FN9" s="48" t="str">
        <f t="shared" ca="1" si="59"/>
        <v/>
      </c>
      <c r="FO9" s="48" t="str">
        <f ca="1">IFERROR(INDEX($FM$3:$FN$400,MATCH(ROWS($FO$3:FO9),$FM$3:$FM$400,0),2),"")</f>
        <v/>
      </c>
      <c r="FP9" s="48">
        <f ca="1">IF(ABS(SUMIFS(DARE,DEN_G,"="&amp;FO9,DATA,"&lt;="&amp;FINE_AC,DATA,"&gt;="&amp;INIZIO_A_PC)-SUMIFS(AVERE,DEN_G,"="&amp;FO9,DATA,"&lt;="&amp;FINE_AC,DATA,"&gt;="&amp;INIZIO_A_PC))&gt;0,MAX($FP$2:FP8)+1,0)</f>
        <v>0</v>
      </c>
      <c r="FQ9" s="48" t="str">
        <f ca="1">IF(AND(ROW()-2&lt;&gt;1,ROW()-2&lt;=$FP$1),CONCATENATE(" - ",IFERROR(INDEX($FO$3:$FP$400,MATCH(ROWS($FQ$3:FQ9),$FP$3:$FP$400,0),1),"")),IFERROR(INDEX($FO$3:$FP$400,MATCH(ROWS($FQ$3:FQ9),$FP$3:$FP$400,0),1),""))</f>
        <v/>
      </c>
    </row>
    <row r="10" spans="1:173" x14ac:dyDescent="0.3">
      <c r="A10" s="48" t="str">
        <f ca="1">IFERROR(IF($A$1=2,INDEX($DH$3:$DN$401,MATCH(ROWS(A$3:A10),$DN$3:$DN$401,0),COLUMN()),IF($A$1=1,INDEX($DQ$3:$DW$401,MATCH(ROWS(A$3:A10),$DW$3:$DW$401,0),COLUMN()),"")),"")</f>
        <v>01.03</v>
      </c>
      <c r="B10" s="48" t="str">
        <f ca="1">IFERROR(IF($A$1=2,INDEX($DH$3:$DN$401,MATCH(ROWS(B$3:B10),$DN$3:$DN$401,0),COLUMN()),IF($A$1=1,INDEX($DQ$3:$DW$400,MATCH(ROWS(B$3:B10),$DW$3:$DW$401,0),COLUMN()),"")),"")</f>
        <v>COSTI DI SVILUPPO</v>
      </c>
      <c r="C10" s="48" t="str">
        <f ca="1">IFERROR(IF($A$1=2,INDEX($DH$3:$DN$401,MATCH(ROWS(C$3:C10),$DN$3:$DN$401,0),COLUMN()),IF($A$1=1,INDEX($DQ$3:$DW$401,MATCH(ROWS(C$3:C10),$DW$3:$DW$401,0),COLUMN()),"")),"")</f>
        <v>E</v>
      </c>
      <c r="D10" s="48" t="str">
        <f ca="1">IFERROR(IF($A$1=2,INDEX($DH$3:$DN$401,MATCH(ROWS(D$3:D10),$DN$3:$DN$401,0),COLUMN()),IF($A$1=1,INDEX($DQ$3:$DW$401,MATCH(ROWS(D$3:D10),$DW$3:$DW$401,0),COLUMN()),"")),"")</f>
        <v>D</v>
      </c>
      <c r="E10" s="48" t="str">
        <f ca="1">IFERROR(IF($A$1=2,INDEX($DH$3:$DN$401,MATCH(ROWS(E$3:E10),$DN$3:$DN$401,0),COLUMN()),IF($A$1=1,INDEX($DQ$3:$DW$401,MATCH(ROWS(E$3:E10),$DW$3:$DW$401,0),COLUMN()),"")),"")</f>
        <v>COSTI PLURIENNALI</v>
      </c>
      <c r="F10" s="48" t="str">
        <f ca="1">IFERROR(IF($A$1=2,INDEX($DH$3:$DN$401,MATCH(ROWS(F$3:F10),$DN$3:$DN$401,0),COLUMN()),IF($A$1=1,INDEX($DQ$3:$DX$401,MATCH(ROWS(F$3:F10),$DW$3:$DW$401,0),COLUMN()),"")),"")</f>
        <v>SP DARE</v>
      </c>
      <c r="G10" s="48" t="str">
        <f t="shared" ca="1" si="23"/>
        <v>SP</v>
      </c>
      <c r="H10" s="48" t="str">
        <f ca="1">IFERROR(IF($A$1=2,INDEX($DH$3:$DO$400,MATCH(ROWS(H$3:H10),$DN$3:$DN$400,0),COLUMN()),IF($A$1=1,INDEX($DQ$3:$DX$400,MATCH(ROWS(H$3:H10),$DW$3:$DW$400,0),COLUMN()),"")),"")</f>
        <v>pab1</v>
      </c>
      <c r="I10" s="48" t="str">
        <f t="shared" ca="1" si="0"/>
        <v/>
      </c>
      <c r="J10" s="48" t="str">
        <f t="shared" ca="1" si="24"/>
        <v/>
      </c>
      <c r="K10" s="48">
        <f t="shared" ca="1" si="25"/>
        <v>0</v>
      </c>
      <c r="L10" s="48">
        <f t="shared" ca="1" si="26"/>
        <v>0</v>
      </c>
      <c r="M10" s="48">
        <f ca="1">IFERROR(IF(IF(MID($A10,3,3)=".00",MID(A10,1,2),"")&lt;&gt;"",MAX($M$2:M9)+1,0),"")</f>
        <v>0</v>
      </c>
      <c r="N10" s="48" t="str">
        <f t="shared" ca="1" si="27"/>
        <v/>
      </c>
      <c r="O10" s="48" t="str">
        <f ca="1">IF(IFERROR(INDEX($N$3:$O$400,MATCH(ROWS($O$3:O10),$M$3:$M$400,0),1),"")&lt;&gt;"",CONCATENATE(INDEX($N$3:$O$400,MATCH(ROWS($O$3:O10),$M$3:$M$400,0),1),".00"),"")</f>
        <v>07.00</v>
      </c>
      <c r="P10" s="48" t="str">
        <f t="shared" ca="1" si="28"/>
        <v>ATTIVITÀ FINANZIARIE</v>
      </c>
      <c r="Q10" s="48">
        <f ca="1">IF(M10&gt;=1,0,MAX($Q$2:Q9)+1)</f>
        <v>6</v>
      </c>
      <c r="R10" s="93">
        <f ca="1">IF(AND($U$2=1,S10&lt;&gt;""),MAX($R$2:R9)+1,0)</f>
        <v>0</v>
      </c>
      <c r="S10" s="48" t="s">
        <v>5</v>
      </c>
      <c r="T10" s="48" t="str">
        <f ca="1">IFERROR(INDEX($R$3:$S$64,MATCH(ROWS($T$2:T9),$R$3:$R$64,0),2),"")</f>
        <v>CREDITI DIVERSI</v>
      </c>
      <c r="U10" s="48" t="str">
        <f ca="1">IFERROR(INDEX(PDC,MATCH(ROWS(U$3:U10),$V$3:$V$400,0),2),"")</f>
        <v>SOFTWARE</v>
      </c>
      <c r="V10" s="48">
        <f ca="1">IF(AND($T$1="VISUALIZZA TUTTI I CONTI",AA10&lt;&gt;""),MAX($V$2:V9)+1,IF(AND($U$2=2,AI10=$T$1),MAX($V$2:V9)+1,IF(AND($U$2=1,$T$1=AF10),MAX($V$2:V9)+1,0)))</f>
        <v>8</v>
      </c>
      <c r="W10" s="48">
        <f ca="1">SUMIFS(INDIRECT(CONCATENATE(ADDRESS(3,9,,,"valori_iniziali"),":",ADDRESS(102,9,,,))),INDIRECT(CONCATENATE(ADDRESS(3,5,,,"VALORI_INIZIALI"),":",ADDRESS(102,5,,,))),"="&amp;"utile d'esercizio",INDIRECT(CONCATENATE(ADDRESS(3,4,,,"VALORI_INIZIALI"),":",ADDRESS(102,4,,,))),"&gt;="&amp;INIZIO_A_PC,INDIRECT(CONCATENATE(ADDRESS(3,4,,,"valori_iniziali"),":",ADDRESS(102,4,,,))),"&lt;="&amp;FINE_A_PC)</f>
        <v>0</v>
      </c>
      <c r="AA10" s="48" t="str">
        <f t="shared" ca="1" si="29"/>
        <v>01.00</v>
      </c>
      <c r="AB10" s="48" t="str">
        <f ca="1">IFERROR(INDEX($A$3:$G$400,MATCH(ROWS(AB$3:AB10),$Q$3:$Q$400,0),1),"")</f>
        <v>01.05</v>
      </c>
      <c r="AC10" s="48" t="str">
        <f ca="1">IFERROR(INDEX($A$3:$G$400,MATCH(ROWS($AC$3:AC10),$Q$3:$Q$400,0),2),"")</f>
        <v>SOFTWARE</v>
      </c>
      <c r="AD10" s="48" t="str">
        <f ca="1">IFERROR(INDEX($A$3:$G$400,MATCH(ROWS(AD$3:AD10),$Q$3:$Q$400,0),3),"")</f>
        <v>E</v>
      </c>
      <c r="AE10" s="48" t="str">
        <f ca="1">IFERROR(INDEX($A$3:$G$400,MATCH(ROWS(AE$3:AE10),$Q$3:$Q$400,0),4),"")</f>
        <v>D</v>
      </c>
      <c r="AF10" s="48" t="str">
        <f ca="1">IFERROR(INDEX($A$3:$G$400,MATCH(ROWS(AF$3:AF10),$Q$3:$Q$400,0),5),"")</f>
        <v>COSTI PLURIENNALI</v>
      </c>
      <c r="AG10" s="48" t="str">
        <f ca="1">IFERROR(INDEX($A$3:$G$400,MATCH(ROWS(AG$3:AG10),$Q$3:$Q$400,0),6),"")</f>
        <v>SP DARE</v>
      </c>
      <c r="AH10" s="48" t="str">
        <f ca="1">IFERROR(INDEX($A$3:$G$400,MATCH(ROWS(AH$3:AH10),$Q$3:$Q$400,0),7),"")</f>
        <v>SP</v>
      </c>
      <c r="AI10" s="48" t="str">
        <f t="shared" ca="1" si="1"/>
        <v>IMMOBILIZZAZIONI IMMATERIALI</v>
      </c>
      <c r="AJ10" s="48" t="str">
        <f ca="1">IFERROR(INDEX($A$3:$H$400,MATCH(ROWS(AJ$3:AJ10),$Q$3:$Q$400,0),8),"")</f>
        <v>pab1</v>
      </c>
      <c r="AK10" s="48">
        <f t="shared" ca="1" si="2"/>
        <v>0</v>
      </c>
      <c r="AL10" s="48">
        <f t="shared" ca="1" si="3"/>
        <v>0</v>
      </c>
      <c r="AM10" s="48">
        <f t="shared" ca="1" si="30"/>
        <v>0</v>
      </c>
      <c r="AN10" s="48" t="str">
        <f t="shared" ca="1" si="31"/>
        <v/>
      </c>
      <c r="AO10" s="48">
        <f t="shared" ca="1" si="32"/>
        <v>0</v>
      </c>
      <c r="AP10" s="48">
        <f t="shared" ca="1" si="32"/>
        <v>0</v>
      </c>
      <c r="AQ10" s="48" t="str">
        <f t="shared" ca="1" si="4"/>
        <v>SOFTWARE</v>
      </c>
      <c r="AR10" s="48">
        <f t="shared" ca="1" si="5"/>
        <v>0</v>
      </c>
      <c r="AS10" s="48">
        <f t="shared" ca="1" si="6"/>
        <v>0</v>
      </c>
      <c r="AT10" s="48">
        <f t="shared" ca="1" si="33"/>
        <v>0</v>
      </c>
      <c r="AU10" s="48">
        <f t="shared" ca="1" si="34"/>
        <v>0</v>
      </c>
      <c r="AV10" s="48">
        <f ca="1">IF(OR(AT10&gt;0,AU10&gt;0),MAX($AV$2:AV9)+1,0)</f>
        <v>0</v>
      </c>
      <c r="AZ10" s="241" t="str">
        <f t="shared" ca="1" si="35"/>
        <v/>
      </c>
      <c r="BA10" s="48">
        <f t="shared" ca="1" si="7"/>
        <v>0</v>
      </c>
      <c r="BB10" s="48">
        <f ca="1">IFERROR(INDEX($AQ$3:$AV$220,MATCH(ROWS($BB$3:BB10),$AV$3:$AV$220,0),1),0)</f>
        <v>0</v>
      </c>
      <c r="BC10" s="48" t="str">
        <f t="shared" ca="1" si="36"/>
        <v/>
      </c>
      <c r="BD10" s="48">
        <f ca="1">IFERROR(INDEX($AQ$3:$AV$220,MATCH(ROWS($BB$3:BD10),$AV$3:$AV$220,0),4),0)</f>
        <v>0</v>
      </c>
      <c r="BE10" s="48">
        <f ca="1">IFERROR(INDEX($AQ$3:$AV$220,MATCH(ROWS($BB$3:BE10),$AV$3:$AV$220,0),5),0)</f>
        <v>0</v>
      </c>
      <c r="BF10" s="48" t="s">
        <v>821</v>
      </c>
      <c r="BG10" s="48">
        <f ca="1">IF(IF(AND(OR(INDEX(PDC,MATCH($AC10,DEN_PDC,0),6)="SP DARE",INDEX(PDC,MATCH($AC10,DEN_PDC,0),6)="SP DARE/AVERE"),SUMIFS(DARE,DEN_G,$AC10)&gt;=SUMIFS(AVERE,DEN_G,$AC10)),SUMIFS(DARE,DEN_G,$AC10)-SUMIFS(AVERE,DEN_G,$AC10),0)&gt;0,MAX($BG$2:BG9)+1,0)</f>
        <v>0</v>
      </c>
      <c r="BH10" s="48">
        <f ca="1">IF(IF(AND(OR(INDEX(PDC,MATCH($AC10,DEN_PDC,0),6)="SP AVERE",INDEX(PDC,MATCH($AC10,DEN_PDC,0),6)="SP DARE/AVERE"),SUMIFS(AVERE,DEN_G,$AC10)&gt;=SUMIFS(DARE,DEN_G,$AC10)),SUMIFS(AVERE,DEN_G,$AC10)-SUMIFS(DARE,DEN_G,$AC10),0)&gt;0,MAX(BH$2:BH9)+1,0)</f>
        <v>0</v>
      </c>
      <c r="BI10" s="48">
        <f ca="1">IF(IF(AND(OR(INDEX(PDC,MATCH($AC10,DEN_PDC,0),6)="SE DARE",INDEX(PDC,MATCH($AC10,DEN_PDC,0),6)="SE DARE/AVERE"),SUMIFS(DARE,DEN_G,$AC10)&gt;=SUMIFS(AVERE,DEN_G,$AC10)),SUMIFS(DARE,DEN_G,$AC10)-SUMIFS(AVERE,DEN_G,$AC10),0)&gt;0,MAX(BI$2:BI9)+1,0)</f>
        <v>0</v>
      </c>
      <c r="BJ10" s="48">
        <f ca="1">IF(IF(AND(OR(INDEX(PDC,MATCH($AC10,DEN_PDC,0),6)="SE AVERE",INDEX(PDC,MATCH($AC10,DEN_PDC,0),6)="SE DARE/AVERE"),SUMIFS(AVERE,DEN_G,$AC10)&gt;=SUMIFS(DARE,DEN_G,$AC10)),SUMIFS(AVERE,DEN_G,$AC10)-SUMIFS(DARE,DEN_G,$AC10),0)&gt;0,MAX(BJ$2:BJ9)+1,0)</f>
        <v>0</v>
      </c>
      <c r="BK10" s="48" t="str">
        <f ca="1">IF(AND(AND($DY$2=0,$DY$1=0),$I$1=2,ROW()&gt;$BG$1+2,ROW()&lt;=$BG$1+4),"………………..",IF(AND(OR($DY$2&gt;0,$DY$1&gt;0),$I$1=2,ROW()&gt;$BG$1+2,ROW()&lt;=$BG$1+4),"………………..",IFERROR(INDEX($AC$3:$AC$398,MATCH(ROWS(BK$3:BK10),BG$3:BG$398,0),1),"")))</f>
        <v/>
      </c>
      <c r="BL10" s="48">
        <f t="shared" ref="BL10:BL66" ca="1" si="69">IF(BK10&lt;&gt;0,SUMIFS(DARE,DEN_G,$BK10)-SUMIFS(AVERE,DEN_G,$BK10),0)</f>
        <v>0</v>
      </c>
      <c r="BM10" s="48" t="str">
        <f ca="1">IF(AND(OR($DY$2=0,$DY$1=0),$I$1=2,ROW()&gt;$BH$1+2,ROW()&lt;=$BH$1+4),"………………..",IF(AND(OR($DY$2&gt;0,$DY$1&gt;0),$I$1=2,ROW()&gt;$BH$1+2,ROW()&lt;=$BH$1+4),"………………..",IFERROR(INDEX($AC$3:$AC$400,MATCH(ROWS(BM$3:BM10),BH$3:BH$400,0),1),"")))</f>
        <v/>
      </c>
      <c r="BN10" s="48">
        <f t="shared" ca="1" si="9"/>
        <v>0</v>
      </c>
      <c r="BO10" s="48" t="str">
        <f ca="1">IF(AND(OR($DY$2=0,$DY$1=0),$I$1=2,ROW()&gt;$BI$1+2,ROW()&lt;=$BI$1+4),"………………..",IF(AND(OR($DY$2&gt;0,$DY$1&gt;0),$I$1=2,ROW()&gt;$BI$1+2,ROW()&lt;=$BI$1+4),"………………..",IFERROR(INDEX($AC$3:$AC$400,MATCH(ROWS(BO$3:BO10),BI$3:BI$400,0),1),"")))</f>
        <v/>
      </c>
      <c r="BP10" s="48">
        <f t="shared" ca="1" si="10"/>
        <v>0</v>
      </c>
      <c r="BQ10" s="48" t="str">
        <f ca="1">IF(AND(OR($DY$2=0,$DY$1=0),$I$1=2,ROW()&gt;$BJ$1+2,ROW()&lt;=$BJ$1+4),"………………..",IF(AND(OR($DY$2&gt;0,$DY$1&gt;0),$I$1=2,ROW()&gt;$BJ$1+2,ROW()&lt;=$BJ$1+4),"………………..",IFERROR(INDEX($AC$3:$AC$400,MATCH(ROWS(BQ$3:BQ10),BJ$3:BJ$400,0),1),"")))</f>
        <v/>
      </c>
      <c r="BR10" s="48">
        <f t="shared" ca="1" si="11"/>
        <v>0</v>
      </c>
      <c r="BS10" s="48">
        <f ca="1">IF(IF(AND(OR(INDEX(PDC,MATCH($AC10,DEN_PDC,0),4)="D",INDEX(PDC,MATCH($AC10,DEN_PDC,0),4)="D/A"),SUMIFS(DARE,DEN_G,$AC10)&gt;=SUMIFS(AVERE,DEN_G,$AC10)),SUMIFS(DARE,DEN_G,$AC10),IF(AND(OR(INDEX(PDC,MATCH($AC10,DEN_PDC,0),4)="A",INDEX(PDC,MATCH($AC10,DEN_PDC,0),4)="D/A"),SUMIFS(AVERE,DEN_G,$AC10)&gt;=SUMIFS(DARE,DEN_G,$AC10)),SUMIFS(AVERE,DEN_G,$AC10),))&gt;0,MAX($BS$2:BS9)+1,0)</f>
        <v>0</v>
      </c>
      <c r="BT10" s="48" t="str">
        <f ca="1">IF($CO$1=0,"",IF(AND($I$1=2,ROW()&gt;$BR$1,ROW()&lt;=$BS$1)," …………….",IF(AND($E$1=1,$BX$1=1,$I$1=2,ROW()=$BQ$1),"TOTALI",IFERROR(INDEX(PDC,MATCH(ROWS(BT$3:BT10),BS$3:BS407,0),2),""))))</f>
        <v/>
      </c>
      <c r="BU10" s="48">
        <f t="shared" ca="1" si="12"/>
        <v>0</v>
      </c>
      <c r="BV10" s="48">
        <f t="shared" ca="1" si="13"/>
        <v>0</v>
      </c>
      <c r="BW10" s="48">
        <f t="shared" ca="1" si="14"/>
        <v>0</v>
      </c>
      <c r="BX10" s="48">
        <f t="shared" ca="1" si="15"/>
        <v>0</v>
      </c>
      <c r="BY10" s="48">
        <f ca="1">IF(OR(BW10&gt;0,BX10&gt;0),MAX($BY$2:BY9)+1,0)</f>
        <v>0</v>
      </c>
      <c r="BZ10" s="48" t="str">
        <f ca="1">IFERROR(INDEX($BT$3:$BY$400,MATCH(ROWS(BZ$3:BZ10),$BY$3:$BY$400,0),1),"")</f>
        <v/>
      </c>
      <c r="CA10" s="48" t="str">
        <f ca="1">IFERROR(INDEX($BT$3:$BY$400,MATCH(ROWS(CA$3:CA10),$BY$3:$BY$400,0),4),"")</f>
        <v/>
      </c>
      <c r="CB10" s="48" t="str">
        <f ca="1">IFERROR(INDEX($BT$3:$BY$400,MATCH(ROWS(CB$3:CB10),$BY$3:$BY$400,0),5),"")</f>
        <v/>
      </c>
      <c r="CC10" s="48" t="str">
        <f t="shared" ca="1" si="16"/>
        <v/>
      </c>
      <c r="CD10" s="48">
        <f ca="1">IF(AND($BF$9=1,CE10&lt;&gt;0),MAX($CD$2:CD9)+1,0)</f>
        <v>0</v>
      </c>
      <c r="CE10" s="48">
        <f ca="1">IF(ROUND(SUMIFS(COPIA!$CA$3:$CA$400,COPIA!$CC$3:$CC$400,CF10)-SUMIFS(COPIA!$CB$3:$CB$400,COPIA!$CC$3:$CC$400,CF10),0)&lt;0,0,ROUND(SUMIFS(COPIA!$CA$3:$CA$400,COPIA!$CC$3:$CC$400,CF10)-SUMIFS(COPIA!$CB$3:$CB$400,COPIA!$CC$3:$CC$400,CF10),0))</f>
        <v>0</v>
      </c>
      <c r="CF10" s="48" t="s">
        <v>621</v>
      </c>
      <c r="CG10" s="242" t="s">
        <v>503</v>
      </c>
      <c r="CH10" s="242">
        <f t="shared" ca="1" si="68"/>
        <v>0</v>
      </c>
      <c r="CI10" s="242"/>
      <c r="CJ10" s="243"/>
      <c r="CL10" s="242"/>
      <c r="CM10" s="242" t="str">
        <f t="shared" ca="1" si="37"/>
        <v/>
      </c>
      <c r="CN10" s="243">
        <f t="shared" ca="1" si="38"/>
        <v>0</v>
      </c>
      <c r="CO10" s="48" t="str">
        <f t="shared" ca="1" si="39"/>
        <v/>
      </c>
      <c r="CQ10" s="242" t="str">
        <f ca="1">IFERROR(IF($ES$1&gt;0,"Verifica che la denominazione di tutti i conti corrisponda a quella del Piano dei conti selezionato.",""),"")</f>
        <v/>
      </c>
      <c r="CR10" s="242">
        <f ca="1">IF(CQ10="",0,MAX($CR$2:CR9)+1)</f>
        <v>0</v>
      </c>
      <c r="CT10" s="243"/>
      <c r="CU10" s="48">
        <f ca="1">IF(SUMIFS(AVERE,DEN_G,AC10,AVERE,"&gt;"&amp;0)+SUMIFS(DARE,DEN_G,AC10,DARE,"&gt;"&amp;0)&gt;0,MAX($CU$2:CU9)+1,0)</f>
        <v>0</v>
      </c>
      <c r="CV10" s="48" t="str">
        <f ca="1">IF(IFERROR(INDEX(PDC,MATCH(ROWS($CV$3:CV10),$CU$3:$CU$400,0),2),"")="CONTO DI RISULTATO ECONOMICO","",IFERROR(INDEX(PDC,MATCH(ROWS($CV$3:CV10),$CU$3:$CU$400,0),2),""))</f>
        <v/>
      </c>
      <c r="CW10" s="48">
        <f ca="1">IFERROR(IF(CV10&lt;&gt;"",MAX($CW$2:CW9)+1,0),0)</f>
        <v>0</v>
      </c>
      <c r="CX10" s="48">
        <f t="shared" ca="1" si="17"/>
        <v>1</v>
      </c>
      <c r="CY10" s="48" t="str">
        <f t="shared" ca="1" si="18"/>
        <v>MASTRO</v>
      </c>
      <c r="CZ10" s="48" t="e">
        <f t="shared" ca="1" si="60"/>
        <v>#N/A</v>
      </c>
      <c r="DA10" s="48" t="str">
        <f t="shared" ca="1" si="67"/>
        <v/>
      </c>
      <c r="DB10" s="48" t="str">
        <f t="shared" ca="1" si="61"/>
        <v/>
      </c>
      <c r="DC10" s="48" t="str">
        <f t="shared" ca="1" si="62"/>
        <v/>
      </c>
      <c r="DD10" s="48" t="str">
        <f t="shared" ca="1" si="63"/>
        <v/>
      </c>
      <c r="DE10" s="48" t="str">
        <f t="shared" ca="1" si="64"/>
        <v/>
      </c>
      <c r="DF10" s="48">
        <f ca="1">IF(AND(CX10=$DF$1,CX10&lt;&gt;""),0,IF(AND(DB10&lt;&gt;"",OR(DB9&lt;&gt;"",DB11&lt;&gt;"")),MAX($DF$2:DF9)+1,0))</f>
        <v>0</v>
      </c>
      <c r="DG10" s="48">
        <f ca="1">DG5</f>
        <v>0</v>
      </c>
      <c r="DH10" s="244" t="s">
        <v>325</v>
      </c>
      <c r="DI10" s="48" t="str">
        <f ca="1">IFERROR(IF(AND($DL$1=TRUE,DG10&lt;&gt;0),CONCATENATE("SOCIO ",DG10," C/VERSAMENTI RICHIAMATI"),IF(AND($DL$1=FALSE,DG10&lt;&gt;0),CONCATENATE("AZIONISTA ",DG10," C/VERSAMENTI RICHIAMATI"),"")),"")</f>
        <v/>
      </c>
      <c r="DJ10" s="48" t="s">
        <v>312</v>
      </c>
      <c r="DK10" s="48" t="s">
        <v>275</v>
      </c>
      <c r="DL10" s="48" t="s">
        <v>6</v>
      </c>
      <c r="DM10" s="48" t="s">
        <v>270</v>
      </c>
      <c r="DN10" s="48">
        <f ca="1">IF(DI10&lt;&gt;"",MAX($DN$2:DN9)+1,0)</f>
        <v>0</v>
      </c>
      <c r="DO10" s="48" t="str">
        <f t="shared" ca="1" si="65"/>
        <v>paa</v>
      </c>
      <c r="DP10" s="48">
        <f ca="1">DP5</f>
        <v>0</v>
      </c>
      <c r="DQ10" s="227" t="s">
        <v>483</v>
      </c>
      <c r="DR10" s="48" t="str">
        <f ca="1">IFERROR(IF(DP10&lt;&gt;0,CONCATENATE("SOCIO ",DP10," C/REINTEGRO"),""),"")</f>
        <v/>
      </c>
      <c r="DS10" s="48" t="s">
        <v>312</v>
      </c>
      <c r="DT10" s="48" t="s">
        <v>275</v>
      </c>
      <c r="DU10" s="48" t="s">
        <v>6</v>
      </c>
      <c r="DV10" s="48" t="s">
        <v>270</v>
      </c>
      <c r="DW10" s="48">
        <f ca="1">IF(DR10&lt;&gt;"",MAX($DW$2:DW9)+1,0)</f>
        <v>0</v>
      </c>
      <c r="DX10" s="48" t="str">
        <f t="shared" ca="1" si="66"/>
        <v>paa</v>
      </c>
      <c r="DY10" s="48" t="str">
        <f t="shared" ca="1" si="19"/>
        <v/>
      </c>
      <c r="DZ10" s="48" t="str">
        <f t="shared" ca="1" si="40"/>
        <v/>
      </c>
      <c r="EA10" s="48" t="str">
        <f t="shared" ca="1" si="41"/>
        <v/>
      </c>
      <c r="EB10" s="48">
        <f t="shared" ca="1" si="42"/>
        <v>0</v>
      </c>
      <c r="EC10" s="48">
        <f t="shared" ca="1" si="43"/>
        <v>0</v>
      </c>
      <c r="ED10" s="48" t="str">
        <f t="shared" ca="1" si="44"/>
        <v/>
      </c>
      <c r="EE10" s="48">
        <f t="shared" ca="1" si="45"/>
        <v>0</v>
      </c>
      <c r="EF10" s="48" t="str">
        <f t="shared" ca="1" si="46"/>
        <v/>
      </c>
      <c r="EG10" s="48">
        <f t="shared" ca="1" si="47"/>
        <v>0</v>
      </c>
      <c r="EH10" s="48" t="str">
        <f t="shared" ca="1" si="48"/>
        <v/>
      </c>
      <c r="EI10" s="48">
        <f t="shared" ca="1" si="49"/>
        <v>0</v>
      </c>
      <c r="EJ10" s="48" t="str">
        <f t="shared" ca="1" si="50"/>
        <v/>
      </c>
      <c r="EK10" s="48">
        <f t="shared" ca="1" si="51"/>
        <v>0</v>
      </c>
      <c r="EL10" s="48">
        <f t="shared" ca="1" si="20"/>
        <v>0</v>
      </c>
      <c r="EM10" s="48">
        <f ca="1">IF(EL10&gt;=0,0,MAX($EM$2:EM9)+1)</f>
        <v>0</v>
      </c>
      <c r="EN10" s="48" t="str">
        <f t="shared" ca="1" si="21"/>
        <v/>
      </c>
      <c r="EO10" s="48" t="str">
        <f ca="1">IFERROR(INDEX($EM$3:$EN$400,MATCH(ROWS($EO$3:EO10),$EM$3:$EM$400,0),2),"")</f>
        <v/>
      </c>
      <c r="EP10" s="48">
        <f>ROW()</f>
        <v>10</v>
      </c>
      <c r="EQ10" s="48">
        <f t="shared" ca="1" si="22"/>
        <v>0</v>
      </c>
      <c r="ER10" s="48">
        <f ca="1">IF(ISNA(EQ10)=TRUE,MAX($ER$2:ER9)+1,0)</f>
        <v>0</v>
      </c>
      <c r="ES10" s="48" t="str">
        <f t="shared" ca="1" si="52"/>
        <v/>
      </c>
      <c r="ET10" s="48" t="str">
        <f ca="1">IFERROR(INDEX($ER$3:$ES$400,MATCH(ROWS($ET$3:ET10),$ER$3:$ER$400,0),2),"")</f>
        <v/>
      </c>
      <c r="EU10" s="48">
        <f ca="1">IF(ROUND(SUMIFS(COPIA!$CA$3:$CA$400,COPIA!$CC$3:$CC$400,CF10)-SUMIFS(COPIA!$CB$3:$CB$400,COPIA!$CC$3:$CC$400,CF10),0)&lt;0,1,0)</f>
        <v>0</v>
      </c>
      <c r="EV10" s="48">
        <f ca="1">IFERROR(INDEX(LIBRO_GIORNALE!$O$11:$P$408,MATCH(ROWS($EV$2:EV9),LIBRO_GIORNALE!$P$11:$P$408,0),1),0)</f>
        <v>0</v>
      </c>
      <c r="EW10" s="48" t="str">
        <f t="shared" ca="1" si="53"/>
        <v>0</v>
      </c>
      <c r="EX10" s="48">
        <f t="shared" ca="1" si="54"/>
        <v>0</v>
      </c>
      <c r="EY10" s="48">
        <f ca="1">IF(EX10&gt;0,MAX($EY$2:EY9)+1,0)</f>
        <v>0</v>
      </c>
      <c r="EZ10" s="48">
        <f ca="1">IFERROR(INDEX($EX$3:$EX$400,MATCH(ROWS($EZ$3:EZ10),$EY$3:$EY$400,0),1),0)</f>
        <v>0</v>
      </c>
      <c r="FA10" s="48">
        <f ca="1">IF(EZ10&gt;0,0,MAX($FA$2:FA9)+1)</f>
        <v>8</v>
      </c>
      <c r="FB10" s="48">
        <f t="shared" ca="1" si="55"/>
        <v>0</v>
      </c>
      <c r="FC10" s="48">
        <f t="shared" ca="1" si="56"/>
        <v>8</v>
      </c>
      <c r="FD10" s="48">
        <f t="shared" ca="1" si="57"/>
        <v>8</v>
      </c>
      <c r="FE10" s="48">
        <f ca="1">IF(FD10=0,0,MAX($FE$2:FE9)+1)</f>
        <v>8</v>
      </c>
      <c r="FF10" s="48">
        <f ca="1">IFERROR(INDEX($FD$3:$FE$400,MATCH(ROWS($FF$3:FF10),$FE$3:$FE$400,0),1),"")</f>
        <v>8</v>
      </c>
      <c r="FH10" s="48">
        <f t="shared" ca="1" si="58"/>
        <v>0</v>
      </c>
      <c r="FI10" s="48">
        <f ca="1">IF(FH10&lt;&gt;0,MAX($FI$2:FI9)+1,0)</f>
        <v>0</v>
      </c>
      <c r="FJ10" s="48" t="str">
        <f ca="1">IFERROR(INDEX($FH$3:$FI$400,MATCH(ROWS($FJ$3:FJ10),$FI$3:$FI$400,0),1),"")</f>
        <v/>
      </c>
      <c r="FK10" s="48">
        <f ca="1">IF(ABS(SUMIFS(DARE,DEN_G,"="&amp;FJ10,DATA,"&lt;="&amp;FINE_AC,DATA,"&gt;="&amp;INIZIO_A_PC)-SUMIFS(AVERE,DEN_G,"="&amp;FJ10,DATA,"&lt;="&amp;FINE_AC,DATA,"&gt;="&amp;INIZIO_A_PC))&gt;0,MAX($FK$2:FK9)+1,0)</f>
        <v>0</v>
      </c>
      <c r="FL10" s="48" t="str">
        <f ca="1">IF(AND(ROW()-2&lt;&gt;1,ROW()-2&lt;=$FK$1),CONCATENATE(" - ",IFERROR(INDEX($FJ$3:$FK$400,MATCH(ROWS($FL$3:FL10),$FK$3:$FK$400,0),1),"")),IFERROR(INDEX($FJ$3:$FK$400,MATCH(ROWS($FL$3:FL10),$FK$3:$FK$400,0),1),""))</f>
        <v/>
      </c>
      <c r="FM10" s="48">
        <f ca="1">IF(OR(B10="IVA ns/credito",B10="IVA NS/DEBITO",B10="IVA C/ACCONTO",B10="IMPOSTE C/ACCONTO",B10="CREDITI PER RITENUTE SUBITE",B10="CREDITI D'IMPOSTA"),MAX($FM$2:FM9)+1,0)</f>
        <v>0</v>
      </c>
      <c r="FN10" s="48" t="str">
        <f t="shared" ca="1" si="59"/>
        <v/>
      </c>
      <c r="FO10" s="48" t="str">
        <f ca="1">IFERROR(INDEX($FM$3:$FN$400,MATCH(ROWS($FO$3:FO10),$FM$3:$FM$400,0),2),"")</f>
        <v/>
      </c>
      <c r="FP10" s="48">
        <f ca="1">IF(ABS(SUMIFS(DARE,DEN_G,"="&amp;FO10,DATA,"&lt;="&amp;FINE_AC,DATA,"&gt;="&amp;INIZIO_A_PC)-SUMIFS(AVERE,DEN_G,"="&amp;FO10,DATA,"&lt;="&amp;FINE_AC,DATA,"&gt;="&amp;INIZIO_A_PC))&gt;0,MAX($FP$2:FP9)+1,0)</f>
        <v>0</v>
      </c>
      <c r="FQ10" s="48" t="str">
        <f ca="1">IF(AND(ROW()-2&lt;&gt;1,ROW()-2&lt;=$FP$1),CONCATENATE(" - ",IFERROR(INDEX($FO$3:$FP$400,MATCH(ROWS($FQ$3:FQ10),$FP$3:$FP$400,0),1),"")),IFERROR(INDEX($FO$3:$FP$400,MATCH(ROWS($FQ$3:FQ10),$FP$3:$FP$400,0),1),""))</f>
        <v/>
      </c>
    </row>
    <row r="11" spans="1:173" x14ac:dyDescent="0.3">
      <c r="A11" s="48" t="str">
        <f ca="1">IFERROR(IF($A$1=2,INDEX($DH$3:$DN$401,MATCH(ROWS(A$3:A11),$DN$3:$DN$401,0),COLUMN()),IF($A$1=1,INDEX($DQ$3:$DW$401,MATCH(ROWS(A$3:A11),$DW$3:$DW$401,0),COLUMN()),"")),"")</f>
        <v>01.04</v>
      </c>
      <c r="B11" s="48" t="str">
        <f ca="1">IFERROR(IF($A$1=2,INDEX($DH$3:$DN$401,MATCH(ROWS(B$3:B11),$DN$3:$DN$401,0),COLUMN()),IF($A$1=1,INDEX($DQ$3:$DW$400,MATCH(ROWS(B$3:B11),$DW$3:$DW$401,0),COLUMN()),"")),"")</f>
        <v>BREVETTI</v>
      </c>
      <c r="C11" s="48" t="str">
        <f ca="1">IFERROR(IF($A$1=2,INDEX($DH$3:$DN$401,MATCH(ROWS(C$3:C11),$DN$3:$DN$401,0),COLUMN()),IF($A$1=1,INDEX($DQ$3:$DW$401,MATCH(ROWS(C$3:C11),$DW$3:$DW$401,0),COLUMN()),"")),"")</f>
        <v>E</v>
      </c>
      <c r="D11" s="48" t="str">
        <f ca="1">IFERROR(IF($A$1=2,INDEX($DH$3:$DN$401,MATCH(ROWS(D$3:D11),$DN$3:$DN$401,0),COLUMN()),IF($A$1=1,INDEX($DQ$3:$DW$401,MATCH(ROWS(D$3:D11),$DW$3:$DW$401,0),COLUMN()),"")),"")</f>
        <v>D</v>
      </c>
      <c r="E11" s="48" t="str">
        <f ca="1">IFERROR(IF($A$1=2,INDEX($DH$3:$DN$401,MATCH(ROWS(E$3:E11),$DN$3:$DN$401,0),COLUMN()),IF($A$1=1,INDEX($DQ$3:$DW$401,MATCH(ROWS(E$3:E11),$DW$3:$DW$401,0),COLUMN()),"")),"")</f>
        <v>COSTI PLURIENNALI</v>
      </c>
      <c r="F11" s="48" t="str">
        <f ca="1">IFERROR(IF($A$1=2,INDEX($DH$3:$DN$401,MATCH(ROWS(F$3:F11),$DN$3:$DN$401,0),COLUMN()),IF($A$1=1,INDEX($DQ$3:$DX$401,MATCH(ROWS(F$3:F11),$DW$3:$DW$401,0),COLUMN()),"")),"")</f>
        <v>SP DARE</v>
      </c>
      <c r="G11" s="48" t="str">
        <f t="shared" ca="1" si="23"/>
        <v>SP</v>
      </c>
      <c r="H11" s="48" t="str">
        <f ca="1">IFERROR(IF($A$1=2,INDEX($DH$3:$DO$400,MATCH(ROWS(H$3:H11),$DN$3:$DN$400,0),COLUMN()),IF($A$1=1,INDEX($DQ$3:$DX$400,MATCH(ROWS(H$3:H11),$DW$3:$DW$400,0),COLUMN()),"")),"")</f>
        <v>pab1</v>
      </c>
      <c r="I11" s="48" t="str">
        <f t="shared" ca="1" si="0"/>
        <v/>
      </c>
      <c r="J11" s="48" t="str">
        <f t="shared" ca="1" si="24"/>
        <v/>
      </c>
      <c r="K11" s="48">
        <f t="shared" ca="1" si="25"/>
        <v>0</v>
      </c>
      <c r="L11" s="48">
        <f t="shared" ca="1" si="26"/>
        <v>0</v>
      </c>
      <c r="M11" s="48">
        <f ca="1">IFERROR(IF(IF(MID($A11,3,3)=".00",MID(A11,1,2),"")&lt;&gt;"",MAX($M$2:M10)+1,0),"")</f>
        <v>0</v>
      </c>
      <c r="N11" s="48" t="str">
        <f t="shared" ca="1" si="27"/>
        <v/>
      </c>
      <c r="O11" s="48" t="str">
        <f ca="1">IF(IFERROR(INDEX($N$3:$O$400,MATCH(ROWS($O$3:O11),$M$3:$M$400,0),1),"")&lt;&gt;"",CONCATENATE(INDEX($N$3:$O$400,MATCH(ROWS($O$3:O11),$M$3:$M$400,0),1),".00"),"")</f>
        <v>08.00</v>
      </c>
      <c r="P11" s="48" t="str">
        <f t="shared" ca="1" si="28"/>
        <v>DISPONIBILITÀ LIQUIDE</v>
      </c>
      <c r="Q11" s="48">
        <f ca="1">IF(M11&gt;=1,0,MAX($Q$2:Q10)+1)</f>
        <v>7</v>
      </c>
      <c r="R11" s="93">
        <f ca="1">IF(AND($U$2=1,S11&lt;&gt;""),MAX($R$2:R10)+1,0)</f>
        <v>0</v>
      </c>
      <c r="S11" s="48" t="s">
        <v>272</v>
      </c>
      <c r="T11" s="48" t="str">
        <f ca="1">IFERROR(INDEX($R$3:$S$64,MATCH(ROWS($T$2:T10),$R$3:$R$64,0),2),"")</f>
        <v>ATTIVITÀ FINANZIARIE</v>
      </c>
      <c r="U11" s="48" t="str">
        <f ca="1">IFERROR(INDEX(PDC,MATCH(ROWS(U$3:U11),$V$3:$V$400,0),2),"")</f>
        <v>AVVIAMENTO</v>
      </c>
      <c r="V11" s="48">
        <f ca="1">IF(AND($T$1="VISUALIZZA TUTTI I CONTI",AA11&lt;&gt;""),MAX($V$2:V10)+1,IF(AND($U$2=2,AI11=$T$1),MAX($V$2:V10)+1,IF(AND($U$2=1,$T$1=AF11),MAX($V$2:V10)+1,0)))</f>
        <v>9</v>
      </c>
      <c r="W11" s="48">
        <f ca="1">SUMIFS(INDIRECT(CONCATENATE(ADDRESS(3,8,,,"valori_iniziali"),":",ADDRESS(102,8,,,))),INDIRECT(CONCATENATE(ADDRESS(3,5,,,"VALORI_INIZIALI"),":",ADDRESS(102,5,,,))),"="&amp;"perdita d'esercizio",INDIRECT(CONCATENATE(ADDRESS(3,4,,,"VALORI_INIZIALI"),":",ADDRESS(102,4,,,))),"&gt;="&amp;INIZIO_A_PC,INDIRECT(CONCATENATE(ADDRESS(3,4,,,"valori_iniziali"),":",ADDRESS(102,4,,,))),"&lt;="&amp;FINE_A_PC)</f>
        <v>0</v>
      </c>
      <c r="AA11" s="48" t="str">
        <f t="shared" ca="1" si="29"/>
        <v>01.00</v>
      </c>
      <c r="AB11" s="48" t="str">
        <f ca="1">IFERROR(INDEX($A$3:$G$400,MATCH(ROWS(AB$3:AB11),$Q$3:$Q$400,0),1),"")</f>
        <v>01.06</v>
      </c>
      <c r="AC11" s="48" t="str">
        <f ca="1">IFERROR(INDEX($A$3:$G$400,MATCH(ROWS($AC$3:AC11),$Q$3:$Q$400,0),2),"")</f>
        <v>AVVIAMENTO</v>
      </c>
      <c r="AD11" s="48" t="str">
        <f ca="1">IFERROR(INDEX($A$3:$G$400,MATCH(ROWS(AD$3:AD11),$Q$3:$Q$400,0),3),"")</f>
        <v>E</v>
      </c>
      <c r="AE11" s="48" t="str">
        <f ca="1">IFERROR(INDEX($A$3:$G$400,MATCH(ROWS(AE$3:AE11),$Q$3:$Q$400,0),4),"")</f>
        <v>D</v>
      </c>
      <c r="AF11" s="48" t="str">
        <f ca="1">IFERROR(INDEX($A$3:$G$400,MATCH(ROWS(AF$3:AF11),$Q$3:$Q$400,0),5),"")</f>
        <v>COSTI PLURIENNALI</v>
      </c>
      <c r="AG11" s="48" t="str">
        <f ca="1">IFERROR(INDEX($A$3:$G$400,MATCH(ROWS(AG$3:AG11),$Q$3:$Q$400,0),6),"")</f>
        <v>SP DARE</v>
      </c>
      <c r="AH11" s="48" t="str">
        <f ca="1">IFERROR(INDEX($A$3:$G$400,MATCH(ROWS(AH$3:AH11),$Q$3:$Q$400,0),7),"")</f>
        <v>SP</v>
      </c>
      <c r="AI11" s="48" t="str">
        <f t="shared" ca="1" si="1"/>
        <v>IMMOBILIZZAZIONI IMMATERIALI</v>
      </c>
      <c r="AJ11" s="48" t="str">
        <f ca="1">IFERROR(INDEX($A$3:$H$400,MATCH(ROWS(AJ$3:AJ11),$Q$3:$Q$400,0),8),"")</f>
        <v>pab1</v>
      </c>
      <c r="AK11" s="48">
        <f t="shared" ca="1" si="2"/>
        <v>0</v>
      </c>
      <c r="AL11" s="48">
        <f t="shared" ca="1" si="3"/>
        <v>0</v>
      </c>
      <c r="AM11" s="48">
        <f t="shared" ca="1" si="30"/>
        <v>0</v>
      </c>
      <c r="AN11" s="48" t="str">
        <f t="shared" ca="1" si="31"/>
        <v/>
      </c>
      <c r="AO11" s="48">
        <f t="shared" ca="1" si="32"/>
        <v>0</v>
      </c>
      <c r="AP11" s="48">
        <f t="shared" ca="1" si="32"/>
        <v>0</v>
      </c>
      <c r="AQ11" s="48" t="str">
        <f t="shared" ca="1" si="4"/>
        <v>AVVIAMENTO</v>
      </c>
      <c r="AR11" s="48">
        <f t="shared" ca="1" si="5"/>
        <v>0</v>
      </c>
      <c r="AS11" s="48">
        <f t="shared" ca="1" si="6"/>
        <v>0</v>
      </c>
      <c r="AT11" s="48">
        <f t="shared" ca="1" si="33"/>
        <v>0</v>
      </c>
      <c r="AU11" s="48">
        <f t="shared" ca="1" si="34"/>
        <v>0</v>
      </c>
      <c r="AV11" s="48">
        <f ca="1">IF(OR(AT11&gt;0,AU11&gt;0),MAX($AV$2:AV10)+1,0)</f>
        <v>0</v>
      </c>
      <c r="AZ11" s="241" t="str">
        <f t="shared" ca="1" si="35"/>
        <v/>
      </c>
      <c r="BA11" s="48">
        <f t="shared" ca="1" si="7"/>
        <v>0</v>
      </c>
      <c r="BB11" s="48">
        <f ca="1">IFERROR(INDEX($AQ$3:$AV$220,MATCH(ROWS($BB$3:BB11),$AV$3:$AV$220,0),1),0)</f>
        <v>0</v>
      </c>
      <c r="BC11" s="48" t="str">
        <f t="shared" ca="1" si="36"/>
        <v/>
      </c>
      <c r="BD11" s="48">
        <f ca="1">IFERROR(INDEX($AQ$3:$AV$220,MATCH(ROWS($BB$3:BD11),$AV$3:$AV$220,0),4),0)</f>
        <v>0</v>
      </c>
      <c r="BE11" s="48">
        <f ca="1">IFERROR(INDEX($AQ$3:$AV$220,MATCH(ROWS($BB$3:BE11),$AV$3:$AV$220,0),5),0)</f>
        <v>0</v>
      </c>
      <c r="BF11" s="48" t="s">
        <v>822</v>
      </c>
      <c r="BG11" s="48">
        <f ca="1">IF(IF(AND(OR(INDEX(PDC,MATCH($AC11,DEN_PDC,0),6)="SP DARE",INDEX(PDC,MATCH($AC11,DEN_PDC,0),6)="SP DARE/AVERE"),SUMIFS(DARE,DEN_G,$AC11)&gt;=SUMIFS(AVERE,DEN_G,$AC11)),SUMIFS(DARE,DEN_G,$AC11)-SUMIFS(AVERE,DEN_G,$AC11),0)&gt;0,MAX($BG$2:BG10)+1,0)</f>
        <v>0</v>
      </c>
      <c r="BH11" s="48">
        <f ca="1">IF(IF(AND(OR(INDEX(PDC,MATCH($AC11,DEN_PDC,0),6)="SP AVERE",INDEX(PDC,MATCH($AC11,DEN_PDC,0),6)="SP DARE/AVERE"),SUMIFS(AVERE,DEN_G,$AC11)&gt;=SUMIFS(DARE,DEN_G,$AC11)),SUMIFS(AVERE,DEN_G,$AC11)-SUMIFS(DARE,DEN_G,$AC11),0)&gt;0,MAX(BH$2:BH10)+1,0)</f>
        <v>0</v>
      </c>
      <c r="BI11" s="48">
        <f ca="1">IF(IF(AND(OR(INDEX(PDC,MATCH($AC11,DEN_PDC,0),6)="SE DARE",INDEX(PDC,MATCH($AC11,DEN_PDC,0),6)="SE DARE/AVERE"),SUMIFS(DARE,DEN_G,$AC11)&gt;=SUMIFS(AVERE,DEN_G,$AC11)),SUMIFS(DARE,DEN_G,$AC11)-SUMIFS(AVERE,DEN_G,$AC11),0)&gt;0,MAX(BI$2:BI10)+1,0)</f>
        <v>0</v>
      </c>
      <c r="BJ11" s="48">
        <f ca="1">IF(IF(AND(OR(INDEX(PDC,MATCH($AC11,DEN_PDC,0),6)="SE AVERE",INDEX(PDC,MATCH($AC11,DEN_PDC,0),6)="SE DARE/AVERE"),SUMIFS(AVERE,DEN_G,$AC11)&gt;=SUMIFS(DARE,DEN_G,$AC11)),SUMIFS(AVERE,DEN_G,$AC11)-SUMIFS(DARE,DEN_G,$AC11),0)&gt;0,MAX(BJ$2:BJ10)+1,0)</f>
        <v>0</v>
      </c>
      <c r="BK11" s="48" t="str">
        <f ca="1">IF(AND(AND($DY$2=0,$DY$1=0),$I$1=2,ROW()&gt;$BG$1+2,ROW()&lt;=$BG$1+4),"………………..",IF(AND(OR($DY$2&gt;0,$DY$1&gt;0),$I$1=2,ROW()&gt;$BG$1+2,ROW()&lt;=$BG$1+4),"………………..",IFERROR(INDEX($AC$3:$AC$398,MATCH(ROWS(BK$3:BK11),BG$3:BG$398,0),1),"")))</f>
        <v/>
      </c>
      <c r="BL11" s="48">
        <f t="shared" ca="1" si="69"/>
        <v>0</v>
      </c>
      <c r="BM11" s="48" t="str">
        <f ca="1">IF(AND(OR($DY$2=0,$DY$1=0),$I$1=2,ROW()&gt;$BH$1+2,ROW()&lt;=$BH$1+4),"………………..",IF(AND(OR($DY$2&gt;0,$DY$1&gt;0),$I$1=2,ROW()&gt;$BH$1+2,ROW()&lt;=$BH$1+4),"………………..",IFERROR(INDEX($AC$3:$AC$400,MATCH(ROWS(BM$3:BM11),BH$3:BH$400,0),1),"")))</f>
        <v/>
      </c>
      <c r="BN11" s="48">
        <f t="shared" ca="1" si="9"/>
        <v>0</v>
      </c>
      <c r="BO11" s="48" t="str">
        <f ca="1">IF(AND(OR($DY$2=0,$DY$1=0),$I$1=2,ROW()&gt;$BI$1+2,ROW()&lt;=$BI$1+4),"………………..",IF(AND(OR($DY$2&gt;0,$DY$1&gt;0),$I$1=2,ROW()&gt;$BI$1+2,ROW()&lt;=$BI$1+4),"………………..",IFERROR(INDEX($AC$3:$AC$400,MATCH(ROWS(BO$3:BO11),BI$3:BI$400,0),1),"")))</f>
        <v/>
      </c>
      <c r="BP11" s="48">
        <f t="shared" ca="1" si="10"/>
        <v>0</v>
      </c>
      <c r="BQ11" s="48" t="str">
        <f ca="1">IF(AND(OR($DY$2=0,$DY$1=0),$I$1=2,ROW()&gt;$BJ$1+2,ROW()&lt;=$BJ$1+4),"………………..",IF(AND(OR($DY$2&gt;0,$DY$1&gt;0),$I$1=2,ROW()&gt;$BJ$1+2,ROW()&lt;=$BJ$1+4),"………………..",IFERROR(INDEX($AC$3:$AC$400,MATCH(ROWS(BQ$3:BQ11),BJ$3:BJ$400,0),1),"")))</f>
        <v/>
      </c>
      <c r="BR11" s="48">
        <f t="shared" ca="1" si="11"/>
        <v>0</v>
      </c>
      <c r="BS11" s="48">
        <f ca="1">IF(IF(AND(OR(INDEX(PDC,MATCH($AC11,DEN_PDC,0),4)="D",INDEX(PDC,MATCH($AC11,DEN_PDC,0),4)="D/A"),SUMIFS(DARE,DEN_G,$AC11)&gt;=SUMIFS(AVERE,DEN_G,$AC11)),SUMIFS(DARE,DEN_G,$AC11),IF(AND(OR(INDEX(PDC,MATCH($AC11,DEN_PDC,0),4)="A",INDEX(PDC,MATCH($AC11,DEN_PDC,0),4)="D/A"),SUMIFS(AVERE,DEN_G,$AC11)&gt;=SUMIFS(DARE,DEN_G,$AC11)),SUMIFS(AVERE,DEN_G,$AC11),))&gt;0,MAX($BS$2:BS10)+1,0)</f>
        <v>0</v>
      </c>
      <c r="BT11" s="48" t="str">
        <f ca="1">IF($CO$1=0,"",IF(AND($I$1=2,ROW()&gt;$BR$1,ROW()&lt;=$BS$1)," …………….",IF(AND($E$1=1,$BX$1=1,$I$1=2,ROW()=$BQ$1),"TOTALI",IFERROR(INDEX(PDC,MATCH(ROWS(BT$3:BT11),BS$3:BS408,0),2),""))))</f>
        <v/>
      </c>
      <c r="BU11" s="48">
        <f t="shared" ca="1" si="12"/>
        <v>0</v>
      </c>
      <c r="BV11" s="48">
        <f t="shared" ca="1" si="13"/>
        <v>0</v>
      </c>
      <c r="BW11" s="48">
        <f t="shared" ca="1" si="14"/>
        <v>0</v>
      </c>
      <c r="BX11" s="48">
        <f t="shared" ca="1" si="15"/>
        <v>0</v>
      </c>
      <c r="BY11" s="48">
        <f ca="1">IF(OR(BW11&gt;0,BX11&gt;0),MAX($BY$2:BY10)+1,0)</f>
        <v>0</v>
      </c>
      <c r="BZ11" s="48" t="str">
        <f ca="1">IFERROR(INDEX($BT$3:$BY$400,MATCH(ROWS(BZ$3:BZ11),$BY$3:$BY$400,0),1),"")</f>
        <v/>
      </c>
      <c r="CA11" s="48" t="str">
        <f ca="1">IFERROR(INDEX($BT$3:$BY$400,MATCH(ROWS(CA$3:CA11),$BY$3:$BY$400,0),4),"")</f>
        <v/>
      </c>
      <c r="CB11" s="48" t="str">
        <f ca="1">IFERROR(INDEX($BT$3:$BY$400,MATCH(ROWS(CB$3:CB11),$BY$3:$BY$400,0),5),"")</f>
        <v/>
      </c>
      <c r="CC11" s="48" t="str">
        <f t="shared" ca="1" si="16"/>
        <v/>
      </c>
      <c r="CD11" s="48">
        <f ca="1">IF(AND($BF$9=1,CE11&lt;&gt;0),MAX($CD$2:CD10)+1,0)</f>
        <v>0</v>
      </c>
      <c r="CE11" s="48">
        <f ca="1">IF(ROUND(SUMIFS(COPIA!$CA$3:$CA$400,COPIA!$CC$3:$CC$400,CF11)-SUMIFS(COPIA!$CB$3:$CB$400,COPIA!$CC$3:$CC$400,CF11),0)&lt;0,0,ROUND(SUMIFS(COPIA!$CA$3:$CA$400,COPIA!$CC$3:$CC$400,CF11)-SUMIFS(COPIA!$CB$3:$CB$400,COPIA!$CC$3:$CC$400,CF11),0))</f>
        <v>0</v>
      </c>
      <c r="CF11" s="48" t="s">
        <v>622</v>
      </c>
      <c r="CG11" s="242" t="s">
        <v>541</v>
      </c>
      <c r="CH11" s="242">
        <f t="shared" ca="1" si="68"/>
        <v>0</v>
      </c>
      <c r="CI11" s="242"/>
      <c r="CJ11" s="242"/>
      <c r="CL11" s="242"/>
      <c r="CM11" s="242" t="str">
        <f t="shared" ca="1" si="37"/>
        <v/>
      </c>
      <c r="CN11" s="243">
        <f t="shared" ca="1" si="38"/>
        <v>0</v>
      </c>
      <c r="CO11" s="48" t="str">
        <f t="shared" ca="1" si="39"/>
        <v/>
      </c>
      <c r="CQ11" s="48" t="str">
        <f ca="1">IFERROR(IF(AND(W2=0,$AI$1=0,$AF$1=0,$AY$1=0,$ES$1=0,$BF$1=1,$BD$1=1,$CO$1=1,$I$1=1,LIBRO_GIORNALE!$H$4=LIBRO_GIORNALE!$G$4,$BA$1&gt;0,$EL$2=0,VALORI_INIZIALI!$H$4=VALORI_INIZIALI!$I$4),"I totali sono correttamente visualizzati.",""),"")</f>
        <v/>
      </c>
      <c r="CR11" s="242">
        <f ca="1">IF(CQ11="",0,MAX($CR$2:CR10)+1)</f>
        <v>0</v>
      </c>
      <c r="CT11" s="242"/>
      <c r="CU11" s="48">
        <f ca="1">IF(SUMIFS(AVERE,DEN_G,AC11,AVERE,"&gt;"&amp;0)+SUMIFS(DARE,DEN_G,AC11,DARE,"&gt;"&amp;0)&gt;0,MAX($CU$2:CU10)+1,0)</f>
        <v>0</v>
      </c>
      <c r="CV11" s="48" t="str">
        <f ca="1">IF(IFERROR(INDEX(PDC,MATCH(ROWS($CV$3:CV11),$CU$3:$CU$400,0),2),"")="CONTO DI RISULTATO ECONOMICO","",IFERROR(INDEX(PDC,MATCH(ROWS($CV$3:CV11),$CU$3:$CU$400,0),2),""))</f>
        <v/>
      </c>
      <c r="CW11" s="48">
        <f ca="1">IFERROR(IF(CV11&lt;&gt;"",MAX($CW$2:CW10)+1,0),0)</f>
        <v>0</v>
      </c>
      <c r="CX11" s="48">
        <f t="shared" ca="1" si="17"/>
        <v>1</v>
      </c>
      <c r="CY11" s="48" t="str">
        <f t="shared" ca="1" si="18"/>
        <v>MASTRO</v>
      </c>
      <c r="CZ11" s="48" t="e">
        <f t="shared" ca="1" si="60"/>
        <v>#N/A</v>
      </c>
      <c r="DA11" s="48" t="str">
        <f t="shared" ca="1" si="67"/>
        <v/>
      </c>
      <c r="DB11" s="48" t="str">
        <f t="shared" ca="1" si="61"/>
        <v/>
      </c>
      <c r="DC11" s="48" t="str">
        <f t="shared" ca="1" si="62"/>
        <v/>
      </c>
      <c r="DD11" s="48" t="str">
        <f t="shared" ca="1" si="63"/>
        <v/>
      </c>
      <c r="DE11" s="48" t="str">
        <f t="shared" ca="1" si="64"/>
        <v/>
      </c>
      <c r="DF11" s="48">
        <f ca="1">IF(AND(CX11=$DF$1,CX11&lt;&gt;""),0,IF(AND(DB11&lt;&gt;"",OR(DB10&lt;&gt;"",DB12&lt;&gt;"")),MAX($DF$2:DF10)+1,0))</f>
        <v>0</v>
      </c>
      <c r="DG11" s="48">
        <f ca="1">DG6</f>
        <v>0</v>
      </c>
      <c r="DH11" s="244" t="s">
        <v>325</v>
      </c>
      <c r="DI11" s="48" t="str">
        <f ca="1">IFERROR(IF(AND($DL$1=TRUE,DG11&lt;&gt;0),CONCATENATE("SOCIO ",DG11," C/VERSAMENTI RICHIAMATI"),IF(AND($DL$1=FALSE,DG11&lt;&gt;0),CONCATENATE("AZIONISTA ",DG11," C/VERSAMENTI RICHIAMATI"),"")),"")</f>
        <v/>
      </c>
      <c r="DJ11" s="48" t="s">
        <v>312</v>
      </c>
      <c r="DK11" s="48" t="s">
        <v>275</v>
      </c>
      <c r="DL11" s="48" t="s">
        <v>6</v>
      </c>
      <c r="DM11" s="48" t="s">
        <v>270</v>
      </c>
      <c r="DN11" s="48">
        <f ca="1">IF(DI11&lt;&gt;"",MAX($DN$2:DN10)+1,0)</f>
        <v>0</v>
      </c>
      <c r="DO11" s="48" t="str">
        <f t="shared" ca="1" si="65"/>
        <v>paa</v>
      </c>
      <c r="DP11" s="48">
        <f ca="1">DP6</f>
        <v>0</v>
      </c>
      <c r="DQ11" s="227" t="s">
        <v>486</v>
      </c>
      <c r="DR11" s="48" t="str">
        <f ca="1">IFERROR(IF(DP11&lt;&gt;0,CONCATENATE("SOCIO ",DP11," C/REINTEGRO"),""),"")</f>
        <v/>
      </c>
      <c r="DS11" s="48" t="s">
        <v>312</v>
      </c>
      <c r="DT11" s="48" t="s">
        <v>275</v>
      </c>
      <c r="DU11" s="48" t="s">
        <v>6</v>
      </c>
      <c r="DV11" s="48" t="s">
        <v>270</v>
      </c>
      <c r="DW11" s="48">
        <f ca="1">IF(DR11&lt;&gt;"",MAX($DW$2:DW10)+1,0)</f>
        <v>0</v>
      </c>
      <c r="DX11" s="48" t="str">
        <f t="shared" ca="1" si="66"/>
        <v>paa</v>
      </c>
      <c r="DY11" s="48" t="str">
        <f t="shared" ca="1" si="19"/>
        <v/>
      </c>
      <c r="DZ11" s="48" t="str">
        <f t="shared" ca="1" si="40"/>
        <v/>
      </c>
      <c r="EA11" s="48" t="str">
        <f t="shared" ca="1" si="41"/>
        <v/>
      </c>
      <c r="EB11" s="48">
        <f t="shared" ca="1" si="42"/>
        <v>0</v>
      </c>
      <c r="EC11" s="48">
        <f t="shared" ca="1" si="43"/>
        <v>0</v>
      </c>
      <c r="ED11" s="48" t="str">
        <f t="shared" ca="1" si="44"/>
        <v/>
      </c>
      <c r="EE11" s="48">
        <f t="shared" ca="1" si="45"/>
        <v>0</v>
      </c>
      <c r="EF11" s="48" t="str">
        <f t="shared" ca="1" si="46"/>
        <v/>
      </c>
      <c r="EG11" s="48">
        <f t="shared" ca="1" si="47"/>
        <v>0</v>
      </c>
      <c r="EH11" s="48" t="str">
        <f t="shared" ca="1" si="48"/>
        <v/>
      </c>
      <c r="EI11" s="48">
        <f t="shared" ca="1" si="49"/>
        <v>0</v>
      </c>
      <c r="EJ11" s="48" t="str">
        <f t="shared" ca="1" si="50"/>
        <v/>
      </c>
      <c r="EK11" s="48">
        <f t="shared" ca="1" si="51"/>
        <v>0</v>
      </c>
      <c r="EL11" s="48">
        <f t="shared" ca="1" si="20"/>
        <v>0</v>
      </c>
      <c r="EM11" s="48">
        <f ca="1">IF(EL11&gt;=0,0,MAX($EM$2:EM10)+1)</f>
        <v>0</v>
      </c>
      <c r="EN11" s="48" t="str">
        <f t="shared" ca="1" si="21"/>
        <v/>
      </c>
      <c r="EO11" s="48" t="str">
        <f ca="1">IFERROR(INDEX($EM$3:$EN$400,MATCH(ROWS($EO$3:EO11),$EM$3:$EM$400,0),2),"")</f>
        <v/>
      </c>
      <c r="EP11" s="48">
        <f>ROW()</f>
        <v>11</v>
      </c>
      <c r="EQ11" s="48">
        <f t="shared" ca="1" si="22"/>
        <v>0</v>
      </c>
      <c r="ER11" s="48">
        <f ca="1">IF(ISNA(EQ11)=TRUE,MAX($ER$2:ER10)+1,0)</f>
        <v>0</v>
      </c>
      <c r="ES11" s="48" t="str">
        <f t="shared" ca="1" si="52"/>
        <v/>
      </c>
      <c r="ET11" s="48" t="str">
        <f ca="1">IFERROR(INDEX($ER$3:$ES$400,MATCH(ROWS($ET$3:ET11),$ER$3:$ER$400,0),2),"")</f>
        <v/>
      </c>
      <c r="EU11" s="48">
        <f ca="1">IF(ROUND(SUMIFS(COPIA!$CA$3:$CA$400,COPIA!$CC$3:$CC$400,CF11)-SUMIFS(COPIA!$CB$3:$CB$400,COPIA!$CC$3:$CC$400,CF11),0)&lt;0,1,0)</f>
        <v>0</v>
      </c>
      <c r="EV11" s="48">
        <f ca="1">IFERROR(INDEX(LIBRO_GIORNALE!$O$11:$P$408,MATCH(ROWS($EV$2:EV10),LIBRO_GIORNALE!$P$11:$P$408,0),1),0)</f>
        <v>0</v>
      </c>
      <c r="EW11" s="48" t="str">
        <f t="shared" ca="1" si="53"/>
        <v>0</v>
      </c>
      <c r="EX11" s="48">
        <f t="shared" ca="1" si="54"/>
        <v>0</v>
      </c>
      <c r="EY11" s="48">
        <f ca="1">IF(EX11&gt;0,MAX($EY$2:EY10)+1,0)</f>
        <v>0</v>
      </c>
      <c r="EZ11" s="48">
        <f ca="1">IFERROR(INDEX($EX$3:$EX$400,MATCH(ROWS($EZ$3:EZ11),$EY$3:$EY$400,0),1),0)</f>
        <v>0</v>
      </c>
      <c r="FA11" s="48">
        <f ca="1">IF(EZ11&gt;0,0,MAX($FA$2:FA10)+1)</f>
        <v>9</v>
      </c>
      <c r="FB11" s="48">
        <f t="shared" ca="1" si="55"/>
        <v>0</v>
      </c>
      <c r="FC11" s="48">
        <f t="shared" ca="1" si="56"/>
        <v>9</v>
      </c>
      <c r="FD11" s="48">
        <f t="shared" ca="1" si="57"/>
        <v>9</v>
      </c>
      <c r="FE11" s="48">
        <f ca="1">IF(FD11=0,0,MAX($FE$2:FE10)+1)</f>
        <v>9</v>
      </c>
      <c r="FF11" s="48">
        <f ca="1">IFERROR(INDEX($FD$3:$FE$400,MATCH(ROWS($FF$3:FF11),$FE$3:$FE$400,0),1),"")</f>
        <v>9</v>
      </c>
      <c r="FH11" s="48">
        <f t="shared" ca="1" si="58"/>
        <v>0</v>
      </c>
      <c r="FI11" s="48">
        <f ca="1">IF(FH11&lt;&gt;0,MAX($FI$2:FI10)+1,0)</f>
        <v>0</v>
      </c>
      <c r="FJ11" s="48" t="str">
        <f ca="1">IFERROR(INDEX($FH$3:$FI$400,MATCH(ROWS($FJ$3:FJ11),$FI$3:$FI$400,0),1),"")</f>
        <v/>
      </c>
      <c r="FK11" s="48">
        <f ca="1">IF(ABS(SUMIFS(DARE,DEN_G,"="&amp;FJ11,DATA,"&lt;="&amp;FINE_AC,DATA,"&gt;="&amp;INIZIO_A_PC)-SUMIFS(AVERE,DEN_G,"="&amp;FJ11,DATA,"&lt;="&amp;FINE_AC,DATA,"&gt;="&amp;INIZIO_A_PC))&gt;0,MAX($FK$2:FK10)+1,0)</f>
        <v>0</v>
      </c>
      <c r="FL11" s="48" t="str">
        <f ca="1">IF(AND(ROW()-2&lt;&gt;1,ROW()-2&lt;=$FK$1),CONCATENATE(" - ",IFERROR(INDEX($FJ$3:$FK$400,MATCH(ROWS($FL$3:FL11),$FK$3:$FK$400,0),1),"")),IFERROR(INDEX($FJ$3:$FK$400,MATCH(ROWS($FL$3:FL11),$FK$3:$FK$400,0),1),""))</f>
        <v/>
      </c>
      <c r="FM11" s="48">
        <f ca="1">IF(OR(B11="IVA ns/credito",B11="IVA NS/DEBITO",B11="IVA C/ACCONTO",B11="IMPOSTE C/ACCONTO",B11="CREDITI PER RITENUTE SUBITE",B11="CREDITI D'IMPOSTA"),MAX($FM$2:FM10)+1,0)</f>
        <v>0</v>
      </c>
      <c r="FN11" s="48" t="str">
        <f t="shared" ca="1" si="59"/>
        <v/>
      </c>
      <c r="FO11" s="48" t="str">
        <f ca="1">IFERROR(INDEX($FM$3:$FN$400,MATCH(ROWS($FO$3:FO11),$FM$3:$FM$400,0),2),"")</f>
        <v/>
      </c>
      <c r="FP11" s="48">
        <f ca="1">IF(ABS(SUMIFS(DARE,DEN_G,"="&amp;FO11,DATA,"&lt;="&amp;FINE_AC,DATA,"&gt;="&amp;INIZIO_A_PC)-SUMIFS(AVERE,DEN_G,"="&amp;FO11,DATA,"&lt;="&amp;FINE_AC,DATA,"&gt;="&amp;INIZIO_A_PC))&gt;0,MAX($FP$2:FP10)+1,0)</f>
        <v>0</v>
      </c>
      <c r="FQ11" s="48" t="str">
        <f ca="1">IF(AND(ROW()-2&lt;&gt;1,ROW()-2&lt;=$FP$1),CONCATENATE(" - ",IFERROR(INDEX($FO$3:$FP$400,MATCH(ROWS($FQ$3:FQ11),$FP$3:$FP$400,0),1),"")),IFERROR(INDEX($FO$3:$FP$400,MATCH(ROWS($FQ$3:FQ11),$FP$3:$FP$400,0),1),""))</f>
        <v/>
      </c>
    </row>
    <row r="12" spans="1:173" x14ac:dyDescent="0.3">
      <c r="A12" s="48" t="str">
        <f ca="1">IFERROR(IF($A$1=2,INDEX($DH$3:$DN$401,MATCH(ROWS(A$3:A12),$DN$3:$DN$401,0),COLUMN()),IF($A$1=1,INDEX($DQ$3:$DW$401,MATCH(ROWS(A$3:A12),$DW$3:$DW$401,0),COLUMN()),"")),"")</f>
        <v>01.05</v>
      </c>
      <c r="B12" s="48" t="str">
        <f ca="1">IFERROR(IF($A$1=2,INDEX($DH$3:$DN$401,MATCH(ROWS(B$3:B12),$DN$3:$DN$401,0),COLUMN()),IF($A$1=1,INDEX($DQ$3:$DW$400,MATCH(ROWS(B$3:B12),$DW$3:$DW$401,0),COLUMN()),"")),"")</f>
        <v>SOFTWARE</v>
      </c>
      <c r="C12" s="48" t="str">
        <f ca="1">IFERROR(IF($A$1=2,INDEX($DH$3:$DN$401,MATCH(ROWS(C$3:C12),$DN$3:$DN$401,0),COLUMN()),IF($A$1=1,INDEX($DQ$3:$DW$401,MATCH(ROWS(C$3:C12),$DW$3:$DW$401,0),COLUMN()),"")),"")</f>
        <v>E</v>
      </c>
      <c r="D12" s="48" t="str">
        <f ca="1">IFERROR(IF($A$1=2,INDEX($DH$3:$DN$401,MATCH(ROWS(D$3:D12),$DN$3:$DN$401,0),COLUMN()),IF($A$1=1,INDEX($DQ$3:$DW$401,MATCH(ROWS(D$3:D12),$DW$3:$DW$401,0),COLUMN()),"")),"")</f>
        <v>D</v>
      </c>
      <c r="E12" s="48" t="str">
        <f ca="1">IFERROR(IF($A$1=2,INDEX($DH$3:$DN$401,MATCH(ROWS(E$3:E12),$DN$3:$DN$401,0),COLUMN()),IF($A$1=1,INDEX($DQ$3:$DW$401,MATCH(ROWS(E$3:E12),$DW$3:$DW$401,0),COLUMN()),"")),"")</f>
        <v>COSTI PLURIENNALI</v>
      </c>
      <c r="F12" s="48" t="str">
        <f ca="1">IFERROR(IF($A$1=2,INDEX($DH$3:$DN$401,MATCH(ROWS(F$3:F12),$DN$3:$DN$401,0),COLUMN()),IF($A$1=1,INDEX($DQ$3:$DX$401,MATCH(ROWS(F$3:F12),$DW$3:$DW$401,0),COLUMN()),"")),"")</f>
        <v>SP DARE</v>
      </c>
      <c r="G12" s="48" t="str">
        <f t="shared" ca="1" si="23"/>
        <v>SP</v>
      </c>
      <c r="H12" s="48" t="str">
        <f ca="1">IFERROR(IF($A$1=2,INDEX($DH$3:$DO$400,MATCH(ROWS(H$3:H12),$DN$3:$DN$400,0),COLUMN()),IF($A$1=1,INDEX($DQ$3:$DX$400,MATCH(ROWS(H$3:H12),$DW$3:$DW$400,0),COLUMN()),"")),"")</f>
        <v>pab1</v>
      </c>
      <c r="I12" s="48" t="str">
        <f t="shared" ca="1" si="0"/>
        <v/>
      </c>
      <c r="J12" s="48" t="str">
        <f t="shared" ca="1" si="24"/>
        <v/>
      </c>
      <c r="K12" s="48">
        <f t="shared" ca="1" si="25"/>
        <v>0</v>
      </c>
      <c r="L12" s="48">
        <f t="shared" ca="1" si="26"/>
        <v>0</v>
      </c>
      <c r="M12" s="48">
        <f ca="1">IFERROR(IF(IF(MID($A12,3,3)=".00",MID(A12,1,2),"")&lt;&gt;"",MAX($M$2:M11)+1,0),"")</f>
        <v>0</v>
      </c>
      <c r="N12" s="48" t="str">
        <f t="shared" ca="1" si="27"/>
        <v/>
      </c>
      <c r="O12" s="48" t="str">
        <f ca="1">IF(IFERROR(INDEX($N$3:$O$400,MATCH(ROWS($O$3:O12),$M$3:$M$400,0),1),"")&lt;&gt;"",CONCATENATE(INDEX($N$3:$O$400,MATCH(ROWS($O$3:O12),$M$3:$M$400,0),1),".00"),"")</f>
        <v>09.00</v>
      </c>
      <c r="P12" s="48" t="str">
        <f t="shared" ca="1" si="28"/>
        <v>RATEI E RISCONTI ATTIVI</v>
      </c>
      <c r="Q12" s="48">
        <f ca="1">IF(M12&gt;=1,0,MAX($Q$2:Q11)+1)</f>
        <v>8</v>
      </c>
      <c r="R12" s="93">
        <f ca="1">IF(AND($U$2=1,S12&lt;&gt;""),MAX($R$2:R11)+1,0)</f>
        <v>0</v>
      </c>
      <c r="S12" s="48" t="s">
        <v>273</v>
      </c>
      <c r="T12" s="48" t="str">
        <f ca="1">IFERROR(INDEX($R$3:$S$64,MATCH(ROWS($T$2:T11),$R$3:$R$64,0),2),"")</f>
        <v>DISPONIBILITÀ LIQUIDE</v>
      </c>
      <c r="U12" s="48" t="str">
        <f ca="1">IFERROR(INDEX(PDC,MATCH(ROWS(U$3:U12),$V$3:$V$400,0),2),"")</f>
        <v>FONDO AMMORTAMENTO COSTI DI IMPIANTO</v>
      </c>
      <c r="V12" s="48">
        <f ca="1">IF(AND($T$1="VISUALIZZA TUTTI I CONTI",AA12&lt;&gt;""),MAX($V$2:V11)+1,IF(AND($U$2=2,AI12=$T$1),MAX($V$2:V11)+1,IF(AND($U$2=1,$T$1=AF12),MAX($V$2:V11)+1,0)))</f>
        <v>10</v>
      </c>
      <c r="W12" s="48">
        <f ca="1">SUMIFS(INDIRECT(CONCATENATE(ADDRESS(3,7,,,"libro_giornale"),":",ADDRESS(200,7,,,))),INDIRECT(CONCATENATE(ADDRESS(3,5,,,"libro_giornale"),":",ADDRESS(200,5,,,))),"="&amp;"utile d'esercizio",INDIRECT(CONCATENATE(ADDRESS(3,4,,,"libro_giornale"),":",ADDRESS(200,4,,,))),"&gt;="&amp;INIZIO_A_PC,INDIRECT(CONCATENATE(ADDRESS(3,4,,,"libro_giornale"),":",ADDRESS(200,4,,,))),"&lt;="&amp;FINE_A_PC)</f>
        <v>0</v>
      </c>
      <c r="AA12" s="48" t="str">
        <f t="shared" ca="1" si="29"/>
        <v>01.00</v>
      </c>
      <c r="AB12" s="48" t="str">
        <f ca="1">IFERROR(INDEX($A$3:$G$400,MATCH(ROWS(AB$3:AB12),$Q$3:$Q$400,0),1),"")</f>
        <v>01.11</v>
      </c>
      <c r="AC12" s="48" t="str">
        <f ca="1">IFERROR(INDEX($A$3:$G$400,MATCH(ROWS($AC$3:AC12),$Q$3:$Q$400,0),2),"")</f>
        <v>FONDO AMMORTAMENTO COSTI DI IMPIANTO</v>
      </c>
      <c r="AD12" s="48" t="str">
        <f ca="1">IFERROR(INDEX($A$3:$G$400,MATCH(ROWS(AD$3:AD12),$Q$3:$Q$400,0),3),"")</f>
        <v>E</v>
      </c>
      <c r="AE12" s="48" t="str">
        <f ca="1">IFERROR(INDEX($A$3:$G$400,MATCH(ROWS(AE$3:AE12),$Q$3:$Q$400,0),4),"")</f>
        <v>A</v>
      </c>
      <c r="AF12" s="48" t="str">
        <f ca="1">IFERROR(INDEX($A$3:$G$400,MATCH(ROWS(AF$3:AF12),$Q$3:$Q$400,0),5),"")</f>
        <v>RETTIFICHE COSTI PLURIENNALI</v>
      </c>
      <c r="AG12" s="48" t="str">
        <f ca="1">IFERROR(INDEX($A$3:$G$400,MATCH(ROWS(AG$3:AG12),$Q$3:$Q$400,0),6),"")</f>
        <v>SP AVERE</v>
      </c>
      <c r="AH12" s="48" t="str">
        <f ca="1">IFERROR(INDEX($A$3:$G$400,MATCH(ROWS(AH$3:AH12),$Q$3:$Q$400,0),7),"")</f>
        <v>SP</v>
      </c>
      <c r="AI12" s="48" t="str">
        <f t="shared" ca="1" si="1"/>
        <v>IMMOBILIZZAZIONI IMMATERIALI</v>
      </c>
      <c r="AJ12" s="48" t="str">
        <f ca="1">IFERROR(INDEX($A$3:$H$400,MATCH(ROWS(AJ$3:AJ12),$Q$3:$Q$400,0),8),"")</f>
        <v>pab1</v>
      </c>
      <c r="AK12" s="48">
        <f t="shared" ca="1" si="2"/>
        <v>0</v>
      </c>
      <c r="AL12" s="48">
        <f t="shared" ca="1" si="3"/>
        <v>0</v>
      </c>
      <c r="AM12" s="48">
        <f t="shared" ca="1" si="30"/>
        <v>0</v>
      </c>
      <c r="AN12" s="48" t="str">
        <f t="shared" ca="1" si="31"/>
        <v/>
      </c>
      <c r="AO12" s="48">
        <f t="shared" ca="1" si="32"/>
        <v>0</v>
      </c>
      <c r="AP12" s="48">
        <f t="shared" ca="1" si="32"/>
        <v>0</v>
      </c>
      <c r="AQ12" s="48" t="str">
        <f t="shared" ca="1" si="4"/>
        <v>FONDO AMMORTAMENTO COSTI DI IMPIANTO</v>
      </c>
      <c r="AR12" s="48">
        <f t="shared" ca="1" si="5"/>
        <v>0</v>
      </c>
      <c r="AS12" s="48">
        <f t="shared" ca="1" si="6"/>
        <v>0</v>
      </c>
      <c r="AT12" s="48">
        <f t="shared" ca="1" si="33"/>
        <v>0</v>
      </c>
      <c r="AU12" s="48">
        <f t="shared" ca="1" si="34"/>
        <v>0</v>
      </c>
      <c r="AV12" s="48">
        <f ca="1">IF(OR(AT12&gt;0,AU12&gt;0),MAX($AV$2:AV11)+1,0)</f>
        <v>0</v>
      </c>
      <c r="AZ12" s="241" t="str">
        <f t="shared" ca="1" si="35"/>
        <v/>
      </c>
      <c r="BA12" s="48">
        <f t="shared" ca="1" si="7"/>
        <v>0</v>
      </c>
      <c r="BB12" s="48">
        <f ca="1">IFERROR(INDEX($AQ$3:$AV$220,MATCH(ROWS($BB$3:BB12),$AV$3:$AV$220,0),1),0)</f>
        <v>0</v>
      </c>
      <c r="BC12" s="48" t="str">
        <f t="shared" ca="1" si="36"/>
        <v/>
      </c>
      <c r="BD12" s="48">
        <f ca="1">IFERROR(INDEX($AQ$3:$AV$220,MATCH(ROWS($BB$3:BD12),$AV$3:$AV$220,0),4),0)</f>
        <v>0</v>
      </c>
      <c r="BE12" s="48">
        <f ca="1">IFERROR(INDEX($AQ$3:$AV$220,MATCH(ROWS($BB$3:BE12),$AV$3:$AV$220,0),5),0)</f>
        <v>0</v>
      </c>
      <c r="BG12" s="48">
        <f ca="1">IF(IF(AND(OR(INDEX(PDC,MATCH($AC12,DEN_PDC,0),6)="SP DARE",INDEX(PDC,MATCH($AC12,DEN_PDC,0),6)="SP DARE/AVERE"),SUMIFS(DARE,DEN_G,$AC12)&gt;=SUMIFS(AVERE,DEN_G,$AC12)),SUMIFS(DARE,DEN_G,$AC12)-SUMIFS(AVERE,DEN_G,$AC12),0)&gt;0,MAX($BG$2:BG11)+1,0)</f>
        <v>0</v>
      </c>
      <c r="BH12" s="48">
        <f ca="1">IF(IF(AND(OR(INDEX(PDC,MATCH($AC12,DEN_PDC,0),6)="SP AVERE",INDEX(PDC,MATCH($AC12,DEN_PDC,0),6)="SP DARE/AVERE"),SUMIFS(AVERE,DEN_G,$AC12)&gt;=SUMIFS(DARE,DEN_G,$AC12)),SUMIFS(AVERE,DEN_G,$AC12)-SUMIFS(DARE,DEN_G,$AC12),0)&gt;0,MAX(BH$2:BH11)+1,0)</f>
        <v>0</v>
      </c>
      <c r="BI12" s="48">
        <f ca="1">IF(IF(AND(OR(INDEX(PDC,MATCH($AC12,DEN_PDC,0),6)="SE DARE",INDEX(PDC,MATCH($AC12,DEN_PDC,0),6)="SE DARE/AVERE"),SUMIFS(DARE,DEN_G,$AC12)&gt;=SUMIFS(AVERE,DEN_G,$AC12)),SUMIFS(DARE,DEN_G,$AC12)-SUMIFS(AVERE,DEN_G,$AC12),0)&gt;0,MAX(BI$2:BI11)+1,0)</f>
        <v>0</v>
      </c>
      <c r="BJ12" s="48">
        <f ca="1">IF(IF(AND(OR(INDEX(PDC,MATCH($AC12,DEN_PDC,0),6)="SE AVERE",INDEX(PDC,MATCH($AC12,DEN_PDC,0),6)="SE DARE/AVERE"),SUMIFS(AVERE,DEN_G,$AC12)&gt;=SUMIFS(DARE,DEN_G,$AC12)),SUMIFS(AVERE,DEN_G,$AC12)-SUMIFS(DARE,DEN_G,$AC12),0)&gt;0,MAX(BJ$2:BJ11)+1,0)</f>
        <v>0</v>
      </c>
      <c r="BK12" s="48" t="str">
        <f ca="1">IF(AND(AND($DY$2=0,$DY$1=0),$I$1=2,ROW()&gt;$BG$1+2,ROW()&lt;=$BG$1+4),"………………..",IF(AND(OR($DY$2&gt;0,$DY$1&gt;0),$I$1=2,ROW()&gt;$BG$1+2,ROW()&lt;=$BG$1+4),"………………..",IFERROR(INDEX($AC$3:$AC$398,MATCH(ROWS(BK$3:BK12),BG$3:BG$398,0),1),"")))</f>
        <v/>
      </c>
      <c r="BL12" s="48">
        <f t="shared" ca="1" si="69"/>
        <v>0</v>
      </c>
      <c r="BM12" s="48" t="str">
        <f ca="1">IF(AND(OR($DY$2=0,$DY$1=0),$I$1=2,ROW()&gt;$BH$1+2,ROW()&lt;=$BH$1+4),"………………..",IF(AND(OR($DY$2&gt;0,$DY$1&gt;0),$I$1=2,ROW()&gt;$BH$1+2,ROW()&lt;=$BH$1+4),"………………..",IFERROR(INDEX($AC$3:$AC$400,MATCH(ROWS(BM$3:BM12),BH$3:BH$400,0),1),"")))</f>
        <v/>
      </c>
      <c r="BN12" s="48">
        <f t="shared" ca="1" si="9"/>
        <v>0</v>
      </c>
      <c r="BO12" s="48" t="str">
        <f ca="1">IF(AND(OR($DY$2=0,$DY$1=0),$I$1=2,ROW()&gt;$BI$1+2,ROW()&lt;=$BI$1+4),"………………..",IF(AND(OR($DY$2&gt;0,$DY$1&gt;0),$I$1=2,ROW()&gt;$BI$1+2,ROW()&lt;=$BI$1+4),"………………..",IFERROR(INDEX($AC$3:$AC$400,MATCH(ROWS(BO$3:BO12),BI$3:BI$400,0),1),"")))</f>
        <v/>
      </c>
      <c r="BP12" s="48">
        <f t="shared" ca="1" si="10"/>
        <v>0</v>
      </c>
      <c r="BQ12" s="48" t="str">
        <f ca="1">IF(AND(OR($DY$2=0,$DY$1=0),$I$1=2,ROW()&gt;$BJ$1+2,ROW()&lt;=$BJ$1+4),"………………..",IF(AND(OR($DY$2&gt;0,$DY$1&gt;0),$I$1=2,ROW()&gt;$BJ$1+2,ROW()&lt;=$BJ$1+4),"………………..",IFERROR(INDEX($AC$3:$AC$400,MATCH(ROWS(BQ$3:BQ12),BJ$3:BJ$400,0),1),"")))</f>
        <v/>
      </c>
      <c r="BR12" s="48">
        <f t="shared" ca="1" si="11"/>
        <v>0</v>
      </c>
      <c r="BS12" s="48">
        <f ca="1">IF(IF(AND(OR(INDEX(PDC,MATCH($AC12,DEN_PDC,0),4)="D",INDEX(PDC,MATCH($AC12,DEN_PDC,0),4)="D/A"),SUMIFS(DARE,DEN_G,$AC12)&gt;=SUMIFS(AVERE,DEN_G,$AC12)),SUMIFS(DARE,DEN_G,$AC12),IF(AND(OR(INDEX(PDC,MATCH($AC12,DEN_PDC,0),4)="A",INDEX(PDC,MATCH($AC12,DEN_PDC,0),4)="D/A"),SUMIFS(AVERE,DEN_G,$AC12)&gt;=SUMIFS(DARE,DEN_G,$AC12)),SUMIFS(AVERE,DEN_G,$AC12),))&gt;0,MAX($BS$2:BS11)+1,0)</f>
        <v>0</v>
      </c>
      <c r="BT12" s="48" t="str">
        <f ca="1">IF($CO$1=0,"",IF(AND($I$1=2,ROW()&gt;$BR$1,ROW()&lt;=$BS$1)," …………….",IF(AND($E$1=1,$BX$1=1,$I$1=2,ROW()=$BQ$1),"TOTALI",IFERROR(INDEX(PDC,MATCH(ROWS(BT$3:BT12),BS$3:BS409,0),2),""))))</f>
        <v/>
      </c>
      <c r="BU12" s="48">
        <f t="shared" ca="1" si="12"/>
        <v>0</v>
      </c>
      <c r="BV12" s="48">
        <f t="shared" ca="1" si="13"/>
        <v>0</v>
      </c>
      <c r="BW12" s="48">
        <f t="shared" ca="1" si="14"/>
        <v>0</v>
      </c>
      <c r="BX12" s="48">
        <f t="shared" ca="1" si="15"/>
        <v>0</v>
      </c>
      <c r="BY12" s="48">
        <f ca="1">IF(OR(BW12&gt;0,BX12&gt;0),MAX($BY$2:BY11)+1,0)</f>
        <v>0</v>
      </c>
      <c r="BZ12" s="48" t="str">
        <f ca="1">IFERROR(INDEX($BT$3:$BY$400,MATCH(ROWS(BZ$3:BZ12),$BY$3:$BY$400,0),1),"")</f>
        <v/>
      </c>
      <c r="CA12" s="48" t="str">
        <f ca="1">IFERROR(INDEX($BT$3:$BY$400,MATCH(ROWS(CA$3:CA12),$BY$3:$BY$400,0),4),"")</f>
        <v/>
      </c>
      <c r="CB12" s="48" t="str">
        <f ca="1">IFERROR(INDEX($BT$3:$BY$400,MATCH(ROWS(CB$3:CB12),$BY$3:$BY$400,0),5),"")</f>
        <v/>
      </c>
      <c r="CC12" s="48" t="str">
        <f t="shared" ca="1" si="16"/>
        <v/>
      </c>
      <c r="CD12" s="48">
        <f ca="1">IF(AND($BF$9=1,CE12&lt;&gt;0),MAX($CD$2:CD11)+1,0)</f>
        <v>0</v>
      </c>
      <c r="CE12" s="48">
        <f ca="1">IF(ROUND(SUMIFS(COPIA!$CA$3:$CA$400,COPIA!$CC$3:$CC$400,CF12)-SUMIFS(COPIA!$CB$3:$CB$400,COPIA!$CC$3:$CC$400,CF12),0)&lt;0,0,ROUND(SUMIFS(COPIA!$CA$3:$CA$400,COPIA!$CC$3:$CC$400,CF12)-SUMIFS(COPIA!$CB$3:$CB$400,COPIA!$CC$3:$CC$400,CF12),0))</f>
        <v>0</v>
      </c>
      <c r="CF12" s="48" t="s">
        <v>623</v>
      </c>
      <c r="CG12" s="242" t="s">
        <v>542</v>
      </c>
      <c r="CH12" s="242">
        <f t="shared" ca="1" si="68"/>
        <v>0</v>
      </c>
      <c r="CI12" s="242"/>
      <c r="CJ12" s="242"/>
      <c r="CL12" s="242"/>
      <c r="CM12" s="242" t="str">
        <f t="shared" ca="1" si="37"/>
        <v/>
      </c>
      <c r="CN12" s="243">
        <f t="shared" ca="1" si="38"/>
        <v>0</v>
      </c>
      <c r="CO12" s="48" t="str">
        <f t="shared" ca="1" si="39"/>
        <v/>
      </c>
      <c r="CQ12" s="48" t="str">
        <f ca="1">IFERROR(IF(AND(W2=0,CT107=0,$CT$84=0,$AF$1=0,$AI$1=0,$AY$1=0,$ES$1=0,$BF$1=1,$BD$1=1,$CO$1=1,$I$1=2,LIBRO_GIORNALE!$H$4=LIBRO_GIORNALE!$G$4,$EL$2=0),"I totali sono correttamente visualizzati.",""),"")</f>
        <v/>
      </c>
      <c r="CR12" s="242">
        <f ca="1">IF(CQ12="",0,MAX($CR$2:CR11)+1)</f>
        <v>0</v>
      </c>
      <c r="CT12" s="242"/>
      <c r="CU12" s="48">
        <f ca="1">IF(SUMIFS(AVERE,DEN_G,AC12,AVERE,"&gt;"&amp;0)+SUMIFS(DARE,DEN_G,AC12,DARE,"&gt;"&amp;0)&gt;0,MAX($CU$2:CU11)+1,0)</f>
        <v>0</v>
      </c>
      <c r="CV12" s="48" t="str">
        <f ca="1">IF(IFERROR(INDEX(PDC,MATCH(ROWS($CV$3:CV12),$CU$3:$CU$400,0),2),"")="CONTO DI RISULTATO ECONOMICO","",IFERROR(INDEX(PDC,MATCH(ROWS($CV$3:CV12),$CU$3:$CU$400,0),2),""))</f>
        <v/>
      </c>
      <c r="CW12" s="48">
        <f ca="1">IFERROR(IF(CV12&lt;&gt;"",MAX($CW$2:CW11)+1,0),0)</f>
        <v>0</v>
      </c>
      <c r="CX12" s="48">
        <f t="shared" ca="1" si="17"/>
        <v>1</v>
      </c>
      <c r="CY12" s="48" t="str">
        <f t="shared" ca="1" si="18"/>
        <v>MASTRO</v>
      </c>
      <c r="CZ12" s="48" t="e">
        <f t="shared" ca="1" si="60"/>
        <v>#N/A</v>
      </c>
      <c r="DA12" s="48" t="str">
        <f t="shared" ca="1" si="67"/>
        <v/>
      </c>
      <c r="DB12" s="48" t="str">
        <f t="shared" ca="1" si="61"/>
        <v/>
      </c>
      <c r="DC12" s="48" t="str">
        <f t="shared" ca="1" si="62"/>
        <v/>
      </c>
      <c r="DD12" s="48" t="str">
        <f t="shared" ca="1" si="63"/>
        <v/>
      </c>
      <c r="DE12" s="48" t="str">
        <f t="shared" ca="1" si="64"/>
        <v/>
      </c>
      <c r="DF12" s="48">
        <f ca="1">IF(AND(CX12=$DF$1,CX12&lt;&gt;""),0,IF(AND(DB12&lt;&gt;"",OR(DB11&lt;&gt;"",DB13&lt;&gt;"")),MAX($DF$2:DF11)+1,0))</f>
        <v>0</v>
      </c>
      <c r="DG12" s="48">
        <f ca="1">DG7</f>
        <v>0</v>
      </c>
      <c r="DH12" s="244" t="s">
        <v>325</v>
      </c>
      <c r="DI12" s="48" t="str">
        <f ca="1">IFERROR(IF(AND($DL$1=TRUE,DG12&lt;&gt;0),CONCATENATE("SOCIO ",DG12," C/VERSAMENTI RICHIAMATI"),IF(AND($DL$1=FALSE,DG12&lt;&gt;0),CONCATENATE("AZIONISTA ",DG12," C/VERSAMENTI RICHIAMATI"),"")),"")</f>
        <v/>
      </c>
      <c r="DJ12" s="48" t="s">
        <v>312</v>
      </c>
      <c r="DK12" s="48" t="s">
        <v>275</v>
      </c>
      <c r="DL12" s="48" t="s">
        <v>6</v>
      </c>
      <c r="DM12" s="48" t="s">
        <v>270</v>
      </c>
      <c r="DN12" s="48">
        <f ca="1">IF(DI12&lt;&gt;"",MAX($DN$2:DN11)+1,0)</f>
        <v>0</v>
      </c>
      <c r="DO12" s="48" t="str">
        <f t="shared" ca="1" si="65"/>
        <v>paa</v>
      </c>
      <c r="DP12" s="48">
        <f ca="1">DP7</f>
        <v>0</v>
      </c>
      <c r="DQ12" s="227" t="s">
        <v>487</v>
      </c>
      <c r="DR12" s="48" t="str">
        <f ca="1">IFERROR(IF(DP12&lt;&gt;0,CONCATENATE("SOCIO ",DP12," C/REINTEGRO"),""),"")</f>
        <v/>
      </c>
      <c r="DS12" s="48" t="s">
        <v>312</v>
      </c>
      <c r="DT12" s="48" t="s">
        <v>275</v>
      </c>
      <c r="DU12" s="48" t="s">
        <v>6</v>
      </c>
      <c r="DV12" s="48" t="s">
        <v>270</v>
      </c>
      <c r="DW12" s="48">
        <f ca="1">IF(DR12&lt;&gt;"",MAX($DW$2:DW11)+1,0)</f>
        <v>0</v>
      </c>
      <c r="DX12" s="48" t="str">
        <f t="shared" ca="1" si="66"/>
        <v>paa</v>
      </c>
      <c r="DY12" s="48" t="str">
        <f t="shared" ca="1" si="19"/>
        <v/>
      </c>
      <c r="DZ12" s="48" t="str">
        <f t="shared" ca="1" si="40"/>
        <v/>
      </c>
      <c r="EA12" s="48" t="str">
        <f t="shared" ca="1" si="41"/>
        <v/>
      </c>
      <c r="EB12" s="48">
        <f t="shared" ca="1" si="42"/>
        <v>0</v>
      </c>
      <c r="EC12" s="48">
        <f t="shared" ca="1" si="43"/>
        <v>0</v>
      </c>
      <c r="ED12" s="48" t="str">
        <f t="shared" ca="1" si="44"/>
        <v/>
      </c>
      <c r="EE12" s="48">
        <f t="shared" ca="1" si="45"/>
        <v>0</v>
      </c>
      <c r="EF12" s="48" t="str">
        <f t="shared" ca="1" si="46"/>
        <v/>
      </c>
      <c r="EG12" s="48">
        <f t="shared" ca="1" si="47"/>
        <v>0</v>
      </c>
      <c r="EH12" s="48" t="str">
        <f t="shared" ca="1" si="48"/>
        <v/>
      </c>
      <c r="EI12" s="48">
        <f t="shared" ca="1" si="49"/>
        <v>0</v>
      </c>
      <c r="EJ12" s="48" t="str">
        <f t="shared" ca="1" si="50"/>
        <v/>
      </c>
      <c r="EK12" s="48">
        <f t="shared" ca="1" si="51"/>
        <v>0</v>
      </c>
      <c r="EL12" s="48">
        <f t="shared" ca="1" si="20"/>
        <v>0</v>
      </c>
      <c r="EM12" s="48">
        <f ca="1">IF(EL12&gt;=0,0,MAX($EM$2:EM11)+1)</f>
        <v>0</v>
      </c>
      <c r="EN12" s="48" t="str">
        <f t="shared" ca="1" si="21"/>
        <v/>
      </c>
      <c r="EO12" s="48" t="str">
        <f ca="1">IFERROR(INDEX($EM$3:$EN$400,MATCH(ROWS($EO$3:EO12),$EM$3:$EM$400,0),2),"")</f>
        <v/>
      </c>
      <c r="EP12" s="48">
        <f>ROW()</f>
        <v>12</v>
      </c>
      <c r="EQ12" s="48">
        <f t="shared" ca="1" si="22"/>
        <v>0</v>
      </c>
      <c r="ER12" s="48">
        <f ca="1">IF(ISNA(EQ12)=TRUE,MAX($ER$2:ER11)+1,0)</f>
        <v>0</v>
      </c>
      <c r="ES12" s="48" t="str">
        <f t="shared" ca="1" si="52"/>
        <v/>
      </c>
      <c r="ET12" s="48" t="str">
        <f ca="1">IFERROR(INDEX($ER$3:$ES$400,MATCH(ROWS($ET$3:ET12),$ER$3:$ER$400,0),2),"")</f>
        <v/>
      </c>
      <c r="EU12" s="48">
        <f ca="1">IF(ROUND(SUMIFS(COPIA!$CA$3:$CA$400,COPIA!$CC$3:$CC$400,CF12)-SUMIFS(COPIA!$CB$3:$CB$400,COPIA!$CC$3:$CC$400,CF12),0)&lt;0,1,0)</f>
        <v>0</v>
      </c>
      <c r="EV12" s="48">
        <f ca="1">IFERROR(INDEX(LIBRO_GIORNALE!$O$11:$P$408,MATCH(ROWS($EV$2:EV11),LIBRO_GIORNALE!$P$11:$P$408,0),1),0)</f>
        <v>0</v>
      </c>
      <c r="EW12" s="48" t="str">
        <f t="shared" ca="1" si="53"/>
        <v>0</v>
      </c>
      <c r="EX12" s="48">
        <f t="shared" ca="1" si="54"/>
        <v>0</v>
      </c>
      <c r="EY12" s="48">
        <f ca="1">IF(EX12&gt;0,MAX($EY$2:EY11)+1,0)</f>
        <v>0</v>
      </c>
      <c r="EZ12" s="48">
        <f ca="1">IFERROR(INDEX($EX$3:$EX$400,MATCH(ROWS($EZ$3:EZ12),$EY$3:$EY$400,0),1),0)</f>
        <v>0</v>
      </c>
      <c r="FA12" s="48">
        <f ca="1">IF(EZ12&gt;0,0,MAX($FA$2:FA11)+1)</f>
        <v>10</v>
      </c>
      <c r="FB12" s="48">
        <f t="shared" ca="1" si="55"/>
        <v>0</v>
      </c>
      <c r="FC12" s="48">
        <f t="shared" ca="1" si="56"/>
        <v>10</v>
      </c>
      <c r="FD12" s="48">
        <f t="shared" ca="1" si="57"/>
        <v>10</v>
      </c>
      <c r="FE12" s="48">
        <f ca="1">IF(FD12=0,0,MAX($FE$2:FE11)+1)</f>
        <v>10</v>
      </c>
      <c r="FF12" s="48">
        <f ca="1">IFERROR(INDEX($FD$3:$FE$400,MATCH(ROWS($FF$3:FF12),$FE$3:$FE$400,0),1),"")</f>
        <v>10</v>
      </c>
      <c r="FH12" s="48">
        <f t="shared" ca="1" si="58"/>
        <v>0</v>
      </c>
      <c r="FI12" s="48">
        <f ca="1">IF(FH12&lt;&gt;0,MAX($FI$2:FI11)+1,0)</f>
        <v>0</v>
      </c>
      <c r="FJ12" s="48" t="str">
        <f ca="1">IFERROR(INDEX($FH$3:$FI$400,MATCH(ROWS($FJ$3:FJ12),$FI$3:$FI$400,0),1),"")</f>
        <v/>
      </c>
      <c r="FK12" s="48">
        <f ca="1">IF(ABS(SUMIFS(DARE,DEN_G,"="&amp;FJ12,DATA,"&lt;="&amp;FINE_AC,DATA,"&gt;="&amp;INIZIO_A_PC)-SUMIFS(AVERE,DEN_G,"="&amp;FJ12,DATA,"&lt;="&amp;FINE_AC,DATA,"&gt;="&amp;INIZIO_A_PC))&gt;0,MAX($FK$2:FK11)+1,0)</f>
        <v>0</v>
      </c>
      <c r="FL12" s="48" t="str">
        <f ca="1">IF(AND(ROW()-2&lt;&gt;1,ROW()-2&lt;=$FK$1),CONCATENATE(" - ",IFERROR(INDEX($FJ$3:$FK$400,MATCH(ROWS($FL$3:FL12),$FK$3:$FK$400,0),1),"")),IFERROR(INDEX($FJ$3:$FK$400,MATCH(ROWS($FL$3:FL12),$FK$3:$FK$400,0),1),""))</f>
        <v/>
      </c>
      <c r="FM12" s="48">
        <f ca="1">IF(OR(B12="IVA ns/credito",B12="IVA NS/DEBITO",B12="IVA C/ACCONTO",B12="IMPOSTE C/ACCONTO",B12="CREDITI PER RITENUTE SUBITE",B12="CREDITI D'IMPOSTA"),MAX($FM$2:FM11)+1,0)</f>
        <v>0</v>
      </c>
      <c r="FN12" s="48" t="str">
        <f t="shared" ca="1" si="59"/>
        <v/>
      </c>
      <c r="FO12" s="48" t="str">
        <f ca="1">IFERROR(INDEX($FM$3:$FN$400,MATCH(ROWS($FO$3:FO12),$FM$3:$FM$400,0),2),"")</f>
        <v/>
      </c>
      <c r="FP12" s="48">
        <f ca="1">IF(ABS(SUMIFS(DARE,DEN_G,"="&amp;FO12,DATA,"&lt;="&amp;FINE_AC,DATA,"&gt;="&amp;INIZIO_A_PC)-SUMIFS(AVERE,DEN_G,"="&amp;FO12,DATA,"&lt;="&amp;FINE_AC,DATA,"&gt;="&amp;INIZIO_A_PC))&gt;0,MAX($FP$2:FP11)+1,0)</f>
        <v>0</v>
      </c>
      <c r="FQ12" s="48" t="str">
        <f ca="1">IF(AND(ROW()-2&lt;&gt;1,ROW()-2&lt;=$FP$1),CONCATENATE(" - ",IFERROR(INDEX($FO$3:$FP$400,MATCH(ROWS($FQ$3:FQ12),$FP$3:$FP$400,0),1),"")),IFERROR(INDEX($FO$3:$FP$400,MATCH(ROWS($FQ$3:FQ12),$FP$3:$FP$400,0),1),""))</f>
        <v/>
      </c>
    </row>
    <row r="13" spans="1:173" x14ac:dyDescent="0.3">
      <c r="A13" s="48" t="str">
        <f ca="1">IFERROR(IF($A$1=2,INDEX($DH$3:$DN$401,MATCH(ROWS(A$3:A13),$DN$3:$DN$401,0),COLUMN()),IF($A$1=1,INDEX($DQ$3:$DW$401,MATCH(ROWS(A$3:A13),$DW$3:$DW$401,0),COLUMN()),"")),"")</f>
        <v>01.06</v>
      </c>
      <c r="B13" s="48" t="str">
        <f ca="1">IFERROR(IF($A$1=2,INDEX($DH$3:$DN$401,MATCH(ROWS(B$3:B13),$DN$3:$DN$401,0),COLUMN()),IF($A$1=1,INDEX($DQ$3:$DW$400,MATCH(ROWS(B$3:B13),$DW$3:$DW$401,0),COLUMN()),"")),"")</f>
        <v>AVVIAMENTO</v>
      </c>
      <c r="C13" s="48" t="str">
        <f ca="1">IFERROR(IF($A$1=2,INDEX($DH$3:$DN$401,MATCH(ROWS(C$3:C13),$DN$3:$DN$401,0),COLUMN()),IF($A$1=1,INDEX($DQ$3:$DW$401,MATCH(ROWS(C$3:C13),$DW$3:$DW$401,0),COLUMN()),"")),"")</f>
        <v>E</v>
      </c>
      <c r="D13" s="48" t="str">
        <f ca="1">IFERROR(IF($A$1=2,INDEX($DH$3:$DN$401,MATCH(ROWS(D$3:D13),$DN$3:$DN$401,0),COLUMN()),IF($A$1=1,INDEX($DQ$3:$DW$401,MATCH(ROWS(D$3:D13),$DW$3:$DW$401,0),COLUMN()),"")),"")</f>
        <v>D</v>
      </c>
      <c r="E13" s="48" t="str">
        <f ca="1">IFERROR(IF($A$1=2,INDEX($DH$3:$DN$401,MATCH(ROWS(E$3:E13),$DN$3:$DN$401,0),COLUMN()),IF($A$1=1,INDEX($DQ$3:$DW$401,MATCH(ROWS(E$3:E13),$DW$3:$DW$401,0),COLUMN()),"")),"")</f>
        <v>COSTI PLURIENNALI</v>
      </c>
      <c r="F13" s="48" t="str">
        <f ca="1">IFERROR(IF($A$1=2,INDEX($DH$3:$DN$401,MATCH(ROWS(F$3:F13),$DN$3:$DN$401,0),COLUMN()),IF($A$1=1,INDEX($DQ$3:$DX$401,MATCH(ROWS(F$3:F13),$DW$3:$DW$401,0),COLUMN()),"")),"")</f>
        <v>SP DARE</v>
      </c>
      <c r="G13" s="48" t="str">
        <f t="shared" ca="1" si="23"/>
        <v>SP</v>
      </c>
      <c r="H13" s="48" t="str">
        <f ca="1">IFERROR(IF($A$1=2,INDEX($DH$3:$DO$400,MATCH(ROWS(H$3:H13),$DN$3:$DN$400,0),COLUMN()),IF($A$1=1,INDEX($DQ$3:$DX$400,MATCH(ROWS(H$3:H13),$DW$3:$DW$400,0),COLUMN()),"")),"")</f>
        <v>pab1</v>
      </c>
      <c r="I13" s="48" t="str">
        <f t="shared" ca="1" si="0"/>
        <v/>
      </c>
      <c r="J13" s="48" t="str">
        <f t="shared" ca="1" si="24"/>
        <v/>
      </c>
      <c r="K13" s="48">
        <f t="shared" ca="1" si="25"/>
        <v>0</v>
      </c>
      <c r="L13" s="48">
        <f t="shared" ca="1" si="26"/>
        <v>0</v>
      </c>
      <c r="M13" s="48">
        <f ca="1">IFERROR(IF(IF(MID($A13,3,3)=".00",MID(A13,1,2),"")&lt;&gt;"",MAX($M$2:M12)+1,0),"")</f>
        <v>0</v>
      </c>
      <c r="N13" s="48" t="str">
        <f t="shared" ca="1" si="27"/>
        <v/>
      </c>
      <c r="O13" s="48" t="str">
        <f ca="1">IF(IFERROR(INDEX($N$3:$O$400,MATCH(ROWS($O$3:O13),$M$3:$M$400,0),1),"")&lt;&gt;"",CONCATENATE(INDEX($N$3:$O$400,MATCH(ROWS($O$3:O13),$M$3:$M$400,0),1),".00"),"")</f>
        <v>10.00</v>
      </c>
      <c r="P13" s="48" t="str">
        <f t="shared" ca="1" si="28"/>
        <v>PATRIMONIO NETTO</v>
      </c>
      <c r="Q13" s="48">
        <f ca="1">IF(M13&gt;=1,0,MAX($Q$2:Q12)+1)</f>
        <v>9</v>
      </c>
      <c r="R13" s="93">
        <f ca="1">IF(AND($U$2=1,S13&lt;&gt;""),MAX($R$2:R12)+1,0)</f>
        <v>0</v>
      </c>
      <c r="S13" s="48" t="s">
        <v>1025</v>
      </c>
      <c r="T13" s="48" t="str">
        <f ca="1">IFERROR(INDEX($R$3:$S$64,MATCH(ROWS($T$2:T12),$R$3:$R$64,0),2),"")</f>
        <v>RATEI E RISCONTI ATTIVI</v>
      </c>
      <c r="U13" s="48" t="str">
        <f ca="1">IFERROR(INDEX(PDC,MATCH(ROWS(U$3:U13),$V$3:$V$400,0),2),"")</f>
        <v>FONDO AMMORTAMENTO COSTI DI AMPLIAMENTO</v>
      </c>
      <c r="V13" s="48">
        <f ca="1">IF(AND($T$1="VISUALIZZA TUTTI I CONTI",AA13&lt;&gt;""),MAX($V$2:V12)+1,IF(AND($U$2=2,AI13=$T$1),MAX($V$2:V12)+1,IF(AND($U$2=1,$T$1=AF13),MAX($V$2:V12)+1,0)))</f>
        <v>11</v>
      </c>
      <c r="W13" s="48">
        <f ca="1">SUMIFS(INDIRECT(CONCATENATE(ADDRESS(3,8,,,"libro_giornale"),":",ADDRESS(200,8,,,))),INDIRECT(CONCATENATE(ADDRESS(3,5,,,"libro_giornale"),":",ADDRESS(200,5,,,))),"="&amp;"perdita d'esercizio",INDIRECT(CONCATENATE(ADDRESS(3,4,,,"libro_giornale"),":",ADDRESS(200,4,,,))),"&gt;="&amp;INIZIO_A_PC,INDIRECT(CONCATENATE(ADDRESS(3,4,,,"libro_giornale"),":",ADDRESS(200,4,,,))),"&lt;="&amp;FINE_A_PC)</f>
        <v>0</v>
      </c>
      <c r="AA13" s="48" t="str">
        <f t="shared" ca="1" si="29"/>
        <v>01.00</v>
      </c>
      <c r="AB13" s="48" t="str">
        <f ca="1">IFERROR(INDEX($A$3:$G$400,MATCH(ROWS(AB$3:AB13),$Q$3:$Q$400,0),1),"")</f>
        <v>01.12</v>
      </c>
      <c r="AC13" s="48" t="str">
        <f ca="1">IFERROR(INDEX($A$3:$G$400,MATCH(ROWS($AC$3:AC13),$Q$3:$Q$400,0),2),"")</f>
        <v>FONDO AMMORTAMENTO COSTI DI AMPLIAMENTO</v>
      </c>
      <c r="AD13" s="48" t="str">
        <f ca="1">IFERROR(INDEX($A$3:$G$400,MATCH(ROWS(AD$3:AD13),$Q$3:$Q$400,0),3),"")</f>
        <v>E</v>
      </c>
      <c r="AE13" s="48" t="str">
        <f ca="1">IFERROR(INDEX($A$3:$G$400,MATCH(ROWS(AE$3:AE13),$Q$3:$Q$400,0),4),"")</f>
        <v>A</v>
      </c>
      <c r="AF13" s="48" t="str">
        <f ca="1">IFERROR(INDEX($A$3:$G$400,MATCH(ROWS(AF$3:AF13),$Q$3:$Q$400,0),5),"")</f>
        <v>RETTIFICHE COSTI PLURIENNALI</v>
      </c>
      <c r="AG13" s="48" t="str">
        <f ca="1">IFERROR(INDEX($A$3:$G$400,MATCH(ROWS(AG$3:AG13),$Q$3:$Q$400,0),6),"")</f>
        <v>SP AVERE</v>
      </c>
      <c r="AH13" s="48" t="str">
        <f ca="1">IFERROR(INDEX($A$3:$G$400,MATCH(ROWS(AH$3:AH13),$Q$3:$Q$400,0),7),"")</f>
        <v>SP</v>
      </c>
      <c r="AI13" s="48" t="str">
        <f t="shared" ca="1" si="1"/>
        <v>IMMOBILIZZAZIONI IMMATERIALI</v>
      </c>
      <c r="AJ13" s="48" t="str">
        <f ca="1">IFERROR(INDEX($A$3:$H$400,MATCH(ROWS(AJ$3:AJ13),$Q$3:$Q$400,0),8),"")</f>
        <v>pab1</v>
      </c>
      <c r="AK13" s="48">
        <f t="shared" ca="1" si="2"/>
        <v>0</v>
      </c>
      <c r="AL13" s="48">
        <f t="shared" ca="1" si="3"/>
        <v>0</v>
      </c>
      <c r="AM13" s="48">
        <f t="shared" ca="1" si="30"/>
        <v>0</v>
      </c>
      <c r="AN13" s="48" t="str">
        <f t="shared" ca="1" si="31"/>
        <v/>
      </c>
      <c r="AO13" s="48">
        <f t="shared" ca="1" si="32"/>
        <v>0</v>
      </c>
      <c r="AP13" s="48">
        <f t="shared" ca="1" si="32"/>
        <v>0</v>
      </c>
      <c r="AQ13" s="48" t="str">
        <f t="shared" ca="1" si="4"/>
        <v>FONDO AMMORTAMENTO COSTI DI AMPLIAMENTO</v>
      </c>
      <c r="AR13" s="48">
        <f t="shared" ca="1" si="5"/>
        <v>0</v>
      </c>
      <c r="AS13" s="48">
        <f t="shared" ca="1" si="6"/>
        <v>0</v>
      </c>
      <c r="AT13" s="48">
        <f t="shared" ca="1" si="33"/>
        <v>0</v>
      </c>
      <c r="AU13" s="48">
        <f t="shared" ca="1" si="34"/>
        <v>0</v>
      </c>
      <c r="AV13" s="48">
        <f ca="1">IF(OR(AT13&gt;0,AU13&gt;0),MAX($AV$2:AV12)+1,0)</f>
        <v>0</v>
      </c>
      <c r="AZ13" s="241" t="str">
        <f t="shared" ca="1" si="35"/>
        <v/>
      </c>
      <c r="BA13" s="48">
        <f t="shared" ca="1" si="7"/>
        <v>0</v>
      </c>
      <c r="BB13" s="48">
        <f ca="1">IFERROR(INDEX($AQ$3:$AV$220,MATCH(ROWS($BB$3:BB13),$AV$3:$AV$220,0),1),0)</f>
        <v>0</v>
      </c>
      <c r="BC13" s="48" t="str">
        <f t="shared" ca="1" si="36"/>
        <v/>
      </c>
      <c r="BD13" s="48">
        <f ca="1">IFERROR(INDEX($AQ$3:$AV$220,MATCH(ROWS($BB$3:BD13),$AV$3:$AV$220,0),4),0)</f>
        <v>0</v>
      </c>
      <c r="BE13" s="48">
        <f ca="1">IFERROR(INDEX($AQ$3:$AV$220,MATCH(ROWS($BB$3:BE13),$AV$3:$AV$220,0),5),0)</f>
        <v>0</v>
      </c>
      <c r="BG13" s="48">
        <f ca="1">IF(IF(AND(OR(INDEX(PDC,MATCH($AC13,DEN_PDC,0),6)="SP DARE",INDEX(PDC,MATCH($AC13,DEN_PDC,0),6)="SP DARE/AVERE"),SUMIFS(DARE,DEN_G,$AC13)&gt;=SUMIFS(AVERE,DEN_G,$AC13)),SUMIFS(DARE,DEN_G,$AC13)-SUMIFS(AVERE,DEN_G,$AC13),0)&gt;0,MAX($BG$2:BG12)+1,0)</f>
        <v>0</v>
      </c>
      <c r="BH13" s="48">
        <f ca="1">IF(IF(AND(OR(INDEX(PDC,MATCH($AC13,DEN_PDC,0),6)="SP AVERE",INDEX(PDC,MATCH($AC13,DEN_PDC,0),6)="SP DARE/AVERE"),SUMIFS(AVERE,DEN_G,$AC13)&gt;=SUMIFS(DARE,DEN_G,$AC13)),SUMIFS(AVERE,DEN_G,$AC13)-SUMIFS(DARE,DEN_G,$AC13),0)&gt;0,MAX(BH$2:BH12)+1,0)</f>
        <v>0</v>
      </c>
      <c r="BI13" s="48">
        <f ca="1">IF(IF(AND(OR(INDEX(PDC,MATCH($AC13,DEN_PDC,0),6)="SE DARE",INDEX(PDC,MATCH($AC13,DEN_PDC,0),6)="SE DARE/AVERE"),SUMIFS(DARE,DEN_G,$AC13)&gt;=SUMIFS(AVERE,DEN_G,$AC13)),SUMIFS(DARE,DEN_G,$AC13)-SUMIFS(AVERE,DEN_G,$AC13),0)&gt;0,MAX(BI$2:BI12)+1,0)</f>
        <v>0</v>
      </c>
      <c r="BJ13" s="48">
        <f ca="1">IF(IF(AND(OR(INDEX(PDC,MATCH($AC13,DEN_PDC,0),6)="SE AVERE",INDEX(PDC,MATCH($AC13,DEN_PDC,0),6)="SE DARE/AVERE"),SUMIFS(AVERE,DEN_G,$AC13)&gt;=SUMIFS(DARE,DEN_G,$AC13)),SUMIFS(AVERE,DEN_G,$AC13)-SUMIFS(DARE,DEN_G,$AC13),0)&gt;0,MAX(BJ$2:BJ12)+1,0)</f>
        <v>0</v>
      </c>
      <c r="BK13" s="48" t="str">
        <f ca="1">IF(AND(AND($DY$2=0,$DY$1=0),$I$1=2,ROW()&gt;$BG$1+2,ROW()&lt;=$BG$1+4),"………………..",IF(AND(OR($DY$2&gt;0,$DY$1&gt;0),$I$1=2,ROW()&gt;$BG$1+2,ROW()&lt;=$BG$1+4),"………………..",IFERROR(INDEX($AC$3:$AC$398,MATCH(ROWS(BK$3:BK13),BG$3:BG$398,0),1),"")))</f>
        <v/>
      </c>
      <c r="BL13" s="48">
        <f t="shared" ca="1" si="69"/>
        <v>0</v>
      </c>
      <c r="BM13" s="48" t="str">
        <f ca="1">IF(AND(OR($DY$2=0,$DY$1=0),$I$1=2,ROW()&gt;$BH$1+2,ROW()&lt;=$BH$1+4),"………………..",IF(AND(OR($DY$2&gt;0,$DY$1&gt;0),$I$1=2,ROW()&gt;$BH$1+2,ROW()&lt;=$BH$1+4),"………………..",IFERROR(INDEX($AC$3:$AC$400,MATCH(ROWS(BM$3:BM13),BH$3:BH$400,0),1),"")))</f>
        <v/>
      </c>
      <c r="BN13" s="48">
        <f t="shared" ca="1" si="9"/>
        <v>0</v>
      </c>
      <c r="BO13" s="48" t="str">
        <f ca="1">IF(AND(OR($DY$2=0,$DY$1=0),$I$1=2,ROW()&gt;$BI$1+2,ROW()&lt;=$BI$1+4),"………………..",IF(AND(OR($DY$2&gt;0,$DY$1&gt;0),$I$1=2,ROW()&gt;$BI$1+2,ROW()&lt;=$BI$1+4),"………………..",IFERROR(INDEX($AC$3:$AC$400,MATCH(ROWS(BO$3:BO13),BI$3:BI$400,0),1),"")))</f>
        <v/>
      </c>
      <c r="BP13" s="48">
        <f t="shared" ca="1" si="10"/>
        <v>0</v>
      </c>
      <c r="BQ13" s="48" t="str">
        <f ca="1">IF(AND(OR($DY$2=0,$DY$1=0),$I$1=2,ROW()&gt;$BJ$1+2,ROW()&lt;=$BJ$1+4),"………………..",IF(AND(OR($DY$2&gt;0,$DY$1&gt;0),$I$1=2,ROW()&gt;$BJ$1+2,ROW()&lt;=$BJ$1+4),"………………..",IFERROR(INDEX($AC$3:$AC$400,MATCH(ROWS(BQ$3:BQ13),BJ$3:BJ$400,0),1),"")))</f>
        <v/>
      </c>
      <c r="BR13" s="48">
        <f t="shared" ca="1" si="11"/>
        <v>0</v>
      </c>
      <c r="BS13" s="48">
        <f ca="1">IF(IF(AND(OR(INDEX(PDC,MATCH($AC13,DEN_PDC,0),4)="D",INDEX(PDC,MATCH($AC13,DEN_PDC,0),4)="D/A"),SUMIFS(DARE,DEN_G,$AC13)&gt;=SUMIFS(AVERE,DEN_G,$AC13)),SUMIFS(DARE,DEN_G,$AC13),IF(AND(OR(INDEX(PDC,MATCH($AC13,DEN_PDC,0),4)="A",INDEX(PDC,MATCH($AC13,DEN_PDC,0),4)="D/A"),SUMIFS(AVERE,DEN_G,$AC13)&gt;=SUMIFS(DARE,DEN_G,$AC13)),SUMIFS(AVERE,DEN_G,$AC13),))&gt;0,MAX($BS$2:BS12)+1,0)</f>
        <v>0</v>
      </c>
      <c r="BT13" s="48" t="str">
        <f ca="1">IF($CO$1=0,"",IF(AND($I$1=2,ROW()&gt;$BR$1,ROW()&lt;=$BS$1)," …………….",IF(AND($E$1=1,$BX$1=1,$I$1=2,ROW()=$BQ$1),"TOTALI",IFERROR(INDEX(PDC,MATCH(ROWS(BT$3:BT13),BS$3:BS410,0),2),""))))</f>
        <v/>
      </c>
      <c r="BU13" s="48">
        <f t="shared" ca="1" si="12"/>
        <v>0</v>
      </c>
      <c r="BV13" s="48">
        <f t="shared" ca="1" si="13"/>
        <v>0</v>
      </c>
      <c r="BW13" s="48">
        <f t="shared" ca="1" si="14"/>
        <v>0</v>
      </c>
      <c r="BX13" s="48">
        <f t="shared" ca="1" si="15"/>
        <v>0</v>
      </c>
      <c r="BY13" s="48">
        <f ca="1">IF(OR(BW13&gt;0,BX13&gt;0),MAX($BY$2:BY12)+1,0)</f>
        <v>0</v>
      </c>
      <c r="BZ13" s="48" t="str">
        <f ca="1">IFERROR(INDEX($BT$3:$BY$400,MATCH(ROWS(BZ$3:BZ13),$BY$3:$BY$400,0),1),"")</f>
        <v/>
      </c>
      <c r="CA13" s="48" t="str">
        <f ca="1">IFERROR(INDEX($BT$3:$BY$400,MATCH(ROWS(CA$3:CA13),$BY$3:$BY$400,0),4),"")</f>
        <v/>
      </c>
      <c r="CB13" s="48" t="str">
        <f ca="1">IFERROR(INDEX($BT$3:$BY$400,MATCH(ROWS(CB$3:CB13),$BY$3:$BY$400,0),5),"")</f>
        <v/>
      </c>
      <c r="CC13" s="48" t="str">
        <f t="shared" ca="1" si="16"/>
        <v/>
      </c>
      <c r="CD13" s="48">
        <f ca="1">IF(AND($BF$9=1,CE13&lt;&gt;0),MAX($CD$2:CD12)+1,0)</f>
        <v>0</v>
      </c>
      <c r="CE13" s="48">
        <f ca="1">IF(ROUND(SUMIFS(COPIA!$CA$3:$CA$400,COPIA!$CC$3:$CC$400,CF13)-SUMIFS(COPIA!$CB$3:$CB$400,COPIA!$CC$3:$CC$400,CF13),0)&lt;0,0,ROUND(SUMIFS(COPIA!$CA$3:$CA$400,COPIA!$CC$3:$CC$400,CF13)-SUMIFS(COPIA!$CB$3:$CB$400,COPIA!$CC$3:$CC$400,CF13),0))</f>
        <v>0</v>
      </c>
      <c r="CF13" s="48" t="s">
        <v>624</v>
      </c>
      <c r="CG13" s="242" t="s">
        <v>543</v>
      </c>
      <c r="CH13" s="242">
        <f t="shared" ca="1" si="68"/>
        <v>0</v>
      </c>
      <c r="CI13" s="242"/>
      <c r="CJ13" s="242"/>
      <c r="CL13" s="242"/>
      <c r="CM13" s="242" t="str">
        <f t="shared" ca="1" si="37"/>
        <v/>
      </c>
      <c r="CN13" s="243">
        <f t="shared" ca="1" si="38"/>
        <v>0</v>
      </c>
      <c r="CO13" s="48" t="str">
        <f t="shared" ca="1" si="39"/>
        <v/>
      </c>
      <c r="CQ13" s="242" t="str">
        <f ca="1">IFERROR(IF(AND(CO1=1,BF1&gt;1),"Controllo non attivo, disattivare il filtro.",""),"")</f>
        <v/>
      </c>
      <c r="CR13" s="242">
        <f ca="1">IF(CQ13="",0,MAX($CR$2:CR12)+1)</f>
        <v>0</v>
      </c>
      <c r="CT13" s="242"/>
      <c r="CU13" s="48">
        <f ca="1">IF(SUMIFS(AVERE,DEN_G,AC13,AVERE,"&gt;"&amp;0)+SUMIFS(DARE,DEN_G,AC13,DARE,"&gt;"&amp;0)&gt;0,MAX($CU$2:CU12)+1,0)</f>
        <v>0</v>
      </c>
      <c r="CV13" s="48" t="str">
        <f ca="1">IF(IFERROR(INDEX(PDC,MATCH(ROWS($CV$3:CV13),$CU$3:$CU$400,0),2),"")="CONTO DI RISULTATO ECONOMICO","",IFERROR(INDEX(PDC,MATCH(ROWS($CV$3:CV13),$CU$3:$CU$400,0),2),""))</f>
        <v/>
      </c>
      <c r="CW13" s="48">
        <f ca="1">IFERROR(IF(CV13&lt;&gt;"",MAX($CW$2:CW12)+1,0),0)</f>
        <v>0</v>
      </c>
      <c r="CX13" s="48">
        <f t="shared" ca="1" si="17"/>
        <v>1</v>
      </c>
      <c r="CY13" s="48" t="str">
        <f t="shared" ca="1" si="18"/>
        <v>MASTRO</v>
      </c>
      <c r="CZ13" s="48" t="e">
        <f t="shared" ca="1" si="60"/>
        <v>#N/A</v>
      </c>
      <c r="DA13" s="48" t="str">
        <f t="shared" ca="1" si="67"/>
        <v/>
      </c>
      <c r="DB13" s="48" t="str">
        <f t="shared" ca="1" si="61"/>
        <v/>
      </c>
      <c r="DC13" s="48" t="str">
        <f t="shared" ca="1" si="62"/>
        <v/>
      </c>
      <c r="DD13" s="48" t="str">
        <f t="shared" ca="1" si="63"/>
        <v/>
      </c>
      <c r="DE13" s="48" t="str">
        <f t="shared" ca="1" si="64"/>
        <v/>
      </c>
      <c r="DF13" s="48">
        <f ca="1">IF(AND(CX13=$DF$1,CX13&lt;&gt;""),0,IF(AND(DB13&lt;&gt;"",OR(DB12&lt;&gt;"",DB14&lt;&gt;"")),MAX($DF$2:DF12)+1,0))</f>
        <v>0</v>
      </c>
      <c r="DG13" s="48">
        <f ca="1">DG8</f>
        <v>0</v>
      </c>
      <c r="DH13" s="244" t="s">
        <v>325</v>
      </c>
      <c r="DI13" s="48" t="str">
        <f ca="1">IFERROR(IF(AND($DL$1=TRUE,DG13&lt;&gt;0),CONCATENATE("SOCIO ",DG13," C/VERSAMENTI RICHIAMATI"),IF(AND($DL$1=FALSE,DG13&lt;&gt;0),CONCATENATE("AZIONISTA ",DG13," C/VERSAMENTI RICHIAMATI"),"")),"")</f>
        <v/>
      </c>
      <c r="DJ13" s="48" t="s">
        <v>312</v>
      </c>
      <c r="DK13" s="48" t="s">
        <v>275</v>
      </c>
      <c r="DL13" s="48" t="s">
        <v>6</v>
      </c>
      <c r="DM13" s="48" t="s">
        <v>270</v>
      </c>
      <c r="DN13" s="48">
        <f ca="1">IF(DI13&lt;&gt;"",MAX($DN$2:DN12)+1,0)</f>
        <v>0</v>
      </c>
      <c r="DO13" s="48" t="str">
        <f t="shared" ca="1" si="65"/>
        <v>paa</v>
      </c>
      <c r="DP13" s="48">
        <f ca="1">DP8</f>
        <v>0</v>
      </c>
      <c r="DQ13" s="227" t="s">
        <v>488</v>
      </c>
      <c r="DR13" s="48" t="str">
        <f ca="1">IFERROR(IF(DP13&lt;&gt;0,CONCATENATE("SOCIO ",DP13," C/REINTEGRO"),""),"")</f>
        <v/>
      </c>
      <c r="DS13" s="48" t="s">
        <v>312</v>
      </c>
      <c r="DT13" s="48" t="s">
        <v>275</v>
      </c>
      <c r="DU13" s="48" t="s">
        <v>6</v>
      </c>
      <c r="DV13" s="48" t="s">
        <v>270</v>
      </c>
      <c r="DW13" s="48">
        <f ca="1">IF(DR13&lt;&gt;"",MAX($DW$2:DW12)+1,0)</f>
        <v>0</v>
      </c>
      <c r="DX13" s="48" t="str">
        <f t="shared" ca="1" si="66"/>
        <v>paa</v>
      </c>
      <c r="DY13" s="48" t="str">
        <f t="shared" ca="1" si="19"/>
        <v/>
      </c>
      <c r="DZ13" s="48" t="str">
        <f t="shared" ca="1" si="40"/>
        <v/>
      </c>
      <c r="EA13" s="48" t="str">
        <f t="shared" ca="1" si="41"/>
        <v/>
      </c>
      <c r="EB13" s="48">
        <f t="shared" ca="1" si="42"/>
        <v>0</v>
      </c>
      <c r="EC13" s="48">
        <f t="shared" ca="1" si="43"/>
        <v>0</v>
      </c>
      <c r="ED13" s="48" t="str">
        <f t="shared" ca="1" si="44"/>
        <v/>
      </c>
      <c r="EE13" s="48">
        <f t="shared" ca="1" si="45"/>
        <v>0</v>
      </c>
      <c r="EF13" s="48" t="str">
        <f t="shared" ca="1" si="46"/>
        <v/>
      </c>
      <c r="EG13" s="48">
        <f t="shared" ca="1" si="47"/>
        <v>0</v>
      </c>
      <c r="EH13" s="48" t="str">
        <f t="shared" ca="1" si="48"/>
        <v/>
      </c>
      <c r="EI13" s="48">
        <f t="shared" ca="1" si="49"/>
        <v>0</v>
      </c>
      <c r="EJ13" s="48" t="str">
        <f t="shared" ca="1" si="50"/>
        <v/>
      </c>
      <c r="EK13" s="48">
        <f t="shared" ca="1" si="51"/>
        <v>0</v>
      </c>
      <c r="EL13" s="48">
        <f t="shared" ca="1" si="20"/>
        <v>0</v>
      </c>
      <c r="EM13" s="48">
        <f ca="1">IF(EL13&gt;=0,0,MAX($EM$2:EM12)+1)</f>
        <v>0</v>
      </c>
      <c r="EN13" s="48" t="str">
        <f t="shared" ca="1" si="21"/>
        <v/>
      </c>
      <c r="EO13" s="48" t="str">
        <f ca="1">IFERROR(INDEX($EM$3:$EN$400,MATCH(ROWS($EO$3:EO13),$EM$3:$EM$400,0),2),"")</f>
        <v/>
      </c>
      <c r="EP13" s="48">
        <f>ROW()</f>
        <v>13</v>
      </c>
      <c r="EQ13" s="48">
        <f t="shared" ca="1" si="22"/>
        <v>0</v>
      </c>
      <c r="ER13" s="48">
        <f ca="1">IF(ISNA(EQ13)=TRUE,MAX($ER$2:ER12)+1,0)</f>
        <v>0</v>
      </c>
      <c r="ES13" s="48" t="str">
        <f t="shared" ca="1" si="52"/>
        <v/>
      </c>
      <c r="ET13" s="48" t="str">
        <f ca="1">IFERROR(INDEX($ER$3:$ES$400,MATCH(ROWS($ET$3:ET13),$ER$3:$ER$400,0),2),"")</f>
        <v/>
      </c>
      <c r="EU13" s="48">
        <f ca="1">IF(ROUND(SUMIFS(COPIA!$CA$3:$CA$400,COPIA!$CC$3:$CC$400,CF13)-SUMIFS(COPIA!$CB$3:$CB$400,COPIA!$CC$3:$CC$400,CF13),0)&lt;0,1,0)</f>
        <v>0</v>
      </c>
      <c r="EV13" s="48">
        <f ca="1">IFERROR(INDEX(LIBRO_GIORNALE!$O$11:$P$408,MATCH(ROWS($EV$2:EV12),LIBRO_GIORNALE!$P$11:$P$408,0),1),0)</f>
        <v>0</v>
      </c>
      <c r="EW13" s="48" t="str">
        <f t="shared" ca="1" si="53"/>
        <v>0</v>
      </c>
      <c r="EX13" s="48">
        <f t="shared" ca="1" si="54"/>
        <v>0</v>
      </c>
      <c r="EY13" s="48">
        <f ca="1">IF(EX13&gt;0,MAX($EY$2:EY12)+1,0)</f>
        <v>0</v>
      </c>
      <c r="EZ13" s="48">
        <f ca="1">IFERROR(INDEX($EX$3:$EX$400,MATCH(ROWS($EZ$3:EZ13),$EY$3:$EY$400,0),1),0)</f>
        <v>0</v>
      </c>
      <c r="FA13" s="48">
        <f ca="1">IF(EZ13&gt;0,0,MAX($FA$2:FA12)+1)</f>
        <v>11</v>
      </c>
      <c r="FB13" s="48">
        <f t="shared" ca="1" si="55"/>
        <v>0</v>
      </c>
      <c r="FC13" s="48">
        <f t="shared" ca="1" si="56"/>
        <v>11</v>
      </c>
      <c r="FD13" s="48">
        <f t="shared" ca="1" si="57"/>
        <v>11</v>
      </c>
      <c r="FE13" s="48">
        <f ca="1">IF(FD13=0,0,MAX($FE$2:FE12)+1)</f>
        <v>11</v>
      </c>
      <c r="FF13" s="48">
        <f ca="1">IFERROR(INDEX($FD$3:$FE$400,MATCH(ROWS($FF$3:FF13),$FE$3:$FE$400,0),1),"")</f>
        <v>11</v>
      </c>
      <c r="FH13" s="48">
        <f t="shared" ca="1" si="58"/>
        <v>0</v>
      </c>
      <c r="FI13" s="48">
        <f ca="1">IF(FH13&lt;&gt;0,MAX($FI$2:FI12)+1,0)</f>
        <v>0</v>
      </c>
      <c r="FJ13" s="48" t="str">
        <f ca="1">IFERROR(INDEX($FH$3:$FI$400,MATCH(ROWS($FJ$3:FJ13),$FI$3:$FI$400,0),1),"")</f>
        <v/>
      </c>
      <c r="FK13" s="48">
        <f ca="1">IF(ABS(SUMIFS(DARE,DEN_G,"="&amp;FJ13,DATA,"&lt;="&amp;FINE_AC,DATA,"&gt;="&amp;INIZIO_A_PC)-SUMIFS(AVERE,DEN_G,"="&amp;FJ13,DATA,"&lt;="&amp;FINE_AC,DATA,"&gt;="&amp;INIZIO_A_PC))&gt;0,MAX($FK$2:FK12)+1,0)</f>
        <v>0</v>
      </c>
      <c r="FL13" s="48" t="str">
        <f ca="1">IF(AND(ROW()-2&lt;&gt;1,ROW()-2&lt;=$FK$1),CONCATENATE(" - ",IFERROR(INDEX($FJ$3:$FK$400,MATCH(ROWS($FL$3:FL13),$FK$3:$FK$400,0),1),"")),IFERROR(INDEX($FJ$3:$FK$400,MATCH(ROWS($FL$3:FL13),$FK$3:$FK$400,0),1),""))</f>
        <v/>
      </c>
      <c r="FM13" s="48">
        <f ca="1">IF(OR(B13="IVA ns/credito",B13="IVA NS/DEBITO",B13="IVA C/ACCONTO",B13="IMPOSTE C/ACCONTO",B13="CREDITI PER RITENUTE SUBITE",B13="CREDITI D'IMPOSTA"),MAX($FM$2:FM12)+1,0)</f>
        <v>0</v>
      </c>
      <c r="FN13" s="48" t="str">
        <f t="shared" ca="1" si="59"/>
        <v/>
      </c>
      <c r="FO13" s="48" t="str">
        <f ca="1">IFERROR(INDEX($FM$3:$FN$400,MATCH(ROWS($FO$3:FO13),$FM$3:$FM$400,0),2),"")</f>
        <v/>
      </c>
      <c r="FP13" s="48">
        <f ca="1">IF(ABS(SUMIFS(DARE,DEN_G,"="&amp;FO13,DATA,"&lt;="&amp;FINE_AC,DATA,"&gt;="&amp;INIZIO_A_PC)-SUMIFS(AVERE,DEN_G,"="&amp;FO13,DATA,"&lt;="&amp;FINE_AC,DATA,"&gt;="&amp;INIZIO_A_PC))&gt;0,MAX($FP$2:FP12)+1,0)</f>
        <v>0</v>
      </c>
      <c r="FQ13" s="48" t="str">
        <f ca="1">IF(AND(ROW()-2&lt;&gt;1,ROW()-2&lt;=$FP$1),CONCATENATE(" - ",IFERROR(INDEX($FO$3:$FP$400,MATCH(ROWS($FQ$3:FQ13),$FP$3:$FP$400,0),1),"")),IFERROR(INDEX($FO$3:$FP$400,MATCH(ROWS($FQ$3:FQ13),$FP$3:$FP$400,0),1),""))</f>
        <v/>
      </c>
    </row>
    <row r="14" spans="1:173" x14ac:dyDescent="0.3">
      <c r="A14" s="48" t="str">
        <f ca="1">IFERROR(IF($A$1=2,INDEX($DH$3:$DN$401,MATCH(ROWS(A$3:A14),$DN$3:$DN$401,0),COLUMN()),IF($A$1=1,INDEX($DQ$3:$DW$401,MATCH(ROWS(A$3:A14),$DW$3:$DW$401,0),COLUMN()),"")),"")</f>
        <v>01.11</v>
      </c>
      <c r="B14" s="48" t="str">
        <f ca="1">IFERROR(IF($A$1=2,INDEX($DH$3:$DN$401,MATCH(ROWS(B$3:B14),$DN$3:$DN$401,0),COLUMN()),IF($A$1=1,INDEX($DQ$3:$DW$400,MATCH(ROWS(B$3:B14),$DW$3:$DW$401,0),COLUMN()),"")),"")</f>
        <v>FONDO AMMORTAMENTO COSTI DI IMPIANTO</v>
      </c>
      <c r="C14" s="48" t="str">
        <f ca="1">IFERROR(IF($A$1=2,INDEX($DH$3:$DN$401,MATCH(ROWS(C$3:C14),$DN$3:$DN$401,0),COLUMN()),IF($A$1=1,INDEX($DQ$3:$DW$401,MATCH(ROWS(C$3:C14),$DW$3:$DW$401,0),COLUMN()),"")),"")</f>
        <v>E</v>
      </c>
      <c r="D14" s="48" t="str">
        <f ca="1">IFERROR(IF($A$1=2,INDEX($DH$3:$DN$401,MATCH(ROWS(D$3:D14),$DN$3:$DN$401,0),COLUMN()),IF($A$1=1,INDEX($DQ$3:$DW$401,MATCH(ROWS(D$3:D14),$DW$3:$DW$401,0),COLUMN()),"")),"")</f>
        <v>A</v>
      </c>
      <c r="E14" s="48" t="str">
        <f ca="1">IFERROR(IF($A$1=2,INDEX($DH$3:$DN$401,MATCH(ROWS(E$3:E14),$DN$3:$DN$401,0),COLUMN()),IF($A$1=1,INDEX($DQ$3:$DW$401,MATCH(ROWS(E$3:E14),$DW$3:$DW$401,0),COLUMN()),"")),"")</f>
        <v>RETTIFICHE COSTI PLURIENNALI</v>
      </c>
      <c r="F14" s="48" t="str">
        <f ca="1">IFERROR(IF($A$1=2,INDEX($DH$3:$DN$401,MATCH(ROWS(F$3:F14),$DN$3:$DN$401,0),COLUMN()),IF($A$1=1,INDEX($DQ$3:$DX$401,MATCH(ROWS(F$3:F14),$DW$3:$DW$401,0),COLUMN()),"")),"")</f>
        <v>SP AVERE</v>
      </c>
      <c r="G14" s="48" t="str">
        <f t="shared" ca="1" si="23"/>
        <v>SP</v>
      </c>
      <c r="H14" s="48" t="str">
        <f ca="1">IFERROR(IF($A$1=2,INDEX($DH$3:$DO$400,MATCH(ROWS(H$3:H14),$DN$3:$DN$400,0),COLUMN()),IF($A$1=1,INDEX($DQ$3:$DX$400,MATCH(ROWS(H$3:H14),$DW$3:$DW$400,0),COLUMN()),"")),"")</f>
        <v>pab1</v>
      </c>
      <c r="I14" s="48" t="str">
        <f t="shared" ca="1" si="0"/>
        <v/>
      </c>
      <c r="J14" s="48" t="str">
        <f t="shared" ca="1" si="24"/>
        <v/>
      </c>
      <c r="K14" s="48">
        <f t="shared" ca="1" si="25"/>
        <v>0</v>
      </c>
      <c r="L14" s="48">
        <f t="shared" ca="1" si="26"/>
        <v>0</v>
      </c>
      <c r="M14" s="48">
        <f ca="1">IFERROR(IF(IF(MID($A14,3,3)=".00",MID(A14,1,2),"")&lt;&gt;"",MAX($M$2:M13)+1,0),"")</f>
        <v>0</v>
      </c>
      <c r="N14" s="48" t="str">
        <f t="shared" ca="1" si="27"/>
        <v/>
      </c>
      <c r="O14" s="48" t="str">
        <f ca="1">IF(IFERROR(INDEX($N$3:$O$400,MATCH(ROWS($O$3:O14),$M$3:$M$400,0),1),"")&lt;&gt;"",CONCATENATE(INDEX($N$3:$O$400,MATCH(ROWS($O$3:O14),$M$3:$M$400,0),1),".00"),"")</f>
        <v>11.00</v>
      </c>
      <c r="P14" s="48" t="str">
        <f t="shared" ca="1" si="28"/>
        <v>FONDI PER RISCHI E ONERI</v>
      </c>
      <c r="Q14" s="48">
        <f ca="1">IF(M14&gt;=1,0,MAX($Q$2:Q13)+1)</f>
        <v>10</v>
      </c>
      <c r="R14" s="93">
        <f ca="1">IF(AND($U$2=1,S14&lt;&gt;""),MAX($R$2:R13)+1,0)</f>
        <v>0</v>
      </c>
      <c r="S14" s="48" t="s">
        <v>7</v>
      </c>
      <c r="T14" s="48" t="str">
        <f ca="1">IFERROR(INDEX($R$3:$S$64,MATCH(ROWS($T$2:T13),$R$3:$R$64,0),2),"")</f>
        <v>PATRIMONIO NETTO</v>
      </c>
      <c r="U14" s="48" t="str">
        <f ca="1">IFERROR(INDEX(PDC,MATCH(ROWS(U$3:U14),$V$3:$V$400,0),2),"")</f>
        <v>FONDO AMMORTAMENTO COSTI DI SVILUPPO</v>
      </c>
      <c r="V14" s="48">
        <f ca="1">IF(AND($T$1="VISUALIZZA TUTTI I CONTI",AA14&lt;&gt;""),MAX($V$2:V13)+1,IF(AND($U$2=2,AI14=$T$1),MAX($V$2:V13)+1,IF(AND($U$2=1,$T$1=AF14),MAX($V$2:V13)+1,0)))</f>
        <v>12</v>
      </c>
      <c r="AA14" s="48" t="str">
        <f t="shared" ca="1" si="29"/>
        <v>01.00</v>
      </c>
      <c r="AB14" s="48" t="str">
        <f ca="1">IFERROR(INDEX($A$3:$G$400,MATCH(ROWS(AB$3:AB14),$Q$3:$Q$400,0),1),"")</f>
        <v>01.13</v>
      </c>
      <c r="AC14" s="48" t="str">
        <f ca="1">IFERROR(INDEX($A$3:$G$400,MATCH(ROWS($AC$3:AC14),$Q$3:$Q$400,0),2),"")</f>
        <v>FONDO AMMORTAMENTO COSTI DI SVILUPPO</v>
      </c>
      <c r="AD14" s="48" t="str">
        <f ca="1">IFERROR(INDEX($A$3:$G$400,MATCH(ROWS(AD$3:AD14),$Q$3:$Q$400,0),3),"")</f>
        <v>E</v>
      </c>
      <c r="AE14" s="48" t="str">
        <f ca="1">IFERROR(INDEX($A$3:$G$400,MATCH(ROWS(AE$3:AE14),$Q$3:$Q$400,0),4),"")</f>
        <v>A</v>
      </c>
      <c r="AF14" s="48" t="str">
        <f ca="1">IFERROR(INDEX($A$3:$G$400,MATCH(ROWS(AF$3:AF14),$Q$3:$Q$400,0),5),"")</f>
        <v>RETTIFICHE COSTI PLURIENNALI</v>
      </c>
      <c r="AG14" s="48" t="str">
        <f ca="1">IFERROR(INDEX($A$3:$G$400,MATCH(ROWS(AG$3:AG14),$Q$3:$Q$400,0),6),"")</f>
        <v>SP AVERE</v>
      </c>
      <c r="AH14" s="48" t="str">
        <f ca="1">IFERROR(INDEX($A$3:$G$400,MATCH(ROWS(AH$3:AH14),$Q$3:$Q$400,0),7),"")</f>
        <v>SP</v>
      </c>
      <c r="AI14" s="48" t="str">
        <f t="shared" ca="1" si="1"/>
        <v>IMMOBILIZZAZIONI IMMATERIALI</v>
      </c>
      <c r="AJ14" s="48" t="str">
        <f ca="1">IFERROR(INDEX($A$3:$H$400,MATCH(ROWS(AJ$3:AJ14),$Q$3:$Q$400,0),8),"")</f>
        <v>pab1</v>
      </c>
      <c r="AK14" s="48">
        <f t="shared" ca="1" si="2"/>
        <v>0</v>
      </c>
      <c r="AL14" s="48">
        <f t="shared" ca="1" si="3"/>
        <v>0</v>
      </c>
      <c r="AM14" s="48">
        <f t="shared" ca="1" si="30"/>
        <v>0</v>
      </c>
      <c r="AN14" s="48" t="str">
        <f t="shared" ca="1" si="31"/>
        <v/>
      </c>
      <c r="AO14" s="48">
        <f t="shared" ca="1" si="32"/>
        <v>0</v>
      </c>
      <c r="AP14" s="48">
        <f t="shared" ca="1" si="32"/>
        <v>0</v>
      </c>
      <c r="AQ14" s="48" t="str">
        <f t="shared" ca="1" si="4"/>
        <v>FONDO AMMORTAMENTO COSTI DI SVILUPPO</v>
      </c>
      <c r="AR14" s="48">
        <f t="shared" ca="1" si="5"/>
        <v>0</v>
      </c>
      <c r="AS14" s="48">
        <f t="shared" ca="1" si="6"/>
        <v>0</v>
      </c>
      <c r="AT14" s="48">
        <f t="shared" ca="1" si="33"/>
        <v>0</v>
      </c>
      <c r="AU14" s="48">
        <f t="shared" ca="1" si="34"/>
        <v>0</v>
      </c>
      <c r="AV14" s="48">
        <f ca="1">IF(OR(AT14&gt;0,AU14&gt;0),MAX($AV$2:AV13)+1,0)</f>
        <v>0</v>
      </c>
      <c r="AZ14" s="241" t="str">
        <f t="shared" ca="1" si="35"/>
        <v/>
      </c>
      <c r="BA14" s="48">
        <f t="shared" ca="1" si="7"/>
        <v>0</v>
      </c>
      <c r="BB14" s="48">
        <f ca="1">IFERROR(INDEX($AQ$3:$AV$220,MATCH(ROWS($BB$3:BB14),$AV$3:$AV$220,0),1),0)</f>
        <v>0</v>
      </c>
      <c r="BC14" s="48" t="str">
        <f t="shared" ca="1" si="36"/>
        <v/>
      </c>
      <c r="BD14" s="48">
        <f ca="1">IFERROR(INDEX($AQ$3:$AV$220,MATCH(ROWS($BB$3:BD14),$AV$3:$AV$220,0),4),0)</f>
        <v>0</v>
      </c>
      <c r="BE14" s="48">
        <f ca="1">IFERROR(INDEX($AQ$3:$AV$220,MATCH(ROWS($BB$3:BE14),$AV$3:$AV$220,0),5),0)</f>
        <v>0</v>
      </c>
      <c r="BG14" s="48">
        <f ca="1">IF(IF(AND(OR(INDEX(PDC,MATCH($AC14,DEN_PDC,0),6)="SP DARE",INDEX(PDC,MATCH($AC14,DEN_PDC,0),6)="SP DARE/AVERE"),SUMIFS(DARE,DEN_G,$AC14)&gt;=SUMIFS(AVERE,DEN_G,$AC14)),SUMIFS(DARE,DEN_G,$AC14)-SUMIFS(AVERE,DEN_G,$AC14),0)&gt;0,MAX($BG$2:BG13)+1,0)</f>
        <v>0</v>
      </c>
      <c r="BH14" s="48">
        <f ca="1">IF(IF(AND(OR(INDEX(PDC,MATCH($AC14,DEN_PDC,0),6)="SP AVERE",INDEX(PDC,MATCH($AC14,DEN_PDC,0),6)="SP DARE/AVERE"),SUMIFS(AVERE,DEN_G,$AC14)&gt;=SUMIFS(DARE,DEN_G,$AC14)),SUMIFS(AVERE,DEN_G,$AC14)-SUMIFS(DARE,DEN_G,$AC14),0)&gt;0,MAX(BH$2:BH13)+1,0)</f>
        <v>0</v>
      </c>
      <c r="BI14" s="48">
        <f ca="1">IF(IF(AND(OR(INDEX(PDC,MATCH($AC14,DEN_PDC,0),6)="SE DARE",INDEX(PDC,MATCH($AC14,DEN_PDC,0),6)="SE DARE/AVERE"),SUMIFS(DARE,DEN_G,$AC14)&gt;=SUMIFS(AVERE,DEN_G,$AC14)),SUMIFS(DARE,DEN_G,$AC14)-SUMIFS(AVERE,DEN_G,$AC14),0)&gt;0,MAX(BI$2:BI13)+1,0)</f>
        <v>0</v>
      </c>
      <c r="BJ14" s="48">
        <f ca="1">IF(IF(AND(OR(INDEX(PDC,MATCH($AC14,DEN_PDC,0),6)="SE AVERE",INDEX(PDC,MATCH($AC14,DEN_PDC,0),6)="SE DARE/AVERE"),SUMIFS(AVERE,DEN_G,$AC14)&gt;=SUMIFS(DARE,DEN_G,$AC14)),SUMIFS(AVERE,DEN_G,$AC14)-SUMIFS(DARE,DEN_G,$AC14),0)&gt;0,MAX(BJ$2:BJ13)+1,0)</f>
        <v>0</v>
      </c>
      <c r="BK14" s="48" t="str">
        <f ca="1">IF(AND(AND($DY$2=0,$DY$1=0),$I$1=2,ROW()&gt;$BG$1+2,ROW()&lt;=$BG$1+4),"………………..",IF(AND(OR($DY$2&gt;0,$DY$1&gt;0),$I$1=2,ROW()&gt;$BG$1+2,ROW()&lt;=$BG$1+4),"………………..",IFERROR(INDEX($AC$3:$AC$398,MATCH(ROWS(BK$3:BK14),BG$3:BG$398,0),1),"")))</f>
        <v/>
      </c>
      <c r="BL14" s="48">
        <f t="shared" ca="1" si="69"/>
        <v>0</v>
      </c>
      <c r="BM14" s="48" t="str">
        <f ca="1">IF(AND(OR($DY$2=0,$DY$1=0),$I$1=2,ROW()&gt;$BH$1+2,ROW()&lt;=$BH$1+4),"………………..",IF(AND(OR($DY$2&gt;0,$DY$1&gt;0),$I$1=2,ROW()&gt;$BH$1+2,ROW()&lt;=$BH$1+4),"………………..",IFERROR(INDEX($AC$3:$AC$400,MATCH(ROWS(BM$3:BM14),BH$3:BH$400,0),1),"")))</f>
        <v/>
      </c>
      <c r="BN14" s="48">
        <f t="shared" ca="1" si="9"/>
        <v>0</v>
      </c>
      <c r="BO14" s="48" t="str">
        <f ca="1">IF(AND(OR($DY$2=0,$DY$1=0),$I$1=2,ROW()&gt;$BI$1+2,ROW()&lt;=$BI$1+4),"………………..",IF(AND(OR($DY$2&gt;0,$DY$1&gt;0),$I$1=2,ROW()&gt;$BI$1+2,ROW()&lt;=$BI$1+4),"………………..",IFERROR(INDEX($AC$3:$AC$400,MATCH(ROWS(BO$3:BO14),BI$3:BI$400,0),1),"")))</f>
        <v/>
      </c>
      <c r="BP14" s="48">
        <f t="shared" ca="1" si="10"/>
        <v>0</v>
      </c>
      <c r="BQ14" s="48" t="str">
        <f ca="1">IF(AND(OR($DY$2=0,$DY$1=0),$I$1=2,ROW()&gt;$BJ$1+2,ROW()&lt;=$BJ$1+4),"………………..",IF(AND(OR($DY$2&gt;0,$DY$1&gt;0),$I$1=2,ROW()&gt;$BJ$1+2,ROW()&lt;=$BJ$1+4),"………………..",IFERROR(INDEX($AC$3:$AC$400,MATCH(ROWS(BQ$3:BQ14),BJ$3:BJ$400,0),1),"")))</f>
        <v/>
      </c>
      <c r="BR14" s="48">
        <f t="shared" ca="1" si="11"/>
        <v>0</v>
      </c>
      <c r="BS14" s="48">
        <f ca="1">IF(IF(AND(OR(INDEX(PDC,MATCH($AC14,DEN_PDC,0),4)="D",INDEX(PDC,MATCH($AC14,DEN_PDC,0),4)="D/A"),SUMIFS(DARE,DEN_G,$AC14)&gt;=SUMIFS(AVERE,DEN_G,$AC14)),SUMIFS(DARE,DEN_G,$AC14),IF(AND(OR(INDEX(PDC,MATCH($AC14,DEN_PDC,0),4)="A",INDEX(PDC,MATCH($AC14,DEN_PDC,0),4)="D/A"),SUMIFS(AVERE,DEN_G,$AC14)&gt;=SUMIFS(DARE,DEN_G,$AC14)),SUMIFS(AVERE,DEN_G,$AC14),))&gt;0,MAX($BS$2:BS13)+1,0)</f>
        <v>0</v>
      </c>
      <c r="BT14" s="48" t="str">
        <f ca="1">IF($CO$1=0,"",IF(AND($I$1=2,ROW()&gt;$BR$1,ROW()&lt;=$BS$1)," …………….",IF(AND($E$1=1,$BX$1=1,$I$1=2,ROW()=$BQ$1),"TOTALI",IFERROR(INDEX(PDC,MATCH(ROWS(BT$3:BT14),BS$3:BS411,0),2),""))))</f>
        <v/>
      </c>
      <c r="BU14" s="48">
        <f t="shared" ca="1" si="12"/>
        <v>0</v>
      </c>
      <c r="BV14" s="48">
        <f t="shared" ca="1" si="13"/>
        <v>0</v>
      </c>
      <c r="BW14" s="48">
        <f t="shared" ca="1" si="14"/>
        <v>0</v>
      </c>
      <c r="BX14" s="48">
        <f t="shared" ca="1" si="15"/>
        <v>0</v>
      </c>
      <c r="BY14" s="48">
        <f ca="1">IF(OR(BW14&gt;0,BX14&gt;0),MAX($BY$2:BY13)+1,0)</f>
        <v>0</v>
      </c>
      <c r="BZ14" s="48" t="str">
        <f ca="1">IFERROR(INDEX($BT$3:$BY$400,MATCH(ROWS(BZ$3:BZ14),$BY$3:$BY$400,0),1),"")</f>
        <v/>
      </c>
      <c r="CA14" s="48" t="str">
        <f ca="1">IFERROR(INDEX($BT$3:$BY$400,MATCH(ROWS(CA$3:CA14),$BY$3:$BY$400,0),4),"")</f>
        <v/>
      </c>
      <c r="CB14" s="48" t="str">
        <f ca="1">IFERROR(INDEX($BT$3:$BY$400,MATCH(ROWS(CB$3:CB14),$BY$3:$BY$400,0),5),"")</f>
        <v/>
      </c>
      <c r="CC14" s="48" t="str">
        <f t="shared" ca="1" si="16"/>
        <v/>
      </c>
      <c r="CD14" s="48">
        <f ca="1">IF(AND($CG$1=TRUE,$BF$9=1,CE14&lt;&gt;0),MAX($CD$2:CD13)+1,0)</f>
        <v>0</v>
      </c>
      <c r="CE14" s="48">
        <f ca="1">IF(AND($I$1=2,SUM(CE7:CE13)&gt;0),"_ _ _",IF($I$1=1,SUM(CE7:CE13),0))</f>
        <v>0</v>
      </c>
      <c r="CG14" s="242" t="s">
        <v>505</v>
      </c>
      <c r="CH14" s="242">
        <f ca="1">CE14</f>
        <v>0</v>
      </c>
      <c r="CI14" s="242"/>
      <c r="CJ14" s="242"/>
      <c r="CL14" s="242"/>
      <c r="CM14" s="242" t="str">
        <f t="shared" ca="1" si="37"/>
        <v/>
      </c>
      <c r="CN14" s="243">
        <f t="shared" ca="1" si="38"/>
        <v>0</v>
      </c>
      <c r="CO14" s="48" t="str">
        <f t="shared" ca="1" si="39"/>
        <v/>
      </c>
      <c r="CQ14" s="242"/>
      <c r="CR14" s="242"/>
      <c r="CT14" s="242"/>
      <c r="CU14" s="48">
        <f ca="1">IF(SUMIFS(AVERE,DEN_G,AC14,AVERE,"&gt;"&amp;0)+SUMIFS(DARE,DEN_G,AC14,DARE,"&gt;"&amp;0)&gt;0,MAX($CU$2:CU13)+1,0)</f>
        <v>0</v>
      </c>
      <c r="CV14" s="48" t="str">
        <f ca="1">IF(IFERROR(INDEX(PDC,MATCH(ROWS($CV$3:CV14),$CU$3:$CU$400,0),2),"")="CONTO DI RISULTATO ECONOMICO","",IFERROR(INDEX(PDC,MATCH(ROWS($CV$3:CV14),$CU$3:$CU$400,0),2),""))</f>
        <v/>
      </c>
      <c r="CW14" s="48">
        <f ca="1">IFERROR(IF(CV14&lt;&gt;"",MAX($CW$2:CW13)+1,0),0)</f>
        <v>0</v>
      </c>
      <c r="CX14" s="48">
        <f t="shared" ca="1" si="17"/>
        <v>1</v>
      </c>
      <c r="CY14" s="48" t="str">
        <f t="shared" ca="1" si="18"/>
        <v>MASTRO</v>
      </c>
      <c r="CZ14" s="48" t="e">
        <f t="shared" ca="1" si="60"/>
        <v>#N/A</v>
      </c>
      <c r="DA14" s="48" t="str">
        <f t="shared" ca="1" si="67"/>
        <v/>
      </c>
      <c r="DB14" s="48" t="str">
        <f t="shared" ca="1" si="61"/>
        <v/>
      </c>
      <c r="DC14" s="48" t="str">
        <f t="shared" ca="1" si="62"/>
        <v/>
      </c>
      <c r="DD14" s="48" t="str">
        <f t="shared" ca="1" si="63"/>
        <v/>
      </c>
      <c r="DE14" s="48" t="str">
        <f t="shared" ca="1" si="64"/>
        <v/>
      </c>
      <c r="DF14" s="48">
        <f ca="1">IF(AND(CX14=$DF$1,CX14&lt;&gt;""),0,IF(AND(DB14&lt;&gt;"",OR(DB13&lt;&gt;"",DB15&lt;&gt;"")),MAX($DF$2:DF13)+1,0))</f>
        <v>0</v>
      </c>
      <c r="DH14" s="244" t="s">
        <v>469</v>
      </c>
      <c r="DI14" s="48" t="str">
        <f ca="1">IF($DL$1=TRUE,"SOCI C/REINTEGRO","AZIONISTI C/REINTEGRO")</f>
        <v>AZIONISTI C/REINTEGRO</v>
      </c>
      <c r="DJ14" s="48" t="s">
        <v>312</v>
      </c>
      <c r="DK14" s="48" t="s">
        <v>275</v>
      </c>
      <c r="DL14" s="48" t="s">
        <v>6</v>
      </c>
      <c r="DM14" s="48" t="s">
        <v>270</v>
      </c>
      <c r="DN14" s="48">
        <f ca="1">IF(DI14&lt;&gt;"",MAX($DN$2:DN13)+1,0)</f>
        <v>4</v>
      </c>
      <c r="DO14" s="48" t="str">
        <f t="shared" ca="1" si="65"/>
        <v>paa</v>
      </c>
      <c r="DQ14" s="227" t="s">
        <v>484</v>
      </c>
      <c r="DR14" s="48" t="str">
        <f ca="1">IF($DR$1=0,"SOCIO … C/PRELEVAMENTI","")</f>
        <v>SOCIO … C/PRELEVAMENTI</v>
      </c>
      <c r="DS14" s="48" t="s">
        <v>312</v>
      </c>
      <c r="DT14" s="48" t="s">
        <v>275</v>
      </c>
      <c r="DU14" s="48" t="s">
        <v>6</v>
      </c>
      <c r="DV14" s="48" t="s">
        <v>270</v>
      </c>
      <c r="DW14" s="48">
        <f ca="1">IF(DR14&lt;&gt;"",MAX($DW$2:DW13)+1,0)</f>
        <v>4</v>
      </c>
      <c r="DX14" s="48" t="str">
        <f t="shared" ca="1" si="66"/>
        <v>paa</v>
      </c>
      <c r="DY14" s="48" t="str">
        <f t="shared" ca="1" si="19"/>
        <v/>
      </c>
      <c r="DZ14" s="48" t="str">
        <f t="shared" ca="1" si="40"/>
        <v/>
      </c>
      <c r="EA14" s="48" t="str">
        <f t="shared" ca="1" si="41"/>
        <v/>
      </c>
      <c r="EB14" s="48">
        <f t="shared" ca="1" si="42"/>
        <v>0</v>
      </c>
      <c r="EC14" s="48">
        <f t="shared" ca="1" si="43"/>
        <v>0</v>
      </c>
      <c r="ED14" s="48" t="str">
        <f t="shared" ca="1" si="44"/>
        <v/>
      </c>
      <c r="EE14" s="48">
        <f t="shared" ca="1" si="45"/>
        <v>0</v>
      </c>
      <c r="EF14" s="48" t="str">
        <f t="shared" ca="1" si="46"/>
        <v/>
      </c>
      <c r="EG14" s="48">
        <f t="shared" ca="1" si="47"/>
        <v>0</v>
      </c>
      <c r="EH14" s="48" t="str">
        <f t="shared" ca="1" si="48"/>
        <v/>
      </c>
      <c r="EI14" s="48">
        <f t="shared" ca="1" si="49"/>
        <v>0</v>
      </c>
      <c r="EJ14" s="48" t="str">
        <f t="shared" ca="1" si="50"/>
        <v/>
      </c>
      <c r="EK14" s="48">
        <f t="shared" ca="1" si="51"/>
        <v>0</v>
      </c>
      <c r="EL14" s="48">
        <f t="shared" ca="1" si="20"/>
        <v>0</v>
      </c>
      <c r="EM14" s="48">
        <f ca="1">IF(EL14&gt;=0,0,MAX($EM$2:EM13)+1)</f>
        <v>0</v>
      </c>
      <c r="EN14" s="48" t="str">
        <f t="shared" ca="1" si="21"/>
        <v/>
      </c>
      <c r="EO14" s="48" t="str">
        <f ca="1">IFERROR(INDEX($EM$3:$EN$400,MATCH(ROWS($EO$3:EO14),$EM$3:$EM$400,0),2),"")</f>
        <v/>
      </c>
      <c r="EP14" s="48">
        <f>ROW()</f>
        <v>14</v>
      </c>
      <c r="EQ14" s="48">
        <f t="shared" ca="1" si="22"/>
        <v>0</v>
      </c>
      <c r="ER14" s="48">
        <f ca="1">IF(ISNA(EQ14)=TRUE,MAX($ER$2:ER13)+1,0)</f>
        <v>0</v>
      </c>
      <c r="ES14" s="48" t="str">
        <f t="shared" ca="1" si="52"/>
        <v/>
      </c>
      <c r="ET14" s="48" t="str">
        <f ca="1">IFERROR(INDEX($ER$3:$ES$400,MATCH(ROWS($ET$3:ET14),$ER$3:$ER$400,0),2),"")</f>
        <v/>
      </c>
      <c r="EU14" s="48">
        <f ca="1">IF(ROUND(SUMIFS(COPIA!$CA$3:$CA$400,COPIA!$CC$3:$CC$400,CF14)-SUMIFS(COPIA!$CB$3:$CB$400,COPIA!$CC$3:$CC$400,CF14),0)&lt;0,1,0)</f>
        <v>0</v>
      </c>
      <c r="EV14" s="48">
        <f ca="1">IFERROR(INDEX(LIBRO_GIORNALE!$O$11:$P$408,MATCH(ROWS($EV$2:EV13),LIBRO_GIORNALE!$P$11:$P$408,0),1),0)</f>
        <v>0</v>
      </c>
      <c r="EW14" s="48" t="str">
        <f t="shared" ca="1" si="53"/>
        <v>0</v>
      </c>
      <c r="EX14" s="48">
        <f t="shared" ca="1" si="54"/>
        <v>0</v>
      </c>
      <c r="EY14" s="48">
        <f ca="1">IF(EX14&gt;0,MAX($EY$2:EY13)+1,0)</f>
        <v>0</v>
      </c>
      <c r="EZ14" s="48">
        <f ca="1">IFERROR(INDEX($EX$3:$EX$400,MATCH(ROWS($EZ$3:EZ14),$EY$3:$EY$400,0),1),0)</f>
        <v>0</v>
      </c>
      <c r="FA14" s="48">
        <f ca="1">IF(EZ14&gt;0,0,MAX($FA$2:FA13)+1)</f>
        <v>12</v>
      </c>
      <c r="FB14" s="48">
        <f t="shared" ca="1" si="55"/>
        <v>0</v>
      </c>
      <c r="FC14" s="48">
        <f t="shared" ca="1" si="56"/>
        <v>12</v>
      </c>
      <c r="FD14" s="48">
        <f t="shared" ca="1" si="57"/>
        <v>12</v>
      </c>
      <c r="FE14" s="48">
        <f ca="1">IF(FD14=0,0,MAX($FE$2:FE13)+1)</f>
        <v>12</v>
      </c>
      <c r="FF14" s="48">
        <f ca="1">IFERROR(INDEX($FD$3:$FE$400,MATCH(ROWS($FF$3:FF14),$FE$3:$FE$400,0),1),"")</f>
        <v>12</v>
      </c>
      <c r="FH14" s="48">
        <f t="shared" ca="1" si="58"/>
        <v>0</v>
      </c>
      <c r="FI14" s="48">
        <f ca="1">IF(FH14&lt;&gt;0,MAX($FI$2:FI13)+1,0)</f>
        <v>0</v>
      </c>
      <c r="FJ14" s="48" t="str">
        <f ca="1">IFERROR(INDEX($FH$3:$FI$400,MATCH(ROWS($FJ$3:FJ14),$FI$3:$FI$400,0),1),"")</f>
        <v/>
      </c>
      <c r="FK14" s="48">
        <f ca="1">IF(ABS(SUMIFS(DARE,DEN_G,"="&amp;FJ14,DATA,"&lt;="&amp;FINE_AC,DATA,"&gt;="&amp;INIZIO_A_PC)-SUMIFS(AVERE,DEN_G,"="&amp;FJ14,DATA,"&lt;="&amp;FINE_AC,DATA,"&gt;="&amp;INIZIO_A_PC))&gt;0,MAX($FK$2:FK13)+1,0)</f>
        <v>0</v>
      </c>
      <c r="FL14" s="48" t="str">
        <f ca="1">IF(AND(ROW()-2&lt;&gt;1,ROW()-2&lt;=$FK$1),CONCATENATE(" - ",IFERROR(INDEX($FJ$3:$FK$400,MATCH(ROWS($FL$3:FL14),$FK$3:$FK$400,0),1),"")),IFERROR(INDEX($FJ$3:$FK$400,MATCH(ROWS($FL$3:FL14),$FK$3:$FK$400,0),1),""))</f>
        <v/>
      </c>
      <c r="FM14" s="48">
        <f ca="1">IF(OR(B14="IVA ns/credito",B14="IVA NS/DEBITO",B14="IVA C/ACCONTO",B14="IMPOSTE C/ACCONTO",B14="CREDITI PER RITENUTE SUBITE",B14="CREDITI D'IMPOSTA"),MAX($FM$2:FM13)+1,0)</f>
        <v>0</v>
      </c>
      <c r="FN14" s="48" t="str">
        <f t="shared" ca="1" si="59"/>
        <v/>
      </c>
      <c r="FO14" s="48" t="str">
        <f ca="1">IFERROR(INDEX($FM$3:$FN$400,MATCH(ROWS($FO$3:FO14),$FM$3:$FM$400,0),2),"")</f>
        <v/>
      </c>
      <c r="FP14" s="48">
        <f ca="1">IF(ABS(SUMIFS(DARE,DEN_G,"="&amp;FO14,DATA,"&lt;="&amp;FINE_AC,DATA,"&gt;="&amp;INIZIO_A_PC)-SUMIFS(AVERE,DEN_G,"="&amp;FO14,DATA,"&lt;="&amp;FINE_AC,DATA,"&gt;="&amp;INIZIO_A_PC))&gt;0,MAX($FP$2:FP13)+1,0)</f>
        <v>0</v>
      </c>
      <c r="FQ14" s="48" t="str">
        <f ca="1">IF(AND(ROW()-2&lt;&gt;1,ROW()-2&lt;=$FP$1),CONCATENATE(" - ",IFERROR(INDEX($FO$3:$FP$400,MATCH(ROWS($FQ$3:FQ14),$FP$3:$FP$400,0),1),"")),IFERROR(INDEX($FO$3:$FP$400,MATCH(ROWS($FQ$3:FQ14),$FP$3:$FP$400,0),1),""))</f>
        <v/>
      </c>
    </row>
    <row r="15" spans="1:173" x14ac:dyDescent="0.3">
      <c r="A15" s="48" t="str">
        <f ca="1">IFERROR(IF($A$1=2,INDEX($DH$3:$DN$401,MATCH(ROWS(A$3:A15),$DN$3:$DN$401,0),COLUMN()),IF($A$1=1,INDEX($DQ$3:$DW$401,MATCH(ROWS(A$3:A15),$DW$3:$DW$401,0),COLUMN()),"")),"")</f>
        <v>01.12</v>
      </c>
      <c r="B15" s="48" t="str">
        <f ca="1">IFERROR(IF($A$1=2,INDEX($DH$3:$DN$401,MATCH(ROWS(B$3:B15),$DN$3:$DN$401,0),COLUMN()),IF($A$1=1,INDEX($DQ$3:$DW$400,MATCH(ROWS(B$3:B15),$DW$3:$DW$401,0),COLUMN()),"")),"")</f>
        <v>FONDO AMMORTAMENTO COSTI DI AMPLIAMENTO</v>
      </c>
      <c r="C15" s="48" t="str">
        <f ca="1">IFERROR(IF($A$1=2,INDEX($DH$3:$DN$401,MATCH(ROWS(C$3:C15),$DN$3:$DN$401,0),COLUMN()),IF($A$1=1,INDEX($DQ$3:$DW$401,MATCH(ROWS(C$3:C15),$DW$3:$DW$401,0),COLUMN()),"")),"")</f>
        <v>E</v>
      </c>
      <c r="D15" s="48" t="str">
        <f ca="1">IFERROR(IF($A$1=2,INDEX($DH$3:$DN$401,MATCH(ROWS(D$3:D15),$DN$3:$DN$401,0),COLUMN()),IF($A$1=1,INDEX($DQ$3:$DW$401,MATCH(ROWS(D$3:D15),$DW$3:$DW$401,0),COLUMN()),"")),"")</f>
        <v>A</v>
      </c>
      <c r="E15" s="48" t="str">
        <f ca="1">IFERROR(IF($A$1=2,INDEX($DH$3:$DN$401,MATCH(ROWS(E$3:E15),$DN$3:$DN$401,0),COLUMN()),IF($A$1=1,INDEX($DQ$3:$DW$401,MATCH(ROWS(E$3:E15),$DW$3:$DW$401,0),COLUMN()),"")),"")</f>
        <v>RETTIFICHE COSTI PLURIENNALI</v>
      </c>
      <c r="F15" s="48" t="str">
        <f ca="1">IFERROR(IF($A$1=2,INDEX($DH$3:$DN$401,MATCH(ROWS(F$3:F15),$DN$3:$DN$401,0),COLUMN()),IF($A$1=1,INDEX($DQ$3:$DX$401,MATCH(ROWS(F$3:F15),$DW$3:$DW$401,0),COLUMN()),"")),"")</f>
        <v>SP AVERE</v>
      </c>
      <c r="G15" s="48" t="str">
        <f t="shared" ca="1" si="23"/>
        <v>SP</v>
      </c>
      <c r="H15" s="48" t="str">
        <f ca="1">IFERROR(IF($A$1=2,INDEX($DH$3:$DO$400,MATCH(ROWS(H$3:H15),$DN$3:$DN$400,0),COLUMN()),IF($A$1=1,INDEX($DQ$3:$DX$400,MATCH(ROWS(H$3:H15),$DW$3:$DW$400,0),COLUMN()),"")),"")</f>
        <v>pab1</v>
      </c>
      <c r="I15" s="48" t="str">
        <f t="shared" ca="1" si="0"/>
        <v/>
      </c>
      <c r="J15" s="48" t="str">
        <f t="shared" ca="1" si="24"/>
        <v/>
      </c>
      <c r="K15" s="48">
        <f t="shared" ca="1" si="25"/>
        <v>0</v>
      </c>
      <c r="L15" s="48">
        <f t="shared" ca="1" si="26"/>
        <v>0</v>
      </c>
      <c r="M15" s="48">
        <f ca="1">IFERROR(IF(IF(MID($A15,3,3)=".00",MID(A15,1,2),"")&lt;&gt;"",MAX($M$2:M14)+1,0),"")</f>
        <v>0</v>
      </c>
      <c r="N15" s="48" t="str">
        <f t="shared" ca="1" si="27"/>
        <v/>
      </c>
      <c r="O15" s="48" t="str">
        <f ca="1">IF(IFERROR(INDEX($N$3:$O$400,MATCH(ROWS($O$3:O15),$M$3:$M$400,0),1),"")&lt;&gt;"",CONCATENATE(INDEX($N$3:$O$400,MATCH(ROWS($O$3:O15),$M$3:$M$400,0),1),".00"),"")</f>
        <v>12.00</v>
      </c>
      <c r="P15" s="48" t="str">
        <f t="shared" ca="1" si="28"/>
        <v>TRATTAMENTO FINE RAPPORTO</v>
      </c>
      <c r="Q15" s="48">
        <f ca="1">IF(M15&gt;=1,0,MAX($Q$2:Q14)+1)</f>
        <v>11</v>
      </c>
      <c r="R15" s="93">
        <f ca="1">IF(AND($U$2=1,S15&lt;&gt;""),MAX($R$2:R14)+1,0)</f>
        <v>0</v>
      </c>
      <c r="S15" s="48" t="s">
        <v>320</v>
      </c>
      <c r="T15" s="48" t="str">
        <f ca="1">IFERROR(INDEX($R$3:$S$64,MATCH(ROWS($T$2:T14),$R$3:$R$64,0),2),"")</f>
        <v>FONDI PER RISCHI E ONERI</v>
      </c>
      <c r="U15" s="48" t="str">
        <f ca="1">IFERROR(INDEX(PDC,MATCH(ROWS(U$3:U15),$V$3:$V$400,0),2),"")</f>
        <v>FONDO AMMORTAMENTO BREVETTI</v>
      </c>
      <c r="V15" s="48">
        <f ca="1">IF(AND($T$1="VISUALIZZA TUTTI I CONTI",AA15&lt;&gt;""),MAX($V$2:V14)+1,IF(AND($U$2=2,AI15=$T$1),MAX($V$2:V14)+1,IF(AND($U$2=1,$T$1=AF15),MAX($V$2:V14)+1,0)))</f>
        <v>13</v>
      </c>
      <c r="W15" s="48">
        <f ca="1">IF(W10=W12,0,1)</f>
        <v>0</v>
      </c>
      <c r="AA15" s="48" t="str">
        <f t="shared" ca="1" si="29"/>
        <v>01.00</v>
      </c>
      <c r="AB15" s="48" t="str">
        <f ca="1">IFERROR(INDEX($A$3:$G$400,MATCH(ROWS(AB$3:AB15),$Q$3:$Q$400,0),1),"")</f>
        <v>01.14</v>
      </c>
      <c r="AC15" s="48" t="str">
        <f ca="1">IFERROR(INDEX($A$3:$G$400,MATCH(ROWS($AC$3:AC15),$Q$3:$Q$400,0),2),"")</f>
        <v>FONDO AMMORTAMENTO BREVETTI</v>
      </c>
      <c r="AD15" s="48" t="str">
        <f ca="1">IFERROR(INDEX($A$3:$G$400,MATCH(ROWS(AD$3:AD15),$Q$3:$Q$400,0),3),"")</f>
        <v>E</v>
      </c>
      <c r="AE15" s="48" t="str">
        <f ca="1">IFERROR(INDEX($A$3:$G$400,MATCH(ROWS(AE$3:AE15),$Q$3:$Q$400,0),4),"")</f>
        <v>A</v>
      </c>
      <c r="AF15" s="48" t="str">
        <f ca="1">IFERROR(INDEX($A$3:$G$400,MATCH(ROWS(AF$3:AF15),$Q$3:$Q$400,0),5),"")</f>
        <v>RETTIFICHE COSTI PLURIENNALI</v>
      </c>
      <c r="AG15" s="48" t="str">
        <f ca="1">IFERROR(INDEX($A$3:$G$400,MATCH(ROWS(AG$3:AG15),$Q$3:$Q$400,0),6),"")</f>
        <v>SP AVERE</v>
      </c>
      <c r="AH15" s="48" t="str">
        <f ca="1">IFERROR(INDEX($A$3:$G$400,MATCH(ROWS(AH$3:AH15),$Q$3:$Q$400,0),7),"")</f>
        <v>SP</v>
      </c>
      <c r="AI15" s="48" t="str">
        <f t="shared" ca="1" si="1"/>
        <v>IMMOBILIZZAZIONI IMMATERIALI</v>
      </c>
      <c r="AJ15" s="48" t="str">
        <f ca="1">IFERROR(INDEX($A$3:$H$400,MATCH(ROWS(AJ$3:AJ15),$Q$3:$Q$400,0),8),"")</f>
        <v>pab1</v>
      </c>
      <c r="AK15" s="48">
        <f t="shared" ca="1" si="2"/>
        <v>0</v>
      </c>
      <c r="AL15" s="48">
        <f t="shared" ca="1" si="3"/>
        <v>0</v>
      </c>
      <c r="AM15" s="48">
        <f t="shared" ca="1" si="30"/>
        <v>0</v>
      </c>
      <c r="AN15" s="48" t="str">
        <f t="shared" ca="1" si="31"/>
        <v/>
      </c>
      <c r="AO15" s="48">
        <f t="shared" ca="1" si="32"/>
        <v>0</v>
      </c>
      <c r="AP15" s="48">
        <f t="shared" ca="1" si="32"/>
        <v>0</v>
      </c>
      <c r="AQ15" s="48" t="str">
        <f t="shared" ca="1" si="4"/>
        <v>FONDO AMMORTAMENTO BREVETTI</v>
      </c>
      <c r="AR15" s="48">
        <f t="shared" ca="1" si="5"/>
        <v>0</v>
      </c>
      <c r="AS15" s="48">
        <f t="shared" ca="1" si="6"/>
        <v>0</v>
      </c>
      <c r="AT15" s="48">
        <f t="shared" ca="1" si="33"/>
        <v>0</v>
      </c>
      <c r="AU15" s="48">
        <f t="shared" ca="1" si="34"/>
        <v>0</v>
      </c>
      <c r="AV15" s="48">
        <f ca="1">IF(OR(AT15&gt;0,AU15&gt;0),MAX($AV$2:AV14)+1,0)</f>
        <v>0</v>
      </c>
      <c r="AZ15" s="241" t="str">
        <f t="shared" ca="1" si="35"/>
        <v/>
      </c>
      <c r="BA15" s="48">
        <f t="shared" ca="1" si="7"/>
        <v>0</v>
      </c>
      <c r="BB15" s="48">
        <f ca="1">IFERROR(INDEX($AQ$3:$AV$220,MATCH(ROWS($BB$3:BB15),$AV$3:$AV$220,0),1),0)</f>
        <v>0</v>
      </c>
      <c r="BC15" s="48" t="str">
        <f t="shared" ca="1" si="36"/>
        <v/>
      </c>
      <c r="BD15" s="48">
        <f ca="1">IFERROR(INDEX($AQ$3:$AV$220,MATCH(ROWS($BB$3:BD15),$AV$3:$AV$220,0),4),0)</f>
        <v>0</v>
      </c>
      <c r="BE15" s="48">
        <f ca="1">IFERROR(INDEX($AQ$3:$AV$220,MATCH(ROWS($BB$3:BE15),$AV$3:$AV$220,0),5),0)</f>
        <v>0</v>
      </c>
      <c r="BF15" s="48">
        <v>1</v>
      </c>
      <c r="BG15" s="48">
        <f ca="1">IF(IF(AND(OR(INDEX(PDC,MATCH($AC15,DEN_PDC,0),6)="SP DARE",INDEX(PDC,MATCH($AC15,DEN_PDC,0),6)="SP DARE/AVERE"),SUMIFS(DARE,DEN_G,$AC15)&gt;=SUMIFS(AVERE,DEN_G,$AC15)),SUMIFS(DARE,DEN_G,$AC15)-SUMIFS(AVERE,DEN_G,$AC15),0)&gt;0,MAX($BG$2:BG14)+1,0)</f>
        <v>0</v>
      </c>
      <c r="BH15" s="48">
        <f ca="1">IF(IF(AND(OR(INDEX(PDC,MATCH($AC15,DEN_PDC,0),6)="SP AVERE",INDEX(PDC,MATCH($AC15,DEN_PDC,0),6)="SP DARE/AVERE"),SUMIFS(AVERE,DEN_G,$AC15)&gt;=SUMIFS(DARE,DEN_G,$AC15)),SUMIFS(AVERE,DEN_G,$AC15)-SUMIFS(DARE,DEN_G,$AC15),0)&gt;0,MAX(BH$2:BH14)+1,0)</f>
        <v>0</v>
      </c>
      <c r="BI15" s="48">
        <f ca="1">IF(IF(AND(OR(INDEX(PDC,MATCH($AC15,DEN_PDC,0),6)="SE DARE",INDEX(PDC,MATCH($AC15,DEN_PDC,0),6)="SE DARE/AVERE"),SUMIFS(DARE,DEN_G,$AC15)&gt;=SUMIFS(AVERE,DEN_G,$AC15)),SUMIFS(DARE,DEN_G,$AC15)-SUMIFS(AVERE,DEN_G,$AC15),0)&gt;0,MAX(BI$2:BI14)+1,0)</f>
        <v>0</v>
      </c>
      <c r="BJ15" s="48">
        <f ca="1">IF(IF(AND(OR(INDEX(PDC,MATCH($AC15,DEN_PDC,0),6)="SE AVERE",INDEX(PDC,MATCH($AC15,DEN_PDC,0),6)="SE DARE/AVERE"),SUMIFS(AVERE,DEN_G,$AC15)&gt;=SUMIFS(DARE,DEN_G,$AC15)),SUMIFS(AVERE,DEN_G,$AC15)-SUMIFS(DARE,DEN_G,$AC15),0)&gt;0,MAX(BJ$2:BJ14)+1,0)</f>
        <v>0</v>
      </c>
      <c r="BK15" s="48" t="str">
        <f ca="1">IF(AND(AND($DY$2=0,$DY$1=0),$I$1=2,ROW()&gt;$BG$1+2,ROW()&lt;=$BG$1+4),"………………..",IF(AND(OR($DY$2&gt;0,$DY$1&gt;0),$I$1=2,ROW()&gt;$BG$1+2,ROW()&lt;=$BG$1+4),"………………..",IFERROR(INDEX($AC$3:$AC$398,MATCH(ROWS(BK$3:BK15),BG$3:BG$398,0),1),"")))</f>
        <v/>
      </c>
      <c r="BL15" s="48">
        <f t="shared" ca="1" si="69"/>
        <v>0</v>
      </c>
      <c r="BM15" s="48" t="str">
        <f ca="1">IF(AND(OR($DY$2=0,$DY$1=0),$I$1=2,ROW()&gt;$BH$1+2,ROW()&lt;=$BH$1+4),"………………..",IF(AND(OR($DY$2&gt;0,$DY$1&gt;0),$I$1=2,ROW()&gt;$BH$1+2,ROW()&lt;=$BH$1+4),"………………..",IFERROR(INDEX($AC$3:$AC$400,MATCH(ROWS(BM$3:BM15),BH$3:BH$400,0),1),"")))</f>
        <v/>
      </c>
      <c r="BN15" s="48">
        <f t="shared" ca="1" si="9"/>
        <v>0</v>
      </c>
      <c r="BO15" s="48" t="str">
        <f ca="1">IF(AND(OR($DY$2=0,$DY$1=0),$I$1=2,ROW()&gt;$BI$1+2,ROW()&lt;=$BI$1+4),"………………..",IF(AND(OR($DY$2&gt;0,$DY$1&gt;0),$I$1=2,ROW()&gt;$BI$1+2,ROW()&lt;=$BI$1+4),"………………..",IFERROR(INDEX($AC$3:$AC$400,MATCH(ROWS(BO$3:BO15),BI$3:BI$400,0),1),"")))</f>
        <v/>
      </c>
      <c r="BP15" s="48">
        <f t="shared" ca="1" si="10"/>
        <v>0</v>
      </c>
      <c r="BQ15" s="48" t="str">
        <f ca="1">IF(AND(OR($DY$2=0,$DY$1=0),$I$1=2,ROW()&gt;$BJ$1+2,ROW()&lt;=$BJ$1+4),"………………..",IF(AND(OR($DY$2&gt;0,$DY$1&gt;0),$I$1=2,ROW()&gt;$BJ$1+2,ROW()&lt;=$BJ$1+4),"………………..",IFERROR(INDEX($AC$3:$AC$400,MATCH(ROWS(BQ$3:BQ15),BJ$3:BJ$400,0),1),"")))</f>
        <v/>
      </c>
      <c r="BR15" s="48">
        <f t="shared" ca="1" si="11"/>
        <v>0</v>
      </c>
      <c r="BS15" s="48">
        <f ca="1">IF(IF(AND(OR(INDEX(PDC,MATCH($AC15,DEN_PDC,0),4)="D",INDEX(PDC,MATCH($AC15,DEN_PDC,0),4)="D/A"),SUMIFS(DARE,DEN_G,$AC15)&gt;=SUMIFS(AVERE,DEN_G,$AC15)),SUMIFS(DARE,DEN_G,$AC15),IF(AND(OR(INDEX(PDC,MATCH($AC15,DEN_PDC,0),4)="A",INDEX(PDC,MATCH($AC15,DEN_PDC,0),4)="D/A"),SUMIFS(AVERE,DEN_G,$AC15)&gt;=SUMIFS(DARE,DEN_G,$AC15)),SUMIFS(AVERE,DEN_G,$AC15),))&gt;0,MAX($BS$2:BS14)+1,0)</f>
        <v>0</v>
      </c>
      <c r="BT15" s="48" t="str">
        <f ca="1">IF($CO$1=0,"",IF(AND($I$1=2,ROW()&gt;$BR$1,ROW()&lt;=$BS$1)," …………….",IF(AND($E$1=1,$BX$1=1,$I$1=2,ROW()=$BQ$1),"TOTALI",IFERROR(INDEX(PDC,MATCH(ROWS(BT$3:BT15),BS$3:BS412,0),2),""))))</f>
        <v/>
      </c>
      <c r="BU15" s="48">
        <f t="shared" ca="1" si="12"/>
        <v>0</v>
      </c>
      <c r="BV15" s="48">
        <f t="shared" ca="1" si="13"/>
        <v>0</v>
      </c>
      <c r="BW15" s="48">
        <f t="shared" ca="1" si="14"/>
        <v>0</v>
      </c>
      <c r="BX15" s="48">
        <f t="shared" ca="1" si="15"/>
        <v>0</v>
      </c>
      <c r="BY15" s="48">
        <f ca="1">IF(OR(BW15&gt;0,BX15&gt;0),MAX($BY$2:BY14)+1,0)</f>
        <v>0</v>
      </c>
      <c r="BZ15" s="48" t="str">
        <f ca="1">IFERROR(INDEX($BT$3:$BY$400,MATCH(ROWS(BZ$3:BZ15),$BY$3:$BY$400,0),1),"")</f>
        <v/>
      </c>
      <c r="CA15" s="48" t="str">
        <f ca="1">IFERROR(INDEX($BT$3:$BY$400,MATCH(ROWS(CA$3:CA15),$BY$3:$BY$400,0),4),"")</f>
        <v/>
      </c>
      <c r="CB15" s="48" t="str">
        <f ca="1">IFERROR(INDEX($BT$3:$BY$400,MATCH(ROWS(CB$3:CB15),$BY$3:$BY$400,0),5),"")</f>
        <v/>
      </c>
      <c r="CC15" s="48" t="str">
        <f t="shared" ca="1" si="16"/>
        <v/>
      </c>
      <c r="CD15" s="48">
        <f ca="1">IF(AND($BF$9=1,CE15&lt;&gt;0),MAX($CD$2:CD14)+1,0)</f>
        <v>0</v>
      </c>
      <c r="CE15" s="48">
        <f ca="1">IF(OR(CE21&gt;0,CE21="_ _ _"),"a",0)</f>
        <v>0</v>
      </c>
      <c r="CG15" s="242" t="s">
        <v>777</v>
      </c>
      <c r="CH15" s="242"/>
      <c r="CI15" s="242"/>
      <c r="CJ15" s="242"/>
      <c r="CL15" s="242"/>
      <c r="CM15" s="242" t="str">
        <f t="shared" ca="1" si="37"/>
        <v/>
      </c>
      <c r="CN15" s="243">
        <f t="shared" ca="1" si="38"/>
        <v>0</v>
      </c>
      <c r="CO15" s="48" t="str">
        <f t="shared" ca="1" si="39"/>
        <v/>
      </c>
      <c r="CQ15" s="242"/>
      <c r="CR15" s="242"/>
      <c r="CT15" s="242"/>
      <c r="CU15" s="48">
        <f ca="1">IF(SUMIFS(AVERE,DEN_G,AC15,AVERE,"&gt;"&amp;0)+SUMIFS(DARE,DEN_G,AC15,DARE,"&gt;"&amp;0)&gt;0,MAX($CU$2:CU14)+1,0)</f>
        <v>0</v>
      </c>
      <c r="CV15" s="48" t="str">
        <f ca="1">IF(IFERROR(INDEX(PDC,MATCH(ROWS($CV$3:CV15),$CU$3:$CU$400,0),2),"")="CONTO DI RISULTATO ECONOMICO","",IFERROR(INDEX(PDC,MATCH(ROWS($CV$3:CV15),$CU$3:$CU$400,0),2),""))</f>
        <v/>
      </c>
      <c r="CW15" s="48">
        <f ca="1">IFERROR(IF(CV15&lt;&gt;"",MAX($CW$2:CW14)+1,0),0)</f>
        <v>0</v>
      </c>
      <c r="CY15" s="48" t="s">
        <v>500</v>
      </c>
      <c r="DB15" s="48" t="str">
        <f ca="1">IF(CX14=$DF$1,"","MASTRO")</f>
        <v>MASTRO</v>
      </c>
      <c r="DF15" s="48">
        <f ca="1">IF(AND(CX15=$DF$1,CX15&lt;&gt;""),0,IF(AND(DB15&lt;&gt;"",OR(DB14&lt;&gt;"",DB16&lt;&gt;"")),MAX($DF$2:DF14)+1,0))</f>
        <v>0</v>
      </c>
      <c r="DG15" s="48">
        <f ca="1">DG5</f>
        <v>0</v>
      </c>
      <c r="DH15" s="244" t="s">
        <v>469</v>
      </c>
      <c r="DI15" s="48" t="str">
        <f ca="1">IFERROR(IF(AND($DL$1=TRUE,DG15&lt;&gt;0),CONCATENATE("SOCIO ",DG15," C/REINTEGRO"),IF(AND($DL$1=FALSE,DG15&lt;&gt;0),CONCATENATE("AZIONISTA ",DG15," C/REINTEGRO"),"")),"")</f>
        <v/>
      </c>
      <c r="DJ15" s="48" t="s">
        <v>312</v>
      </c>
      <c r="DK15" s="48" t="s">
        <v>275</v>
      </c>
      <c r="DL15" s="48" t="s">
        <v>6</v>
      </c>
      <c r="DM15" s="48" t="s">
        <v>270</v>
      </c>
      <c r="DN15" s="48">
        <f ca="1">IF(DI15&lt;&gt;"",MAX($DN$2:DN14)+1,0)</f>
        <v>0</v>
      </c>
      <c r="DO15" s="48" t="str">
        <f t="shared" ca="1" si="65"/>
        <v>paa</v>
      </c>
      <c r="DP15" s="48">
        <f ca="1">DP10</f>
        <v>0</v>
      </c>
      <c r="DQ15" s="227" t="s">
        <v>484</v>
      </c>
      <c r="DR15" s="48" t="str">
        <f ca="1">IFERROR(IF(DP15&lt;&gt;0,CONCATENATE("SOCIO ",DP15," C/PRELEVAMENTI"),""),"")</f>
        <v/>
      </c>
      <c r="DS15" s="48" t="s">
        <v>312</v>
      </c>
      <c r="DT15" s="48" t="s">
        <v>275</v>
      </c>
      <c r="DU15" s="48" t="s">
        <v>6</v>
      </c>
      <c r="DV15" s="48" t="s">
        <v>270</v>
      </c>
      <c r="DW15" s="48">
        <f ca="1">IF(DR15&lt;&gt;"",MAX($DW$2:DW14)+1,0)</f>
        <v>0</v>
      </c>
      <c r="DX15" s="48" t="str">
        <f t="shared" ca="1" si="66"/>
        <v>paa</v>
      </c>
      <c r="DY15" s="48" t="str">
        <f t="shared" ca="1" si="19"/>
        <v/>
      </c>
      <c r="DZ15" s="48" t="str">
        <f t="shared" ca="1" si="40"/>
        <v/>
      </c>
      <c r="EA15" s="48" t="str">
        <f t="shared" ca="1" si="41"/>
        <v/>
      </c>
      <c r="EB15" s="48">
        <f t="shared" ca="1" si="42"/>
        <v>0</v>
      </c>
      <c r="EC15" s="48">
        <f t="shared" ca="1" si="43"/>
        <v>0</v>
      </c>
      <c r="ED15" s="48" t="str">
        <f t="shared" ca="1" si="44"/>
        <v/>
      </c>
      <c r="EE15" s="48">
        <f t="shared" ca="1" si="45"/>
        <v>0</v>
      </c>
      <c r="EF15" s="48" t="str">
        <f t="shared" ca="1" si="46"/>
        <v/>
      </c>
      <c r="EG15" s="48">
        <f t="shared" ca="1" si="47"/>
        <v>0</v>
      </c>
      <c r="EH15" s="48" t="str">
        <f t="shared" ca="1" si="48"/>
        <v/>
      </c>
      <c r="EI15" s="48">
        <f t="shared" ca="1" si="49"/>
        <v>0</v>
      </c>
      <c r="EJ15" s="48" t="str">
        <f t="shared" ca="1" si="50"/>
        <v/>
      </c>
      <c r="EK15" s="48">
        <f t="shared" ca="1" si="51"/>
        <v>0</v>
      </c>
      <c r="EL15" s="48">
        <f t="shared" ca="1" si="20"/>
        <v>0</v>
      </c>
      <c r="EM15" s="48">
        <f ca="1">IF(EL15&gt;=0,0,MAX($EM$2:EM14)+1)</f>
        <v>0</v>
      </c>
      <c r="EN15" s="48" t="str">
        <f t="shared" ca="1" si="21"/>
        <v/>
      </c>
      <c r="EO15" s="48" t="str">
        <f ca="1">IFERROR(INDEX($EM$3:$EN$400,MATCH(ROWS($EO$3:EO15),$EM$3:$EM$400,0),2),"")</f>
        <v/>
      </c>
      <c r="EP15" s="48">
        <f>ROW()</f>
        <v>15</v>
      </c>
      <c r="EQ15" s="48">
        <f t="shared" ca="1" si="22"/>
        <v>0</v>
      </c>
      <c r="ER15" s="48">
        <f ca="1">IF(ISNA(EQ15)=TRUE,MAX($ER$2:ER14)+1,0)</f>
        <v>0</v>
      </c>
      <c r="ES15" s="48" t="str">
        <f t="shared" ca="1" si="52"/>
        <v/>
      </c>
      <c r="ET15" s="48" t="str">
        <f ca="1">IFERROR(INDEX($ER$3:$ES$400,MATCH(ROWS($ET$3:ET15),$ER$3:$ER$400,0),2),"")</f>
        <v/>
      </c>
      <c r="EU15" s="48">
        <f ca="1">IF(ROUND(SUMIFS(COPIA!$CA$3:$CA$400,COPIA!$CC$3:$CC$400,CF15)-SUMIFS(COPIA!$CB$3:$CB$400,COPIA!$CC$3:$CC$400,CF15),0)&lt;0,1,0)</f>
        <v>0</v>
      </c>
      <c r="EV15" s="48">
        <f ca="1">IFERROR(INDEX(LIBRO_GIORNALE!$O$11:$P$408,MATCH(ROWS($EV$2:EV14),LIBRO_GIORNALE!$P$11:$P$408,0),1),0)</f>
        <v>0</v>
      </c>
      <c r="EW15" s="48" t="str">
        <f t="shared" ca="1" si="53"/>
        <v>0</v>
      </c>
      <c r="EX15" s="48">
        <f t="shared" ca="1" si="54"/>
        <v>0</v>
      </c>
      <c r="EY15" s="48">
        <f ca="1">IF(EX15&gt;0,MAX($EY$2:EY14)+1,0)</f>
        <v>0</v>
      </c>
      <c r="EZ15" s="48">
        <f ca="1">IFERROR(INDEX($EX$3:$EX$400,MATCH(ROWS($EZ$3:EZ15),$EY$3:$EY$400,0),1),0)</f>
        <v>0</v>
      </c>
      <c r="FA15" s="48">
        <f ca="1">IF(EZ15&gt;0,0,MAX($FA$2:FA14)+1)</f>
        <v>13</v>
      </c>
      <c r="FB15" s="48">
        <f t="shared" ca="1" si="55"/>
        <v>0</v>
      </c>
      <c r="FC15" s="48">
        <f t="shared" ca="1" si="56"/>
        <v>13</v>
      </c>
      <c r="FD15" s="48">
        <f t="shared" ca="1" si="57"/>
        <v>13</v>
      </c>
      <c r="FE15" s="48">
        <f ca="1">IF(FD15=0,0,MAX($FE$2:FE14)+1)</f>
        <v>13</v>
      </c>
      <c r="FF15" s="48">
        <f ca="1">IFERROR(INDEX($FD$3:$FE$400,MATCH(ROWS($FF$3:FF15),$FE$3:$FE$400,0),1),"")</f>
        <v>13</v>
      </c>
      <c r="FH15" s="48">
        <f t="shared" ca="1" si="58"/>
        <v>0</v>
      </c>
      <c r="FI15" s="48">
        <f ca="1">IF(FH15&lt;&gt;0,MAX($FI$2:FI14)+1,0)</f>
        <v>0</v>
      </c>
      <c r="FJ15" s="48" t="str">
        <f ca="1">IFERROR(INDEX($FH$3:$FI$400,MATCH(ROWS($FJ$3:FJ15),$FI$3:$FI$400,0),1),"")</f>
        <v/>
      </c>
      <c r="FK15" s="48">
        <f ca="1">IF(ABS(SUMIFS(DARE,DEN_G,"="&amp;FJ15,DATA,"&lt;="&amp;FINE_AC,DATA,"&gt;="&amp;INIZIO_A_PC)-SUMIFS(AVERE,DEN_G,"="&amp;FJ15,DATA,"&lt;="&amp;FINE_AC,DATA,"&gt;="&amp;INIZIO_A_PC))&gt;0,MAX($FK$2:FK14)+1,0)</f>
        <v>0</v>
      </c>
      <c r="FL15" s="48" t="str">
        <f ca="1">IF(AND(ROW()-2&lt;&gt;1,ROW()-2&lt;=$FK$1),CONCATENATE(" - ",IFERROR(INDEX($FJ$3:$FK$400,MATCH(ROWS($FL$3:FL15),$FK$3:$FK$400,0),1),"")),IFERROR(INDEX($FJ$3:$FK$400,MATCH(ROWS($FL$3:FL15),$FK$3:$FK$400,0),1),""))</f>
        <v/>
      </c>
      <c r="FM15" s="48">
        <f ca="1">IF(OR(B15="IVA ns/credito",B15="IVA NS/DEBITO",B15="IVA C/ACCONTO",B15="IMPOSTE C/ACCONTO",B15="CREDITI PER RITENUTE SUBITE",B15="CREDITI D'IMPOSTA"),MAX($FM$2:FM14)+1,0)</f>
        <v>0</v>
      </c>
      <c r="FN15" s="48" t="str">
        <f t="shared" ca="1" si="59"/>
        <v/>
      </c>
      <c r="FO15" s="48" t="str">
        <f ca="1">IFERROR(INDEX($FM$3:$FN$400,MATCH(ROWS($FO$3:FO15),$FM$3:$FM$400,0),2),"")</f>
        <v/>
      </c>
      <c r="FP15" s="48">
        <f ca="1">IF(ABS(SUMIFS(DARE,DEN_G,"="&amp;FO15,DATA,"&lt;="&amp;FINE_AC,DATA,"&gt;="&amp;INIZIO_A_PC)-SUMIFS(AVERE,DEN_G,"="&amp;FO15,DATA,"&lt;="&amp;FINE_AC,DATA,"&gt;="&amp;INIZIO_A_PC))&gt;0,MAX($FP$2:FP14)+1,0)</f>
        <v>0</v>
      </c>
      <c r="FQ15" s="48" t="str">
        <f ca="1">IF(AND(ROW()-2&lt;&gt;1,ROW()-2&lt;=$FP$1),CONCATENATE(" - ",IFERROR(INDEX($FO$3:$FP$400,MATCH(ROWS($FQ$3:FQ15),$FP$3:$FP$400,0),1),"")),IFERROR(INDEX($FO$3:$FP$400,MATCH(ROWS($FQ$3:FQ15),$FP$3:$FP$400,0),1),""))</f>
        <v/>
      </c>
    </row>
    <row r="16" spans="1:173" x14ac:dyDescent="0.3">
      <c r="A16" s="48" t="str">
        <f ca="1">IFERROR(IF($A$1=2,INDEX($DH$3:$DN$401,MATCH(ROWS(A$3:A16),$DN$3:$DN$401,0),COLUMN()),IF($A$1=1,INDEX($DQ$3:$DW$401,MATCH(ROWS(A$3:A16),$DW$3:$DW$401,0),COLUMN()),"")),"")</f>
        <v>01.13</v>
      </c>
      <c r="B16" s="48" t="str">
        <f ca="1">IFERROR(IF($A$1=2,INDEX($DH$3:$DN$401,MATCH(ROWS(B$3:B16),$DN$3:$DN$401,0),COLUMN()),IF($A$1=1,INDEX($DQ$3:$DW$400,MATCH(ROWS(B$3:B16),$DW$3:$DW$401,0),COLUMN()),"")),"")</f>
        <v>FONDO AMMORTAMENTO COSTI DI SVILUPPO</v>
      </c>
      <c r="C16" s="48" t="str">
        <f ca="1">IFERROR(IF($A$1=2,INDEX($DH$3:$DN$401,MATCH(ROWS(C$3:C16),$DN$3:$DN$401,0),COLUMN()),IF($A$1=1,INDEX($DQ$3:$DW$401,MATCH(ROWS(C$3:C16),$DW$3:$DW$401,0),COLUMN()),"")),"")</f>
        <v>E</v>
      </c>
      <c r="D16" s="48" t="str">
        <f ca="1">IFERROR(IF($A$1=2,INDEX($DH$3:$DN$401,MATCH(ROWS(D$3:D16),$DN$3:$DN$401,0),COLUMN()),IF($A$1=1,INDEX($DQ$3:$DW$401,MATCH(ROWS(D$3:D16),$DW$3:$DW$401,0),COLUMN()),"")),"")</f>
        <v>A</v>
      </c>
      <c r="E16" s="48" t="str">
        <f ca="1">IFERROR(IF($A$1=2,INDEX($DH$3:$DN$401,MATCH(ROWS(E$3:E16),$DN$3:$DN$401,0),COLUMN()),IF($A$1=1,INDEX($DQ$3:$DW$401,MATCH(ROWS(E$3:E16),$DW$3:$DW$401,0),COLUMN()),"")),"")</f>
        <v>RETTIFICHE COSTI PLURIENNALI</v>
      </c>
      <c r="F16" s="48" t="str">
        <f ca="1">IFERROR(IF($A$1=2,INDEX($DH$3:$DN$401,MATCH(ROWS(F$3:F16),$DN$3:$DN$401,0),COLUMN()),IF($A$1=1,INDEX($DQ$3:$DX$401,MATCH(ROWS(F$3:F16),$DW$3:$DW$401,0),COLUMN()),"")),"")</f>
        <v>SP AVERE</v>
      </c>
      <c r="G16" s="48" t="str">
        <f t="shared" ca="1" si="23"/>
        <v>SP</v>
      </c>
      <c r="H16" s="48" t="str">
        <f ca="1">IFERROR(IF($A$1=2,INDEX($DH$3:$DO$400,MATCH(ROWS(H$3:H16),$DN$3:$DN$400,0),COLUMN()),IF($A$1=1,INDEX($DQ$3:$DX$400,MATCH(ROWS(H$3:H16),$DW$3:$DW$400,0),COLUMN()),"")),"")</f>
        <v>pab1</v>
      </c>
      <c r="I16" s="48" t="str">
        <f t="shared" ca="1" si="0"/>
        <v/>
      </c>
      <c r="J16" s="48" t="str">
        <f t="shared" ca="1" si="24"/>
        <v/>
      </c>
      <c r="K16" s="48">
        <f t="shared" ca="1" si="25"/>
        <v>0</v>
      </c>
      <c r="L16" s="48">
        <f t="shared" ca="1" si="26"/>
        <v>0</v>
      </c>
      <c r="M16" s="48">
        <f ca="1">IFERROR(IF(IF(MID($A16,3,3)=".00",MID(A16,1,2),"")&lt;&gt;"",MAX($M$2:M15)+1,0),"")</f>
        <v>0</v>
      </c>
      <c r="N16" s="48" t="str">
        <f t="shared" ca="1" si="27"/>
        <v/>
      </c>
      <c r="O16" s="48" t="str">
        <f ca="1">IF(IFERROR(INDEX($N$3:$O$400,MATCH(ROWS($O$3:O16),$M$3:$M$400,0),1),"")&lt;&gt;"",CONCATENATE(INDEX($N$3:$O$400,MATCH(ROWS($O$3:O16),$M$3:$M$400,0),1),".00"),"")</f>
        <v>13.00</v>
      </c>
      <c r="P16" s="48" t="str">
        <f t="shared" ca="1" si="28"/>
        <v>DEBITI FINANZIARI</v>
      </c>
      <c r="Q16" s="48">
        <f ca="1">IF(M16&gt;=1,0,MAX($Q$2:Q15)+1)</f>
        <v>12</v>
      </c>
      <c r="R16" s="93">
        <f ca="1">IF(AND($U$2=1,S16&lt;&gt;""),MAX($R$2:R15)+1,0)</f>
        <v>0</v>
      </c>
      <c r="S16" s="48" t="s">
        <v>8</v>
      </c>
      <c r="T16" s="48" t="str">
        <f ca="1">IFERROR(INDEX($R$3:$S$64,MATCH(ROWS($T$2:T15),$R$3:$R$64,0),2),"")</f>
        <v>TRATTAMENTO FINE RAPPORTO</v>
      </c>
      <c r="U16" s="48" t="str">
        <f ca="1">IFERROR(INDEX(PDC,MATCH(ROWS(U$3:U16),$V$3:$V$400,0),2),"")</f>
        <v>FONDO AMMORTAMENTO SOFTWARE</v>
      </c>
      <c r="V16" s="48">
        <f ca="1">IF(AND($T$1="VISUALIZZA TUTTI I CONTI",AA16&lt;&gt;""),MAX($V$2:V15)+1,IF(AND($U$2=2,AI16=$T$1),MAX($V$2:V15)+1,IF(AND($U$2=1,$T$1=AF16),MAX($V$2:V15)+1,0)))</f>
        <v>14</v>
      </c>
      <c r="W16" s="48">
        <f ca="1">IF(W11=W13,0,1)</f>
        <v>0</v>
      </c>
      <c r="AA16" s="48" t="str">
        <f t="shared" ca="1" si="29"/>
        <v>01.00</v>
      </c>
      <c r="AB16" s="48" t="str">
        <f ca="1">IFERROR(INDEX($A$3:$G$400,MATCH(ROWS(AB$3:AB16),$Q$3:$Q$400,0),1),"")</f>
        <v>01.15</v>
      </c>
      <c r="AC16" s="48" t="str">
        <f ca="1">IFERROR(INDEX($A$3:$G$400,MATCH(ROWS($AC$3:AC16),$Q$3:$Q$400,0),2),"")</f>
        <v>FONDO AMMORTAMENTO SOFTWARE</v>
      </c>
      <c r="AD16" s="48" t="str">
        <f ca="1">IFERROR(INDEX($A$3:$G$400,MATCH(ROWS(AD$3:AD16),$Q$3:$Q$400,0),3),"")</f>
        <v>E</v>
      </c>
      <c r="AE16" s="48" t="str">
        <f ca="1">IFERROR(INDEX($A$3:$G$400,MATCH(ROWS(AE$3:AE16),$Q$3:$Q$400,0),4),"")</f>
        <v>A</v>
      </c>
      <c r="AF16" s="48" t="str">
        <f ca="1">IFERROR(INDEX($A$3:$G$400,MATCH(ROWS(AF$3:AF16),$Q$3:$Q$400,0),5),"")</f>
        <v>RETTIFICHE COSTI PLURIENNALI</v>
      </c>
      <c r="AG16" s="48" t="str">
        <f ca="1">IFERROR(INDEX($A$3:$G$400,MATCH(ROWS(AG$3:AG16),$Q$3:$Q$400,0),6),"")</f>
        <v>SP AVERE</v>
      </c>
      <c r="AH16" s="48" t="str">
        <f ca="1">IFERROR(INDEX($A$3:$G$400,MATCH(ROWS(AH$3:AH16),$Q$3:$Q$400,0),7),"")</f>
        <v>SP</v>
      </c>
      <c r="AI16" s="48" t="str">
        <f t="shared" ca="1" si="1"/>
        <v>IMMOBILIZZAZIONI IMMATERIALI</v>
      </c>
      <c r="AJ16" s="48" t="str">
        <f ca="1">IFERROR(INDEX($A$3:$H$400,MATCH(ROWS(AJ$3:AJ16),$Q$3:$Q$400,0),8),"")</f>
        <v>pab1</v>
      </c>
      <c r="AK16" s="48">
        <f t="shared" ca="1" si="2"/>
        <v>0</v>
      </c>
      <c r="AL16" s="48">
        <f t="shared" ca="1" si="3"/>
        <v>0</v>
      </c>
      <c r="AM16" s="48">
        <f t="shared" ca="1" si="30"/>
        <v>0</v>
      </c>
      <c r="AN16" s="48" t="str">
        <f t="shared" ca="1" si="31"/>
        <v/>
      </c>
      <c r="AO16" s="48">
        <f t="shared" ca="1" si="32"/>
        <v>0</v>
      </c>
      <c r="AP16" s="48">
        <f t="shared" ca="1" si="32"/>
        <v>0</v>
      </c>
      <c r="AQ16" s="48" t="str">
        <f t="shared" ca="1" si="4"/>
        <v>FONDO AMMORTAMENTO SOFTWARE</v>
      </c>
      <c r="AR16" s="48">
        <f t="shared" ca="1" si="5"/>
        <v>0</v>
      </c>
      <c r="AS16" s="48">
        <f t="shared" ca="1" si="6"/>
        <v>0</v>
      </c>
      <c r="AT16" s="48">
        <f t="shared" ca="1" si="33"/>
        <v>0</v>
      </c>
      <c r="AU16" s="48">
        <f t="shared" ca="1" si="34"/>
        <v>0</v>
      </c>
      <c r="AV16" s="48">
        <f ca="1">IF(OR(AT16&gt;0,AU16&gt;0),MAX($AV$2:AV15)+1,0)</f>
        <v>0</v>
      </c>
      <c r="AZ16" s="241" t="str">
        <f t="shared" ca="1" si="35"/>
        <v/>
      </c>
      <c r="BA16" s="48">
        <f t="shared" ca="1" si="7"/>
        <v>0</v>
      </c>
      <c r="BB16" s="48">
        <f ca="1">IFERROR(INDEX($AQ$3:$AV$220,MATCH(ROWS($BB$3:BB16),$AV$3:$AV$220,0),1),0)</f>
        <v>0</v>
      </c>
      <c r="BC16" s="48" t="str">
        <f t="shared" ca="1" si="36"/>
        <v/>
      </c>
      <c r="BD16" s="48">
        <f ca="1">IFERROR(INDEX($AQ$3:$AV$220,MATCH(ROWS($BB$3:BD16),$AV$3:$AV$220,0),4),0)</f>
        <v>0</v>
      </c>
      <c r="BE16" s="48">
        <f ca="1">IFERROR(INDEX($AQ$3:$AV$220,MATCH(ROWS($BB$3:BE16),$AV$3:$AV$220,0),5),0)</f>
        <v>0</v>
      </c>
      <c r="BF16" s="48">
        <v>2</v>
      </c>
      <c r="BG16" s="48">
        <f ca="1">IF(IF(AND(OR(INDEX(PDC,MATCH($AC16,DEN_PDC,0),6)="SP DARE",INDEX(PDC,MATCH($AC16,DEN_PDC,0),6)="SP DARE/AVERE"),SUMIFS(DARE,DEN_G,$AC16)&gt;=SUMIFS(AVERE,DEN_G,$AC16)),SUMIFS(DARE,DEN_G,$AC16)-SUMIFS(AVERE,DEN_G,$AC16),0)&gt;0,MAX($BG$2:BG15)+1,0)</f>
        <v>0</v>
      </c>
      <c r="BH16" s="48">
        <f ca="1">IF(IF(AND(OR(INDEX(PDC,MATCH($AC16,DEN_PDC,0),6)="SP AVERE",INDEX(PDC,MATCH($AC16,DEN_PDC,0),6)="SP DARE/AVERE"),SUMIFS(AVERE,DEN_G,$AC16)&gt;=SUMIFS(DARE,DEN_G,$AC16)),SUMIFS(AVERE,DEN_G,$AC16)-SUMIFS(DARE,DEN_G,$AC16),0)&gt;0,MAX(BH$2:BH15)+1,0)</f>
        <v>0</v>
      </c>
      <c r="BI16" s="48">
        <f ca="1">IF(IF(AND(OR(INDEX(PDC,MATCH($AC16,DEN_PDC,0),6)="SE DARE",INDEX(PDC,MATCH($AC16,DEN_PDC,0),6)="SE DARE/AVERE"),SUMIFS(DARE,DEN_G,$AC16)&gt;=SUMIFS(AVERE,DEN_G,$AC16)),SUMIFS(DARE,DEN_G,$AC16)-SUMIFS(AVERE,DEN_G,$AC16),0)&gt;0,MAX(BI$2:BI15)+1,0)</f>
        <v>0</v>
      </c>
      <c r="BJ16" s="48">
        <f ca="1">IF(IF(AND(OR(INDEX(PDC,MATCH($AC16,DEN_PDC,0),6)="SE AVERE",INDEX(PDC,MATCH($AC16,DEN_PDC,0),6)="SE DARE/AVERE"),SUMIFS(AVERE,DEN_G,$AC16)&gt;=SUMIFS(DARE,DEN_G,$AC16)),SUMIFS(AVERE,DEN_G,$AC16)-SUMIFS(DARE,DEN_G,$AC16),0)&gt;0,MAX(BJ$2:BJ15)+1,0)</f>
        <v>0</v>
      </c>
      <c r="BK16" s="48" t="str">
        <f ca="1">IF(AND(AND($DY$2=0,$DY$1=0),$I$1=2,ROW()&gt;$BG$1+2,ROW()&lt;=$BG$1+4),"………………..",IF(AND(OR($DY$2&gt;0,$DY$1&gt;0),$I$1=2,ROW()&gt;$BG$1+2,ROW()&lt;=$BG$1+4),"………………..",IFERROR(INDEX($AC$3:$AC$398,MATCH(ROWS(BK$3:BK16),BG$3:BG$398,0),1),"")))</f>
        <v/>
      </c>
      <c r="BL16" s="48">
        <f t="shared" ca="1" si="69"/>
        <v>0</v>
      </c>
      <c r="BM16" s="48" t="str">
        <f ca="1">IF(AND(OR($DY$2=0,$DY$1=0),$I$1=2,ROW()&gt;$BH$1+2,ROW()&lt;=$BH$1+4),"………………..",IF(AND(OR($DY$2&gt;0,$DY$1&gt;0),$I$1=2,ROW()&gt;$BH$1+2,ROW()&lt;=$BH$1+4),"………………..",IFERROR(INDEX($AC$3:$AC$400,MATCH(ROWS(BM$3:BM16),BH$3:BH$400,0),1),"")))</f>
        <v/>
      </c>
      <c r="BN16" s="48">
        <f t="shared" ca="1" si="9"/>
        <v>0</v>
      </c>
      <c r="BO16" s="48" t="str">
        <f ca="1">IF(AND(OR($DY$2=0,$DY$1=0),$I$1=2,ROW()&gt;$BI$1+2,ROW()&lt;=$BI$1+4),"………………..",IF(AND(OR($DY$2&gt;0,$DY$1&gt;0),$I$1=2,ROW()&gt;$BI$1+2,ROW()&lt;=$BI$1+4),"………………..",IFERROR(INDEX($AC$3:$AC$400,MATCH(ROWS(BO$3:BO16),BI$3:BI$400,0),1),"")))</f>
        <v/>
      </c>
      <c r="BP16" s="48">
        <f t="shared" ca="1" si="10"/>
        <v>0</v>
      </c>
      <c r="BQ16" s="48" t="str">
        <f ca="1">IF(AND(OR($DY$2=0,$DY$1=0),$I$1=2,ROW()&gt;$BJ$1+2,ROW()&lt;=$BJ$1+4),"………………..",IF(AND(OR($DY$2&gt;0,$DY$1&gt;0),$I$1=2,ROW()&gt;$BJ$1+2,ROW()&lt;=$BJ$1+4),"………………..",IFERROR(INDEX($AC$3:$AC$400,MATCH(ROWS(BQ$3:BQ16),BJ$3:BJ$400,0),1),"")))</f>
        <v/>
      </c>
      <c r="BR16" s="48">
        <f t="shared" ca="1" si="11"/>
        <v>0</v>
      </c>
      <c r="BS16" s="48">
        <f ca="1">IF(IF(AND(OR(INDEX(PDC,MATCH($AC16,DEN_PDC,0),4)="D",INDEX(PDC,MATCH($AC16,DEN_PDC,0),4)="D/A"),SUMIFS(DARE,DEN_G,$AC16)&gt;=SUMIFS(AVERE,DEN_G,$AC16)),SUMIFS(DARE,DEN_G,$AC16),IF(AND(OR(INDEX(PDC,MATCH($AC16,DEN_PDC,0),4)="A",INDEX(PDC,MATCH($AC16,DEN_PDC,0),4)="D/A"),SUMIFS(AVERE,DEN_G,$AC16)&gt;=SUMIFS(DARE,DEN_G,$AC16)),SUMIFS(AVERE,DEN_G,$AC16),))&gt;0,MAX($BS$2:BS15)+1,0)</f>
        <v>0</v>
      </c>
      <c r="BT16" s="48" t="str">
        <f ca="1">IF($CO$1=0,"",IF(AND($I$1=2,ROW()&gt;$BR$1,ROW()&lt;=$BS$1)," …………….",IF(AND($E$1=1,$BX$1=1,$I$1=2,ROW()=$BQ$1),"TOTALI",IFERROR(INDEX(PDC,MATCH(ROWS(BT$3:BT16),BS$3:BS413,0),2),""))))</f>
        <v/>
      </c>
      <c r="BU16" s="48">
        <f t="shared" ca="1" si="12"/>
        <v>0</v>
      </c>
      <c r="BV16" s="48">
        <f t="shared" ca="1" si="13"/>
        <v>0</v>
      </c>
      <c r="BW16" s="48">
        <f t="shared" ca="1" si="14"/>
        <v>0</v>
      </c>
      <c r="BX16" s="48">
        <f t="shared" ca="1" si="15"/>
        <v>0</v>
      </c>
      <c r="BY16" s="48">
        <f ca="1">IF(OR(BW16&gt;0,BX16&gt;0),MAX($BY$2:BY15)+1,0)</f>
        <v>0</v>
      </c>
      <c r="BZ16" s="48" t="str">
        <f ca="1">IFERROR(INDEX($BT$3:$BY$400,MATCH(ROWS(BZ$3:BZ16),$BY$3:$BY$400,0),1),"")</f>
        <v/>
      </c>
      <c r="CA16" s="48" t="str">
        <f ca="1">IFERROR(INDEX($BT$3:$BY$400,MATCH(ROWS(CA$3:CA16),$BY$3:$BY$400,0),4),"")</f>
        <v/>
      </c>
      <c r="CB16" s="48" t="str">
        <f ca="1">IFERROR(INDEX($BT$3:$BY$400,MATCH(ROWS(CB$3:CB16),$BY$3:$BY$400,0),5),"")</f>
        <v/>
      </c>
      <c r="CC16" s="48" t="str">
        <f t="shared" ca="1" si="16"/>
        <v/>
      </c>
      <c r="CD16" s="48">
        <f ca="1">IF(AND($BF$9=1,CE16&lt;&gt;0),MAX($CD$2:CD15)+1,0)</f>
        <v>0</v>
      </c>
      <c r="CE16" s="48">
        <f ca="1">IF(ROUND(SUMIFS(COPIA!$CA$3:$CA$400,COPIA!$CC$3:$CC$400,CF16)-SUMIFS(COPIA!$CB$3:$CB$400,COPIA!$CC$3:$CC$400,CF16),0)&lt;0,0,ROUND(SUMIFS(COPIA!$CA$3:$CA$400,COPIA!$CC$3:$CC$400,CF16)-SUMIFS(COPIA!$CB$3:$CB$400,COPIA!$CC$3:$CC$400,CF16),0))</f>
        <v>0</v>
      </c>
      <c r="CF16" s="48" t="s">
        <v>617</v>
      </c>
      <c r="CG16" s="242" t="s">
        <v>697</v>
      </c>
      <c r="CH16" s="242">
        <f t="shared" ref="CH16:CH21" ca="1" si="70">CE16</f>
        <v>0</v>
      </c>
      <c r="CI16" s="242"/>
      <c r="CJ16" s="242"/>
      <c r="CL16" s="242"/>
      <c r="CM16" s="242" t="str">
        <f t="shared" ca="1" si="37"/>
        <v/>
      </c>
      <c r="CN16" s="243">
        <f t="shared" ca="1" si="38"/>
        <v>0</v>
      </c>
      <c r="CO16" s="48" t="str">
        <f t="shared" ca="1" si="39"/>
        <v/>
      </c>
      <c r="CQ16" s="242"/>
      <c r="CR16" s="242"/>
      <c r="CT16" s="242"/>
      <c r="CU16" s="48">
        <f ca="1">IF(SUMIFS(AVERE,DEN_G,AC16,AVERE,"&gt;"&amp;0)+SUMIFS(DARE,DEN_G,AC16,DARE,"&gt;"&amp;0)&gt;0,MAX($CU$2:CU15)+1,0)</f>
        <v>0</v>
      </c>
      <c r="CV16" s="48" t="str">
        <f ca="1">IF(IFERROR(INDEX(PDC,MATCH(ROWS($CV$3:CV16),$CU$3:$CU$400,0),2),"")="CONTO DI RISULTATO ECONOMICO","",IFERROR(INDEX(PDC,MATCH(ROWS($CV$3:CV16),$CU$3:$CU$400,0),2),""))</f>
        <v/>
      </c>
      <c r="CW16" s="48">
        <f ca="1">IFERROR(IF(CV16&lt;&gt;"",MAX($CW$2:CW15)+1,0),0)</f>
        <v>0</v>
      </c>
      <c r="CX16" s="48">
        <f ca="1">$FF$4</f>
        <v>2</v>
      </c>
      <c r="CY16" s="48" t="str">
        <f t="shared" ref="CY16:CY27" ca="1" si="71">IF(ISERROR(INDEX($CV$3:$CX$1302,MATCH(CX16,$CW$3:$CW$1302,0),1)),"MASTRO",INDEX($CV$3:$CX$1302,MATCH(CX16,$CW$3:$CW$1302,0),1))</f>
        <v>MASTRO</v>
      </c>
      <c r="DA16" s="48" t="str">
        <f>IF(CY15="MASTRO","Conto n.","")</f>
        <v>Conto n.</v>
      </c>
      <c r="DB16" s="48" t="str">
        <f ca="1">IF(CY16=0,"",INDEX(PDC,MATCH(DC16,DEN_PDC,0),1))</f>
        <v/>
      </c>
      <c r="DC16" s="48" t="str">
        <f ca="1">IF(OR(CY16=0,CY16="mastro"),"",CY16)</f>
        <v/>
      </c>
      <c r="DD16" s="48" t="str">
        <f ca="1">IF(AND($DA$2=TRUE,OR(INDEX(PDC,MATCH($DC16,DEN_PDC,0),4)="A",INDEX(PDC,MATCH($DC16,DEN_PDC,0),4)="D/A"),SUMIFS(AVERE,DEN_G,"="&amp;$DC16,DATA,"&lt;="&amp;FINE_AC,DATA,"&gt;="&amp;INIZIO_AC)&gt;SUMIFS(DARE,DEN_G,"="&amp;$DC16,DATA,"&lt;="&amp;FINE_AC,DATA,"&gt;="&amp;INIZIO_AC)),CONCATENATE("s ",FIXED(ABS(SUMIFS(AVERE,DEN_G,"="&amp;$DC16,DATA,"&lt;="&amp;FINE_AC,DATA,"&gt;="&amp;INIZIO_AC)-SUMIFS(DARE,DEN_G,"="&amp;$DC16,DATA,"&lt;="&amp;FINE_AC,DATA,"&gt;="&amp;INIZIO_AC)),2)),"")</f>
        <v/>
      </c>
      <c r="DE16" s="48" t="str">
        <f ca="1">IF(AND($DA$2=TRUE,OR(INDEX(PDC,MATCH($DC16,DEN_PDC,0),4)="D",INDEX(PDC,MATCH($DC16,DEN_PDC,0),4)="D/A"),SUMIFS(DARE,DEN_G,"="&amp;$DC16,DATA,"&lt;="&amp;FINE_AC,DATA,"&gt;="&amp;INIZIO_AC)&gt;SUMIFS(AVERE,DEN_G,"="&amp;$DC16,DATA,"&lt;="&amp;FINE_AC,DATA,"&gt;="&amp;INIZIO_AC)),CONCATENATE("s ",FIXED(ABS(SUMIFS(DARE,DEN_G,"="&amp;$DC16,DATA,"&lt;="&amp;FINE_AC,DATA,"&gt;="&amp;INIZIO_AC)-SUMIFS(AVERE,DEN_G,"="&amp;$DC16,DATA,"&lt;="&amp;FINE_AC,DATA,"&gt;="&amp;INIZIO_AC)),2)),"")</f>
        <v/>
      </c>
      <c r="DF16" s="48">
        <f ca="1">IF(AND(CX16=$DF$1,CX16&lt;&gt;""),0,IF(AND(DB16&lt;&gt;"",OR(DB15&lt;&gt;"",DB17&lt;&gt;"")),MAX($DF$2:DF15)+1,0))</f>
        <v>0</v>
      </c>
      <c r="DG16" s="48">
        <f t="shared" ref="DG16:DG18" ca="1" si="72">DG6</f>
        <v>0</v>
      </c>
      <c r="DH16" s="244" t="s">
        <v>469</v>
      </c>
      <c r="DI16" s="48" t="str">
        <f ca="1">IFERROR(IF(AND($DL$1=TRUE,DG16&lt;&gt;0),CONCATENATE("SOCIO ",DG16," C/REINTEGRO"),IF(AND($DL$1=FALSE,DG16&lt;&gt;0),CONCATENATE("AZIONISTA ",DG16," C/REINTEGRO"),"")),"")</f>
        <v/>
      </c>
      <c r="DJ16" s="48" t="s">
        <v>312</v>
      </c>
      <c r="DK16" s="48" t="s">
        <v>275</v>
      </c>
      <c r="DL16" s="48" t="s">
        <v>6</v>
      </c>
      <c r="DM16" s="48" t="s">
        <v>270</v>
      </c>
      <c r="DN16" s="48">
        <f ca="1">IF(DI16&lt;&gt;"",MAX($DN$2:DN15)+1,0)</f>
        <v>0</v>
      </c>
      <c r="DO16" s="48" t="str">
        <f t="shared" ca="1" si="65"/>
        <v>paa</v>
      </c>
      <c r="DP16" s="48">
        <f ca="1">DP11</f>
        <v>0</v>
      </c>
      <c r="DQ16" s="227" t="s">
        <v>489</v>
      </c>
      <c r="DR16" s="48" t="str">
        <f ca="1">IFERROR(IF(DP16&lt;&gt;0,CONCATENATE("SOCIO ",DP16," C/PRELEVAMENTI"),""),"")</f>
        <v/>
      </c>
      <c r="DS16" s="48" t="s">
        <v>312</v>
      </c>
      <c r="DT16" s="48" t="s">
        <v>275</v>
      </c>
      <c r="DU16" s="48" t="s">
        <v>6</v>
      </c>
      <c r="DV16" s="48" t="s">
        <v>270</v>
      </c>
      <c r="DW16" s="48">
        <f ca="1">IF(DR16&lt;&gt;"",MAX($DW$2:DW15)+1,0)</f>
        <v>0</v>
      </c>
      <c r="DX16" s="48" t="str">
        <f t="shared" ca="1" si="66"/>
        <v>paa</v>
      </c>
      <c r="DY16" s="48" t="str">
        <f t="shared" ca="1" si="19"/>
        <v/>
      </c>
      <c r="DZ16" s="48" t="str">
        <f t="shared" ca="1" si="40"/>
        <v/>
      </c>
      <c r="EA16" s="48" t="str">
        <f t="shared" ca="1" si="41"/>
        <v/>
      </c>
      <c r="EB16" s="48">
        <f t="shared" ca="1" si="42"/>
        <v>0</v>
      </c>
      <c r="EC16" s="48">
        <f t="shared" ca="1" si="43"/>
        <v>0</v>
      </c>
      <c r="ED16" s="48" t="str">
        <f t="shared" ca="1" si="44"/>
        <v/>
      </c>
      <c r="EE16" s="48">
        <f t="shared" ca="1" si="45"/>
        <v>0</v>
      </c>
      <c r="EF16" s="48" t="str">
        <f t="shared" ca="1" si="46"/>
        <v/>
      </c>
      <c r="EG16" s="48">
        <f t="shared" ca="1" si="47"/>
        <v>0</v>
      </c>
      <c r="EH16" s="48" t="str">
        <f t="shared" ca="1" si="48"/>
        <v/>
      </c>
      <c r="EI16" s="48">
        <f t="shared" ca="1" si="49"/>
        <v>0</v>
      </c>
      <c r="EJ16" s="48" t="str">
        <f t="shared" ca="1" si="50"/>
        <v/>
      </c>
      <c r="EK16" s="48">
        <f t="shared" ca="1" si="51"/>
        <v>0</v>
      </c>
      <c r="EL16" s="48">
        <f t="shared" ca="1" si="20"/>
        <v>0</v>
      </c>
      <c r="EM16" s="48">
        <f ca="1">IF(EL16&gt;=0,0,MAX($EM$2:EM15)+1)</f>
        <v>0</v>
      </c>
      <c r="EN16" s="48" t="str">
        <f t="shared" ca="1" si="21"/>
        <v/>
      </c>
      <c r="EO16" s="48" t="str">
        <f ca="1">IFERROR(INDEX($EM$3:$EN$400,MATCH(ROWS($EO$3:EO16),$EM$3:$EM$400,0),2),"")</f>
        <v/>
      </c>
      <c r="EP16" s="48">
        <f>ROW()</f>
        <v>16</v>
      </c>
      <c r="EQ16" s="48">
        <f t="shared" ca="1" si="22"/>
        <v>0</v>
      </c>
      <c r="ER16" s="48">
        <f ca="1">IF(ISNA(EQ16)=TRUE,MAX($ER$2:ER15)+1,0)</f>
        <v>0</v>
      </c>
      <c r="ES16" s="48" t="str">
        <f t="shared" ca="1" si="52"/>
        <v/>
      </c>
      <c r="ET16" s="48" t="str">
        <f ca="1">IFERROR(INDEX($ER$3:$ES$400,MATCH(ROWS($ET$3:ET16),$ER$3:$ER$400,0),2),"")</f>
        <v/>
      </c>
      <c r="EU16" s="48">
        <f ca="1">IF(ROUND(SUMIFS(COPIA!$CA$3:$CA$400,COPIA!$CC$3:$CC$400,CF16)-SUMIFS(COPIA!$CB$3:$CB$400,COPIA!$CC$3:$CC$400,CF16),0)&lt;0,1,0)</f>
        <v>0</v>
      </c>
      <c r="EV16" s="48">
        <f ca="1">IFERROR(INDEX(LIBRO_GIORNALE!$O$11:$P$408,MATCH(ROWS($EV$2:EV15),LIBRO_GIORNALE!$P$11:$P$408,0),1),0)</f>
        <v>0</v>
      </c>
      <c r="EW16" s="48" t="str">
        <f t="shared" ca="1" si="53"/>
        <v>0</v>
      </c>
      <c r="EX16" s="48">
        <f t="shared" ca="1" si="54"/>
        <v>0</v>
      </c>
      <c r="EY16" s="48">
        <f ca="1">IF(EX16&gt;0,MAX($EY$2:EY15)+1,0)</f>
        <v>0</v>
      </c>
      <c r="EZ16" s="48">
        <f ca="1">IFERROR(INDEX($EX$3:$EX$400,MATCH(ROWS($EZ$3:EZ16),$EY$3:$EY$400,0),1),0)</f>
        <v>0</v>
      </c>
      <c r="FA16" s="48">
        <f ca="1">IF(EZ16&gt;0,0,MAX($FA$2:FA15)+1)</f>
        <v>14</v>
      </c>
      <c r="FB16" s="48">
        <f t="shared" ca="1" si="55"/>
        <v>0</v>
      </c>
      <c r="FC16" s="48">
        <f t="shared" ca="1" si="56"/>
        <v>14</v>
      </c>
      <c r="FD16" s="48">
        <f t="shared" ca="1" si="57"/>
        <v>14</v>
      </c>
      <c r="FE16" s="48">
        <f ca="1">IF(FD16=0,0,MAX($FE$2:FE15)+1)</f>
        <v>14</v>
      </c>
      <c r="FF16" s="48">
        <f ca="1">IFERROR(INDEX($FD$3:$FE$400,MATCH(ROWS($FF$3:FF16),$FE$3:$FE$400,0),1),"")</f>
        <v>14</v>
      </c>
      <c r="FH16" s="48">
        <f t="shared" ca="1" si="58"/>
        <v>0</v>
      </c>
      <c r="FI16" s="48">
        <f ca="1">IF(FH16&lt;&gt;0,MAX($FI$2:FI15)+1,0)</f>
        <v>0</v>
      </c>
      <c r="FJ16" s="48" t="str">
        <f ca="1">IFERROR(INDEX($FH$3:$FI$400,MATCH(ROWS($FJ$3:FJ16),$FI$3:$FI$400,0),1),"")</f>
        <v/>
      </c>
      <c r="FK16" s="48">
        <f ca="1">IF(ABS(SUMIFS(DARE,DEN_G,"="&amp;FJ16,DATA,"&lt;="&amp;FINE_AC,DATA,"&gt;="&amp;INIZIO_A_PC)-SUMIFS(AVERE,DEN_G,"="&amp;FJ16,DATA,"&lt;="&amp;FINE_AC,DATA,"&gt;="&amp;INIZIO_A_PC))&gt;0,MAX($FK$2:FK15)+1,0)</f>
        <v>0</v>
      </c>
      <c r="FL16" s="48" t="str">
        <f ca="1">IF(AND(ROW()-2&lt;&gt;1,ROW()-2&lt;=$FK$1),CONCATENATE(" - ",IFERROR(INDEX($FJ$3:$FK$400,MATCH(ROWS($FL$3:FL16),$FK$3:$FK$400,0),1),"")),IFERROR(INDEX($FJ$3:$FK$400,MATCH(ROWS($FL$3:FL16),$FK$3:$FK$400,0),1),""))</f>
        <v/>
      </c>
      <c r="FM16" s="48">
        <f ca="1">IF(OR(B16="IVA ns/credito",B16="IVA NS/DEBITO",B16="IVA C/ACCONTO",B16="IMPOSTE C/ACCONTO",B16="CREDITI PER RITENUTE SUBITE",B16="CREDITI D'IMPOSTA"),MAX($FM$2:FM15)+1,0)</f>
        <v>0</v>
      </c>
      <c r="FN16" s="48" t="str">
        <f t="shared" ca="1" si="59"/>
        <v/>
      </c>
      <c r="FO16" s="48" t="str">
        <f ca="1">IFERROR(INDEX($FM$3:$FN$400,MATCH(ROWS($FO$3:FO16),$FM$3:$FM$400,0),2),"")</f>
        <v/>
      </c>
      <c r="FP16" s="48">
        <f ca="1">IF(ABS(SUMIFS(DARE,DEN_G,"="&amp;FO16,DATA,"&lt;="&amp;FINE_AC,DATA,"&gt;="&amp;INIZIO_A_PC)-SUMIFS(AVERE,DEN_G,"="&amp;FO16,DATA,"&lt;="&amp;FINE_AC,DATA,"&gt;="&amp;INIZIO_A_PC))&gt;0,MAX($FP$2:FP15)+1,0)</f>
        <v>0</v>
      </c>
      <c r="FQ16" s="48" t="str">
        <f ca="1">IF(AND(ROW()-2&lt;&gt;1,ROW()-2&lt;=$FP$1),CONCATENATE(" - ",IFERROR(INDEX($FO$3:$FP$400,MATCH(ROWS($FQ$3:FQ16),$FP$3:$FP$400,0),1),"")),IFERROR(INDEX($FO$3:$FP$400,MATCH(ROWS($FQ$3:FQ16),$FP$3:$FP$400,0),1),""))</f>
        <v/>
      </c>
    </row>
    <row r="17" spans="1:173" x14ac:dyDescent="0.3">
      <c r="A17" s="48" t="str">
        <f ca="1">IFERROR(IF($A$1=2,INDEX($DH$3:$DN$401,MATCH(ROWS(A$3:A17),$DN$3:$DN$401,0),COLUMN()),IF($A$1=1,INDEX($DQ$3:$DW$401,MATCH(ROWS(A$3:A17),$DW$3:$DW$401,0),COLUMN()),"")),"")</f>
        <v>01.14</v>
      </c>
      <c r="B17" s="48" t="str">
        <f ca="1">IFERROR(IF($A$1=2,INDEX($DH$3:$DN$401,MATCH(ROWS(B$3:B17),$DN$3:$DN$401,0),COLUMN()),IF($A$1=1,INDEX($DQ$3:$DW$400,MATCH(ROWS(B$3:B17),$DW$3:$DW$401,0),COLUMN()),"")),"")</f>
        <v>FONDO AMMORTAMENTO BREVETTI</v>
      </c>
      <c r="C17" s="48" t="str">
        <f ca="1">IFERROR(IF($A$1=2,INDEX($DH$3:$DN$401,MATCH(ROWS(C$3:C17),$DN$3:$DN$401,0),COLUMN()),IF($A$1=1,INDEX($DQ$3:$DW$401,MATCH(ROWS(C$3:C17),$DW$3:$DW$401,0),COLUMN()),"")),"")</f>
        <v>E</v>
      </c>
      <c r="D17" s="48" t="str">
        <f ca="1">IFERROR(IF($A$1=2,INDEX($DH$3:$DN$401,MATCH(ROWS(D$3:D17),$DN$3:$DN$401,0),COLUMN()),IF($A$1=1,INDEX($DQ$3:$DW$401,MATCH(ROWS(D$3:D17),$DW$3:$DW$401,0),COLUMN()),"")),"")</f>
        <v>A</v>
      </c>
      <c r="E17" s="48" t="str">
        <f ca="1">IFERROR(IF($A$1=2,INDEX($DH$3:$DN$401,MATCH(ROWS(E$3:E17),$DN$3:$DN$401,0),COLUMN()),IF($A$1=1,INDEX($DQ$3:$DW$401,MATCH(ROWS(E$3:E17),$DW$3:$DW$401,0),COLUMN()),"")),"")</f>
        <v>RETTIFICHE COSTI PLURIENNALI</v>
      </c>
      <c r="F17" s="48" t="str">
        <f ca="1">IFERROR(IF($A$1=2,INDEX($DH$3:$DN$401,MATCH(ROWS(F$3:F17),$DN$3:$DN$401,0),COLUMN()),IF($A$1=1,INDEX($DQ$3:$DX$401,MATCH(ROWS(F$3:F17),$DW$3:$DW$401,0),COLUMN()),"")),"")</f>
        <v>SP AVERE</v>
      </c>
      <c r="G17" s="48" t="str">
        <f t="shared" ca="1" si="23"/>
        <v>SP</v>
      </c>
      <c r="H17" s="48" t="str">
        <f ca="1">IFERROR(IF($A$1=2,INDEX($DH$3:$DO$400,MATCH(ROWS(H$3:H17),$DN$3:$DN$400,0),COLUMN()),IF($A$1=1,INDEX($DQ$3:$DX$400,MATCH(ROWS(H$3:H17),$DW$3:$DW$400,0),COLUMN()),"")),"")</f>
        <v>pab1</v>
      </c>
      <c r="I17" s="48" t="str">
        <f t="shared" ca="1" si="0"/>
        <v/>
      </c>
      <c r="J17" s="48" t="str">
        <f t="shared" ca="1" si="24"/>
        <v/>
      </c>
      <c r="K17" s="48">
        <f t="shared" ca="1" si="25"/>
        <v>0</v>
      </c>
      <c r="L17" s="48">
        <f t="shared" ca="1" si="26"/>
        <v>0</v>
      </c>
      <c r="M17" s="48">
        <f ca="1">IFERROR(IF(IF(MID($A17,3,3)=".00",MID(A17,1,2),"")&lt;&gt;"",MAX($M$2:M16)+1,0),"")</f>
        <v>0</v>
      </c>
      <c r="N17" s="48" t="str">
        <f t="shared" ca="1" si="27"/>
        <v/>
      </c>
      <c r="O17" s="48" t="str">
        <f ca="1">IF(IFERROR(INDEX($N$3:$O$400,MATCH(ROWS($O$3:O17),$M$3:$M$400,0),1),"")&lt;&gt;"",CONCATENATE(INDEX($N$3:$O$400,MATCH(ROWS($O$3:O17),$M$3:$M$400,0),1),".00"),"")</f>
        <v>14.00</v>
      </c>
      <c r="P17" s="48" t="str">
        <f t="shared" ca="1" si="28"/>
        <v>DEBITI COMMERCIALI</v>
      </c>
      <c r="Q17" s="48">
        <f ca="1">IF(M17&gt;=1,0,MAX($Q$2:Q16)+1)</f>
        <v>13</v>
      </c>
      <c r="R17" s="93">
        <f ca="1">IF(AND($U$2=1,S17&lt;&gt;""),MAX($R$2:R16)+1,0)</f>
        <v>0</v>
      </c>
      <c r="S17" s="48" t="s">
        <v>319</v>
      </c>
      <c r="T17" s="48" t="str">
        <f ca="1">IFERROR(INDEX($R$3:$S$64,MATCH(ROWS($T$2:T16),$R$3:$R$64,0),2),"")</f>
        <v>DEBITI FINANZIARI</v>
      </c>
      <c r="U17" s="48" t="str">
        <f ca="1">IFERROR(INDEX(PDC,MATCH(ROWS(U$3:U17),$V$3:$V$400,0),2),"")</f>
        <v>FONDO AMMORTAMENTO AVVIAMENTO</v>
      </c>
      <c r="V17" s="48">
        <f ca="1">IF(AND($T$1="VISUALIZZA TUTTI I CONTI",AA17&lt;&gt;""),MAX($V$2:V16)+1,IF(AND($U$2=2,AI17=$T$1),MAX($V$2:V16)+1,IF(AND($U$2=1,$T$1=AF17),MAX($V$2:V16)+1,0)))</f>
        <v>15</v>
      </c>
      <c r="AA17" s="48" t="str">
        <f t="shared" ca="1" si="29"/>
        <v>01.00</v>
      </c>
      <c r="AB17" s="48" t="str">
        <f ca="1">IFERROR(INDEX($A$3:$G$400,MATCH(ROWS(AB$3:AB17),$Q$3:$Q$400,0),1),"")</f>
        <v>01.16</v>
      </c>
      <c r="AC17" s="48" t="str">
        <f ca="1">IFERROR(INDEX($A$3:$G$400,MATCH(ROWS($AC$3:AC17),$Q$3:$Q$400,0),2),"")</f>
        <v>FONDO AMMORTAMENTO AVVIAMENTO</v>
      </c>
      <c r="AD17" s="48" t="str">
        <f ca="1">IFERROR(INDEX($A$3:$G$400,MATCH(ROWS(AD$3:AD17),$Q$3:$Q$400,0),3),"")</f>
        <v>E</v>
      </c>
      <c r="AE17" s="48" t="str">
        <f ca="1">IFERROR(INDEX($A$3:$G$400,MATCH(ROWS(AE$3:AE17),$Q$3:$Q$400,0),4),"")</f>
        <v>A</v>
      </c>
      <c r="AF17" s="48" t="str">
        <f ca="1">IFERROR(INDEX($A$3:$G$400,MATCH(ROWS(AF$3:AF17),$Q$3:$Q$400,0),5),"")</f>
        <v>RETTIFICHE COSTI PLURIENNALI</v>
      </c>
      <c r="AG17" s="48" t="str">
        <f ca="1">IFERROR(INDEX($A$3:$G$400,MATCH(ROWS(AG$3:AG17),$Q$3:$Q$400,0),6),"")</f>
        <v>SP AVERE</v>
      </c>
      <c r="AH17" s="48" t="str">
        <f ca="1">IFERROR(INDEX($A$3:$G$400,MATCH(ROWS(AH$3:AH17),$Q$3:$Q$400,0),7),"")</f>
        <v>SP</v>
      </c>
      <c r="AI17" s="48" t="str">
        <f t="shared" ca="1" si="1"/>
        <v>IMMOBILIZZAZIONI IMMATERIALI</v>
      </c>
      <c r="AJ17" s="48" t="str">
        <f ca="1">IFERROR(INDEX($A$3:$H$400,MATCH(ROWS(AJ$3:AJ17),$Q$3:$Q$400,0),8),"")</f>
        <v>pab1</v>
      </c>
      <c r="AK17" s="48">
        <f t="shared" ca="1" si="2"/>
        <v>0</v>
      </c>
      <c r="AL17" s="48">
        <f t="shared" ca="1" si="3"/>
        <v>0</v>
      </c>
      <c r="AM17" s="48">
        <f t="shared" ca="1" si="30"/>
        <v>0</v>
      </c>
      <c r="AN17" s="48" t="str">
        <f t="shared" ca="1" si="31"/>
        <v/>
      </c>
      <c r="AO17" s="48">
        <f t="shared" ca="1" si="32"/>
        <v>0</v>
      </c>
      <c r="AP17" s="48">
        <f t="shared" ca="1" si="32"/>
        <v>0</v>
      </c>
      <c r="AQ17" s="48" t="str">
        <f t="shared" ca="1" si="4"/>
        <v>FONDO AMMORTAMENTO AVVIAMENTO</v>
      </c>
      <c r="AR17" s="48">
        <f t="shared" ca="1" si="5"/>
        <v>0</v>
      </c>
      <c r="AS17" s="48">
        <f t="shared" ca="1" si="6"/>
        <v>0</v>
      </c>
      <c r="AT17" s="48">
        <f t="shared" ca="1" si="33"/>
        <v>0</v>
      </c>
      <c r="AU17" s="48">
        <f t="shared" ca="1" si="34"/>
        <v>0</v>
      </c>
      <c r="AV17" s="48">
        <f ca="1">IF(OR(AT17&gt;0,AU17&gt;0),MAX($AV$2:AV16)+1,0)</f>
        <v>0</v>
      </c>
      <c r="AZ17" s="241" t="str">
        <f t="shared" ca="1" si="35"/>
        <v/>
      </c>
      <c r="BA17" s="48">
        <f t="shared" ca="1" si="7"/>
        <v>0</v>
      </c>
      <c r="BB17" s="48">
        <f ca="1">IFERROR(INDEX($AQ$3:$AV$220,MATCH(ROWS($BB$3:BB17),$AV$3:$AV$220,0),1),0)</f>
        <v>0</v>
      </c>
      <c r="BC17" s="48" t="str">
        <f t="shared" ca="1" si="36"/>
        <v/>
      </c>
      <c r="BD17" s="48">
        <f ca="1">IFERROR(INDEX($AQ$3:$AV$220,MATCH(ROWS($BB$3:BD17),$AV$3:$AV$220,0),4),0)</f>
        <v>0</v>
      </c>
      <c r="BE17" s="48">
        <f ca="1">IFERROR(INDEX($AQ$3:$AV$220,MATCH(ROWS($BB$3:BE17),$AV$3:$AV$220,0),5),0)</f>
        <v>0</v>
      </c>
      <c r="BF17" s="48">
        <v>3</v>
      </c>
      <c r="BG17" s="48">
        <f ca="1">IF(IF(AND(OR(INDEX(PDC,MATCH($AC17,DEN_PDC,0),6)="SP DARE",INDEX(PDC,MATCH($AC17,DEN_PDC,0),6)="SP DARE/AVERE"),SUMIFS(DARE,DEN_G,$AC17)&gt;=SUMIFS(AVERE,DEN_G,$AC17)),SUMIFS(DARE,DEN_G,$AC17)-SUMIFS(AVERE,DEN_G,$AC17),0)&gt;0,MAX($BG$2:BG16)+1,0)</f>
        <v>0</v>
      </c>
      <c r="BH17" s="48">
        <f ca="1">IF(IF(AND(OR(INDEX(PDC,MATCH($AC17,DEN_PDC,0),6)="SP AVERE",INDEX(PDC,MATCH($AC17,DEN_PDC,0),6)="SP DARE/AVERE"),SUMIFS(AVERE,DEN_G,$AC17)&gt;=SUMIFS(DARE,DEN_G,$AC17)),SUMIFS(AVERE,DEN_G,$AC17)-SUMIFS(DARE,DEN_G,$AC17),0)&gt;0,MAX(BH$2:BH16)+1,0)</f>
        <v>0</v>
      </c>
      <c r="BI17" s="48">
        <f ca="1">IF(IF(AND(OR(INDEX(PDC,MATCH($AC17,DEN_PDC,0),6)="SE DARE",INDEX(PDC,MATCH($AC17,DEN_PDC,0),6)="SE DARE/AVERE"),SUMIFS(DARE,DEN_G,$AC17)&gt;=SUMIFS(AVERE,DEN_G,$AC17)),SUMIFS(DARE,DEN_G,$AC17)-SUMIFS(AVERE,DEN_G,$AC17),0)&gt;0,MAX(BI$2:BI16)+1,0)</f>
        <v>0</v>
      </c>
      <c r="BJ17" s="48">
        <f ca="1">IF(IF(AND(OR(INDEX(PDC,MATCH($AC17,DEN_PDC,0),6)="SE AVERE",INDEX(PDC,MATCH($AC17,DEN_PDC,0),6)="SE DARE/AVERE"),SUMIFS(AVERE,DEN_G,$AC17)&gt;=SUMIFS(DARE,DEN_G,$AC17)),SUMIFS(AVERE,DEN_G,$AC17)-SUMIFS(DARE,DEN_G,$AC17),0)&gt;0,MAX(BJ$2:BJ16)+1,0)</f>
        <v>0</v>
      </c>
      <c r="BK17" s="48" t="str">
        <f ca="1">IF(AND(AND($DY$2=0,$DY$1=0),$I$1=2,ROW()&gt;$BG$1+2,ROW()&lt;=$BG$1+4),"………………..",IF(AND(OR($DY$2&gt;0,$DY$1&gt;0),$I$1=2,ROW()&gt;$BG$1+2,ROW()&lt;=$BG$1+4),"………………..",IFERROR(INDEX($AC$3:$AC$398,MATCH(ROWS(BK$3:BK17),BG$3:BG$398,0),1),"")))</f>
        <v/>
      </c>
      <c r="BL17" s="48">
        <f t="shared" ca="1" si="69"/>
        <v>0</v>
      </c>
      <c r="BM17" s="48" t="str">
        <f ca="1">IF(AND(OR($DY$2=0,$DY$1=0),$I$1=2,ROW()&gt;$BH$1+2,ROW()&lt;=$BH$1+4),"………………..",IF(AND(OR($DY$2&gt;0,$DY$1&gt;0),$I$1=2,ROW()&gt;$BH$1+2,ROW()&lt;=$BH$1+4),"………………..",IFERROR(INDEX($AC$3:$AC$400,MATCH(ROWS(BM$3:BM17),BH$3:BH$400,0),1),"")))</f>
        <v/>
      </c>
      <c r="BN17" s="48">
        <f t="shared" ca="1" si="9"/>
        <v>0</v>
      </c>
      <c r="BO17" s="48" t="str">
        <f ca="1">IF(AND(OR($DY$2=0,$DY$1=0),$I$1=2,ROW()&gt;$BI$1+2,ROW()&lt;=$BI$1+4),"………………..",IF(AND(OR($DY$2&gt;0,$DY$1&gt;0),$I$1=2,ROW()&gt;$BI$1+2,ROW()&lt;=$BI$1+4),"………………..",IFERROR(INDEX($AC$3:$AC$400,MATCH(ROWS(BO$3:BO17),BI$3:BI$400,0),1),"")))</f>
        <v/>
      </c>
      <c r="BP17" s="48">
        <f t="shared" ca="1" si="10"/>
        <v>0</v>
      </c>
      <c r="BQ17" s="48" t="str">
        <f ca="1">IF(AND(OR($DY$2=0,$DY$1=0),$I$1=2,ROW()&gt;$BJ$1+2,ROW()&lt;=$BJ$1+4),"………………..",IF(AND(OR($DY$2&gt;0,$DY$1&gt;0),$I$1=2,ROW()&gt;$BJ$1+2,ROW()&lt;=$BJ$1+4),"………………..",IFERROR(INDEX($AC$3:$AC$400,MATCH(ROWS(BQ$3:BQ17),BJ$3:BJ$400,0),1),"")))</f>
        <v/>
      </c>
      <c r="BR17" s="48">
        <f t="shared" ca="1" si="11"/>
        <v>0</v>
      </c>
      <c r="BS17" s="48">
        <f ca="1">IF(IF(AND(OR(INDEX(PDC,MATCH($AC17,DEN_PDC,0),4)="D",INDEX(PDC,MATCH($AC17,DEN_PDC,0),4)="D/A"),SUMIFS(DARE,DEN_G,$AC17)&gt;=SUMIFS(AVERE,DEN_G,$AC17)),SUMIFS(DARE,DEN_G,$AC17),IF(AND(OR(INDEX(PDC,MATCH($AC17,DEN_PDC,0),4)="A",INDEX(PDC,MATCH($AC17,DEN_PDC,0),4)="D/A"),SUMIFS(AVERE,DEN_G,$AC17)&gt;=SUMIFS(DARE,DEN_G,$AC17)),SUMIFS(AVERE,DEN_G,$AC17),))&gt;0,MAX($BS$2:BS16)+1,0)</f>
        <v>0</v>
      </c>
      <c r="BT17" s="48" t="str">
        <f ca="1">IF($CO$1=0,"",IF(AND($I$1=2,ROW()&gt;$BR$1,ROW()&lt;=$BS$1)," …………….",IF(AND($E$1=1,$BX$1=1,$I$1=2,ROW()=$BQ$1),"TOTALI",IFERROR(INDEX(PDC,MATCH(ROWS(BT$3:BT17),BS$3:BS414,0),2),""))))</f>
        <v/>
      </c>
      <c r="BU17" s="48">
        <f t="shared" ca="1" si="12"/>
        <v>0</v>
      </c>
      <c r="BV17" s="48">
        <f t="shared" ca="1" si="13"/>
        <v>0</v>
      </c>
      <c r="BW17" s="48">
        <f t="shared" ca="1" si="14"/>
        <v>0</v>
      </c>
      <c r="BX17" s="48">
        <f t="shared" ca="1" si="15"/>
        <v>0</v>
      </c>
      <c r="BY17" s="48">
        <f ca="1">IF(OR(BW17&gt;0,BX17&gt;0),MAX($BY$2:BY16)+1,0)</f>
        <v>0</v>
      </c>
      <c r="BZ17" s="48" t="str">
        <f ca="1">IFERROR(INDEX($BT$3:$BY$400,MATCH(ROWS(BZ$3:BZ17),$BY$3:$BY$400,0),1),"")</f>
        <v/>
      </c>
      <c r="CA17" s="48" t="str">
        <f ca="1">IFERROR(INDEX($BT$3:$BY$400,MATCH(ROWS(CA$3:CA17),$BY$3:$BY$400,0),4),"")</f>
        <v/>
      </c>
      <c r="CB17" s="48" t="str">
        <f ca="1">IFERROR(INDEX($BT$3:$BY$400,MATCH(ROWS(CB$3:CB17),$BY$3:$BY$400,0),5),"")</f>
        <v/>
      </c>
      <c r="CC17" s="48" t="str">
        <f t="shared" ca="1" si="16"/>
        <v/>
      </c>
      <c r="CD17" s="48">
        <f ca="1">IF(AND($BF$9=1,CE17&lt;&gt;0),MAX($CD$2:CD16)+1,0)</f>
        <v>0</v>
      </c>
      <c r="CE17" s="48">
        <f ca="1">IF(ROUND(SUMIFS(COPIA!$CA$3:$CA$400,COPIA!$CC$3:$CC$400,CF17)-SUMIFS(COPIA!$CB$3:$CB$400,COPIA!$CC$3:$CC$400,CF17),0)&lt;0,0,ROUND(SUMIFS(COPIA!$CA$3:$CA$400,COPIA!$CC$3:$CC$400,CF17)-SUMIFS(COPIA!$CB$3:$CB$400,COPIA!$CC$3:$CC$400,CF17),0))</f>
        <v>0</v>
      </c>
      <c r="CF17" s="48" t="s">
        <v>616</v>
      </c>
      <c r="CG17" s="242" t="s">
        <v>848</v>
      </c>
      <c r="CH17" s="242">
        <f t="shared" ca="1" si="70"/>
        <v>0</v>
      </c>
      <c r="CI17" s="242"/>
      <c r="CJ17" s="242"/>
      <c r="CL17" s="242"/>
      <c r="CM17" s="242" t="str">
        <f t="shared" ca="1" si="37"/>
        <v/>
      </c>
      <c r="CN17" s="243">
        <f t="shared" ca="1" si="38"/>
        <v>0</v>
      </c>
      <c r="CO17" s="48" t="str">
        <f t="shared" ca="1" si="39"/>
        <v/>
      </c>
      <c r="CQ17" s="242"/>
      <c r="CR17" s="242"/>
      <c r="CT17" s="242"/>
      <c r="CU17" s="48">
        <f ca="1">IF(SUMIFS(AVERE,DEN_G,AC17,AVERE,"&gt;"&amp;0)+SUMIFS(DARE,DEN_G,AC17,DARE,"&gt;"&amp;0)&gt;0,MAX($CU$2:CU16)+1,0)</f>
        <v>0</v>
      </c>
      <c r="CV17" s="48" t="str">
        <f ca="1">IF(IFERROR(INDEX(PDC,MATCH(ROWS($CV$3:CV17),$CU$3:$CU$400,0),2),"")="CONTO DI RISULTATO ECONOMICO","",IFERROR(INDEX(PDC,MATCH(ROWS($CV$3:CV17),$CU$3:$CU$400,0),2),""))</f>
        <v/>
      </c>
      <c r="CW17" s="48">
        <f ca="1">IFERROR(IF(CV17&lt;&gt;"",MAX($CW$2:CW16)+1,0),0)</f>
        <v>0</v>
      </c>
      <c r="CX17" s="48">
        <f t="shared" ref="CX17:CX27" ca="1" si="73">$FF$4</f>
        <v>2</v>
      </c>
      <c r="CY17" s="48" t="str">
        <f t="shared" ca="1" si="71"/>
        <v>MASTRO</v>
      </c>
      <c r="DA17" s="48" t="str">
        <f ca="1">IF(DB16="","","Num. riga")</f>
        <v/>
      </c>
      <c r="DB17" s="48" t="str">
        <f t="shared" ref="DB17" ca="1" si="74">IF(DB16="","","Data")</f>
        <v/>
      </c>
      <c r="DC17" s="48" t="str">
        <f ca="1">IF(DB16="","","Operazioni")</f>
        <v/>
      </c>
      <c r="DD17" s="48" t="str">
        <f ca="1">IF(DB16="","","Dare        ")</f>
        <v/>
      </c>
      <c r="DE17" s="48" t="str">
        <f ca="1">IF(DB16="","","Avere        ")</f>
        <v/>
      </c>
      <c r="DF17" s="48">
        <f ca="1">IF(AND(CX17=$DF$1,CX17&lt;&gt;""),0,IF(AND(DB17&lt;&gt;"",OR(DB16&lt;&gt;"",DB18&lt;&gt;"")),MAX($DF$2:DF16)+1,0))</f>
        <v>0</v>
      </c>
      <c r="DG17" s="48">
        <f t="shared" ca="1" si="72"/>
        <v>0</v>
      </c>
      <c r="DH17" s="244" t="s">
        <v>469</v>
      </c>
      <c r="DI17" s="48" t="str">
        <f ca="1">IFERROR(IF(AND($DL$1=TRUE,DG17&lt;&gt;0),CONCATENATE("SOCIO ",DG17," C/REINTEGRO"),IF(AND($DL$1=FALSE,DG17&lt;&gt;0),CONCATENATE("AZIONISTA ",DG17," C/REINTEGRO"),"")),"")</f>
        <v/>
      </c>
      <c r="DJ17" s="48" t="s">
        <v>312</v>
      </c>
      <c r="DK17" s="48" t="s">
        <v>275</v>
      </c>
      <c r="DL17" s="48" t="s">
        <v>6</v>
      </c>
      <c r="DM17" s="48" t="s">
        <v>270</v>
      </c>
      <c r="DN17" s="48">
        <f ca="1">IF(DI17&lt;&gt;"",MAX($DN$2:DN16)+1,0)</f>
        <v>0</v>
      </c>
      <c r="DO17" s="48" t="str">
        <f t="shared" ca="1" si="65"/>
        <v>paa</v>
      </c>
      <c r="DP17" s="48">
        <f ca="1">DP12</f>
        <v>0</v>
      </c>
      <c r="DQ17" s="227" t="s">
        <v>490</v>
      </c>
      <c r="DR17" s="48" t="str">
        <f ca="1">IFERROR(IF(DP17&lt;&gt;0,CONCATENATE("SOCIO ",DP17," C/PRELEVAMENTI"),""),"")</f>
        <v/>
      </c>
      <c r="DS17" s="48" t="s">
        <v>312</v>
      </c>
      <c r="DT17" s="48" t="s">
        <v>275</v>
      </c>
      <c r="DU17" s="48" t="s">
        <v>6</v>
      </c>
      <c r="DV17" s="48" t="s">
        <v>270</v>
      </c>
      <c r="DW17" s="48">
        <f ca="1">IF(DR17&lt;&gt;"",MAX($DW$2:DW16)+1,0)</f>
        <v>0</v>
      </c>
      <c r="DX17" s="48" t="str">
        <f t="shared" ca="1" si="66"/>
        <v>paa</v>
      </c>
      <c r="DY17" s="48" t="str">
        <f t="shared" ca="1" si="19"/>
        <v/>
      </c>
      <c r="DZ17" s="48" t="str">
        <f t="shared" ca="1" si="40"/>
        <v/>
      </c>
      <c r="EA17" s="48" t="str">
        <f t="shared" ca="1" si="41"/>
        <v/>
      </c>
      <c r="EB17" s="48">
        <f t="shared" ca="1" si="42"/>
        <v>0</v>
      </c>
      <c r="EC17" s="48">
        <f t="shared" ca="1" si="43"/>
        <v>0</v>
      </c>
      <c r="ED17" s="48" t="str">
        <f t="shared" ca="1" si="44"/>
        <v/>
      </c>
      <c r="EE17" s="48">
        <f t="shared" ca="1" si="45"/>
        <v>0</v>
      </c>
      <c r="EF17" s="48" t="str">
        <f t="shared" ca="1" si="46"/>
        <v/>
      </c>
      <c r="EG17" s="48">
        <f t="shared" ca="1" si="47"/>
        <v>0</v>
      </c>
      <c r="EH17" s="48" t="str">
        <f t="shared" ca="1" si="48"/>
        <v/>
      </c>
      <c r="EI17" s="48">
        <f t="shared" ca="1" si="49"/>
        <v>0</v>
      </c>
      <c r="EJ17" s="48" t="str">
        <f t="shared" ca="1" si="50"/>
        <v/>
      </c>
      <c r="EK17" s="48">
        <f t="shared" ca="1" si="51"/>
        <v>0</v>
      </c>
      <c r="EL17" s="48">
        <f t="shared" ca="1" si="20"/>
        <v>0</v>
      </c>
      <c r="EM17" s="48">
        <f ca="1">IF(EL17&gt;=0,0,MAX($EM$2:EM16)+1)</f>
        <v>0</v>
      </c>
      <c r="EN17" s="48" t="str">
        <f t="shared" ca="1" si="21"/>
        <v/>
      </c>
      <c r="EO17" s="48" t="str">
        <f ca="1">IFERROR(INDEX($EM$3:$EN$400,MATCH(ROWS($EO$3:EO17),$EM$3:$EM$400,0),2),"")</f>
        <v/>
      </c>
      <c r="EP17" s="48">
        <f>ROW()</f>
        <v>17</v>
      </c>
      <c r="EQ17" s="48">
        <f t="shared" ca="1" si="22"/>
        <v>0</v>
      </c>
      <c r="ER17" s="48">
        <f ca="1">IF(ISNA(EQ17)=TRUE,MAX($ER$2:ER16)+1,0)</f>
        <v>0</v>
      </c>
      <c r="ES17" s="48" t="str">
        <f t="shared" ca="1" si="52"/>
        <v/>
      </c>
      <c r="ET17" s="48" t="str">
        <f ca="1">IFERROR(INDEX($ER$3:$ES$400,MATCH(ROWS($ET$3:ET17),$ER$3:$ER$400,0),2),"")</f>
        <v/>
      </c>
      <c r="EU17" s="48">
        <f ca="1">IF(ROUND(SUMIFS(COPIA!$CA$3:$CA$400,COPIA!$CC$3:$CC$400,CF17)-SUMIFS(COPIA!$CB$3:$CB$400,COPIA!$CC$3:$CC$400,CF17),0)&lt;0,1,0)</f>
        <v>0</v>
      </c>
      <c r="EV17" s="48">
        <f ca="1">IFERROR(INDEX(LIBRO_GIORNALE!$O$11:$P$408,MATCH(ROWS($EV$2:EV16),LIBRO_GIORNALE!$P$11:$P$408,0),1),0)</f>
        <v>0</v>
      </c>
      <c r="EW17" s="48" t="str">
        <f t="shared" ca="1" si="53"/>
        <v>0</v>
      </c>
      <c r="EX17" s="48">
        <f t="shared" ca="1" si="54"/>
        <v>0</v>
      </c>
      <c r="EY17" s="48">
        <f ca="1">IF(EX17&gt;0,MAX($EY$2:EY16)+1,0)</f>
        <v>0</v>
      </c>
      <c r="EZ17" s="48">
        <f ca="1">IFERROR(INDEX($EX$3:$EX$400,MATCH(ROWS($EZ$3:EZ17),$EY$3:$EY$400,0),1),0)</f>
        <v>0</v>
      </c>
      <c r="FA17" s="48">
        <f ca="1">IF(EZ17&gt;0,0,MAX($FA$2:FA16)+1)</f>
        <v>15</v>
      </c>
      <c r="FB17" s="48">
        <f t="shared" ca="1" si="55"/>
        <v>0</v>
      </c>
      <c r="FC17" s="48">
        <f t="shared" ca="1" si="56"/>
        <v>15</v>
      </c>
      <c r="FD17" s="48">
        <f t="shared" ca="1" si="57"/>
        <v>15</v>
      </c>
      <c r="FE17" s="48">
        <f ca="1">IF(FD17=0,0,MAX($FE$2:FE16)+1)</f>
        <v>15</v>
      </c>
      <c r="FF17" s="48">
        <f ca="1">IFERROR(INDEX($FD$3:$FE$400,MATCH(ROWS($FF$3:FF17),$FE$3:$FE$400,0),1),"")</f>
        <v>15</v>
      </c>
      <c r="FH17" s="48">
        <f t="shared" ca="1" si="58"/>
        <v>0</v>
      </c>
      <c r="FI17" s="48">
        <f ca="1">IF(FH17&lt;&gt;0,MAX($FI$2:FI16)+1,0)</f>
        <v>0</v>
      </c>
      <c r="FJ17" s="48" t="str">
        <f ca="1">IFERROR(INDEX($FH$3:$FI$400,MATCH(ROWS($FJ$3:FJ17),$FI$3:$FI$400,0),1),"")</f>
        <v/>
      </c>
      <c r="FK17" s="48">
        <f ca="1">IF(ABS(SUMIFS(DARE,DEN_G,"="&amp;FJ17,DATA,"&lt;="&amp;FINE_AC,DATA,"&gt;="&amp;INIZIO_A_PC)-SUMIFS(AVERE,DEN_G,"="&amp;FJ17,DATA,"&lt;="&amp;FINE_AC,DATA,"&gt;="&amp;INIZIO_A_PC))&gt;0,MAX($FK$2:FK16)+1,0)</f>
        <v>0</v>
      </c>
      <c r="FL17" s="48" t="str">
        <f ca="1">IF(AND(ROW()-2&lt;&gt;1,ROW()-2&lt;=$FK$1),CONCATENATE(" - ",IFERROR(INDEX($FJ$3:$FK$400,MATCH(ROWS($FL$3:FL17),$FK$3:$FK$400,0),1),"")),IFERROR(INDEX($FJ$3:$FK$400,MATCH(ROWS($FL$3:FL17),$FK$3:$FK$400,0),1),""))</f>
        <v/>
      </c>
      <c r="FM17" s="48">
        <f ca="1">IF(OR(B17="IVA ns/credito",B17="IVA NS/DEBITO",B17="IVA C/ACCONTO",B17="IMPOSTE C/ACCONTO",B17="CREDITI PER RITENUTE SUBITE",B17="CREDITI D'IMPOSTA"),MAX($FM$2:FM16)+1,0)</f>
        <v>0</v>
      </c>
      <c r="FN17" s="48" t="str">
        <f t="shared" ca="1" si="59"/>
        <v/>
      </c>
      <c r="FO17" s="48" t="str">
        <f ca="1">IFERROR(INDEX($FM$3:$FN$400,MATCH(ROWS($FO$3:FO17),$FM$3:$FM$400,0),2),"")</f>
        <v/>
      </c>
      <c r="FP17" s="48">
        <f ca="1">IF(ABS(SUMIFS(DARE,DEN_G,"="&amp;FO17,DATA,"&lt;="&amp;FINE_AC,DATA,"&gt;="&amp;INIZIO_A_PC)-SUMIFS(AVERE,DEN_G,"="&amp;FO17,DATA,"&lt;="&amp;FINE_AC,DATA,"&gt;="&amp;INIZIO_A_PC))&gt;0,MAX($FP$2:FP16)+1,0)</f>
        <v>0</v>
      </c>
      <c r="FQ17" s="48" t="str">
        <f ca="1">IF(AND(ROW()-2&lt;&gt;1,ROW()-2&lt;=$FP$1),CONCATENATE(" - ",IFERROR(INDEX($FO$3:$FP$400,MATCH(ROWS($FQ$3:FQ17),$FP$3:$FP$400,0),1),"")),IFERROR(INDEX($FO$3:$FP$400,MATCH(ROWS($FQ$3:FQ17),$FP$3:$FP$400,0),1),""))</f>
        <v/>
      </c>
    </row>
    <row r="18" spans="1:173" x14ac:dyDescent="0.3">
      <c r="A18" s="48" t="str">
        <f ca="1">IFERROR(IF($A$1=2,INDEX($DH$3:$DN$401,MATCH(ROWS(A$3:A18),$DN$3:$DN$401,0),COLUMN()),IF($A$1=1,INDEX($DQ$3:$DW$401,MATCH(ROWS(A$3:A18),$DW$3:$DW$401,0),COLUMN()),"")),"")</f>
        <v>01.15</v>
      </c>
      <c r="B18" s="48" t="str">
        <f ca="1">IFERROR(IF($A$1=2,INDEX($DH$3:$DN$401,MATCH(ROWS(B$3:B18),$DN$3:$DN$401,0),COLUMN()),IF($A$1=1,INDEX($DQ$3:$DW$400,MATCH(ROWS(B$3:B18),$DW$3:$DW$401,0),COLUMN()),"")),"")</f>
        <v>FONDO AMMORTAMENTO SOFTWARE</v>
      </c>
      <c r="C18" s="48" t="str">
        <f ca="1">IFERROR(IF($A$1=2,INDEX($DH$3:$DN$401,MATCH(ROWS(C$3:C18),$DN$3:$DN$401,0),COLUMN()),IF($A$1=1,INDEX($DQ$3:$DW$401,MATCH(ROWS(C$3:C18),$DW$3:$DW$401,0),COLUMN()),"")),"")</f>
        <v>E</v>
      </c>
      <c r="D18" s="48" t="str">
        <f ca="1">IFERROR(IF($A$1=2,INDEX($DH$3:$DN$401,MATCH(ROWS(D$3:D18),$DN$3:$DN$401,0),COLUMN()),IF($A$1=1,INDEX($DQ$3:$DW$401,MATCH(ROWS(D$3:D18),$DW$3:$DW$401,0),COLUMN()),"")),"")</f>
        <v>A</v>
      </c>
      <c r="E18" s="48" t="str">
        <f ca="1">IFERROR(IF($A$1=2,INDEX($DH$3:$DN$401,MATCH(ROWS(E$3:E18),$DN$3:$DN$401,0),COLUMN()),IF($A$1=1,INDEX($DQ$3:$DW$401,MATCH(ROWS(E$3:E18),$DW$3:$DW$401,0),COLUMN()),"")),"")</f>
        <v>RETTIFICHE COSTI PLURIENNALI</v>
      </c>
      <c r="F18" s="48" t="str">
        <f ca="1">IFERROR(IF($A$1=2,INDEX($DH$3:$DN$401,MATCH(ROWS(F$3:F18),$DN$3:$DN$401,0),COLUMN()),IF($A$1=1,INDEX($DQ$3:$DX$401,MATCH(ROWS(F$3:F18),$DW$3:$DW$401,0),COLUMN()),"")),"")</f>
        <v>SP AVERE</v>
      </c>
      <c r="G18" s="48" t="str">
        <f t="shared" ca="1" si="23"/>
        <v>SP</v>
      </c>
      <c r="H18" s="48" t="str">
        <f ca="1">IFERROR(IF($A$1=2,INDEX($DH$3:$DO$400,MATCH(ROWS(H$3:H18),$DN$3:$DN$400,0),COLUMN()),IF($A$1=1,INDEX($DQ$3:$DX$400,MATCH(ROWS(H$3:H18),$DW$3:$DW$400,0),COLUMN()),"")),"")</f>
        <v>pab1</v>
      </c>
      <c r="I18" s="48" t="str">
        <f t="shared" ca="1" si="0"/>
        <v/>
      </c>
      <c r="J18" s="48" t="str">
        <f t="shared" ca="1" si="24"/>
        <v/>
      </c>
      <c r="K18" s="48">
        <f t="shared" ca="1" si="25"/>
        <v>0</v>
      </c>
      <c r="L18" s="48">
        <f t="shared" ca="1" si="26"/>
        <v>0</v>
      </c>
      <c r="M18" s="48">
        <f ca="1">IFERROR(IF(IF(MID($A18,3,3)=".00",MID(A18,1,2),"")&lt;&gt;"",MAX($M$2:M17)+1,0),"")</f>
        <v>0</v>
      </c>
      <c r="N18" s="48" t="str">
        <f t="shared" ca="1" si="27"/>
        <v/>
      </c>
      <c r="O18" s="48" t="str">
        <f ca="1">IF(IFERROR(INDEX($N$3:$O$400,MATCH(ROWS($O$3:O18),$M$3:$M$400,0),1),"")&lt;&gt;"",CONCATENATE(INDEX($N$3:$O$400,MATCH(ROWS($O$3:O18),$M$3:$M$400,0),1),".00"),"")</f>
        <v>15.00</v>
      </c>
      <c r="P18" s="48" t="str">
        <f t="shared" ca="1" si="28"/>
        <v>DEBITI DIVERSI</v>
      </c>
      <c r="Q18" s="48">
        <f ca="1">IF(M18&gt;=1,0,MAX($Q$2:Q17)+1)</f>
        <v>14</v>
      </c>
      <c r="R18" s="93">
        <f ca="1">IF(AND($U$2=1,S18&lt;&gt;""),MAX($R$2:R17)+1,0)</f>
        <v>0</v>
      </c>
      <c r="S18" s="48" t="s">
        <v>480</v>
      </c>
      <c r="T18" s="48" t="str">
        <f ca="1">IFERROR(INDEX($R$3:$S$64,MATCH(ROWS($T$2:T17),$R$3:$R$64,0),2),"")</f>
        <v>DEBITI COMMERCIALI</v>
      </c>
      <c r="U18" s="48" t="str">
        <f ca="1">IFERROR(INDEX(PDC,MATCH(ROWS(U$3:U18),$V$3:$V$400,0),2),"")</f>
        <v>IMMOBILIZZAZIONI IMMATERIALI IN CORSO</v>
      </c>
      <c r="V18" s="48">
        <f ca="1">IF(AND($T$1="VISUALIZZA TUTTI I CONTI",AA18&lt;&gt;""),MAX($V$2:V17)+1,IF(AND($U$2=2,AI18=$T$1),MAX($V$2:V17)+1,IF(AND($U$2=1,$T$1=AF18),MAX($V$2:V17)+1,0)))</f>
        <v>16</v>
      </c>
      <c r="W18" s="48">
        <f ca="1">IF(INIZIO_AC&gt;INIZIO_A_PC,IF(SUM(W15,W16)=0,0,1),0)</f>
        <v>0</v>
      </c>
      <c r="AA18" s="48" t="str">
        <f t="shared" ca="1" si="29"/>
        <v>01.00</v>
      </c>
      <c r="AB18" s="48" t="str">
        <f ca="1">IFERROR(INDEX($A$3:$G$400,MATCH(ROWS(AB$3:AB18),$Q$3:$Q$400,0),1),"")</f>
        <v>01.30</v>
      </c>
      <c r="AC18" s="48" t="str">
        <f ca="1">IFERROR(INDEX($A$3:$G$400,MATCH(ROWS($AC$3:AC18),$Q$3:$Q$400,0),2),"")</f>
        <v>IMMOBILIZZAZIONI IMMATERIALI IN CORSO</v>
      </c>
      <c r="AD18" s="48" t="str">
        <f ca="1">IFERROR(INDEX($A$3:$G$400,MATCH(ROWS(AD$3:AD18),$Q$3:$Q$400,0),3),"")</f>
        <v>E</v>
      </c>
      <c r="AE18" s="48" t="str">
        <f ca="1">IFERROR(INDEX($A$3:$G$400,MATCH(ROWS(AE$3:AE18),$Q$3:$Q$400,0),4),"")</f>
        <v>D</v>
      </c>
      <c r="AF18" s="48" t="str">
        <f ca="1">IFERROR(INDEX($A$3:$G$400,MATCH(ROWS(AF$3:AF18),$Q$3:$Q$400,0),5),"")</f>
        <v>COSTI PLURIENNALI</v>
      </c>
      <c r="AG18" s="48" t="str">
        <f ca="1">IFERROR(INDEX($A$3:$G$400,MATCH(ROWS(AG$3:AG18),$Q$3:$Q$400,0),6),"")</f>
        <v>SP DARE</v>
      </c>
      <c r="AH18" s="48" t="str">
        <f ca="1">IFERROR(INDEX($A$3:$G$400,MATCH(ROWS(AH$3:AH18),$Q$3:$Q$400,0),7),"")</f>
        <v>SP</v>
      </c>
      <c r="AI18" s="48" t="str">
        <f t="shared" ca="1" si="1"/>
        <v>IMMOBILIZZAZIONI IMMATERIALI</v>
      </c>
      <c r="AJ18" s="48" t="str">
        <f ca="1">IFERROR(INDEX($A$3:$H$400,MATCH(ROWS(AJ$3:AJ18),$Q$3:$Q$400,0),8),"")</f>
        <v>pab1</v>
      </c>
      <c r="AK18" s="48">
        <f t="shared" ca="1" si="2"/>
        <v>0</v>
      </c>
      <c r="AL18" s="48">
        <f t="shared" ca="1" si="3"/>
        <v>0</v>
      </c>
      <c r="AM18" s="48">
        <f t="shared" ca="1" si="30"/>
        <v>0</v>
      </c>
      <c r="AN18" s="48" t="str">
        <f t="shared" ca="1" si="31"/>
        <v/>
      </c>
      <c r="AO18" s="48">
        <f t="shared" ca="1" si="32"/>
        <v>0</v>
      </c>
      <c r="AP18" s="48">
        <f t="shared" ca="1" si="32"/>
        <v>0</v>
      </c>
      <c r="AQ18" s="48" t="str">
        <f t="shared" ca="1" si="4"/>
        <v>IMMOBILIZZAZIONI IMMATERIALI IN CORSO</v>
      </c>
      <c r="AR18" s="48">
        <f t="shared" ca="1" si="5"/>
        <v>0</v>
      </c>
      <c r="AS18" s="48">
        <f t="shared" ca="1" si="6"/>
        <v>0</v>
      </c>
      <c r="AT18" s="48">
        <f t="shared" ca="1" si="33"/>
        <v>0</v>
      </c>
      <c r="AU18" s="48">
        <f t="shared" ca="1" si="34"/>
        <v>0</v>
      </c>
      <c r="AV18" s="48">
        <f ca="1">IF(OR(AT18&gt;0,AU18&gt;0),MAX($AV$2:AV17)+1,0)</f>
        <v>0</v>
      </c>
      <c r="AZ18" s="241" t="str">
        <f t="shared" ca="1" si="35"/>
        <v/>
      </c>
      <c r="BA18" s="48">
        <f t="shared" ca="1" si="7"/>
        <v>0</v>
      </c>
      <c r="BB18" s="48">
        <f ca="1">IFERROR(INDEX($AQ$3:$AV$220,MATCH(ROWS($BB$3:BB18),$AV$3:$AV$220,0),1),0)</f>
        <v>0</v>
      </c>
      <c r="BC18" s="48" t="str">
        <f t="shared" ca="1" si="36"/>
        <v/>
      </c>
      <c r="BD18" s="48">
        <f ca="1">IFERROR(INDEX($AQ$3:$AV$220,MATCH(ROWS($BB$3:BD18),$AV$3:$AV$220,0),4),0)</f>
        <v>0</v>
      </c>
      <c r="BE18" s="48">
        <f ca="1">IFERROR(INDEX($AQ$3:$AV$220,MATCH(ROWS($BB$3:BE18),$AV$3:$AV$220,0),5),0)</f>
        <v>0</v>
      </c>
      <c r="BF18" s="48">
        <v>4</v>
      </c>
      <c r="BG18" s="48">
        <f ca="1">IF(IF(AND(OR(INDEX(PDC,MATCH($AC18,DEN_PDC,0),6)="SP DARE",INDEX(PDC,MATCH($AC18,DEN_PDC,0),6)="SP DARE/AVERE"),SUMIFS(DARE,DEN_G,$AC18)&gt;=SUMIFS(AVERE,DEN_G,$AC18)),SUMIFS(DARE,DEN_G,$AC18)-SUMIFS(AVERE,DEN_G,$AC18),0)&gt;0,MAX($BG$2:BG17)+1,0)</f>
        <v>0</v>
      </c>
      <c r="BH18" s="48">
        <f ca="1">IF(IF(AND(OR(INDEX(PDC,MATCH($AC18,DEN_PDC,0),6)="SP AVERE",INDEX(PDC,MATCH($AC18,DEN_PDC,0),6)="SP DARE/AVERE"),SUMIFS(AVERE,DEN_G,$AC18)&gt;=SUMIFS(DARE,DEN_G,$AC18)),SUMIFS(AVERE,DEN_G,$AC18)-SUMIFS(DARE,DEN_G,$AC18),0)&gt;0,MAX(BH$2:BH17)+1,0)</f>
        <v>0</v>
      </c>
      <c r="BI18" s="48">
        <f ca="1">IF(IF(AND(OR(INDEX(PDC,MATCH($AC18,DEN_PDC,0),6)="SE DARE",INDEX(PDC,MATCH($AC18,DEN_PDC,0),6)="SE DARE/AVERE"),SUMIFS(DARE,DEN_G,$AC18)&gt;=SUMIFS(AVERE,DEN_G,$AC18)),SUMIFS(DARE,DEN_G,$AC18)-SUMIFS(AVERE,DEN_G,$AC18),0)&gt;0,MAX(BI$2:BI17)+1,0)</f>
        <v>0</v>
      </c>
      <c r="BJ18" s="48">
        <f ca="1">IF(IF(AND(OR(INDEX(PDC,MATCH($AC18,DEN_PDC,0),6)="SE AVERE",INDEX(PDC,MATCH($AC18,DEN_PDC,0),6)="SE DARE/AVERE"),SUMIFS(AVERE,DEN_G,$AC18)&gt;=SUMIFS(DARE,DEN_G,$AC18)),SUMIFS(AVERE,DEN_G,$AC18)-SUMIFS(DARE,DEN_G,$AC18),0)&gt;0,MAX(BJ$2:BJ17)+1,0)</f>
        <v>0</v>
      </c>
      <c r="BK18" s="48" t="str">
        <f ca="1">IF(AND(AND($DY$2=0,$DY$1=0),$I$1=2,ROW()&gt;$BG$1+2,ROW()&lt;=$BG$1+4),"………………..",IF(AND(OR($DY$2&gt;0,$DY$1&gt;0),$I$1=2,ROW()&gt;$BG$1+2,ROW()&lt;=$BG$1+4),"………………..",IFERROR(INDEX($AC$3:$AC$398,MATCH(ROWS(BK$3:BK18),BG$3:BG$398,0),1),"")))</f>
        <v/>
      </c>
      <c r="BL18" s="48">
        <f t="shared" ca="1" si="69"/>
        <v>0</v>
      </c>
      <c r="BM18" s="48" t="str">
        <f ca="1">IF(AND(OR($DY$2=0,$DY$1=0),$I$1=2,ROW()&gt;$BH$1+2,ROW()&lt;=$BH$1+4),"………………..",IF(AND(OR($DY$2&gt;0,$DY$1&gt;0),$I$1=2,ROW()&gt;$BH$1+2,ROW()&lt;=$BH$1+4),"………………..",IFERROR(INDEX($AC$3:$AC$400,MATCH(ROWS(BM$3:BM18),BH$3:BH$400,0),1),"")))</f>
        <v/>
      </c>
      <c r="BN18" s="48">
        <f t="shared" ca="1" si="9"/>
        <v>0</v>
      </c>
      <c r="BO18" s="48" t="str">
        <f ca="1">IF(AND(OR($DY$2=0,$DY$1=0),$I$1=2,ROW()&gt;$BI$1+2,ROW()&lt;=$BI$1+4),"………………..",IF(AND(OR($DY$2&gt;0,$DY$1&gt;0),$I$1=2,ROW()&gt;$BI$1+2,ROW()&lt;=$BI$1+4),"………………..",IFERROR(INDEX($AC$3:$AC$400,MATCH(ROWS(BO$3:BO18),BI$3:BI$400,0),1),"")))</f>
        <v/>
      </c>
      <c r="BP18" s="48">
        <f t="shared" ca="1" si="10"/>
        <v>0</v>
      </c>
      <c r="BQ18" s="48" t="str">
        <f ca="1">IF(AND(OR($DY$2=0,$DY$1=0),$I$1=2,ROW()&gt;$BJ$1+2,ROW()&lt;=$BJ$1+4),"………………..",IF(AND(OR($DY$2&gt;0,$DY$1&gt;0),$I$1=2,ROW()&gt;$BJ$1+2,ROW()&lt;=$BJ$1+4),"………………..",IFERROR(INDEX($AC$3:$AC$400,MATCH(ROWS(BQ$3:BQ18),BJ$3:BJ$400,0),1),"")))</f>
        <v/>
      </c>
      <c r="BR18" s="48">
        <f t="shared" ca="1" si="11"/>
        <v>0</v>
      </c>
      <c r="BS18" s="48">
        <f ca="1">IF(IF(AND(OR(INDEX(PDC,MATCH($AC18,DEN_PDC,0),4)="D",INDEX(PDC,MATCH($AC18,DEN_PDC,0),4)="D/A"),SUMIFS(DARE,DEN_G,$AC18)&gt;=SUMIFS(AVERE,DEN_G,$AC18)),SUMIFS(DARE,DEN_G,$AC18),IF(AND(OR(INDEX(PDC,MATCH($AC18,DEN_PDC,0),4)="A",INDEX(PDC,MATCH($AC18,DEN_PDC,0),4)="D/A"),SUMIFS(AVERE,DEN_G,$AC18)&gt;=SUMIFS(DARE,DEN_G,$AC18)),SUMIFS(AVERE,DEN_G,$AC18),))&gt;0,MAX($BS$2:BS17)+1,0)</f>
        <v>0</v>
      </c>
      <c r="BT18" s="48" t="str">
        <f ca="1">IF($CO$1=0,"",IF(AND($I$1=2,ROW()&gt;$BR$1,ROW()&lt;=$BS$1)," …………….",IF(AND($E$1=1,$BX$1=1,$I$1=2,ROW()=$BQ$1),"TOTALI",IFERROR(INDEX(PDC,MATCH(ROWS(BT$3:BT18),BS$3:BS415,0),2),""))))</f>
        <v/>
      </c>
      <c r="BU18" s="48">
        <f t="shared" ca="1" si="12"/>
        <v>0</v>
      </c>
      <c r="BV18" s="48">
        <f t="shared" ca="1" si="13"/>
        <v>0</v>
      </c>
      <c r="BW18" s="48">
        <f t="shared" ca="1" si="14"/>
        <v>0</v>
      </c>
      <c r="BX18" s="48">
        <f t="shared" ca="1" si="15"/>
        <v>0</v>
      </c>
      <c r="BY18" s="48">
        <f ca="1">IF(OR(BW18&gt;0,BX18&gt;0),MAX($BY$2:BY17)+1,0)</f>
        <v>0</v>
      </c>
      <c r="BZ18" s="48" t="str">
        <f ca="1">IFERROR(INDEX($BT$3:$BY$400,MATCH(ROWS(BZ$3:BZ18),$BY$3:$BY$400,0),1),"")</f>
        <v/>
      </c>
      <c r="CA18" s="48" t="str">
        <f ca="1">IFERROR(INDEX($BT$3:$BY$400,MATCH(ROWS(CA$3:CA18),$BY$3:$BY$400,0),4),"")</f>
        <v/>
      </c>
      <c r="CB18" s="48" t="str">
        <f ca="1">IFERROR(INDEX($BT$3:$BY$400,MATCH(ROWS(CB$3:CB18),$BY$3:$BY$400,0),5),"")</f>
        <v/>
      </c>
      <c r="CC18" s="48" t="str">
        <f t="shared" ca="1" si="16"/>
        <v/>
      </c>
      <c r="CD18" s="48">
        <f ca="1">IF(AND($BF$9=1,CE18&lt;&gt;0),MAX($CD$2:CD17)+1,0)</f>
        <v>0</v>
      </c>
      <c r="CE18" s="48">
        <f ca="1">IF(ROUND(SUMIFS(COPIA!$CA$3:$CA$400,COPIA!$CC$3:$CC$400,CF18)-SUMIFS(COPIA!$CB$3:$CB$400,COPIA!$CC$3:$CC$400,CF18),0)&lt;0,0,ROUND(SUMIFS(COPIA!$CA$3:$CA$400,COPIA!$CC$3:$CC$400,CF18)-SUMIFS(COPIA!$CB$3:$CB$400,COPIA!$CC$3:$CC$400,CF18),0))</f>
        <v>0</v>
      </c>
      <c r="CF18" s="48" t="s">
        <v>615</v>
      </c>
      <c r="CG18" s="242" t="s">
        <v>698</v>
      </c>
      <c r="CH18" s="242">
        <f t="shared" ca="1" si="70"/>
        <v>0</v>
      </c>
      <c r="CI18" s="242"/>
      <c r="CJ18" s="242"/>
      <c r="CL18" s="242"/>
      <c r="CM18" s="242" t="str">
        <f t="shared" ca="1" si="37"/>
        <v/>
      </c>
      <c r="CN18" s="243">
        <f t="shared" ca="1" si="38"/>
        <v>0</v>
      </c>
      <c r="CO18" s="48" t="str">
        <f t="shared" ca="1" si="39"/>
        <v/>
      </c>
      <c r="CQ18" s="242"/>
      <c r="CR18" s="242"/>
      <c r="CT18" s="242"/>
      <c r="CU18" s="48">
        <f ca="1">IF(SUMIFS(AVERE,DEN_G,AC18,AVERE,"&gt;"&amp;0)+SUMIFS(DARE,DEN_G,AC18,DARE,"&gt;"&amp;0)&gt;0,MAX($CU$2:CU17)+1,0)</f>
        <v>0</v>
      </c>
      <c r="CV18" s="48" t="str">
        <f ca="1">IF(IFERROR(INDEX(PDC,MATCH(ROWS($CV$3:CV18),$CU$3:$CU$400,0),2),"")="CONTO DI RISULTATO ECONOMICO","",IFERROR(INDEX(PDC,MATCH(ROWS($CV$3:CV18),$CU$3:$CU$400,0),2),""))</f>
        <v/>
      </c>
      <c r="CW18" s="48">
        <f ca="1">IFERROR(IF(CV18&lt;&gt;"",MAX($CW$2:CW17)+1,0),0)</f>
        <v>0</v>
      </c>
      <c r="CX18" s="48">
        <f t="shared" ca="1" si="73"/>
        <v>2</v>
      </c>
      <c r="CY18" s="48" t="str">
        <f t="shared" ca="1" si="71"/>
        <v>MASTRO</v>
      </c>
      <c r="CZ18" s="48" t="e">
        <f t="shared" ref="CZ18:CZ27" ca="1" si="75">SUM(MATCH($CY18,INDIRECT(ADDRESS(SUM(CZ17)+3,54)&amp;":"&amp;ADDRESS(400,54)),0),CZ17)</f>
        <v>#N/A</v>
      </c>
      <c r="DA18" s="48" t="str">
        <f ca="1">IFERROR(INDEX(LIBRO_GIORNALE,CZ18,1),"")</f>
        <v/>
      </c>
      <c r="DB18" s="48" t="str">
        <f t="shared" ref="DB18:DB79" ca="1" si="76">IF(RIGHT(TEXT(IFERROR(INDEX(LIBRO_GIORNALE,CZ18,2),""),"gg/mm/aa"),1)="a",TEXT(IFERROR(INDEX(LIBRO_GIORNALE,CZ18,2),""),"dd/mm/yy"),TEXT(IFERROR(INDEX(LIBRO_GIORNALE,CZ18,2),""),"gg/mm/aa"))</f>
        <v/>
      </c>
      <c r="DC18" s="48" t="str">
        <f t="shared" ref="DC18:DC27" ca="1" si="77">IF(IFERROR(INDEX(LIBRO_GIORNALE,CZ18,4),"")=0,"manca la descrizione dell'operazione",IFERROR(INDEX(LIBRO_GIORNALE,CZ18,4),""))</f>
        <v/>
      </c>
      <c r="DD18" s="48" t="str">
        <f t="shared" ref="DD18:DD27" ca="1" si="78">IFERROR(IF(INDEX(LIBRO_GIORNALE,CZ18,5)&gt;0,INDEX(LIBRO_GIORNALE,CZ18,5),""),"")</f>
        <v/>
      </c>
      <c r="DE18" s="48" t="str">
        <f t="shared" ref="DE18:DE27" ca="1" si="79">IFERROR(IF(INDEX(LIBRO_GIORNALE,CZ18,6)&gt;0,INDEX(LIBRO_GIORNALE,CZ18,6),""),"")</f>
        <v/>
      </c>
      <c r="DF18" s="48">
        <f ca="1">IF(AND(CX18=$DF$1,CX18&lt;&gt;""),0,IF(AND(DB18&lt;&gt;"",OR(DB17&lt;&gt;"",DB19&lt;&gt;"")),MAX($DF$2:DF17)+1,0))</f>
        <v>0</v>
      </c>
      <c r="DG18" s="48">
        <f t="shared" ca="1" si="72"/>
        <v>0</v>
      </c>
      <c r="DH18" s="244" t="s">
        <v>469</v>
      </c>
      <c r="DI18" s="48" t="str">
        <f ca="1">IFERROR(IF(AND($DL$1=TRUE,DG18&lt;&gt;0),CONCATENATE("SOCIO ",DG18," C/REINTEGRO"),IF(AND($DL$1=FALSE,DG18&lt;&gt;0),CONCATENATE("AZIONISTA ",DG18," C/REINTEGRO"),"")),"")</f>
        <v/>
      </c>
      <c r="DJ18" s="48" t="s">
        <v>312</v>
      </c>
      <c r="DK18" s="48" t="s">
        <v>275</v>
      </c>
      <c r="DL18" s="48" t="s">
        <v>6</v>
      </c>
      <c r="DM18" s="48" t="s">
        <v>270</v>
      </c>
      <c r="DN18" s="48">
        <f ca="1">IF(DI18&lt;&gt;"",MAX($DN$2:DN17)+1,0)</f>
        <v>0</v>
      </c>
      <c r="DO18" s="48" t="str">
        <f t="shared" ca="1" si="65"/>
        <v>paa</v>
      </c>
      <c r="DP18" s="48">
        <f ca="1">DP13</f>
        <v>0</v>
      </c>
      <c r="DQ18" s="227" t="s">
        <v>491</v>
      </c>
      <c r="DR18" s="48" t="str">
        <f ca="1">IFERROR(IF(DP18&lt;&gt;0,CONCATENATE("SOCIO ",DP18," C/PRELEVAMENTI"),""),"")</f>
        <v/>
      </c>
      <c r="DS18" s="48" t="s">
        <v>312</v>
      </c>
      <c r="DT18" s="48" t="s">
        <v>275</v>
      </c>
      <c r="DU18" s="48" t="s">
        <v>6</v>
      </c>
      <c r="DV18" s="48" t="s">
        <v>270</v>
      </c>
      <c r="DW18" s="48">
        <f ca="1">IF(DR18&lt;&gt;"",MAX($DW$2:DW17)+1,0)</f>
        <v>0</v>
      </c>
      <c r="DX18" s="48" t="str">
        <f t="shared" ca="1" si="66"/>
        <v>paa</v>
      </c>
      <c r="DY18" s="48" t="str">
        <f t="shared" ca="1" si="19"/>
        <v/>
      </c>
      <c r="DZ18" s="48" t="str">
        <f t="shared" ca="1" si="40"/>
        <v/>
      </c>
      <c r="EA18" s="48" t="str">
        <f t="shared" ca="1" si="41"/>
        <v/>
      </c>
      <c r="EB18" s="48">
        <f t="shared" ca="1" si="42"/>
        <v>0</v>
      </c>
      <c r="EC18" s="48">
        <f t="shared" ca="1" si="43"/>
        <v>0</v>
      </c>
      <c r="ED18" s="48" t="str">
        <f t="shared" ca="1" si="44"/>
        <v/>
      </c>
      <c r="EE18" s="48">
        <f t="shared" ca="1" si="45"/>
        <v>0</v>
      </c>
      <c r="EF18" s="48" t="str">
        <f t="shared" ca="1" si="46"/>
        <v/>
      </c>
      <c r="EG18" s="48">
        <f t="shared" ca="1" si="47"/>
        <v>0</v>
      </c>
      <c r="EH18" s="48" t="str">
        <f t="shared" ca="1" si="48"/>
        <v/>
      </c>
      <c r="EI18" s="48">
        <f t="shared" ca="1" si="49"/>
        <v>0</v>
      </c>
      <c r="EJ18" s="48" t="str">
        <f t="shared" ca="1" si="50"/>
        <v/>
      </c>
      <c r="EK18" s="48">
        <f t="shared" ca="1" si="51"/>
        <v>0</v>
      </c>
      <c r="EL18" s="48">
        <f t="shared" ca="1" si="20"/>
        <v>0</v>
      </c>
      <c r="EM18" s="48">
        <f ca="1">IF(EL18&gt;=0,0,MAX($EM$2:EM17)+1)</f>
        <v>0</v>
      </c>
      <c r="EN18" s="48" t="str">
        <f t="shared" ca="1" si="21"/>
        <v/>
      </c>
      <c r="EO18" s="48" t="str">
        <f ca="1">IFERROR(INDEX($EM$3:$EN$400,MATCH(ROWS($EO$3:EO18),$EM$3:$EM$400,0),2),"")</f>
        <v/>
      </c>
      <c r="EP18" s="48">
        <f>ROW()</f>
        <v>18</v>
      </c>
      <c r="EQ18" s="48">
        <f t="shared" ca="1" si="22"/>
        <v>0</v>
      </c>
      <c r="ER18" s="48">
        <f ca="1">IF(ISNA(EQ18)=TRUE,MAX($ER$2:ER17)+1,0)</f>
        <v>0</v>
      </c>
      <c r="ES18" s="48" t="str">
        <f t="shared" ca="1" si="52"/>
        <v/>
      </c>
      <c r="ET18" s="48" t="str">
        <f ca="1">IFERROR(INDEX($ER$3:$ES$400,MATCH(ROWS($ET$3:ET18),$ER$3:$ER$400,0),2),"")</f>
        <v/>
      </c>
      <c r="EU18" s="48">
        <f ca="1">IF(ROUND(SUMIFS(COPIA!$CA$3:$CA$400,COPIA!$CC$3:$CC$400,CF18)-SUMIFS(COPIA!$CB$3:$CB$400,COPIA!$CC$3:$CC$400,CF18),0)&lt;0,1,0)</f>
        <v>0</v>
      </c>
      <c r="EV18" s="48">
        <f ca="1">IFERROR(INDEX(LIBRO_GIORNALE!$O$11:$P$408,MATCH(ROWS($EV$2:EV17),LIBRO_GIORNALE!$P$11:$P$408,0),1),0)</f>
        <v>0</v>
      </c>
      <c r="EW18" s="48" t="str">
        <f t="shared" ca="1" si="53"/>
        <v>0</v>
      </c>
      <c r="EX18" s="48">
        <f t="shared" ca="1" si="54"/>
        <v>0</v>
      </c>
      <c r="EY18" s="48">
        <f ca="1">IF(EX18&gt;0,MAX($EY$2:EY17)+1,0)</f>
        <v>0</v>
      </c>
      <c r="EZ18" s="48">
        <f ca="1">IFERROR(INDEX($EX$3:$EX$400,MATCH(ROWS($EZ$3:EZ18),$EY$3:$EY$400,0),1),0)</f>
        <v>0</v>
      </c>
      <c r="FA18" s="48">
        <f ca="1">IF(EZ18&gt;0,0,MAX($FA$2:FA17)+1)</f>
        <v>16</v>
      </c>
      <c r="FB18" s="48">
        <f t="shared" ca="1" si="55"/>
        <v>0</v>
      </c>
      <c r="FC18" s="48">
        <f t="shared" ca="1" si="56"/>
        <v>16</v>
      </c>
      <c r="FD18" s="48">
        <f t="shared" ca="1" si="57"/>
        <v>16</v>
      </c>
      <c r="FE18" s="48">
        <f ca="1">IF(FD18=0,0,MAX($FE$2:FE17)+1)</f>
        <v>16</v>
      </c>
      <c r="FF18" s="48">
        <f ca="1">IFERROR(INDEX($FD$3:$FE$400,MATCH(ROWS($FF$3:FF18),$FE$3:$FE$400,0),1),"")</f>
        <v>16</v>
      </c>
      <c r="FH18" s="48">
        <f t="shared" ca="1" si="58"/>
        <v>0</v>
      </c>
      <c r="FI18" s="48">
        <f ca="1">IF(FH18&lt;&gt;0,MAX($FI$2:FI17)+1,0)</f>
        <v>0</v>
      </c>
      <c r="FJ18" s="48" t="str">
        <f ca="1">IFERROR(INDEX($FH$3:$FI$400,MATCH(ROWS($FJ$3:FJ18),$FI$3:$FI$400,0),1),"")</f>
        <v/>
      </c>
      <c r="FK18" s="48">
        <f ca="1">IF(ABS(SUMIFS(DARE,DEN_G,"="&amp;FJ18,DATA,"&lt;="&amp;FINE_AC,DATA,"&gt;="&amp;INIZIO_A_PC)-SUMIFS(AVERE,DEN_G,"="&amp;FJ18,DATA,"&lt;="&amp;FINE_AC,DATA,"&gt;="&amp;INIZIO_A_PC))&gt;0,MAX($FK$2:FK17)+1,0)</f>
        <v>0</v>
      </c>
      <c r="FL18" s="48" t="str">
        <f ca="1">IF(AND(ROW()-2&lt;&gt;1,ROW()-2&lt;=$FK$1),CONCATENATE(" - ",IFERROR(INDEX($FJ$3:$FK$400,MATCH(ROWS($FL$3:FL18),$FK$3:$FK$400,0),1),"")),IFERROR(INDEX($FJ$3:$FK$400,MATCH(ROWS($FL$3:FL18),$FK$3:$FK$400,0),1),""))</f>
        <v/>
      </c>
      <c r="FM18" s="48">
        <f ca="1">IF(OR(B18="IVA ns/credito",B18="IVA NS/DEBITO",B18="IVA C/ACCONTO",B18="IMPOSTE C/ACCONTO",B18="CREDITI PER RITENUTE SUBITE",B18="CREDITI D'IMPOSTA"),MAX($FM$2:FM17)+1,0)</f>
        <v>0</v>
      </c>
      <c r="FN18" s="48" t="str">
        <f t="shared" ca="1" si="59"/>
        <v/>
      </c>
      <c r="FO18" s="48" t="str">
        <f ca="1">IFERROR(INDEX($FM$3:$FN$400,MATCH(ROWS($FO$3:FO18),$FM$3:$FM$400,0),2),"")</f>
        <v/>
      </c>
      <c r="FP18" s="48">
        <f ca="1">IF(ABS(SUMIFS(DARE,DEN_G,"="&amp;FO18,DATA,"&lt;="&amp;FINE_AC,DATA,"&gt;="&amp;INIZIO_A_PC)-SUMIFS(AVERE,DEN_G,"="&amp;FO18,DATA,"&lt;="&amp;FINE_AC,DATA,"&gt;="&amp;INIZIO_A_PC))&gt;0,MAX($FP$2:FP17)+1,0)</f>
        <v>0</v>
      </c>
      <c r="FQ18" s="48" t="str">
        <f ca="1">IF(AND(ROW()-2&lt;&gt;1,ROW()-2&lt;=$FP$1),CONCATENATE(" - ",IFERROR(INDEX($FO$3:$FP$400,MATCH(ROWS($FQ$3:FQ18),$FP$3:$FP$400,0),1),"")),IFERROR(INDEX($FO$3:$FP$400,MATCH(ROWS($FQ$3:FQ18),$FP$3:$FP$400,0),1),""))</f>
        <v/>
      </c>
    </row>
    <row r="19" spans="1:173" x14ac:dyDescent="0.3">
      <c r="A19" s="48" t="str">
        <f ca="1">IFERROR(IF($A$1=2,INDEX($DH$3:$DN$401,MATCH(ROWS(A$3:A19),$DN$3:$DN$401,0),COLUMN()),IF($A$1=1,INDEX($DQ$3:$DW$401,MATCH(ROWS(A$3:A19),$DW$3:$DW$401,0),COLUMN()),"")),"")</f>
        <v>01.16</v>
      </c>
      <c r="B19" s="48" t="str">
        <f ca="1">IFERROR(IF($A$1=2,INDEX($DH$3:$DN$401,MATCH(ROWS(B$3:B19),$DN$3:$DN$401,0),COLUMN()),IF($A$1=1,INDEX($DQ$3:$DW$400,MATCH(ROWS(B$3:B19),$DW$3:$DW$401,0),COLUMN()),"")),"")</f>
        <v>FONDO AMMORTAMENTO AVVIAMENTO</v>
      </c>
      <c r="C19" s="48" t="str">
        <f ca="1">IFERROR(IF($A$1=2,INDEX($DH$3:$DN$401,MATCH(ROWS(C$3:C19),$DN$3:$DN$401,0),COLUMN()),IF($A$1=1,INDEX($DQ$3:$DW$401,MATCH(ROWS(C$3:C19),$DW$3:$DW$401,0),COLUMN()),"")),"")</f>
        <v>E</v>
      </c>
      <c r="D19" s="48" t="str">
        <f ca="1">IFERROR(IF($A$1=2,INDEX($DH$3:$DN$401,MATCH(ROWS(D$3:D19),$DN$3:$DN$401,0),COLUMN()),IF($A$1=1,INDEX($DQ$3:$DW$401,MATCH(ROWS(D$3:D19),$DW$3:$DW$401,0),COLUMN()),"")),"")</f>
        <v>A</v>
      </c>
      <c r="E19" s="48" t="str">
        <f ca="1">IFERROR(IF($A$1=2,INDEX($DH$3:$DN$401,MATCH(ROWS(E$3:E19),$DN$3:$DN$401,0),COLUMN()),IF($A$1=1,INDEX($DQ$3:$DW$401,MATCH(ROWS(E$3:E19),$DW$3:$DW$401,0),COLUMN()),"")),"")</f>
        <v>RETTIFICHE COSTI PLURIENNALI</v>
      </c>
      <c r="F19" s="48" t="str">
        <f ca="1">IFERROR(IF($A$1=2,INDEX($DH$3:$DN$401,MATCH(ROWS(F$3:F19),$DN$3:$DN$401,0),COLUMN()),IF($A$1=1,INDEX($DQ$3:$DX$401,MATCH(ROWS(F$3:F19),$DW$3:$DW$401,0),COLUMN()),"")),"")</f>
        <v>SP AVERE</v>
      </c>
      <c r="G19" s="48" t="str">
        <f t="shared" ca="1" si="23"/>
        <v>SP</v>
      </c>
      <c r="H19" s="48" t="str">
        <f ca="1">IFERROR(IF($A$1=2,INDEX($DH$3:$DO$400,MATCH(ROWS(H$3:H19),$DN$3:$DN$400,0),COLUMN()),IF($A$1=1,INDEX($DQ$3:$DX$400,MATCH(ROWS(H$3:H19),$DW$3:$DW$400,0),COLUMN()),"")),"")</f>
        <v>pab1</v>
      </c>
      <c r="I19" s="48" t="str">
        <f t="shared" ca="1" si="0"/>
        <v/>
      </c>
      <c r="J19" s="48" t="str">
        <f t="shared" ca="1" si="24"/>
        <v/>
      </c>
      <c r="K19" s="48">
        <f t="shared" ca="1" si="25"/>
        <v>0</v>
      </c>
      <c r="L19" s="48">
        <f t="shared" ca="1" si="26"/>
        <v>0</v>
      </c>
      <c r="M19" s="48">
        <f ca="1">IFERROR(IF(IF(MID($A19,3,3)=".00",MID(A19,1,2),"")&lt;&gt;"",MAX($M$2:M18)+1,0),"")</f>
        <v>0</v>
      </c>
      <c r="N19" s="48" t="str">
        <f t="shared" ca="1" si="27"/>
        <v/>
      </c>
      <c r="O19" s="48" t="str">
        <f ca="1">IF(IFERROR(INDEX($N$3:$O$400,MATCH(ROWS($O$3:O19),$M$3:$M$400,0),1),"")&lt;&gt;"",CONCATENATE(INDEX($N$3:$O$400,MATCH(ROWS($O$3:O19),$M$3:$M$400,0),1),".00"),"")</f>
        <v>16.00</v>
      </c>
      <c r="P19" s="48" t="str">
        <f t="shared" ca="1" si="28"/>
        <v>RATEI E RISCONTI PASSIVI</v>
      </c>
      <c r="Q19" s="48">
        <f ca="1">IF(M19&gt;=1,0,MAX($Q$2:Q18)+1)</f>
        <v>15</v>
      </c>
      <c r="R19" s="93">
        <f ca="1">IF(AND($U$2=1,S19&lt;&gt;""),MAX($R$2:R18)+1,0)</f>
        <v>0</v>
      </c>
      <c r="S19" s="48" t="s">
        <v>268</v>
      </c>
      <c r="T19" s="48" t="str">
        <f ca="1">IFERROR(INDEX($R$3:$S$64,MATCH(ROWS($T$2:T18),$R$3:$R$64,0),2),"")</f>
        <v>DEBITI DIVERSI</v>
      </c>
      <c r="U19" s="48" t="str">
        <f ca="1">IFERROR(INDEX(PDC,MATCH(ROWS(U$3:U19),$V$3:$V$400,0),2),"")</f>
        <v>FORNITORI IMMOBILIZZAZIONI IMMATERIALI C/ACCONTI</v>
      </c>
      <c r="V19" s="48">
        <f ca="1">IF(AND($T$1="VISUALIZZA TUTTI I CONTI",AA19&lt;&gt;""),MAX($V$2:V18)+1,IF(AND($U$2=2,AI19=$T$1),MAX($V$2:V18)+1,IF(AND($U$2=1,$T$1=AF19),MAX($V$2:V18)+1,0)))</f>
        <v>17</v>
      </c>
      <c r="AA19" s="48" t="str">
        <f t="shared" ca="1" si="29"/>
        <v>01.00</v>
      </c>
      <c r="AB19" s="48" t="str">
        <f ca="1">IFERROR(INDEX($A$3:$G$400,MATCH(ROWS(AB$3:AB19),$Q$3:$Q$400,0),1),"")</f>
        <v>01.31</v>
      </c>
      <c r="AC19" s="48" t="str">
        <f ca="1">IFERROR(INDEX($A$3:$G$400,MATCH(ROWS($AC$3:AC19),$Q$3:$Q$400,0),2),"")</f>
        <v>FORNITORI IMMOBILIZZAZIONI IMMATERIALI C/ACCONTI</v>
      </c>
      <c r="AD19" s="48" t="str">
        <f ca="1">IFERROR(INDEX($A$3:$G$400,MATCH(ROWS(AD$3:AD19),$Q$3:$Q$400,0),3),"")</f>
        <v>F</v>
      </c>
      <c r="AE19" s="48" t="str">
        <f ca="1">IFERROR(INDEX($A$3:$G$400,MATCH(ROWS(AE$3:AE19),$Q$3:$Q$400,0),4),"")</f>
        <v>D</v>
      </c>
      <c r="AF19" s="48" t="str">
        <f ca="1">IFERROR(INDEX($A$3:$G$400,MATCH(ROWS(AF$3:AF19),$Q$3:$Q$400,0),5),"")</f>
        <v>CREDITI</v>
      </c>
      <c r="AG19" s="48" t="str">
        <f ca="1">IFERROR(INDEX($A$3:$G$400,MATCH(ROWS(AG$3:AG19),$Q$3:$Q$400,0),6),"")</f>
        <v>SP DARE</v>
      </c>
      <c r="AH19" s="48" t="str">
        <f ca="1">IFERROR(INDEX($A$3:$G$400,MATCH(ROWS(AH$3:AH19),$Q$3:$Q$400,0),7),"")</f>
        <v>SP</v>
      </c>
      <c r="AI19" s="48" t="str">
        <f t="shared" ca="1" si="1"/>
        <v>IMMOBILIZZAZIONI IMMATERIALI</v>
      </c>
      <c r="AJ19" s="48" t="str">
        <f ca="1">IFERROR(INDEX($A$3:$H$400,MATCH(ROWS(AJ$3:AJ19),$Q$3:$Q$400,0),8),"")</f>
        <v>pab1</v>
      </c>
      <c r="AK19" s="48">
        <f t="shared" ca="1" si="2"/>
        <v>0</v>
      </c>
      <c r="AL19" s="48">
        <f t="shared" ca="1" si="3"/>
        <v>0</v>
      </c>
      <c r="AM19" s="48">
        <f t="shared" ca="1" si="30"/>
        <v>0</v>
      </c>
      <c r="AN19" s="48" t="str">
        <f t="shared" ca="1" si="31"/>
        <v/>
      </c>
      <c r="AO19" s="48">
        <f t="shared" ca="1" si="32"/>
        <v>0</v>
      </c>
      <c r="AP19" s="48">
        <f t="shared" ca="1" si="32"/>
        <v>0</v>
      </c>
      <c r="AQ19" s="48" t="str">
        <f t="shared" ca="1" si="4"/>
        <v>FORNITORI IMMOBILIZZAZIONI IMMATERIALI C/ACCONTI</v>
      </c>
      <c r="AR19" s="48">
        <f t="shared" ca="1" si="5"/>
        <v>0</v>
      </c>
      <c r="AS19" s="48">
        <f t="shared" ca="1" si="6"/>
        <v>0</v>
      </c>
      <c r="AT19" s="48">
        <f t="shared" ca="1" si="33"/>
        <v>0</v>
      </c>
      <c r="AU19" s="48">
        <f t="shared" ca="1" si="34"/>
        <v>0</v>
      </c>
      <c r="AV19" s="48">
        <f ca="1">IF(OR(AT19&gt;0,AU19&gt;0),MAX($AV$2:AV18)+1,0)</f>
        <v>0</v>
      </c>
      <c r="AZ19" s="241" t="str">
        <f t="shared" ca="1" si="35"/>
        <v/>
      </c>
      <c r="BA19" s="48">
        <f t="shared" ca="1" si="7"/>
        <v>0</v>
      </c>
      <c r="BB19" s="48">
        <f ca="1">IFERROR(INDEX($AQ$3:$AV$220,MATCH(ROWS($BB$3:BB19),$AV$3:$AV$220,0),1),0)</f>
        <v>0</v>
      </c>
      <c r="BC19" s="48" t="str">
        <f t="shared" ca="1" si="36"/>
        <v/>
      </c>
      <c r="BD19" s="48">
        <f ca="1">IFERROR(INDEX($AQ$3:$AV$220,MATCH(ROWS($BB$3:BD19),$AV$3:$AV$220,0),4),0)</f>
        <v>0</v>
      </c>
      <c r="BE19" s="48">
        <f ca="1">IFERROR(INDEX($AQ$3:$AV$220,MATCH(ROWS($BB$3:BE19),$AV$3:$AV$220,0),5),0)</f>
        <v>0</v>
      </c>
      <c r="BF19" s="48">
        <v>5</v>
      </c>
      <c r="BG19" s="48">
        <f ca="1">IF(IF(AND(OR(INDEX(PDC,MATCH($AC19,DEN_PDC,0),6)="SP DARE",INDEX(PDC,MATCH($AC19,DEN_PDC,0),6)="SP DARE/AVERE"),SUMIFS(DARE,DEN_G,$AC19)&gt;=SUMIFS(AVERE,DEN_G,$AC19)),SUMIFS(DARE,DEN_G,$AC19)-SUMIFS(AVERE,DEN_G,$AC19),0)&gt;0,MAX($BG$2:BG18)+1,0)</f>
        <v>0</v>
      </c>
      <c r="BH19" s="48">
        <f ca="1">IF(IF(AND(OR(INDEX(PDC,MATCH($AC19,DEN_PDC,0),6)="SP AVERE",INDEX(PDC,MATCH($AC19,DEN_PDC,0),6)="SP DARE/AVERE"),SUMIFS(AVERE,DEN_G,$AC19)&gt;=SUMIFS(DARE,DEN_G,$AC19)),SUMIFS(AVERE,DEN_G,$AC19)-SUMIFS(DARE,DEN_G,$AC19),0)&gt;0,MAX(BH$2:BH18)+1,0)</f>
        <v>0</v>
      </c>
      <c r="BI19" s="48">
        <f ca="1">IF(IF(AND(OR(INDEX(PDC,MATCH($AC19,DEN_PDC,0),6)="SE DARE",INDEX(PDC,MATCH($AC19,DEN_PDC,0),6)="SE DARE/AVERE"),SUMIFS(DARE,DEN_G,$AC19)&gt;=SUMIFS(AVERE,DEN_G,$AC19)),SUMIFS(DARE,DEN_G,$AC19)-SUMIFS(AVERE,DEN_G,$AC19),0)&gt;0,MAX(BI$2:BI18)+1,0)</f>
        <v>0</v>
      </c>
      <c r="BJ19" s="48">
        <f ca="1">IF(IF(AND(OR(INDEX(PDC,MATCH($AC19,DEN_PDC,0),6)="SE AVERE",INDEX(PDC,MATCH($AC19,DEN_PDC,0),6)="SE DARE/AVERE"),SUMIFS(AVERE,DEN_G,$AC19)&gt;=SUMIFS(DARE,DEN_G,$AC19)),SUMIFS(AVERE,DEN_G,$AC19)-SUMIFS(DARE,DEN_G,$AC19),0)&gt;0,MAX(BJ$2:BJ18)+1,0)</f>
        <v>0</v>
      </c>
      <c r="BK19" s="48" t="str">
        <f ca="1">IF(AND(AND($DY$2=0,$DY$1=0),$I$1=2,ROW()&gt;$BG$1+2,ROW()&lt;=$BG$1+4),"………………..",IF(AND(OR($DY$2&gt;0,$DY$1&gt;0),$I$1=2,ROW()&gt;$BG$1+2,ROW()&lt;=$BG$1+4),"………………..",IFERROR(INDEX($AC$3:$AC$398,MATCH(ROWS(BK$3:BK19),BG$3:BG$398,0),1),"")))</f>
        <v/>
      </c>
      <c r="BL19" s="48">
        <f t="shared" ca="1" si="69"/>
        <v>0</v>
      </c>
      <c r="BM19" s="48" t="str">
        <f ca="1">IF(AND(OR($DY$2=0,$DY$1=0),$I$1=2,ROW()&gt;$BH$1+2,ROW()&lt;=$BH$1+4),"………………..",IF(AND(OR($DY$2&gt;0,$DY$1&gt;0),$I$1=2,ROW()&gt;$BH$1+2,ROW()&lt;=$BH$1+4),"………………..",IFERROR(INDEX($AC$3:$AC$400,MATCH(ROWS(BM$3:BM19),BH$3:BH$400,0),1),"")))</f>
        <v/>
      </c>
      <c r="BN19" s="48">
        <f t="shared" ca="1" si="9"/>
        <v>0</v>
      </c>
      <c r="BO19" s="48" t="str">
        <f ca="1">IF(AND(OR($DY$2=0,$DY$1=0),$I$1=2,ROW()&gt;$BI$1+2,ROW()&lt;=$BI$1+4),"………………..",IF(AND(OR($DY$2&gt;0,$DY$1&gt;0),$I$1=2,ROW()&gt;$BI$1+2,ROW()&lt;=$BI$1+4),"………………..",IFERROR(INDEX($AC$3:$AC$400,MATCH(ROWS(BO$3:BO19),BI$3:BI$400,0),1),"")))</f>
        <v/>
      </c>
      <c r="BP19" s="48">
        <f t="shared" ca="1" si="10"/>
        <v>0</v>
      </c>
      <c r="BQ19" s="48" t="str">
        <f ca="1">IF(AND(OR($DY$2=0,$DY$1=0),$I$1=2,ROW()&gt;$BJ$1+2,ROW()&lt;=$BJ$1+4),"………………..",IF(AND(OR($DY$2&gt;0,$DY$1&gt;0),$I$1=2,ROW()&gt;$BJ$1+2,ROW()&lt;=$BJ$1+4),"………………..",IFERROR(INDEX($AC$3:$AC$400,MATCH(ROWS(BQ$3:BQ19),BJ$3:BJ$400,0),1),"")))</f>
        <v/>
      </c>
      <c r="BR19" s="48">
        <f t="shared" ca="1" si="11"/>
        <v>0</v>
      </c>
      <c r="BS19" s="48">
        <f ca="1">IF(IF(AND(OR(INDEX(PDC,MATCH($AC19,DEN_PDC,0),4)="D",INDEX(PDC,MATCH($AC19,DEN_PDC,0),4)="D/A"),SUMIFS(DARE,DEN_G,$AC19)&gt;=SUMIFS(AVERE,DEN_G,$AC19)),SUMIFS(DARE,DEN_G,$AC19),IF(AND(OR(INDEX(PDC,MATCH($AC19,DEN_PDC,0),4)="A",INDEX(PDC,MATCH($AC19,DEN_PDC,0),4)="D/A"),SUMIFS(AVERE,DEN_G,$AC19)&gt;=SUMIFS(DARE,DEN_G,$AC19)),SUMIFS(AVERE,DEN_G,$AC19),))&gt;0,MAX($BS$2:BS18)+1,0)</f>
        <v>0</v>
      </c>
      <c r="BT19" s="48" t="str">
        <f ca="1">IF($CO$1=0,"",IF(AND($I$1=2,ROW()&gt;$BR$1,ROW()&lt;=$BS$1)," …………….",IF(AND($E$1=1,$BX$1=1,$I$1=2,ROW()=$BQ$1),"TOTALI",IFERROR(INDEX(PDC,MATCH(ROWS(BT$3:BT19),BS$3:BS416,0),2),""))))</f>
        <v/>
      </c>
      <c r="BU19" s="48">
        <f t="shared" ca="1" si="12"/>
        <v>0</v>
      </c>
      <c r="BV19" s="48">
        <f t="shared" ca="1" si="13"/>
        <v>0</v>
      </c>
      <c r="BW19" s="48">
        <f t="shared" ca="1" si="14"/>
        <v>0</v>
      </c>
      <c r="BX19" s="48">
        <f t="shared" ca="1" si="15"/>
        <v>0</v>
      </c>
      <c r="BY19" s="48">
        <f ca="1">IF(OR(BW19&gt;0,BX19&gt;0),MAX($BY$2:BY18)+1,0)</f>
        <v>0</v>
      </c>
      <c r="BZ19" s="48" t="str">
        <f ca="1">IFERROR(INDEX($BT$3:$BY$400,MATCH(ROWS(BZ$3:BZ19),$BY$3:$BY$400,0),1),"")</f>
        <v/>
      </c>
      <c r="CA19" s="48" t="str">
        <f ca="1">IFERROR(INDEX($BT$3:$BY$400,MATCH(ROWS(CA$3:CA19),$BY$3:$BY$400,0),4),"")</f>
        <v/>
      </c>
      <c r="CB19" s="48" t="str">
        <f ca="1">IFERROR(INDEX($BT$3:$BY$400,MATCH(ROWS(CB$3:CB19),$BY$3:$BY$400,0),5),"")</f>
        <v/>
      </c>
      <c r="CC19" s="48" t="str">
        <f t="shared" ca="1" si="16"/>
        <v/>
      </c>
      <c r="CD19" s="48">
        <f ca="1">IF(AND($BF$9=1,CE19&lt;&gt;0),MAX($CD$2:CD18)+1,0)</f>
        <v>0</v>
      </c>
      <c r="CE19" s="48">
        <f ca="1">IF(ROUND(SUMIFS(COPIA!$CA$3:$CA$400,COPIA!$CC$3:$CC$400,CF19)-SUMIFS(COPIA!$CB$3:$CB$400,COPIA!$CC$3:$CC$400,CF19),0)&lt;0,0,ROUND(SUMIFS(COPIA!$CA$3:$CA$400,COPIA!$CC$3:$CC$400,CF19)-SUMIFS(COPIA!$CB$3:$CB$400,COPIA!$CC$3:$CC$400,CF19),0))</f>
        <v>0</v>
      </c>
      <c r="CF19" s="48" t="s">
        <v>614</v>
      </c>
      <c r="CG19" s="242" t="s">
        <v>699</v>
      </c>
      <c r="CH19" s="242">
        <f t="shared" ca="1" si="70"/>
        <v>0</v>
      </c>
      <c r="CI19" s="242"/>
      <c r="CJ19" s="242"/>
      <c r="CL19" s="242"/>
      <c r="CM19" s="242" t="str">
        <f t="shared" ca="1" si="37"/>
        <v/>
      </c>
      <c r="CN19" s="243">
        <f t="shared" ca="1" si="38"/>
        <v>0</v>
      </c>
      <c r="CO19" s="48" t="str">
        <f t="shared" ca="1" si="39"/>
        <v/>
      </c>
      <c r="CQ19" s="242"/>
      <c r="CR19" s="242"/>
      <c r="CT19" s="242"/>
      <c r="CU19" s="48">
        <f ca="1">IF(SUMIFS(AVERE,DEN_G,AC19,AVERE,"&gt;"&amp;0)+SUMIFS(DARE,DEN_G,AC19,DARE,"&gt;"&amp;0)&gt;0,MAX($CU$2:CU18)+1,0)</f>
        <v>0</v>
      </c>
      <c r="CV19" s="48" t="str">
        <f ca="1">IF(IFERROR(INDEX(PDC,MATCH(ROWS($CV$3:CV19),$CU$3:$CU$400,0),2),"")="CONTO DI RISULTATO ECONOMICO","",IFERROR(INDEX(PDC,MATCH(ROWS($CV$3:CV19),$CU$3:$CU$400,0),2),""))</f>
        <v/>
      </c>
      <c r="CW19" s="48">
        <f ca="1">IFERROR(IF(CV19&lt;&gt;"",MAX($CW$2:CW18)+1,0),0)</f>
        <v>0</v>
      </c>
      <c r="CX19" s="48">
        <f t="shared" ca="1" si="73"/>
        <v>2</v>
      </c>
      <c r="CY19" s="48" t="str">
        <f t="shared" ca="1" si="71"/>
        <v>MASTRO</v>
      </c>
      <c r="CZ19" s="48" t="e">
        <f t="shared" ca="1" si="75"/>
        <v>#N/A</v>
      </c>
      <c r="DA19" s="48" t="str">
        <f t="shared" ref="DA19:DA27" ca="1" si="80">IFERROR(INDEX(LIBRO_GIORNALE,CZ19,1),"")</f>
        <v/>
      </c>
      <c r="DB19" s="48" t="str">
        <f t="shared" ca="1" si="76"/>
        <v/>
      </c>
      <c r="DC19" s="48" t="str">
        <f t="shared" ca="1" si="77"/>
        <v/>
      </c>
      <c r="DD19" s="48" t="str">
        <f t="shared" ca="1" si="78"/>
        <v/>
      </c>
      <c r="DE19" s="48" t="str">
        <f t="shared" ca="1" si="79"/>
        <v/>
      </c>
      <c r="DF19" s="48">
        <f ca="1">IF(AND(CX19=$DF$1,CX19&lt;&gt;""),0,IF(AND(DB19&lt;&gt;"",OR(DB18&lt;&gt;"",DB20&lt;&gt;"")),MAX($DF$2:DF18)+1,0))</f>
        <v>0</v>
      </c>
      <c r="DH19" s="244" t="s">
        <v>14</v>
      </c>
      <c r="DI19" s="228" t="s">
        <v>20</v>
      </c>
      <c r="DN19" s="48">
        <f ca="1">IF(DI19&lt;&gt;"",MAX($DN$2:DN18)+1,0)</f>
        <v>5</v>
      </c>
      <c r="DR19" s="228"/>
      <c r="DW19" s="48">
        <f>IF(DR19&lt;&gt;"",MAX($DW$2:DW18)+1,0)</f>
        <v>0</v>
      </c>
      <c r="DY19" s="48" t="str">
        <f t="shared" ca="1" si="19"/>
        <v/>
      </c>
      <c r="DZ19" s="48" t="str">
        <f t="shared" ca="1" si="40"/>
        <v/>
      </c>
      <c r="EA19" s="48" t="str">
        <f t="shared" ca="1" si="41"/>
        <v/>
      </c>
      <c r="EB19" s="48">
        <f t="shared" ca="1" si="42"/>
        <v>0</v>
      </c>
      <c r="EC19" s="48">
        <f t="shared" ca="1" si="43"/>
        <v>0</v>
      </c>
      <c r="ED19" s="48" t="str">
        <f t="shared" ca="1" si="44"/>
        <v/>
      </c>
      <c r="EE19" s="48">
        <f t="shared" ca="1" si="45"/>
        <v>0</v>
      </c>
      <c r="EF19" s="48" t="str">
        <f t="shared" ca="1" si="46"/>
        <v/>
      </c>
      <c r="EG19" s="48">
        <f t="shared" ca="1" si="47"/>
        <v>0</v>
      </c>
      <c r="EH19" s="48" t="str">
        <f t="shared" ca="1" si="48"/>
        <v/>
      </c>
      <c r="EI19" s="48">
        <f t="shared" ca="1" si="49"/>
        <v>0</v>
      </c>
      <c r="EJ19" s="48" t="str">
        <f t="shared" ca="1" si="50"/>
        <v/>
      </c>
      <c r="EK19" s="48">
        <f t="shared" ca="1" si="51"/>
        <v>0</v>
      </c>
      <c r="EL19" s="48">
        <f t="shared" ca="1" si="20"/>
        <v>0</v>
      </c>
      <c r="EM19" s="48">
        <f ca="1">IF(EL19&gt;=0,0,MAX($EM$2:EM18)+1)</f>
        <v>0</v>
      </c>
      <c r="EN19" s="48" t="str">
        <f t="shared" ca="1" si="21"/>
        <v/>
      </c>
      <c r="EO19" s="48" t="str">
        <f ca="1">IFERROR(INDEX($EM$3:$EN$400,MATCH(ROWS($EO$3:EO19),$EM$3:$EM$400,0),2),"")</f>
        <v/>
      </c>
      <c r="EP19" s="48">
        <f>ROW()</f>
        <v>19</v>
      </c>
      <c r="EQ19" s="48">
        <f t="shared" ca="1" si="22"/>
        <v>0</v>
      </c>
      <c r="ER19" s="48">
        <f ca="1">IF(ISNA(EQ19)=TRUE,MAX($ER$2:ER18)+1,0)</f>
        <v>0</v>
      </c>
      <c r="ES19" s="48" t="str">
        <f t="shared" ca="1" si="52"/>
        <v/>
      </c>
      <c r="ET19" s="48" t="str">
        <f ca="1">IFERROR(INDEX($ER$3:$ES$400,MATCH(ROWS($ET$3:ET19),$ER$3:$ER$400,0),2),"")</f>
        <v/>
      </c>
      <c r="EU19" s="48">
        <f ca="1">IF(ROUND(SUMIFS(COPIA!$CA$3:$CA$400,COPIA!$CC$3:$CC$400,CF19)-SUMIFS(COPIA!$CB$3:$CB$400,COPIA!$CC$3:$CC$400,CF19),0)&lt;0,1,0)</f>
        <v>0</v>
      </c>
      <c r="EV19" s="48">
        <f ca="1">IFERROR(INDEX(LIBRO_GIORNALE!$O$11:$P$408,MATCH(ROWS($EV$2:EV18),LIBRO_GIORNALE!$P$11:$P$408,0),1),0)</f>
        <v>0</v>
      </c>
      <c r="EW19" s="48" t="str">
        <f t="shared" ca="1" si="53"/>
        <v>0</v>
      </c>
      <c r="EX19" s="48">
        <f t="shared" ca="1" si="54"/>
        <v>0</v>
      </c>
      <c r="EY19" s="48">
        <f ca="1">IF(EX19&gt;0,MAX($EY$2:EY18)+1,0)</f>
        <v>0</v>
      </c>
      <c r="EZ19" s="48">
        <f ca="1">IFERROR(INDEX($EX$3:$EX$400,MATCH(ROWS($EZ$3:EZ19),$EY$3:$EY$400,0),1),0)</f>
        <v>0</v>
      </c>
      <c r="FA19" s="48">
        <f ca="1">IF(EZ19&gt;0,0,MAX($FA$2:FA18)+1)</f>
        <v>17</v>
      </c>
      <c r="FB19" s="48">
        <f t="shared" ca="1" si="55"/>
        <v>0</v>
      </c>
      <c r="FC19" s="48">
        <f t="shared" ca="1" si="56"/>
        <v>17</v>
      </c>
      <c r="FD19" s="48">
        <f t="shared" ca="1" si="57"/>
        <v>17</v>
      </c>
      <c r="FE19" s="48">
        <f ca="1">IF(FD19=0,0,MAX($FE$2:FE18)+1)</f>
        <v>17</v>
      </c>
      <c r="FF19" s="48">
        <f ca="1">IFERROR(INDEX($FD$3:$FE$400,MATCH(ROWS($FF$3:FF19),$FE$3:$FE$400,0),1),"")</f>
        <v>17</v>
      </c>
      <c r="FH19" s="48">
        <f t="shared" ca="1" si="58"/>
        <v>0</v>
      </c>
      <c r="FI19" s="48">
        <f ca="1">IF(FH19&lt;&gt;0,MAX($FI$2:FI18)+1,0)</f>
        <v>0</v>
      </c>
      <c r="FJ19" s="48" t="str">
        <f ca="1">IFERROR(INDEX($FH$3:$FI$400,MATCH(ROWS($FJ$3:FJ19),$FI$3:$FI$400,0),1),"")</f>
        <v/>
      </c>
      <c r="FK19" s="48">
        <f ca="1">IF(ABS(SUMIFS(DARE,DEN_G,"="&amp;FJ19,DATA,"&lt;="&amp;FINE_AC,DATA,"&gt;="&amp;INIZIO_A_PC)-SUMIFS(AVERE,DEN_G,"="&amp;FJ19,DATA,"&lt;="&amp;FINE_AC,DATA,"&gt;="&amp;INIZIO_A_PC))&gt;0,MAX($FK$2:FK18)+1,0)</f>
        <v>0</v>
      </c>
      <c r="FL19" s="48" t="str">
        <f ca="1">IF(AND(ROW()-2&lt;&gt;1,ROW()-2&lt;=$FK$1),CONCATENATE(" - ",IFERROR(INDEX($FJ$3:$FK$400,MATCH(ROWS($FL$3:FL19),$FK$3:$FK$400,0),1),"")),IFERROR(INDEX($FJ$3:$FK$400,MATCH(ROWS($FL$3:FL19),$FK$3:$FK$400,0),1),""))</f>
        <v/>
      </c>
      <c r="FM19" s="48">
        <f ca="1">IF(OR(B19="IVA ns/credito",B19="IVA NS/DEBITO",B19="IVA C/ACCONTO",B19="IMPOSTE C/ACCONTO",B19="CREDITI PER RITENUTE SUBITE",B19="CREDITI D'IMPOSTA"),MAX($FM$2:FM18)+1,0)</f>
        <v>0</v>
      </c>
      <c r="FN19" s="48" t="str">
        <f t="shared" ca="1" si="59"/>
        <v/>
      </c>
      <c r="FO19" s="48" t="str">
        <f ca="1">IFERROR(INDEX($FM$3:$FN$400,MATCH(ROWS($FO$3:FO19),$FM$3:$FM$400,0),2),"")</f>
        <v/>
      </c>
      <c r="FP19" s="48">
        <f ca="1">IF(ABS(SUMIFS(DARE,DEN_G,"="&amp;FO19,DATA,"&lt;="&amp;FINE_AC,DATA,"&gt;="&amp;INIZIO_A_PC)-SUMIFS(AVERE,DEN_G,"="&amp;FO19,DATA,"&lt;="&amp;FINE_AC,DATA,"&gt;="&amp;INIZIO_A_PC))&gt;0,MAX($FP$2:FP18)+1,0)</f>
        <v>0</v>
      </c>
      <c r="FQ19" s="48" t="str">
        <f ca="1">IF(AND(ROW()-2&lt;&gt;1,ROW()-2&lt;=$FP$1),CONCATENATE(" - ",IFERROR(INDEX($FO$3:$FP$400,MATCH(ROWS($FQ$3:FQ19),$FP$3:$FP$400,0),1),"")),IFERROR(INDEX($FO$3:$FP$400,MATCH(ROWS($FQ$3:FQ19),$FP$3:$FP$400,0),1),""))</f>
        <v/>
      </c>
    </row>
    <row r="20" spans="1:173" x14ac:dyDescent="0.3">
      <c r="A20" s="48" t="str">
        <f ca="1">IFERROR(IF($A$1=2,INDEX($DH$3:$DN$401,MATCH(ROWS(A$3:A20),$DN$3:$DN$401,0),COLUMN()),IF($A$1=1,INDEX($DQ$3:$DW$401,MATCH(ROWS(A$3:A20),$DW$3:$DW$401,0),COLUMN()),"")),"")</f>
        <v>01.30</v>
      </c>
      <c r="B20" s="48" t="str">
        <f ca="1">IFERROR(IF($A$1=2,INDEX($DH$3:$DN$401,MATCH(ROWS(B$3:B20),$DN$3:$DN$401,0),COLUMN()),IF($A$1=1,INDEX($DQ$3:$DW$400,MATCH(ROWS(B$3:B20),$DW$3:$DW$401,0),COLUMN()),"")),"")</f>
        <v>IMMOBILIZZAZIONI IMMATERIALI IN CORSO</v>
      </c>
      <c r="C20" s="48" t="str">
        <f ca="1">IFERROR(IF($A$1=2,INDEX($DH$3:$DN$401,MATCH(ROWS(C$3:C20),$DN$3:$DN$401,0),COLUMN()),IF($A$1=1,INDEX($DQ$3:$DW$401,MATCH(ROWS(C$3:C20),$DW$3:$DW$401,0),COLUMN()),"")),"")</f>
        <v>E</v>
      </c>
      <c r="D20" s="48" t="str">
        <f ca="1">IFERROR(IF($A$1=2,INDEX($DH$3:$DN$401,MATCH(ROWS(D$3:D20),$DN$3:$DN$401,0),COLUMN()),IF($A$1=1,INDEX($DQ$3:$DW$401,MATCH(ROWS(D$3:D20),$DW$3:$DW$401,0),COLUMN()),"")),"")</f>
        <v>D</v>
      </c>
      <c r="E20" s="48" t="str">
        <f ca="1">IFERROR(IF($A$1=2,INDEX($DH$3:$DN$401,MATCH(ROWS(E$3:E20),$DN$3:$DN$401,0),COLUMN()),IF($A$1=1,INDEX($DQ$3:$DW$401,MATCH(ROWS(E$3:E20),$DW$3:$DW$401,0),COLUMN()),"")),"")</f>
        <v>COSTI PLURIENNALI</v>
      </c>
      <c r="F20" s="48" t="str">
        <f ca="1">IFERROR(IF($A$1=2,INDEX($DH$3:$DN$401,MATCH(ROWS(F$3:F20),$DN$3:$DN$401,0),COLUMN()),IF($A$1=1,INDEX($DQ$3:$DX$401,MATCH(ROWS(F$3:F20),$DW$3:$DW$401,0),COLUMN()),"")),"")</f>
        <v>SP DARE</v>
      </c>
      <c r="G20" s="48" t="str">
        <f t="shared" ca="1" si="23"/>
        <v>SP</v>
      </c>
      <c r="H20" s="48" t="str">
        <f ca="1">IFERROR(IF($A$1=2,INDEX($DH$3:$DO$400,MATCH(ROWS(H$3:H20),$DN$3:$DN$400,0),COLUMN()),IF($A$1=1,INDEX($DQ$3:$DX$400,MATCH(ROWS(H$3:H20),$DW$3:$DW$400,0),COLUMN()),"")),"")</f>
        <v>pab1</v>
      </c>
      <c r="I20" s="48" t="str">
        <f t="shared" ca="1" si="0"/>
        <v/>
      </c>
      <c r="J20" s="48" t="str">
        <f t="shared" ca="1" si="24"/>
        <v/>
      </c>
      <c r="K20" s="48">
        <f t="shared" ca="1" si="25"/>
        <v>0</v>
      </c>
      <c r="L20" s="48">
        <f t="shared" ca="1" si="26"/>
        <v>0</v>
      </c>
      <c r="M20" s="48">
        <f ca="1">IFERROR(IF(IF(MID($A20,3,3)=".00",MID(A20,1,2),"")&lt;&gt;"",MAX($M$2:M19)+1,0),"")</f>
        <v>0</v>
      </c>
      <c r="N20" s="48" t="str">
        <f t="shared" ca="1" si="27"/>
        <v/>
      </c>
      <c r="O20" s="48" t="str">
        <f ca="1">IF(IFERROR(INDEX($N$3:$O$400,MATCH(ROWS($O$3:O20),$M$3:$M$400,0),1),"")&lt;&gt;"",CONCATENATE(INDEX($N$3:$O$400,MATCH(ROWS($O$3:O20),$M$3:$M$400,0),1),".00"),"")</f>
        <v>18.00</v>
      </c>
      <c r="P20" s="48" t="str">
        <f t="shared" ca="1" si="28"/>
        <v>CONTI TRANSITORI E DIVERSI</v>
      </c>
      <c r="Q20" s="48">
        <f ca="1">IF(M20&gt;=1,0,MAX($Q$2:Q19)+1)</f>
        <v>16</v>
      </c>
      <c r="R20" s="48">
        <f ca="1">IF(AND($U$2=2,S20&lt;&gt;""),MAX($R$2:R19)+1,0)</f>
        <v>2</v>
      </c>
      <c r="S20" s="48" t="str">
        <f ca="1">IF(P3&lt;&gt;"",P3,"")</f>
        <v>CREDITI V/SOCI</v>
      </c>
      <c r="T20" s="48" t="str">
        <f ca="1">IFERROR(INDEX($R$3:$S$64,MATCH(ROWS($T$2:T19),$R$3:$R$64,0),2),"")</f>
        <v>RATEI E RISCONTI PASSIVI</v>
      </c>
      <c r="U20" s="48" t="str">
        <f ca="1">IFERROR(INDEX(PDC,MATCH(ROWS(U$3:U20),$V$3:$V$400,0),2),"")</f>
        <v>TERRENI E FABBRICATI</v>
      </c>
      <c r="V20" s="48">
        <f ca="1">IF(AND($T$1="VISUALIZZA TUTTI I CONTI",AA20&lt;&gt;""),MAX($V$2:V19)+1,IF(AND($U$2=2,AI20=$T$1),MAX($V$2:V19)+1,IF(AND($U$2=1,$T$1=AF20),MAX($V$2:V19)+1,0)))</f>
        <v>18</v>
      </c>
      <c r="Z20" s="246"/>
      <c r="AA20" s="48" t="str">
        <f t="shared" ca="1" si="29"/>
        <v>02.00</v>
      </c>
      <c r="AB20" s="48" t="str">
        <f ca="1">IFERROR(INDEX($A$3:$G$400,MATCH(ROWS(AB$3:AB20),$Q$3:$Q$400,0),1),"")</f>
        <v>02.01</v>
      </c>
      <c r="AC20" s="48" t="str">
        <f ca="1">IFERROR(INDEX($A$3:$G$400,MATCH(ROWS($AC$3:AC20),$Q$3:$Q$400,0),2),"")</f>
        <v>TERRENI E FABBRICATI</v>
      </c>
      <c r="AD20" s="48" t="str">
        <f ca="1">IFERROR(INDEX($A$3:$G$400,MATCH(ROWS(AD$3:AD20),$Q$3:$Q$400,0),3),"")</f>
        <v>E</v>
      </c>
      <c r="AE20" s="48" t="str">
        <f ca="1">IFERROR(INDEX($A$3:$G$400,MATCH(ROWS(AE$3:AE20),$Q$3:$Q$400,0),4),"")</f>
        <v>D</v>
      </c>
      <c r="AF20" s="48" t="str">
        <f ca="1">IFERROR(INDEX($A$3:$G$400,MATCH(ROWS(AF$3:AF20),$Q$3:$Q$400,0),5),"")</f>
        <v>COSTI PLURIENNALI</v>
      </c>
      <c r="AG20" s="48" t="str">
        <f ca="1">IFERROR(INDEX($A$3:$G$400,MATCH(ROWS(AG$3:AG20),$Q$3:$Q$400,0),6),"")</f>
        <v>SP DARE</v>
      </c>
      <c r="AH20" s="48" t="str">
        <f ca="1">IFERROR(INDEX($A$3:$G$400,MATCH(ROWS(AH$3:AH20),$Q$3:$Q$400,0),7),"")</f>
        <v>SP</v>
      </c>
      <c r="AI20" s="48" t="str">
        <f t="shared" ca="1" si="1"/>
        <v>IMMOBILIZZAZIONI MATERIALI</v>
      </c>
      <c r="AJ20" s="48" t="str">
        <f ca="1">IFERROR(INDEX($A$3:$H$400,MATCH(ROWS(AJ$3:AJ20),$Q$3:$Q$400,0),8),"")</f>
        <v>pab2</v>
      </c>
      <c r="AK20" s="48">
        <f t="shared" ca="1" si="2"/>
        <v>0</v>
      </c>
      <c r="AL20" s="48">
        <f t="shared" ca="1" si="3"/>
        <v>0</v>
      </c>
      <c r="AM20" s="48">
        <f t="shared" ca="1" si="30"/>
        <v>0</v>
      </c>
      <c r="AN20" s="48" t="str">
        <f t="shared" ca="1" si="31"/>
        <v/>
      </c>
      <c r="AO20" s="48">
        <f t="shared" ca="1" si="32"/>
        <v>0</v>
      </c>
      <c r="AP20" s="48">
        <f t="shared" ca="1" si="32"/>
        <v>0</v>
      </c>
      <c r="AQ20" s="48" t="str">
        <f t="shared" ca="1" si="4"/>
        <v>TERRENI E FABBRICATI</v>
      </c>
      <c r="AR20" s="48">
        <f t="shared" ca="1" si="5"/>
        <v>0</v>
      </c>
      <c r="AS20" s="48">
        <f t="shared" ca="1" si="6"/>
        <v>0</v>
      </c>
      <c r="AT20" s="48">
        <f t="shared" ca="1" si="33"/>
        <v>0</v>
      </c>
      <c r="AU20" s="48">
        <f t="shared" ca="1" si="34"/>
        <v>0</v>
      </c>
      <c r="AV20" s="48">
        <f ca="1">IF(OR(AT20&gt;0,AU20&gt;0),MAX($AV$2:AV19)+1,0)</f>
        <v>0</v>
      </c>
      <c r="AZ20" s="241" t="str">
        <f t="shared" ca="1" si="35"/>
        <v/>
      </c>
      <c r="BA20" s="48">
        <f t="shared" ca="1" si="7"/>
        <v>0</v>
      </c>
      <c r="BB20" s="48">
        <f ca="1">IFERROR(INDEX($AQ$3:$AV$220,MATCH(ROWS($BB$3:BB20),$AV$3:$AV$220,0),1),0)</f>
        <v>0</v>
      </c>
      <c r="BC20" s="48" t="str">
        <f t="shared" ca="1" si="36"/>
        <v/>
      </c>
      <c r="BD20" s="48">
        <f ca="1">IFERROR(INDEX($AQ$3:$AV$220,MATCH(ROWS($BB$3:BD20),$AV$3:$AV$220,0),4),0)</f>
        <v>0</v>
      </c>
      <c r="BE20" s="48">
        <f ca="1">IFERROR(INDEX($AQ$3:$AV$220,MATCH(ROWS($BB$3:BE20),$AV$3:$AV$220,0),5),0)</f>
        <v>0</v>
      </c>
      <c r="BF20" s="48">
        <v>6</v>
      </c>
      <c r="BG20" s="48">
        <f ca="1">IF(IF(AND(OR(INDEX(PDC,MATCH($AC20,DEN_PDC,0),6)="SP DARE",INDEX(PDC,MATCH($AC20,DEN_PDC,0),6)="SP DARE/AVERE"),SUMIFS(DARE,DEN_G,$AC20)&gt;=SUMIFS(AVERE,DEN_G,$AC20)),SUMIFS(DARE,DEN_G,$AC20)-SUMIFS(AVERE,DEN_G,$AC20),0)&gt;0,MAX($BG$2:BG19)+1,0)</f>
        <v>0</v>
      </c>
      <c r="BH20" s="48">
        <f ca="1">IF(IF(AND(OR(INDEX(PDC,MATCH($AC20,DEN_PDC,0),6)="SP AVERE",INDEX(PDC,MATCH($AC20,DEN_PDC,0),6)="SP DARE/AVERE"),SUMIFS(AVERE,DEN_G,$AC20)&gt;=SUMIFS(DARE,DEN_G,$AC20)),SUMIFS(AVERE,DEN_G,$AC20)-SUMIFS(DARE,DEN_G,$AC20),0)&gt;0,MAX(BH$2:BH19)+1,0)</f>
        <v>0</v>
      </c>
      <c r="BI20" s="48">
        <f ca="1">IF(IF(AND(OR(INDEX(PDC,MATCH($AC20,DEN_PDC,0),6)="SE DARE",INDEX(PDC,MATCH($AC20,DEN_PDC,0),6)="SE DARE/AVERE"),SUMIFS(DARE,DEN_G,$AC20)&gt;=SUMIFS(AVERE,DEN_G,$AC20)),SUMIFS(DARE,DEN_G,$AC20)-SUMIFS(AVERE,DEN_G,$AC20),0)&gt;0,MAX(BI$2:BI19)+1,0)</f>
        <v>0</v>
      </c>
      <c r="BJ20" s="48">
        <f ca="1">IF(IF(AND(OR(INDEX(PDC,MATCH($AC20,DEN_PDC,0),6)="SE AVERE",INDEX(PDC,MATCH($AC20,DEN_PDC,0),6)="SE DARE/AVERE"),SUMIFS(AVERE,DEN_G,$AC20)&gt;=SUMIFS(DARE,DEN_G,$AC20)),SUMIFS(AVERE,DEN_G,$AC20)-SUMIFS(DARE,DEN_G,$AC20),0)&gt;0,MAX(BJ$2:BJ19)+1,0)</f>
        <v>0</v>
      </c>
      <c r="BK20" s="48" t="str">
        <f ca="1">IF(AND(AND($DY$2=0,$DY$1=0),$I$1=2,ROW()&gt;$BG$1+2,ROW()&lt;=$BG$1+4),"………………..",IF(AND(OR($DY$2&gt;0,$DY$1&gt;0),$I$1=2,ROW()&gt;$BG$1+2,ROW()&lt;=$BG$1+4),"………………..",IFERROR(INDEX($AC$3:$AC$398,MATCH(ROWS(BK$3:BK20),BG$3:BG$398,0),1),"")))</f>
        <v/>
      </c>
      <c r="BL20" s="48">
        <f t="shared" ca="1" si="69"/>
        <v>0</v>
      </c>
      <c r="BM20" s="48" t="str">
        <f ca="1">IF(AND(OR($DY$2=0,$DY$1=0),$I$1=2,ROW()&gt;$BH$1+2,ROW()&lt;=$BH$1+4),"………………..",IF(AND(OR($DY$2&gt;0,$DY$1&gt;0),$I$1=2,ROW()&gt;$BH$1+2,ROW()&lt;=$BH$1+4),"………………..",IFERROR(INDEX($AC$3:$AC$400,MATCH(ROWS(BM$3:BM20),BH$3:BH$400,0),1),"")))</f>
        <v/>
      </c>
      <c r="BN20" s="48">
        <f t="shared" ca="1" si="9"/>
        <v>0</v>
      </c>
      <c r="BO20" s="48" t="str">
        <f ca="1">IF(AND(OR($DY$2=0,$DY$1=0),$I$1=2,ROW()&gt;$BI$1+2,ROW()&lt;=$BI$1+4),"………………..",IF(AND(OR($DY$2&gt;0,$DY$1&gt;0),$I$1=2,ROW()&gt;$BI$1+2,ROW()&lt;=$BI$1+4),"………………..",IFERROR(INDEX($AC$3:$AC$400,MATCH(ROWS(BO$3:BO20),BI$3:BI$400,0),1),"")))</f>
        <v/>
      </c>
      <c r="BP20" s="48">
        <f t="shared" ca="1" si="10"/>
        <v>0</v>
      </c>
      <c r="BQ20" s="48" t="str">
        <f ca="1">IF(AND(OR($DY$2=0,$DY$1=0),$I$1=2,ROW()&gt;$BJ$1+2,ROW()&lt;=$BJ$1+4),"………………..",IF(AND(OR($DY$2&gt;0,$DY$1&gt;0),$I$1=2,ROW()&gt;$BJ$1+2,ROW()&lt;=$BJ$1+4),"………………..",IFERROR(INDEX($AC$3:$AC$400,MATCH(ROWS(BQ$3:BQ20),BJ$3:BJ$400,0),1),"")))</f>
        <v/>
      </c>
      <c r="BR20" s="48">
        <f t="shared" ca="1" si="11"/>
        <v>0</v>
      </c>
      <c r="BS20" s="48">
        <f ca="1">IF(IF(AND(OR(INDEX(PDC,MATCH($AC20,DEN_PDC,0),4)="D",INDEX(PDC,MATCH($AC20,DEN_PDC,0),4)="D/A"),SUMIFS(DARE,DEN_G,$AC20)&gt;=SUMIFS(AVERE,DEN_G,$AC20)),SUMIFS(DARE,DEN_G,$AC20),IF(AND(OR(INDEX(PDC,MATCH($AC20,DEN_PDC,0),4)="A",INDEX(PDC,MATCH($AC20,DEN_PDC,0),4)="D/A"),SUMIFS(AVERE,DEN_G,$AC20)&gt;=SUMIFS(DARE,DEN_G,$AC20)),SUMIFS(AVERE,DEN_G,$AC20),))&gt;0,MAX($BS$2:BS19)+1,0)</f>
        <v>0</v>
      </c>
      <c r="BT20" s="48" t="str">
        <f ca="1">IF($CO$1=0,"",IF(AND($I$1=2,ROW()&gt;$BR$1,ROW()&lt;=$BS$1)," …………….",IF(AND($E$1=1,$BX$1=1,$I$1=2,ROW()=$BQ$1),"TOTALI",IFERROR(INDEX(PDC,MATCH(ROWS(BT$3:BT20),BS$3:BS417,0),2),""))))</f>
        <v/>
      </c>
      <c r="BU20" s="48">
        <f t="shared" ca="1" si="12"/>
        <v>0</v>
      </c>
      <c r="BV20" s="48">
        <f t="shared" ca="1" si="13"/>
        <v>0</v>
      </c>
      <c r="BW20" s="48">
        <f t="shared" ca="1" si="14"/>
        <v>0</v>
      </c>
      <c r="BX20" s="48">
        <f t="shared" ca="1" si="15"/>
        <v>0</v>
      </c>
      <c r="BY20" s="48">
        <f ca="1">IF(OR(BW20&gt;0,BX20&gt;0),MAX($BY$2:BY19)+1,0)</f>
        <v>0</v>
      </c>
      <c r="BZ20" s="48" t="str">
        <f ca="1">IFERROR(INDEX($BT$3:$BY$400,MATCH(ROWS(BZ$3:BZ20),$BY$3:$BY$400,0),1),"")</f>
        <v/>
      </c>
      <c r="CA20" s="48" t="str">
        <f ca="1">IFERROR(INDEX($BT$3:$BY$400,MATCH(ROWS(CA$3:CA20),$BY$3:$BY$400,0),4),"")</f>
        <v/>
      </c>
      <c r="CB20" s="48" t="str">
        <f ca="1">IFERROR(INDEX($BT$3:$BY$400,MATCH(ROWS(CB$3:CB20),$BY$3:$BY$400,0),5),"")</f>
        <v/>
      </c>
      <c r="CC20" s="48" t="str">
        <f t="shared" ca="1" si="16"/>
        <v/>
      </c>
      <c r="CD20" s="48">
        <f ca="1">IF(AND($BF$9=1,CE20&lt;&gt;0),MAX($CD$2:CD19)+1,0)</f>
        <v>0</v>
      </c>
      <c r="CE20" s="48">
        <f ca="1">IF(ROUND(SUMIFS(COPIA!$CA$3:$CA$400,COPIA!$CC$3:$CC$400,CF20)-SUMIFS(COPIA!$CB$3:$CB$400,COPIA!$CC$3:$CC$400,CF20),0)&lt;0,0,ROUND(SUMIFS(COPIA!$CA$3:$CA$400,COPIA!$CC$3:$CC$400,CF20)-SUMIFS(COPIA!$CB$3:$CB$400,COPIA!$CC$3:$CC$400,CF20),0))</f>
        <v>0</v>
      </c>
      <c r="CF20" s="48" t="s">
        <v>613</v>
      </c>
      <c r="CG20" s="242" t="s">
        <v>504</v>
      </c>
      <c r="CH20" s="242">
        <f t="shared" ca="1" si="70"/>
        <v>0</v>
      </c>
      <c r="CI20" s="242"/>
      <c r="CJ20" s="242"/>
      <c r="CL20" s="242"/>
      <c r="CM20" s="242" t="str">
        <f t="shared" ca="1" si="37"/>
        <v/>
      </c>
      <c r="CN20" s="243">
        <f t="shared" ca="1" si="38"/>
        <v>0</v>
      </c>
      <c r="CO20" s="48" t="str">
        <f t="shared" ca="1" si="39"/>
        <v/>
      </c>
      <c r="CQ20" s="242"/>
      <c r="CR20" s="242"/>
      <c r="CT20" s="242"/>
      <c r="CU20" s="48">
        <f ca="1">IF(SUMIFS(AVERE,DEN_G,AC20,AVERE,"&gt;"&amp;0)+SUMIFS(DARE,DEN_G,AC20,DARE,"&gt;"&amp;0)&gt;0,MAX($CU$2:CU19)+1,0)</f>
        <v>0</v>
      </c>
      <c r="CV20" s="48" t="str">
        <f ca="1">IF(IFERROR(INDEX(PDC,MATCH(ROWS($CV$3:CV20),$CU$3:$CU$400,0),2),"")="CONTO DI RISULTATO ECONOMICO","",IFERROR(INDEX(PDC,MATCH(ROWS($CV$3:CV20),$CU$3:$CU$400,0),2),""))</f>
        <v/>
      </c>
      <c r="CW20" s="48">
        <f ca="1">IFERROR(IF(CV20&lt;&gt;"",MAX($CW$2:CW19)+1,0),0)</f>
        <v>0</v>
      </c>
      <c r="CX20" s="48">
        <f t="shared" ca="1" si="73"/>
        <v>2</v>
      </c>
      <c r="CY20" s="48" t="str">
        <f t="shared" ca="1" si="71"/>
        <v>MASTRO</v>
      </c>
      <c r="CZ20" s="48" t="e">
        <f t="shared" ca="1" si="75"/>
        <v>#N/A</v>
      </c>
      <c r="DA20" s="48" t="str">
        <f t="shared" ca="1" si="80"/>
        <v/>
      </c>
      <c r="DB20" s="48" t="str">
        <f t="shared" ca="1" si="76"/>
        <v/>
      </c>
      <c r="DC20" s="48" t="str">
        <f t="shared" ca="1" si="77"/>
        <v/>
      </c>
      <c r="DD20" s="48" t="str">
        <f t="shared" ca="1" si="78"/>
        <v/>
      </c>
      <c r="DE20" s="48" t="str">
        <f t="shared" ca="1" si="79"/>
        <v/>
      </c>
      <c r="DF20" s="48">
        <f ca="1">IF(AND(CX20=$DF$1,CX20&lt;&gt;""),0,IF(AND(DB20&lt;&gt;"",OR(DB19&lt;&gt;"",DB21&lt;&gt;"")),MAX($DF$2:DF19)+1,0))</f>
        <v>0</v>
      </c>
      <c r="DH20" s="244" t="s">
        <v>15</v>
      </c>
      <c r="DI20" s="48" t="s">
        <v>920</v>
      </c>
      <c r="DJ20" s="48" t="s">
        <v>311</v>
      </c>
      <c r="DK20" s="48" t="s">
        <v>275</v>
      </c>
      <c r="DL20" s="48" t="s">
        <v>9</v>
      </c>
      <c r="DM20" s="48" t="s">
        <v>270</v>
      </c>
      <c r="DN20" s="48">
        <f ca="1">IF(DI20&lt;&gt;"",MAX($DN$2:DN19)+1,0)</f>
        <v>6</v>
      </c>
      <c r="DO20" s="48" t="str">
        <f ca="1">IF($BF$9=1,"pab11","pab1")</f>
        <v>pab1</v>
      </c>
      <c r="DW20" s="48">
        <f>IF(DR20&lt;&gt;"",MAX($DW$2:DW19)+1,0)</f>
        <v>0</v>
      </c>
      <c r="DY20" s="48" t="str">
        <f t="shared" ca="1" si="19"/>
        <v/>
      </c>
      <c r="DZ20" s="48" t="str">
        <f t="shared" ca="1" si="40"/>
        <v/>
      </c>
      <c r="EA20" s="48" t="str">
        <f t="shared" ca="1" si="41"/>
        <v/>
      </c>
      <c r="EB20" s="48">
        <f t="shared" ca="1" si="42"/>
        <v>0</v>
      </c>
      <c r="EC20" s="48">
        <f t="shared" ca="1" si="43"/>
        <v>0</v>
      </c>
      <c r="ED20" s="48" t="str">
        <f t="shared" ca="1" si="44"/>
        <v/>
      </c>
      <c r="EE20" s="48">
        <f t="shared" ca="1" si="45"/>
        <v>0</v>
      </c>
      <c r="EF20" s="48" t="str">
        <f t="shared" ca="1" si="46"/>
        <v/>
      </c>
      <c r="EG20" s="48">
        <f t="shared" ca="1" si="47"/>
        <v>0</v>
      </c>
      <c r="EH20" s="48" t="str">
        <f t="shared" ca="1" si="48"/>
        <v/>
      </c>
      <c r="EI20" s="48">
        <f t="shared" ca="1" si="49"/>
        <v>0</v>
      </c>
      <c r="EJ20" s="48" t="str">
        <f t="shared" ca="1" si="50"/>
        <v/>
      </c>
      <c r="EK20" s="48">
        <f t="shared" ca="1" si="51"/>
        <v>0</v>
      </c>
      <c r="EL20" s="48">
        <f t="shared" ca="1" si="20"/>
        <v>0</v>
      </c>
      <c r="EM20" s="48">
        <f ca="1">IF(EL20&gt;=0,0,MAX($EM$2:EM19)+1)</f>
        <v>0</v>
      </c>
      <c r="EN20" s="48" t="str">
        <f t="shared" ca="1" si="21"/>
        <v/>
      </c>
      <c r="EO20" s="48" t="str">
        <f ca="1">IFERROR(INDEX($EM$3:$EN$400,MATCH(ROWS($EO$3:EO20),$EM$3:$EM$400,0),2),"")</f>
        <v/>
      </c>
      <c r="EP20" s="48">
        <f>ROW()</f>
        <v>20</v>
      </c>
      <c r="EQ20" s="48">
        <f t="shared" ca="1" si="22"/>
        <v>0</v>
      </c>
      <c r="ER20" s="48">
        <f ca="1">IF(ISNA(EQ20)=TRUE,MAX($ER$2:ER19)+1,0)</f>
        <v>0</v>
      </c>
      <c r="ES20" s="48" t="str">
        <f t="shared" ca="1" si="52"/>
        <v/>
      </c>
      <c r="ET20" s="48" t="str">
        <f ca="1">IFERROR(INDEX($ER$3:$ES$400,MATCH(ROWS($ET$3:ET20),$ER$3:$ER$400,0),2),"")</f>
        <v/>
      </c>
      <c r="EV20" s="48">
        <f ca="1">IFERROR(INDEX(LIBRO_GIORNALE!$O$11:$P$408,MATCH(ROWS($EV$2:EV19),LIBRO_GIORNALE!$P$11:$P$408,0),1),0)</f>
        <v>0</v>
      </c>
      <c r="EW20" s="48" t="str">
        <f t="shared" ca="1" si="53"/>
        <v>0</v>
      </c>
      <c r="EX20" s="48">
        <f t="shared" ca="1" si="54"/>
        <v>0</v>
      </c>
      <c r="EY20" s="48">
        <f ca="1">IF(EX20&gt;0,MAX($EY$2:EY19)+1,0)</f>
        <v>0</v>
      </c>
      <c r="EZ20" s="48">
        <f ca="1">IFERROR(INDEX($EX$3:$EX$400,MATCH(ROWS($EZ$3:EZ20),$EY$3:$EY$400,0),1),0)</f>
        <v>0</v>
      </c>
      <c r="FA20" s="48">
        <f ca="1">IF(EZ20&gt;0,0,MAX($FA$2:FA19)+1)</f>
        <v>18</v>
      </c>
      <c r="FB20" s="48">
        <f t="shared" ca="1" si="55"/>
        <v>0</v>
      </c>
      <c r="FC20" s="48">
        <f t="shared" ca="1" si="56"/>
        <v>18</v>
      </c>
      <c r="FD20" s="48">
        <f t="shared" ca="1" si="57"/>
        <v>18</v>
      </c>
      <c r="FE20" s="48">
        <f ca="1">IF(FD20=0,0,MAX($FE$2:FE19)+1)</f>
        <v>18</v>
      </c>
      <c r="FF20" s="48">
        <f ca="1">IFERROR(INDEX($FD$3:$FE$400,MATCH(ROWS($FF$3:FF20),$FE$3:$FE$400,0),1),"")</f>
        <v>18</v>
      </c>
      <c r="FH20" s="48">
        <f t="shared" ca="1" si="58"/>
        <v>0</v>
      </c>
      <c r="FI20" s="48">
        <f ca="1">IF(FH20&lt;&gt;0,MAX($FI$2:FI19)+1,0)</f>
        <v>0</v>
      </c>
      <c r="FJ20" s="48" t="str">
        <f ca="1">IFERROR(INDEX($FH$3:$FI$400,MATCH(ROWS($FJ$3:FJ20),$FI$3:$FI$400,0),1),"")</f>
        <v/>
      </c>
      <c r="FK20" s="48">
        <f ca="1">IF(ABS(SUMIFS(DARE,DEN_G,"="&amp;FJ20,DATA,"&lt;="&amp;FINE_AC,DATA,"&gt;="&amp;INIZIO_A_PC)-SUMIFS(AVERE,DEN_G,"="&amp;FJ20,DATA,"&lt;="&amp;FINE_AC,DATA,"&gt;="&amp;INIZIO_A_PC))&gt;0,MAX($FK$2:FK19)+1,0)</f>
        <v>0</v>
      </c>
      <c r="FL20" s="48" t="str">
        <f ca="1">IF(AND(ROW()-2&lt;&gt;1,ROW()-2&lt;=$FK$1),CONCATENATE(" - ",IFERROR(INDEX($FJ$3:$FK$400,MATCH(ROWS($FL$3:FL20),$FK$3:$FK$400,0),1),"")),IFERROR(INDEX($FJ$3:$FK$400,MATCH(ROWS($FL$3:FL20),$FK$3:$FK$400,0),1),""))</f>
        <v/>
      </c>
      <c r="FM20" s="48">
        <f ca="1">IF(OR(B20="IVA ns/credito",B20="IVA NS/DEBITO",B20="IVA C/ACCONTO",B20="IMPOSTE C/ACCONTO",B20="CREDITI PER RITENUTE SUBITE",B20="CREDITI D'IMPOSTA"),MAX($FM$2:FM19)+1,0)</f>
        <v>0</v>
      </c>
      <c r="FN20" s="48" t="str">
        <f t="shared" ca="1" si="59"/>
        <v/>
      </c>
      <c r="FO20" s="48" t="str">
        <f ca="1">IFERROR(INDEX($FM$3:$FN$400,MATCH(ROWS($FO$3:FO20),$FM$3:$FM$400,0),2),"")</f>
        <v/>
      </c>
      <c r="FP20" s="48">
        <f ca="1">IF(ABS(SUMIFS(DARE,DEN_G,"="&amp;FO20,DATA,"&lt;="&amp;FINE_AC,DATA,"&gt;="&amp;INIZIO_A_PC)-SUMIFS(AVERE,DEN_G,"="&amp;FO20,DATA,"&lt;="&amp;FINE_AC,DATA,"&gt;="&amp;INIZIO_A_PC))&gt;0,MAX($FP$2:FP19)+1,0)</f>
        <v>0</v>
      </c>
      <c r="FQ20" s="48" t="str">
        <f ca="1">IF(AND(ROW()-2&lt;&gt;1,ROW()-2&lt;=$FP$1),CONCATENATE(" - ",IFERROR(INDEX($FO$3:$FP$400,MATCH(ROWS($FQ$3:FQ20),$FP$3:$FP$400,0),1),"")),IFERROR(INDEX($FO$3:$FP$400,MATCH(ROWS($FQ$3:FQ20),$FP$3:$FP$400,0),1),""))</f>
        <v/>
      </c>
    </row>
    <row r="21" spans="1:173" x14ac:dyDescent="0.3">
      <c r="A21" s="48" t="str">
        <f ca="1">IFERROR(IF($A$1=2,INDEX($DH$3:$DN$401,MATCH(ROWS(A$3:A21),$DN$3:$DN$401,0),COLUMN()),IF($A$1=1,INDEX($DQ$3:$DW$401,MATCH(ROWS(A$3:A21),$DW$3:$DW$401,0),COLUMN()),"")),"")</f>
        <v>01.31</v>
      </c>
      <c r="B21" s="48" t="str">
        <f ca="1">IFERROR(IF($A$1=2,INDEX($DH$3:$DN$401,MATCH(ROWS(B$3:B21),$DN$3:$DN$401,0),COLUMN()),IF($A$1=1,INDEX($DQ$3:$DW$400,MATCH(ROWS(B$3:B21),$DW$3:$DW$401,0),COLUMN()),"")),"")</f>
        <v>FORNITORI IMMOBILIZZAZIONI IMMATERIALI C/ACCONTI</v>
      </c>
      <c r="C21" s="48" t="str">
        <f ca="1">IFERROR(IF($A$1=2,INDEX($DH$3:$DN$401,MATCH(ROWS(C$3:C21),$DN$3:$DN$401,0),COLUMN()),IF($A$1=1,INDEX($DQ$3:$DW$401,MATCH(ROWS(C$3:C21),$DW$3:$DW$401,0),COLUMN()),"")),"")</f>
        <v>F</v>
      </c>
      <c r="D21" s="48" t="str">
        <f ca="1">IFERROR(IF($A$1=2,INDEX($DH$3:$DN$401,MATCH(ROWS(D$3:D21),$DN$3:$DN$401,0),COLUMN()),IF($A$1=1,INDEX($DQ$3:$DW$401,MATCH(ROWS(D$3:D21),$DW$3:$DW$401,0),COLUMN()),"")),"")</f>
        <v>D</v>
      </c>
      <c r="E21" s="48" t="str">
        <f ca="1">IFERROR(IF($A$1=2,INDEX($DH$3:$DN$401,MATCH(ROWS(E$3:E21),$DN$3:$DN$401,0),COLUMN()),IF($A$1=1,INDEX($DQ$3:$DW$401,MATCH(ROWS(E$3:E21),$DW$3:$DW$401,0),COLUMN()),"")),"")</f>
        <v>CREDITI</v>
      </c>
      <c r="F21" s="48" t="str">
        <f ca="1">IFERROR(IF($A$1=2,INDEX($DH$3:$DN$401,MATCH(ROWS(F$3:F21),$DN$3:$DN$401,0),COLUMN()),IF($A$1=1,INDEX($DQ$3:$DX$401,MATCH(ROWS(F$3:F21),$DW$3:$DW$401,0),COLUMN()),"")),"")</f>
        <v>SP DARE</v>
      </c>
      <c r="G21" s="48" t="str">
        <f t="shared" ca="1" si="23"/>
        <v>SP</v>
      </c>
      <c r="H21" s="48" t="str">
        <f ca="1">IFERROR(IF($A$1=2,INDEX($DH$3:$DO$400,MATCH(ROWS(H$3:H21),$DN$3:$DN$400,0),COLUMN()),IF($A$1=1,INDEX($DQ$3:$DX$400,MATCH(ROWS(H$3:H21),$DW$3:$DW$400,0),COLUMN()),"")),"")</f>
        <v>pab1</v>
      </c>
      <c r="I21" s="48" t="str">
        <f t="shared" ca="1" si="0"/>
        <v/>
      </c>
      <c r="J21" s="48" t="str">
        <f t="shared" ca="1" si="24"/>
        <v/>
      </c>
      <c r="K21" s="48">
        <f t="shared" ca="1" si="25"/>
        <v>0</v>
      </c>
      <c r="L21" s="48">
        <f t="shared" ca="1" si="26"/>
        <v>0</v>
      </c>
      <c r="M21" s="48">
        <f ca="1">IFERROR(IF(IF(MID($A21,3,3)=".00",MID(A21,1,2),"")&lt;&gt;"",MAX($M$2:M20)+1,0),"")</f>
        <v>0</v>
      </c>
      <c r="N21" s="48" t="str">
        <f t="shared" ca="1" si="27"/>
        <v/>
      </c>
      <c r="O21" s="48" t="str">
        <f ca="1">IF(IFERROR(INDEX($N$3:$O$400,MATCH(ROWS($O$3:O21),$M$3:$M$400,0),1),"")&lt;&gt;"",CONCATENATE(INDEX($N$3:$O$400,MATCH(ROWS($O$3:O21),$M$3:$M$400,0),1),".00"),"")</f>
        <v>19.00</v>
      </c>
      <c r="P21" s="48" t="str">
        <f t="shared" ca="1" si="28"/>
        <v>CONTI DEI SISTEMI MINORI</v>
      </c>
      <c r="Q21" s="48">
        <f ca="1">IF(M21&gt;=1,0,MAX($Q$2:Q20)+1)</f>
        <v>17</v>
      </c>
      <c r="R21" s="48">
        <f ca="1">IF(AND($U$2=2,S21&lt;&gt;""),MAX($R$2:R20)+1,0)</f>
        <v>3</v>
      </c>
      <c r="S21" s="48" t="str">
        <f t="shared" ref="S21:S64" ca="1" si="81">IF(P4&lt;&gt;"",P4,"")</f>
        <v>IMMOBILIZZAZIONI IMMATERIALI</v>
      </c>
      <c r="T21" s="48" t="str">
        <f ca="1">IFERROR(INDEX($R$3:$S$64,MATCH(ROWS($T$2:T20),$R$3:$R$64,0),2),"")</f>
        <v>CONTI TRANSITORI E DIVERSI</v>
      </c>
      <c r="U21" s="48" t="str">
        <f ca="1">IFERROR(INDEX(PDC,MATCH(ROWS(U$3:U21),$V$3:$V$400,0),2),"")</f>
        <v>IMPIANTI E MACCHINARI</v>
      </c>
      <c r="V21" s="48">
        <f ca="1">IF(AND($T$1="VISUALIZZA TUTTI I CONTI",AA21&lt;&gt;""),MAX($V$2:V20)+1,IF(AND($U$2=2,AI21=$T$1),MAX($V$2:V20)+1,IF(AND($U$2=1,$T$1=AF21),MAX($V$2:V20)+1,0)))</f>
        <v>19</v>
      </c>
      <c r="Z21" s="246"/>
      <c r="AA21" s="48" t="str">
        <f t="shared" ca="1" si="29"/>
        <v>02.00</v>
      </c>
      <c r="AB21" s="48" t="str">
        <f ca="1">IFERROR(INDEX($A$3:$G$400,MATCH(ROWS(AB$3:AB21),$Q$3:$Q$400,0),1),"")</f>
        <v>02.02</v>
      </c>
      <c r="AC21" s="48" t="str">
        <f ca="1">IFERROR(INDEX($A$3:$G$400,MATCH(ROWS($AC$3:AC21),$Q$3:$Q$400,0),2),"")</f>
        <v>IMPIANTI E MACCHINARI</v>
      </c>
      <c r="AD21" s="48" t="str">
        <f ca="1">IFERROR(INDEX($A$3:$G$400,MATCH(ROWS(AD$3:AD21),$Q$3:$Q$400,0),3),"")</f>
        <v>E</v>
      </c>
      <c r="AE21" s="48" t="str">
        <f ca="1">IFERROR(INDEX($A$3:$G$400,MATCH(ROWS(AE$3:AE21),$Q$3:$Q$400,0),4),"")</f>
        <v>D</v>
      </c>
      <c r="AF21" s="48" t="str">
        <f ca="1">IFERROR(INDEX($A$3:$G$400,MATCH(ROWS(AF$3:AF21),$Q$3:$Q$400,0),5),"")</f>
        <v>COSTI PLURIENNALI</v>
      </c>
      <c r="AG21" s="48" t="str">
        <f ca="1">IFERROR(INDEX($A$3:$G$400,MATCH(ROWS(AG$3:AG21),$Q$3:$Q$400,0),6),"")</f>
        <v>SP DARE</v>
      </c>
      <c r="AH21" s="48" t="str">
        <f ca="1">IFERROR(INDEX($A$3:$G$400,MATCH(ROWS(AH$3:AH21),$Q$3:$Q$400,0),7),"")</f>
        <v>SP</v>
      </c>
      <c r="AI21" s="48" t="str">
        <f t="shared" ca="1" si="1"/>
        <v>IMMOBILIZZAZIONI MATERIALI</v>
      </c>
      <c r="AJ21" s="48" t="str">
        <f ca="1">IFERROR(INDEX($A$3:$H$400,MATCH(ROWS(AJ$3:AJ21),$Q$3:$Q$400,0),8),"")</f>
        <v>pab2</v>
      </c>
      <c r="AK21" s="48">
        <f t="shared" ca="1" si="2"/>
        <v>0</v>
      </c>
      <c r="AL21" s="48">
        <f t="shared" ca="1" si="3"/>
        <v>0</v>
      </c>
      <c r="AM21" s="48">
        <f t="shared" ca="1" si="30"/>
        <v>0</v>
      </c>
      <c r="AN21" s="48" t="str">
        <f t="shared" ca="1" si="31"/>
        <v/>
      </c>
      <c r="AO21" s="48">
        <f t="shared" ca="1" si="32"/>
        <v>0</v>
      </c>
      <c r="AP21" s="48">
        <f t="shared" ca="1" si="32"/>
        <v>0</v>
      </c>
      <c r="AQ21" s="48" t="str">
        <f t="shared" ca="1" si="4"/>
        <v>IMPIANTI E MACCHINARI</v>
      </c>
      <c r="AR21" s="48">
        <f t="shared" ca="1" si="5"/>
        <v>0</v>
      </c>
      <c r="AS21" s="48">
        <f t="shared" ca="1" si="6"/>
        <v>0</v>
      </c>
      <c r="AT21" s="48">
        <f t="shared" ca="1" si="33"/>
        <v>0</v>
      </c>
      <c r="AU21" s="48">
        <f t="shared" ca="1" si="34"/>
        <v>0</v>
      </c>
      <c r="AV21" s="48">
        <f ca="1">IF(OR(AT21&gt;0,AU21&gt;0),MAX($AV$2:AV20)+1,0)</f>
        <v>0</v>
      </c>
      <c r="AZ21" s="241" t="str">
        <f t="shared" ca="1" si="35"/>
        <v/>
      </c>
      <c r="BA21" s="48">
        <f t="shared" ca="1" si="7"/>
        <v>0</v>
      </c>
      <c r="BB21" s="48">
        <f ca="1">IFERROR(INDEX($AQ$3:$AV$220,MATCH(ROWS($BB$3:BB21),$AV$3:$AV$220,0),1),0)</f>
        <v>0</v>
      </c>
      <c r="BC21" s="48" t="str">
        <f t="shared" ca="1" si="36"/>
        <v/>
      </c>
      <c r="BD21" s="48">
        <f ca="1">IFERROR(INDEX($AQ$3:$AV$220,MATCH(ROWS($BB$3:BD21),$AV$3:$AV$220,0),4),0)</f>
        <v>0</v>
      </c>
      <c r="BE21" s="48">
        <f ca="1">IFERROR(INDEX($AQ$3:$AV$220,MATCH(ROWS($BB$3:BE21),$AV$3:$AV$220,0),5),0)</f>
        <v>0</v>
      </c>
      <c r="BF21" s="48">
        <v>7</v>
      </c>
      <c r="BG21" s="48">
        <f ca="1">IF(IF(AND(OR(INDEX(PDC,MATCH($AC21,DEN_PDC,0),6)="SP DARE",INDEX(PDC,MATCH($AC21,DEN_PDC,0),6)="SP DARE/AVERE"),SUMIFS(DARE,DEN_G,$AC21)&gt;=SUMIFS(AVERE,DEN_G,$AC21)),SUMIFS(DARE,DEN_G,$AC21)-SUMIFS(AVERE,DEN_G,$AC21),0)&gt;0,MAX($BG$2:BG20)+1,0)</f>
        <v>0</v>
      </c>
      <c r="BH21" s="48">
        <f ca="1">IF(IF(AND(OR(INDEX(PDC,MATCH($AC21,DEN_PDC,0),6)="SP AVERE",INDEX(PDC,MATCH($AC21,DEN_PDC,0),6)="SP DARE/AVERE"),SUMIFS(AVERE,DEN_G,$AC21)&gt;=SUMIFS(DARE,DEN_G,$AC21)),SUMIFS(AVERE,DEN_G,$AC21)-SUMIFS(DARE,DEN_G,$AC21),0)&gt;0,MAX(BH$2:BH20)+1,0)</f>
        <v>0</v>
      </c>
      <c r="BI21" s="48">
        <f ca="1">IF(IF(AND(OR(INDEX(PDC,MATCH($AC21,DEN_PDC,0),6)="SE DARE",INDEX(PDC,MATCH($AC21,DEN_PDC,0),6)="SE DARE/AVERE"),SUMIFS(DARE,DEN_G,$AC21)&gt;=SUMIFS(AVERE,DEN_G,$AC21)),SUMIFS(DARE,DEN_G,$AC21)-SUMIFS(AVERE,DEN_G,$AC21),0)&gt;0,MAX(BI$2:BI20)+1,0)</f>
        <v>0</v>
      </c>
      <c r="BJ21" s="48">
        <f ca="1">IF(IF(AND(OR(INDEX(PDC,MATCH($AC21,DEN_PDC,0),6)="SE AVERE",INDEX(PDC,MATCH($AC21,DEN_PDC,0),6)="SE DARE/AVERE"),SUMIFS(AVERE,DEN_G,$AC21)&gt;=SUMIFS(DARE,DEN_G,$AC21)),SUMIFS(AVERE,DEN_G,$AC21)-SUMIFS(DARE,DEN_G,$AC21),0)&gt;0,MAX(BJ$2:BJ20)+1,0)</f>
        <v>0</v>
      </c>
      <c r="BK21" s="48" t="str">
        <f ca="1">IF(AND(AND($DY$2=0,$DY$1=0),$I$1=2,ROW()&gt;$BG$1+2,ROW()&lt;=$BG$1+4),"………………..",IF(AND(OR($DY$2&gt;0,$DY$1&gt;0),$I$1=2,ROW()&gt;$BG$1+2,ROW()&lt;=$BG$1+4),"………………..",IFERROR(INDEX($AC$3:$AC$398,MATCH(ROWS(BK$3:BK21),BG$3:BG$398,0),1),"")))</f>
        <v/>
      </c>
      <c r="BL21" s="48">
        <f t="shared" ca="1" si="69"/>
        <v>0</v>
      </c>
      <c r="BM21" s="48" t="str">
        <f ca="1">IF(AND(OR($DY$2=0,$DY$1=0),$I$1=2,ROW()&gt;$BH$1+2,ROW()&lt;=$BH$1+4),"………………..",IF(AND(OR($DY$2&gt;0,$DY$1&gt;0),$I$1=2,ROW()&gt;$BH$1+2,ROW()&lt;=$BH$1+4),"………………..",IFERROR(INDEX($AC$3:$AC$400,MATCH(ROWS(BM$3:BM21),BH$3:BH$400,0),1),"")))</f>
        <v/>
      </c>
      <c r="BN21" s="48">
        <f t="shared" ca="1" si="9"/>
        <v>0</v>
      </c>
      <c r="BO21" s="48" t="str">
        <f ca="1">IF(AND(OR($DY$2=0,$DY$1=0),$I$1=2,ROW()&gt;$BI$1+2,ROW()&lt;=$BI$1+4),"………………..",IF(AND(OR($DY$2&gt;0,$DY$1&gt;0),$I$1=2,ROW()&gt;$BI$1+2,ROW()&lt;=$BI$1+4),"………………..",IFERROR(INDEX($AC$3:$AC$400,MATCH(ROWS(BO$3:BO21),BI$3:BI$400,0),1),"")))</f>
        <v/>
      </c>
      <c r="BP21" s="48">
        <f t="shared" ca="1" si="10"/>
        <v>0</v>
      </c>
      <c r="BQ21" s="48" t="str">
        <f ca="1">IF(AND(OR($DY$2=0,$DY$1=0),$I$1=2,ROW()&gt;$BJ$1+2,ROW()&lt;=$BJ$1+4),"………………..",IF(AND(OR($DY$2&gt;0,$DY$1&gt;0),$I$1=2,ROW()&gt;$BJ$1+2,ROW()&lt;=$BJ$1+4),"………………..",IFERROR(INDEX($AC$3:$AC$400,MATCH(ROWS(BQ$3:BQ21),BJ$3:BJ$400,0),1),"")))</f>
        <v/>
      </c>
      <c r="BR21" s="48">
        <f t="shared" ca="1" si="11"/>
        <v>0</v>
      </c>
      <c r="BS21" s="48">
        <f ca="1">IF(IF(AND(OR(INDEX(PDC,MATCH($AC21,DEN_PDC,0),4)="D",INDEX(PDC,MATCH($AC21,DEN_PDC,0),4)="D/A"),SUMIFS(DARE,DEN_G,$AC21)&gt;=SUMIFS(AVERE,DEN_G,$AC21)),SUMIFS(DARE,DEN_G,$AC21),IF(AND(OR(INDEX(PDC,MATCH($AC21,DEN_PDC,0),4)="A",INDEX(PDC,MATCH($AC21,DEN_PDC,0),4)="D/A"),SUMIFS(AVERE,DEN_G,$AC21)&gt;=SUMIFS(DARE,DEN_G,$AC21)),SUMIFS(AVERE,DEN_G,$AC21),))&gt;0,MAX($BS$2:BS20)+1,0)</f>
        <v>0</v>
      </c>
      <c r="BT21" s="48" t="str">
        <f ca="1">IF($CO$1=0,"",IF(AND($I$1=2,ROW()&gt;$BR$1,ROW()&lt;=$BS$1)," …………….",IF(AND($E$1=1,$BX$1=1,$I$1=2,ROW()=$BQ$1),"TOTALI",IFERROR(INDEX(PDC,MATCH(ROWS(BT$3:BT21),BS$3:BS418,0),2),""))))</f>
        <v/>
      </c>
      <c r="BU21" s="48">
        <f t="shared" ca="1" si="12"/>
        <v>0</v>
      </c>
      <c r="BV21" s="48">
        <f t="shared" ca="1" si="13"/>
        <v>0</v>
      </c>
      <c r="BW21" s="48">
        <f t="shared" ca="1" si="14"/>
        <v>0</v>
      </c>
      <c r="BX21" s="48">
        <f t="shared" ca="1" si="15"/>
        <v>0</v>
      </c>
      <c r="BY21" s="48">
        <f ca="1">IF(OR(BW21&gt;0,BX21&gt;0),MAX($BY$2:BY20)+1,0)</f>
        <v>0</v>
      </c>
      <c r="BZ21" s="48" t="str">
        <f ca="1">IFERROR(INDEX($BT$3:$BY$400,MATCH(ROWS(BZ$3:BZ21),$BY$3:$BY$400,0),1),"")</f>
        <v/>
      </c>
      <c r="CA21" s="48" t="str">
        <f ca="1">IFERROR(INDEX($BT$3:$BY$400,MATCH(ROWS(CA$3:CA21),$BY$3:$BY$400,0),4),"")</f>
        <v/>
      </c>
      <c r="CB21" s="48" t="str">
        <f ca="1">IFERROR(INDEX($BT$3:$BY$400,MATCH(ROWS(CB$3:CB21),$BY$3:$BY$400,0),5),"")</f>
        <v/>
      </c>
      <c r="CC21" s="48" t="str">
        <f t="shared" ca="1" si="16"/>
        <v/>
      </c>
      <c r="CD21" s="48">
        <f ca="1">IF(AND($CG$1=TRUE,$BF$9=1,CE21&lt;&gt;0),MAX($CD$2:CD20)+1,0)</f>
        <v>0</v>
      </c>
      <c r="CE21" s="48">
        <f ca="1">IF($I$1=1,SUM(CE16:CE20),IF(AND($I$1=2,SUM(CE16:CE20)&gt;0),"_ _ _",0))</f>
        <v>0</v>
      </c>
      <c r="CG21" s="242" t="s">
        <v>505</v>
      </c>
      <c r="CH21" s="242">
        <f t="shared" ca="1" si="70"/>
        <v>0</v>
      </c>
      <c r="CI21" s="242"/>
      <c r="CJ21" s="242"/>
      <c r="CL21" s="242"/>
      <c r="CM21" s="242" t="str">
        <f t="shared" ca="1" si="37"/>
        <v/>
      </c>
      <c r="CN21" s="243">
        <f t="shared" ca="1" si="38"/>
        <v>0</v>
      </c>
      <c r="CO21" s="48" t="str">
        <f t="shared" ca="1" si="39"/>
        <v/>
      </c>
      <c r="CQ21" s="247">
        <f ca="1">DATE(AP1,1,1)</f>
        <v>46023</v>
      </c>
      <c r="CR21" s="247">
        <f ca="1">DATE(AP1,$AT$1,$AS$1)</f>
        <v>46387</v>
      </c>
      <c r="CS21" s="48">
        <f ca="1">SUMIFS($AO$103:$AO$400,$AL$103:$AL$400,"&gt;="&amp;$CQ21,$AL$103:$AL$400,"&lt;="&amp;$CR21)</f>
        <v>0</v>
      </c>
      <c r="CT21" s="48">
        <f ca="1">SUMIFS($AP$103:$AP$400,$AL$103:$AL$400,"&gt;="&amp;$CQ21,$AL$103:$AL$400,"&lt;="&amp;$CR21)</f>
        <v>0</v>
      </c>
      <c r="CU21" s="48">
        <f ca="1">IF(SUMIFS(AVERE,DEN_G,AC21,AVERE,"&gt;"&amp;0)+SUMIFS(DARE,DEN_G,AC21,DARE,"&gt;"&amp;0)&gt;0,MAX($CU$2:CU20)+1,0)</f>
        <v>0</v>
      </c>
      <c r="CV21" s="48" t="str">
        <f ca="1">IF(IFERROR(INDEX(PDC,MATCH(ROWS($CV$3:CV21),$CU$3:$CU$400,0),2),"")="CONTO DI RISULTATO ECONOMICO","",IFERROR(INDEX(PDC,MATCH(ROWS($CV$3:CV21),$CU$3:$CU$400,0),2),""))</f>
        <v/>
      </c>
      <c r="CW21" s="48">
        <f ca="1">IFERROR(IF(CV21&lt;&gt;"",MAX($CW$2:CW20)+1,0),0)</f>
        <v>0</v>
      </c>
      <c r="CX21" s="48">
        <f t="shared" ca="1" si="73"/>
        <v>2</v>
      </c>
      <c r="CY21" s="48" t="str">
        <f t="shared" ca="1" si="71"/>
        <v>MASTRO</v>
      </c>
      <c r="CZ21" s="48" t="e">
        <f t="shared" ca="1" si="75"/>
        <v>#N/A</v>
      </c>
      <c r="DA21" s="48" t="str">
        <f t="shared" ca="1" si="80"/>
        <v/>
      </c>
      <c r="DB21" s="48" t="str">
        <f t="shared" ca="1" si="76"/>
        <v/>
      </c>
      <c r="DC21" s="48" t="str">
        <f t="shared" ca="1" si="77"/>
        <v/>
      </c>
      <c r="DD21" s="48" t="str">
        <f t="shared" ca="1" si="78"/>
        <v/>
      </c>
      <c r="DE21" s="48" t="str">
        <f t="shared" ca="1" si="79"/>
        <v/>
      </c>
      <c r="DF21" s="48">
        <f ca="1">IF(AND(CX21=$DF$1,CX21&lt;&gt;""),0,IF(AND(DB21&lt;&gt;"",OR(DB20&lt;&gt;"",DB22&lt;&gt;"")),MAX($DF$2:DF20)+1,0))</f>
        <v>0</v>
      </c>
      <c r="DH21" s="244" t="s">
        <v>326</v>
      </c>
      <c r="DI21" s="48" t="s">
        <v>327</v>
      </c>
      <c r="DJ21" s="48" t="s">
        <v>311</v>
      </c>
      <c r="DK21" s="48" t="s">
        <v>275</v>
      </c>
      <c r="DL21" s="48" t="s">
        <v>9</v>
      </c>
      <c r="DM21" s="48" t="s">
        <v>270</v>
      </c>
      <c r="DN21" s="48">
        <f ca="1">IF(DI21&lt;&gt;"",MAX($DN$2:DN20)+1,0)</f>
        <v>7</v>
      </c>
      <c r="DO21" s="48" t="str">
        <f ca="1">IF($BF$9=1,"pab11","pab1")</f>
        <v>pab1</v>
      </c>
      <c r="DW21" s="48">
        <f>IF(DR21&lt;&gt;"",MAX($DW$2:DW20)+1,0)</f>
        <v>0</v>
      </c>
      <c r="DY21" s="48" t="str">
        <f t="shared" ca="1" si="19"/>
        <v/>
      </c>
      <c r="DZ21" s="48" t="str">
        <f t="shared" ca="1" si="40"/>
        <v/>
      </c>
      <c r="EA21" s="48" t="str">
        <f t="shared" ca="1" si="41"/>
        <v/>
      </c>
      <c r="EB21" s="48">
        <f t="shared" ca="1" si="42"/>
        <v>0</v>
      </c>
      <c r="EC21" s="48">
        <f t="shared" ca="1" si="43"/>
        <v>0</v>
      </c>
      <c r="ED21" s="48" t="str">
        <f t="shared" ca="1" si="44"/>
        <v/>
      </c>
      <c r="EE21" s="48">
        <f t="shared" ca="1" si="45"/>
        <v>0</v>
      </c>
      <c r="EF21" s="48" t="str">
        <f t="shared" ca="1" si="46"/>
        <v/>
      </c>
      <c r="EG21" s="48">
        <f t="shared" ca="1" si="47"/>
        <v>0</v>
      </c>
      <c r="EH21" s="48" t="str">
        <f t="shared" ca="1" si="48"/>
        <v/>
      </c>
      <c r="EI21" s="48">
        <f t="shared" ca="1" si="49"/>
        <v>0</v>
      </c>
      <c r="EJ21" s="48" t="str">
        <f t="shared" ca="1" si="50"/>
        <v/>
      </c>
      <c r="EK21" s="48">
        <f t="shared" ca="1" si="51"/>
        <v>0</v>
      </c>
      <c r="EL21" s="48">
        <f t="shared" ca="1" si="20"/>
        <v>0</v>
      </c>
      <c r="EM21" s="48">
        <f ca="1">IF(EL21&gt;=0,0,MAX($EM$2:EM20)+1)</f>
        <v>0</v>
      </c>
      <c r="EN21" s="48" t="str">
        <f t="shared" ca="1" si="21"/>
        <v/>
      </c>
      <c r="EO21" s="48" t="str">
        <f ca="1">IFERROR(INDEX($EM$3:$EN$400,MATCH(ROWS($EO$3:EO21),$EM$3:$EM$400,0),2),"")</f>
        <v/>
      </c>
      <c r="EP21" s="48">
        <f>ROW()</f>
        <v>21</v>
      </c>
      <c r="EQ21" s="48">
        <f t="shared" ca="1" si="22"/>
        <v>0</v>
      </c>
      <c r="ER21" s="48">
        <f ca="1">IF(ISNA(EQ21)=TRUE,MAX($ER$2:ER20)+1,0)</f>
        <v>0</v>
      </c>
      <c r="ES21" s="48" t="str">
        <f t="shared" ca="1" si="52"/>
        <v/>
      </c>
      <c r="ET21" s="48" t="str">
        <f ca="1">IFERROR(INDEX($ER$3:$ES$400,MATCH(ROWS($ET$3:ET21),$ER$3:$ER$400,0),2),"")</f>
        <v/>
      </c>
      <c r="EV21" s="48">
        <f ca="1">IFERROR(INDEX(LIBRO_GIORNALE!$O$11:$P$408,MATCH(ROWS($EV$2:EV20),LIBRO_GIORNALE!$P$11:$P$408,0),1),0)</f>
        <v>0</v>
      </c>
      <c r="EW21" s="48" t="str">
        <f t="shared" ca="1" si="53"/>
        <v>0</v>
      </c>
      <c r="EX21" s="48">
        <f t="shared" ca="1" si="54"/>
        <v>0</v>
      </c>
      <c r="EY21" s="48">
        <f ca="1">IF(EX21&gt;0,MAX($EY$2:EY20)+1,0)</f>
        <v>0</v>
      </c>
      <c r="EZ21" s="48">
        <f ca="1">IFERROR(INDEX($EX$3:$EX$400,MATCH(ROWS($EZ$3:EZ21),$EY$3:$EY$400,0),1),0)</f>
        <v>0</v>
      </c>
      <c r="FA21" s="48">
        <f ca="1">IF(EZ21&gt;0,0,MAX($FA$2:FA20)+1)</f>
        <v>19</v>
      </c>
      <c r="FB21" s="48">
        <f t="shared" ca="1" si="55"/>
        <v>0</v>
      </c>
      <c r="FC21" s="48">
        <f t="shared" ca="1" si="56"/>
        <v>19</v>
      </c>
      <c r="FD21" s="48">
        <f t="shared" ca="1" si="57"/>
        <v>19</v>
      </c>
      <c r="FE21" s="48">
        <f ca="1">IF(FD21=0,0,MAX($FE$2:FE20)+1)</f>
        <v>19</v>
      </c>
      <c r="FF21" s="48">
        <f ca="1">IFERROR(INDEX($FD$3:$FE$400,MATCH(ROWS($FF$3:FF21),$FE$3:$FE$400,0),1),"")</f>
        <v>19</v>
      </c>
      <c r="FH21" s="48">
        <f t="shared" ca="1" si="58"/>
        <v>0</v>
      </c>
      <c r="FI21" s="48">
        <f ca="1">IF(FH21&lt;&gt;0,MAX($FI$2:FI20)+1,0)</f>
        <v>0</v>
      </c>
      <c r="FJ21" s="48" t="str">
        <f ca="1">IFERROR(INDEX($FH$3:$FI$400,MATCH(ROWS($FJ$3:FJ21),$FI$3:$FI$400,0),1),"")</f>
        <v/>
      </c>
      <c r="FK21" s="48">
        <f ca="1">IF(ABS(SUMIFS(DARE,DEN_G,"="&amp;FJ21,DATA,"&lt;="&amp;FINE_AC,DATA,"&gt;="&amp;INIZIO_A_PC)-SUMIFS(AVERE,DEN_G,"="&amp;FJ21,DATA,"&lt;="&amp;FINE_AC,DATA,"&gt;="&amp;INIZIO_A_PC))&gt;0,MAX($FK$2:FK20)+1,0)</f>
        <v>0</v>
      </c>
      <c r="FL21" s="48" t="str">
        <f ca="1">IF(AND(ROW()-2&lt;&gt;1,ROW()-2&lt;=$FK$1),CONCATENATE(" - ",IFERROR(INDEX($FJ$3:$FK$400,MATCH(ROWS($FL$3:FL21),$FK$3:$FK$400,0),1),"")),IFERROR(INDEX($FJ$3:$FK$400,MATCH(ROWS($FL$3:FL21),$FK$3:$FK$400,0),1),""))</f>
        <v/>
      </c>
      <c r="FM21" s="48">
        <f ca="1">IF(OR(B21="IVA ns/credito",B21="IVA NS/DEBITO",B21="IVA C/ACCONTO",B21="IMPOSTE C/ACCONTO",B21="CREDITI PER RITENUTE SUBITE",B21="CREDITI D'IMPOSTA"),MAX($FM$2:FM20)+1,0)</f>
        <v>0</v>
      </c>
      <c r="FN21" s="48" t="str">
        <f t="shared" ca="1" si="59"/>
        <v/>
      </c>
      <c r="FO21" s="48" t="str">
        <f ca="1">IFERROR(INDEX($FM$3:$FN$400,MATCH(ROWS($FO$3:FO21),$FM$3:$FM$400,0),2),"")</f>
        <v/>
      </c>
      <c r="FP21" s="48">
        <f ca="1">IF(ABS(SUMIFS(DARE,DEN_G,"="&amp;FO21,DATA,"&lt;="&amp;FINE_AC,DATA,"&gt;="&amp;INIZIO_A_PC)-SUMIFS(AVERE,DEN_G,"="&amp;FO21,DATA,"&lt;="&amp;FINE_AC,DATA,"&gt;="&amp;INIZIO_A_PC))&gt;0,MAX($FP$2:FP20)+1,0)</f>
        <v>0</v>
      </c>
      <c r="FQ21" s="48" t="str">
        <f ca="1">IF(AND(ROW()-2&lt;&gt;1,ROW()-2&lt;=$FP$1),CONCATENATE(" - ",IFERROR(INDEX($FO$3:$FP$400,MATCH(ROWS($FQ$3:FQ21),$FP$3:$FP$400,0),1),"")),IFERROR(INDEX($FO$3:$FP$400,MATCH(ROWS($FQ$3:FQ21),$FP$3:$FP$400,0),1),""))</f>
        <v/>
      </c>
    </row>
    <row r="22" spans="1:173" x14ac:dyDescent="0.3">
      <c r="A22" s="48" t="str">
        <f ca="1">IFERROR(IF($A$1=2,INDEX($DH$3:$DN$401,MATCH(ROWS(A$3:A22),$DN$3:$DN$401,0),COLUMN()),IF($A$1=1,INDEX($DQ$3:$DW$401,MATCH(ROWS(A$3:A22),$DW$3:$DW$401,0),COLUMN()),"")),"")</f>
        <v>02.00</v>
      </c>
      <c r="B22" s="48" t="str">
        <f ca="1">IFERROR(IF($A$1=2,INDEX($DH$3:$DN$401,MATCH(ROWS(B$3:B22),$DN$3:$DN$401,0),COLUMN()),IF($A$1=1,INDEX($DQ$3:$DW$400,MATCH(ROWS(B$3:B22),$DW$3:$DW$401,0),COLUMN()),"")),"")</f>
        <v>IMMOBILIZZAZIONI MATERIALI</v>
      </c>
      <c r="C22" s="48">
        <f ca="1">IFERROR(IF($A$1=2,INDEX($DH$3:$DN$401,MATCH(ROWS(C$3:C22),$DN$3:$DN$401,0),COLUMN()),IF($A$1=1,INDEX($DQ$3:$DW$401,MATCH(ROWS(C$3:C22),$DW$3:$DW$401,0),COLUMN()),"")),"")</f>
        <v>0</v>
      </c>
      <c r="D22" s="48">
        <f ca="1">IFERROR(IF($A$1=2,INDEX($DH$3:$DN$401,MATCH(ROWS(D$3:D22),$DN$3:$DN$401,0),COLUMN()),IF($A$1=1,INDEX($DQ$3:$DW$401,MATCH(ROWS(D$3:D22),$DW$3:$DW$401,0),COLUMN()),"")),"")</f>
        <v>0</v>
      </c>
      <c r="E22" s="48">
        <f ca="1">IFERROR(IF($A$1=2,INDEX($DH$3:$DN$401,MATCH(ROWS(E$3:E22),$DN$3:$DN$401,0),COLUMN()),IF($A$1=1,INDEX($DQ$3:$DW$401,MATCH(ROWS(E$3:E22),$DW$3:$DW$401,0),COLUMN()),"")),"")</f>
        <v>0</v>
      </c>
      <c r="F22" s="48">
        <f ca="1">IFERROR(IF($A$1=2,INDEX($DH$3:$DN$401,MATCH(ROWS(F$3:F22),$DN$3:$DN$401,0),COLUMN()),IF($A$1=1,INDEX($DQ$3:$DX$401,MATCH(ROWS(F$3:F22),$DW$3:$DW$401,0),COLUMN()),"")),"")</f>
        <v>0</v>
      </c>
      <c r="G22" s="48" t="str">
        <f t="shared" ca="1" si="23"/>
        <v>0</v>
      </c>
      <c r="H22" s="48">
        <f ca="1">IFERROR(IF($A$1=2,INDEX($DH$3:$DO$400,MATCH(ROWS(H$3:H22),$DN$3:$DN$400,0),COLUMN()),IF($A$1=1,INDEX($DQ$3:$DX$400,MATCH(ROWS(H$3:H22),$DW$3:$DW$400,0),COLUMN()),"")),"")</f>
        <v>0</v>
      </c>
      <c r="I22" s="48" t="str">
        <f t="shared" ca="1" si="0"/>
        <v/>
      </c>
      <c r="J22" s="48" t="str">
        <f t="shared" ca="1" si="24"/>
        <v/>
      </c>
      <c r="K22" s="48">
        <f t="shared" ca="1" si="25"/>
        <v>0</v>
      </c>
      <c r="L22" s="48">
        <f t="shared" ca="1" si="26"/>
        <v>0</v>
      </c>
      <c r="M22" s="48">
        <f ca="1">IFERROR(IF(IF(MID($A22,3,3)=".00",MID(A22,1,2),"")&lt;&gt;"",MAX($M$2:M21)+1,0),"")</f>
        <v>3</v>
      </c>
      <c r="N22" s="48" t="str">
        <f t="shared" ca="1" si="27"/>
        <v>02</v>
      </c>
      <c r="O22" s="48" t="str">
        <f ca="1">IF(IFERROR(INDEX($N$3:$O$400,MATCH(ROWS($O$3:O22),$M$3:$M$400,0),1),"")&lt;&gt;"",CONCATENATE(INDEX($N$3:$O$400,MATCH(ROWS($O$3:O22),$M$3:$M$400,0),1),".00"),"")</f>
        <v>20.00</v>
      </c>
      <c r="P22" s="48" t="str">
        <f t="shared" ca="1" si="28"/>
        <v>VALORE DELLA PRODUZIONE</v>
      </c>
      <c r="Q22" s="48">
        <f ca="1">IF(M22&gt;=1,0,MAX($Q$2:Q21)+1)</f>
        <v>0</v>
      </c>
      <c r="R22" s="48">
        <f ca="1">IF(AND($U$2=2,S22&lt;&gt;""),MAX($R$2:R21)+1,0)</f>
        <v>4</v>
      </c>
      <c r="S22" s="48" t="str">
        <f t="shared" ca="1" si="81"/>
        <v>IMMOBILIZZAZIONI MATERIALI</v>
      </c>
      <c r="T22" s="48" t="str">
        <f ca="1">IFERROR(INDEX($R$3:$S$64,MATCH(ROWS($T$2:T21),$R$3:$R$64,0),2),"")</f>
        <v>CONTI DEI SISTEMI MINORI</v>
      </c>
      <c r="U22" s="48" t="str">
        <f ca="1">IFERROR(INDEX(PDC,MATCH(ROWS(U$3:U22),$V$3:$V$400,0),2),"")</f>
        <v>ATTREZZATURE INDUSTRIALI</v>
      </c>
      <c r="V22" s="48">
        <f ca="1">IF(AND($T$1="VISUALIZZA TUTTI I CONTI",AA22&lt;&gt;""),MAX($V$2:V21)+1,IF(AND($U$2=2,AI22=$T$1),MAX($V$2:V21)+1,IF(AND($U$2=1,$T$1=AF22),MAX($V$2:V21)+1,0)))</f>
        <v>20</v>
      </c>
      <c r="Z22" s="246"/>
      <c r="AA22" s="48" t="str">
        <f t="shared" ca="1" si="29"/>
        <v>02.00</v>
      </c>
      <c r="AB22" s="48" t="str">
        <f ca="1">IFERROR(INDEX($A$3:$G$400,MATCH(ROWS(AB$3:AB22),$Q$3:$Q$400,0),1),"")</f>
        <v>02.03</v>
      </c>
      <c r="AC22" s="48" t="str">
        <f ca="1">IFERROR(INDEX($A$3:$G$400,MATCH(ROWS($AC$3:AC22),$Q$3:$Q$400,0),2),"")</f>
        <v>ATTREZZATURE INDUSTRIALI</v>
      </c>
      <c r="AD22" s="48" t="str">
        <f ca="1">IFERROR(INDEX($A$3:$G$400,MATCH(ROWS(AD$3:AD22),$Q$3:$Q$400,0),3),"")</f>
        <v>E</v>
      </c>
      <c r="AE22" s="48" t="str">
        <f ca="1">IFERROR(INDEX($A$3:$G$400,MATCH(ROWS(AE$3:AE22),$Q$3:$Q$400,0),4),"")</f>
        <v>D</v>
      </c>
      <c r="AF22" s="48" t="str">
        <f ca="1">IFERROR(INDEX($A$3:$G$400,MATCH(ROWS(AF$3:AF22),$Q$3:$Q$400,0),5),"")</f>
        <v>COSTI PLURIENNALI</v>
      </c>
      <c r="AG22" s="48" t="str">
        <f ca="1">IFERROR(INDEX($A$3:$G$400,MATCH(ROWS(AG$3:AG22),$Q$3:$Q$400,0),6),"")</f>
        <v>SP DARE</v>
      </c>
      <c r="AH22" s="48" t="str">
        <f ca="1">IFERROR(INDEX($A$3:$G$400,MATCH(ROWS(AH$3:AH22),$Q$3:$Q$400,0),7),"")</f>
        <v>SP</v>
      </c>
      <c r="AI22" s="48" t="str">
        <f t="shared" ca="1" si="1"/>
        <v>IMMOBILIZZAZIONI MATERIALI</v>
      </c>
      <c r="AJ22" s="48" t="str">
        <f ca="1">IFERROR(INDEX($A$3:$H$400,MATCH(ROWS(AJ$3:AJ22),$Q$3:$Q$400,0),8),"")</f>
        <v>pab2</v>
      </c>
      <c r="AK22" s="48">
        <f t="shared" ca="1" si="2"/>
        <v>0</v>
      </c>
      <c r="AL22" s="48">
        <f t="shared" ca="1" si="3"/>
        <v>0</v>
      </c>
      <c r="AM22" s="48">
        <f t="shared" ca="1" si="30"/>
        <v>0</v>
      </c>
      <c r="AN22" s="48" t="str">
        <f t="shared" ca="1" si="31"/>
        <v/>
      </c>
      <c r="AO22" s="48">
        <f t="shared" ca="1" si="32"/>
        <v>0</v>
      </c>
      <c r="AP22" s="48">
        <f t="shared" ca="1" si="32"/>
        <v>0</v>
      </c>
      <c r="AQ22" s="48" t="str">
        <f t="shared" ca="1" si="4"/>
        <v>ATTREZZATURE INDUSTRIALI</v>
      </c>
      <c r="AR22" s="48">
        <f t="shared" ca="1" si="5"/>
        <v>0</v>
      </c>
      <c r="AS22" s="48">
        <f t="shared" ca="1" si="6"/>
        <v>0</v>
      </c>
      <c r="AT22" s="48">
        <f t="shared" ca="1" si="33"/>
        <v>0</v>
      </c>
      <c r="AU22" s="48">
        <f t="shared" ca="1" si="34"/>
        <v>0</v>
      </c>
      <c r="AV22" s="48">
        <f ca="1">IF(OR(AT22&gt;0,AU22&gt;0),MAX($AV$2:AV21)+1,0)</f>
        <v>0</v>
      </c>
      <c r="AZ22" s="241" t="str">
        <f t="shared" ca="1" si="35"/>
        <v/>
      </c>
      <c r="BA22" s="48">
        <f t="shared" ca="1" si="7"/>
        <v>0</v>
      </c>
      <c r="BB22" s="48">
        <f ca="1">IFERROR(INDEX($AQ$3:$AV$220,MATCH(ROWS($BB$3:BB22),$AV$3:$AV$220,0),1),0)</f>
        <v>0</v>
      </c>
      <c r="BC22" s="48" t="str">
        <f t="shared" ca="1" si="36"/>
        <v/>
      </c>
      <c r="BD22" s="48">
        <f ca="1">IFERROR(INDEX($AQ$3:$AV$220,MATCH(ROWS($BB$3:BD22),$AV$3:$AV$220,0),4),0)</f>
        <v>0</v>
      </c>
      <c r="BE22" s="48">
        <f ca="1">IFERROR(INDEX($AQ$3:$AV$220,MATCH(ROWS($BB$3:BE22),$AV$3:$AV$220,0),5),0)</f>
        <v>0</v>
      </c>
      <c r="BF22" s="48">
        <v>8</v>
      </c>
      <c r="BG22" s="48">
        <f ca="1">IF(IF(AND(OR(INDEX(PDC,MATCH($AC22,DEN_PDC,0),6)="SP DARE",INDEX(PDC,MATCH($AC22,DEN_PDC,0),6)="SP DARE/AVERE"),SUMIFS(DARE,DEN_G,$AC22)&gt;=SUMIFS(AVERE,DEN_G,$AC22)),SUMIFS(DARE,DEN_G,$AC22)-SUMIFS(AVERE,DEN_G,$AC22),0)&gt;0,MAX($BG$2:BG21)+1,0)</f>
        <v>0</v>
      </c>
      <c r="BH22" s="48">
        <f ca="1">IF(IF(AND(OR(INDEX(PDC,MATCH($AC22,DEN_PDC,0),6)="SP AVERE",INDEX(PDC,MATCH($AC22,DEN_PDC,0),6)="SP DARE/AVERE"),SUMIFS(AVERE,DEN_G,$AC22)&gt;=SUMIFS(DARE,DEN_G,$AC22)),SUMIFS(AVERE,DEN_G,$AC22)-SUMIFS(DARE,DEN_G,$AC22),0)&gt;0,MAX(BH$2:BH21)+1,0)</f>
        <v>0</v>
      </c>
      <c r="BI22" s="48">
        <f ca="1">IF(IF(AND(OR(INDEX(PDC,MATCH($AC22,DEN_PDC,0),6)="SE DARE",INDEX(PDC,MATCH($AC22,DEN_PDC,0),6)="SE DARE/AVERE"),SUMIFS(DARE,DEN_G,$AC22)&gt;=SUMIFS(AVERE,DEN_G,$AC22)),SUMIFS(DARE,DEN_G,$AC22)-SUMIFS(AVERE,DEN_G,$AC22),0)&gt;0,MAX(BI$2:BI21)+1,0)</f>
        <v>0</v>
      </c>
      <c r="BJ22" s="48">
        <f ca="1">IF(IF(AND(OR(INDEX(PDC,MATCH($AC22,DEN_PDC,0),6)="SE AVERE",INDEX(PDC,MATCH($AC22,DEN_PDC,0),6)="SE DARE/AVERE"),SUMIFS(AVERE,DEN_G,$AC22)&gt;=SUMIFS(DARE,DEN_G,$AC22)),SUMIFS(AVERE,DEN_G,$AC22)-SUMIFS(DARE,DEN_G,$AC22),0)&gt;0,MAX(BJ$2:BJ21)+1,0)</f>
        <v>0</v>
      </c>
      <c r="BK22" s="48" t="str">
        <f ca="1">IF(AND(AND($DY$2=0,$DY$1=0),$I$1=2,ROW()&gt;$BG$1+2,ROW()&lt;=$BG$1+4),"………………..",IF(AND(OR($DY$2&gt;0,$DY$1&gt;0),$I$1=2,ROW()&gt;$BG$1+2,ROW()&lt;=$BG$1+4),"………………..",IFERROR(INDEX($AC$3:$AC$398,MATCH(ROWS(BK$3:BK22),BG$3:BG$398,0),1),"")))</f>
        <v/>
      </c>
      <c r="BL22" s="48">
        <f t="shared" ca="1" si="69"/>
        <v>0</v>
      </c>
      <c r="BM22" s="48" t="str">
        <f ca="1">IF(AND(OR($DY$2=0,$DY$1=0),$I$1=2,ROW()&gt;$BH$1+2,ROW()&lt;=$BH$1+4),"………………..",IF(AND(OR($DY$2&gt;0,$DY$1&gt;0),$I$1=2,ROW()&gt;$BH$1+2,ROW()&lt;=$BH$1+4),"………………..",IFERROR(INDEX($AC$3:$AC$400,MATCH(ROWS(BM$3:BM22),BH$3:BH$400,0),1),"")))</f>
        <v/>
      </c>
      <c r="BN22" s="48">
        <f t="shared" ca="1" si="9"/>
        <v>0</v>
      </c>
      <c r="BO22" s="48" t="str">
        <f ca="1">IF(AND(OR($DY$2=0,$DY$1=0),$I$1=2,ROW()&gt;$BI$1+2,ROW()&lt;=$BI$1+4),"………………..",IF(AND(OR($DY$2&gt;0,$DY$1&gt;0),$I$1=2,ROW()&gt;$BI$1+2,ROW()&lt;=$BI$1+4),"………………..",IFERROR(INDEX($AC$3:$AC$400,MATCH(ROWS(BO$3:BO22),BI$3:BI$400,0),1),"")))</f>
        <v/>
      </c>
      <c r="BP22" s="48">
        <f t="shared" ca="1" si="10"/>
        <v>0</v>
      </c>
      <c r="BQ22" s="48" t="str">
        <f ca="1">IF(AND(OR($DY$2=0,$DY$1=0),$I$1=2,ROW()&gt;$BJ$1+2,ROW()&lt;=$BJ$1+4),"………………..",IF(AND(OR($DY$2&gt;0,$DY$1&gt;0),$I$1=2,ROW()&gt;$BJ$1+2,ROW()&lt;=$BJ$1+4),"………………..",IFERROR(INDEX($AC$3:$AC$400,MATCH(ROWS(BQ$3:BQ22),BJ$3:BJ$400,0),1),"")))</f>
        <v/>
      </c>
      <c r="BR22" s="48">
        <f t="shared" ca="1" si="11"/>
        <v>0</v>
      </c>
      <c r="BS22" s="48">
        <f ca="1">IF(IF(AND(OR(INDEX(PDC,MATCH($AC22,DEN_PDC,0),4)="D",INDEX(PDC,MATCH($AC22,DEN_PDC,0),4)="D/A"),SUMIFS(DARE,DEN_G,$AC22)&gt;=SUMIFS(AVERE,DEN_G,$AC22)),SUMIFS(DARE,DEN_G,$AC22),IF(AND(OR(INDEX(PDC,MATCH($AC22,DEN_PDC,0),4)="A",INDEX(PDC,MATCH($AC22,DEN_PDC,0),4)="D/A"),SUMIFS(AVERE,DEN_G,$AC22)&gt;=SUMIFS(DARE,DEN_G,$AC22)),SUMIFS(AVERE,DEN_G,$AC22),))&gt;0,MAX($BS$2:BS21)+1,0)</f>
        <v>0</v>
      </c>
      <c r="BT22" s="48" t="str">
        <f ca="1">IF($CO$1=0,"",IF(AND($I$1=2,ROW()&gt;$BR$1,ROW()&lt;=$BS$1)," …………….",IF(AND($E$1=1,$BX$1=1,$I$1=2,ROW()=$BQ$1),"TOTALI",IFERROR(INDEX(PDC,MATCH(ROWS(BT$3:BT22),BS$3:BS419,0),2),""))))</f>
        <v/>
      </c>
      <c r="BU22" s="48">
        <f t="shared" ca="1" si="12"/>
        <v>0</v>
      </c>
      <c r="BV22" s="48">
        <f t="shared" ca="1" si="13"/>
        <v>0</v>
      </c>
      <c r="BW22" s="48">
        <f t="shared" ca="1" si="14"/>
        <v>0</v>
      </c>
      <c r="BX22" s="48">
        <f t="shared" ca="1" si="15"/>
        <v>0</v>
      </c>
      <c r="BY22" s="48">
        <f ca="1">IF(OR(BW22&gt;0,BX22&gt;0),MAX($BY$2:BY21)+1,0)</f>
        <v>0</v>
      </c>
      <c r="BZ22" s="48" t="str">
        <f ca="1">IFERROR(INDEX($BT$3:$BY$400,MATCH(ROWS(BZ$3:BZ22),$BY$3:$BY$400,0),1),"")</f>
        <v/>
      </c>
      <c r="CA22" s="48" t="str">
        <f ca="1">IFERROR(INDEX($BT$3:$BY$400,MATCH(ROWS(CA$3:CA22),$BY$3:$BY$400,0),4),"")</f>
        <v/>
      </c>
      <c r="CB22" s="48" t="str">
        <f ca="1">IFERROR(INDEX($BT$3:$BY$400,MATCH(ROWS(CB$3:CB22),$BY$3:$BY$400,0),5),"")</f>
        <v/>
      </c>
      <c r="CC22" s="48" t="str">
        <f t="shared" ca="1" si="16"/>
        <v/>
      </c>
      <c r="CD22" s="48">
        <f ca="1">IF(AND($BF$9=1,CE22&lt;&gt;0),MAX($CD$2:CD21)+1,0)</f>
        <v>0</v>
      </c>
      <c r="CE22" s="48">
        <f ca="1">IF(OR(CE42&gt;0,CE42="_ _ _"),"a",0)</f>
        <v>0</v>
      </c>
      <c r="CG22" s="242" t="s">
        <v>506</v>
      </c>
      <c r="CH22" s="242"/>
      <c r="CI22" s="242"/>
      <c r="CJ22" s="242">
        <f ca="1">CJ29</f>
        <v>0</v>
      </c>
      <c r="CK22" s="48">
        <f ca="1">IF($CF$2=FALSE,0,IF(AND($BF$9=1,CJ22&lt;&gt;0),MAX($CK$21:CK21)+1,0))</f>
        <v>0</v>
      </c>
      <c r="CL22" s="242"/>
      <c r="CM22" s="242" t="str">
        <f t="shared" ca="1" si="37"/>
        <v/>
      </c>
      <c r="CN22" s="243">
        <f t="shared" ca="1" si="38"/>
        <v>0</v>
      </c>
      <c r="CO22" s="48" t="str">
        <f t="shared" ca="1" si="39"/>
        <v/>
      </c>
      <c r="CQ22" s="247">
        <f ca="1">DATE(AP1+1,1,1)</f>
        <v>46388</v>
      </c>
      <c r="CR22" s="247">
        <f ca="1">DATE($AP$1+1,$AT$1,$AS$1)</f>
        <v>46752</v>
      </c>
      <c r="CS22" s="48">
        <f t="shared" ref="CS22:CS26" ca="1" si="82">SUMIFS($AO$103:$AO$400,$AL$103:$AL$400,"&gt;="&amp;$CQ22,$AL$103:$AL$400,"&lt;="&amp;$CR22)</f>
        <v>0</v>
      </c>
      <c r="CT22" s="48">
        <f t="shared" ref="CT22:CT26" ca="1" si="83">SUMIFS($AP$103:$AP$400,$AL$103:$AL$400,"&gt;="&amp;$CQ22,$AL$103:$AL$400,"&lt;="&amp;$CR22)</f>
        <v>0</v>
      </c>
      <c r="CU22" s="48">
        <f ca="1">IF(SUMIFS(AVERE,DEN_G,AC22,AVERE,"&gt;"&amp;0)+SUMIFS(DARE,DEN_G,AC22,DARE,"&gt;"&amp;0)&gt;0,MAX($CU$2:CU21)+1,0)</f>
        <v>0</v>
      </c>
      <c r="CV22" s="48" t="str">
        <f ca="1">IF(IFERROR(INDEX(PDC,MATCH(ROWS($CV$3:CV22),$CU$3:$CU$400,0),2),"")="CONTO DI RISULTATO ECONOMICO","",IFERROR(INDEX(PDC,MATCH(ROWS($CV$3:CV22),$CU$3:$CU$400,0),2),""))</f>
        <v/>
      </c>
      <c r="CW22" s="48">
        <f ca="1">IFERROR(IF(CV22&lt;&gt;"",MAX($CW$2:CW21)+1,0),0)</f>
        <v>0</v>
      </c>
      <c r="CX22" s="48">
        <f t="shared" ca="1" si="73"/>
        <v>2</v>
      </c>
      <c r="CY22" s="48" t="str">
        <f t="shared" ca="1" si="71"/>
        <v>MASTRO</v>
      </c>
      <c r="CZ22" s="48" t="e">
        <f t="shared" ca="1" si="75"/>
        <v>#N/A</v>
      </c>
      <c r="DA22" s="48" t="str">
        <f t="shared" ca="1" si="80"/>
        <v/>
      </c>
      <c r="DB22" s="48" t="str">
        <f t="shared" ca="1" si="76"/>
        <v/>
      </c>
      <c r="DC22" s="48" t="str">
        <f t="shared" ca="1" si="77"/>
        <v/>
      </c>
      <c r="DD22" s="48" t="str">
        <f t="shared" ca="1" si="78"/>
        <v/>
      </c>
      <c r="DE22" s="48" t="str">
        <f t="shared" ca="1" si="79"/>
        <v/>
      </c>
      <c r="DF22" s="48">
        <f ca="1">IF(AND(CX22=$DF$1,CX22&lt;&gt;""),0,IF(AND(DB22&lt;&gt;"",OR(DB21&lt;&gt;"",DB23&lt;&gt;"")),MAX($DF$2:DF21)+1,0))</f>
        <v>0</v>
      </c>
      <c r="DH22" s="244" t="s">
        <v>328</v>
      </c>
      <c r="DI22" s="48" t="s">
        <v>329</v>
      </c>
      <c r="DJ22" s="48" t="s">
        <v>311</v>
      </c>
      <c r="DK22" s="48" t="s">
        <v>275</v>
      </c>
      <c r="DL22" s="48" t="s">
        <v>9</v>
      </c>
      <c r="DM22" s="48" t="s">
        <v>270</v>
      </c>
      <c r="DN22" s="48">
        <f ca="1">IF(DI22&lt;&gt;"",MAX($DN$2:DN21)+1,0)</f>
        <v>8</v>
      </c>
      <c r="DO22" s="48" t="str">
        <f ca="1">IF($BF$9=1,"pab12","pab1")</f>
        <v>pab1</v>
      </c>
      <c r="DW22" s="48">
        <f>IF(DR22&lt;&gt;"",MAX($DW$2:DW21)+1,0)</f>
        <v>0</v>
      </c>
      <c r="DY22" s="48" t="str">
        <f t="shared" ca="1" si="19"/>
        <v/>
      </c>
      <c r="DZ22" s="48" t="str">
        <f t="shared" ca="1" si="40"/>
        <v/>
      </c>
      <c r="EA22" s="48" t="str">
        <f t="shared" ca="1" si="41"/>
        <v/>
      </c>
      <c r="EB22" s="48">
        <f t="shared" ca="1" si="42"/>
        <v>0</v>
      </c>
      <c r="EC22" s="48">
        <f t="shared" ca="1" si="43"/>
        <v>0</v>
      </c>
      <c r="ED22" s="48" t="str">
        <f t="shared" ca="1" si="44"/>
        <v/>
      </c>
      <c r="EE22" s="48">
        <f t="shared" ca="1" si="45"/>
        <v>0</v>
      </c>
      <c r="EF22" s="48" t="str">
        <f t="shared" ca="1" si="46"/>
        <v/>
      </c>
      <c r="EG22" s="48">
        <f t="shared" ca="1" si="47"/>
        <v>0</v>
      </c>
      <c r="EH22" s="48" t="str">
        <f t="shared" ca="1" si="48"/>
        <v/>
      </c>
      <c r="EI22" s="48">
        <f t="shared" ca="1" si="49"/>
        <v>0</v>
      </c>
      <c r="EJ22" s="48" t="str">
        <f t="shared" ca="1" si="50"/>
        <v/>
      </c>
      <c r="EK22" s="48">
        <f t="shared" ca="1" si="51"/>
        <v>0</v>
      </c>
      <c r="EL22" s="48">
        <f t="shared" ca="1" si="20"/>
        <v>0</v>
      </c>
      <c r="EM22" s="48">
        <f ca="1">IF(EL22&gt;=0,0,MAX($EM$2:EM21)+1)</f>
        <v>0</v>
      </c>
      <c r="EN22" s="48" t="str">
        <f t="shared" ca="1" si="21"/>
        <v/>
      </c>
      <c r="EO22" s="48" t="str">
        <f ca="1">IFERROR(INDEX($EM$3:$EN$400,MATCH(ROWS($EO$3:EO22),$EM$3:$EM$400,0),2),"")</f>
        <v/>
      </c>
      <c r="EP22" s="48">
        <f>ROW()</f>
        <v>22</v>
      </c>
      <c r="EQ22" s="48">
        <f t="shared" ca="1" si="22"/>
        <v>0</v>
      </c>
      <c r="ER22" s="48">
        <f ca="1">IF(ISNA(EQ22)=TRUE,MAX($ER$2:ER21)+1,0)</f>
        <v>0</v>
      </c>
      <c r="ES22" s="48" t="str">
        <f t="shared" ca="1" si="52"/>
        <v/>
      </c>
      <c r="ET22" s="48" t="str">
        <f ca="1">IFERROR(INDEX($ER$3:$ES$400,MATCH(ROWS($ET$3:ET22),$ER$3:$ER$400,0),2),"")</f>
        <v/>
      </c>
      <c r="EV22" s="48">
        <f ca="1">IFERROR(INDEX(LIBRO_GIORNALE!$O$11:$P$408,MATCH(ROWS($EV$2:EV21),LIBRO_GIORNALE!$P$11:$P$408,0),1),0)</f>
        <v>0</v>
      </c>
      <c r="EW22" s="48" t="str">
        <f t="shared" ca="1" si="53"/>
        <v>0</v>
      </c>
      <c r="EX22" s="48">
        <f t="shared" ca="1" si="54"/>
        <v>0</v>
      </c>
      <c r="EY22" s="48">
        <f ca="1">IF(EX22&gt;0,MAX($EY$2:EY21)+1,0)</f>
        <v>0</v>
      </c>
      <c r="EZ22" s="48">
        <f ca="1">IFERROR(INDEX($EX$3:$EX$400,MATCH(ROWS($EZ$3:EZ22),$EY$3:$EY$400,0),1),0)</f>
        <v>0</v>
      </c>
      <c r="FA22" s="48">
        <f ca="1">IF(EZ22&gt;0,0,MAX($FA$2:FA21)+1)</f>
        <v>20</v>
      </c>
      <c r="FB22" s="48">
        <f t="shared" ca="1" si="55"/>
        <v>0</v>
      </c>
      <c r="FC22" s="48">
        <f t="shared" ca="1" si="56"/>
        <v>20</v>
      </c>
      <c r="FD22" s="48">
        <f t="shared" ca="1" si="57"/>
        <v>20</v>
      </c>
      <c r="FE22" s="48">
        <f ca="1">IF(FD22=0,0,MAX($FE$2:FE21)+1)</f>
        <v>20</v>
      </c>
      <c r="FF22" s="48">
        <f ca="1">IFERROR(INDEX($FD$3:$FE$400,MATCH(ROWS($FF$3:FF22),$FE$3:$FE$400,0),1),"")</f>
        <v>20</v>
      </c>
      <c r="FH22" s="48">
        <f t="shared" ca="1" si="58"/>
        <v>0</v>
      </c>
      <c r="FI22" s="48">
        <f ca="1">IF(FH22&lt;&gt;0,MAX($FI$2:FI21)+1,0)</f>
        <v>0</v>
      </c>
      <c r="FJ22" s="48" t="str">
        <f ca="1">IFERROR(INDEX($FH$3:$FI$400,MATCH(ROWS($FJ$3:FJ22),$FI$3:$FI$400,0),1),"")</f>
        <v/>
      </c>
      <c r="FK22" s="48">
        <f ca="1">IF(ABS(SUMIFS(DARE,DEN_G,"="&amp;FJ22,DATA,"&lt;="&amp;FINE_AC,DATA,"&gt;="&amp;INIZIO_A_PC)-SUMIFS(AVERE,DEN_G,"="&amp;FJ22,DATA,"&lt;="&amp;FINE_AC,DATA,"&gt;="&amp;INIZIO_A_PC))&gt;0,MAX($FK$2:FK21)+1,0)</f>
        <v>0</v>
      </c>
      <c r="FL22" s="48" t="str">
        <f ca="1">IF(AND(ROW()-2&lt;&gt;1,ROW()-2&lt;=$FK$1),CONCATENATE(" - ",IFERROR(INDEX($FJ$3:$FK$400,MATCH(ROWS($FL$3:FL22),$FK$3:$FK$400,0),1),"")),IFERROR(INDEX($FJ$3:$FK$400,MATCH(ROWS($FL$3:FL22),$FK$3:$FK$400,0),1),""))</f>
        <v/>
      </c>
      <c r="FM22" s="48">
        <f ca="1">IF(OR(B22="IVA ns/credito",B22="IVA NS/DEBITO",B22="IVA C/ACCONTO",B22="IMPOSTE C/ACCONTO",B22="CREDITI PER RITENUTE SUBITE",B22="CREDITI D'IMPOSTA"),MAX($FM$2:FM21)+1,0)</f>
        <v>0</v>
      </c>
      <c r="FN22" s="48" t="str">
        <f t="shared" ca="1" si="59"/>
        <v/>
      </c>
      <c r="FO22" s="48" t="str">
        <f ca="1">IFERROR(INDEX($FM$3:$FN$400,MATCH(ROWS($FO$3:FO22),$FM$3:$FM$400,0),2),"")</f>
        <v/>
      </c>
      <c r="FP22" s="48">
        <f ca="1">IF(ABS(SUMIFS(DARE,DEN_G,"="&amp;FO22,DATA,"&lt;="&amp;FINE_AC,DATA,"&gt;="&amp;INIZIO_A_PC)-SUMIFS(AVERE,DEN_G,"="&amp;FO22,DATA,"&lt;="&amp;FINE_AC,DATA,"&gt;="&amp;INIZIO_A_PC))&gt;0,MAX($FP$2:FP21)+1,0)</f>
        <v>0</v>
      </c>
      <c r="FQ22" s="48" t="str">
        <f ca="1">IF(AND(ROW()-2&lt;&gt;1,ROW()-2&lt;=$FP$1),CONCATENATE(" - ",IFERROR(INDEX($FO$3:$FP$400,MATCH(ROWS($FQ$3:FQ22),$FP$3:$FP$400,0),1),"")),IFERROR(INDEX($FO$3:$FP$400,MATCH(ROWS($FQ$3:FQ22),$FP$3:$FP$400,0),1),""))</f>
        <v/>
      </c>
    </row>
    <row r="23" spans="1:173" x14ac:dyDescent="0.3">
      <c r="A23" s="48" t="str">
        <f ca="1">IFERROR(IF($A$1=2,INDEX($DH$3:$DN$401,MATCH(ROWS(A$3:A23),$DN$3:$DN$401,0),COLUMN()),IF($A$1=1,INDEX($DQ$3:$DW$401,MATCH(ROWS(A$3:A23),$DW$3:$DW$401,0),COLUMN()),"")),"")</f>
        <v>02.01</v>
      </c>
      <c r="B23" s="48" t="str">
        <f ca="1">IFERROR(IF($A$1=2,INDEX($DH$3:$DN$401,MATCH(ROWS(B$3:B23),$DN$3:$DN$401,0),COLUMN()),IF($A$1=1,INDEX($DQ$3:$DW$400,MATCH(ROWS(B$3:B23),$DW$3:$DW$401,0),COLUMN()),"")),"")</f>
        <v>TERRENI E FABBRICATI</v>
      </c>
      <c r="C23" s="48" t="str">
        <f ca="1">IFERROR(IF($A$1=2,INDEX($DH$3:$DN$401,MATCH(ROWS(C$3:C23),$DN$3:$DN$401,0),COLUMN()),IF($A$1=1,INDEX($DQ$3:$DW$401,MATCH(ROWS(C$3:C23),$DW$3:$DW$401,0),COLUMN()),"")),"")</f>
        <v>E</v>
      </c>
      <c r="D23" s="48" t="str">
        <f ca="1">IFERROR(IF($A$1=2,INDEX($DH$3:$DN$401,MATCH(ROWS(D$3:D23),$DN$3:$DN$401,0),COLUMN()),IF($A$1=1,INDEX($DQ$3:$DW$401,MATCH(ROWS(D$3:D23),$DW$3:$DW$401,0),COLUMN()),"")),"")</f>
        <v>D</v>
      </c>
      <c r="E23" s="48" t="str">
        <f ca="1">IFERROR(IF($A$1=2,INDEX($DH$3:$DN$401,MATCH(ROWS(E$3:E23),$DN$3:$DN$401,0),COLUMN()),IF($A$1=1,INDEX($DQ$3:$DW$401,MATCH(ROWS(E$3:E23),$DW$3:$DW$401,0),COLUMN()),"")),"")</f>
        <v>COSTI PLURIENNALI</v>
      </c>
      <c r="F23" s="48" t="str">
        <f ca="1">IFERROR(IF($A$1=2,INDEX($DH$3:$DN$401,MATCH(ROWS(F$3:F23),$DN$3:$DN$401,0),COLUMN()),IF($A$1=1,INDEX($DQ$3:$DX$401,MATCH(ROWS(F$3:F23),$DW$3:$DW$401,0),COLUMN()),"")),"")</f>
        <v>SP DARE</v>
      </c>
      <c r="G23" s="48" t="str">
        <f t="shared" ca="1" si="23"/>
        <v>SP</v>
      </c>
      <c r="H23" s="48" t="str">
        <f ca="1">IFERROR(IF($A$1=2,INDEX($DH$3:$DO$400,MATCH(ROWS(H$3:H23),$DN$3:$DN$400,0),COLUMN()),IF($A$1=1,INDEX($DQ$3:$DX$400,MATCH(ROWS(H$3:H23),$DW$3:$DW$400,0),COLUMN()),"")),"")</f>
        <v>pab2</v>
      </c>
      <c r="I23" s="48" t="str">
        <f t="shared" ca="1" si="0"/>
        <v/>
      </c>
      <c r="J23" s="48" t="str">
        <f t="shared" ca="1" si="24"/>
        <v/>
      </c>
      <c r="K23" s="48">
        <f t="shared" ca="1" si="25"/>
        <v>0</v>
      </c>
      <c r="L23" s="48">
        <f t="shared" ca="1" si="26"/>
        <v>0</v>
      </c>
      <c r="M23" s="48">
        <f ca="1">IFERROR(IF(IF(MID($A23,3,3)=".00",MID(A23,1,2),"")&lt;&gt;"",MAX($M$2:M22)+1,0),"")</f>
        <v>0</v>
      </c>
      <c r="N23" s="48" t="str">
        <f t="shared" ca="1" si="27"/>
        <v/>
      </c>
      <c r="O23" s="48" t="str">
        <f ca="1">IF(IFERROR(INDEX($N$3:$O$400,MATCH(ROWS($O$3:O23),$M$3:$M$400,0),1),"")&lt;&gt;"",CONCATENATE(INDEX($N$3:$O$400,MATCH(ROWS($O$3:O23),$M$3:$M$400,0),1),".00"),"")</f>
        <v>21.00</v>
      </c>
      <c r="P23" s="48" t="str">
        <f t="shared" ca="1" si="28"/>
        <v>VARIAZ. RIM. PROD. IN CORSO DI LAVORAZ., SEMIL. E FINITI</v>
      </c>
      <c r="Q23" s="48">
        <f ca="1">IF(M23&gt;=1,0,MAX($Q$2:Q22)+1)</f>
        <v>18</v>
      </c>
      <c r="R23" s="48">
        <f ca="1">IF(AND($U$2=2,S23&lt;&gt;""),MAX($R$2:R22)+1,0)</f>
        <v>5</v>
      </c>
      <c r="S23" s="48" t="str">
        <f t="shared" ca="1" si="81"/>
        <v>IMMOBILIZZAZIONI FINANZIARIE</v>
      </c>
      <c r="T23" s="48" t="str">
        <f ca="1">IFERROR(INDEX($R$3:$S$64,MATCH(ROWS($T$2:T22),$R$3:$R$64,0),2),"")</f>
        <v>VALORE DELLA PRODUZIONE</v>
      </c>
      <c r="U23" s="48" t="str">
        <f ca="1">IFERROR(INDEX(PDC,MATCH(ROWS(U$3:U23),$V$3:$V$400,0),2),"")</f>
        <v>ATTREZZATURE COMMERCIALI</v>
      </c>
      <c r="V23" s="48">
        <f ca="1">IF(AND($T$1="VISUALIZZA TUTTI I CONTI",AA23&lt;&gt;""),MAX($V$2:V22)+1,IF(AND($U$2=2,AI23=$T$1),MAX($V$2:V22)+1,IF(AND($U$2=1,$T$1=AF23),MAX($V$2:V22)+1,0)))</f>
        <v>21</v>
      </c>
      <c r="Z23" s="246"/>
      <c r="AA23" s="48" t="str">
        <f t="shared" ca="1" si="29"/>
        <v>02.00</v>
      </c>
      <c r="AB23" s="48" t="str">
        <f ca="1">IFERROR(INDEX($A$3:$G$400,MATCH(ROWS(AB$3:AB23),$Q$3:$Q$400,0),1),"")</f>
        <v>02.04</v>
      </c>
      <c r="AC23" s="48" t="str">
        <f ca="1">IFERROR(INDEX($A$3:$G$400,MATCH(ROWS($AC$3:AC23),$Q$3:$Q$400,0),2),"")</f>
        <v>ATTREZZATURE COMMERCIALI</v>
      </c>
      <c r="AD23" s="48" t="str">
        <f ca="1">IFERROR(INDEX($A$3:$G$400,MATCH(ROWS(AD$3:AD23),$Q$3:$Q$400,0),3),"")</f>
        <v>E</v>
      </c>
      <c r="AE23" s="48" t="str">
        <f ca="1">IFERROR(INDEX($A$3:$G$400,MATCH(ROWS(AE$3:AE23),$Q$3:$Q$400,0),4),"")</f>
        <v>D</v>
      </c>
      <c r="AF23" s="48" t="str">
        <f ca="1">IFERROR(INDEX($A$3:$G$400,MATCH(ROWS(AF$3:AF23),$Q$3:$Q$400,0),5),"")</f>
        <v>COSTI PLURIENNALI</v>
      </c>
      <c r="AG23" s="48" t="str">
        <f ca="1">IFERROR(INDEX($A$3:$G$400,MATCH(ROWS(AG$3:AG23),$Q$3:$Q$400,0),6),"")</f>
        <v>SP DARE</v>
      </c>
      <c r="AH23" s="48" t="str">
        <f ca="1">IFERROR(INDEX($A$3:$G$400,MATCH(ROWS(AH$3:AH23),$Q$3:$Q$400,0),7),"")</f>
        <v>SP</v>
      </c>
      <c r="AI23" s="48" t="str">
        <f t="shared" ca="1" si="1"/>
        <v>IMMOBILIZZAZIONI MATERIALI</v>
      </c>
      <c r="AJ23" s="48" t="str">
        <f ca="1">IFERROR(INDEX($A$3:$H$400,MATCH(ROWS(AJ$3:AJ23),$Q$3:$Q$400,0),8),"")</f>
        <v>pab2</v>
      </c>
      <c r="AK23" s="48">
        <f t="shared" ca="1" si="2"/>
        <v>0</v>
      </c>
      <c r="AL23" s="48">
        <f t="shared" ca="1" si="3"/>
        <v>0</v>
      </c>
      <c r="AM23" s="48">
        <f t="shared" ca="1" si="30"/>
        <v>0</v>
      </c>
      <c r="AN23" s="48" t="str">
        <f t="shared" ca="1" si="31"/>
        <v/>
      </c>
      <c r="AO23" s="48">
        <f t="shared" ca="1" si="32"/>
        <v>0</v>
      </c>
      <c r="AP23" s="48">
        <f t="shared" ca="1" si="32"/>
        <v>0</v>
      </c>
      <c r="AQ23" s="48" t="str">
        <f t="shared" ca="1" si="4"/>
        <v>ATTREZZATURE COMMERCIALI</v>
      </c>
      <c r="AR23" s="48">
        <f t="shared" ca="1" si="5"/>
        <v>0</v>
      </c>
      <c r="AS23" s="48">
        <f t="shared" ca="1" si="6"/>
        <v>0</v>
      </c>
      <c r="AT23" s="48">
        <f t="shared" ca="1" si="33"/>
        <v>0</v>
      </c>
      <c r="AU23" s="48">
        <f t="shared" ca="1" si="34"/>
        <v>0</v>
      </c>
      <c r="AV23" s="48">
        <f ca="1">IF(OR(AT23&gt;0,AU23&gt;0),MAX($AV$2:AV22)+1,0)</f>
        <v>0</v>
      </c>
      <c r="AZ23" s="241" t="str">
        <f t="shared" ca="1" si="35"/>
        <v/>
      </c>
      <c r="BA23" s="48">
        <f t="shared" ca="1" si="7"/>
        <v>0</v>
      </c>
      <c r="BB23" s="48">
        <f ca="1">IFERROR(INDEX($AQ$3:$AV$220,MATCH(ROWS($BB$3:BB23),$AV$3:$AV$220,0),1),0)</f>
        <v>0</v>
      </c>
      <c r="BC23" s="48" t="str">
        <f t="shared" ca="1" si="36"/>
        <v/>
      </c>
      <c r="BD23" s="48">
        <f ca="1">IFERROR(INDEX($AQ$3:$AV$220,MATCH(ROWS($BB$3:BD23),$AV$3:$AV$220,0),4),0)</f>
        <v>0</v>
      </c>
      <c r="BE23" s="48">
        <f ca="1">IFERROR(INDEX($AQ$3:$AV$220,MATCH(ROWS($BB$3:BE23),$AV$3:$AV$220,0),5),0)</f>
        <v>0</v>
      </c>
      <c r="BF23" s="48">
        <v>9</v>
      </c>
      <c r="BG23" s="48">
        <f ca="1">IF(IF(AND(OR(INDEX(PDC,MATCH($AC23,DEN_PDC,0),6)="SP DARE",INDEX(PDC,MATCH($AC23,DEN_PDC,0),6)="SP DARE/AVERE"),SUMIFS(DARE,DEN_G,$AC23)&gt;=SUMIFS(AVERE,DEN_G,$AC23)),SUMIFS(DARE,DEN_G,$AC23)-SUMIFS(AVERE,DEN_G,$AC23),0)&gt;0,MAX($BG$2:BG22)+1,0)</f>
        <v>0</v>
      </c>
      <c r="BH23" s="48">
        <f ca="1">IF(IF(AND(OR(INDEX(PDC,MATCH($AC23,DEN_PDC,0),6)="SP AVERE",INDEX(PDC,MATCH($AC23,DEN_PDC,0),6)="SP DARE/AVERE"),SUMIFS(AVERE,DEN_G,$AC23)&gt;=SUMIFS(DARE,DEN_G,$AC23)),SUMIFS(AVERE,DEN_G,$AC23)-SUMIFS(DARE,DEN_G,$AC23),0)&gt;0,MAX(BH$2:BH22)+1,0)</f>
        <v>0</v>
      </c>
      <c r="BI23" s="48">
        <f ca="1">IF(IF(AND(OR(INDEX(PDC,MATCH($AC23,DEN_PDC,0),6)="SE DARE",INDEX(PDC,MATCH($AC23,DEN_PDC,0),6)="SE DARE/AVERE"),SUMIFS(DARE,DEN_G,$AC23)&gt;=SUMIFS(AVERE,DEN_G,$AC23)),SUMIFS(DARE,DEN_G,$AC23)-SUMIFS(AVERE,DEN_G,$AC23),0)&gt;0,MAX(BI$2:BI22)+1,0)</f>
        <v>0</v>
      </c>
      <c r="BJ23" s="48">
        <f ca="1">IF(IF(AND(OR(INDEX(PDC,MATCH($AC23,DEN_PDC,0),6)="SE AVERE",INDEX(PDC,MATCH($AC23,DEN_PDC,0),6)="SE DARE/AVERE"),SUMIFS(AVERE,DEN_G,$AC23)&gt;=SUMIFS(DARE,DEN_G,$AC23)),SUMIFS(AVERE,DEN_G,$AC23)-SUMIFS(DARE,DEN_G,$AC23),0)&gt;0,MAX(BJ$2:BJ22)+1,0)</f>
        <v>0</v>
      </c>
      <c r="BK23" s="48" t="str">
        <f ca="1">IF(AND(AND($DY$2=0,$DY$1=0),$I$1=2,ROW()&gt;$BG$1+2,ROW()&lt;=$BG$1+4),"………………..",IF(AND(OR($DY$2&gt;0,$DY$1&gt;0),$I$1=2,ROW()&gt;$BG$1+2,ROW()&lt;=$BG$1+4),"………………..",IFERROR(INDEX($AC$3:$AC$398,MATCH(ROWS(BK$3:BK23),BG$3:BG$398,0),1),"")))</f>
        <v/>
      </c>
      <c r="BL23" s="48">
        <f t="shared" ca="1" si="69"/>
        <v>0</v>
      </c>
      <c r="BM23" s="48" t="str">
        <f ca="1">IF(AND(OR($DY$2=0,$DY$1=0),$I$1=2,ROW()&gt;$BH$1+2,ROW()&lt;=$BH$1+4),"………………..",IF(AND(OR($DY$2&gt;0,$DY$1&gt;0),$I$1=2,ROW()&gt;$BH$1+2,ROW()&lt;=$BH$1+4),"………………..",IFERROR(INDEX($AC$3:$AC$400,MATCH(ROWS(BM$3:BM23),BH$3:BH$400,0),1),"")))</f>
        <v/>
      </c>
      <c r="BN23" s="48">
        <f t="shared" ca="1" si="9"/>
        <v>0</v>
      </c>
      <c r="BO23" s="48" t="str">
        <f ca="1">IF(AND(OR($DY$2=0,$DY$1=0),$I$1=2,ROW()&gt;$BI$1+2,ROW()&lt;=$BI$1+4),"………………..",IF(AND(OR($DY$2&gt;0,$DY$1&gt;0),$I$1=2,ROW()&gt;$BI$1+2,ROW()&lt;=$BI$1+4),"………………..",IFERROR(INDEX($AC$3:$AC$400,MATCH(ROWS(BO$3:BO23),BI$3:BI$400,0),1),"")))</f>
        <v/>
      </c>
      <c r="BP23" s="48">
        <f t="shared" ca="1" si="10"/>
        <v>0</v>
      </c>
      <c r="BQ23" s="48" t="str">
        <f ca="1">IF(AND(OR($DY$2=0,$DY$1=0),$I$1=2,ROW()&gt;$BJ$1+2,ROW()&lt;=$BJ$1+4),"………………..",IF(AND(OR($DY$2&gt;0,$DY$1&gt;0),$I$1=2,ROW()&gt;$BJ$1+2,ROW()&lt;=$BJ$1+4),"………………..",IFERROR(INDEX($AC$3:$AC$400,MATCH(ROWS(BQ$3:BQ23),BJ$3:BJ$400,0),1),"")))</f>
        <v/>
      </c>
      <c r="BR23" s="48">
        <f t="shared" ca="1" si="11"/>
        <v>0</v>
      </c>
      <c r="BS23" s="48">
        <f ca="1">IF(IF(AND(OR(INDEX(PDC,MATCH($AC23,DEN_PDC,0),4)="D",INDEX(PDC,MATCH($AC23,DEN_PDC,0),4)="D/A"),SUMIFS(DARE,DEN_G,$AC23)&gt;=SUMIFS(AVERE,DEN_G,$AC23)),SUMIFS(DARE,DEN_G,$AC23),IF(AND(OR(INDEX(PDC,MATCH($AC23,DEN_PDC,0),4)="A",INDEX(PDC,MATCH($AC23,DEN_PDC,0),4)="D/A"),SUMIFS(AVERE,DEN_G,$AC23)&gt;=SUMIFS(DARE,DEN_G,$AC23)),SUMIFS(AVERE,DEN_G,$AC23),))&gt;0,MAX($BS$2:BS22)+1,0)</f>
        <v>0</v>
      </c>
      <c r="BT23" s="48" t="str">
        <f ca="1">IF($CO$1=0,"",IF(AND($I$1=2,ROW()&gt;$BR$1,ROW()&lt;=$BS$1)," …………….",IF(AND($E$1=1,$BX$1=1,$I$1=2,ROW()=$BQ$1),"TOTALI",IFERROR(INDEX(PDC,MATCH(ROWS(BT$3:BT23),BS$3:BS420,0),2),""))))</f>
        <v/>
      </c>
      <c r="BU23" s="48">
        <f t="shared" ca="1" si="12"/>
        <v>0</v>
      </c>
      <c r="BV23" s="48">
        <f t="shared" ca="1" si="13"/>
        <v>0</v>
      </c>
      <c r="BW23" s="48">
        <f t="shared" ca="1" si="14"/>
        <v>0</v>
      </c>
      <c r="BX23" s="48">
        <f t="shared" ca="1" si="15"/>
        <v>0</v>
      </c>
      <c r="BY23" s="48">
        <f ca="1">IF(OR(BW23&gt;0,BX23&gt;0),MAX($BY$2:BY22)+1,0)</f>
        <v>0</v>
      </c>
      <c r="BZ23" s="48" t="str">
        <f ca="1">IFERROR(INDEX($BT$3:$BY$400,MATCH(ROWS(BZ$3:BZ23),$BY$3:$BY$400,0),1),"")</f>
        <v/>
      </c>
      <c r="CA23" s="48" t="str">
        <f ca="1">IFERROR(INDEX($BT$3:$BY$400,MATCH(ROWS(CA$3:CA23),$BY$3:$BY$400,0),4),"")</f>
        <v/>
      </c>
      <c r="CB23" s="48" t="str">
        <f ca="1">IFERROR(INDEX($BT$3:$BY$400,MATCH(ROWS(CB$3:CB23),$BY$3:$BY$400,0),5),"")</f>
        <v/>
      </c>
      <c r="CC23" s="48" t="str">
        <f t="shared" ca="1" si="16"/>
        <v/>
      </c>
      <c r="CD23" s="48">
        <f ca="1">IF(AND($BF$9=1,CE23&lt;&gt;0),MAX($CD$2:CD22)+1,0)</f>
        <v>0</v>
      </c>
      <c r="CE23" s="48">
        <f ca="1">IF(SUM(CE24:CE28)&gt;0,"a",0)</f>
        <v>0</v>
      </c>
      <c r="CG23" s="242" t="s">
        <v>507</v>
      </c>
      <c r="CH23" s="242"/>
      <c r="CI23" s="242"/>
      <c r="CJ23" s="242"/>
      <c r="CK23" s="48">
        <f ca="1">IF($CF$2=FALSE,0,IF(AND($BF$9=1,CJ23&lt;&gt;0),MAX($CK$21:CK22)+1,0))</f>
        <v>0</v>
      </c>
      <c r="CL23" s="242"/>
      <c r="CM23" s="242" t="str">
        <f t="shared" ca="1" si="37"/>
        <v/>
      </c>
      <c r="CN23" s="243">
        <f t="shared" ca="1" si="38"/>
        <v>0</v>
      </c>
      <c r="CO23" s="48" t="str">
        <f t="shared" ca="1" si="39"/>
        <v/>
      </c>
      <c r="CQ23" s="247">
        <f ca="1">DATE(AP1+2,1,1)</f>
        <v>46753</v>
      </c>
      <c r="CR23" s="247">
        <f ca="1">DATE($AP$1+2,$AT$1,$AS$1)</f>
        <v>47118</v>
      </c>
      <c r="CS23" s="48">
        <f t="shared" ca="1" si="82"/>
        <v>0</v>
      </c>
      <c r="CT23" s="48">
        <f t="shared" ca="1" si="83"/>
        <v>0</v>
      </c>
      <c r="CU23" s="48">
        <f ca="1">IF(SUMIFS(AVERE,DEN_G,AC23,AVERE,"&gt;"&amp;0)+SUMIFS(DARE,DEN_G,AC23,DARE,"&gt;"&amp;0)&gt;0,MAX($CU$2:CU22)+1,0)</f>
        <v>0</v>
      </c>
      <c r="CV23" s="48" t="str">
        <f ca="1">IF(IFERROR(INDEX(PDC,MATCH(ROWS($CV$3:CV23),$CU$3:$CU$400,0),2),"")="CONTO DI RISULTATO ECONOMICO","",IFERROR(INDEX(PDC,MATCH(ROWS($CV$3:CV23),$CU$3:$CU$400,0),2),""))</f>
        <v/>
      </c>
      <c r="CW23" s="48">
        <f ca="1">IFERROR(IF(CV23&lt;&gt;"",MAX($CW$2:CW22)+1,0),0)</f>
        <v>0</v>
      </c>
      <c r="CX23" s="48">
        <f t="shared" ca="1" si="73"/>
        <v>2</v>
      </c>
      <c r="CY23" s="48" t="str">
        <f t="shared" ca="1" si="71"/>
        <v>MASTRO</v>
      </c>
      <c r="CZ23" s="48" t="e">
        <f t="shared" ca="1" si="75"/>
        <v>#N/A</v>
      </c>
      <c r="DA23" s="48" t="str">
        <f t="shared" ca="1" si="80"/>
        <v/>
      </c>
      <c r="DB23" s="48" t="str">
        <f t="shared" ca="1" si="76"/>
        <v/>
      </c>
      <c r="DC23" s="48" t="str">
        <f t="shared" ca="1" si="77"/>
        <v/>
      </c>
      <c r="DD23" s="48" t="str">
        <f t="shared" ca="1" si="78"/>
        <v/>
      </c>
      <c r="DE23" s="48" t="str">
        <f t="shared" ca="1" si="79"/>
        <v/>
      </c>
      <c r="DF23" s="48">
        <f ca="1">IF(AND(CX23=$DF$1,CX23&lt;&gt;""),0,IF(AND(DB23&lt;&gt;"",OR(DB22&lt;&gt;"",DB24&lt;&gt;"")),MAX($DF$2:DF22)+1,0))</f>
        <v>0</v>
      </c>
      <c r="DH23" s="244" t="s">
        <v>330</v>
      </c>
      <c r="DI23" s="48" t="s">
        <v>1047</v>
      </c>
      <c r="DJ23" s="48" t="s">
        <v>311</v>
      </c>
      <c r="DK23" s="48" t="s">
        <v>275</v>
      </c>
      <c r="DL23" s="48" t="s">
        <v>9</v>
      </c>
      <c r="DM23" s="48" t="s">
        <v>270</v>
      </c>
      <c r="DN23" s="48">
        <f ca="1">IF(DI23&lt;&gt;"",MAX($DN$2:DN22)+1,0)</f>
        <v>9</v>
      </c>
      <c r="DO23" s="48" t="str">
        <f ca="1">IF($BF$9=1,"pab13","pab1")</f>
        <v>pab1</v>
      </c>
      <c r="DW23" s="48">
        <f>IF(DR23&lt;&gt;"",MAX($DW$2:DW22)+1,0)</f>
        <v>0</v>
      </c>
      <c r="DY23" s="48" t="str">
        <f t="shared" ca="1" si="19"/>
        <v/>
      </c>
      <c r="DZ23" s="48" t="str">
        <f t="shared" ca="1" si="40"/>
        <v/>
      </c>
      <c r="EA23" s="48" t="str">
        <f t="shared" ca="1" si="41"/>
        <v/>
      </c>
      <c r="EB23" s="48">
        <f t="shared" ca="1" si="42"/>
        <v>0</v>
      </c>
      <c r="EC23" s="48">
        <f t="shared" ca="1" si="43"/>
        <v>0</v>
      </c>
      <c r="ED23" s="48" t="str">
        <f t="shared" ca="1" si="44"/>
        <v/>
      </c>
      <c r="EE23" s="48">
        <f t="shared" ca="1" si="45"/>
        <v>0</v>
      </c>
      <c r="EF23" s="48" t="str">
        <f t="shared" ca="1" si="46"/>
        <v/>
      </c>
      <c r="EG23" s="48">
        <f t="shared" ca="1" si="47"/>
        <v>0</v>
      </c>
      <c r="EH23" s="48" t="str">
        <f t="shared" ca="1" si="48"/>
        <v/>
      </c>
      <c r="EI23" s="48">
        <f t="shared" ca="1" si="49"/>
        <v>0</v>
      </c>
      <c r="EJ23" s="48" t="str">
        <f t="shared" ca="1" si="50"/>
        <v/>
      </c>
      <c r="EK23" s="48">
        <f t="shared" ca="1" si="51"/>
        <v>0</v>
      </c>
      <c r="EL23" s="48">
        <f t="shared" ca="1" si="20"/>
        <v>0</v>
      </c>
      <c r="EM23" s="48">
        <f ca="1">IF(EL23&gt;=0,0,MAX($EM$2:EM22)+1)</f>
        <v>0</v>
      </c>
      <c r="EN23" s="48" t="str">
        <f t="shared" ca="1" si="21"/>
        <v/>
      </c>
      <c r="EO23" s="48" t="str">
        <f ca="1">IFERROR(INDEX($EM$3:$EN$400,MATCH(ROWS($EO$3:EO23),$EM$3:$EM$400,0),2),"")</f>
        <v/>
      </c>
      <c r="EP23" s="48">
        <f>ROW()</f>
        <v>23</v>
      </c>
      <c r="EQ23" s="48">
        <f t="shared" ca="1" si="22"/>
        <v>0</v>
      </c>
      <c r="ER23" s="48">
        <f ca="1">IF(ISNA(EQ23)=TRUE,MAX($ER$2:ER22)+1,0)</f>
        <v>0</v>
      </c>
      <c r="ES23" s="48" t="str">
        <f t="shared" ca="1" si="52"/>
        <v/>
      </c>
      <c r="ET23" s="48" t="str">
        <f ca="1">IFERROR(INDEX($ER$3:$ES$400,MATCH(ROWS($ET$3:ET23),$ER$3:$ER$400,0),2),"")</f>
        <v/>
      </c>
      <c r="EV23" s="48">
        <f ca="1">IFERROR(INDEX(LIBRO_GIORNALE!$O$11:$P$408,MATCH(ROWS($EV$2:EV22),LIBRO_GIORNALE!$P$11:$P$408,0),1),0)</f>
        <v>0</v>
      </c>
      <c r="EW23" s="48" t="str">
        <f t="shared" ca="1" si="53"/>
        <v>0</v>
      </c>
      <c r="EX23" s="48">
        <f t="shared" ca="1" si="54"/>
        <v>0</v>
      </c>
      <c r="EY23" s="48">
        <f ca="1">IF(EX23&gt;0,MAX($EY$2:EY22)+1,0)</f>
        <v>0</v>
      </c>
      <c r="EZ23" s="48">
        <f ca="1">IFERROR(INDEX($EX$3:$EX$400,MATCH(ROWS($EZ$3:EZ23),$EY$3:$EY$400,0),1),0)</f>
        <v>0</v>
      </c>
      <c r="FA23" s="48">
        <f ca="1">IF(EZ23&gt;0,0,MAX($FA$2:FA22)+1)</f>
        <v>21</v>
      </c>
      <c r="FB23" s="48">
        <f t="shared" ca="1" si="55"/>
        <v>0</v>
      </c>
      <c r="FC23" s="48">
        <f t="shared" ca="1" si="56"/>
        <v>21</v>
      </c>
      <c r="FD23" s="48">
        <f t="shared" ca="1" si="57"/>
        <v>21</v>
      </c>
      <c r="FE23" s="48">
        <f ca="1">IF(FD23=0,0,MAX($FE$2:FE22)+1)</f>
        <v>21</v>
      </c>
      <c r="FF23" s="48">
        <f ca="1">IFERROR(INDEX($FD$3:$FE$400,MATCH(ROWS($FF$3:FF23),$FE$3:$FE$400,0),1),"")</f>
        <v>21</v>
      </c>
      <c r="FH23" s="48">
        <f t="shared" ca="1" si="58"/>
        <v>0</v>
      </c>
      <c r="FI23" s="48">
        <f ca="1">IF(FH23&lt;&gt;0,MAX($FI$2:FI22)+1,0)</f>
        <v>0</v>
      </c>
      <c r="FJ23" s="48" t="str">
        <f ca="1">IFERROR(INDEX($FH$3:$FI$400,MATCH(ROWS($FJ$3:FJ23),$FI$3:$FI$400,0),1),"")</f>
        <v/>
      </c>
      <c r="FK23" s="48">
        <f ca="1">IF(ABS(SUMIFS(DARE,DEN_G,"="&amp;FJ23,DATA,"&lt;="&amp;FINE_AC,DATA,"&gt;="&amp;INIZIO_A_PC)-SUMIFS(AVERE,DEN_G,"="&amp;FJ23,DATA,"&lt;="&amp;FINE_AC,DATA,"&gt;="&amp;INIZIO_A_PC))&gt;0,MAX($FK$2:FK22)+1,0)</f>
        <v>0</v>
      </c>
      <c r="FL23" s="48" t="str">
        <f ca="1">IF(AND(ROW()-2&lt;&gt;1,ROW()-2&lt;=$FK$1),CONCATENATE(" - ",IFERROR(INDEX($FJ$3:$FK$400,MATCH(ROWS($FL$3:FL23),$FK$3:$FK$400,0),1),"")),IFERROR(INDEX($FJ$3:$FK$400,MATCH(ROWS($FL$3:FL23),$FK$3:$FK$400,0),1),""))</f>
        <v/>
      </c>
      <c r="FM23" s="48">
        <f ca="1">IF(OR(B23="IVA ns/credito",B23="IVA NS/DEBITO",B23="IVA C/ACCONTO",B23="IMPOSTE C/ACCONTO",B23="CREDITI PER RITENUTE SUBITE",B23="CREDITI D'IMPOSTA"),MAX($FM$2:FM22)+1,0)</f>
        <v>0</v>
      </c>
      <c r="FN23" s="48" t="str">
        <f t="shared" ca="1" si="59"/>
        <v/>
      </c>
      <c r="FO23" s="48" t="str">
        <f ca="1">IFERROR(INDEX($FM$3:$FN$400,MATCH(ROWS($FO$3:FO23),$FM$3:$FM$400,0),2),"")</f>
        <v/>
      </c>
      <c r="FP23" s="48">
        <f ca="1">IF(ABS(SUMIFS(DARE,DEN_G,"="&amp;FO23,DATA,"&lt;="&amp;FINE_AC,DATA,"&gt;="&amp;INIZIO_A_PC)-SUMIFS(AVERE,DEN_G,"="&amp;FO23,DATA,"&lt;="&amp;FINE_AC,DATA,"&gt;="&amp;INIZIO_A_PC))&gt;0,MAX($FP$2:FP22)+1,0)</f>
        <v>0</v>
      </c>
      <c r="FQ23" s="48" t="str">
        <f ca="1">IF(AND(ROW()-2&lt;&gt;1,ROW()-2&lt;=$FP$1),CONCATENATE(" - ",IFERROR(INDEX($FO$3:$FP$400,MATCH(ROWS($FQ$3:FQ23),$FP$3:$FP$400,0),1),"")),IFERROR(INDEX($FO$3:$FP$400,MATCH(ROWS($FQ$3:FQ23),$FP$3:$FP$400,0),1),""))</f>
        <v/>
      </c>
    </row>
    <row r="24" spans="1:173" x14ac:dyDescent="0.3">
      <c r="A24" s="48" t="str">
        <f ca="1">IFERROR(IF($A$1=2,INDEX($DH$3:$DN$401,MATCH(ROWS(A$3:A24),$DN$3:$DN$401,0),COLUMN()),IF($A$1=1,INDEX($DQ$3:$DW$401,MATCH(ROWS(A$3:A24),$DW$3:$DW$401,0),COLUMN()),"")),"")</f>
        <v>02.02</v>
      </c>
      <c r="B24" s="48" t="str">
        <f ca="1">IFERROR(IF($A$1=2,INDEX($DH$3:$DN$401,MATCH(ROWS(B$3:B24),$DN$3:$DN$401,0),COLUMN()),IF($A$1=1,INDEX($DQ$3:$DW$400,MATCH(ROWS(B$3:B24),$DW$3:$DW$401,0),COLUMN()),"")),"")</f>
        <v>IMPIANTI E MACCHINARI</v>
      </c>
      <c r="C24" s="48" t="str">
        <f ca="1">IFERROR(IF($A$1=2,INDEX($DH$3:$DN$401,MATCH(ROWS(C$3:C24),$DN$3:$DN$401,0),COLUMN()),IF($A$1=1,INDEX($DQ$3:$DW$401,MATCH(ROWS(C$3:C24),$DW$3:$DW$401,0),COLUMN()),"")),"")</f>
        <v>E</v>
      </c>
      <c r="D24" s="48" t="str">
        <f ca="1">IFERROR(IF($A$1=2,INDEX($DH$3:$DN$401,MATCH(ROWS(D$3:D24),$DN$3:$DN$401,0),COLUMN()),IF($A$1=1,INDEX($DQ$3:$DW$401,MATCH(ROWS(D$3:D24),$DW$3:$DW$401,0),COLUMN()),"")),"")</f>
        <v>D</v>
      </c>
      <c r="E24" s="48" t="str">
        <f ca="1">IFERROR(IF($A$1=2,INDEX($DH$3:$DN$401,MATCH(ROWS(E$3:E24),$DN$3:$DN$401,0),COLUMN()),IF($A$1=1,INDEX($DQ$3:$DW$401,MATCH(ROWS(E$3:E24),$DW$3:$DW$401,0),COLUMN()),"")),"")</f>
        <v>COSTI PLURIENNALI</v>
      </c>
      <c r="F24" s="48" t="str">
        <f ca="1">IFERROR(IF($A$1=2,INDEX($DH$3:$DN$401,MATCH(ROWS(F$3:F24),$DN$3:$DN$401,0),COLUMN()),IF($A$1=1,INDEX($DQ$3:$DX$401,MATCH(ROWS(F$3:F24),$DW$3:$DW$401,0),COLUMN()),"")),"")</f>
        <v>SP DARE</v>
      </c>
      <c r="G24" s="48" t="str">
        <f t="shared" ca="1" si="23"/>
        <v>SP</v>
      </c>
      <c r="H24" s="48" t="str">
        <f ca="1">IFERROR(IF($A$1=2,INDEX($DH$3:$DO$400,MATCH(ROWS(H$3:H24),$DN$3:$DN$400,0),COLUMN()),IF($A$1=1,INDEX($DQ$3:$DX$400,MATCH(ROWS(H$3:H24),$DW$3:$DW$400,0),COLUMN()),"")),"")</f>
        <v>pab2</v>
      </c>
      <c r="I24" s="48" t="str">
        <f t="shared" ca="1" si="0"/>
        <v/>
      </c>
      <c r="J24" s="48" t="str">
        <f t="shared" ca="1" si="24"/>
        <v/>
      </c>
      <c r="K24" s="48">
        <f t="shared" ca="1" si="25"/>
        <v>0</v>
      </c>
      <c r="L24" s="48">
        <f t="shared" ca="1" si="26"/>
        <v>0</v>
      </c>
      <c r="M24" s="48">
        <f ca="1">IFERROR(IF(IF(MID($A24,3,3)=".00",MID(A24,1,2),"")&lt;&gt;"",MAX($M$2:M23)+1,0),"")</f>
        <v>0</v>
      </c>
      <c r="N24" s="48" t="str">
        <f t="shared" ca="1" si="27"/>
        <v/>
      </c>
      <c r="O24" s="48" t="str">
        <f ca="1">IF(IFERROR(INDEX($N$3:$O$400,MATCH(ROWS($O$3:O24),$M$3:$M$400,0),1),"")&lt;&gt;"",CONCATENATE(INDEX($N$3:$O$400,MATCH(ROWS($O$3:O24),$M$3:$M$400,0),1),".00"),"")</f>
        <v>30.00</v>
      </c>
      <c r="P24" s="48" t="str">
        <f t="shared" ca="1" si="28"/>
        <v>COSTI DELLE MATERIE</v>
      </c>
      <c r="Q24" s="48">
        <f ca="1">IF(M24&gt;=1,0,MAX($Q$2:Q23)+1)</f>
        <v>19</v>
      </c>
      <c r="R24" s="48">
        <f ca="1">IF(AND($U$2=2,S24&lt;&gt;""),MAX($R$2:R23)+1,0)</f>
        <v>6</v>
      </c>
      <c r="S24" s="48" t="str">
        <f t="shared" ca="1" si="81"/>
        <v>RIMANENZE</v>
      </c>
      <c r="T24" s="48" t="str">
        <f ca="1">IFERROR(INDEX($R$3:$S$64,MATCH(ROWS($T$2:T23),$R$3:$R$64,0),2),"")</f>
        <v>VARIAZ. RIM. PROD. IN CORSO DI LAVORAZ., SEMIL. E FINITI</v>
      </c>
      <c r="U24" s="48" t="str">
        <f ca="1">IFERROR(INDEX(PDC,MATCH(ROWS(U$3:U24),$V$3:$V$400,0),2),"")</f>
        <v>MACCHINE D'UFFICIO</v>
      </c>
      <c r="V24" s="48">
        <f ca="1">IF(AND($T$1="VISUALIZZA TUTTI I CONTI",AA24&lt;&gt;""),MAX($V$2:V23)+1,IF(AND($U$2=2,AI24=$T$1),MAX($V$2:V23)+1,IF(AND($U$2=1,$T$1=AF24),MAX($V$2:V23)+1,0)))</f>
        <v>22</v>
      </c>
      <c r="Z24" s="246"/>
      <c r="AA24" s="48" t="str">
        <f t="shared" ca="1" si="29"/>
        <v>02.00</v>
      </c>
      <c r="AB24" s="48" t="str">
        <f ca="1">IFERROR(INDEX($A$3:$G$400,MATCH(ROWS(AB$3:AB24),$Q$3:$Q$400,0),1),"")</f>
        <v>02.05</v>
      </c>
      <c r="AC24" s="48" t="str">
        <f ca="1">IFERROR(INDEX($A$3:$G$400,MATCH(ROWS($AC$3:AC24),$Q$3:$Q$400,0),2),"")</f>
        <v>MACCHINE D'UFFICIO</v>
      </c>
      <c r="AD24" s="48" t="str">
        <f ca="1">IFERROR(INDEX($A$3:$G$400,MATCH(ROWS(AD$3:AD24),$Q$3:$Q$400,0),3),"")</f>
        <v>E</v>
      </c>
      <c r="AE24" s="48" t="str">
        <f ca="1">IFERROR(INDEX($A$3:$G$400,MATCH(ROWS(AE$3:AE24),$Q$3:$Q$400,0),4),"")</f>
        <v>D</v>
      </c>
      <c r="AF24" s="48" t="str">
        <f ca="1">IFERROR(INDEX($A$3:$G$400,MATCH(ROWS(AF$3:AF24),$Q$3:$Q$400,0),5),"")</f>
        <v>COSTI PLURIENNALI</v>
      </c>
      <c r="AG24" s="48" t="str">
        <f ca="1">IFERROR(INDEX($A$3:$G$400,MATCH(ROWS(AG$3:AG24),$Q$3:$Q$400,0),6),"")</f>
        <v>SP DARE</v>
      </c>
      <c r="AH24" s="48" t="str">
        <f ca="1">IFERROR(INDEX($A$3:$G$400,MATCH(ROWS(AH$3:AH24),$Q$3:$Q$400,0),7),"")</f>
        <v>SP</v>
      </c>
      <c r="AI24" s="48" t="str">
        <f t="shared" ca="1" si="1"/>
        <v>IMMOBILIZZAZIONI MATERIALI</v>
      </c>
      <c r="AJ24" s="48" t="str">
        <f ca="1">IFERROR(INDEX($A$3:$H$400,MATCH(ROWS(AJ$3:AJ24),$Q$3:$Q$400,0),8),"")</f>
        <v>pab2</v>
      </c>
      <c r="AK24" s="48">
        <f t="shared" ca="1" si="2"/>
        <v>0</v>
      </c>
      <c r="AL24" s="48">
        <f t="shared" ca="1" si="3"/>
        <v>0</v>
      </c>
      <c r="AM24" s="48">
        <f t="shared" ca="1" si="30"/>
        <v>0</v>
      </c>
      <c r="AN24" s="48" t="str">
        <f t="shared" ca="1" si="31"/>
        <v/>
      </c>
      <c r="AO24" s="48">
        <f t="shared" ca="1" si="32"/>
        <v>0</v>
      </c>
      <c r="AP24" s="48">
        <f t="shared" ca="1" si="32"/>
        <v>0</v>
      </c>
      <c r="AQ24" s="48" t="str">
        <f t="shared" ca="1" si="4"/>
        <v>MACCHINE D'UFFICIO</v>
      </c>
      <c r="AR24" s="48">
        <f t="shared" ca="1" si="5"/>
        <v>0</v>
      </c>
      <c r="AS24" s="48">
        <f t="shared" ca="1" si="6"/>
        <v>0</v>
      </c>
      <c r="AT24" s="48">
        <f t="shared" ca="1" si="33"/>
        <v>0</v>
      </c>
      <c r="AU24" s="48">
        <f t="shared" ca="1" si="34"/>
        <v>0</v>
      </c>
      <c r="AV24" s="48">
        <f ca="1">IF(OR(AT24&gt;0,AU24&gt;0),MAX($AV$2:AV23)+1,0)</f>
        <v>0</v>
      </c>
      <c r="AZ24" s="241" t="str">
        <f t="shared" ca="1" si="35"/>
        <v/>
      </c>
      <c r="BA24" s="48">
        <f t="shared" ca="1" si="7"/>
        <v>0</v>
      </c>
      <c r="BB24" s="48">
        <f ca="1">IFERROR(INDEX($AQ$3:$AV$220,MATCH(ROWS($BB$3:BB24),$AV$3:$AV$220,0),1),0)</f>
        <v>0</v>
      </c>
      <c r="BC24" s="48" t="str">
        <f t="shared" ca="1" si="36"/>
        <v/>
      </c>
      <c r="BD24" s="48">
        <f ca="1">IFERROR(INDEX($AQ$3:$AV$220,MATCH(ROWS($BB$3:BD24),$AV$3:$AV$220,0),4),0)</f>
        <v>0</v>
      </c>
      <c r="BE24" s="48">
        <f ca="1">IFERROR(INDEX($AQ$3:$AV$220,MATCH(ROWS($BB$3:BE24),$AV$3:$AV$220,0),5),0)</f>
        <v>0</v>
      </c>
      <c r="BF24" s="48">
        <v>10</v>
      </c>
      <c r="BG24" s="48">
        <f ca="1">IF(IF(AND(OR(INDEX(PDC,MATCH($AC24,DEN_PDC,0),6)="SP DARE",INDEX(PDC,MATCH($AC24,DEN_PDC,0),6)="SP DARE/AVERE"),SUMIFS(DARE,DEN_G,$AC24)&gt;=SUMIFS(AVERE,DEN_G,$AC24)),SUMIFS(DARE,DEN_G,$AC24)-SUMIFS(AVERE,DEN_G,$AC24),0)&gt;0,MAX($BG$2:BG23)+1,0)</f>
        <v>0</v>
      </c>
      <c r="BH24" s="48">
        <f ca="1">IF(IF(AND(OR(INDEX(PDC,MATCH($AC24,DEN_PDC,0),6)="SP AVERE",INDEX(PDC,MATCH($AC24,DEN_PDC,0),6)="SP DARE/AVERE"),SUMIFS(AVERE,DEN_G,$AC24)&gt;=SUMIFS(DARE,DEN_G,$AC24)),SUMIFS(AVERE,DEN_G,$AC24)-SUMIFS(DARE,DEN_G,$AC24),0)&gt;0,MAX(BH$2:BH23)+1,0)</f>
        <v>0</v>
      </c>
      <c r="BI24" s="48">
        <f ca="1">IF(IF(AND(OR(INDEX(PDC,MATCH($AC24,DEN_PDC,0),6)="SE DARE",INDEX(PDC,MATCH($AC24,DEN_PDC,0),6)="SE DARE/AVERE"),SUMIFS(DARE,DEN_G,$AC24)&gt;=SUMIFS(AVERE,DEN_G,$AC24)),SUMIFS(DARE,DEN_G,$AC24)-SUMIFS(AVERE,DEN_G,$AC24),0)&gt;0,MAX(BI$2:BI23)+1,0)</f>
        <v>0</v>
      </c>
      <c r="BJ24" s="48">
        <f ca="1">IF(IF(AND(OR(INDEX(PDC,MATCH($AC24,DEN_PDC,0),6)="SE AVERE",INDEX(PDC,MATCH($AC24,DEN_PDC,0),6)="SE DARE/AVERE"),SUMIFS(AVERE,DEN_G,$AC24)&gt;=SUMIFS(DARE,DEN_G,$AC24)),SUMIFS(AVERE,DEN_G,$AC24)-SUMIFS(DARE,DEN_G,$AC24),0)&gt;0,MAX(BJ$2:BJ23)+1,0)</f>
        <v>0</v>
      </c>
      <c r="BK24" s="48" t="str">
        <f ca="1">IF(AND(AND($DY$2=0,$DY$1=0),$I$1=2,ROW()&gt;$BG$1+2,ROW()&lt;=$BG$1+4),"………………..",IF(AND(OR($DY$2&gt;0,$DY$1&gt;0),$I$1=2,ROW()&gt;$BG$1+2,ROW()&lt;=$BG$1+4),"………………..",IFERROR(INDEX($AC$3:$AC$398,MATCH(ROWS(BK$3:BK24),BG$3:BG$398,0),1),"")))</f>
        <v/>
      </c>
      <c r="BL24" s="48">
        <f t="shared" ca="1" si="69"/>
        <v>0</v>
      </c>
      <c r="BM24" s="48" t="str">
        <f ca="1">IF(AND(OR($DY$2=0,$DY$1=0),$I$1=2,ROW()&gt;$BH$1+2,ROW()&lt;=$BH$1+4),"………………..",IF(AND(OR($DY$2&gt;0,$DY$1&gt;0),$I$1=2,ROW()&gt;$BH$1+2,ROW()&lt;=$BH$1+4),"………………..",IFERROR(INDEX($AC$3:$AC$400,MATCH(ROWS(BM$3:BM24),BH$3:BH$400,0),1),"")))</f>
        <v/>
      </c>
      <c r="BN24" s="48">
        <f t="shared" ca="1" si="9"/>
        <v>0</v>
      </c>
      <c r="BO24" s="48" t="str">
        <f ca="1">IF(AND(OR($DY$2=0,$DY$1=0),$I$1=2,ROW()&gt;$BI$1+2,ROW()&lt;=$BI$1+4),"………………..",IF(AND(OR($DY$2&gt;0,$DY$1&gt;0),$I$1=2,ROW()&gt;$BI$1+2,ROW()&lt;=$BI$1+4),"………………..",IFERROR(INDEX($AC$3:$AC$400,MATCH(ROWS(BO$3:BO24),BI$3:BI$400,0),1),"")))</f>
        <v/>
      </c>
      <c r="BP24" s="48">
        <f t="shared" ca="1" si="10"/>
        <v>0</v>
      </c>
      <c r="BQ24" s="48" t="str">
        <f ca="1">IF(AND(OR($DY$2=0,$DY$1=0),$I$1=2,ROW()&gt;$BJ$1+2,ROW()&lt;=$BJ$1+4),"………………..",IF(AND(OR($DY$2&gt;0,$DY$1&gt;0),$I$1=2,ROW()&gt;$BJ$1+2,ROW()&lt;=$BJ$1+4),"………………..",IFERROR(INDEX($AC$3:$AC$400,MATCH(ROWS(BQ$3:BQ24),BJ$3:BJ$400,0),1),"")))</f>
        <v/>
      </c>
      <c r="BR24" s="48">
        <f t="shared" ca="1" si="11"/>
        <v>0</v>
      </c>
      <c r="BS24" s="48">
        <f ca="1">IF(IF(AND(OR(INDEX(PDC,MATCH($AC24,DEN_PDC,0),4)="D",INDEX(PDC,MATCH($AC24,DEN_PDC,0),4)="D/A"),SUMIFS(DARE,DEN_G,$AC24)&gt;=SUMIFS(AVERE,DEN_G,$AC24)),SUMIFS(DARE,DEN_G,$AC24),IF(AND(OR(INDEX(PDC,MATCH($AC24,DEN_PDC,0),4)="A",INDEX(PDC,MATCH($AC24,DEN_PDC,0),4)="D/A"),SUMIFS(AVERE,DEN_G,$AC24)&gt;=SUMIFS(DARE,DEN_G,$AC24)),SUMIFS(AVERE,DEN_G,$AC24),))&gt;0,MAX($BS$2:BS23)+1,0)</f>
        <v>0</v>
      </c>
      <c r="BT24" s="48" t="str">
        <f ca="1">IF($CO$1=0,"",IF(AND($I$1=2,ROW()&gt;$BR$1,ROW()&lt;=$BS$1)," …………….",IF(AND($E$1=1,$BX$1=1,$I$1=2,ROW()=$BQ$1),"TOTALI",IFERROR(INDEX(PDC,MATCH(ROWS(BT$3:BT24),BS$3:BS421,0),2),""))))</f>
        <v/>
      </c>
      <c r="BU24" s="48">
        <f t="shared" ca="1" si="12"/>
        <v>0</v>
      </c>
      <c r="BV24" s="48">
        <f t="shared" ca="1" si="13"/>
        <v>0</v>
      </c>
      <c r="BW24" s="48">
        <f t="shared" ca="1" si="14"/>
        <v>0</v>
      </c>
      <c r="BX24" s="48">
        <f t="shared" ca="1" si="15"/>
        <v>0</v>
      </c>
      <c r="BY24" s="48">
        <f ca="1">IF(OR(BW24&gt;0,BX24&gt;0),MAX($BY$2:BY23)+1,0)</f>
        <v>0</v>
      </c>
      <c r="BZ24" s="48" t="str">
        <f ca="1">IFERROR(INDEX($BT$3:$BY$400,MATCH(ROWS(BZ$3:BZ24),$BY$3:$BY$400,0),1),"")</f>
        <v/>
      </c>
      <c r="CA24" s="48" t="str">
        <f ca="1">IFERROR(INDEX($BT$3:$BY$400,MATCH(ROWS(CA$3:CA24),$BY$3:$BY$400,0),4),"")</f>
        <v/>
      </c>
      <c r="CB24" s="48" t="str">
        <f ca="1">IFERROR(INDEX($BT$3:$BY$400,MATCH(ROWS(CB$3:CB24),$BY$3:$BY$400,0),5),"")</f>
        <v/>
      </c>
      <c r="CC24" s="48" t="str">
        <f t="shared" ca="1" si="16"/>
        <v/>
      </c>
      <c r="CD24" s="48">
        <f ca="1">IF(AND($BF$9=1,CE24&lt;&gt;0),MAX($CD$2:CD23)+1,0)</f>
        <v>0</v>
      </c>
      <c r="CE24" s="48">
        <f ca="1">IF(ROUND(SUMIFS(COPIA!$CA$3:$CA$400,COPIA!$CC$3:$CC$400,CF24)-SUMIFS(COPIA!$CB$3:$CB$400,COPIA!$CC$3:$CC$400,CF24),0)&lt;0,0,ROUND(SUMIFS(COPIA!$CA$3:$CA$400,COPIA!$CC$3:$CC$400,CF24)-SUMIFS(COPIA!$CB$3:$CB$400,COPIA!$CC$3:$CC$400,CF24),0))</f>
        <v>0</v>
      </c>
      <c r="CF24" s="48" t="s">
        <v>612</v>
      </c>
      <c r="CG24" s="242" t="s">
        <v>804</v>
      </c>
      <c r="CH24" s="242">
        <f ca="1">CE24</f>
        <v>0</v>
      </c>
      <c r="CI24" s="242"/>
      <c r="CJ24" s="242"/>
      <c r="CK24" s="48">
        <f ca="1">IF($CF$2=FALSE,0,IF(AND($BF$9=1,CJ24&lt;&gt;0),MAX($CK$21:CK23)+1,0))</f>
        <v>0</v>
      </c>
      <c r="CL24" s="242"/>
      <c r="CM24" s="242" t="str">
        <f t="shared" ca="1" si="37"/>
        <v/>
      </c>
      <c r="CN24" s="243">
        <f t="shared" ca="1" si="38"/>
        <v>0</v>
      </c>
      <c r="CO24" s="48" t="str">
        <f t="shared" ca="1" si="39"/>
        <v/>
      </c>
      <c r="CQ24" s="247">
        <f ca="1">DATE(AP1+3,1,1)</f>
        <v>47119</v>
      </c>
      <c r="CR24" s="247">
        <f ca="1">DATE($AP$1+3,$AT$1,$AS$1)</f>
        <v>47483</v>
      </c>
      <c r="CS24" s="48">
        <f t="shared" ca="1" si="82"/>
        <v>0</v>
      </c>
      <c r="CT24" s="48">
        <f t="shared" ca="1" si="83"/>
        <v>0</v>
      </c>
      <c r="CU24" s="48">
        <f ca="1">IF(SUMIFS(AVERE,DEN_G,AC24,AVERE,"&gt;"&amp;0)+SUMIFS(DARE,DEN_G,AC24,DARE,"&gt;"&amp;0)&gt;0,MAX($CU$2:CU23)+1,0)</f>
        <v>0</v>
      </c>
      <c r="CV24" s="48" t="str">
        <f ca="1">IF(IFERROR(INDEX(PDC,MATCH(ROWS($CV$3:CV24),$CU$3:$CU$400,0),2),"")="CONTO DI RISULTATO ECONOMICO","",IFERROR(INDEX(PDC,MATCH(ROWS($CV$3:CV24),$CU$3:$CU$400,0),2),""))</f>
        <v/>
      </c>
      <c r="CW24" s="48">
        <f ca="1">IFERROR(IF(CV24&lt;&gt;"",MAX($CW$2:CW23)+1,0),0)</f>
        <v>0</v>
      </c>
      <c r="CX24" s="48">
        <f t="shared" ca="1" si="73"/>
        <v>2</v>
      </c>
      <c r="CY24" s="48" t="str">
        <f t="shared" ca="1" si="71"/>
        <v>MASTRO</v>
      </c>
      <c r="CZ24" s="48" t="e">
        <f t="shared" ca="1" si="75"/>
        <v>#N/A</v>
      </c>
      <c r="DA24" s="48" t="str">
        <f t="shared" ca="1" si="80"/>
        <v/>
      </c>
      <c r="DB24" s="48" t="str">
        <f t="shared" ca="1" si="76"/>
        <v/>
      </c>
      <c r="DC24" s="48" t="str">
        <f t="shared" ca="1" si="77"/>
        <v/>
      </c>
      <c r="DD24" s="48" t="str">
        <f t="shared" ca="1" si="78"/>
        <v/>
      </c>
      <c r="DE24" s="48" t="str">
        <f t="shared" ca="1" si="79"/>
        <v/>
      </c>
      <c r="DF24" s="48">
        <f ca="1">IF(AND(CX24=$DF$1,CX24&lt;&gt;""),0,IF(AND(DB24&lt;&gt;"",OR(DB23&lt;&gt;"",DB25&lt;&gt;"")),MAX($DF$2:DF23)+1,0))</f>
        <v>0</v>
      </c>
      <c r="DH24" s="244" t="s">
        <v>331</v>
      </c>
      <c r="DI24" s="48" t="s">
        <v>17</v>
      </c>
      <c r="DJ24" s="48" t="s">
        <v>311</v>
      </c>
      <c r="DK24" s="48" t="s">
        <v>275</v>
      </c>
      <c r="DL24" s="48" t="s">
        <v>9</v>
      </c>
      <c r="DM24" s="48" t="s">
        <v>270</v>
      </c>
      <c r="DN24" s="48">
        <f ca="1">IF(DI24&lt;&gt;"",MAX($DN$2:DN23)+1,0)</f>
        <v>10</v>
      </c>
      <c r="DO24" s="48" t="str">
        <f ca="1">IF($BF$9=1,"pab13","pab1")</f>
        <v>pab1</v>
      </c>
      <c r="DW24" s="48">
        <f>IF(DR24&lt;&gt;"",MAX($DW$2:DW23)+1,0)</f>
        <v>0</v>
      </c>
      <c r="DY24" s="48" t="str">
        <f t="shared" ca="1" si="19"/>
        <v/>
      </c>
      <c r="DZ24" s="48" t="str">
        <f t="shared" ca="1" si="40"/>
        <v/>
      </c>
      <c r="EA24" s="48" t="str">
        <f t="shared" ca="1" si="41"/>
        <v/>
      </c>
      <c r="EB24" s="48">
        <f t="shared" ca="1" si="42"/>
        <v>0</v>
      </c>
      <c r="EC24" s="48">
        <f t="shared" ca="1" si="43"/>
        <v>0</v>
      </c>
      <c r="ED24" s="48" t="str">
        <f t="shared" ca="1" si="44"/>
        <v/>
      </c>
      <c r="EE24" s="48">
        <f t="shared" ca="1" si="45"/>
        <v>0</v>
      </c>
      <c r="EF24" s="48" t="str">
        <f t="shared" ca="1" si="46"/>
        <v/>
      </c>
      <c r="EG24" s="48">
        <f t="shared" ca="1" si="47"/>
        <v>0</v>
      </c>
      <c r="EH24" s="48" t="str">
        <f t="shared" ca="1" si="48"/>
        <v/>
      </c>
      <c r="EI24" s="48">
        <f t="shared" ca="1" si="49"/>
        <v>0</v>
      </c>
      <c r="EJ24" s="48" t="str">
        <f t="shared" ca="1" si="50"/>
        <v/>
      </c>
      <c r="EK24" s="48">
        <f t="shared" ca="1" si="51"/>
        <v>0</v>
      </c>
      <c r="EL24" s="48">
        <f t="shared" ca="1" si="20"/>
        <v>0</v>
      </c>
      <c r="EM24" s="48">
        <f ca="1">IF(EL24&gt;=0,0,MAX($EM$2:EM23)+1)</f>
        <v>0</v>
      </c>
      <c r="EN24" s="48" t="str">
        <f t="shared" ca="1" si="21"/>
        <v/>
      </c>
      <c r="EO24" s="48" t="str">
        <f ca="1">IFERROR(INDEX($EM$3:$EN$400,MATCH(ROWS($EO$3:EO24),$EM$3:$EM$400,0),2),"")</f>
        <v/>
      </c>
      <c r="EP24" s="48">
        <f>ROW()</f>
        <v>24</v>
      </c>
      <c r="EQ24" s="48">
        <f t="shared" ca="1" si="22"/>
        <v>0</v>
      </c>
      <c r="ER24" s="48">
        <f ca="1">IF(ISNA(EQ24)=TRUE,MAX($ER$2:ER23)+1,0)</f>
        <v>0</v>
      </c>
      <c r="ES24" s="48" t="str">
        <f t="shared" ca="1" si="52"/>
        <v/>
      </c>
      <c r="ET24" s="48" t="str">
        <f ca="1">IFERROR(INDEX($ER$3:$ES$400,MATCH(ROWS($ET$3:ET24),$ER$3:$ER$400,0),2),"")</f>
        <v/>
      </c>
      <c r="EV24" s="48">
        <f ca="1">IFERROR(INDEX(LIBRO_GIORNALE!$O$11:$P$408,MATCH(ROWS($EV$2:EV23),LIBRO_GIORNALE!$P$11:$P$408,0),1),0)</f>
        <v>0</v>
      </c>
      <c r="EW24" s="48" t="str">
        <f t="shared" ca="1" si="53"/>
        <v>0</v>
      </c>
      <c r="EX24" s="48">
        <f t="shared" ca="1" si="54"/>
        <v>0</v>
      </c>
      <c r="EY24" s="48">
        <f ca="1">IF(EX24&gt;0,MAX($EY$2:EY23)+1,0)</f>
        <v>0</v>
      </c>
      <c r="EZ24" s="48">
        <f ca="1">IFERROR(INDEX($EX$3:$EX$400,MATCH(ROWS($EZ$3:EZ24),$EY$3:$EY$400,0),1),0)</f>
        <v>0</v>
      </c>
      <c r="FA24" s="48">
        <f ca="1">IF(EZ24&gt;0,0,MAX($FA$2:FA23)+1)</f>
        <v>22</v>
      </c>
      <c r="FB24" s="48">
        <f t="shared" ca="1" si="55"/>
        <v>0</v>
      </c>
      <c r="FC24" s="48">
        <f t="shared" ca="1" si="56"/>
        <v>22</v>
      </c>
      <c r="FD24" s="48">
        <f t="shared" ca="1" si="57"/>
        <v>22</v>
      </c>
      <c r="FE24" s="48">
        <f ca="1">IF(FD24=0,0,MAX($FE$2:FE23)+1)</f>
        <v>22</v>
      </c>
      <c r="FF24" s="48">
        <f ca="1">IFERROR(INDEX($FD$3:$FE$400,MATCH(ROWS($FF$3:FF24),$FE$3:$FE$400,0),1),"")</f>
        <v>22</v>
      </c>
      <c r="FH24" s="48">
        <f t="shared" ca="1" si="58"/>
        <v>0</v>
      </c>
      <c r="FI24" s="48">
        <f ca="1">IF(FH24&lt;&gt;0,MAX($FI$2:FI23)+1,0)</f>
        <v>0</v>
      </c>
      <c r="FJ24" s="48" t="str">
        <f ca="1">IFERROR(INDEX($FH$3:$FI$400,MATCH(ROWS($FJ$3:FJ24),$FI$3:$FI$400,0),1),"")</f>
        <v/>
      </c>
      <c r="FK24" s="48">
        <f ca="1">IF(ABS(SUMIFS(DARE,DEN_G,"="&amp;FJ24,DATA,"&lt;="&amp;FINE_AC,DATA,"&gt;="&amp;INIZIO_A_PC)-SUMIFS(AVERE,DEN_G,"="&amp;FJ24,DATA,"&lt;="&amp;FINE_AC,DATA,"&gt;="&amp;INIZIO_A_PC))&gt;0,MAX($FK$2:FK23)+1,0)</f>
        <v>0</v>
      </c>
      <c r="FL24" s="48" t="str">
        <f ca="1">IF(AND(ROW()-2&lt;&gt;1,ROW()-2&lt;=$FK$1),CONCATENATE(" - ",IFERROR(INDEX($FJ$3:$FK$400,MATCH(ROWS($FL$3:FL24),$FK$3:$FK$400,0),1),"")),IFERROR(INDEX($FJ$3:$FK$400,MATCH(ROWS($FL$3:FL24),$FK$3:$FK$400,0),1),""))</f>
        <v/>
      </c>
      <c r="FM24" s="48">
        <f ca="1">IF(OR(B24="IVA ns/credito",B24="IVA NS/DEBITO",B24="IVA C/ACCONTO",B24="IMPOSTE C/ACCONTO",B24="CREDITI PER RITENUTE SUBITE",B24="CREDITI D'IMPOSTA"),MAX($FM$2:FM23)+1,0)</f>
        <v>0</v>
      </c>
      <c r="FN24" s="48" t="str">
        <f t="shared" ca="1" si="59"/>
        <v/>
      </c>
      <c r="FO24" s="48" t="str">
        <f ca="1">IFERROR(INDEX($FM$3:$FN$400,MATCH(ROWS($FO$3:FO24),$FM$3:$FM$400,0),2),"")</f>
        <v/>
      </c>
      <c r="FP24" s="48">
        <f ca="1">IF(ABS(SUMIFS(DARE,DEN_G,"="&amp;FO24,DATA,"&lt;="&amp;FINE_AC,DATA,"&gt;="&amp;INIZIO_A_PC)-SUMIFS(AVERE,DEN_G,"="&amp;FO24,DATA,"&lt;="&amp;FINE_AC,DATA,"&gt;="&amp;INIZIO_A_PC))&gt;0,MAX($FP$2:FP23)+1,0)</f>
        <v>0</v>
      </c>
      <c r="FQ24" s="48" t="str">
        <f ca="1">IF(AND(ROW()-2&lt;&gt;1,ROW()-2&lt;=$FP$1),CONCATENATE(" - ",IFERROR(INDEX($FO$3:$FP$400,MATCH(ROWS($FQ$3:FQ24),$FP$3:$FP$400,0),1),"")),IFERROR(INDEX($FO$3:$FP$400,MATCH(ROWS($FQ$3:FQ24),$FP$3:$FP$400,0),1),""))</f>
        <v/>
      </c>
    </row>
    <row r="25" spans="1:173" x14ac:dyDescent="0.3">
      <c r="A25" s="48" t="str">
        <f ca="1">IFERROR(IF($A$1=2,INDEX($DH$3:$DN$401,MATCH(ROWS(A$3:A25),$DN$3:$DN$401,0),COLUMN()),IF($A$1=1,INDEX($DQ$3:$DW$401,MATCH(ROWS(A$3:A25),$DW$3:$DW$401,0),COLUMN()),"")),"")</f>
        <v>02.03</v>
      </c>
      <c r="B25" s="48" t="str">
        <f ca="1">IFERROR(IF($A$1=2,INDEX($DH$3:$DN$401,MATCH(ROWS(B$3:B25),$DN$3:$DN$401,0),COLUMN()),IF($A$1=1,INDEX($DQ$3:$DW$400,MATCH(ROWS(B$3:B25),$DW$3:$DW$401,0),COLUMN()),"")),"")</f>
        <v>ATTREZZATURE INDUSTRIALI</v>
      </c>
      <c r="C25" s="48" t="str">
        <f ca="1">IFERROR(IF($A$1=2,INDEX($DH$3:$DN$401,MATCH(ROWS(C$3:C25),$DN$3:$DN$401,0),COLUMN()),IF($A$1=1,INDEX($DQ$3:$DW$401,MATCH(ROWS(C$3:C25),$DW$3:$DW$401,0),COLUMN()),"")),"")</f>
        <v>E</v>
      </c>
      <c r="D25" s="48" t="str">
        <f ca="1">IFERROR(IF($A$1=2,INDEX($DH$3:$DN$401,MATCH(ROWS(D$3:D25),$DN$3:$DN$401,0),COLUMN()),IF($A$1=1,INDEX($DQ$3:$DW$401,MATCH(ROWS(D$3:D25),$DW$3:$DW$401,0),COLUMN()),"")),"")</f>
        <v>D</v>
      </c>
      <c r="E25" s="48" t="str">
        <f ca="1">IFERROR(IF($A$1=2,INDEX($DH$3:$DN$401,MATCH(ROWS(E$3:E25),$DN$3:$DN$401,0),COLUMN()),IF($A$1=1,INDEX($DQ$3:$DW$401,MATCH(ROWS(E$3:E25),$DW$3:$DW$401,0),COLUMN()),"")),"")</f>
        <v>COSTI PLURIENNALI</v>
      </c>
      <c r="F25" s="48" t="str">
        <f ca="1">IFERROR(IF($A$1=2,INDEX($DH$3:$DN$401,MATCH(ROWS(F$3:F25),$DN$3:$DN$401,0),COLUMN()),IF($A$1=1,INDEX($DQ$3:$DX$401,MATCH(ROWS(F$3:F25),$DW$3:$DW$401,0),COLUMN()),"")),"")</f>
        <v>SP DARE</v>
      </c>
      <c r="G25" s="48" t="str">
        <f t="shared" ca="1" si="23"/>
        <v>SP</v>
      </c>
      <c r="H25" s="48" t="str">
        <f ca="1">IFERROR(IF($A$1=2,INDEX($DH$3:$DO$400,MATCH(ROWS(H$3:H25),$DN$3:$DN$400,0),COLUMN()),IF($A$1=1,INDEX($DQ$3:$DX$400,MATCH(ROWS(H$3:H25),$DW$3:$DW$400,0),COLUMN()),"")),"")</f>
        <v>pab2</v>
      </c>
      <c r="I25" s="48" t="str">
        <f t="shared" ca="1" si="0"/>
        <v/>
      </c>
      <c r="J25" s="48" t="str">
        <f t="shared" ca="1" si="24"/>
        <v/>
      </c>
      <c r="K25" s="48">
        <f t="shared" ca="1" si="25"/>
        <v>0</v>
      </c>
      <c r="L25" s="48">
        <f t="shared" ca="1" si="26"/>
        <v>0</v>
      </c>
      <c r="M25" s="48">
        <f ca="1">IFERROR(IF(IF(MID($A25,3,3)=".00",MID(A25,1,2),"")&lt;&gt;"",MAX($M$2:M24)+1,0),"")</f>
        <v>0</v>
      </c>
      <c r="N25" s="48" t="str">
        <f t="shared" ca="1" si="27"/>
        <v/>
      </c>
      <c r="O25" s="48" t="str">
        <f ca="1">IF(IFERROR(INDEX($N$3:$O$400,MATCH(ROWS($O$3:O25),$M$3:$M$400,0),1),"")&lt;&gt;"",CONCATENATE(INDEX($N$3:$O$400,MATCH(ROWS($O$3:O25),$M$3:$M$400,0),1),".00"),"")</f>
        <v>31.00</v>
      </c>
      <c r="P25" s="48" t="str">
        <f t="shared" ca="1" si="28"/>
        <v>COSTI PER SERVIZI</v>
      </c>
      <c r="Q25" s="48">
        <f ca="1">IF(M25&gt;=1,0,MAX($Q$2:Q24)+1)</f>
        <v>20</v>
      </c>
      <c r="R25" s="48">
        <f ca="1">IF(AND($U$2=2,S25&lt;&gt;""),MAX($R$2:R24)+1,0)</f>
        <v>7</v>
      </c>
      <c r="S25" s="48" t="str">
        <f t="shared" ca="1" si="81"/>
        <v>CREDITI COMMERCIALI</v>
      </c>
      <c r="T25" s="48" t="str">
        <f ca="1">IFERROR(INDEX($R$3:$S$64,MATCH(ROWS($T$2:T24),$R$3:$R$64,0),2),"")</f>
        <v>COSTI DELLE MATERIE</v>
      </c>
      <c r="U25" s="48" t="str">
        <f ca="1">IFERROR(INDEX(PDC,MATCH(ROWS(U$3:U25),$V$3:$V$400,0),2),"")</f>
        <v>ARREDAMENTO</v>
      </c>
      <c r="V25" s="48">
        <f ca="1">IF(AND($T$1="VISUALIZZA TUTTI I CONTI",AA25&lt;&gt;""),MAX($V$2:V24)+1,IF(AND($U$2=2,AI25=$T$1),MAX($V$2:V24)+1,IF(AND($U$2=1,$T$1=AF25),MAX($V$2:V24)+1,0)))</f>
        <v>23</v>
      </c>
      <c r="Z25" s="246"/>
      <c r="AA25" s="48" t="str">
        <f t="shared" ca="1" si="29"/>
        <v>02.00</v>
      </c>
      <c r="AB25" s="48" t="str">
        <f ca="1">IFERROR(INDEX($A$3:$G$400,MATCH(ROWS(AB$3:AB25),$Q$3:$Q$400,0),1),"")</f>
        <v>02.06</v>
      </c>
      <c r="AC25" s="48" t="str">
        <f ca="1">IFERROR(INDEX($A$3:$G$400,MATCH(ROWS($AC$3:AC25),$Q$3:$Q$400,0),2),"")</f>
        <v>ARREDAMENTO</v>
      </c>
      <c r="AD25" s="48" t="str">
        <f ca="1">IFERROR(INDEX($A$3:$G$400,MATCH(ROWS(AD$3:AD25),$Q$3:$Q$400,0),3),"")</f>
        <v>E</v>
      </c>
      <c r="AE25" s="48" t="str">
        <f ca="1">IFERROR(INDEX($A$3:$G$400,MATCH(ROWS(AE$3:AE25),$Q$3:$Q$400,0),4),"")</f>
        <v>D</v>
      </c>
      <c r="AF25" s="48" t="str">
        <f ca="1">IFERROR(INDEX($A$3:$G$400,MATCH(ROWS(AF$3:AF25),$Q$3:$Q$400,0),5),"")</f>
        <v>COSTI PLURIENNALI</v>
      </c>
      <c r="AG25" s="48" t="str">
        <f ca="1">IFERROR(INDEX($A$3:$G$400,MATCH(ROWS(AG$3:AG25),$Q$3:$Q$400,0),6),"")</f>
        <v>SP DARE</v>
      </c>
      <c r="AH25" s="48" t="str">
        <f ca="1">IFERROR(INDEX($A$3:$G$400,MATCH(ROWS(AH$3:AH25),$Q$3:$Q$400,0),7),"")</f>
        <v>SP</v>
      </c>
      <c r="AI25" s="48" t="str">
        <f t="shared" ca="1" si="1"/>
        <v>IMMOBILIZZAZIONI MATERIALI</v>
      </c>
      <c r="AJ25" s="48" t="str">
        <f ca="1">IFERROR(INDEX($A$3:$H$400,MATCH(ROWS(AJ$3:AJ25),$Q$3:$Q$400,0),8),"")</f>
        <v>pab2</v>
      </c>
      <c r="AK25" s="48">
        <f t="shared" ca="1" si="2"/>
        <v>0</v>
      </c>
      <c r="AL25" s="48">
        <f t="shared" ca="1" si="3"/>
        <v>0</v>
      </c>
      <c r="AM25" s="48">
        <f t="shared" ca="1" si="30"/>
        <v>0</v>
      </c>
      <c r="AN25" s="48" t="str">
        <f t="shared" ca="1" si="31"/>
        <v/>
      </c>
      <c r="AO25" s="48">
        <f t="shared" ca="1" si="32"/>
        <v>0</v>
      </c>
      <c r="AP25" s="48">
        <f t="shared" ca="1" si="32"/>
        <v>0</v>
      </c>
      <c r="AQ25" s="48" t="str">
        <f t="shared" ca="1" si="4"/>
        <v>ARREDAMENTO</v>
      </c>
      <c r="AR25" s="48">
        <f t="shared" ca="1" si="5"/>
        <v>0</v>
      </c>
      <c r="AS25" s="48">
        <f t="shared" ca="1" si="6"/>
        <v>0</v>
      </c>
      <c r="AT25" s="48">
        <f t="shared" ca="1" si="33"/>
        <v>0</v>
      </c>
      <c r="AU25" s="48">
        <f t="shared" ca="1" si="34"/>
        <v>0</v>
      </c>
      <c r="AV25" s="48">
        <f ca="1">IF(OR(AT25&gt;0,AU25&gt;0),MAX($AV$2:AV24)+1,0)</f>
        <v>0</v>
      </c>
      <c r="AZ25" s="241" t="str">
        <f t="shared" ca="1" si="35"/>
        <v/>
      </c>
      <c r="BA25" s="48">
        <f t="shared" ca="1" si="7"/>
        <v>0</v>
      </c>
      <c r="BB25" s="48">
        <f ca="1">IFERROR(INDEX($AQ$3:$AV$220,MATCH(ROWS($BB$3:BB25),$AV$3:$AV$220,0),1),0)</f>
        <v>0</v>
      </c>
      <c r="BC25" s="48" t="str">
        <f t="shared" ca="1" si="36"/>
        <v/>
      </c>
      <c r="BD25" s="48">
        <f ca="1">IFERROR(INDEX($AQ$3:$AV$220,MATCH(ROWS($BB$3:BD25),$AV$3:$AV$220,0),4),0)</f>
        <v>0</v>
      </c>
      <c r="BE25" s="48">
        <f ca="1">IFERROR(INDEX($AQ$3:$AV$220,MATCH(ROWS($BB$3:BE25),$AV$3:$AV$220,0),5),0)</f>
        <v>0</v>
      </c>
      <c r="BF25" s="48">
        <v>11</v>
      </c>
      <c r="BG25" s="48">
        <f ca="1">IF(IF(AND(OR(INDEX(PDC,MATCH($AC25,DEN_PDC,0),6)="SP DARE",INDEX(PDC,MATCH($AC25,DEN_PDC,0),6)="SP DARE/AVERE"),SUMIFS(DARE,DEN_G,$AC25)&gt;=SUMIFS(AVERE,DEN_G,$AC25)),SUMIFS(DARE,DEN_G,$AC25)-SUMIFS(AVERE,DEN_G,$AC25),0)&gt;0,MAX($BG$2:BG24)+1,0)</f>
        <v>0</v>
      </c>
      <c r="BH25" s="48">
        <f ca="1">IF(IF(AND(OR(INDEX(PDC,MATCH($AC25,DEN_PDC,0),6)="SP AVERE",INDEX(PDC,MATCH($AC25,DEN_PDC,0),6)="SP DARE/AVERE"),SUMIFS(AVERE,DEN_G,$AC25)&gt;=SUMIFS(DARE,DEN_G,$AC25)),SUMIFS(AVERE,DEN_G,$AC25)-SUMIFS(DARE,DEN_G,$AC25),0)&gt;0,MAX(BH$2:BH24)+1,0)</f>
        <v>0</v>
      </c>
      <c r="BI25" s="48">
        <f ca="1">IF(IF(AND(OR(INDEX(PDC,MATCH($AC25,DEN_PDC,0),6)="SE DARE",INDEX(PDC,MATCH($AC25,DEN_PDC,0),6)="SE DARE/AVERE"),SUMIFS(DARE,DEN_G,$AC25)&gt;=SUMIFS(AVERE,DEN_G,$AC25)),SUMIFS(DARE,DEN_G,$AC25)-SUMIFS(AVERE,DEN_G,$AC25),0)&gt;0,MAX(BI$2:BI24)+1,0)</f>
        <v>0</v>
      </c>
      <c r="BJ25" s="48">
        <f ca="1">IF(IF(AND(OR(INDEX(PDC,MATCH($AC25,DEN_PDC,0),6)="SE AVERE",INDEX(PDC,MATCH($AC25,DEN_PDC,0),6)="SE DARE/AVERE"),SUMIFS(AVERE,DEN_G,$AC25)&gt;=SUMIFS(DARE,DEN_G,$AC25)),SUMIFS(AVERE,DEN_G,$AC25)-SUMIFS(DARE,DEN_G,$AC25),0)&gt;0,MAX(BJ$2:BJ24)+1,0)</f>
        <v>0</v>
      </c>
      <c r="BK25" s="48" t="str">
        <f ca="1">IF(AND(AND($DY$2=0,$DY$1=0),$I$1=2,ROW()&gt;$BG$1+2,ROW()&lt;=$BG$1+4),"………………..",IF(AND(OR($DY$2&gt;0,$DY$1&gt;0),$I$1=2,ROW()&gt;$BG$1+2,ROW()&lt;=$BG$1+4),"………………..",IFERROR(INDEX($AC$3:$AC$398,MATCH(ROWS(BK$3:BK25),BG$3:BG$398,0),1),"")))</f>
        <v/>
      </c>
      <c r="BL25" s="48">
        <f t="shared" ca="1" si="69"/>
        <v>0</v>
      </c>
      <c r="BM25" s="48" t="str">
        <f ca="1">IF(AND(OR($DY$2=0,$DY$1=0),$I$1=2,ROW()&gt;$BH$1+2,ROW()&lt;=$BH$1+4),"………………..",IF(AND(OR($DY$2&gt;0,$DY$1&gt;0),$I$1=2,ROW()&gt;$BH$1+2,ROW()&lt;=$BH$1+4),"………………..",IFERROR(INDEX($AC$3:$AC$400,MATCH(ROWS(BM$3:BM25),BH$3:BH$400,0),1),"")))</f>
        <v/>
      </c>
      <c r="BN25" s="48">
        <f t="shared" ca="1" si="9"/>
        <v>0</v>
      </c>
      <c r="BO25" s="48" t="str">
        <f ca="1">IF(AND(OR($DY$2=0,$DY$1=0),$I$1=2,ROW()&gt;$BI$1+2,ROW()&lt;=$BI$1+4),"………………..",IF(AND(OR($DY$2&gt;0,$DY$1&gt;0),$I$1=2,ROW()&gt;$BI$1+2,ROW()&lt;=$BI$1+4),"………………..",IFERROR(INDEX($AC$3:$AC$400,MATCH(ROWS(BO$3:BO25),BI$3:BI$400,0),1),"")))</f>
        <v/>
      </c>
      <c r="BP25" s="48">
        <f t="shared" ca="1" si="10"/>
        <v>0</v>
      </c>
      <c r="BQ25" s="48" t="str">
        <f ca="1">IF(AND(OR($DY$2=0,$DY$1=0),$I$1=2,ROW()&gt;$BJ$1+2,ROW()&lt;=$BJ$1+4),"………………..",IF(AND(OR($DY$2&gt;0,$DY$1&gt;0),$I$1=2,ROW()&gt;$BJ$1+2,ROW()&lt;=$BJ$1+4),"………………..",IFERROR(INDEX($AC$3:$AC$400,MATCH(ROWS(BQ$3:BQ25),BJ$3:BJ$400,0),1),"")))</f>
        <v/>
      </c>
      <c r="BR25" s="48">
        <f t="shared" ca="1" si="11"/>
        <v>0</v>
      </c>
      <c r="BS25" s="48">
        <f ca="1">IF(IF(AND(OR(INDEX(PDC,MATCH($AC25,DEN_PDC,0),4)="D",INDEX(PDC,MATCH($AC25,DEN_PDC,0),4)="D/A"),SUMIFS(DARE,DEN_G,$AC25)&gt;=SUMIFS(AVERE,DEN_G,$AC25)),SUMIFS(DARE,DEN_G,$AC25),IF(AND(OR(INDEX(PDC,MATCH($AC25,DEN_PDC,0),4)="A",INDEX(PDC,MATCH($AC25,DEN_PDC,0),4)="D/A"),SUMIFS(AVERE,DEN_G,$AC25)&gt;=SUMIFS(DARE,DEN_G,$AC25)),SUMIFS(AVERE,DEN_G,$AC25),))&gt;0,MAX($BS$2:BS24)+1,0)</f>
        <v>0</v>
      </c>
      <c r="BT25" s="48" t="str">
        <f ca="1">IF($CO$1=0,"",IF(AND($I$1=2,ROW()&gt;$BR$1,ROW()&lt;=$BS$1)," …………….",IF(AND($E$1=1,$BX$1=1,$I$1=2,ROW()=$BQ$1),"TOTALI",IFERROR(INDEX(PDC,MATCH(ROWS(BT$3:BT25),BS$3:BS422,0),2),""))))</f>
        <v/>
      </c>
      <c r="BU25" s="48">
        <f t="shared" ca="1" si="12"/>
        <v>0</v>
      </c>
      <c r="BV25" s="48">
        <f t="shared" ca="1" si="13"/>
        <v>0</v>
      </c>
      <c r="BW25" s="48">
        <f t="shared" ca="1" si="14"/>
        <v>0</v>
      </c>
      <c r="BX25" s="48">
        <f t="shared" ca="1" si="15"/>
        <v>0</v>
      </c>
      <c r="BY25" s="48">
        <f ca="1">IF(OR(BW25&gt;0,BX25&gt;0),MAX($BY$2:BY24)+1,0)</f>
        <v>0</v>
      </c>
      <c r="BZ25" s="48" t="str">
        <f ca="1">IFERROR(INDEX($BT$3:$BY$400,MATCH(ROWS(BZ$3:BZ25),$BY$3:$BY$400,0),1),"")</f>
        <v/>
      </c>
      <c r="CA25" s="48" t="str">
        <f ca="1">IFERROR(INDEX($BT$3:$BY$400,MATCH(ROWS(CA$3:CA25),$BY$3:$BY$400,0),4),"")</f>
        <v/>
      </c>
      <c r="CB25" s="48" t="str">
        <f ca="1">IFERROR(INDEX($BT$3:$BY$400,MATCH(ROWS(CB$3:CB25),$BY$3:$BY$400,0),5),"")</f>
        <v/>
      </c>
      <c r="CC25" s="48" t="str">
        <f t="shared" ca="1" si="16"/>
        <v/>
      </c>
      <c r="CD25" s="48">
        <f ca="1">IF(AND($BF$9=1,CE25&lt;&gt;0),MAX($CD$2:CD24)+1,0)</f>
        <v>0</v>
      </c>
      <c r="CE25" s="48">
        <f ca="1">IF(ROUND(SUMIFS(COPIA!$CA$3:$CA$400,COPIA!$CC$3:$CC$400,CF25)-SUMIFS(COPIA!$CB$3:$CB$400,COPIA!$CC$3:$CC$400,CF25),0)&lt;0,0,ROUND(SUMIFS(COPIA!$CA$3:$CA$400,COPIA!$CC$3:$CC$400,CF25)-SUMIFS(COPIA!$CB$3:$CB$400,COPIA!$CC$3:$CC$400,CF25),0))</f>
        <v>0</v>
      </c>
      <c r="CF25" s="48" t="s">
        <v>611</v>
      </c>
      <c r="CG25" s="242" t="s">
        <v>805</v>
      </c>
      <c r="CH25" s="242">
        <f ca="1">CE25</f>
        <v>0</v>
      </c>
      <c r="CI25" s="242"/>
      <c r="CJ25" s="242"/>
      <c r="CK25" s="48">
        <f ca="1">IF($CF$2=FALSE,0,IF(AND($BF$9=1,CJ25&lt;&gt;0),MAX($CK$21:CK24)+1,0))</f>
        <v>0</v>
      </c>
      <c r="CL25" s="242"/>
      <c r="CM25" s="242" t="str">
        <f t="shared" ca="1" si="37"/>
        <v/>
      </c>
      <c r="CN25" s="243">
        <f t="shared" ca="1" si="38"/>
        <v>0</v>
      </c>
      <c r="CO25" s="48" t="str">
        <f t="shared" ca="1" si="39"/>
        <v/>
      </c>
      <c r="CQ25" s="247">
        <f ca="1">DATE(AP1+4,1,1)</f>
        <v>47484</v>
      </c>
      <c r="CR25" s="247">
        <f ca="1">DATE($AP$1+4,$AT$1,$AS$1)</f>
        <v>47848</v>
      </c>
      <c r="CS25" s="48">
        <f t="shared" ca="1" si="82"/>
        <v>0</v>
      </c>
      <c r="CT25" s="48">
        <f t="shared" ca="1" si="83"/>
        <v>0</v>
      </c>
      <c r="CU25" s="48">
        <f ca="1">IF(SUMIFS(AVERE,DEN_G,AC25,AVERE,"&gt;"&amp;0)+SUMIFS(DARE,DEN_G,AC25,DARE,"&gt;"&amp;0)&gt;0,MAX($CU$2:CU24)+1,0)</f>
        <v>0</v>
      </c>
      <c r="CV25" s="48" t="str">
        <f ca="1">IF(IFERROR(INDEX(PDC,MATCH(ROWS($CV$3:CV25),$CU$3:$CU$400,0),2),"")="CONTO DI RISULTATO ECONOMICO","",IFERROR(INDEX(PDC,MATCH(ROWS($CV$3:CV25),$CU$3:$CU$400,0),2),""))</f>
        <v/>
      </c>
      <c r="CW25" s="48">
        <f ca="1">IFERROR(IF(CV25&lt;&gt;"",MAX($CW$2:CW24)+1,0),0)</f>
        <v>0</v>
      </c>
      <c r="CX25" s="48">
        <f t="shared" ca="1" si="73"/>
        <v>2</v>
      </c>
      <c r="CY25" s="48" t="str">
        <f t="shared" ca="1" si="71"/>
        <v>MASTRO</v>
      </c>
      <c r="CZ25" s="48" t="e">
        <f t="shared" ca="1" si="75"/>
        <v>#N/A</v>
      </c>
      <c r="DA25" s="48" t="str">
        <f t="shared" ca="1" si="80"/>
        <v/>
      </c>
      <c r="DB25" s="48" t="str">
        <f t="shared" ca="1" si="76"/>
        <v/>
      </c>
      <c r="DC25" s="48" t="str">
        <f t="shared" ca="1" si="77"/>
        <v/>
      </c>
      <c r="DD25" s="48" t="str">
        <f t="shared" ca="1" si="78"/>
        <v/>
      </c>
      <c r="DE25" s="48" t="str">
        <f t="shared" ca="1" si="79"/>
        <v/>
      </c>
      <c r="DF25" s="48">
        <f ca="1">IF(AND(CX25=$DF$1,CX25&lt;&gt;""),0,IF(AND(DB25&lt;&gt;"",OR(DB24&lt;&gt;"",DB26&lt;&gt;"")),MAX($DF$2:DF24)+1,0))</f>
        <v>0</v>
      </c>
      <c r="DH25" s="244" t="s">
        <v>276</v>
      </c>
      <c r="DI25" s="48" t="s">
        <v>1012</v>
      </c>
      <c r="DJ25" s="48" t="s">
        <v>311</v>
      </c>
      <c r="DK25" s="48" t="s">
        <v>275</v>
      </c>
      <c r="DL25" s="48" t="s">
        <v>9</v>
      </c>
      <c r="DM25" s="48" t="s">
        <v>270</v>
      </c>
      <c r="DO25" s="48" t="str">
        <f ca="1">IF($BF$9=1,"pab14","pab1")</f>
        <v>pab1</v>
      </c>
      <c r="DW25" s="48">
        <f>IF(DR25&lt;&gt;"",MAX($DW$2:DW24)+1,0)</f>
        <v>0</v>
      </c>
      <c r="DY25" s="48" t="str">
        <f t="shared" ca="1" si="19"/>
        <v/>
      </c>
      <c r="DZ25" s="48" t="str">
        <f t="shared" ca="1" si="40"/>
        <v/>
      </c>
      <c r="EA25" s="48" t="str">
        <f t="shared" ca="1" si="41"/>
        <v/>
      </c>
      <c r="EB25" s="48">
        <f t="shared" ca="1" si="42"/>
        <v>0</v>
      </c>
      <c r="EC25" s="48">
        <f t="shared" ca="1" si="43"/>
        <v>0</v>
      </c>
      <c r="ED25" s="48" t="str">
        <f t="shared" ca="1" si="44"/>
        <v/>
      </c>
      <c r="EE25" s="48">
        <f t="shared" ca="1" si="45"/>
        <v>0</v>
      </c>
      <c r="EF25" s="48" t="str">
        <f t="shared" ca="1" si="46"/>
        <v/>
      </c>
      <c r="EG25" s="48">
        <f t="shared" ca="1" si="47"/>
        <v>0</v>
      </c>
      <c r="EH25" s="48" t="str">
        <f t="shared" ca="1" si="48"/>
        <v/>
      </c>
      <c r="EI25" s="48">
        <f t="shared" ca="1" si="49"/>
        <v>0</v>
      </c>
      <c r="EJ25" s="48" t="str">
        <f t="shared" ca="1" si="50"/>
        <v/>
      </c>
      <c r="EK25" s="48">
        <f t="shared" ca="1" si="51"/>
        <v>0</v>
      </c>
      <c r="EL25" s="48">
        <f t="shared" ca="1" si="20"/>
        <v>0</v>
      </c>
      <c r="EM25" s="48">
        <f ca="1">IF(EL25&gt;=0,0,MAX($EM$2:EM24)+1)</f>
        <v>0</v>
      </c>
      <c r="EN25" s="48" t="str">
        <f t="shared" ca="1" si="21"/>
        <v/>
      </c>
      <c r="EO25" s="48" t="str">
        <f ca="1">IFERROR(INDEX($EM$3:$EN$400,MATCH(ROWS($EO$3:EO25),$EM$3:$EM$400,0),2),"")</f>
        <v/>
      </c>
      <c r="EP25" s="48">
        <f>ROW()</f>
        <v>25</v>
      </c>
      <c r="EQ25" s="48">
        <f t="shared" ca="1" si="22"/>
        <v>0</v>
      </c>
      <c r="ER25" s="48">
        <f ca="1">IF(ISNA(EQ25)=TRUE,MAX($ER$2:ER24)+1,0)</f>
        <v>0</v>
      </c>
      <c r="ES25" s="48" t="str">
        <f t="shared" ca="1" si="52"/>
        <v/>
      </c>
      <c r="ET25" s="48" t="str">
        <f ca="1">IFERROR(INDEX($ER$3:$ES$400,MATCH(ROWS($ET$3:ET25),$ER$3:$ER$400,0),2),"")</f>
        <v/>
      </c>
      <c r="EV25" s="48">
        <f ca="1">IFERROR(INDEX(LIBRO_GIORNALE!$O$11:$P$408,MATCH(ROWS($EV$2:EV24),LIBRO_GIORNALE!$P$11:$P$408,0),1),0)</f>
        <v>0</v>
      </c>
      <c r="EW25" s="48" t="str">
        <f t="shared" ca="1" si="53"/>
        <v>0</v>
      </c>
      <c r="EX25" s="48">
        <f t="shared" ca="1" si="54"/>
        <v>0</v>
      </c>
      <c r="EY25" s="48">
        <f ca="1">IF(EX25&gt;0,MAX($EY$2:EY24)+1,0)</f>
        <v>0</v>
      </c>
      <c r="EZ25" s="48">
        <f ca="1">IFERROR(INDEX($EX$3:$EX$400,MATCH(ROWS($EZ$3:EZ25),$EY$3:$EY$400,0),1),0)</f>
        <v>0</v>
      </c>
      <c r="FA25" s="48">
        <f ca="1">IF(EZ25&gt;0,0,MAX($FA$2:FA24)+1)</f>
        <v>23</v>
      </c>
      <c r="FB25" s="48">
        <f t="shared" ca="1" si="55"/>
        <v>0</v>
      </c>
      <c r="FC25" s="48">
        <f t="shared" ca="1" si="56"/>
        <v>23</v>
      </c>
      <c r="FD25" s="48">
        <f t="shared" ca="1" si="57"/>
        <v>23</v>
      </c>
      <c r="FE25" s="48">
        <f ca="1">IF(FD25=0,0,MAX($FE$2:FE24)+1)</f>
        <v>23</v>
      </c>
      <c r="FF25" s="48">
        <f ca="1">IFERROR(INDEX($FD$3:$FE$400,MATCH(ROWS($FF$3:FF25),$FE$3:$FE$400,0),1),"")</f>
        <v>23</v>
      </c>
      <c r="FH25" s="48">
        <f t="shared" ca="1" si="58"/>
        <v>0</v>
      </c>
      <c r="FI25" s="48">
        <f ca="1">IF(FH25&lt;&gt;0,MAX($FI$2:FI24)+1,0)</f>
        <v>0</v>
      </c>
      <c r="FJ25" s="48" t="str">
        <f ca="1">IFERROR(INDEX($FH$3:$FI$400,MATCH(ROWS($FJ$3:FJ25),$FI$3:$FI$400,0),1),"")</f>
        <v/>
      </c>
      <c r="FK25" s="48">
        <f ca="1">IF(ABS(SUMIFS(DARE,DEN_G,"="&amp;FJ25,DATA,"&lt;="&amp;FINE_AC,DATA,"&gt;="&amp;INIZIO_A_PC)-SUMIFS(AVERE,DEN_G,"="&amp;FJ25,DATA,"&lt;="&amp;FINE_AC,DATA,"&gt;="&amp;INIZIO_A_PC))&gt;0,MAX($FK$2:FK24)+1,0)</f>
        <v>0</v>
      </c>
      <c r="FL25" s="48" t="str">
        <f ca="1">IF(AND(ROW()-2&lt;&gt;1,ROW()-2&lt;=$FK$1),CONCATENATE(" - ",IFERROR(INDEX($FJ$3:$FK$400,MATCH(ROWS($FL$3:FL25),$FK$3:$FK$400,0),1),"")),IFERROR(INDEX($FJ$3:$FK$400,MATCH(ROWS($FL$3:FL25),$FK$3:$FK$400,0),1),""))</f>
        <v/>
      </c>
      <c r="FM25" s="48">
        <f ca="1">IF(OR(B25="IVA ns/credito",B25="IVA NS/DEBITO",B25="IVA C/ACCONTO",B25="IMPOSTE C/ACCONTO",B25="CREDITI PER RITENUTE SUBITE",B25="CREDITI D'IMPOSTA"),MAX($FM$2:FM24)+1,0)</f>
        <v>0</v>
      </c>
      <c r="FN25" s="48" t="str">
        <f t="shared" ca="1" si="59"/>
        <v/>
      </c>
      <c r="FO25" s="48" t="str">
        <f ca="1">IFERROR(INDEX($FM$3:$FN$400,MATCH(ROWS($FO$3:FO25),$FM$3:$FM$400,0),2),"")</f>
        <v/>
      </c>
      <c r="FP25" s="48">
        <f ca="1">IF(ABS(SUMIFS(DARE,DEN_G,"="&amp;FO25,DATA,"&lt;="&amp;FINE_AC,DATA,"&gt;="&amp;INIZIO_A_PC)-SUMIFS(AVERE,DEN_G,"="&amp;FO25,DATA,"&lt;="&amp;FINE_AC,DATA,"&gt;="&amp;INIZIO_A_PC))&gt;0,MAX($FP$2:FP24)+1,0)</f>
        <v>0</v>
      </c>
      <c r="FQ25" s="48" t="str">
        <f ca="1">IF(AND(ROW()-2&lt;&gt;1,ROW()-2&lt;=$FP$1),CONCATENATE(" - ",IFERROR(INDEX($FO$3:$FP$400,MATCH(ROWS($FQ$3:FQ25),$FP$3:$FP$400,0),1),"")),IFERROR(INDEX($FO$3:$FP$400,MATCH(ROWS($FQ$3:FQ25),$FP$3:$FP$400,0),1),""))</f>
        <v/>
      </c>
    </row>
    <row r="26" spans="1:173" x14ac:dyDescent="0.3">
      <c r="A26" s="48" t="str">
        <f ca="1">IFERROR(IF($A$1=2,INDEX($DH$3:$DN$401,MATCH(ROWS(A$3:A26),$DN$3:$DN$401,0),COLUMN()),IF($A$1=1,INDEX($DQ$3:$DW$401,MATCH(ROWS(A$3:A26),$DW$3:$DW$401,0),COLUMN()),"")),"")</f>
        <v>02.04</v>
      </c>
      <c r="B26" s="48" t="str">
        <f ca="1">IFERROR(IF($A$1=2,INDEX($DH$3:$DN$401,MATCH(ROWS(B$3:B26),$DN$3:$DN$401,0),COLUMN()),IF($A$1=1,INDEX($DQ$3:$DW$400,MATCH(ROWS(B$3:B26),$DW$3:$DW$401,0),COLUMN()),"")),"")</f>
        <v>ATTREZZATURE COMMERCIALI</v>
      </c>
      <c r="C26" s="48" t="str">
        <f ca="1">IFERROR(IF($A$1=2,INDEX($DH$3:$DN$401,MATCH(ROWS(C$3:C26),$DN$3:$DN$401,0),COLUMN()),IF($A$1=1,INDEX($DQ$3:$DW$401,MATCH(ROWS(C$3:C26),$DW$3:$DW$401,0),COLUMN()),"")),"")</f>
        <v>E</v>
      </c>
      <c r="D26" s="48" t="str">
        <f ca="1">IFERROR(IF($A$1=2,INDEX($DH$3:$DN$401,MATCH(ROWS(D$3:D26),$DN$3:$DN$401,0),COLUMN()),IF($A$1=1,INDEX($DQ$3:$DW$401,MATCH(ROWS(D$3:D26),$DW$3:$DW$401,0),COLUMN()),"")),"")</f>
        <v>D</v>
      </c>
      <c r="E26" s="48" t="str">
        <f ca="1">IFERROR(IF($A$1=2,INDEX($DH$3:$DN$401,MATCH(ROWS(E$3:E26),$DN$3:$DN$401,0),COLUMN()),IF($A$1=1,INDEX($DQ$3:$DW$401,MATCH(ROWS(E$3:E26),$DW$3:$DW$401,0),COLUMN()),"")),"")</f>
        <v>COSTI PLURIENNALI</v>
      </c>
      <c r="F26" s="48" t="str">
        <f ca="1">IFERROR(IF($A$1=2,INDEX($DH$3:$DN$401,MATCH(ROWS(F$3:F26),$DN$3:$DN$401,0),COLUMN()),IF($A$1=1,INDEX($DQ$3:$DX$401,MATCH(ROWS(F$3:F26),$DW$3:$DW$401,0),COLUMN()),"")),"")</f>
        <v>SP DARE</v>
      </c>
      <c r="G26" s="48" t="str">
        <f t="shared" ca="1" si="23"/>
        <v>SP</v>
      </c>
      <c r="H26" s="48" t="str">
        <f ca="1">IFERROR(IF($A$1=2,INDEX($DH$3:$DO$400,MATCH(ROWS(H$3:H26),$DN$3:$DN$400,0),COLUMN()),IF($A$1=1,INDEX($DQ$3:$DX$400,MATCH(ROWS(H$3:H26),$DW$3:$DW$400,0),COLUMN()),"")),"")</f>
        <v>pab2</v>
      </c>
      <c r="I26" s="48" t="str">
        <f t="shared" ca="1" si="0"/>
        <v/>
      </c>
      <c r="J26" s="48" t="str">
        <f t="shared" ca="1" si="24"/>
        <v/>
      </c>
      <c r="K26" s="48">
        <f t="shared" ca="1" si="25"/>
        <v>0</v>
      </c>
      <c r="L26" s="48">
        <f t="shared" ca="1" si="26"/>
        <v>0</v>
      </c>
      <c r="M26" s="48">
        <f ca="1">IFERROR(IF(IF(MID($A26,3,3)=".00",MID(A26,1,2),"")&lt;&gt;"",MAX($M$2:M25)+1,0),"")</f>
        <v>0</v>
      </c>
      <c r="N26" s="48" t="str">
        <f t="shared" ca="1" si="27"/>
        <v/>
      </c>
      <c r="O26" s="48" t="str">
        <f ca="1">IF(IFERROR(INDEX($N$3:$O$400,MATCH(ROWS($O$3:O26),$M$3:$M$400,0),1),"")&lt;&gt;"",CONCATENATE(INDEX($N$3:$O$400,MATCH(ROWS($O$3:O26),$M$3:$M$400,0),1),".00"),"")</f>
        <v>32.00</v>
      </c>
      <c r="P26" s="48" t="str">
        <f t="shared" ca="1" si="28"/>
        <v>COSTI PER GODIMENTO BENI DI TERZI</v>
      </c>
      <c r="Q26" s="48">
        <f ca="1">IF(M26&gt;=1,0,MAX($Q$2:Q25)+1)</f>
        <v>21</v>
      </c>
      <c r="R26" s="48">
        <f ca="1">IF(AND($U$2=2,S26&lt;&gt;""),MAX($R$2:R25)+1,0)</f>
        <v>8</v>
      </c>
      <c r="S26" s="48" t="str">
        <f t="shared" ca="1" si="81"/>
        <v>CREDITI DIVERSI</v>
      </c>
      <c r="T26" s="48" t="str">
        <f ca="1">IFERROR(INDEX($R$3:$S$64,MATCH(ROWS($T$2:T25),$R$3:$R$64,0),2),"")</f>
        <v>COSTI PER SERVIZI</v>
      </c>
      <c r="U26" s="48" t="str">
        <f ca="1">IFERROR(INDEX(PDC,MATCH(ROWS(U$3:U26),$V$3:$V$400,0),2),"")</f>
        <v>AUTOMEZZI</v>
      </c>
      <c r="V26" s="48">
        <f ca="1">IF(AND($T$1="VISUALIZZA TUTTI I CONTI",AA26&lt;&gt;""),MAX($V$2:V25)+1,IF(AND($U$2=2,AI26=$T$1),MAX($V$2:V25)+1,IF(AND($U$2=1,$T$1=AF26),MAX($V$2:V25)+1,0)))</f>
        <v>24</v>
      </c>
      <c r="Z26" s="246"/>
      <c r="AA26" s="48" t="str">
        <f t="shared" ca="1" si="29"/>
        <v>02.00</v>
      </c>
      <c r="AB26" s="48" t="str">
        <f ca="1">IFERROR(INDEX($A$3:$G$400,MATCH(ROWS(AB$3:AB26),$Q$3:$Q$400,0),1),"")</f>
        <v>02.07</v>
      </c>
      <c r="AC26" s="48" t="str">
        <f ca="1">IFERROR(INDEX($A$3:$G$400,MATCH(ROWS($AC$3:AC26),$Q$3:$Q$400,0),2),"")</f>
        <v>AUTOMEZZI</v>
      </c>
      <c r="AD26" s="48" t="str">
        <f ca="1">IFERROR(INDEX($A$3:$G$400,MATCH(ROWS(AD$3:AD26),$Q$3:$Q$400,0),3),"")</f>
        <v>E</v>
      </c>
      <c r="AE26" s="48" t="str">
        <f ca="1">IFERROR(INDEX($A$3:$G$400,MATCH(ROWS(AE$3:AE26),$Q$3:$Q$400,0),4),"")</f>
        <v>D</v>
      </c>
      <c r="AF26" s="48" t="str">
        <f ca="1">IFERROR(INDEX($A$3:$G$400,MATCH(ROWS(AF$3:AF26),$Q$3:$Q$400,0),5),"")</f>
        <v>COSTI PLURIENNALI</v>
      </c>
      <c r="AG26" s="48" t="str">
        <f ca="1">IFERROR(INDEX($A$3:$G$400,MATCH(ROWS(AG$3:AG26),$Q$3:$Q$400,0),6),"")</f>
        <v>SP DARE</v>
      </c>
      <c r="AH26" s="48" t="str">
        <f ca="1">IFERROR(INDEX($A$3:$G$400,MATCH(ROWS(AH$3:AH26),$Q$3:$Q$400,0),7),"")</f>
        <v>SP</v>
      </c>
      <c r="AI26" s="48" t="str">
        <f t="shared" ca="1" si="1"/>
        <v>IMMOBILIZZAZIONI MATERIALI</v>
      </c>
      <c r="AJ26" s="48" t="str">
        <f ca="1">IFERROR(INDEX($A$3:$H$400,MATCH(ROWS(AJ$3:AJ26),$Q$3:$Q$400,0),8),"")</f>
        <v>pab2</v>
      </c>
      <c r="AK26" s="48">
        <f t="shared" ca="1" si="2"/>
        <v>0</v>
      </c>
      <c r="AL26" s="48">
        <f t="shared" ca="1" si="3"/>
        <v>0</v>
      </c>
      <c r="AM26" s="48">
        <f t="shared" ca="1" si="30"/>
        <v>0</v>
      </c>
      <c r="AN26" s="48" t="str">
        <f t="shared" ca="1" si="31"/>
        <v/>
      </c>
      <c r="AO26" s="48">
        <f t="shared" ca="1" si="32"/>
        <v>0</v>
      </c>
      <c r="AP26" s="48">
        <f t="shared" ca="1" si="32"/>
        <v>0</v>
      </c>
      <c r="AQ26" s="48" t="str">
        <f t="shared" ca="1" si="4"/>
        <v>AUTOMEZZI</v>
      </c>
      <c r="AR26" s="48">
        <f t="shared" ca="1" si="5"/>
        <v>0</v>
      </c>
      <c r="AS26" s="48">
        <f t="shared" ca="1" si="6"/>
        <v>0</v>
      </c>
      <c r="AT26" s="48">
        <f t="shared" ca="1" si="33"/>
        <v>0</v>
      </c>
      <c r="AU26" s="48">
        <f t="shared" ca="1" si="34"/>
        <v>0</v>
      </c>
      <c r="AV26" s="48">
        <f ca="1">IF(OR(AT26&gt;0,AU26&gt;0),MAX($AV$2:AV25)+1,0)</f>
        <v>0</v>
      </c>
      <c r="AZ26" s="241" t="str">
        <f t="shared" ca="1" si="35"/>
        <v/>
      </c>
      <c r="BA26" s="48">
        <f t="shared" ca="1" si="7"/>
        <v>0</v>
      </c>
      <c r="BB26" s="48">
        <f ca="1">IFERROR(INDEX($AQ$3:$AV$220,MATCH(ROWS($BB$3:BB26),$AV$3:$AV$220,0),1),0)</f>
        <v>0</v>
      </c>
      <c r="BC26" s="48" t="str">
        <f t="shared" ca="1" si="36"/>
        <v/>
      </c>
      <c r="BD26" s="48">
        <f ca="1">IFERROR(INDEX($AQ$3:$AV$220,MATCH(ROWS($BB$3:BD26),$AV$3:$AV$220,0),4),0)</f>
        <v>0</v>
      </c>
      <c r="BE26" s="48">
        <f ca="1">IFERROR(INDEX($AQ$3:$AV$220,MATCH(ROWS($BB$3:BE26),$AV$3:$AV$220,0),5),0)</f>
        <v>0</v>
      </c>
      <c r="BF26" s="48">
        <v>12</v>
      </c>
      <c r="BG26" s="48">
        <f ca="1">IF(IF(AND(OR(INDEX(PDC,MATCH($AC26,DEN_PDC,0),6)="SP DARE",INDEX(PDC,MATCH($AC26,DEN_PDC,0),6)="SP DARE/AVERE"),SUMIFS(DARE,DEN_G,$AC26)&gt;=SUMIFS(AVERE,DEN_G,$AC26)),SUMIFS(DARE,DEN_G,$AC26)-SUMIFS(AVERE,DEN_G,$AC26),0)&gt;0,MAX($BG$2:BG25)+1,0)</f>
        <v>0</v>
      </c>
      <c r="BH26" s="48">
        <f ca="1">IF(IF(AND(OR(INDEX(PDC,MATCH($AC26,DEN_PDC,0),6)="SP AVERE",INDEX(PDC,MATCH($AC26,DEN_PDC,0),6)="SP DARE/AVERE"),SUMIFS(AVERE,DEN_G,$AC26)&gt;=SUMIFS(DARE,DEN_G,$AC26)),SUMIFS(AVERE,DEN_G,$AC26)-SUMIFS(DARE,DEN_G,$AC26),0)&gt;0,MAX(BH$2:BH25)+1,0)</f>
        <v>0</v>
      </c>
      <c r="BI26" s="48">
        <f ca="1">IF(IF(AND(OR(INDEX(PDC,MATCH($AC26,DEN_PDC,0),6)="SE DARE",INDEX(PDC,MATCH($AC26,DEN_PDC,0),6)="SE DARE/AVERE"),SUMIFS(DARE,DEN_G,$AC26)&gt;=SUMIFS(AVERE,DEN_G,$AC26)),SUMIFS(DARE,DEN_G,$AC26)-SUMIFS(AVERE,DEN_G,$AC26),0)&gt;0,MAX(BI$2:BI25)+1,0)</f>
        <v>0</v>
      </c>
      <c r="BJ26" s="48">
        <f ca="1">IF(IF(AND(OR(INDEX(PDC,MATCH($AC26,DEN_PDC,0),6)="SE AVERE",INDEX(PDC,MATCH($AC26,DEN_PDC,0),6)="SE DARE/AVERE"),SUMIFS(AVERE,DEN_G,$AC26)&gt;=SUMIFS(DARE,DEN_G,$AC26)),SUMIFS(AVERE,DEN_G,$AC26)-SUMIFS(DARE,DEN_G,$AC26),0)&gt;0,MAX(BJ$2:BJ25)+1,0)</f>
        <v>0</v>
      </c>
      <c r="BK26" s="48" t="str">
        <f ca="1">IF(AND(AND($DY$2=0,$DY$1=0),$I$1=2,ROW()&gt;$BG$1+2,ROW()&lt;=$BG$1+4),"………………..",IF(AND(OR($DY$2&gt;0,$DY$1&gt;0),$I$1=2,ROW()&gt;$BG$1+2,ROW()&lt;=$BG$1+4),"………………..",IFERROR(INDEX($AC$3:$AC$398,MATCH(ROWS(BK$3:BK26),BG$3:BG$398,0),1),"")))</f>
        <v/>
      </c>
      <c r="BL26" s="48">
        <f t="shared" ca="1" si="69"/>
        <v>0</v>
      </c>
      <c r="BM26" s="48" t="str">
        <f ca="1">IF(AND(OR($DY$2=0,$DY$1=0),$I$1=2,ROW()&gt;$BH$1+2,ROW()&lt;=$BH$1+4),"………………..",IF(AND(OR($DY$2&gt;0,$DY$1&gt;0),$I$1=2,ROW()&gt;$BH$1+2,ROW()&lt;=$BH$1+4),"………………..",IFERROR(INDEX($AC$3:$AC$400,MATCH(ROWS(BM$3:BM26),BH$3:BH$400,0),1),"")))</f>
        <v/>
      </c>
      <c r="BN26" s="48">
        <f t="shared" ca="1" si="9"/>
        <v>0</v>
      </c>
      <c r="BO26" s="48" t="str">
        <f ca="1">IF(AND(OR($DY$2=0,$DY$1=0),$I$1=2,ROW()&gt;$BI$1+2,ROW()&lt;=$BI$1+4),"………………..",IF(AND(OR($DY$2&gt;0,$DY$1&gt;0),$I$1=2,ROW()&gt;$BI$1+2,ROW()&lt;=$BI$1+4),"………………..",IFERROR(INDEX($AC$3:$AC$400,MATCH(ROWS(BO$3:BO26),BI$3:BI$400,0),1),"")))</f>
        <v/>
      </c>
      <c r="BP26" s="48">
        <f t="shared" ca="1" si="10"/>
        <v>0</v>
      </c>
      <c r="BQ26" s="48" t="str">
        <f ca="1">IF(AND(OR($DY$2=0,$DY$1=0),$I$1=2,ROW()&gt;$BJ$1+2,ROW()&lt;=$BJ$1+4),"………………..",IF(AND(OR($DY$2&gt;0,$DY$1&gt;0),$I$1=2,ROW()&gt;$BJ$1+2,ROW()&lt;=$BJ$1+4),"………………..",IFERROR(INDEX($AC$3:$AC$400,MATCH(ROWS(BQ$3:BQ26),BJ$3:BJ$400,0),1),"")))</f>
        <v/>
      </c>
      <c r="BR26" s="48">
        <f t="shared" ca="1" si="11"/>
        <v>0</v>
      </c>
      <c r="BS26" s="48">
        <f ca="1">IF(IF(AND(OR(INDEX(PDC,MATCH($AC26,DEN_PDC,0),4)="D",INDEX(PDC,MATCH($AC26,DEN_PDC,0),4)="D/A"),SUMIFS(DARE,DEN_G,$AC26)&gt;=SUMIFS(AVERE,DEN_G,$AC26)),SUMIFS(DARE,DEN_G,$AC26),IF(AND(OR(INDEX(PDC,MATCH($AC26,DEN_PDC,0),4)="A",INDEX(PDC,MATCH($AC26,DEN_PDC,0),4)="D/A"),SUMIFS(AVERE,DEN_G,$AC26)&gt;=SUMIFS(DARE,DEN_G,$AC26)),SUMIFS(AVERE,DEN_G,$AC26),))&gt;0,MAX($BS$2:BS25)+1,0)</f>
        <v>0</v>
      </c>
      <c r="BT26" s="48" t="str">
        <f ca="1">IF($CO$1=0,"",IF(AND($I$1=2,ROW()&gt;$BR$1,ROW()&lt;=$BS$1)," …………….",IF(AND($E$1=1,$BX$1=1,$I$1=2,ROW()=$BQ$1),"TOTALI",IFERROR(INDEX(PDC,MATCH(ROWS(BT$3:BT26),BS$3:BS423,0),2),""))))</f>
        <v/>
      </c>
      <c r="BU26" s="48">
        <f t="shared" ca="1" si="12"/>
        <v>0</v>
      </c>
      <c r="BV26" s="48">
        <f t="shared" ca="1" si="13"/>
        <v>0</v>
      </c>
      <c r="BW26" s="48">
        <f t="shared" ca="1" si="14"/>
        <v>0</v>
      </c>
      <c r="BX26" s="48">
        <f t="shared" ca="1" si="15"/>
        <v>0</v>
      </c>
      <c r="BY26" s="48">
        <f ca="1">IF(OR(BW26&gt;0,BX26&gt;0),MAX($BY$2:BY25)+1,0)</f>
        <v>0</v>
      </c>
      <c r="BZ26" s="48" t="str">
        <f ca="1">IFERROR(INDEX($BT$3:$BY$400,MATCH(ROWS(BZ$3:BZ26),$BY$3:$BY$400,0),1),"")</f>
        <v/>
      </c>
      <c r="CA26" s="48" t="str">
        <f ca="1">IFERROR(INDEX($BT$3:$BY$400,MATCH(ROWS(CA$3:CA26),$BY$3:$BY$400,0),4),"")</f>
        <v/>
      </c>
      <c r="CB26" s="48" t="str">
        <f ca="1">IFERROR(INDEX($BT$3:$BY$400,MATCH(ROWS(CB$3:CB26),$BY$3:$BY$400,0),5),"")</f>
        <v/>
      </c>
      <c r="CC26" s="48" t="str">
        <f t="shared" ca="1" si="16"/>
        <v/>
      </c>
      <c r="CD26" s="48">
        <f ca="1">IF(AND($BF$9=1,CE26&lt;&gt;0),MAX($CD$2:CD25)+1,0)</f>
        <v>0</v>
      </c>
      <c r="CE26" s="48">
        <f ca="1">IF(ROUND(SUMIFS(COPIA!$CA$3:$CA$400,COPIA!$CC$3:$CC$400,CF26)-SUMIFS(COPIA!$CB$3:$CB$400,COPIA!$CC$3:$CC$400,CF26),0)&lt;0,0,ROUND(SUMIFS(COPIA!$CA$3:$CA$400,COPIA!$CC$3:$CC$400,CF26)-SUMIFS(COPIA!$CB$3:$CB$400,COPIA!$CC$3:$CC$400,CF26),0))</f>
        <v>0</v>
      </c>
      <c r="CF26" s="48" t="s">
        <v>610</v>
      </c>
      <c r="CG26" s="242" t="s">
        <v>508</v>
      </c>
      <c r="CH26" s="242">
        <f ca="1">CE26</f>
        <v>0</v>
      </c>
      <c r="CI26" s="242"/>
      <c r="CJ26" s="242"/>
      <c r="CK26" s="48">
        <f ca="1">IF($CF$2=FALSE,0,IF(AND($BF$9=1,CJ26&lt;&gt;0),MAX($CK$21:CK25)+1,0))</f>
        <v>0</v>
      </c>
      <c r="CL26" s="242"/>
      <c r="CM26" s="242" t="str">
        <f t="shared" ca="1" si="37"/>
        <v/>
      </c>
      <c r="CN26" s="243">
        <f t="shared" ca="1" si="38"/>
        <v>0</v>
      </c>
      <c r="CO26" s="48" t="str">
        <f t="shared" ca="1" si="39"/>
        <v/>
      </c>
      <c r="CQ26" s="247">
        <f ca="1">DATE(AP1+5,1,1)</f>
        <v>47849</v>
      </c>
      <c r="CR26" s="247">
        <f ca="1">DATE($AP$1+5,$AT$1,$AS$1)</f>
        <v>48213</v>
      </c>
      <c r="CS26" s="48">
        <f t="shared" ca="1" si="82"/>
        <v>0</v>
      </c>
      <c r="CT26" s="48">
        <f t="shared" ca="1" si="83"/>
        <v>0</v>
      </c>
      <c r="CU26" s="48">
        <f ca="1">IF(SUMIFS(AVERE,DEN_G,AC26,AVERE,"&gt;"&amp;0)+SUMIFS(DARE,DEN_G,AC26,DARE,"&gt;"&amp;0)&gt;0,MAX($CU$2:CU25)+1,0)</f>
        <v>0</v>
      </c>
      <c r="CV26" s="48" t="str">
        <f ca="1">IF(IFERROR(INDEX(PDC,MATCH(ROWS($CV$3:CV26),$CU$3:$CU$400,0),2),"")="CONTO DI RISULTATO ECONOMICO","",IFERROR(INDEX(PDC,MATCH(ROWS($CV$3:CV26),$CU$3:$CU$400,0),2),""))</f>
        <v/>
      </c>
      <c r="CW26" s="48">
        <f ca="1">IFERROR(IF(CV26&lt;&gt;"",MAX($CW$2:CW25)+1,0),0)</f>
        <v>0</v>
      </c>
      <c r="CX26" s="48">
        <f t="shared" ca="1" si="73"/>
        <v>2</v>
      </c>
      <c r="CY26" s="48" t="str">
        <f t="shared" ca="1" si="71"/>
        <v>MASTRO</v>
      </c>
      <c r="CZ26" s="48" t="e">
        <f t="shared" ca="1" si="75"/>
        <v>#N/A</v>
      </c>
      <c r="DA26" s="48" t="str">
        <f t="shared" ca="1" si="80"/>
        <v/>
      </c>
      <c r="DB26" s="48" t="str">
        <f t="shared" ca="1" si="76"/>
        <v/>
      </c>
      <c r="DC26" s="48" t="str">
        <f t="shared" ca="1" si="77"/>
        <v/>
      </c>
      <c r="DD26" s="48" t="str">
        <f t="shared" ca="1" si="78"/>
        <v/>
      </c>
      <c r="DE26" s="48" t="str">
        <f t="shared" ca="1" si="79"/>
        <v/>
      </c>
      <c r="DF26" s="48">
        <f ca="1">IF(AND(CX26=$DF$1,CX26&lt;&gt;""),0,IF(AND(DB26&lt;&gt;"",OR(DB25&lt;&gt;"",DB27&lt;&gt;"")),MAX($DF$2:DF25)+1,0))</f>
        <v>0</v>
      </c>
      <c r="DH26" s="244" t="s">
        <v>276</v>
      </c>
      <c r="DI26" s="48" t="s">
        <v>18</v>
      </c>
      <c r="DJ26" s="48" t="s">
        <v>311</v>
      </c>
      <c r="DK26" s="48" t="s">
        <v>275</v>
      </c>
      <c r="DL26" s="48" t="s">
        <v>9</v>
      </c>
      <c r="DM26" s="48" t="s">
        <v>270</v>
      </c>
      <c r="DN26" s="48">
        <f ca="1">IF(DI26&lt;&gt;"",MAX($DN$2:DN25)+1,0)</f>
        <v>11</v>
      </c>
      <c r="DO26" s="48" t="str">
        <f ca="1">IF($BF$9=1,"pab15","pab1")</f>
        <v>pab1</v>
      </c>
      <c r="DW26" s="48">
        <f>IF(DR26&lt;&gt;"",MAX($DW$2:DW25)+1,0)</f>
        <v>0</v>
      </c>
      <c r="DY26" s="48" t="str">
        <f t="shared" ca="1" si="19"/>
        <v/>
      </c>
      <c r="DZ26" s="48" t="str">
        <f t="shared" ca="1" si="40"/>
        <v/>
      </c>
      <c r="EA26" s="48" t="str">
        <f t="shared" ca="1" si="41"/>
        <v/>
      </c>
      <c r="EB26" s="48">
        <f t="shared" ca="1" si="42"/>
        <v>0</v>
      </c>
      <c r="EC26" s="48">
        <f t="shared" ca="1" si="43"/>
        <v>0</v>
      </c>
      <c r="ED26" s="48" t="str">
        <f t="shared" ca="1" si="44"/>
        <v/>
      </c>
      <c r="EE26" s="48">
        <f t="shared" ca="1" si="45"/>
        <v>0</v>
      </c>
      <c r="EF26" s="48" t="str">
        <f t="shared" ca="1" si="46"/>
        <v/>
      </c>
      <c r="EG26" s="48">
        <f t="shared" ca="1" si="47"/>
        <v>0</v>
      </c>
      <c r="EH26" s="48" t="str">
        <f t="shared" ca="1" si="48"/>
        <v/>
      </c>
      <c r="EI26" s="48">
        <f t="shared" ca="1" si="49"/>
        <v>0</v>
      </c>
      <c r="EJ26" s="48" t="str">
        <f t="shared" ca="1" si="50"/>
        <v/>
      </c>
      <c r="EK26" s="48">
        <f t="shared" ca="1" si="51"/>
        <v>0</v>
      </c>
      <c r="EL26" s="48">
        <f t="shared" ca="1" si="20"/>
        <v>0</v>
      </c>
      <c r="EM26" s="48">
        <f ca="1">IF(EL26&gt;=0,0,MAX($EM$2:EM25)+1)</f>
        <v>0</v>
      </c>
      <c r="EN26" s="48" t="str">
        <f t="shared" ca="1" si="21"/>
        <v/>
      </c>
      <c r="EO26" s="48" t="str">
        <f ca="1">IFERROR(INDEX($EM$3:$EN$400,MATCH(ROWS($EO$3:EO26),$EM$3:$EM$400,0),2),"")</f>
        <v/>
      </c>
      <c r="EP26" s="48">
        <f>ROW()</f>
        <v>26</v>
      </c>
      <c r="EQ26" s="48">
        <f t="shared" ca="1" si="22"/>
        <v>0</v>
      </c>
      <c r="ER26" s="48">
        <f ca="1">IF(ISNA(EQ26)=TRUE,MAX($ER$2:ER25)+1,0)</f>
        <v>0</v>
      </c>
      <c r="ES26" s="48" t="str">
        <f t="shared" ca="1" si="52"/>
        <v/>
      </c>
      <c r="ET26" s="48" t="str">
        <f ca="1">IFERROR(INDEX($ER$3:$ES$400,MATCH(ROWS($ET$3:ET26),$ER$3:$ER$400,0),2),"")</f>
        <v/>
      </c>
      <c r="EV26" s="48">
        <f ca="1">IFERROR(INDEX(LIBRO_GIORNALE!$O$11:$P$408,MATCH(ROWS($EV$2:EV25),LIBRO_GIORNALE!$P$11:$P$408,0),1),0)</f>
        <v>0</v>
      </c>
      <c r="EW26" s="48" t="str">
        <f t="shared" ca="1" si="53"/>
        <v>0</v>
      </c>
      <c r="EX26" s="48">
        <f t="shared" ca="1" si="54"/>
        <v>0</v>
      </c>
      <c r="EY26" s="48">
        <f ca="1">IF(EX26&gt;0,MAX($EY$2:EY25)+1,0)</f>
        <v>0</v>
      </c>
      <c r="EZ26" s="48">
        <f ca="1">IFERROR(INDEX($EX$3:$EX$400,MATCH(ROWS($EZ$3:EZ26),$EY$3:$EY$400,0),1),0)</f>
        <v>0</v>
      </c>
      <c r="FA26" s="48">
        <f ca="1">IF(EZ26&gt;0,0,MAX($FA$2:FA25)+1)</f>
        <v>24</v>
      </c>
      <c r="FB26" s="48">
        <f t="shared" ca="1" si="55"/>
        <v>0</v>
      </c>
      <c r="FC26" s="48">
        <f t="shared" ca="1" si="56"/>
        <v>24</v>
      </c>
      <c r="FD26" s="48">
        <f t="shared" ca="1" si="57"/>
        <v>24</v>
      </c>
      <c r="FE26" s="48">
        <f ca="1">IF(FD26=0,0,MAX($FE$2:FE25)+1)</f>
        <v>24</v>
      </c>
      <c r="FF26" s="48">
        <f ca="1">IFERROR(INDEX($FD$3:$FE$400,MATCH(ROWS($FF$3:FF26),$FE$3:$FE$400,0),1),"")</f>
        <v>24</v>
      </c>
      <c r="FH26" s="48">
        <f t="shared" ca="1" si="58"/>
        <v>0</v>
      </c>
      <c r="FI26" s="48">
        <f ca="1">IF(FH26&lt;&gt;0,MAX($FI$2:FI25)+1,0)</f>
        <v>0</v>
      </c>
      <c r="FJ26" s="48" t="str">
        <f ca="1">IFERROR(INDEX($FH$3:$FI$400,MATCH(ROWS($FJ$3:FJ26),$FI$3:$FI$400,0),1),"")</f>
        <v/>
      </c>
      <c r="FK26" s="48">
        <f ca="1">IF(ABS(SUMIFS(DARE,DEN_G,"="&amp;FJ26,DATA,"&lt;="&amp;FINE_AC,DATA,"&gt;="&amp;INIZIO_A_PC)-SUMIFS(AVERE,DEN_G,"="&amp;FJ26,DATA,"&lt;="&amp;FINE_AC,DATA,"&gt;="&amp;INIZIO_A_PC))&gt;0,MAX($FK$2:FK25)+1,0)</f>
        <v>0</v>
      </c>
      <c r="FL26" s="48" t="str">
        <f ca="1">IF(AND(ROW()-2&lt;&gt;1,ROW()-2&lt;=$FK$1),CONCATENATE(" - ",IFERROR(INDEX($FJ$3:$FK$400,MATCH(ROWS($FL$3:FL26),$FK$3:$FK$400,0),1),"")),IFERROR(INDEX($FJ$3:$FK$400,MATCH(ROWS($FL$3:FL26),$FK$3:$FK$400,0),1),""))</f>
        <v/>
      </c>
      <c r="FM26" s="48">
        <f ca="1">IF(OR(B26="IVA ns/credito",B26="IVA NS/DEBITO",B26="IVA C/ACCONTO",B26="IMPOSTE C/ACCONTO",B26="CREDITI PER RITENUTE SUBITE",B26="CREDITI D'IMPOSTA"),MAX($FM$2:FM25)+1,0)</f>
        <v>0</v>
      </c>
      <c r="FN26" s="48" t="str">
        <f t="shared" ca="1" si="59"/>
        <v/>
      </c>
      <c r="FO26" s="48" t="str">
        <f ca="1">IFERROR(INDEX($FM$3:$FN$400,MATCH(ROWS($FO$3:FO26),$FM$3:$FM$400,0),2),"")</f>
        <v/>
      </c>
      <c r="FP26" s="48">
        <f ca="1">IF(ABS(SUMIFS(DARE,DEN_G,"="&amp;FO26,DATA,"&lt;="&amp;FINE_AC,DATA,"&gt;="&amp;INIZIO_A_PC)-SUMIFS(AVERE,DEN_G,"="&amp;FO26,DATA,"&lt;="&amp;FINE_AC,DATA,"&gt;="&amp;INIZIO_A_PC))&gt;0,MAX($FP$2:FP25)+1,0)</f>
        <v>0</v>
      </c>
      <c r="FQ26" s="48" t="str">
        <f ca="1">IF(AND(ROW()-2&lt;&gt;1,ROW()-2&lt;=$FP$1),CONCATENATE(" - ",IFERROR(INDEX($FO$3:$FP$400,MATCH(ROWS($FQ$3:FQ26),$FP$3:$FP$400,0),1),"")),IFERROR(INDEX($FO$3:$FP$400,MATCH(ROWS($FQ$3:FQ26),$FP$3:$FP$400,0),1),""))</f>
        <v/>
      </c>
    </row>
    <row r="27" spans="1:173" x14ac:dyDescent="0.3">
      <c r="A27" s="48" t="str">
        <f ca="1">IFERROR(IF($A$1=2,INDEX($DH$3:$DN$401,MATCH(ROWS(A$3:A27),$DN$3:$DN$401,0),COLUMN()),IF($A$1=1,INDEX($DQ$3:$DW$401,MATCH(ROWS(A$3:A27),$DW$3:$DW$401,0),COLUMN()),"")),"")</f>
        <v>02.05</v>
      </c>
      <c r="B27" s="48" t="str">
        <f ca="1">IFERROR(IF($A$1=2,INDEX($DH$3:$DN$401,MATCH(ROWS(B$3:B27),$DN$3:$DN$401,0),COLUMN()),IF($A$1=1,INDEX($DQ$3:$DW$400,MATCH(ROWS(B$3:B27),$DW$3:$DW$401,0),COLUMN()),"")),"")</f>
        <v>MACCHINE D'UFFICIO</v>
      </c>
      <c r="C27" s="48" t="str">
        <f ca="1">IFERROR(IF($A$1=2,INDEX($DH$3:$DN$401,MATCH(ROWS(C$3:C27),$DN$3:$DN$401,0),COLUMN()),IF($A$1=1,INDEX($DQ$3:$DW$401,MATCH(ROWS(C$3:C27),$DW$3:$DW$401,0),COLUMN()),"")),"")</f>
        <v>E</v>
      </c>
      <c r="D27" s="48" t="str">
        <f ca="1">IFERROR(IF($A$1=2,INDEX($DH$3:$DN$401,MATCH(ROWS(D$3:D27),$DN$3:$DN$401,0),COLUMN()),IF($A$1=1,INDEX($DQ$3:$DW$401,MATCH(ROWS(D$3:D27),$DW$3:$DW$401,0),COLUMN()),"")),"")</f>
        <v>D</v>
      </c>
      <c r="E27" s="48" t="str">
        <f ca="1">IFERROR(IF($A$1=2,INDEX($DH$3:$DN$401,MATCH(ROWS(E$3:E27),$DN$3:$DN$401,0),COLUMN()),IF($A$1=1,INDEX($DQ$3:$DW$401,MATCH(ROWS(E$3:E27),$DW$3:$DW$401,0),COLUMN()),"")),"")</f>
        <v>COSTI PLURIENNALI</v>
      </c>
      <c r="F27" s="48" t="str">
        <f ca="1">IFERROR(IF($A$1=2,INDEX($DH$3:$DN$401,MATCH(ROWS(F$3:F27),$DN$3:$DN$401,0),COLUMN()),IF($A$1=1,INDEX($DQ$3:$DX$401,MATCH(ROWS(F$3:F27),$DW$3:$DW$401,0),COLUMN()),"")),"")</f>
        <v>SP DARE</v>
      </c>
      <c r="G27" s="48" t="str">
        <f t="shared" ca="1" si="23"/>
        <v>SP</v>
      </c>
      <c r="H27" s="48" t="str">
        <f ca="1">IFERROR(IF($A$1=2,INDEX($DH$3:$DO$400,MATCH(ROWS(H$3:H27),$DN$3:$DN$400,0),COLUMN()),IF($A$1=1,INDEX($DQ$3:$DX$400,MATCH(ROWS(H$3:H27),$DW$3:$DW$400,0),COLUMN()),"")),"")</f>
        <v>pab2</v>
      </c>
      <c r="I27" s="48" t="str">
        <f t="shared" ca="1" si="0"/>
        <v/>
      </c>
      <c r="J27" s="48" t="str">
        <f t="shared" ca="1" si="24"/>
        <v/>
      </c>
      <c r="K27" s="48">
        <f t="shared" ca="1" si="25"/>
        <v>0</v>
      </c>
      <c r="L27" s="48">
        <f t="shared" ca="1" si="26"/>
        <v>0</v>
      </c>
      <c r="M27" s="48">
        <f ca="1">IFERROR(IF(IF(MID($A27,3,3)=".00",MID(A27,1,2),"")&lt;&gt;"",MAX($M$2:M26)+1,0),"")</f>
        <v>0</v>
      </c>
      <c r="N27" s="48" t="str">
        <f t="shared" ca="1" si="27"/>
        <v/>
      </c>
      <c r="O27" s="48" t="str">
        <f ca="1">IF(IFERROR(INDEX($N$3:$O$400,MATCH(ROWS($O$3:O27),$M$3:$M$400,0),1),"")&lt;&gt;"",CONCATENATE(INDEX($N$3:$O$400,MATCH(ROWS($O$3:O27),$M$3:$M$400,0),1),".00"),"")</f>
        <v>33.00</v>
      </c>
      <c r="P27" s="48" t="str">
        <f t="shared" ca="1" si="28"/>
        <v>COSTI PER IL PERSONALE</v>
      </c>
      <c r="Q27" s="48">
        <f ca="1">IF(M27&gt;=1,0,MAX($Q$2:Q26)+1)</f>
        <v>22</v>
      </c>
      <c r="R27" s="48">
        <f ca="1">IF(AND($U$2=2,S27&lt;&gt;""),MAX($R$2:R26)+1,0)</f>
        <v>9</v>
      </c>
      <c r="S27" s="48" t="str">
        <f t="shared" ca="1" si="81"/>
        <v>ATTIVITÀ FINANZIARIE</v>
      </c>
      <c r="T27" s="48" t="str">
        <f ca="1">IFERROR(INDEX($R$3:$S$64,MATCH(ROWS($T$2:T26),$R$3:$R$64,0),2),"")</f>
        <v>COSTI PER GODIMENTO BENI DI TERZI</v>
      </c>
      <c r="U27" s="48" t="str">
        <f ca="1">IFERROR(INDEX(PDC,MATCH(ROWS(U$3:U27),$V$3:$V$400,0),2),"")</f>
        <v>IMBALLAGGI DUREVOLI</v>
      </c>
      <c r="V27" s="48">
        <f ca="1">IF(AND($T$1="VISUALIZZA TUTTI I CONTI",AA27&lt;&gt;""),MAX($V$2:V26)+1,IF(AND($U$2=2,AI27=$T$1),MAX($V$2:V26)+1,IF(AND($U$2=1,$T$1=AF27),MAX($V$2:V26)+1,0)))</f>
        <v>25</v>
      </c>
      <c r="Z27" s="246"/>
      <c r="AA27" s="48" t="str">
        <f t="shared" ca="1" si="29"/>
        <v>02.00</v>
      </c>
      <c r="AB27" s="48" t="str">
        <f ca="1">IFERROR(INDEX($A$3:$G$400,MATCH(ROWS(AB$3:AB27),$Q$3:$Q$400,0),1),"")</f>
        <v>02.08</v>
      </c>
      <c r="AC27" s="48" t="str">
        <f ca="1">IFERROR(INDEX($A$3:$G$400,MATCH(ROWS($AC$3:AC27),$Q$3:$Q$400,0),2),"")</f>
        <v>IMBALLAGGI DUREVOLI</v>
      </c>
      <c r="AD27" s="48" t="str">
        <f ca="1">IFERROR(INDEX($A$3:$G$400,MATCH(ROWS(AD$3:AD27),$Q$3:$Q$400,0),3),"")</f>
        <v>E</v>
      </c>
      <c r="AE27" s="48" t="str">
        <f ca="1">IFERROR(INDEX($A$3:$G$400,MATCH(ROWS(AE$3:AE27),$Q$3:$Q$400,0),4),"")</f>
        <v>D</v>
      </c>
      <c r="AF27" s="48" t="str">
        <f ca="1">IFERROR(INDEX($A$3:$G$400,MATCH(ROWS(AF$3:AF27),$Q$3:$Q$400,0),5),"")</f>
        <v>COSTI PLURIENNALI</v>
      </c>
      <c r="AG27" s="48" t="str">
        <f ca="1">IFERROR(INDEX($A$3:$G$400,MATCH(ROWS(AG$3:AG27),$Q$3:$Q$400,0),6),"")</f>
        <v>SP DARE</v>
      </c>
      <c r="AH27" s="48" t="str">
        <f ca="1">IFERROR(INDEX($A$3:$G$400,MATCH(ROWS(AH$3:AH27),$Q$3:$Q$400,0),7),"")</f>
        <v>SP</v>
      </c>
      <c r="AI27" s="48" t="str">
        <f t="shared" ca="1" si="1"/>
        <v>IMMOBILIZZAZIONI MATERIALI</v>
      </c>
      <c r="AJ27" s="48" t="str">
        <f ca="1">IFERROR(INDEX($A$3:$H$400,MATCH(ROWS(AJ$3:AJ27),$Q$3:$Q$400,0),8),"")</f>
        <v>pab2</v>
      </c>
      <c r="AK27" s="48">
        <f t="shared" ca="1" si="2"/>
        <v>0</v>
      </c>
      <c r="AL27" s="48">
        <f t="shared" ca="1" si="3"/>
        <v>0</v>
      </c>
      <c r="AM27" s="48">
        <f t="shared" ca="1" si="30"/>
        <v>0</v>
      </c>
      <c r="AN27" s="48" t="str">
        <f t="shared" ca="1" si="31"/>
        <v/>
      </c>
      <c r="AO27" s="48">
        <f t="shared" ca="1" si="32"/>
        <v>0</v>
      </c>
      <c r="AP27" s="48">
        <f t="shared" ca="1" si="32"/>
        <v>0</v>
      </c>
      <c r="AQ27" s="48" t="str">
        <f t="shared" ca="1" si="4"/>
        <v>IMBALLAGGI DUREVOLI</v>
      </c>
      <c r="AR27" s="48">
        <f t="shared" ca="1" si="5"/>
        <v>0</v>
      </c>
      <c r="AS27" s="48">
        <f t="shared" ca="1" si="6"/>
        <v>0</v>
      </c>
      <c r="AT27" s="48">
        <f t="shared" ca="1" si="33"/>
        <v>0</v>
      </c>
      <c r="AU27" s="48">
        <f t="shared" ca="1" si="34"/>
        <v>0</v>
      </c>
      <c r="AV27" s="48">
        <f ca="1">IF(OR(AT27&gt;0,AU27&gt;0),MAX($AV$2:AV26)+1,0)</f>
        <v>0</v>
      </c>
      <c r="AZ27" s="241" t="str">
        <f t="shared" ca="1" si="35"/>
        <v/>
      </c>
      <c r="BA27" s="48">
        <f t="shared" ca="1" si="7"/>
        <v>0</v>
      </c>
      <c r="BB27" s="48">
        <f ca="1">IFERROR(INDEX($AQ$3:$AV$220,MATCH(ROWS($BB$3:BB27),$AV$3:$AV$220,0),1),0)</f>
        <v>0</v>
      </c>
      <c r="BC27" s="48" t="str">
        <f t="shared" ca="1" si="36"/>
        <v/>
      </c>
      <c r="BD27" s="48">
        <f ca="1">IFERROR(INDEX($AQ$3:$AV$220,MATCH(ROWS($BB$3:BD27),$AV$3:$AV$220,0),4),0)</f>
        <v>0</v>
      </c>
      <c r="BE27" s="48">
        <f ca="1">IFERROR(INDEX($AQ$3:$AV$220,MATCH(ROWS($BB$3:BE27),$AV$3:$AV$220,0),5),0)</f>
        <v>0</v>
      </c>
      <c r="BF27" s="48">
        <v>13</v>
      </c>
      <c r="BG27" s="48">
        <f ca="1">IF(IF(AND(OR(INDEX(PDC,MATCH($AC27,DEN_PDC,0),6)="SP DARE",INDEX(PDC,MATCH($AC27,DEN_PDC,0),6)="SP DARE/AVERE"),SUMIFS(DARE,DEN_G,$AC27)&gt;=SUMIFS(AVERE,DEN_G,$AC27)),SUMIFS(DARE,DEN_G,$AC27)-SUMIFS(AVERE,DEN_G,$AC27),0)&gt;0,MAX($BG$2:BG26)+1,0)</f>
        <v>0</v>
      </c>
      <c r="BH27" s="48">
        <f ca="1">IF(IF(AND(OR(INDEX(PDC,MATCH($AC27,DEN_PDC,0),6)="SP AVERE",INDEX(PDC,MATCH($AC27,DEN_PDC,0),6)="SP DARE/AVERE"),SUMIFS(AVERE,DEN_G,$AC27)&gt;=SUMIFS(DARE,DEN_G,$AC27)),SUMIFS(AVERE,DEN_G,$AC27)-SUMIFS(DARE,DEN_G,$AC27),0)&gt;0,MAX(BH$2:BH26)+1,0)</f>
        <v>0</v>
      </c>
      <c r="BI27" s="48">
        <f ca="1">IF(IF(AND(OR(INDEX(PDC,MATCH($AC27,DEN_PDC,0),6)="SE DARE",INDEX(PDC,MATCH($AC27,DEN_PDC,0),6)="SE DARE/AVERE"),SUMIFS(DARE,DEN_G,$AC27)&gt;=SUMIFS(AVERE,DEN_G,$AC27)),SUMIFS(DARE,DEN_G,$AC27)-SUMIFS(AVERE,DEN_G,$AC27),0)&gt;0,MAX(BI$2:BI26)+1,0)</f>
        <v>0</v>
      </c>
      <c r="BJ27" s="48">
        <f ca="1">IF(IF(AND(OR(INDEX(PDC,MATCH($AC27,DEN_PDC,0),6)="SE AVERE",INDEX(PDC,MATCH($AC27,DEN_PDC,0),6)="SE DARE/AVERE"),SUMIFS(AVERE,DEN_G,$AC27)&gt;=SUMIFS(DARE,DEN_G,$AC27)),SUMIFS(AVERE,DEN_G,$AC27)-SUMIFS(DARE,DEN_G,$AC27),0)&gt;0,MAX(BJ$2:BJ26)+1,0)</f>
        <v>0</v>
      </c>
      <c r="BK27" s="48" t="str">
        <f ca="1">IF(AND(AND($DY$2=0,$DY$1=0),$I$1=2,ROW()&gt;$BG$1+2,ROW()&lt;=$BG$1+4),"………………..",IF(AND(OR($DY$2&gt;0,$DY$1&gt;0),$I$1=2,ROW()&gt;$BG$1+2,ROW()&lt;=$BG$1+4),"………………..",IFERROR(INDEX($AC$3:$AC$398,MATCH(ROWS(BK$3:BK27),BG$3:BG$398,0),1),"")))</f>
        <v/>
      </c>
      <c r="BL27" s="48">
        <f t="shared" ca="1" si="69"/>
        <v>0</v>
      </c>
      <c r="BM27" s="48" t="str">
        <f ca="1">IF(AND(OR($DY$2=0,$DY$1=0),$I$1=2,ROW()&gt;$BH$1+2,ROW()&lt;=$BH$1+4),"………………..",IF(AND(OR($DY$2&gt;0,$DY$1&gt;0),$I$1=2,ROW()&gt;$BH$1+2,ROW()&lt;=$BH$1+4),"………………..",IFERROR(INDEX($AC$3:$AC$400,MATCH(ROWS(BM$3:BM27),BH$3:BH$400,0),1),"")))</f>
        <v/>
      </c>
      <c r="BN27" s="48">
        <f t="shared" ca="1" si="9"/>
        <v>0</v>
      </c>
      <c r="BO27" s="48" t="str">
        <f ca="1">IF(AND(OR($DY$2=0,$DY$1=0),$I$1=2,ROW()&gt;$BI$1+2,ROW()&lt;=$BI$1+4),"………………..",IF(AND(OR($DY$2&gt;0,$DY$1&gt;0),$I$1=2,ROW()&gt;$BI$1+2,ROW()&lt;=$BI$1+4),"………………..",IFERROR(INDEX($AC$3:$AC$400,MATCH(ROWS(BO$3:BO27),BI$3:BI$400,0),1),"")))</f>
        <v/>
      </c>
      <c r="BP27" s="48">
        <f t="shared" ca="1" si="10"/>
        <v>0</v>
      </c>
      <c r="BQ27" s="48" t="str">
        <f ca="1">IF(AND(OR($DY$2=0,$DY$1=0),$I$1=2,ROW()&gt;$BJ$1+2,ROW()&lt;=$BJ$1+4),"………………..",IF(AND(OR($DY$2&gt;0,$DY$1&gt;0),$I$1=2,ROW()&gt;$BJ$1+2,ROW()&lt;=$BJ$1+4),"………………..",IFERROR(INDEX($AC$3:$AC$400,MATCH(ROWS(BQ$3:BQ27),BJ$3:BJ$400,0),1),"")))</f>
        <v/>
      </c>
      <c r="BR27" s="48">
        <f t="shared" ca="1" si="11"/>
        <v>0</v>
      </c>
      <c r="BS27" s="48">
        <f ca="1">IF(IF(AND(OR(INDEX(PDC,MATCH($AC27,DEN_PDC,0),4)="D",INDEX(PDC,MATCH($AC27,DEN_PDC,0),4)="D/A"),SUMIFS(DARE,DEN_G,$AC27)&gt;=SUMIFS(AVERE,DEN_G,$AC27)),SUMIFS(DARE,DEN_G,$AC27),IF(AND(OR(INDEX(PDC,MATCH($AC27,DEN_PDC,0),4)="A",INDEX(PDC,MATCH($AC27,DEN_PDC,0),4)="D/A"),SUMIFS(AVERE,DEN_G,$AC27)&gt;=SUMIFS(DARE,DEN_G,$AC27)),SUMIFS(AVERE,DEN_G,$AC27),))&gt;0,MAX($BS$2:BS26)+1,0)</f>
        <v>0</v>
      </c>
      <c r="BT27" s="48" t="str">
        <f ca="1">IF($CO$1=0,"",IF(AND($I$1=2,ROW()&gt;$BR$1,ROW()&lt;=$BS$1)," …………….",IF(AND($E$1=1,$BX$1=1,$I$1=2,ROW()=$BQ$1),"TOTALI",IFERROR(INDEX(PDC,MATCH(ROWS(BT$3:BT27),BS$3:BS424,0),2),""))))</f>
        <v/>
      </c>
      <c r="BU27" s="48">
        <f t="shared" ca="1" si="12"/>
        <v>0</v>
      </c>
      <c r="BV27" s="48">
        <f t="shared" ca="1" si="13"/>
        <v>0</v>
      </c>
      <c r="BW27" s="48">
        <f t="shared" ca="1" si="14"/>
        <v>0</v>
      </c>
      <c r="BX27" s="48">
        <f t="shared" ca="1" si="15"/>
        <v>0</v>
      </c>
      <c r="BY27" s="48">
        <f ca="1">IF(OR(BW27&gt;0,BX27&gt;0),MAX($BY$2:BY26)+1,0)</f>
        <v>0</v>
      </c>
      <c r="BZ27" s="48" t="str">
        <f ca="1">IFERROR(INDEX($BT$3:$BY$400,MATCH(ROWS(BZ$3:BZ27),$BY$3:$BY$400,0),1),"")</f>
        <v/>
      </c>
      <c r="CA27" s="48" t="str">
        <f ca="1">IFERROR(INDEX($BT$3:$BY$400,MATCH(ROWS(CA$3:CA27),$BY$3:$BY$400,0),4),"")</f>
        <v/>
      </c>
      <c r="CB27" s="48" t="str">
        <f ca="1">IFERROR(INDEX($BT$3:$BY$400,MATCH(ROWS(CB$3:CB27),$BY$3:$BY$400,0),5),"")</f>
        <v/>
      </c>
      <c r="CC27" s="48" t="str">
        <f t="shared" ca="1" si="16"/>
        <v/>
      </c>
      <c r="CD27" s="48">
        <f ca="1">IF(AND($BF$9=1,CE27&lt;&gt;0),MAX($CD$2:CD26)+1,0)</f>
        <v>0</v>
      </c>
      <c r="CE27" s="48">
        <f ca="1">IF(ROUND(SUMIFS(COPIA!$CA$3:$CA$400,COPIA!$CC$3:$CC$400,CF27)-SUMIFS(COPIA!$CB$3:$CB$400,COPIA!$CC$3:$CC$400,CF27),0)&lt;0,0,ROUND(SUMIFS(COPIA!$CA$3:$CA$400,COPIA!$CC$3:$CC$400,CF27)-SUMIFS(COPIA!$CB$3:$CB$400,COPIA!$CC$3:$CC$400,CF27),0))</f>
        <v>0</v>
      </c>
      <c r="CF27" s="48" t="s">
        <v>609</v>
      </c>
      <c r="CG27" s="242" t="s">
        <v>509</v>
      </c>
      <c r="CH27" s="242">
        <f ca="1">CE27</f>
        <v>0</v>
      </c>
      <c r="CI27" s="242"/>
      <c r="CJ27" s="242"/>
      <c r="CK27" s="48">
        <f ca="1">IF($CF$2=FALSE,0,IF(AND($BF$9=1,CJ27&lt;&gt;0),MAX($CK$21:CK26)+1,0))</f>
        <v>0</v>
      </c>
      <c r="CL27" s="242"/>
      <c r="CM27" s="242" t="str">
        <f t="shared" ca="1" si="37"/>
        <v/>
      </c>
      <c r="CN27" s="243">
        <f t="shared" ca="1" si="38"/>
        <v>0</v>
      </c>
      <c r="CO27" s="48" t="str">
        <f t="shared" ca="1" si="39"/>
        <v/>
      </c>
      <c r="CQ27" s="242"/>
      <c r="CR27" s="242"/>
      <c r="CT27" s="242"/>
      <c r="CU27" s="48">
        <f ca="1">IF(SUMIFS(AVERE,DEN_G,AC27,AVERE,"&gt;"&amp;0)+SUMIFS(DARE,DEN_G,AC27,DARE,"&gt;"&amp;0)&gt;0,MAX($CU$2:CU26)+1,0)</f>
        <v>0</v>
      </c>
      <c r="CV27" s="48" t="str">
        <f ca="1">IF(IFERROR(INDEX(PDC,MATCH(ROWS($CV$3:CV27),$CU$3:$CU$400,0),2),"")="CONTO DI RISULTATO ECONOMICO","",IFERROR(INDEX(PDC,MATCH(ROWS($CV$3:CV27),$CU$3:$CU$400,0),2),""))</f>
        <v/>
      </c>
      <c r="CW27" s="48">
        <f ca="1">IFERROR(IF(CV27&lt;&gt;"",MAX($CW$2:CW26)+1,0),0)</f>
        <v>0</v>
      </c>
      <c r="CX27" s="48">
        <f t="shared" ca="1" si="73"/>
        <v>2</v>
      </c>
      <c r="CY27" s="48" t="str">
        <f t="shared" ca="1" si="71"/>
        <v>MASTRO</v>
      </c>
      <c r="CZ27" s="48" t="e">
        <f t="shared" ca="1" si="75"/>
        <v>#N/A</v>
      </c>
      <c r="DA27" s="48" t="str">
        <f t="shared" ca="1" si="80"/>
        <v/>
      </c>
      <c r="DB27" s="48" t="str">
        <f t="shared" ca="1" si="76"/>
        <v/>
      </c>
      <c r="DC27" s="48" t="str">
        <f t="shared" ca="1" si="77"/>
        <v/>
      </c>
      <c r="DD27" s="48" t="str">
        <f t="shared" ca="1" si="78"/>
        <v/>
      </c>
      <c r="DE27" s="48" t="str">
        <f t="shared" ca="1" si="79"/>
        <v/>
      </c>
      <c r="DF27" s="48">
        <f ca="1">IF(AND(CX27=$DF$1,CX27&lt;&gt;""),0,IF(AND(DB27&lt;&gt;"",OR(DB26&lt;&gt;"",DB28&lt;&gt;"")),MAX($DF$2:DF26)+1,0))</f>
        <v>0</v>
      </c>
      <c r="DH27" s="244" t="s">
        <v>16</v>
      </c>
      <c r="DI27" s="48" t="s">
        <v>852</v>
      </c>
      <c r="DJ27" s="48" t="s">
        <v>311</v>
      </c>
      <c r="DK27" s="48" t="s">
        <v>298</v>
      </c>
      <c r="DL27" s="48" t="s">
        <v>318</v>
      </c>
      <c r="DM27" s="48" t="s">
        <v>299</v>
      </c>
      <c r="DN27" s="48">
        <f ca="1">IF(DI27&lt;&gt;"",MAX($DN$2:DN26)+1,0)</f>
        <v>12</v>
      </c>
      <c r="DO27" s="48" t="str">
        <f ca="1">IF($BF$9=1,"pab11","pab1")</f>
        <v>pab1</v>
      </c>
      <c r="DQ27" s="227" t="s">
        <v>14</v>
      </c>
      <c r="DR27" s="228" t="s">
        <v>20</v>
      </c>
      <c r="DW27" s="48">
        <f ca="1">IF(DR27&lt;&gt;"",MAX($DW$2:DW26)+1,0)</f>
        <v>5</v>
      </c>
      <c r="DY27" s="48" t="str">
        <f t="shared" ca="1" si="19"/>
        <v/>
      </c>
      <c r="DZ27" s="48" t="str">
        <f t="shared" ca="1" si="40"/>
        <v/>
      </c>
      <c r="EA27" s="48" t="str">
        <f t="shared" ca="1" si="41"/>
        <v/>
      </c>
      <c r="EB27" s="48">
        <f t="shared" ca="1" si="42"/>
        <v>0</v>
      </c>
      <c r="EC27" s="48">
        <f t="shared" ca="1" si="43"/>
        <v>0</v>
      </c>
      <c r="ED27" s="48" t="str">
        <f t="shared" ca="1" si="44"/>
        <v/>
      </c>
      <c r="EE27" s="48">
        <f t="shared" ca="1" si="45"/>
        <v>0</v>
      </c>
      <c r="EF27" s="48" t="str">
        <f t="shared" ca="1" si="46"/>
        <v/>
      </c>
      <c r="EG27" s="48">
        <f t="shared" ca="1" si="47"/>
        <v>0</v>
      </c>
      <c r="EH27" s="48" t="str">
        <f t="shared" ca="1" si="48"/>
        <v/>
      </c>
      <c r="EI27" s="48">
        <f t="shared" ca="1" si="49"/>
        <v>0</v>
      </c>
      <c r="EJ27" s="48" t="str">
        <f t="shared" ca="1" si="50"/>
        <v/>
      </c>
      <c r="EK27" s="48">
        <f t="shared" ca="1" si="51"/>
        <v>0</v>
      </c>
      <c r="EL27" s="48">
        <f t="shared" ca="1" si="20"/>
        <v>0</v>
      </c>
      <c r="EM27" s="48">
        <f ca="1">IF(EL27&gt;=0,0,MAX($EM$2:EM26)+1)</f>
        <v>0</v>
      </c>
      <c r="EN27" s="48" t="str">
        <f t="shared" ca="1" si="21"/>
        <v/>
      </c>
      <c r="EO27" s="48" t="str">
        <f ca="1">IFERROR(INDEX($EM$3:$EN$400,MATCH(ROWS($EO$3:EO27),$EM$3:$EM$400,0),2),"")</f>
        <v/>
      </c>
      <c r="EP27" s="48">
        <f>ROW()</f>
        <v>27</v>
      </c>
      <c r="EQ27" s="48">
        <f t="shared" ca="1" si="22"/>
        <v>0</v>
      </c>
      <c r="ER27" s="48">
        <f ca="1">IF(ISNA(EQ27)=TRUE,MAX($ER$2:ER26)+1,0)</f>
        <v>0</v>
      </c>
      <c r="ES27" s="48" t="str">
        <f t="shared" ca="1" si="52"/>
        <v/>
      </c>
      <c r="ET27" s="48" t="str">
        <f ca="1">IFERROR(INDEX($ER$3:$ES$400,MATCH(ROWS($ET$3:ET27),$ER$3:$ER$400,0),2),"")</f>
        <v/>
      </c>
      <c r="EV27" s="48">
        <f ca="1">IFERROR(INDEX(LIBRO_GIORNALE!$O$11:$P$408,MATCH(ROWS($EV$2:EV26),LIBRO_GIORNALE!$P$11:$P$408,0),1),0)</f>
        <v>0</v>
      </c>
      <c r="EW27" s="48" t="str">
        <f t="shared" ca="1" si="53"/>
        <v>0</v>
      </c>
      <c r="EX27" s="48">
        <f t="shared" ca="1" si="54"/>
        <v>0</v>
      </c>
      <c r="EY27" s="48">
        <f ca="1">IF(EX27&gt;0,MAX($EY$2:EY26)+1,0)</f>
        <v>0</v>
      </c>
      <c r="EZ27" s="48">
        <f ca="1">IFERROR(INDEX($EX$3:$EX$400,MATCH(ROWS($EZ$3:EZ27),$EY$3:$EY$400,0),1),0)</f>
        <v>0</v>
      </c>
      <c r="FA27" s="48">
        <f ca="1">IF(EZ27&gt;0,0,MAX($FA$2:FA26)+1)</f>
        <v>25</v>
      </c>
      <c r="FB27" s="48">
        <f t="shared" ca="1" si="55"/>
        <v>0</v>
      </c>
      <c r="FC27" s="48">
        <f t="shared" ca="1" si="56"/>
        <v>25</v>
      </c>
      <c r="FD27" s="48">
        <f t="shared" ca="1" si="57"/>
        <v>25</v>
      </c>
      <c r="FE27" s="48">
        <f ca="1">IF(FD27=0,0,MAX($FE$2:FE26)+1)</f>
        <v>25</v>
      </c>
      <c r="FF27" s="48">
        <f ca="1">IFERROR(INDEX($FD$3:$FE$400,MATCH(ROWS($FF$3:FF27),$FE$3:$FE$400,0),1),"")</f>
        <v>25</v>
      </c>
      <c r="FH27" s="48">
        <f t="shared" ca="1" si="58"/>
        <v>0</v>
      </c>
      <c r="FI27" s="48">
        <f ca="1">IF(FH27&lt;&gt;0,MAX($FI$2:FI26)+1,0)</f>
        <v>0</v>
      </c>
      <c r="FJ27" s="48" t="str">
        <f ca="1">IFERROR(INDEX($FH$3:$FI$400,MATCH(ROWS($FJ$3:FJ27),$FI$3:$FI$400,0),1),"")</f>
        <v/>
      </c>
      <c r="FK27" s="48">
        <f ca="1">IF(ABS(SUMIFS(DARE,DEN_G,"="&amp;FJ27,DATA,"&lt;="&amp;FINE_AC,DATA,"&gt;="&amp;INIZIO_A_PC)-SUMIFS(AVERE,DEN_G,"="&amp;FJ27,DATA,"&lt;="&amp;FINE_AC,DATA,"&gt;="&amp;INIZIO_A_PC))&gt;0,MAX($FK$2:FK26)+1,0)</f>
        <v>0</v>
      </c>
      <c r="FL27" s="48" t="str">
        <f ca="1">IF(AND(ROW()-2&lt;&gt;1,ROW()-2&lt;=$FK$1),CONCATENATE(" - ",IFERROR(INDEX($FJ$3:$FK$400,MATCH(ROWS($FL$3:FL27),$FK$3:$FK$400,0),1),"")),IFERROR(INDEX($FJ$3:$FK$400,MATCH(ROWS($FL$3:FL27),$FK$3:$FK$400,0),1),""))</f>
        <v/>
      </c>
      <c r="FM27" s="48">
        <f ca="1">IF(OR(B27="IVA ns/credito",B27="IVA NS/DEBITO",B27="IVA C/ACCONTO",B27="IMPOSTE C/ACCONTO",B27="CREDITI PER RITENUTE SUBITE",B27="CREDITI D'IMPOSTA"),MAX($FM$2:FM26)+1,0)</f>
        <v>0</v>
      </c>
      <c r="FN27" s="48" t="str">
        <f t="shared" ca="1" si="59"/>
        <v/>
      </c>
      <c r="FO27" s="48" t="str">
        <f ca="1">IFERROR(INDEX($FM$3:$FN$400,MATCH(ROWS($FO$3:FO27),$FM$3:$FM$400,0),2),"")</f>
        <v/>
      </c>
      <c r="FP27" s="48">
        <f ca="1">IF(ABS(SUMIFS(DARE,DEN_G,"="&amp;FO27,DATA,"&lt;="&amp;FINE_AC,DATA,"&gt;="&amp;INIZIO_A_PC)-SUMIFS(AVERE,DEN_G,"="&amp;FO27,DATA,"&lt;="&amp;FINE_AC,DATA,"&gt;="&amp;INIZIO_A_PC))&gt;0,MAX($FP$2:FP26)+1,0)</f>
        <v>0</v>
      </c>
      <c r="FQ27" s="48" t="str">
        <f ca="1">IF(AND(ROW()-2&lt;&gt;1,ROW()-2&lt;=$FP$1),CONCATENATE(" - ",IFERROR(INDEX($FO$3:$FP$400,MATCH(ROWS($FQ$3:FQ27),$FP$3:$FP$400,0),1),"")),IFERROR(INDEX($FO$3:$FP$400,MATCH(ROWS($FQ$3:FQ27),$FP$3:$FP$400,0),1),""))</f>
        <v/>
      </c>
    </row>
    <row r="28" spans="1:173" x14ac:dyDescent="0.3">
      <c r="A28" s="48" t="str">
        <f ca="1">IFERROR(IF($A$1=2,INDEX($DH$3:$DN$401,MATCH(ROWS(A$3:A28),$DN$3:$DN$401,0),COLUMN()),IF($A$1=1,INDEX($DQ$3:$DW$401,MATCH(ROWS(A$3:A28),$DW$3:$DW$401,0),COLUMN()),"")),"")</f>
        <v>02.06</v>
      </c>
      <c r="B28" s="48" t="str">
        <f ca="1">IFERROR(IF($A$1=2,INDEX($DH$3:$DN$401,MATCH(ROWS(B$3:B28),$DN$3:$DN$401,0),COLUMN()),IF($A$1=1,INDEX($DQ$3:$DW$400,MATCH(ROWS(B$3:B28),$DW$3:$DW$401,0),COLUMN()),"")),"")</f>
        <v>ARREDAMENTO</v>
      </c>
      <c r="C28" s="48" t="str">
        <f ca="1">IFERROR(IF($A$1=2,INDEX($DH$3:$DN$401,MATCH(ROWS(C$3:C28),$DN$3:$DN$401,0),COLUMN()),IF($A$1=1,INDEX($DQ$3:$DW$401,MATCH(ROWS(C$3:C28),$DW$3:$DW$401,0),COLUMN()),"")),"")</f>
        <v>E</v>
      </c>
      <c r="D28" s="48" t="str">
        <f ca="1">IFERROR(IF($A$1=2,INDEX($DH$3:$DN$401,MATCH(ROWS(D$3:D28),$DN$3:$DN$401,0),COLUMN()),IF($A$1=1,INDEX($DQ$3:$DW$401,MATCH(ROWS(D$3:D28),$DW$3:$DW$401,0),COLUMN()),"")),"")</f>
        <v>D</v>
      </c>
      <c r="E28" s="48" t="str">
        <f ca="1">IFERROR(IF($A$1=2,INDEX($DH$3:$DN$401,MATCH(ROWS(E$3:E28),$DN$3:$DN$401,0),COLUMN()),IF($A$1=1,INDEX($DQ$3:$DW$401,MATCH(ROWS(E$3:E28),$DW$3:$DW$401,0),COLUMN()),"")),"")</f>
        <v>COSTI PLURIENNALI</v>
      </c>
      <c r="F28" s="48" t="str">
        <f ca="1">IFERROR(IF($A$1=2,INDEX($DH$3:$DN$401,MATCH(ROWS(F$3:F28),$DN$3:$DN$401,0),COLUMN()),IF($A$1=1,INDEX($DQ$3:$DX$401,MATCH(ROWS(F$3:F28),$DW$3:$DW$401,0),COLUMN()),"")),"")</f>
        <v>SP DARE</v>
      </c>
      <c r="G28" s="48" t="str">
        <f t="shared" ca="1" si="23"/>
        <v>SP</v>
      </c>
      <c r="H28" s="48" t="str">
        <f ca="1">IFERROR(IF($A$1=2,INDEX($DH$3:$DO$400,MATCH(ROWS(H$3:H28),$DN$3:$DN$400,0),COLUMN()),IF($A$1=1,INDEX($DQ$3:$DX$400,MATCH(ROWS(H$3:H28),$DW$3:$DW$400,0),COLUMN()),"")),"")</f>
        <v>pab2</v>
      </c>
      <c r="I28" s="48" t="str">
        <f t="shared" ca="1" si="0"/>
        <v/>
      </c>
      <c r="J28" s="48" t="str">
        <f t="shared" ca="1" si="24"/>
        <v/>
      </c>
      <c r="K28" s="48">
        <f t="shared" ca="1" si="25"/>
        <v>0</v>
      </c>
      <c r="L28" s="48">
        <f t="shared" ca="1" si="26"/>
        <v>0</v>
      </c>
      <c r="M28" s="48">
        <f ca="1">IFERROR(IF(IF(MID($A28,3,3)=".00",MID(A28,1,2),"")&lt;&gt;"",MAX($M$2:M27)+1,0),"")</f>
        <v>0</v>
      </c>
      <c r="N28" s="48" t="str">
        <f t="shared" ca="1" si="27"/>
        <v/>
      </c>
      <c r="O28" s="48" t="str">
        <f ca="1">IF(IFERROR(INDEX($N$3:$O$400,MATCH(ROWS($O$3:O28),$M$3:$M$400,0),1),"")&lt;&gt;"",CONCATENATE(INDEX($N$3:$O$400,MATCH(ROWS($O$3:O28),$M$3:$M$400,0),1),".00"),"")</f>
        <v>34.00</v>
      </c>
      <c r="P28" s="48" t="str">
        <f t="shared" ca="1" si="28"/>
        <v>AMMORTAMENTI IMMOBILIZZAZIONI IMMATERIALI</v>
      </c>
      <c r="Q28" s="48">
        <f ca="1">IF(M28&gt;=1,0,MAX($Q$2:Q27)+1)</f>
        <v>23</v>
      </c>
      <c r="R28" s="48">
        <f ca="1">IF(AND($U$2=2,S28&lt;&gt;""),MAX($R$2:R27)+1,0)</f>
        <v>10</v>
      </c>
      <c r="S28" s="48" t="str">
        <f t="shared" ca="1" si="81"/>
        <v>DISPONIBILITÀ LIQUIDE</v>
      </c>
      <c r="T28" s="48" t="str">
        <f ca="1">IFERROR(INDEX($R$3:$S$64,MATCH(ROWS($T$2:T27),$R$3:$R$64,0),2),"")</f>
        <v>COSTI PER IL PERSONALE</v>
      </c>
      <c r="U28" s="48" t="str">
        <f ca="1">IFERROR(INDEX(PDC,MATCH(ROWS(U$3:U28),$V$3:$V$400,0),2),"")</f>
        <v>FONDO AMMORTAMENTO FABBRICATI</v>
      </c>
      <c r="V28" s="48">
        <f ca="1">IF(AND($T$1="VISUALIZZA TUTTI I CONTI",AA28&lt;&gt;""),MAX($V$2:V27)+1,IF(AND($U$2=2,AI28=$T$1),MAX($V$2:V27)+1,IF(AND($U$2=1,$T$1=AF28),MAX($V$2:V27)+1,0)))</f>
        <v>26</v>
      </c>
      <c r="Z28" s="246"/>
      <c r="AA28" s="48" t="str">
        <f t="shared" ca="1" si="29"/>
        <v>02.00</v>
      </c>
      <c r="AB28" s="48" t="str">
        <f ca="1">IFERROR(INDEX($A$3:$G$400,MATCH(ROWS(AB$3:AB28),$Q$3:$Q$400,0),1),"")</f>
        <v>02.11</v>
      </c>
      <c r="AC28" s="48" t="str">
        <f ca="1">IFERROR(INDEX($A$3:$G$400,MATCH(ROWS($AC$3:AC28),$Q$3:$Q$400,0),2),"")</f>
        <v>FONDO AMMORTAMENTO FABBRICATI</v>
      </c>
      <c r="AD28" s="48" t="str">
        <f ca="1">IFERROR(INDEX($A$3:$G$400,MATCH(ROWS(AD$3:AD28),$Q$3:$Q$400,0),3),"")</f>
        <v>E</v>
      </c>
      <c r="AE28" s="48" t="str">
        <f ca="1">IFERROR(INDEX($A$3:$G$400,MATCH(ROWS(AE$3:AE28),$Q$3:$Q$400,0),4),"")</f>
        <v>A</v>
      </c>
      <c r="AF28" s="48" t="str">
        <f ca="1">IFERROR(INDEX($A$3:$G$400,MATCH(ROWS(AF$3:AF28),$Q$3:$Q$400,0),5),"")</f>
        <v>RETTIFICHE COSTI PLURIENNALI</v>
      </c>
      <c r="AG28" s="48" t="str">
        <f ca="1">IFERROR(INDEX($A$3:$G$400,MATCH(ROWS(AG$3:AG28),$Q$3:$Q$400,0),6),"")</f>
        <v>SP AVERE</v>
      </c>
      <c r="AH28" s="48" t="str">
        <f ca="1">IFERROR(INDEX($A$3:$G$400,MATCH(ROWS(AH$3:AH28),$Q$3:$Q$400,0),7),"")</f>
        <v>SP</v>
      </c>
      <c r="AI28" s="48" t="str">
        <f t="shared" ca="1" si="1"/>
        <v>IMMOBILIZZAZIONI MATERIALI</v>
      </c>
      <c r="AJ28" s="48" t="str">
        <f ca="1">IFERROR(INDEX($A$3:$H$400,MATCH(ROWS(AJ$3:AJ28),$Q$3:$Q$400,0),8),"")</f>
        <v>pab2</v>
      </c>
      <c r="AK28" s="48">
        <f t="shared" ca="1" si="2"/>
        <v>0</v>
      </c>
      <c r="AL28" s="48">
        <f t="shared" ca="1" si="3"/>
        <v>0</v>
      </c>
      <c r="AM28" s="48">
        <f t="shared" ca="1" si="30"/>
        <v>0</v>
      </c>
      <c r="AN28" s="48" t="str">
        <f t="shared" ca="1" si="31"/>
        <v/>
      </c>
      <c r="AO28" s="48">
        <f t="shared" ca="1" si="32"/>
        <v>0</v>
      </c>
      <c r="AP28" s="48">
        <f t="shared" ca="1" si="32"/>
        <v>0</v>
      </c>
      <c r="AQ28" s="48" t="str">
        <f t="shared" ca="1" si="4"/>
        <v>FONDO AMMORTAMENTO FABBRICATI</v>
      </c>
      <c r="AR28" s="48">
        <f t="shared" ca="1" si="5"/>
        <v>0</v>
      </c>
      <c r="AS28" s="48">
        <f t="shared" ca="1" si="6"/>
        <v>0</v>
      </c>
      <c r="AT28" s="48">
        <f t="shared" ca="1" si="33"/>
        <v>0</v>
      </c>
      <c r="AU28" s="48">
        <f t="shared" ca="1" si="34"/>
        <v>0</v>
      </c>
      <c r="AV28" s="48">
        <f ca="1">IF(OR(AT28&gt;0,AU28&gt;0),MAX($AV$2:AV27)+1,0)</f>
        <v>0</v>
      </c>
      <c r="AZ28" s="241" t="str">
        <f t="shared" ca="1" si="35"/>
        <v/>
      </c>
      <c r="BA28" s="48">
        <f t="shared" ca="1" si="7"/>
        <v>0</v>
      </c>
      <c r="BB28" s="48">
        <f ca="1">IFERROR(INDEX($AQ$3:$AV$220,MATCH(ROWS($BB$3:BB28),$AV$3:$AV$220,0),1),0)</f>
        <v>0</v>
      </c>
      <c r="BC28" s="48" t="str">
        <f t="shared" ca="1" si="36"/>
        <v/>
      </c>
      <c r="BD28" s="48">
        <f ca="1">IFERROR(INDEX($AQ$3:$AV$220,MATCH(ROWS($BB$3:BD28),$AV$3:$AV$220,0),4),0)</f>
        <v>0</v>
      </c>
      <c r="BE28" s="48">
        <f ca="1">IFERROR(INDEX($AQ$3:$AV$220,MATCH(ROWS($BB$3:BE28),$AV$3:$AV$220,0),5),0)</f>
        <v>0</v>
      </c>
      <c r="BF28" s="48">
        <v>14</v>
      </c>
      <c r="BG28" s="48">
        <f ca="1">IF(IF(AND(OR(INDEX(PDC,MATCH($AC28,DEN_PDC,0),6)="SP DARE",INDEX(PDC,MATCH($AC28,DEN_PDC,0),6)="SP DARE/AVERE"),SUMIFS(DARE,DEN_G,$AC28)&gt;=SUMIFS(AVERE,DEN_G,$AC28)),SUMIFS(DARE,DEN_G,$AC28)-SUMIFS(AVERE,DEN_G,$AC28),0)&gt;0,MAX($BG$2:BG27)+1,0)</f>
        <v>0</v>
      </c>
      <c r="BH28" s="48">
        <f ca="1">IF(IF(AND(OR(INDEX(PDC,MATCH($AC28,DEN_PDC,0),6)="SP AVERE",INDEX(PDC,MATCH($AC28,DEN_PDC,0),6)="SP DARE/AVERE"),SUMIFS(AVERE,DEN_G,$AC28)&gt;=SUMIFS(DARE,DEN_G,$AC28)),SUMIFS(AVERE,DEN_G,$AC28)-SUMIFS(DARE,DEN_G,$AC28),0)&gt;0,MAX(BH$2:BH27)+1,0)</f>
        <v>0</v>
      </c>
      <c r="BI28" s="48">
        <f ca="1">IF(IF(AND(OR(INDEX(PDC,MATCH($AC28,DEN_PDC,0),6)="SE DARE",INDEX(PDC,MATCH($AC28,DEN_PDC,0),6)="SE DARE/AVERE"),SUMIFS(DARE,DEN_G,$AC28)&gt;=SUMIFS(AVERE,DEN_G,$AC28)),SUMIFS(DARE,DEN_G,$AC28)-SUMIFS(AVERE,DEN_G,$AC28),0)&gt;0,MAX(BI$2:BI27)+1,0)</f>
        <v>0</v>
      </c>
      <c r="BJ28" s="48">
        <f ca="1">IF(IF(AND(OR(INDEX(PDC,MATCH($AC28,DEN_PDC,0),6)="SE AVERE",INDEX(PDC,MATCH($AC28,DEN_PDC,0),6)="SE DARE/AVERE"),SUMIFS(AVERE,DEN_G,$AC28)&gt;=SUMIFS(DARE,DEN_G,$AC28)),SUMIFS(AVERE,DEN_G,$AC28)-SUMIFS(DARE,DEN_G,$AC28),0)&gt;0,MAX(BJ$2:BJ27)+1,0)</f>
        <v>0</v>
      </c>
      <c r="BK28" s="48" t="str">
        <f ca="1">IF(AND(AND($DY$2=0,$DY$1=0),$I$1=2,ROW()&gt;$BG$1+2,ROW()&lt;=$BG$1+4),"………………..",IF(AND(OR($DY$2&gt;0,$DY$1&gt;0),$I$1=2,ROW()&gt;$BG$1+2,ROW()&lt;=$BG$1+4),"………………..",IFERROR(INDEX($AC$3:$AC$398,MATCH(ROWS(BK$3:BK28),BG$3:BG$398,0),1),"")))</f>
        <v/>
      </c>
      <c r="BL28" s="48">
        <f t="shared" ca="1" si="69"/>
        <v>0</v>
      </c>
      <c r="BM28" s="48" t="str">
        <f ca="1">IF(AND(OR($DY$2=0,$DY$1=0),$I$1=2,ROW()&gt;$BH$1+2,ROW()&lt;=$BH$1+4),"………………..",IF(AND(OR($DY$2&gt;0,$DY$1&gt;0),$I$1=2,ROW()&gt;$BH$1+2,ROW()&lt;=$BH$1+4),"………………..",IFERROR(INDEX($AC$3:$AC$400,MATCH(ROWS(BM$3:BM28),BH$3:BH$400,0),1),"")))</f>
        <v/>
      </c>
      <c r="BN28" s="48">
        <f t="shared" ca="1" si="9"/>
        <v>0</v>
      </c>
      <c r="BO28" s="48" t="str">
        <f ca="1">IF(AND(OR($DY$2=0,$DY$1=0),$I$1=2,ROW()&gt;$BI$1+2,ROW()&lt;=$BI$1+4),"………………..",IF(AND(OR($DY$2&gt;0,$DY$1&gt;0),$I$1=2,ROW()&gt;$BI$1+2,ROW()&lt;=$BI$1+4),"………………..",IFERROR(INDEX($AC$3:$AC$400,MATCH(ROWS(BO$3:BO28),BI$3:BI$400,0),1),"")))</f>
        <v/>
      </c>
      <c r="BP28" s="48">
        <f t="shared" ca="1" si="10"/>
        <v>0</v>
      </c>
      <c r="BQ28" s="48" t="str">
        <f ca="1">IF(AND(OR($DY$2=0,$DY$1=0),$I$1=2,ROW()&gt;$BJ$1+2,ROW()&lt;=$BJ$1+4),"………………..",IF(AND(OR($DY$2&gt;0,$DY$1&gt;0),$I$1=2,ROW()&gt;$BJ$1+2,ROW()&lt;=$BJ$1+4),"………………..",IFERROR(INDEX($AC$3:$AC$400,MATCH(ROWS(BQ$3:BQ28),BJ$3:BJ$400,0),1),"")))</f>
        <v/>
      </c>
      <c r="BR28" s="48">
        <f t="shared" ca="1" si="11"/>
        <v>0</v>
      </c>
      <c r="BS28" s="48">
        <f ca="1">IF(IF(AND(OR(INDEX(PDC,MATCH($AC28,DEN_PDC,0),4)="D",INDEX(PDC,MATCH($AC28,DEN_PDC,0),4)="D/A"),SUMIFS(DARE,DEN_G,$AC28)&gt;=SUMIFS(AVERE,DEN_G,$AC28)),SUMIFS(DARE,DEN_G,$AC28),IF(AND(OR(INDEX(PDC,MATCH($AC28,DEN_PDC,0),4)="A",INDEX(PDC,MATCH($AC28,DEN_PDC,0),4)="D/A"),SUMIFS(AVERE,DEN_G,$AC28)&gt;=SUMIFS(DARE,DEN_G,$AC28)),SUMIFS(AVERE,DEN_G,$AC28),))&gt;0,MAX($BS$2:BS27)+1,0)</f>
        <v>0</v>
      </c>
      <c r="BT28" s="48" t="str">
        <f ca="1">IF($CO$1=0,"",IF(AND($I$1=2,ROW()&gt;$BR$1,ROW()&lt;=$BS$1)," …………….",IF(AND($E$1=1,$BX$1=1,$I$1=2,ROW()=$BQ$1),"TOTALI",IFERROR(INDEX(PDC,MATCH(ROWS(BT$3:BT28),BS$3:BS425,0),2),""))))</f>
        <v/>
      </c>
      <c r="BU28" s="48">
        <f t="shared" ca="1" si="12"/>
        <v>0</v>
      </c>
      <c r="BV28" s="48">
        <f t="shared" ca="1" si="13"/>
        <v>0</v>
      </c>
      <c r="BW28" s="48">
        <f t="shared" ca="1" si="14"/>
        <v>0</v>
      </c>
      <c r="BX28" s="48">
        <f t="shared" ca="1" si="15"/>
        <v>0</v>
      </c>
      <c r="BY28" s="48">
        <f ca="1">IF(OR(BW28&gt;0,BX28&gt;0),MAX($BY$2:BY27)+1,0)</f>
        <v>0</v>
      </c>
      <c r="BZ28" s="48" t="str">
        <f ca="1">IFERROR(INDEX($BT$3:$BY$400,MATCH(ROWS(BZ$3:BZ28),$BY$3:$BY$400,0),1),"")</f>
        <v/>
      </c>
      <c r="CA28" s="48" t="str">
        <f ca="1">IFERROR(INDEX($BT$3:$BY$400,MATCH(ROWS(CA$3:CA28),$BY$3:$BY$400,0),4),"")</f>
        <v/>
      </c>
      <c r="CB28" s="48" t="str">
        <f ca="1">IFERROR(INDEX($BT$3:$BY$400,MATCH(ROWS(CB$3:CB28),$BY$3:$BY$400,0),5),"")</f>
        <v/>
      </c>
      <c r="CC28" s="48" t="str">
        <f t="shared" ca="1" si="16"/>
        <v/>
      </c>
      <c r="CD28" s="48">
        <f ca="1">IF(AND($BF$9=1,CE28&lt;&gt;0),MAX($CD$2:CD27)+1,0)</f>
        <v>0</v>
      </c>
      <c r="CE28" s="48">
        <f ca="1">IF(ROUND(SUMIFS(COPIA!$CA$3:$CA$400,COPIA!$CC$3:$CC$400,CF28)-SUMIFS(COPIA!$CB$3:$CB$400,COPIA!$CC$3:$CC$400,CF28),0)&lt;0,0,ROUND(SUMIFS(COPIA!$CA$3:$CA$400,COPIA!$CC$3:$CC$400,CF28)-SUMIFS(COPIA!$CB$3:$CB$400,COPIA!$CC$3:$CC$400,CF28),0))</f>
        <v>0</v>
      </c>
      <c r="CF28" s="48" t="s">
        <v>608</v>
      </c>
      <c r="CG28" s="242" t="s">
        <v>510</v>
      </c>
      <c r="CH28" s="242">
        <f ca="1">CE28</f>
        <v>0</v>
      </c>
      <c r="CI28" s="242"/>
      <c r="CJ28" s="242"/>
      <c r="CK28" s="48">
        <f ca="1">IF($CF$2=FALSE,0,IF(AND($BF$9=1,CJ28&lt;&gt;0),MAX($CK$21:CK27)+1,0))</f>
        <v>0</v>
      </c>
      <c r="CL28" s="242"/>
      <c r="CM28" s="242" t="str">
        <f t="shared" ca="1" si="37"/>
        <v/>
      </c>
      <c r="CN28" s="243">
        <f t="shared" ca="1" si="38"/>
        <v>0</v>
      </c>
      <c r="CO28" s="48" t="str">
        <f t="shared" ca="1" si="39"/>
        <v/>
      </c>
      <c r="CQ28" s="242"/>
      <c r="CR28" s="242"/>
      <c r="CT28" s="242"/>
      <c r="CU28" s="48">
        <f ca="1">IF(SUMIFS(AVERE,DEN_G,AC28,AVERE,"&gt;"&amp;0)+SUMIFS(DARE,DEN_G,AC28,DARE,"&gt;"&amp;0)&gt;0,MAX($CU$2:CU27)+1,0)</f>
        <v>0</v>
      </c>
      <c r="CV28" s="48" t="str">
        <f ca="1">IF(IFERROR(INDEX(PDC,MATCH(ROWS($CV$3:CV28),$CU$3:$CU$400,0),2),"")="CONTO DI RISULTATO ECONOMICO","",IFERROR(INDEX(PDC,MATCH(ROWS($CV$3:CV28),$CU$3:$CU$400,0),2),""))</f>
        <v/>
      </c>
      <c r="CW28" s="48">
        <f ca="1">IFERROR(IF(CV28&lt;&gt;"",MAX($CW$2:CW27)+1,0),0)</f>
        <v>0</v>
      </c>
      <c r="CY28" s="48" t="s">
        <v>500</v>
      </c>
      <c r="DB28" s="48" t="str">
        <f t="shared" ref="DB28" ca="1" si="84">IF(CX27=$DF$1,"","MASTRO")</f>
        <v>MASTRO</v>
      </c>
      <c r="DF28" s="48">
        <f ca="1">IF(AND(CX28=$DF$1,CX28&lt;&gt;""),0,IF(AND(DB28&lt;&gt;"",OR(DB27&lt;&gt;"",DB29&lt;&gt;"")),MAX($DF$2:DF27)+1,0))</f>
        <v>0</v>
      </c>
      <c r="DH28" s="244" t="s">
        <v>332</v>
      </c>
      <c r="DI28" s="48" t="s">
        <v>839</v>
      </c>
      <c r="DJ28" s="48" t="s">
        <v>311</v>
      </c>
      <c r="DK28" s="48" t="s">
        <v>298</v>
      </c>
      <c r="DL28" s="48" t="s">
        <v>318</v>
      </c>
      <c r="DM28" s="48" t="s">
        <v>299</v>
      </c>
      <c r="DN28" s="48">
        <f ca="1">IF(DI28&lt;&gt;"",MAX($DN$2:DN27)+1,0)</f>
        <v>13</v>
      </c>
      <c r="DO28" s="48" t="str">
        <f ca="1">IF($BF$9=1,"pab11","pab1")</f>
        <v>pab1</v>
      </c>
      <c r="DQ28" s="227" t="s">
        <v>15</v>
      </c>
      <c r="DR28" s="48" t="s">
        <v>920</v>
      </c>
      <c r="DS28" s="48" t="s">
        <v>311</v>
      </c>
      <c r="DT28" s="48" t="s">
        <v>275</v>
      </c>
      <c r="DU28" s="48" t="s">
        <v>9</v>
      </c>
      <c r="DV28" s="48" t="s">
        <v>270</v>
      </c>
      <c r="DW28" s="48">
        <f ca="1">IF(DR28&lt;&gt;"",MAX($DW$2:DW27)+1,0)</f>
        <v>6</v>
      </c>
      <c r="DX28" s="48" t="str">
        <f ca="1">IF($BF$9=1,"pab11","pab1")</f>
        <v>pab1</v>
      </c>
      <c r="DY28" s="48" t="str">
        <f t="shared" ca="1" si="19"/>
        <v/>
      </c>
      <c r="DZ28" s="48" t="str">
        <f t="shared" ca="1" si="40"/>
        <v/>
      </c>
      <c r="EA28" s="48" t="str">
        <f t="shared" ca="1" si="41"/>
        <v/>
      </c>
      <c r="EB28" s="48">
        <f t="shared" ca="1" si="42"/>
        <v>0</v>
      </c>
      <c r="EC28" s="48">
        <f t="shared" ca="1" si="43"/>
        <v>0</v>
      </c>
      <c r="ED28" s="48" t="str">
        <f t="shared" ca="1" si="44"/>
        <v/>
      </c>
      <c r="EE28" s="48">
        <f t="shared" ca="1" si="45"/>
        <v>0</v>
      </c>
      <c r="EF28" s="48" t="str">
        <f t="shared" ca="1" si="46"/>
        <v/>
      </c>
      <c r="EG28" s="48">
        <f t="shared" ca="1" si="47"/>
        <v>0</v>
      </c>
      <c r="EH28" s="48" t="str">
        <f t="shared" ca="1" si="48"/>
        <v/>
      </c>
      <c r="EI28" s="48">
        <f t="shared" ca="1" si="49"/>
        <v>0</v>
      </c>
      <c r="EJ28" s="48" t="str">
        <f t="shared" ca="1" si="50"/>
        <v/>
      </c>
      <c r="EK28" s="48">
        <f t="shared" ca="1" si="51"/>
        <v>0</v>
      </c>
      <c r="EL28" s="48">
        <f t="shared" ca="1" si="20"/>
        <v>0</v>
      </c>
      <c r="EM28" s="48">
        <f ca="1">IF(EL28&gt;=0,0,MAX($EM$2:EM27)+1)</f>
        <v>0</v>
      </c>
      <c r="EN28" s="48" t="str">
        <f t="shared" ca="1" si="21"/>
        <v/>
      </c>
      <c r="EO28" s="48" t="str">
        <f ca="1">IFERROR(INDEX($EM$3:$EN$400,MATCH(ROWS($EO$3:EO28),$EM$3:$EM$400,0),2),"")</f>
        <v/>
      </c>
      <c r="EP28" s="48">
        <f>ROW()</f>
        <v>28</v>
      </c>
      <c r="EQ28" s="48">
        <f t="shared" ca="1" si="22"/>
        <v>0</v>
      </c>
      <c r="ER28" s="48">
        <f ca="1">IF(ISNA(EQ28)=TRUE,MAX($ER$2:ER27)+1,0)</f>
        <v>0</v>
      </c>
      <c r="ES28" s="48" t="str">
        <f t="shared" ca="1" si="52"/>
        <v/>
      </c>
      <c r="ET28" s="48" t="str">
        <f ca="1">IFERROR(INDEX($ER$3:$ES$400,MATCH(ROWS($ET$3:ET28),$ER$3:$ER$400,0),2),"")</f>
        <v/>
      </c>
      <c r="EV28" s="48">
        <f ca="1">IFERROR(INDEX(LIBRO_GIORNALE!$O$11:$P$408,MATCH(ROWS($EV$2:EV27),LIBRO_GIORNALE!$P$11:$P$408,0),1),0)</f>
        <v>0</v>
      </c>
      <c r="EW28" s="48" t="str">
        <f t="shared" ca="1" si="53"/>
        <v>0</v>
      </c>
      <c r="EX28" s="48">
        <f t="shared" ca="1" si="54"/>
        <v>0</v>
      </c>
      <c r="EY28" s="48">
        <f ca="1">IF(EX28&gt;0,MAX($EY$2:EY27)+1,0)</f>
        <v>0</v>
      </c>
      <c r="EZ28" s="48">
        <f ca="1">IFERROR(INDEX($EX$3:$EX$400,MATCH(ROWS($EZ$3:EZ28),$EY$3:$EY$400,0),1),0)</f>
        <v>0</v>
      </c>
      <c r="FA28" s="48">
        <f ca="1">IF(EZ28&gt;0,0,MAX($FA$2:FA27)+1)</f>
        <v>26</v>
      </c>
      <c r="FB28" s="48">
        <f t="shared" ca="1" si="55"/>
        <v>0</v>
      </c>
      <c r="FC28" s="48">
        <f t="shared" ca="1" si="56"/>
        <v>26</v>
      </c>
      <c r="FD28" s="48">
        <f t="shared" ca="1" si="57"/>
        <v>26</v>
      </c>
      <c r="FE28" s="48">
        <f ca="1">IF(FD28=0,0,MAX($FE$2:FE27)+1)</f>
        <v>26</v>
      </c>
      <c r="FF28" s="48">
        <f ca="1">IFERROR(INDEX($FD$3:$FE$400,MATCH(ROWS($FF$3:FF28),$FE$3:$FE$400,0),1),"")</f>
        <v>26</v>
      </c>
      <c r="FH28" s="48">
        <f t="shared" ca="1" si="58"/>
        <v>0</v>
      </c>
      <c r="FI28" s="48">
        <f ca="1">IF(FH28&lt;&gt;0,MAX($FI$2:FI27)+1,0)</f>
        <v>0</v>
      </c>
      <c r="FJ28" s="48" t="str">
        <f ca="1">IFERROR(INDEX($FH$3:$FI$400,MATCH(ROWS($FJ$3:FJ28),$FI$3:$FI$400,0),1),"")</f>
        <v/>
      </c>
      <c r="FK28" s="48">
        <f ca="1">IF(ABS(SUMIFS(DARE,DEN_G,"="&amp;FJ28,DATA,"&lt;="&amp;FINE_AC,DATA,"&gt;="&amp;INIZIO_A_PC)-SUMIFS(AVERE,DEN_G,"="&amp;FJ28,DATA,"&lt;="&amp;FINE_AC,DATA,"&gt;="&amp;INIZIO_A_PC))&gt;0,MAX($FK$2:FK27)+1,0)</f>
        <v>0</v>
      </c>
      <c r="FL28" s="48" t="str">
        <f ca="1">IF(AND(ROW()-2&lt;&gt;1,ROW()-2&lt;=$FK$1),CONCATENATE(" - ",IFERROR(INDEX($FJ$3:$FK$400,MATCH(ROWS($FL$3:FL28),$FK$3:$FK$400,0),1),"")),IFERROR(INDEX($FJ$3:$FK$400,MATCH(ROWS($FL$3:FL28),$FK$3:$FK$400,0),1),""))</f>
        <v/>
      </c>
      <c r="FM28" s="48">
        <f ca="1">IF(OR(B28="IVA ns/credito",B28="IVA NS/DEBITO",B28="IVA C/ACCONTO",B28="IMPOSTE C/ACCONTO",B28="CREDITI PER RITENUTE SUBITE",B28="CREDITI D'IMPOSTA"),MAX($FM$2:FM27)+1,0)</f>
        <v>0</v>
      </c>
      <c r="FN28" s="48" t="str">
        <f t="shared" ca="1" si="59"/>
        <v/>
      </c>
      <c r="FO28" s="48" t="str">
        <f ca="1">IFERROR(INDEX($FM$3:$FN$400,MATCH(ROWS($FO$3:FO28),$FM$3:$FM$400,0),2),"")</f>
        <v/>
      </c>
      <c r="FP28" s="48">
        <f ca="1">IF(ABS(SUMIFS(DARE,DEN_G,"="&amp;FO28,DATA,"&lt;="&amp;FINE_AC,DATA,"&gt;="&amp;INIZIO_A_PC)-SUMIFS(AVERE,DEN_G,"="&amp;FO28,DATA,"&lt;="&amp;FINE_AC,DATA,"&gt;="&amp;INIZIO_A_PC))&gt;0,MAX($FP$2:FP27)+1,0)</f>
        <v>0</v>
      </c>
      <c r="FQ28" s="48" t="str">
        <f ca="1">IF(AND(ROW()-2&lt;&gt;1,ROW()-2&lt;=$FP$1),CONCATENATE(" - ",IFERROR(INDEX($FO$3:$FP$400,MATCH(ROWS($FQ$3:FQ28),$FP$3:$FP$400,0),1),"")),IFERROR(INDEX($FO$3:$FP$400,MATCH(ROWS($FQ$3:FQ28),$FP$3:$FP$400,0),1),""))</f>
        <v/>
      </c>
    </row>
    <row r="29" spans="1:173" x14ac:dyDescent="0.3">
      <c r="A29" s="48" t="str">
        <f ca="1">IFERROR(IF($A$1=2,INDEX($DH$3:$DN$401,MATCH(ROWS(A$3:A29),$DN$3:$DN$401,0),COLUMN()),IF($A$1=1,INDEX($DQ$3:$DW$401,MATCH(ROWS(A$3:A29),$DW$3:$DW$401,0),COLUMN()),"")),"")</f>
        <v>02.07</v>
      </c>
      <c r="B29" s="48" t="str">
        <f ca="1">IFERROR(IF($A$1=2,INDEX($DH$3:$DN$401,MATCH(ROWS(B$3:B29),$DN$3:$DN$401,0),COLUMN()),IF($A$1=1,INDEX($DQ$3:$DW$400,MATCH(ROWS(B$3:B29),$DW$3:$DW$401,0),COLUMN()),"")),"")</f>
        <v>AUTOMEZZI</v>
      </c>
      <c r="C29" s="48" t="str">
        <f ca="1">IFERROR(IF($A$1=2,INDEX($DH$3:$DN$401,MATCH(ROWS(C$3:C29),$DN$3:$DN$401,0),COLUMN()),IF($A$1=1,INDEX($DQ$3:$DW$401,MATCH(ROWS(C$3:C29),$DW$3:$DW$401,0),COLUMN()),"")),"")</f>
        <v>E</v>
      </c>
      <c r="D29" s="48" t="str">
        <f ca="1">IFERROR(IF($A$1=2,INDEX($DH$3:$DN$401,MATCH(ROWS(D$3:D29),$DN$3:$DN$401,0),COLUMN()),IF($A$1=1,INDEX($DQ$3:$DW$401,MATCH(ROWS(D$3:D29),$DW$3:$DW$401,0),COLUMN()),"")),"")</f>
        <v>D</v>
      </c>
      <c r="E29" s="48" t="str">
        <f ca="1">IFERROR(IF($A$1=2,INDEX($DH$3:$DN$401,MATCH(ROWS(E$3:E29),$DN$3:$DN$401,0),COLUMN()),IF($A$1=1,INDEX($DQ$3:$DW$401,MATCH(ROWS(E$3:E29),$DW$3:$DW$401,0),COLUMN()),"")),"")</f>
        <v>COSTI PLURIENNALI</v>
      </c>
      <c r="F29" s="48" t="str">
        <f ca="1">IFERROR(IF($A$1=2,INDEX($DH$3:$DN$401,MATCH(ROWS(F$3:F29),$DN$3:$DN$401,0),COLUMN()),IF($A$1=1,INDEX($DQ$3:$DX$401,MATCH(ROWS(F$3:F29),$DW$3:$DW$401,0),COLUMN()),"")),"")</f>
        <v>SP DARE</v>
      </c>
      <c r="G29" s="48" t="str">
        <f t="shared" ca="1" si="23"/>
        <v>SP</v>
      </c>
      <c r="H29" s="48" t="str">
        <f ca="1">IFERROR(IF($A$1=2,INDEX($DH$3:$DO$400,MATCH(ROWS(H$3:H29),$DN$3:$DN$400,0),COLUMN()),IF($A$1=1,INDEX($DQ$3:$DX$400,MATCH(ROWS(H$3:H29),$DW$3:$DW$400,0),COLUMN()),"")),"")</f>
        <v>pab2</v>
      </c>
      <c r="I29" s="48" t="str">
        <f t="shared" ca="1" si="0"/>
        <v/>
      </c>
      <c r="J29" s="48" t="str">
        <f t="shared" ca="1" si="24"/>
        <v/>
      </c>
      <c r="K29" s="48">
        <f t="shared" ca="1" si="25"/>
        <v>0</v>
      </c>
      <c r="L29" s="48">
        <f t="shared" ca="1" si="26"/>
        <v>0</v>
      </c>
      <c r="M29" s="48">
        <f ca="1">IFERROR(IF(IF(MID($A29,3,3)=".00",MID(A29,1,2),"")&lt;&gt;"",MAX($M$2:M28)+1,0),"")</f>
        <v>0</v>
      </c>
      <c r="N29" s="48" t="str">
        <f t="shared" ca="1" si="27"/>
        <v/>
      </c>
      <c r="O29" s="48" t="str">
        <f ca="1">IF(IFERROR(INDEX($N$3:$O$400,MATCH(ROWS($O$3:O29),$M$3:$M$400,0),1),"")&lt;&gt;"",CONCATENATE(INDEX($N$3:$O$400,MATCH(ROWS($O$3:O29),$M$3:$M$400,0),1),".00"),"")</f>
        <v>35.00</v>
      </c>
      <c r="P29" s="48" t="str">
        <f t="shared" ca="1" si="28"/>
        <v>AMMORTAMENTI IMMOBILIZZAZIONI MATERIALI</v>
      </c>
      <c r="Q29" s="48">
        <f ca="1">IF(M29&gt;=1,0,MAX($Q$2:Q28)+1)</f>
        <v>24</v>
      </c>
      <c r="R29" s="48">
        <f ca="1">IF(AND($U$2=2,S29&lt;&gt;""),MAX($R$2:R28)+1,0)</f>
        <v>11</v>
      </c>
      <c r="S29" s="48" t="str">
        <f t="shared" ca="1" si="81"/>
        <v>RATEI E RISCONTI ATTIVI</v>
      </c>
      <c r="T29" s="48" t="str">
        <f ca="1">IFERROR(INDEX($R$3:$S$64,MATCH(ROWS($T$2:T28),$R$3:$R$64,0),2),"")</f>
        <v>AMMORTAMENTI IMMOBILIZZAZIONI IMMATERIALI</v>
      </c>
      <c r="U29" s="48" t="str">
        <f ca="1">IFERROR(INDEX(PDC,MATCH(ROWS(U$3:U29),$V$3:$V$400,0),2),"")</f>
        <v>FONDO AMMORTAMENTO IMPIANTI E MACCHINARI</v>
      </c>
      <c r="V29" s="48">
        <f ca="1">IF(AND($T$1="VISUALIZZA TUTTI I CONTI",AA29&lt;&gt;""),MAX($V$2:V28)+1,IF(AND($U$2=2,AI29=$T$1),MAX($V$2:V28)+1,IF(AND($U$2=1,$T$1=AF29),MAX($V$2:V28)+1,0)))</f>
        <v>27</v>
      </c>
      <c r="Z29" s="246"/>
      <c r="AA29" s="48" t="str">
        <f t="shared" ca="1" si="29"/>
        <v>02.00</v>
      </c>
      <c r="AB29" s="48" t="str">
        <f ca="1">IFERROR(INDEX($A$3:$G$400,MATCH(ROWS(AB$3:AB29),$Q$3:$Q$400,0),1),"")</f>
        <v>02.12</v>
      </c>
      <c r="AC29" s="48" t="str">
        <f ca="1">IFERROR(INDEX($A$3:$G$400,MATCH(ROWS($AC$3:AC29),$Q$3:$Q$400,0),2),"")</f>
        <v>FONDO AMMORTAMENTO IMPIANTI E MACCHINARI</v>
      </c>
      <c r="AD29" s="48" t="str">
        <f ca="1">IFERROR(INDEX($A$3:$G$400,MATCH(ROWS(AD$3:AD29),$Q$3:$Q$400,0),3),"")</f>
        <v>E</v>
      </c>
      <c r="AE29" s="48" t="str">
        <f ca="1">IFERROR(INDEX($A$3:$G$400,MATCH(ROWS(AE$3:AE29),$Q$3:$Q$400,0),4),"")</f>
        <v>A</v>
      </c>
      <c r="AF29" s="48" t="str">
        <f ca="1">IFERROR(INDEX($A$3:$G$400,MATCH(ROWS(AF$3:AF29),$Q$3:$Q$400,0),5),"")</f>
        <v>RETTIFICHE COSTI PLURIENNALI</v>
      </c>
      <c r="AG29" s="48" t="str">
        <f ca="1">IFERROR(INDEX($A$3:$G$400,MATCH(ROWS(AG$3:AG29),$Q$3:$Q$400,0),6),"")</f>
        <v>SP AVERE</v>
      </c>
      <c r="AH29" s="48" t="str">
        <f ca="1">IFERROR(INDEX($A$3:$G$400,MATCH(ROWS(AH$3:AH29),$Q$3:$Q$400,0),7),"")</f>
        <v>SP</v>
      </c>
      <c r="AI29" s="48" t="str">
        <f t="shared" ca="1" si="1"/>
        <v>IMMOBILIZZAZIONI MATERIALI</v>
      </c>
      <c r="AJ29" s="48" t="str">
        <f ca="1">IFERROR(INDEX($A$3:$H$400,MATCH(ROWS(AJ$3:AJ29),$Q$3:$Q$400,0),8),"")</f>
        <v>pab2</v>
      </c>
      <c r="AK29" s="48">
        <f t="shared" ca="1" si="2"/>
        <v>0</v>
      </c>
      <c r="AL29" s="48">
        <f t="shared" ca="1" si="3"/>
        <v>0</v>
      </c>
      <c r="AM29" s="48">
        <f t="shared" ca="1" si="30"/>
        <v>0</v>
      </c>
      <c r="AN29" s="48" t="str">
        <f t="shared" ca="1" si="31"/>
        <v/>
      </c>
      <c r="AO29" s="48">
        <f t="shared" ca="1" si="32"/>
        <v>0</v>
      </c>
      <c r="AP29" s="48">
        <f t="shared" ca="1" si="32"/>
        <v>0</v>
      </c>
      <c r="AQ29" s="48" t="str">
        <f t="shared" ca="1" si="4"/>
        <v>FONDO AMMORTAMENTO IMPIANTI E MACCHINARI</v>
      </c>
      <c r="AR29" s="48">
        <f t="shared" ca="1" si="5"/>
        <v>0</v>
      </c>
      <c r="AS29" s="48">
        <f t="shared" ca="1" si="6"/>
        <v>0</v>
      </c>
      <c r="AT29" s="48">
        <f t="shared" ca="1" si="33"/>
        <v>0</v>
      </c>
      <c r="AU29" s="48">
        <f t="shared" ca="1" si="34"/>
        <v>0</v>
      </c>
      <c r="AV29" s="48">
        <f ca="1">IF(OR(AT29&gt;0,AU29&gt;0),MAX($AV$2:AV28)+1,0)</f>
        <v>0</v>
      </c>
      <c r="AZ29" s="241" t="str">
        <f t="shared" ca="1" si="35"/>
        <v/>
      </c>
      <c r="BA29" s="48">
        <f t="shared" ca="1" si="7"/>
        <v>0</v>
      </c>
      <c r="BB29" s="48">
        <f ca="1">IFERROR(INDEX($AQ$3:$AV$220,MATCH(ROWS($BB$3:BB29),$AV$3:$AV$220,0),1),0)</f>
        <v>0</v>
      </c>
      <c r="BC29" s="48" t="str">
        <f t="shared" ca="1" si="36"/>
        <v/>
      </c>
      <c r="BD29" s="48">
        <f ca="1">IFERROR(INDEX($AQ$3:$AV$220,MATCH(ROWS($BB$3:BD29),$AV$3:$AV$220,0),4),0)</f>
        <v>0</v>
      </c>
      <c r="BE29" s="48">
        <f ca="1">IFERROR(INDEX($AQ$3:$AV$220,MATCH(ROWS($BB$3:BE29),$AV$3:$AV$220,0),5),0)</f>
        <v>0</v>
      </c>
      <c r="BF29" s="48">
        <v>15</v>
      </c>
      <c r="BG29" s="48">
        <f ca="1">IF(IF(AND(OR(INDEX(PDC,MATCH($AC29,DEN_PDC,0),6)="SP DARE",INDEX(PDC,MATCH($AC29,DEN_PDC,0),6)="SP DARE/AVERE"),SUMIFS(DARE,DEN_G,$AC29)&gt;=SUMIFS(AVERE,DEN_G,$AC29)),SUMIFS(DARE,DEN_G,$AC29)-SUMIFS(AVERE,DEN_G,$AC29),0)&gt;0,MAX($BG$2:BG28)+1,0)</f>
        <v>0</v>
      </c>
      <c r="BH29" s="48">
        <f ca="1">IF(IF(AND(OR(INDEX(PDC,MATCH($AC29,DEN_PDC,0),6)="SP AVERE",INDEX(PDC,MATCH($AC29,DEN_PDC,0),6)="SP DARE/AVERE"),SUMIFS(AVERE,DEN_G,$AC29)&gt;=SUMIFS(DARE,DEN_G,$AC29)),SUMIFS(AVERE,DEN_G,$AC29)-SUMIFS(DARE,DEN_G,$AC29),0)&gt;0,MAX(BH$2:BH28)+1,0)</f>
        <v>0</v>
      </c>
      <c r="BI29" s="48">
        <f ca="1">IF(IF(AND(OR(INDEX(PDC,MATCH($AC29,DEN_PDC,0),6)="SE DARE",INDEX(PDC,MATCH($AC29,DEN_PDC,0),6)="SE DARE/AVERE"),SUMIFS(DARE,DEN_G,$AC29)&gt;=SUMIFS(AVERE,DEN_G,$AC29)),SUMIFS(DARE,DEN_G,$AC29)-SUMIFS(AVERE,DEN_G,$AC29),0)&gt;0,MAX(BI$2:BI28)+1,0)</f>
        <v>0</v>
      </c>
      <c r="BJ29" s="48">
        <f ca="1">IF(IF(AND(OR(INDEX(PDC,MATCH($AC29,DEN_PDC,0),6)="SE AVERE",INDEX(PDC,MATCH($AC29,DEN_PDC,0),6)="SE DARE/AVERE"),SUMIFS(AVERE,DEN_G,$AC29)&gt;=SUMIFS(DARE,DEN_G,$AC29)),SUMIFS(AVERE,DEN_G,$AC29)-SUMIFS(DARE,DEN_G,$AC29),0)&gt;0,MAX(BJ$2:BJ28)+1,0)</f>
        <v>0</v>
      </c>
      <c r="BK29" s="48" t="str">
        <f ca="1">IF(AND(AND($DY$2=0,$DY$1=0),$I$1=2,ROW()&gt;$BG$1+2,ROW()&lt;=$BG$1+4),"………………..",IF(AND(OR($DY$2&gt;0,$DY$1&gt;0),$I$1=2,ROW()&gt;$BG$1+2,ROW()&lt;=$BG$1+4),"………………..",IFERROR(INDEX($AC$3:$AC$398,MATCH(ROWS(BK$3:BK29),BG$3:BG$398,0),1),"")))</f>
        <v/>
      </c>
      <c r="BL29" s="48">
        <f t="shared" ca="1" si="69"/>
        <v>0</v>
      </c>
      <c r="BM29" s="48" t="str">
        <f ca="1">IF(AND(OR($DY$2=0,$DY$1=0),$I$1=2,ROW()&gt;$BH$1+2,ROW()&lt;=$BH$1+4),"………………..",IF(AND(OR($DY$2&gt;0,$DY$1&gt;0),$I$1=2,ROW()&gt;$BH$1+2,ROW()&lt;=$BH$1+4),"………………..",IFERROR(INDEX($AC$3:$AC$400,MATCH(ROWS(BM$3:BM29),BH$3:BH$400,0),1),"")))</f>
        <v/>
      </c>
      <c r="BN29" s="48">
        <f t="shared" ca="1" si="9"/>
        <v>0</v>
      </c>
      <c r="BO29" s="48" t="str">
        <f ca="1">IF(AND(OR($DY$2=0,$DY$1=0),$I$1=2,ROW()&gt;$BI$1+2,ROW()&lt;=$BI$1+4),"………………..",IF(AND(OR($DY$2&gt;0,$DY$1&gt;0),$I$1=2,ROW()&gt;$BI$1+2,ROW()&lt;=$BI$1+4),"………………..",IFERROR(INDEX($AC$3:$AC$400,MATCH(ROWS(BO$3:BO29),BI$3:BI$400,0),1),"")))</f>
        <v/>
      </c>
      <c r="BP29" s="48">
        <f t="shared" ca="1" si="10"/>
        <v>0</v>
      </c>
      <c r="BQ29" s="48" t="str">
        <f ca="1">IF(AND(OR($DY$2=0,$DY$1=0),$I$1=2,ROW()&gt;$BJ$1+2,ROW()&lt;=$BJ$1+4),"………………..",IF(AND(OR($DY$2&gt;0,$DY$1&gt;0),$I$1=2,ROW()&gt;$BJ$1+2,ROW()&lt;=$BJ$1+4),"………………..",IFERROR(INDEX($AC$3:$AC$400,MATCH(ROWS(BQ$3:BQ29),BJ$3:BJ$400,0),1),"")))</f>
        <v/>
      </c>
      <c r="BR29" s="48">
        <f t="shared" ca="1" si="11"/>
        <v>0</v>
      </c>
      <c r="BS29" s="48">
        <f ca="1">IF(IF(AND(OR(INDEX(PDC,MATCH($AC29,DEN_PDC,0),4)="D",INDEX(PDC,MATCH($AC29,DEN_PDC,0),4)="D/A"),SUMIFS(DARE,DEN_G,$AC29)&gt;=SUMIFS(AVERE,DEN_G,$AC29)),SUMIFS(DARE,DEN_G,$AC29),IF(AND(OR(INDEX(PDC,MATCH($AC29,DEN_PDC,0),4)="A",INDEX(PDC,MATCH($AC29,DEN_PDC,0),4)="D/A"),SUMIFS(AVERE,DEN_G,$AC29)&gt;=SUMIFS(DARE,DEN_G,$AC29)),SUMIFS(AVERE,DEN_G,$AC29),))&gt;0,MAX($BS$2:BS28)+1,0)</f>
        <v>0</v>
      </c>
      <c r="BT29" s="48" t="str">
        <f ca="1">IF($CO$1=0,"",IF(AND($I$1=2,ROW()&gt;$BR$1,ROW()&lt;=$BS$1)," …………….",IF(AND($E$1=1,$BX$1=1,$I$1=2,ROW()=$BQ$1),"TOTALI",IFERROR(INDEX(PDC,MATCH(ROWS(BT$3:BT29),BS$3:BS426,0),2),""))))</f>
        <v/>
      </c>
      <c r="BU29" s="48">
        <f t="shared" ca="1" si="12"/>
        <v>0</v>
      </c>
      <c r="BV29" s="48">
        <f t="shared" ca="1" si="13"/>
        <v>0</v>
      </c>
      <c r="BW29" s="48">
        <f t="shared" ca="1" si="14"/>
        <v>0</v>
      </c>
      <c r="BX29" s="48">
        <f t="shared" ca="1" si="15"/>
        <v>0</v>
      </c>
      <c r="BY29" s="48">
        <f ca="1">IF(OR(BW29&gt;0,BX29&gt;0),MAX($BY$2:BY28)+1,0)</f>
        <v>0</v>
      </c>
      <c r="BZ29" s="48" t="str">
        <f ca="1">IFERROR(INDEX($BT$3:$BY$400,MATCH(ROWS(BZ$3:BZ29),$BY$3:$BY$400,0),1),"")</f>
        <v/>
      </c>
      <c r="CA29" s="48" t="str">
        <f ca="1">IFERROR(INDEX($BT$3:$BY$400,MATCH(ROWS(CA$3:CA29),$BY$3:$BY$400,0),4),"")</f>
        <v/>
      </c>
      <c r="CB29" s="48" t="str">
        <f ca="1">IFERROR(INDEX($BT$3:$BY$400,MATCH(ROWS(CB$3:CB29),$BY$3:$BY$400,0),5),"")</f>
        <v/>
      </c>
      <c r="CC29" s="48" t="str">
        <f t="shared" ca="1" si="16"/>
        <v/>
      </c>
      <c r="CD29" s="48">
        <f ca="1">IF(AND($BF$9=1,CE29&lt;&gt;0),MAX($CD$2:CD28)+1,0)</f>
        <v>0</v>
      </c>
      <c r="CE29" s="48">
        <f ca="1">IF(SUM(CE30:CE39)&gt;0,"a",0)</f>
        <v>0</v>
      </c>
      <c r="CG29" s="242" t="s">
        <v>511</v>
      </c>
      <c r="CH29" s="242"/>
      <c r="CI29" s="242"/>
      <c r="CJ29" s="242">
        <f ca="1">SUM(CJ30:CJ39)</f>
        <v>0</v>
      </c>
      <c r="CK29" s="48">
        <f ca="1">IF($CF$2=FALSE,0,IF(AND($BF$9=1,CJ29&lt;&gt;0),MAX($CK$21:CK28)+1,0))</f>
        <v>0</v>
      </c>
      <c r="CL29" s="242"/>
      <c r="CM29" s="242" t="str">
        <f t="shared" ca="1" si="37"/>
        <v/>
      </c>
      <c r="CN29" s="243">
        <f t="shared" ca="1" si="38"/>
        <v>0</v>
      </c>
      <c r="CO29" s="48" t="str">
        <f t="shared" ca="1" si="39"/>
        <v/>
      </c>
      <c r="CQ29" s="247">
        <f ca="1">CQ21</f>
        <v>46023</v>
      </c>
      <c r="CR29" s="247">
        <f ca="1">CR21</f>
        <v>46387</v>
      </c>
      <c r="CS29" s="48">
        <f ca="1">ABS(CS21-CT21)</f>
        <v>0</v>
      </c>
      <c r="CT29" s="242">
        <f ca="1">SUM($CS$29:CS29)</f>
        <v>0</v>
      </c>
      <c r="CU29" s="48">
        <f ca="1">IF(SUMIFS(AVERE,DEN_G,AC29,AVERE,"&gt;"&amp;0)+SUMIFS(DARE,DEN_G,AC29,DARE,"&gt;"&amp;0)&gt;0,MAX($CU$2:CU28)+1,0)</f>
        <v>0</v>
      </c>
      <c r="CV29" s="48" t="str">
        <f ca="1">IF(IFERROR(INDEX(PDC,MATCH(ROWS($CV$3:CV29),$CU$3:$CU$400,0),2),"")="CONTO DI RISULTATO ECONOMICO","",IFERROR(INDEX(PDC,MATCH(ROWS($CV$3:CV29),$CU$3:$CU$400,0),2),""))</f>
        <v/>
      </c>
      <c r="CW29" s="48">
        <f ca="1">IFERROR(IF(CV29&lt;&gt;"",MAX($CW$2:CW28)+1,0),0)</f>
        <v>0</v>
      </c>
      <c r="CX29" s="48">
        <f ca="1">$FF$5</f>
        <v>3</v>
      </c>
      <c r="CY29" s="48" t="str">
        <f t="shared" ref="CY29:CY40" ca="1" si="85">IF(ISERROR(INDEX($CV$3:$CX$1302,MATCH(CX29,$CW$3:$CW$1302,0),1)),"MASTRO",INDEX($CV$3:$CX$1302,MATCH(CX29,$CW$3:$CW$1302,0),1))</f>
        <v>MASTRO</v>
      </c>
      <c r="DA29" s="48" t="str">
        <f>IF(CY28="MASTRO","Conto n.","")</f>
        <v>Conto n.</v>
      </c>
      <c r="DB29" s="48" t="str">
        <f ca="1">IF(CY29=0,"",INDEX(PDC,MATCH(DC29,DEN_PDC,0),1))</f>
        <v/>
      </c>
      <c r="DC29" s="48" t="str">
        <f ca="1">IF(OR(CY29=0,CY29="mastro"),"",CY29)</f>
        <v/>
      </c>
      <c r="DD29" s="48" t="str">
        <f ca="1">IF(AND($DA$2=TRUE,OR(INDEX(PDC,MATCH($DC29,DEN_PDC,0),4)="A",INDEX(PDC,MATCH($DC29,DEN_PDC,0),4)="D/A"),SUMIFS(AVERE,DEN_G,"="&amp;$DC29,DATA,"&lt;="&amp;FINE_AC,DATA,"&gt;="&amp;INIZIO_AC)&gt;SUMIFS(DARE,DEN_G,"="&amp;$DC29,DATA,"&lt;="&amp;FINE_AC,DATA,"&gt;="&amp;INIZIO_AC)),CONCATENATE("s ",FIXED(ABS(SUMIFS(AVERE,DEN_G,"="&amp;$DC29,DATA,"&lt;="&amp;FINE_AC,DATA,"&gt;="&amp;INIZIO_AC)-SUMIFS(DARE,DEN_G,"="&amp;$DC29,DATA,"&lt;="&amp;FINE_AC,DATA,"&gt;="&amp;INIZIO_AC)),2)),"")</f>
        <v/>
      </c>
      <c r="DE29" s="48" t="str">
        <f ca="1">IF(AND($DA$2=TRUE,OR(INDEX(PDC,MATCH($DC29,DEN_PDC,0),4)="D",INDEX(PDC,MATCH($DC29,DEN_PDC,0),4)="D/A"),SUMIFS(DARE,DEN_G,"="&amp;$DC29,DATA,"&lt;="&amp;FINE_AC,DATA,"&gt;="&amp;INIZIO_AC)&gt;SUMIFS(AVERE,DEN_G,"="&amp;$DC29,DATA,"&lt;="&amp;FINE_AC,DATA,"&gt;="&amp;INIZIO_AC)),CONCATENATE("s ",FIXED(ABS(SUMIFS(DARE,DEN_G,"="&amp;$DC29,DATA,"&lt;="&amp;FINE_AC,DATA,"&gt;="&amp;INIZIO_AC)-SUMIFS(AVERE,DEN_G,"="&amp;$DC29,DATA,"&lt;="&amp;FINE_AC,DATA,"&gt;="&amp;INIZIO_AC)),2)),"")</f>
        <v/>
      </c>
      <c r="DF29" s="48">
        <f ca="1">IF(AND(CX29=$DF$1,CX29&lt;&gt;""),0,IF(AND(DB29&lt;&gt;"",OR(DB28&lt;&gt;"",DB30&lt;&gt;"")),MAX($DF$2:DF28)+1,0))</f>
        <v>0</v>
      </c>
      <c r="DH29" s="244" t="s">
        <v>333</v>
      </c>
      <c r="DI29" s="48" t="s">
        <v>840</v>
      </c>
      <c r="DJ29" s="48" t="s">
        <v>311</v>
      </c>
      <c r="DK29" s="48" t="s">
        <v>298</v>
      </c>
      <c r="DL29" s="48" t="s">
        <v>318</v>
      </c>
      <c r="DM29" s="48" t="s">
        <v>299</v>
      </c>
      <c r="DN29" s="48">
        <f ca="1">IF(DI29&lt;&gt;"",MAX($DN$2:DN28)+1,0)</f>
        <v>14</v>
      </c>
      <c r="DO29" s="48" t="str">
        <f ca="1">IF($BF$9=1,"pab12","pab1")</f>
        <v>pab1</v>
      </c>
      <c r="DQ29" s="227" t="s">
        <v>328</v>
      </c>
      <c r="DR29" s="48" t="s">
        <v>1047</v>
      </c>
      <c r="DS29" s="48" t="s">
        <v>311</v>
      </c>
      <c r="DT29" s="48" t="s">
        <v>275</v>
      </c>
      <c r="DU29" s="48" t="s">
        <v>9</v>
      </c>
      <c r="DV29" s="48" t="s">
        <v>270</v>
      </c>
      <c r="DW29" s="48">
        <f ca="1">IF(DR29&lt;&gt;"",MAX($DW$2:DW28)+1,0)</f>
        <v>7</v>
      </c>
      <c r="DX29" s="48" t="str">
        <f ca="1">IF($BF$9=1,"pab13","pab1")</f>
        <v>pab1</v>
      </c>
      <c r="DY29" s="48" t="str">
        <f t="shared" ca="1" si="19"/>
        <v/>
      </c>
      <c r="DZ29" s="48" t="str">
        <f t="shared" ca="1" si="40"/>
        <v/>
      </c>
      <c r="EA29" s="48" t="str">
        <f t="shared" ca="1" si="41"/>
        <v/>
      </c>
      <c r="EB29" s="48">
        <f t="shared" ca="1" si="42"/>
        <v>0</v>
      </c>
      <c r="EC29" s="48">
        <f t="shared" ca="1" si="43"/>
        <v>0</v>
      </c>
      <c r="ED29" s="48" t="str">
        <f t="shared" ca="1" si="44"/>
        <v/>
      </c>
      <c r="EE29" s="48">
        <f t="shared" ca="1" si="45"/>
        <v>0</v>
      </c>
      <c r="EF29" s="48" t="str">
        <f t="shared" ca="1" si="46"/>
        <v/>
      </c>
      <c r="EG29" s="48">
        <f t="shared" ca="1" si="47"/>
        <v>0</v>
      </c>
      <c r="EH29" s="48" t="str">
        <f t="shared" ca="1" si="48"/>
        <v/>
      </c>
      <c r="EI29" s="48">
        <f t="shared" ca="1" si="49"/>
        <v>0</v>
      </c>
      <c r="EJ29" s="48" t="str">
        <f t="shared" ca="1" si="50"/>
        <v/>
      </c>
      <c r="EK29" s="48">
        <f t="shared" ca="1" si="51"/>
        <v>0</v>
      </c>
      <c r="EL29" s="48">
        <f t="shared" ca="1" si="20"/>
        <v>0</v>
      </c>
      <c r="EM29" s="48">
        <f ca="1">IF(EL29&gt;=0,0,MAX($EM$2:EM28)+1)</f>
        <v>0</v>
      </c>
      <c r="EN29" s="48" t="str">
        <f t="shared" ca="1" si="21"/>
        <v/>
      </c>
      <c r="EO29" s="48" t="str">
        <f ca="1">IFERROR(INDEX($EM$3:$EN$400,MATCH(ROWS($EO$3:EO29),$EM$3:$EM$400,0),2),"")</f>
        <v/>
      </c>
      <c r="EP29" s="48">
        <f>ROW()</f>
        <v>29</v>
      </c>
      <c r="EQ29" s="48">
        <f t="shared" ca="1" si="22"/>
        <v>0</v>
      </c>
      <c r="ER29" s="48">
        <f ca="1">IF(ISNA(EQ29)=TRUE,MAX($ER$2:ER28)+1,0)</f>
        <v>0</v>
      </c>
      <c r="ES29" s="48" t="str">
        <f t="shared" ca="1" si="52"/>
        <v/>
      </c>
      <c r="ET29" s="48" t="str">
        <f ca="1">IFERROR(INDEX($ER$3:$ES$400,MATCH(ROWS($ET$3:ET29),$ER$3:$ER$400,0),2),"")</f>
        <v/>
      </c>
      <c r="EV29" s="48">
        <f ca="1">IFERROR(INDEX(LIBRO_GIORNALE!$O$11:$P$408,MATCH(ROWS($EV$2:EV28),LIBRO_GIORNALE!$P$11:$P$408,0),1),0)</f>
        <v>0</v>
      </c>
      <c r="EW29" s="48" t="str">
        <f t="shared" ca="1" si="53"/>
        <v>0</v>
      </c>
      <c r="EX29" s="48">
        <f t="shared" ca="1" si="54"/>
        <v>0</v>
      </c>
      <c r="EY29" s="48">
        <f ca="1">IF(EX29&gt;0,MAX($EY$2:EY28)+1,0)</f>
        <v>0</v>
      </c>
      <c r="EZ29" s="48">
        <f ca="1">IFERROR(INDEX($EX$3:$EX$400,MATCH(ROWS($EZ$3:EZ29),$EY$3:$EY$400,0),1),0)</f>
        <v>0</v>
      </c>
      <c r="FA29" s="48">
        <f ca="1">IF(EZ29&gt;0,0,MAX($FA$2:FA28)+1)</f>
        <v>27</v>
      </c>
      <c r="FB29" s="48">
        <f t="shared" ca="1" si="55"/>
        <v>0</v>
      </c>
      <c r="FC29" s="48">
        <f t="shared" ca="1" si="56"/>
        <v>27</v>
      </c>
      <c r="FD29" s="48">
        <f t="shared" ca="1" si="57"/>
        <v>27</v>
      </c>
      <c r="FE29" s="48">
        <f ca="1">IF(FD29=0,0,MAX($FE$2:FE28)+1)</f>
        <v>27</v>
      </c>
      <c r="FF29" s="48">
        <f ca="1">IFERROR(INDEX($FD$3:$FE$400,MATCH(ROWS($FF$3:FF29),$FE$3:$FE$400,0),1),"")</f>
        <v>27</v>
      </c>
      <c r="FH29" s="48">
        <f t="shared" ca="1" si="58"/>
        <v>0</v>
      </c>
      <c r="FI29" s="48">
        <f ca="1">IF(FH29&lt;&gt;0,MAX($FI$2:FI28)+1,0)</f>
        <v>0</v>
      </c>
      <c r="FJ29" s="48" t="str">
        <f ca="1">IFERROR(INDEX($FH$3:$FI$400,MATCH(ROWS($FJ$3:FJ29),$FI$3:$FI$400,0),1),"")</f>
        <v/>
      </c>
      <c r="FK29" s="48">
        <f ca="1">IF(ABS(SUMIFS(DARE,DEN_G,"="&amp;FJ29,DATA,"&lt;="&amp;FINE_AC,DATA,"&gt;="&amp;INIZIO_A_PC)-SUMIFS(AVERE,DEN_G,"="&amp;FJ29,DATA,"&lt;="&amp;FINE_AC,DATA,"&gt;="&amp;INIZIO_A_PC))&gt;0,MAX($FK$2:FK28)+1,0)</f>
        <v>0</v>
      </c>
      <c r="FL29" s="48" t="str">
        <f ca="1">IF(AND(ROW()-2&lt;&gt;1,ROW()-2&lt;=$FK$1),CONCATENATE(" - ",IFERROR(INDEX($FJ$3:$FK$400,MATCH(ROWS($FL$3:FL29),$FK$3:$FK$400,0),1),"")),IFERROR(INDEX($FJ$3:$FK$400,MATCH(ROWS($FL$3:FL29),$FK$3:$FK$400,0),1),""))</f>
        <v/>
      </c>
      <c r="FM29" s="48">
        <f ca="1">IF(OR(B29="IVA ns/credito",B29="IVA NS/DEBITO",B29="IVA C/ACCONTO",B29="IMPOSTE C/ACCONTO",B29="CREDITI PER RITENUTE SUBITE",B29="CREDITI D'IMPOSTA"),MAX($FM$2:FM28)+1,0)</f>
        <v>0</v>
      </c>
      <c r="FN29" s="48" t="str">
        <f t="shared" ca="1" si="59"/>
        <v/>
      </c>
      <c r="FO29" s="48" t="str">
        <f ca="1">IFERROR(INDEX($FM$3:$FN$400,MATCH(ROWS($FO$3:FO29),$FM$3:$FM$400,0),2),"")</f>
        <v/>
      </c>
      <c r="FP29" s="48">
        <f ca="1">IF(ABS(SUMIFS(DARE,DEN_G,"="&amp;FO29,DATA,"&lt;="&amp;FINE_AC,DATA,"&gt;="&amp;INIZIO_A_PC)-SUMIFS(AVERE,DEN_G,"="&amp;FO29,DATA,"&lt;="&amp;FINE_AC,DATA,"&gt;="&amp;INIZIO_A_PC))&gt;0,MAX($FP$2:FP28)+1,0)</f>
        <v>0</v>
      </c>
      <c r="FQ29" s="48" t="str">
        <f ca="1">IF(AND(ROW()-2&lt;&gt;1,ROW()-2&lt;=$FP$1),CONCATENATE(" - ",IFERROR(INDEX($FO$3:$FP$400,MATCH(ROWS($FQ$3:FQ29),$FP$3:$FP$400,0),1),"")),IFERROR(INDEX($FO$3:$FP$400,MATCH(ROWS($FQ$3:FQ29),$FP$3:$FP$400,0),1),""))</f>
        <v/>
      </c>
    </row>
    <row r="30" spans="1:173" x14ac:dyDescent="0.3">
      <c r="A30" s="48" t="str">
        <f ca="1">IFERROR(IF($A$1=2,INDEX($DH$3:$DN$401,MATCH(ROWS(A$3:A30),$DN$3:$DN$401,0),COLUMN()),IF($A$1=1,INDEX($DQ$3:$DW$401,MATCH(ROWS(A$3:A30),$DW$3:$DW$401,0),COLUMN()),"")),"")</f>
        <v>02.08</v>
      </c>
      <c r="B30" s="48" t="str">
        <f ca="1">IFERROR(IF($A$1=2,INDEX($DH$3:$DN$401,MATCH(ROWS(B$3:B30),$DN$3:$DN$401,0),COLUMN()),IF($A$1=1,INDEX($DQ$3:$DW$400,MATCH(ROWS(B$3:B30),$DW$3:$DW$401,0),COLUMN()),"")),"")</f>
        <v>IMBALLAGGI DUREVOLI</v>
      </c>
      <c r="C30" s="48" t="str">
        <f ca="1">IFERROR(IF($A$1=2,INDEX($DH$3:$DN$401,MATCH(ROWS(C$3:C30),$DN$3:$DN$401,0),COLUMN()),IF($A$1=1,INDEX($DQ$3:$DW$401,MATCH(ROWS(C$3:C30),$DW$3:$DW$401,0),COLUMN()),"")),"")</f>
        <v>E</v>
      </c>
      <c r="D30" s="48" t="str">
        <f ca="1">IFERROR(IF($A$1=2,INDEX($DH$3:$DN$401,MATCH(ROWS(D$3:D30),$DN$3:$DN$401,0),COLUMN()),IF($A$1=1,INDEX($DQ$3:$DW$401,MATCH(ROWS(D$3:D30),$DW$3:$DW$401,0),COLUMN()),"")),"")</f>
        <v>D</v>
      </c>
      <c r="E30" s="48" t="str">
        <f ca="1">IFERROR(IF($A$1=2,INDEX($DH$3:$DN$401,MATCH(ROWS(E$3:E30),$DN$3:$DN$401,0),COLUMN()),IF($A$1=1,INDEX($DQ$3:$DW$401,MATCH(ROWS(E$3:E30),$DW$3:$DW$401,0),COLUMN()),"")),"")</f>
        <v>COSTI PLURIENNALI</v>
      </c>
      <c r="F30" s="48" t="str">
        <f ca="1">IFERROR(IF($A$1=2,INDEX($DH$3:$DN$401,MATCH(ROWS(F$3:F30),$DN$3:$DN$401,0),COLUMN()),IF($A$1=1,INDEX($DQ$3:$DX$401,MATCH(ROWS(F$3:F30),$DW$3:$DW$401,0),COLUMN()),"")),"")</f>
        <v>SP DARE</v>
      </c>
      <c r="G30" s="48" t="str">
        <f t="shared" ca="1" si="23"/>
        <v>SP</v>
      </c>
      <c r="H30" s="48" t="str">
        <f ca="1">IFERROR(IF($A$1=2,INDEX($DH$3:$DO$400,MATCH(ROWS(H$3:H30),$DN$3:$DN$400,0),COLUMN()),IF($A$1=1,INDEX($DQ$3:$DX$400,MATCH(ROWS(H$3:H30),$DW$3:$DW$400,0),COLUMN()),"")),"")</f>
        <v>pab2</v>
      </c>
      <c r="I30" s="48" t="str">
        <f t="shared" ca="1" si="0"/>
        <v/>
      </c>
      <c r="J30" s="48" t="str">
        <f t="shared" ca="1" si="24"/>
        <v/>
      </c>
      <c r="K30" s="48">
        <f t="shared" ca="1" si="25"/>
        <v>0</v>
      </c>
      <c r="L30" s="48">
        <f t="shared" ca="1" si="26"/>
        <v>0</v>
      </c>
      <c r="M30" s="48">
        <f ca="1">IFERROR(IF(IF(MID($A30,3,3)=".00",MID(A30,1,2),"")&lt;&gt;"",MAX($M$2:M29)+1,0),"")</f>
        <v>0</v>
      </c>
      <c r="N30" s="48" t="str">
        <f t="shared" ca="1" si="27"/>
        <v/>
      </c>
      <c r="O30" s="48" t="str">
        <f ca="1">IF(IFERROR(INDEX($N$3:$O$400,MATCH(ROWS($O$3:O30),$M$3:$M$400,0),1),"")&lt;&gt;"",CONCATENATE(INDEX($N$3:$O$400,MATCH(ROWS($O$3:O30),$M$3:$M$400,0),1),".00"),"")</f>
        <v>36.00</v>
      </c>
      <c r="P30" s="48" t="str">
        <f t="shared" ca="1" si="28"/>
        <v>SVALUTAZIONI</v>
      </c>
      <c r="Q30" s="48">
        <f ca="1">IF(M30&gt;=1,0,MAX($Q$2:Q29)+1)</f>
        <v>25</v>
      </c>
      <c r="R30" s="48">
        <f ca="1">IF(AND($U$2=2,S30&lt;&gt;""),MAX($R$2:R29)+1,0)</f>
        <v>12</v>
      </c>
      <c r="S30" s="48" t="str">
        <f t="shared" ca="1" si="81"/>
        <v>PATRIMONIO NETTO</v>
      </c>
      <c r="T30" s="48" t="str">
        <f ca="1">IFERROR(INDEX($R$3:$S$64,MATCH(ROWS($T$2:T29),$R$3:$R$64,0),2),"")</f>
        <v>AMMORTAMENTI IMMOBILIZZAZIONI MATERIALI</v>
      </c>
      <c r="U30" s="48" t="str">
        <f ca="1">IFERROR(INDEX(PDC,MATCH(ROWS(U$3:U30),$V$3:$V$400,0),2),"")</f>
        <v>FONDO AMMORTAMENTO ATTREZZATURE INDUSTRIALI</v>
      </c>
      <c r="V30" s="48">
        <f ca="1">IF(AND($T$1="VISUALIZZA TUTTI I CONTI",AA30&lt;&gt;""),MAX($V$2:V29)+1,IF(AND($U$2=2,AI30=$T$1),MAX($V$2:V29)+1,IF(AND($U$2=1,$T$1=AF30),MAX($V$2:V29)+1,0)))</f>
        <v>28</v>
      </c>
      <c r="Z30" s="246"/>
      <c r="AA30" s="48" t="str">
        <f t="shared" ca="1" si="29"/>
        <v>02.00</v>
      </c>
      <c r="AB30" s="48" t="str">
        <f ca="1">IFERROR(INDEX($A$3:$G$400,MATCH(ROWS(AB$3:AB30),$Q$3:$Q$400,0),1),"")</f>
        <v>02.13</v>
      </c>
      <c r="AC30" s="48" t="str">
        <f ca="1">IFERROR(INDEX($A$3:$G$400,MATCH(ROWS($AC$3:AC30),$Q$3:$Q$400,0),2),"")</f>
        <v>FONDO AMMORTAMENTO ATTREZZATURE INDUSTRIALI</v>
      </c>
      <c r="AD30" s="48" t="str">
        <f ca="1">IFERROR(INDEX($A$3:$G$400,MATCH(ROWS(AD$3:AD30),$Q$3:$Q$400,0),3),"")</f>
        <v>E</v>
      </c>
      <c r="AE30" s="48" t="str">
        <f ca="1">IFERROR(INDEX($A$3:$G$400,MATCH(ROWS(AE$3:AE30),$Q$3:$Q$400,0),4),"")</f>
        <v>A</v>
      </c>
      <c r="AF30" s="48" t="str">
        <f ca="1">IFERROR(INDEX($A$3:$G$400,MATCH(ROWS(AF$3:AF30),$Q$3:$Q$400,0),5),"")</f>
        <v>RETTIFICHE COSTI PLURIENNALI</v>
      </c>
      <c r="AG30" s="48" t="str">
        <f ca="1">IFERROR(INDEX($A$3:$G$400,MATCH(ROWS(AG$3:AG30),$Q$3:$Q$400,0),6),"")</f>
        <v>SP AVERE</v>
      </c>
      <c r="AH30" s="48" t="str">
        <f ca="1">IFERROR(INDEX($A$3:$G$400,MATCH(ROWS(AH$3:AH30),$Q$3:$Q$400,0),7),"")</f>
        <v>SP</v>
      </c>
      <c r="AI30" s="48" t="str">
        <f t="shared" ca="1" si="1"/>
        <v>IMMOBILIZZAZIONI MATERIALI</v>
      </c>
      <c r="AJ30" s="48" t="str">
        <f ca="1">IFERROR(INDEX($A$3:$H$400,MATCH(ROWS(AJ$3:AJ30),$Q$3:$Q$400,0),8),"")</f>
        <v>pab2</v>
      </c>
      <c r="AK30" s="48">
        <f t="shared" ca="1" si="2"/>
        <v>0</v>
      </c>
      <c r="AL30" s="48">
        <f t="shared" ca="1" si="3"/>
        <v>0</v>
      </c>
      <c r="AM30" s="48">
        <f t="shared" ca="1" si="30"/>
        <v>0</v>
      </c>
      <c r="AN30" s="48" t="str">
        <f t="shared" ca="1" si="31"/>
        <v/>
      </c>
      <c r="AO30" s="48">
        <f t="shared" ca="1" si="32"/>
        <v>0</v>
      </c>
      <c r="AP30" s="48">
        <f t="shared" ca="1" si="32"/>
        <v>0</v>
      </c>
      <c r="AQ30" s="48" t="str">
        <f t="shared" ca="1" si="4"/>
        <v>FONDO AMMORTAMENTO ATTREZZATURE INDUSTRIALI</v>
      </c>
      <c r="AR30" s="48">
        <f t="shared" ca="1" si="5"/>
        <v>0</v>
      </c>
      <c r="AS30" s="48">
        <f t="shared" ca="1" si="6"/>
        <v>0</v>
      </c>
      <c r="AT30" s="48">
        <f t="shared" ca="1" si="33"/>
        <v>0</v>
      </c>
      <c r="AU30" s="48">
        <f t="shared" ca="1" si="34"/>
        <v>0</v>
      </c>
      <c r="AV30" s="48">
        <f ca="1">IF(OR(AT30&gt;0,AU30&gt;0),MAX($AV$2:AV29)+1,0)</f>
        <v>0</v>
      </c>
      <c r="AZ30" s="241" t="str">
        <f t="shared" ca="1" si="35"/>
        <v/>
      </c>
      <c r="BA30" s="48">
        <f t="shared" ca="1" si="7"/>
        <v>0</v>
      </c>
      <c r="BB30" s="48">
        <f ca="1">IFERROR(INDEX($AQ$3:$AV$220,MATCH(ROWS($BB$3:BB30),$AV$3:$AV$220,0),1),0)</f>
        <v>0</v>
      </c>
      <c r="BC30" s="48" t="str">
        <f t="shared" ca="1" si="36"/>
        <v/>
      </c>
      <c r="BD30" s="48">
        <f ca="1">IFERROR(INDEX($AQ$3:$AV$220,MATCH(ROWS($BB$3:BD30),$AV$3:$AV$220,0),4),0)</f>
        <v>0</v>
      </c>
      <c r="BE30" s="48">
        <f ca="1">IFERROR(INDEX($AQ$3:$AV$220,MATCH(ROWS($BB$3:BE30),$AV$3:$AV$220,0),5),0)</f>
        <v>0</v>
      </c>
      <c r="BF30" s="48">
        <v>16</v>
      </c>
      <c r="BG30" s="48">
        <f ca="1">IF(IF(AND(OR(INDEX(PDC,MATCH($AC30,DEN_PDC,0),6)="SP DARE",INDEX(PDC,MATCH($AC30,DEN_PDC,0),6)="SP DARE/AVERE"),SUMIFS(DARE,DEN_G,$AC30)&gt;=SUMIFS(AVERE,DEN_G,$AC30)),SUMIFS(DARE,DEN_G,$AC30)-SUMIFS(AVERE,DEN_G,$AC30),0)&gt;0,MAX($BG$2:BG29)+1,0)</f>
        <v>0</v>
      </c>
      <c r="BH30" s="48">
        <f ca="1">IF(IF(AND(OR(INDEX(PDC,MATCH($AC30,DEN_PDC,0),6)="SP AVERE",INDEX(PDC,MATCH($AC30,DEN_PDC,0),6)="SP DARE/AVERE"),SUMIFS(AVERE,DEN_G,$AC30)&gt;=SUMIFS(DARE,DEN_G,$AC30)),SUMIFS(AVERE,DEN_G,$AC30)-SUMIFS(DARE,DEN_G,$AC30),0)&gt;0,MAX(BH$2:BH29)+1,0)</f>
        <v>0</v>
      </c>
      <c r="BI30" s="48">
        <f ca="1">IF(IF(AND(OR(INDEX(PDC,MATCH($AC30,DEN_PDC,0),6)="SE DARE",INDEX(PDC,MATCH($AC30,DEN_PDC,0),6)="SE DARE/AVERE"),SUMIFS(DARE,DEN_G,$AC30)&gt;=SUMIFS(AVERE,DEN_G,$AC30)),SUMIFS(DARE,DEN_G,$AC30)-SUMIFS(AVERE,DEN_G,$AC30),0)&gt;0,MAX(BI$2:BI29)+1,0)</f>
        <v>0</v>
      </c>
      <c r="BJ30" s="48">
        <f ca="1">IF(IF(AND(OR(INDEX(PDC,MATCH($AC30,DEN_PDC,0),6)="SE AVERE",INDEX(PDC,MATCH($AC30,DEN_PDC,0),6)="SE DARE/AVERE"),SUMIFS(AVERE,DEN_G,$AC30)&gt;=SUMIFS(DARE,DEN_G,$AC30)),SUMIFS(AVERE,DEN_G,$AC30)-SUMIFS(DARE,DEN_G,$AC30),0)&gt;0,MAX(BJ$2:BJ29)+1,0)</f>
        <v>0</v>
      </c>
      <c r="BK30" s="48" t="str">
        <f ca="1">IF(AND(AND($DY$2=0,$DY$1=0),$I$1=2,ROW()&gt;$BG$1+2,ROW()&lt;=$BG$1+4),"………………..",IF(AND(OR($DY$2&gt;0,$DY$1&gt;0),$I$1=2,ROW()&gt;$BG$1+2,ROW()&lt;=$BG$1+4),"………………..",IFERROR(INDEX($AC$3:$AC$398,MATCH(ROWS(BK$3:BK30),BG$3:BG$398,0),1),"")))</f>
        <v/>
      </c>
      <c r="BL30" s="48">
        <f t="shared" ca="1" si="69"/>
        <v>0</v>
      </c>
      <c r="BM30" s="48" t="str">
        <f ca="1">IF(AND(OR($DY$2=0,$DY$1=0),$I$1=2,ROW()&gt;$BH$1+2,ROW()&lt;=$BH$1+4),"………………..",IF(AND(OR($DY$2&gt;0,$DY$1&gt;0),$I$1=2,ROW()&gt;$BH$1+2,ROW()&lt;=$BH$1+4),"………………..",IFERROR(INDEX($AC$3:$AC$400,MATCH(ROWS(BM$3:BM30),BH$3:BH$400,0),1),"")))</f>
        <v/>
      </c>
      <c r="BN30" s="48">
        <f t="shared" ca="1" si="9"/>
        <v>0</v>
      </c>
      <c r="BO30" s="48" t="str">
        <f ca="1">IF(AND(OR($DY$2=0,$DY$1=0),$I$1=2,ROW()&gt;$BI$1+2,ROW()&lt;=$BI$1+4),"………………..",IF(AND(OR($DY$2&gt;0,$DY$1&gt;0),$I$1=2,ROW()&gt;$BI$1+2,ROW()&lt;=$BI$1+4),"………………..",IFERROR(INDEX($AC$3:$AC$400,MATCH(ROWS(BO$3:BO30),BI$3:BI$400,0),1),"")))</f>
        <v/>
      </c>
      <c r="BP30" s="48">
        <f t="shared" ca="1" si="10"/>
        <v>0</v>
      </c>
      <c r="BQ30" s="48" t="str">
        <f ca="1">IF(AND(OR($DY$2=0,$DY$1=0),$I$1=2,ROW()&gt;$BJ$1+2,ROW()&lt;=$BJ$1+4),"………………..",IF(AND(OR($DY$2&gt;0,$DY$1&gt;0),$I$1=2,ROW()&gt;$BJ$1+2,ROW()&lt;=$BJ$1+4),"………………..",IFERROR(INDEX($AC$3:$AC$400,MATCH(ROWS(BQ$3:BQ30),BJ$3:BJ$400,0),1),"")))</f>
        <v/>
      </c>
      <c r="BR30" s="48">
        <f t="shared" ca="1" si="11"/>
        <v>0</v>
      </c>
      <c r="BS30" s="48">
        <f ca="1">IF(IF(AND(OR(INDEX(PDC,MATCH($AC30,DEN_PDC,0),4)="D",INDEX(PDC,MATCH($AC30,DEN_PDC,0),4)="D/A"),SUMIFS(DARE,DEN_G,$AC30)&gt;=SUMIFS(AVERE,DEN_G,$AC30)),SUMIFS(DARE,DEN_G,$AC30),IF(AND(OR(INDEX(PDC,MATCH($AC30,DEN_PDC,0),4)="A",INDEX(PDC,MATCH($AC30,DEN_PDC,0),4)="D/A"),SUMIFS(AVERE,DEN_G,$AC30)&gt;=SUMIFS(DARE,DEN_G,$AC30)),SUMIFS(AVERE,DEN_G,$AC30),))&gt;0,MAX($BS$2:BS29)+1,0)</f>
        <v>0</v>
      </c>
      <c r="BT30" s="48" t="str">
        <f ca="1">IF($CO$1=0,"",IF(AND($I$1=2,ROW()&gt;$BR$1,ROW()&lt;=$BS$1)," …………….",IF(AND($E$1=1,$BX$1=1,$I$1=2,ROW()=$BQ$1),"TOTALI",IFERROR(INDEX(PDC,MATCH(ROWS(BT$3:BT30),BS$3:BS427,0),2),""))))</f>
        <v/>
      </c>
      <c r="BU30" s="48">
        <f t="shared" ca="1" si="12"/>
        <v>0</v>
      </c>
      <c r="BV30" s="48">
        <f t="shared" ca="1" si="13"/>
        <v>0</v>
      </c>
      <c r="BW30" s="48">
        <f t="shared" ca="1" si="14"/>
        <v>0</v>
      </c>
      <c r="BX30" s="48">
        <f t="shared" ca="1" si="15"/>
        <v>0</v>
      </c>
      <c r="BY30" s="48">
        <f ca="1">IF(OR(BW30&gt;0,BX30&gt;0),MAX($BY$2:BY29)+1,0)</f>
        <v>0</v>
      </c>
      <c r="BZ30" s="48" t="str">
        <f ca="1">IFERROR(INDEX($BT$3:$BY$400,MATCH(ROWS(BZ$3:BZ30),$BY$3:$BY$400,0),1),"")</f>
        <v/>
      </c>
      <c r="CA30" s="48" t="str">
        <f ca="1">IFERROR(INDEX($BT$3:$BY$400,MATCH(ROWS(CA$3:CA30),$BY$3:$BY$400,0),4),"")</f>
        <v/>
      </c>
      <c r="CB30" s="48" t="str">
        <f ca="1">IFERROR(INDEX($BT$3:$BY$400,MATCH(ROWS(CB$3:CB30),$BY$3:$BY$400,0),5),"")</f>
        <v/>
      </c>
      <c r="CC30" s="48" t="str">
        <f t="shared" ca="1" si="16"/>
        <v/>
      </c>
      <c r="CD30" s="48">
        <f ca="1">IF(AND($BF$9=1,CE30&lt;&gt;0),MAX($CD$2:CD29)+1,0)</f>
        <v>0</v>
      </c>
      <c r="CE30" s="48">
        <f ca="1">IF(ROUND(SUMIFS(COPIA!$CA$3:$CA$400,COPIA!$CC$3:$CC$400,CF30)-SUMIFS(COPIA!$CB$3:$CB$400,COPIA!$CC$3:$CC$400,CF30),0)&lt;0,0,ROUND(SUMIFS(COPIA!$CA$3:$CA$400,COPIA!$CC$3:$CC$400,CF30)-SUMIFS(COPIA!$CB$3:$CB$400,COPIA!$CC$3:$CC$400,CF30),0))</f>
        <v>0</v>
      </c>
      <c r="CF30" s="48" t="s">
        <v>607</v>
      </c>
      <c r="CG30" s="242" t="s">
        <v>806</v>
      </c>
      <c r="CH30" s="242">
        <f ca="1">CE30</f>
        <v>0</v>
      </c>
      <c r="CI30" s="242"/>
      <c r="CJ30" s="242">
        <f ca="1">SUMIFS(COPIA!$CA$3:$CA$400,COPIA!$CC$3:$CC$400,CF30)-SUMIFS(COPIA!$CB$3:$CB$400,COPIA!$CC$3:$CC$400,CF30)</f>
        <v>0</v>
      </c>
      <c r="CK30" s="48">
        <f ca="1">IF($CF$2=FALSE,0,IF(AND($BF$9=1,CJ30&lt;&gt;0),MAX($CK$21:CK29)+1,0))</f>
        <v>0</v>
      </c>
      <c r="CL30" s="48" t="s">
        <v>684</v>
      </c>
      <c r="CM30" s="242" t="str">
        <f t="shared" ca="1" si="37"/>
        <v/>
      </c>
      <c r="CN30" s="243">
        <f t="shared" ca="1" si="38"/>
        <v>0</v>
      </c>
      <c r="CO30" s="48" t="str">
        <f t="shared" ca="1" si="39"/>
        <v/>
      </c>
      <c r="CQ30" s="247">
        <f t="shared" ref="CQ30:CR34" ca="1" si="86">CQ22</f>
        <v>46388</v>
      </c>
      <c r="CR30" s="247">
        <f t="shared" ca="1" si="86"/>
        <v>46752</v>
      </c>
      <c r="CS30" s="48">
        <f t="shared" ref="CS30:CS33" ca="1" si="87">ABS(CS22-CT22)</f>
        <v>0</v>
      </c>
      <c r="CT30" s="242">
        <f ca="1">SUM($CS$29:CS30)</f>
        <v>0</v>
      </c>
      <c r="CU30" s="48">
        <f ca="1">IF(SUMIFS(AVERE,DEN_G,AC30,AVERE,"&gt;"&amp;0)+SUMIFS(DARE,DEN_G,AC30,DARE,"&gt;"&amp;0)&gt;0,MAX($CU$2:CU29)+1,0)</f>
        <v>0</v>
      </c>
      <c r="CV30" s="48" t="str">
        <f ca="1">IF(IFERROR(INDEX(PDC,MATCH(ROWS($CV$3:CV30),$CU$3:$CU$400,0),2),"")="CONTO DI RISULTATO ECONOMICO","",IFERROR(INDEX(PDC,MATCH(ROWS($CV$3:CV30),$CU$3:$CU$400,0),2),""))</f>
        <v/>
      </c>
      <c r="CW30" s="48">
        <f ca="1">IFERROR(IF(CV30&lt;&gt;"",MAX($CW$2:CW29)+1,0),0)</f>
        <v>0</v>
      </c>
      <c r="CX30" s="48">
        <f t="shared" ref="CX30:CX40" ca="1" si="88">$FF$5</f>
        <v>3</v>
      </c>
      <c r="CY30" s="48" t="str">
        <f t="shared" ca="1" si="85"/>
        <v>MASTRO</v>
      </c>
      <c r="DA30" s="48" t="str">
        <f ca="1">IF(DB29="","","Num. riga")</f>
        <v/>
      </c>
      <c r="DB30" s="48" t="str">
        <f t="shared" ref="DB30" ca="1" si="89">IF(DB29="","","Data")</f>
        <v/>
      </c>
      <c r="DC30" s="48" t="str">
        <f ca="1">IF(DB29="","","Operazioni")</f>
        <v/>
      </c>
      <c r="DD30" s="48" t="str">
        <f ca="1">IF(DB29="","","Dare        ")</f>
        <v/>
      </c>
      <c r="DE30" s="48" t="str">
        <f ca="1">IF(DB29="","","Avere        ")</f>
        <v/>
      </c>
      <c r="DF30" s="48">
        <f ca="1">IF(AND(CX30=$DF$1,CX30&lt;&gt;""),0,IF(AND(DB30&lt;&gt;"",OR(DB29&lt;&gt;"",DB31&lt;&gt;"")),MAX($DF$2:DF29)+1,0))</f>
        <v>0</v>
      </c>
      <c r="DH30" s="244" t="s">
        <v>334</v>
      </c>
      <c r="DI30" s="48" t="s">
        <v>1048</v>
      </c>
      <c r="DJ30" s="48" t="s">
        <v>311</v>
      </c>
      <c r="DK30" s="48" t="s">
        <v>298</v>
      </c>
      <c r="DL30" s="48" t="s">
        <v>318</v>
      </c>
      <c r="DM30" s="48" t="s">
        <v>299</v>
      </c>
      <c r="DN30" s="48">
        <f ca="1">IF(DI30&lt;&gt;"",MAX($DN$2:DN29)+1,0)</f>
        <v>15</v>
      </c>
      <c r="DO30" s="48" t="str">
        <f ca="1">IF($BF$9=1,"pab13","pab1")</f>
        <v>pab1</v>
      </c>
      <c r="DQ30" s="227" t="s">
        <v>330</v>
      </c>
      <c r="DR30" s="48" t="s">
        <v>17</v>
      </c>
      <c r="DS30" s="48" t="s">
        <v>311</v>
      </c>
      <c r="DT30" s="48" t="s">
        <v>275</v>
      </c>
      <c r="DU30" s="48" t="s">
        <v>9</v>
      </c>
      <c r="DV30" s="48" t="s">
        <v>270</v>
      </c>
      <c r="DW30" s="48">
        <f ca="1">IF(DR30&lt;&gt;"",MAX($DW$2:DW29)+1,0)</f>
        <v>8</v>
      </c>
      <c r="DX30" s="48" t="str">
        <f ca="1">IF($BF$9=1,"pab13","pab1")</f>
        <v>pab1</v>
      </c>
      <c r="DY30" s="48" t="str">
        <f t="shared" ca="1" si="19"/>
        <v/>
      </c>
      <c r="DZ30" s="48" t="str">
        <f t="shared" ca="1" si="40"/>
        <v/>
      </c>
      <c r="EA30" s="48" t="str">
        <f t="shared" ca="1" si="41"/>
        <v/>
      </c>
      <c r="EB30" s="48">
        <f t="shared" ca="1" si="42"/>
        <v>0</v>
      </c>
      <c r="EC30" s="48">
        <f t="shared" ca="1" si="43"/>
        <v>0</v>
      </c>
      <c r="ED30" s="48" t="str">
        <f t="shared" ca="1" si="44"/>
        <v/>
      </c>
      <c r="EE30" s="48">
        <f t="shared" ca="1" si="45"/>
        <v>0</v>
      </c>
      <c r="EF30" s="48" t="str">
        <f t="shared" ca="1" si="46"/>
        <v/>
      </c>
      <c r="EG30" s="48">
        <f t="shared" ca="1" si="47"/>
        <v>0</v>
      </c>
      <c r="EH30" s="48" t="str">
        <f t="shared" ca="1" si="48"/>
        <v/>
      </c>
      <c r="EI30" s="48">
        <f t="shared" ca="1" si="49"/>
        <v>0</v>
      </c>
      <c r="EJ30" s="48" t="str">
        <f t="shared" ca="1" si="50"/>
        <v/>
      </c>
      <c r="EK30" s="48">
        <f t="shared" ca="1" si="51"/>
        <v>0</v>
      </c>
      <c r="EL30" s="48">
        <f t="shared" ca="1" si="20"/>
        <v>0</v>
      </c>
      <c r="EM30" s="48">
        <f ca="1">IF(EL30&gt;=0,0,MAX($EM$2:EM29)+1)</f>
        <v>0</v>
      </c>
      <c r="EN30" s="48" t="str">
        <f t="shared" ca="1" si="21"/>
        <v/>
      </c>
      <c r="EO30" s="48" t="str">
        <f ca="1">IFERROR(INDEX($EM$3:$EN$400,MATCH(ROWS($EO$3:EO30),$EM$3:$EM$400,0),2),"")</f>
        <v/>
      </c>
      <c r="EP30" s="48">
        <f>ROW()</f>
        <v>30</v>
      </c>
      <c r="EQ30" s="48">
        <f t="shared" ca="1" si="22"/>
        <v>0</v>
      </c>
      <c r="ER30" s="48">
        <f ca="1">IF(ISNA(EQ30)=TRUE,MAX($ER$2:ER29)+1,0)</f>
        <v>0</v>
      </c>
      <c r="ES30" s="48" t="str">
        <f t="shared" ca="1" si="52"/>
        <v/>
      </c>
      <c r="ET30" s="48" t="str">
        <f ca="1">IFERROR(INDEX($ER$3:$ES$400,MATCH(ROWS($ET$3:ET30),$ER$3:$ER$400,0),2),"")</f>
        <v/>
      </c>
      <c r="EV30" s="48">
        <f ca="1">IFERROR(INDEX(LIBRO_GIORNALE!$O$11:$P$408,MATCH(ROWS($EV$2:EV29),LIBRO_GIORNALE!$P$11:$P$408,0),1),0)</f>
        <v>0</v>
      </c>
      <c r="EW30" s="48" t="str">
        <f t="shared" ca="1" si="53"/>
        <v>0</v>
      </c>
      <c r="EX30" s="48">
        <f t="shared" ca="1" si="54"/>
        <v>0</v>
      </c>
      <c r="EY30" s="48">
        <f ca="1">IF(EX30&gt;0,MAX($EY$2:EY29)+1,0)</f>
        <v>0</v>
      </c>
      <c r="EZ30" s="48">
        <f ca="1">IFERROR(INDEX($EX$3:$EX$400,MATCH(ROWS($EZ$3:EZ30),$EY$3:$EY$400,0),1),0)</f>
        <v>0</v>
      </c>
      <c r="FA30" s="48">
        <f ca="1">IF(EZ30&gt;0,0,MAX($FA$2:FA29)+1)</f>
        <v>28</v>
      </c>
      <c r="FB30" s="48">
        <f t="shared" ca="1" si="55"/>
        <v>0</v>
      </c>
      <c r="FC30" s="48">
        <f t="shared" ca="1" si="56"/>
        <v>28</v>
      </c>
      <c r="FD30" s="48">
        <f t="shared" ca="1" si="57"/>
        <v>28</v>
      </c>
      <c r="FE30" s="48">
        <f ca="1">IF(FD30=0,0,MAX($FE$2:FE29)+1)</f>
        <v>28</v>
      </c>
      <c r="FF30" s="48">
        <f ca="1">IFERROR(INDEX($FD$3:$FE$400,MATCH(ROWS($FF$3:FF30),$FE$3:$FE$400,0),1),"")</f>
        <v>28</v>
      </c>
      <c r="FH30" s="48">
        <f t="shared" ca="1" si="58"/>
        <v>0</v>
      </c>
      <c r="FI30" s="48">
        <f ca="1">IF(FH30&lt;&gt;0,MAX($FI$2:FI29)+1,0)</f>
        <v>0</v>
      </c>
      <c r="FJ30" s="48" t="str">
        <f ca="1">IFERROR(INDEX($FH$3:$FI$400,MATCH(ROWS($FJ$3:FJ30),$FI$3:$FI$400,0),1),"")</f>
        <v/>
      </c>
      <c r="FK30" s="48">
        <f ca="1">IF(ABS(SUMIFS(DARE,DEN_G,"="&amp;FJ30,DATA,"&lt;="&amp;FINE_AC,DATA,"&gt;="&amp;INIZIO_A_PC)-SUMIFS(AVERE,DEN_G,"="&amp;FJ30,DATA,"&lt;="&amp;FINE_AC,DATA,"&gt;="&amp;INIZIO_A_PC))&gt;0,MAX($FK$2:FK29)+1,0)</f>
        <v>0</v>
      </c>
      <c r="FL30" s="48" t="str">
        <f ca="1">IF(AND(ROW()-2&lt;&gt;1,ROW()-2&lt;=$FK$1),CONCATENATE(" - ",IFERROR(INDEX($FJ$3:$FK$400,MATCH(ROWS($FL$3:FL30),$FK$3:$FK$400,0),1),"")),IFERROR(INDEX($FJ$3:$FK$400,MATCH(ROWS($FL$3:FL30),$FK$3:$FK$400,0),1),""))</f>
        <v/>
      </c>
      <c r="FM30" s="48">
        <f ca="1">IF(OR(B30="IVA ns/credito",B30="IVA NS/DEBITO",B30="IVA C/ACCONTO",B30="IMPOSTE C/ACCONTO",B30="CREDITI PER RITENUTE SUBITE",B30="CREDITI D'IMPOSTA"),MAX($FM$2:FM29)+1,0)</f>
        <v>0</v>
      </c>
      <c r="FN30" s="48" t="str">
        <f t="shared" ca="1" si="59"/>
        <v/>
      </c>
      <c r="FO30" s="48" t="str">
        <f ca="1">IFERROR(INDEX($FM$3:$FN$400,MATCH(ROWS($FO$3:FO30),$FM$3:$FM$400,0),2),"")</f>
        <v/>
      </c>
      <c r="FP30" s="48">
        <f ca="1">IF(ABS(SUMIFS(DARE,DEN_G,"="&amp;FO30,DATA,"&lt;="&amp;FINE_AC,DATA,"&gt;="&amp;INIZIO_A_PC)-SUMIFS(AVERE,DEN_G,"="&amp;FO30,DATA,"&lt;="&amp;FINE_AC,DATA,"&gt;="&amp;INIZIO_A_PC))&gt;0,MAX($FP$2:FP29)+1,0)</f>
        <v>0</v>
      </c>
      <c r="FQ30" s="48" t="str">
        <f ca="1">IF(AND(ROW()-2&lt;&gt;1,ROW()-2&lt;=$FP$1),CONCATENATE(" - ",IFERROR(INDEX($FO$3:$FP$400,MATCH(ROWS($FQ$3:FQ30),$FP$3:$FP$400,0),1),"")),IFERROR(INDEX($FO$3:$FP$400,MATCH(ROWS($FQ$3:FQ30),$FP$3:$FP$400,0),1),""))</f>
        <v/>
      </c>
    </row>
    <row r="31" spans="1:173" x14ac:dyDescent="0.3">
      <c r="A31" s="48" t="str">
        <f ca="1">IFERROR(IF($A$1=2,INDEX($DH$3:$DN$401,MATCH(ROWS(A$3:A31),$DN$3:$DN$401,0),COLUMN()),IF($A$1=1,INDEX($DQ$3:$DW$401,MATCH(ROWS(A$3:A31),$DW$3:$DW$401,0),COLUMN()),"")),"")</f>
        <v>02.11</v>
      </c>
      <c r="B31" s="48" t="str">
        <f ca="1">IFERROR(IF($A$1=2,INDEX($DH$3:$DN$401,MATCH(ROWS(B$3:B31),$DN$3:$DN$401,0),COLUMN()),IF($A$1=1,INDEX($DQ$3:$DW$400,MATCH(ROWS(B$3:B31),$DW$3:$DW$401,0),COLUMN()),"")),"")</f>
        <v>FONDO AMMORTAMENTO FABBRICATI</v>
      </c>
      <c r="C31" s="48" t="str">
        <f ca="1">IFERROR(IF($A$1=2,INDEX($DH$3:$DN$401,MATCH(ROWS(C$3:C31),$DN$3:$DN$401,0),COLUMN()),IF($A$1=1,INDEX($DQ$3:$DW$401,MATCH(ROWS(C$3:C31),$DW$3:$DW$401,0),COLUMN()),"")),"")</f>
        <v>E</v>
      </c>
      <c r="D31" s="48" t="str">
        <f ca="1">IFERROR(IF($A$1=2,INDEX($DH$3:$DN$401,MATCH(ROWS(D$3:D31),$DN$3:$DN$401,0),COLUMN()),IF($A$1=1,INDEX($DQ$3:$DW$401,MATCH(ROWS(D$3:D31),$DW$3:$DW$401,0),COLUMN()),"")),"")</f>
        <v>A</v>
      </c>
      <c r="E31" s="48" t="str">
        <f ca="1">IFERROR(IF($A$1=2,INDEX($DH$3:$DN$401,MATCH(ROWS(E$3:E31),$DN$3:$DN$401,0),COLUMN()),IF($A$1=1,INDEX($DQ$3:$DW$401,MATCH(ROWS(E$3:E31),$DW$3:$DW$401,0),COLUMN()),"")),"")</f>
        <v>RETTIFICHE COSTI PLURIENNALI</v>
      </c>
      <c r="F31" s="48" t="str">
        <f ca="1">IFERROR(IF($A$1=2,INDEX($DH$3:$DN$401,MATCH(ROWS(F$3:F31),$DN$3:$DN$401,0),COLUMN()),IF($A$1=1,INDEX($DQ$3:$DX$401,MATCH(ROWS(F$3:F31),$DW$3:$DW$401,0),COLUMN()),"")),"")</f>
        <v>SP AVERE</v>
      </c>
      <c r="G31" s="48" t="str">
        <f t="shared" ca="1" si="23"/>
        <v>SP</v>
      </c>
      <c r="H31" s="48" t="str">
        <f ca="1">IFERROR(IF($A$1=2,INDEX($DH$3:$DO$400,MATCH(ROWS(H$3:H31),$DN$3:$DN$400,0),COLUMN()),IF($A$1=1,INDEX($DQ$3:$DX$400,MATCH(ROWS(H$3:H31),$DW$3:$DW$400,0),COLUMN()),"")),"")</f>
        <v>pab2</v>
      </c>
      <c r="I31" s="48" t="str">
        <f t="shared" ca="1" si="0"/>
        <v/>
      </c>
      <c r="J31" s="48" t="str">
        <f t="shared" ca="1" si="24"/>
        <v/>
      </c>
      <c r="K31" s="48">
        <f t="shared" ca="1" si="25"/>
        <v>0</v>
      </c>
      <c r="L31" s="48">
        <f t="shared" ca="1" si="26"/>
        <v>0</v>
      </c>
      <c r="M31" s="48">
        <f ca="1">IFERROR(IF(IF(MID($A31,3,3)=".00",MID(A31,1,2),"")&lt;&gt;"",MAX($M$2:M30)+1,0),"")</f>
        <v>0</v>
      </c>
      <c r="N31" s="48" t="str">
        <f t="shared" ca="1" si="27"/>
        <v/>
      </c>
      <c r="O31" s="48" t="str">
        <f ca="1">IF(IFERROR(INDEX($N$3:$O$400,MATCH(ROWS($O$3:O31),$M$3:$M$400,0),1),"")&lt;&gt;"",CONCATENATE(INDEX($N$3:$O$400,MATCH(ROWS($O$3:O31),$M$3:$M$400,0),1),".00"),"")</f>
        <v>37.00</v>
      </c>
      <c r="P31" s="48" t="str">
        <f t="shared" ca="1" si="28"/>
        <v>VARIAZIONI DELLE RIMANZENZE DI MATERIE</v>
      </c>
      <c r="Q31" s="48">
        <f ca="1">IF(M31&gt;=1,0,MAX($Q$2:Q30)+1)</f>
        <v>26</v>
      </c>
      <c r="R31" s="48">
        <f ca="1">IF(AND($U$2=2,S31&lt;&gt;""),MAX($R$2:R30)+1,0)</f>
        <v>13</v>
      </c>
      <c r="S31" s="48" t="str">
        <f t="shared" ca="1" si="81"/>
        <v>FONDI PER RISCHI E ONERI</v>
      </c>
      <c r="T31" s="48" t="str">
        <f ca="1">IFERROR(INDEX($R$3:$S$64,MATCH(ROWS($T$2:T30),$R$3:$R$64,0),2),"")</f>
        <v>SVALUTAZIONI</v>
      </c>
      <c r="U31" s="48" t="str">
        <f ca="1">IFERROR(INDEX(PDC,MATCH(ROWS(U$3:U31),$V$3:$V$400,0),2),"")</f>
        <v>FONDO AMMORTAMENTO ATTREZZATURE COMMERCIALI</v>
      </c>
      <c r="V31" s="48">
        <f ca="1">IF(AND($T$1="VISUALIZZA TUTTI I CONTI",AA31&lt;&gt;""),MAX($V$2:V30)+1,IF(AND($U$2=2,AI31=$T$1),MAX($V$2:V30)+1,IF(AND($U$2=1,$T$1=AF31),MAX($V$2:V30)+1,0)))</f>
        <v>29</v>
      </c>
      <c r="Z31" s="246"/>
      <c r="AA31" s="48" t="str">
        <f t="shared" ca="1" si="29"/>
        <v>02.00</v>
      </c>
      <c r="AB31" s="48" t="str">
        <f ca="1">IFERROR(INDEX($A$3:$G$400,MATCH(ROWS(AB$3:AB31),$Q$3:$Q$400,0),1),"")</f>
        <v>02.14</v>
      </c>
      <c r="AC31" s="48" t="str">
        <f ca="1">IFERROR(INDEX($A$3:$G$400,MATCH(ROWS($AC$3:AC31),$Q$3:$Q$400,0),2),"")</f>
        <v>FONDO AMMORTAMENTO ATTREZZATURE COMMERCIALI</v>
      </c>
      <c r="AD31" s="48" t="str">
        <f ca="1">IFERROR(INDEX($A$3:$G$400,MATCH(ROWS(AD$3:AD31),$Q$3:$Q$400,0),3),"")</f>
        <v>E</v>
      </c>
      <c r="AE31" s="48" t="str">
        <f ca="1">IFERROR(INDEX($A$3:$G$400,MATCH(ROWS(AE$3:AE31),$Q$3:$Q$400,0),4),"")</f>
        <v>A</v>
      </c>
      <c r="AF31" s="48" t="str">
        <f ca="1">IFERROR(INDEX($A$3:$G$400,MATCH(ROWS(AF$3:AF31),$Q$3:$Q$400,0),5),"")</f>
        <v>RETTIFICHE COSTI PLURIENNALI</v>
      </c>
      <c r="AG31" s="48" t="str">
        <f ca="1">IFERROR(INDEX($A$3:$G$400,MATCH(ROWS(AG$3:AG31),$Q$3:$Q$400,0),6),"")</f>
        <v>SP AVERE</v>
      </c>
      <c r="AH31" s="48" t="str">
        <f ca="1">IFERROR(INDEX($A$3:$G$400,MATCH(ROWS(AH$3:AH31),$Q$3:$Q$400,0),7),"")</f>
        <v>SP</v>
      </c>
      <c r="AI31" s="48" t="str">
        <f t="shared" ca="1" si="1"/>
        <v>IMMOBILIZZAZIONI MATERIALI</v>
      </c>
      <c r="AJ31" s="48" t="str">
        <f ca="1">IFERROR(INDEX($A$3:$H$400,MATCH(ROWS(AJ$3:AJ31),$Q$3:$Q$400,0),8),"")</f>
        <v>pab2</v>
      </c>
      <c r="AK31" s="48">
        <f t="shared" ca="1" si="2"/>
        <v>0</v>
      </c>
      <c r="AL31" s="48">
        <f t="shared" ca="1" si="3"/>
        <v>0</v>
      </c>
      <c r="AM31" s="48">
        <f t="shared" ca="1" si="30"/>
        <v>0</v>
      </c>
      <c r="AN31" s="48" t="str">
        <f t="shared" ca="1" si="31"/>
        <v/>
      </c>
      <c r="AO31" s="48">
        <f t="shared" ca="1" si="32"/>
        <v>0</v>
      </c>
      <c r="AP31" s="48">
        <f t="shared" ca="1" si="32"/>
        <v>0</v>
      </c>
      <c r="AQ31" s="48" t="str">
        <f t="shared" ca="1" si="4"/>
        <v>FONDO AMMORTAMENTO ATTREZZATURE COMMERCIALI</v>
      </c>
      <c r="AR31" s="48">
        <f t="shared" ca="1" si="5"/>
        <v>0</v>
      </c>
      <c r="AS31" s="48">
        <f t="shared" ca="1" si="6"/>
        <v>0</v>
      </c>
      <c r="AT31" s="48">
        <f t="shared" ca="1" si="33"/>
        <v>0</v>
      </c>
      <c r="AU31" s="48">
        <f t="shared" ca="1" si="34"/>
        <v>0</v>
      </c>
      <c r="AV31" s="48">
        <f ca="1">IF(OR(AT31&gt;0,AU31&gt;0),MAX($AV$2:AV30)+1,0)</f>
        <v>0</v>
      </c>
      <c r="AZ31" s="241" t="str">
        <f t="shared" ca="1" si="35"/>
        <v/>
      </c>
      <c r="BA31" s="48">
        <f t="shared" ca="1" si="7"/>
        <v>0</v>
      </c>
      <c r="BB31" s="48">
        <f ca="1">IFERROR(INDEX($AQ$3:$AV$220,MATCH(ROWS($BB$3:BB31),$AV$3:$AV$220,0),1),0)</f>
        <v>0</v>
      </c>
      <c r="BC31" s="48" t="str">
        <f t="shared" ca="1" si="36"/>
        <v/>
      </c>
      <c r="BD31" s="48">
        <f ca="1">IFERROR(INDEX($AQ$3:$AV$220,MATCH(ROWS($BB$3:BD31),$AV$3:$AV$220,0),4),0)</f>
        <v>0</v>
      </c>
      <c r="BE31" s="48">
        <f ca="1">IFERROR(INDEX($AQ$3:$AV$220,MATCH(ROWS($BB$3:BE31),$AV$3:$AV$220,0),5),0)</f>
        <v>0</v>
      </c>
      <c r="BF31" s="48">
        <v>17</v>
      </c>
      <c r="BG31" s="48">
        <f ca="1">IF(IF(AND(OR(INDEX(PDC,MATCH($AC31,DEN_PDC,0),6)="SP DARE",INDEX(PDC,MATCH($AC31,DEN_PDC,0),6)="SP DARE/AVERE"),SUMIFS(DARE,DEN_G,$AC31)&gt;=SUMIFS(AVERE,DEN_G,$AC31)),SUMIFS(DARE,DEN_G,$AC31)-SUMIFS(AVERE,DEN_G,$AC31),0)&gt;0,MAX($BG$2:BG30)+1,0)</f>
        <v>0</v>
      </c>
      <c r="BH31" s="48">
        <f ca="1">IF(IF(AND(OR(INDEX(PDC,MATCH($AC31,DEN_PDC,0),6)="SP AVERE",INDEX(PDC,MATCH($AC31,DEN_PDC,0),6)="SP DARE/AVERE"),SUMIFS(AVERE,DEN_G,$AC31)&gt;=SUMIFS(DARE,DEN_G,$AC31)),SUMIFS(AVERE,DEN_G,$AC31)-SUMIFS(DARE,DEN_G,$AC31),0)&gt;0,MAX(BH$2:BH30)+1,0)</f>
        <v>0</v>
      </c>
      <c r="BI31" s="48">
        <f ca="1">IF(IF(AND(OR(INDEX(PDC,MATCH($AC31,DEN_PDC,0),6)="SE DARE",INDEX(PDC,MATCH($AC31,DEN_PDC,0),6)="SE DARE/AVERE"),SUMIFS(DARE,DEN_G,$AC31)&gt;=SUMIFS(AVERE,DEN_G,$AC31)),SUMIFS(DARE,DEN_G,$AC31)-SUMIFS(AVERE,DEN_G,$AC31),0)&gt;0,MAX(BI$2:BI30)+1,0)</f>
        <v>0</v>
      </c>
      <c r="BJ31" s="48">
        <f ca="1">IF(IF(AND(OR(INDEX(PDC,MATCH($AC31,DEN_PDC,0),6)="SE AVERE",INDEX(PDC,MATCH($AC31,DEN_PDC,0),6)="SE DARE/AVERE"),SUMIFS(AVERE,DEN_G,$AC31)&gt;=SUMIFS(DARE,DEN_G,$AC31)),SUMIFS(AVERE,DEN_G,$AC31)-SUMIFS(DARE,DEN_G,$AC31),0)&gt;0,MAX(BJ$2:BJ30)+1,0)</f>
        <v>0</v>
      </c>
      <c r="BK31" s="48" t="str">
        <f ca="1">IF(AND(AND($DY$2=0,$DY$1=0),$I$1=2,ROW()&gt;$BG$1+2,ROW()&lt;=$BG$1+4),"………………..",IF(AND(OR($DY$2&gt;0,$DY$1&gt;0),$I$1=2,ROW()&gt;$BG$1+2,ROW()&lt;=$BG$1+4),"………………..",IFERROR(INDEX($AC$3:$AC$398,MATCH(ROWS(BK$3:BK31),BG$3:BG$398,0),1),"")))</f>
        <v/>
      </c>
      <c r="BL31" s="48">
        <f t="shared" ca="1" si="69"/>
        <v>0</v>
      </c>
      <c r="BM31" s="48" t="str">
        <f ca="1">IF(AND(OR($DY$2=0,$DY$1=0),$I$1=2,ROW()&gt;$BH$1+2,ROW()&lt;=$BH$1+4),"………………..",IF(AND(OR($DY$2&gt;0,$DY$1&gt;0),$I$1=2,ROW()&gt;$BH$1+2,ROW()&lt;=$BH$1+4),"………………..",IFERROR(INDEX($AC$3:$AC$400,MATCH(ROWS(BM$3:BM31),BH$3:BH$400,0),1),"")))</f>
        <v/>
      </c>
      <c r="BN31" s="48">
        <f t="shared" ca="1" si="9"/>
        <v>0</v>
      </c>
      <c r="BO31" s="48" t="str">
        <f ca="1">IF(AND(OR($DY$2=0,$DY$1=0),$I$1=2,ROW()&gt;$BI$1+2,ROW()&lt;=$BI$1+4),"………………..",IF(AND(OR($DY$2&gt;0,$DY$1&gt;0),$I$1=2,ROW()&gt;$BI$1+2,ROW()&lt;=$BI$1+4),"………………..",IFERROR(INDEX($AC$3:$AC$400,MATCH(ROWS(BO$3:BO31),BI$3:BI$400,0),1),"")))</f>
        <v/>
      </c>
      <c r="BP31" s="48">
        <f t="shared" ca="1" si="10"/>
        <v>0</v>
      </c>
      <c r="BQ31" s="48" t="str">
        <f ca="1">IF(AND(OR($DY$2=0,$DY$1=0),$I$1=2,ROW()&gt;$BJ$1+2,ROW()&lt;=$BJ$1+4),"………………..",IF(AND(OR($DY$2&gt;0,$DY$1&gt;0),$I$1=2,ROW()&gt;$BJ$1+2,ROW()&lt;=$BJ$1+4),"………………..",IFERROR(INDEX($AC$3:$AC$400,MATCH(ROWS(BQ$3:BQ31),BJ$3:BJ$400,0),1),"")))</f>
        <v/>
      </c>
      <c r="BR31" s="48">
        <f t="shared" ca="1" si="11"/>
        <v>0</v>
      </c>
      <c r="BS31" s="48">
        <f ca="1">IF(IF(AND(OR(INDEX(PDC,MATCH($AC31,DEN_PDC,0),4)="D",INDEX(PDC,MATCH($AC31,DEN_PDC,0),4)="D/A"),SUMIFS(DARE,DEN_G,$AC31)&gt;=SUMIFS(AVERE,DEN_G,$AC31)),SUMIFS(DARE,DEN_G,$AC31),IF(AND(OR(INDEX(PDC,MATCH($AC31,DEN_PDC,0),4)="A",INDEX(PDC,MATCH($AC31,DEN_PDC,0),4)="D/A"),SUMIFS(AVERE,DEN_G,$AC31)&gt;=SUMIFS(DARE,DEN_G,$AC31)),SUMIFS(AVERE,DEN_G,$AC31),))&gt;0,MAX($BS$2:BS30)+1,0)</f>
        <v>0</v>
      </c>
      <c r="BT31" s="48" t="str">
        <f ca="1">IF($CO$1=0,"",IF(AND($I$1=2,ROW()&gt;$BR$1,ROW()&lt;=$BS$1)," …………….",IF(AND($E$1=1,$BX$1=1,$I$1=2,ROW()=$BQ$1),"TOTALI",IFERROR(INDEX(PDC,MATCH(ROWS(BT$3:BT31),BS$3:BS428,0),2),""))))</f>
        <v/>
      </c>
      <c r="BU31" s="48">
        <f t="shared" ca="1" si="12"/>
        <v>0</v>
      </c>
      <c r="BV31" s="48">
        <f t="shared" ca="1" si="13"/>
        <v>0</v>
      </c>
      <c r="BW31" s="48">
        <f t="shared" ca="1" si="14"/>
        <v>0</v>
      </c>
      <c r="BX31" s="48">
        <f t="shared" ca="1" si="15"/>
        <v>0</v>
      </c>
      <c r="BY31" s="48">
        <f ca="1">IF(OR(BW31&gt;0,BX31&gt;0),MAX($BY$2:BY30)+1,0)</f>
        <v>0</v>
      </c>
      <c r="BZ31" s="48" t="str">
        <f ca="1">IFERROR(INDEX($BT$3:$BY$400,MATCH(ROWS(BZ$3:BZ31),$BY$3:$BY$400,0),1),"")</f>
        <v/>
      </c>
      <c r="CA31" s="48" t="str">
        <f ca="1">IFERROR(INDEX($BT$3:$BY$400,MATCH(ROWS(CA$3:CA31),$BY$3:$BY$400,0),4),"")</f>
        <v/>
      </c>
      <c r="CB31" s="48" t="str">
        <f ca="1">IFERROR(INDEX($BT$3:$BY$400,MATCH(ROWS(CB$3:CB31),$BY$3:$BY$400,0),5),"")</f>
        <v/>
      </c>
      <c r="CC31" s="48" t="str">
        <f t="shared" ca="1" si="16"/>
        <v/>
      </c>
      <c r="CD31" s="48">
        <f ca="1">IF(AND($BF$9=1,CE31&lt;&gt;0),MAX($CD$2:CD30)+1,0)</f>
        <v>0</v>
      </c>
      <c r="CE31" s="48">
        <f ca="1">ROUND(IFERROR(INDEX(BILANCIO!$I$13:$J$59,MATCH(CF31,BILANCIO!$J$13:$J$59,0),1),0),0)</f>
        <v>0</v>
      </c>
      <c r="CF31" s="48" t="s">
        <v>684</v>
      </c>
      <c r="CG31" s="242" t="s">
        <v>570</v>
      </c>
      <c r="CH31" s="242"/>
      <c r="CI31" s="242"/>
      <c r="CJ31" s="242">
        <f ca="1">SUMIFS(COPIA!$CA$3:$CA$400,COPIA!$CC$3:$CC$400,CF31)-SUMIFS(COPIA!$CB$3:$CB$400,COPIA!$CC$3:$CC$400,CF31)</f>
        <v>0</v>
      </c>
      <c r="CK31" s="48">
        <f ca="1">IF($CF$2=FALSE,0,IF(AND($BF$9=1,CJ31&lt;&gt;0),MAX($CK$21:CK30)+1,0))</f>
        <v>0</v>
      </c>
      <c r="CM31" s="242" t="str">
        <f t="shared" ca="1" si="37"/>
        <v/>
      </c>
      <c r="CN31" s="243">
        <f t="shared" ca="1" si="38"/>
        <v>0</v>
      </c>
      <c r="CO31" s="48" t="str">
        <f t="shared" ca="1" si="39"/>
        <v/>
      </c>
      <c r="CQ31" s="247">
        <f t="shared" ca="1" si="86"/>
        <v>46753</v>
      </c>
      <c r="CR31" s="247">
        <f t="shared" ca="1" si="86"/>
        <v>47118</v>
      </c>
      <c r="CS31" s="48">
        <f t="shared" ca="1" si="87"/>
        <v>0</v>
      </c>
      <c r="CT31" s="242">
        <f ca="1">SUM($CS$29:CS31)</f>
        <v>0</v>
      </c>
      <c r="CU31" s="48">
        <f ca="1">IF(SUMIFS(AVERE,DEN_G,AC31,AVERE,"&gt;"&amp;0)+SUMIFS(DARE,DEN_G,AC31,DARE,"&gt;"&amp;0)&gt;0,MAX($CU$2:CU30)+1,0)</f>
        <v>0</v>
      </c>
      <c r="CV31" s="48" t="str">
        <f ca="1">IF(IFERROR(INDEX(PDC,MATCH(ROWS($CV$3:CV31),$CU$3:$CU$400,0),2),"")="CONTO DI RISULTATO ECONOMICO","",IFERROR(INDEX(PDC,MATCH(ROWS($CV$3:CV31),$CU$3:$CU$400,0),2),""))</f>
        <v/>
      </c>
      <c r="CW31" s="48">
        <f ca="1">IFERROR(IF(CV31&lt;&gt;"",MAX($CW$2:CW30)+1,0),0)</f>
        <v>0</v>
      </c>
      <c r="CX31" s="48">
        <f t="shared" ca="1" si="88"/>
        <v>3</v>
      </c>
      <c r="CY31" s="48" t="str">
        <f t="shared" ca="1" si="85"/>
        <v>MASTRO</v>
      </c>
      <c r="CZ31" s="48" t="e">
        <f t="shared" ref="CZ31:CZ40" ca="1" si="90">SUM(MATCH($CY31,INDIRECT(ADDRESS(SUM(CZ30)+3,54)&amp;":"&amp;ADDRESS(400,54)),0),CZ30)</f>
        <v>#N/A</v>
      </c>
      <c r="DA31" s="48" t="str">
        <f ca="1">IFERROR(INDEX(LIBRO_GIORNALE,CZ31,1),"")</f>
        <v/>
      </c>
      <c r="DB31" s="48" t="str">
        <f t="shared" ca="1" si="76"/>
        <v/>
      </c>
      <c r="DC31" s="48" t="str">
        <f t="shared" ref="DC31:DC40" ca="1" si="91">IF(IFERROR(INDEX(LIBRO_GIORNALE,CZ31,4),"")=0,"manca la descrizione dell'operazione",IFERROR(INDEX(LIBRO_GIORNALE,CZ31,4),""))</f>
        <v/>
      </c>
      <c r="DD31" s="48" t="str">
        <f t="shared" ref="DD31:DD40" ca="1" si="92">IFERROR(IF(INDEX(LIBRO_GIORNALE,CZ31,5)&gt;0,INDEX(LIBRO_GIORNALE,CZ31,5),""),"")</f>
        <v/>
      </c>
      <c r="DE31" s="48" t="str">
        <f t="shared" ref="DE31:DE40" ca="1" si="93">IFERROR(IF(INDEX(LIBRO_GIORNALE,CZ31,6)&gt;0,INDEX(LIBRO_GIORNALE,CZ31,6),""),"")</f>
        <v/>
      </c>
      <c r="DF31" s="48">
        <f ca="1">IF(AND(CX31=$DF$1,CX31&lt;&gt;""),0,IF(AND(DB31&lt;&gt;"",OR(DB30&lt;&gt;"",DB32&lt;&gt;"")),MAX($DF$2:DF30)+1,0))</f>
        <v>0</v>
      </c>
      <c r="DH31" s="244" t="s">
        <v>335</v>
      </c>
      <c r="DI31" s="48" t="s">
        <v>758</v>
      </c>
      <c r="DJ31" s="48" t="s">
        <v>311</v>
      </c>
      <c r="DK31" s="48" t="s">
        <v>298</v>
      </c>
      <c r="DL31" s="48" t="s">
        <v>318</v>
      </c>
      <c r="DM31" s="48" t="s">
        <v>299</v>
      </c>
      <c r="DN31" s="48">
        <f ca="1">IF(DI31&lt;&gt;"",MAX($DN$2:DN30)+1,0)</f>
        <v>16</v>
      </c>
      <c r="DO31" s="48" t="str">
        <f ca="1">IF($BF$9=1,"pab13","pab1")</f>
        <v>pab1</v>
      </c>
      <c r="DQ31" s="227" t="s">
        <v>331</v>
      </c>
      <c r="DR31" s="48" t="s">
        <v>18</v>
      </c>
      <c r="DS31" s="48" t="s">
        <v>311</v>
      </c>
      <c r="DT31" s="48" t="s">
        <v>275</v>
      </c>
      <c r="DU31" s="48" t="s">
        <v>9</v>
      </c>
      <c r="DV31" s="48" t="s">
        <v>270</v>
      </c>
      <c r="DW31" s="48">
        <f ca="1">IF(DR31&lt;&gt;"",MAX($DW$2:DW30)+1,0)</f>
        <v>9</v>
      </c>
      <c r="DX31" s="48" t="str">
        <f ca="1">IF($BF$9=1,"pab15","pab1")</f>
        <v>pab1</v>
      </c>
      <c r="DY31" s="48" t="str">
        <f t="shared" ca="1" si="19"/>
        <v/>
      </c>
      <c r="DZ31" s="48" t="str">
        <f t="shared" ca="1" si="40"/>
        <v/>
      </c>
      <c r="EA31" s="48" t="str">
        <f t="shared" ca="1" si="41"/>
        <v/>
      </c>
      <c r="EB31" s="48">
        <f t="shared" ca="1" si="42"/>
        <v>0</v>
      </c>
      <c r="EC31" s="48">
        <f t="shared" ca="1" si="43"/>
        <v>0</v>
      </c>
      <c r="ED31" s="48" t="str">
        <f t="shared" ca="1" si="44"/>
        <v/>
      </c>
      <c r="EE31" s="48">
        <f t="shared" ca="1" si="45"/>
        <v>0</v>
      </c>
      <c r="EF31" s="48" t="str">
        <f t="shared" ca="1" si="46"/>
        <v/>
      </c>
      <c r="EG31" s="48">
        <f t="shared" ca="1" si="47"/>
        <v>0</v>
      </c>
      <c r="EH31" s="48" t="str">
        <f t="shared" ca="1" si="48"/>
        <v/>
      </c>
      <c r="EI31" s="48">
        <f t="shared" ca="1" si="49"/>
        <v>0</v>
      </c>
      <c r="EJ31" s="48" t="str">
        <f t="shared" ca="1" si="50"/>
        <v/>
      </c>
      <c r="EK31" s="48">
        <f t="shared" ca="1" si="51"/>
        <v>0</v>
      </c>
      <c r="EL31" s="48">
        <f t="shared" ca="1" si="20"/>
        <v>0</v>
      </c>
      <c r="EM31" s="48">
        <f ca="1">IF(EL31&gt;=0,0,MAX($EM$2:EM30)+1)</f>
        <v>0</v>
      </c>
      <c r="EN31" s="48" t="str">
        <f t="shared" ca="1" si="21"/>
        <v/>
      </c>
      <c r="EO31" s="48" t="str">
        <f ca="1">IFERROR(INDEX($EM$3:$EN$400,MATCH(ROWS($EO$3:EO31),$EM$3:$EM$400,0),2),"")</f>
        <v/>
      </c>
      <c r="EP31" s="48">
        <f>ROW()</f>
        <v>31</v>
      </c>
      <c r="EQ31" s="48">
        <f t="shared" ca="1" si="22"/>
        <v>0</v>
      </c>
      <c r="ER31" s="48">
        <f ca="1">IF(ISNA(EQ31)=TRUE,MAX($ER$2:ER30)+1,0)</f>
        <v>0</v>
      </c>
      <c r="ES31" s="48" t="str">
        <f t="shared" ca="1" si="52"/>
        <v/>
      </c>
      <c r="ET31" s="48" t="str">
        <f ca="1">IFERROR(INDEX($ER$3:$ES$400,MATCH(ROWS($ET$3:ET31),$ER$3:$ER$400,0),2),"")</f>
        <v/>
      </c>
      <c r="EV31" s="48">
        <f ca="1">IFERROR(INDEX(LIBRO_GIORNALE!$O$11:$P$408,MATCH(ROWS($EV$2:EV30),LIBRO_GIORNALE!$P$11:$P$408,0),1),0)</f>
        <v>0</v>
      </c>
      <c r="EW31" s="48" t="str">
        <f t="shared" ca="1" si="53"/>
        <v>0</v>
      </c>
      <c r="EX31" s="48">
        <f t="shared" ca="1" si="54"/>
        <v>0</v>
      </c>
      <c r="EY31" s="48">
        <f ca="1">IF(EX31&gt;0,MAX($EY$2:EY30)+1,0)</f>
        <v>0</v>
      </c>
      <c r="EZ31" s="48">
        <f ca="1">IFERROR(INDEX($EX$3:$EX$400,MATCH(ROWS($EZ$3:EZ31),$EY$3:$EY$400,0),1),0)</f>
        <v>0</v>
      </c>
      <c r="FA31" s="48">
        <f ca="1">IF(EZ31&gt;0,0,MAX($FA$2:FA30)+1)</f>
        <v>29</v>
      </c>
      <c r="FB31" s="48">
        <f t="shared" ca="1" si="55"/>
        <v>0</v>
      </c>
      <c r="FC31" s="48">
        <f t="shared" ca="1" si="56"/>
        <v>29</v>
      </c>
      <c r="FD31" s="48">
        <f t="shared" ca="1" si="57"/>
        <v>29</v>
      </c>
      <c r="FE31" s="48">
        <f ca="1">IF(FD31=0,0,MAX($FE$2:FE30)+1)</f>
        <v>29</v>
      </c>
      <c r="FF31" s="48">
        <f ca="1">IFERROR(INDEX($FD$3:$FE$400,MATCH(ROWS($FF$3:FF31),$FE$3:$FE$400,0),1),"")</f>
        <v>29</v>
      </c>
      <c r="FH31" s="48">
        <f t="shared" ca="1" si="58"/>
        <v>0</v>
      </c>
      <c r="FI31" s="48">
        <f ca="1">IF(FH31&lt;&gt;0,MAX($FI$2:FI30)+1,0)</f>
        <v>0</v>
      </c>
      <c r="FJ31" s="48" t="str">
        <f ca="1">IFERROR(INDEX($FH$3:$FI$400,MATCH(ROWS($FJ$3:FJ31),$FI$3:$FI$400,0),1),"")</f>
        <v/>
      </c>
      <c r="FK31" s="48">
        <f ca="1">IF(ABS(SUMIFS(DARE,DEN_G,"="&amp;FJ31,DATA,"&lt;="&amp;FINE_AC,DATA,"&gt;="&amp;INIZIO_A_PC)-SUMIFS(AVERE,DEN_G,"="&amp;FJ31,DATA,"&lt;="&amp;FINE_AC,DATA,"&gt;="&amp;INIZIO_A_PC))&gt;0,MAX($FK$2:FK30)+1,0)</f>
        <v>0</v>
      </c>
      <c r="FL31" s="48" t="str">
        <f ca="1">IF(AND(ROW()-2&lt;&gt;1,ROW()-2&lt;=$FK$1),CONCATENATE(" - ",IFERROR(INDEX($FJ$3:$FK$400,MATCH(ROWS($FL$3:FL31),$FK$3:$FK$400,0),1),"")),IFERROR(INDEX($FJ$3:$FK$400,MATCH(ROWS($FL$3:FL31),$FK$3:$FK$400,0),1),""))</f>
        <v/>
      </c>
      <c r="FM31" s="48">
        <f ca="1">IF(OR(B31="IVA ns/credito",B31="IVA NS/DEBITO",B31="IVA C/ACCONTO",B31="IMPOSTE C/ACCONTO",B31="CREDITI PER RITENUTE SUBITE",B31="CREDITI D'IMPOSTA"),MAX($FM$2:FM30)+1,0)</f>
        <v>0</v>
      </c>
      <c r="FN31" s="48" t="str">
        <f t="shared" ca="1" si="59"/>
        <v/>
      </c>
      <c r="FO31" s="48" t="str">
        <f ca="1">IFERROR(INDEX($FM$3:$FN$400,MATCH(ROWS($FO$3:FO31),$FM$3:$FM$400,0),2),"")</f>
        <v/>
      </c>
      <c r="FP31" s="48">
        <f ca="1">IF(ABS(SUMIFS(DARE,DEN_G,"="&amp;FO31,DATA,"&lt;="&amp;FINE_AC,DATA,"&gt;="&amp;INIZIO_A_PC)-SUMIFS(AVERE,DEN_G,"="&amp;FO31,DATA,"&lt;="&amp;FINE_AC,DATA,"&gt;="&amp;INIZIO_A_PC))&gt;0,MAX($FP$2:FP30)+1,0)</f>
        <v>0</v>
      </c>
      <c r="FQ31" s="48" t="str">
        <f ca="1">IF(AND(ROW()-2&lt;&gt;1,ROW()-2&lt;=$FP$1),CONCATENATE(" - ",IFERROR(INDEX($FO$3:$FP$400,MATCH(ROWS($FQ$3:FQ31),$FP$3:$FP$400,0),1),"")),IFERROR(INDEX($FO$3:$FP$400,MATCH(ROWS($FQ$3:FQ31),$FP$3:$FP$400,0),1),""))</f>
        <v/>
      </c>
    </row>
    <row r="32" spans="1:173" x14ac:dyDescent="0.3">
      <c r="A32" s="48" t="str">
        <f ca="1">IFERROR(IF($A$1=2,INDEX($DH$3:$DN$401,MATCH(ROWS(A$3:A32),$DN$3:$DN$401,0),COLUMN()),IF($A$1=1,INDEX($DQ$3:$DW$401,MATCH(ROWS(A$3:A32),$DW$3:$DW$401,0),COLUMN()),"")),"")</f>
        <v>02.12</v>
      </c>
      <c r="B32" s="48" t="str">
        <f ca="1">IFERROR(IF($A$1=2,INDEX($DH$3:$DN$401,MATCH(ROWS(B$3:B32),$DN$3:$DN$401,0),COLUMN()),IF($A$1=1,INDEX($DQ$3:$DW$400,MATCH(ROWS(B$3:B32),$DW$3:$DW$401,0),COLUMN()),"")),"")</f>
        <v>FONDO AMMORTAMENTO IMPIANTI E MACCHINARI</v>
      </c>
      <c r="C32" s="48" t="str">
        <f ca="1">IFERROR(IF($A$1=2,INDEX($DH$3:$DN$401,MATCH(ROWS(C$3:C32),$DN$3:$DN$401,0),COLUMN()),IF($A$1=1,INDEX($DQ$3:$DW$401,MATCH(ROWS(C$3:C32),$DW$3:$DW$401,0),COLUMN()),"")),"")</f>
        <v>E</v>
      </c>
      <c r="D32" s="48" t="str">
        <f ca="1">IFERROR(IF($A$1=2,INDEX($DH$3:$DN$401,MATCH(ROWS(D$3:D32),$DN$3:$DN$401,0),COLUMN()),IF($A$1=1,INDEX($DQ$3:$DW$401,MATCH(ROWS(D$3:D32),$DW$3:$DW$401,0),COLUMN()),"")),"")</f>
        <v>A</v>
      </c>
      <c r="E32" s="48" t="str">
        <f ca="1">IFERROR(IF($A$1=2,INDEX($DH$3:$DN$401,MATCH(ROWS(E$3:E32),$DN$3:$DN$401,0),COLUMN()),IF($A$1=1,INDEX($DQ$3:$DW$401,MATCH(ROWS(E$3:E32),$DW$3:$DW$401,0),COLUMN()),"")),"")</f>
        <v>RETTIFICHE COSTI PLURIENNALI</v>
      </c>
      <c r="F32" s="48" t="str">
        <f ca="1">IFERROR(IF($A$1=2,INDEX($DH$3:$DN$401,MATCH(ROWS(F$3:F32),$DN$3:$DN$401,0),COLUMN()),IF($A$1=1,INDEX($DQ$3:$DX$401,MATCH(ROWS(F$3:F32),$DW$3:$DW$401,0),COLUMN()),"")),"")</f>
        <v>SP AVERE</v>
      </c>
      <c r="G32" s="48" t="str">
        <f t="shared" ca="1" si="23"/>
        <v>SP</v>
      </c>
      <c r="H32" s="48" t="str">
        <f ca="1">IFERROR(IF($A$1=2,INDEX($DH$3:$DO$400,MATCH(ROWS(H$3:H32),$DN$3:$DN$400,0),COLUMN()),IF($A$1=1,INDEX($DQ$3:$DX$400,MATCH(ROWS(H$3:H32),$DW$3:$DW$400,0),COLUMN()),"")),"")</f>
        <v>pab2</v>
      </c>
      <c r="I32" s="48" t="str">
        <f t="shared" ca="1" si="0"/>
        <v/>
      </c>
      <c r="J32" s="48" t="str">
        <f t="shared" ca="1" si="24"/>
        <v/>
      </c>
      <c r="K32" s="48">
        <f t="shared" ca="1" si="25"/>
        <v>0</v>
      </c>
      <c r="L32" s="48">
        <f t="shared" ca="1" si="26"/>
        <v>0</v>
      </c>
      <c r="M32" s="48">
        <f ca="1">IFERROR(IF(IF(MID($A32,3,3)=".00",MID(A32,1,2),"")&lt;&gt;"",MAX($M$2:M31)+1,0),"")</f>
        <v>0</v>
      </c>
      <c r="N32" s="48" t="str">
        <f t="shared" ca="1" si="27"/>
        <v/>
      </c>
      <c r="O32" s="48" t="str">
        <f ca="1">IF(IFERROR(INDEX($N$3:$O$400,MATCH(ROWS($O$3:O32),$M$3:$M$400,0),1),"")&lt;&gt;"",CONCATENATE(INDEX($N$3:$O$400,MATCH(ROWS($O$3:O32),$M$3:$M$400,0),1),".00"),"")</f>
        <v>38.00</v>
      </c>
      <c r="P32" s="48" t="str">
        <f t="shared" ca="1" si="28"/>
        <v>ACCANTONAMENTI</v>
      </c>
      <c r="Q32" s="48">
        <f ca="1">IF(M32&gt;=1,0,MAX($Q$2:Q31)+1)</f>
        <v>27</v>
      </c>
      <c r="R32" s="48">
        <f ca="1">IF(AND($U$2=2,S32&lt;&gt;""),MAX($R$2:R31)+1,0)</f>
        <v>14</v>
      </c>
      <c r="S32" s="48" t="str">
        <f t="shared" ca="1" si="81"/>
        <v>TRATTAMENTO FINE RAPPORTO</v>
      </c>
      <c r="T32" s="48" t="str">
        <f ca="1">IFERROR(INDEX($R$3:$S$64,MATCH(ROWS($T$2:T31),$R$3:$R$64,0),2),"")</f>
        <v>VARIAZIONI DELLE RIMANZENZE DI MATERIE</v>
      </c>
      <c r="U32" s="48" t="str">
        <f ca="1">IFERROR(INDEX(PDC,MATCH(ROWS(U$3:U32),$V$3:$V$400,0),2),"")</f>
        <v>FONDO AMMORTAMENTO MACCHINE D'UFFICIO</v>
      </c>
      <c r="V32" s="48">
        <f ca="1">IF(AND($T$1="VISUALIZZA TUTTI I CONTI",AA32&lt;&gt;""),MAX($V$2:V31)+1,IF(AND($U$2=2,AI32=$T$1),MAX($V$2:V31)+1,IF(AND($U$2=1,$T$1=AF32),MAX($V$2:V31)+1,0)))</f>
        <v>30</v>
      </c>
      <c r="Z32" s="246"/>
      <c r="AA32" s="48" t="str">
        <f t="shared" ca="1" si="29"/>
        <v>02.00</v>
      </c>
      <c r="AB32" s="48" t="str">
        <f ca="1">IFERROR(INDEX($A$3:$G$400,MATCH(ROWS(AB$3:AB32),$Q$3:$Q$400,0),1),"")</f>
        <v>02.15</v>
      </c>
      <c r="AC32" s="48" t="str">
        <f ca="1">IFERROR(INDEX($A$3:$G$400,MATCH(ROWS($AC$3:AC32),$Q$3:$Q$400,0),2),"")</f>
        <v>FONDO AMMORTAMENTO MACCHINE D'UFFICIO</v>
      </c>
      <c r="AD32" s="48" t="str">
        <f ca="1">IFERROR(INDEX($A$3:$G$400,MATCH(ROWS(AD$3:AD32),$Q$3:$Q$400,0),3),"")</f>
        <v>E</v>
      </c>
      <c r="AE32" s="48" t="str">
        <f ca="1">IFERROR(INDEX($A$3:$G$400,MATCH(ROWS(AE$3:AE32),$Q$3:$Q$400,0),4),"")</f>
        <v>A</v>
      </c>
      <c r="AF32" s="48" t="str">
        <f ca="1">IFERROR(INDEX($A$3:$G$400,MATCH(ROWS(AF$3:AF32),$Q$3:$Q$400,0),5),"")</f>
        <v>RETTIFICHE COSTI PLURIENNALI</v>
      </c>
      <c r="AG32" s="48" t="str">
        <f ca="1">IFERROR(INDEX($A$3:$G$400,MATCH(ROWS(AG$3:AG32),$Q$3:$Q$400,0),6),"")</f>
        <v>SP AVERE</v>
      </c>
      <c r="AH32" s="48" t="str">
        <f ca="1">IFERROR(INDEX($A$3:$G$400,MATCH(ROWS(AH$3:AH32),$Q$3:$Q$400,0),7),"")</f>
        <v>SP</v>
      </c>
      <c r="AI32" s="48" t="str">
        <f t="shared" ca="1" si="1"/>
        <v>IMMOBILIZZAZIONI MATERIALI</v>
      </c>
      <c r="AJ32" s="48" t="str">
        <f ca="1">IFERROR(INDEX($A$3:$H$400,MATCH(ROWS(AJ$3:AJ32),$Q$3:$Q$400,0),8),"")</f>
        <v>pab2</v>
      </c>
      <c r="AK32" s="48">
        <f t="shared" ca="1" si="2"/>
        <v>0</v>
      </c>
      <c r="AL32" s="48">
        <f t="shared" ca="1" si="3"/>
        <v>0</v>
      </c>
      <c r="AM32" s="48">
        <f t="shared" ca="1" si="30"/>
        <v>0</v>
      </c>
      <c r="AN32" s="48" t="str">
        <f t="shared" ca="1" si="31"/>
        <v/>
      </c>
      <c r="AO32" s="48">
        <f t="shared" ca="1" si="32"/>
        <v>0</v>
      </c>
      <c r="AP32" s="48">
        <f t="shared" ca="1" si="32"/>
        <v>0</v>
      </c>
      <c r="AQ32" s="48" t="str">
        <f t="shared" ca="1" si="4"/>
        <v>FONDO AMMORTAMENTO MACCHINE D'UFFICIO</v>
      </c>
      <c r="AR32" s="48">
        <f t="shared" ca="1" si="5"/>
        <v>0</v>
      </c>
      <c r="AS32" s="48">
        <f t="shared" ca="1" si="6"/>
        <v>0</v>
      </c>
      <c r="AT32" s="48">
        <f t="shared" ca="1" si="33"/>
        <v>0</v>
      </c>
      <c r="AU32" s="48">
        <f t="shared" ca="1" si="34"/>
        <v>0</v>
      </c>
      <c r="AV32" s="48">
        <f ca="1">IF(OR(AT32&gt;0,AU32&gt;0),MAX($AV$2:AV31)+1,0)</f>
        <v>0</v>
      </c>
      <c r="AZ32" s="241" t="str">
        <f t="shared" ca="1" si="35"/>
        <v/>
      </c>
      <c r="BA32" s="48">
        <f t="shared" ca="1" si="7"/>
        <v>0</v>
      </c>
      <c r="BB32" s="48">
        <f ca="1">IFERROR(INDEX($AQ$3:$AV$220,MATCH(ROWS($BB$3:BB32),$AV$3:$AV$220,0),1),0)</f>
        <v>0</v>
      </c>
      <c r="BC32" s="48" t="str">
        <f t="shared" ca="1" si="36"/>
        <v/>
      </c>
      <c r="BD32" s="48">
        <f ca="1">IFERROR(INDEX($AQ$3:$AV$220,MATCH(ROWS($BB$3:BD32),$AV$3:$AV$220,0),4),0)</f>
        <v>0</v>
      </c>
      <c r="BE32" s="48">
        <f ca="1">IFERROR(INDEX($AQ$3:$AV$220,MATCH(ROWS($BB$3:BE32),$AV$3:$AV$220,0),5),0)</f>
        <v>0</v>
      </c>
      <c r="BF32" s="48">
        <v>18</v>
      </c>
      <c r="BG32" s="48">
        <f ca="1">IF(IF(AND(OR(INDEX(PDC,MATCH($AC32,DEN_PDC,0),6)="SP DARE",INDEX(PDC,MATCH($AC32,DEN_PDC,0),6)="SP DARE/AVERE"),SUMIFS(DARE,DEN_G,$AC32)&gt;=SUMIFS(AVERE,DEN_G,$AC32)),SUMIFS(DARE,DEN_G,$AC32)-SUMIFS(AVERE,DEN_G,$AC32),0)&gt;0,MAX($BG$2:BG31)+1,0)</f>
        <v>0</v>
      </c>
      <c r="BH32" s="48">
        <f ca="1">IF(IF(AND(OR(INDEX(PDC,MATCH($AC32,DEN_PDC,0),6)="SP AVERE",INDEX(PDC,MATCH($AC32,DEN_PDC,0),6)="SP DARE/AVERE"),SUMIFS(AVERE,DEN_G,$AC32)&gt;=SUMIFS(DARE,DEN_G,$AC32)),SUMIFS(AVERE,DEN_G,$AC32)-SUMIFS(DARE,DEN_G,$AC32),0)&gt;0,MAX(BH$2:BH31)+1,0)</f>
        <v>0</v>
      </c>
      <c r="BI32" s="48">
        <f ca="1">IF(IF(AND(OR(INDEX(PDC,MATCH($AC32,DEN_PDC,0),6)="SE DARE",INDEX(PDC,MATCH($AC32,DEN_PDC,0),6)="SE DARE/AVERE"),SUMIFS(DARE,DEN_G,$AC32)&gt;=SUMIFS(AVERE,DEN_G,$AC32)),SUMIFS(DARE,DEN_G,$AC32)-SUMIFS(AVERE,DEN_G,$AC32),0)&gt;0,MAX(BI$2:BI31)+1,0)</f>
        <v>0</v>
      </c>
      <c r="BJ32" s="48">
        <f ca="1">IF(IF(AND(OR(INDEX(PDC,MATCH($AC32,DEN_PDC,0),6)="SE AVERE",INDEX(PDC,MATCH($AC32,DEN_PDC,0),6)="SE DARE/AVERE"),SUMIFS(AVERE,DEN_G,$AC32)&gt;=SUMIFS(DARE,DEN_G,$AC32)),SUMIFS(AVERE,DEN_G,$AC32)-SUMIFS(DARE,DEN_G,$AC32),0)&gt;0,MAX(BJ$2:BJ31)+1,0)</f>
        <v>0</v>
      </c>
      <c r="BK32" s="48" t="str">
        <f ca="1">IF(AND(AND($DY$2=0,$DY$1=0),$I$1=2,ROW()&gt;$BG$1+2,ROW()&lt;=$BG$1+4),"………………..",IF(AND(OR($DY$2&gt;0,$DY$1&gt;0),$I$1=2,ROW()&gt;$BG$1+2,ROW()&lt;=$BG$1+4),"………………..",IFERROR(INDEX($AC$3:$AC$398,MATCH(ROWS(BK$3:BK32),BG$3:BG$398,0),1),"")))</f>
        <v/>
      </c>
      <c r="BL32" s="48">
        <f t="shared" ca="1" si="69"/>
        <v>0</v>
      </c>
      <c r="BM32" s="48" t="str">
        <f ca="1">IF(AND(OR($DY$2=0,$DY$1=0),$I$1=2,ROW()&gt;$BH$1+2,ROW()&lt;=$BH$1+4),"………………..",IF(AND(OR($DY$2&gt;0,$DY$1&gt;0),$I$1=2,ROW()&gt;$BH$1+2,ROW()&lt;=$BH$1+4),"………………..",IFERROR(INDEX($AC$3:$AC$400,MATCH(ROWS(BM$3:BM32),BH$3:BH$400,0),1),"")))</f>
        <v/>
      </c>
      <c r="BN32" s="48">
        <f t="shared" ca="1" si="9"/>
        <v>0</v>
      </c>
      <c r="BO32" s="48" t="str">
        <f ca="1">IF(AND(OR($DY$2=0,$DY$1=0),$I$1=2,ROW()&gt;$BI$1+2,ROW()&lt;=$BI$1+4),"………………..",IF(AND(OR($DY$2&gt;0,$DY$1&gt;0),$I$1=2,ROW()&gt;$BI$1+2,ROW()&lt;=$BI$1+4),"………………..",IFERROR(INDEX($AC$3:$AC$400,MATCH(ROWS(BO$3:BO32),BI$3:BI$400,0),1),"")))</f>
        <v/>
      </c>
      <c r="BP32" s="48">
        <f t="shared" ca="1" si="10"/>
        <v>0</v>
      </c>
      <c r="BQ32" s="48" t="str">
        <f ca="1">IF(AND(OR($DY$2=0,$DY$1=0),$I$1=2,ROW()&gt;$BJ$1+2,ROW()&lt;=$BJ$1+4),"………………..",IF(AND(OR($DY$2&gt;0,$DY$1&gt;0),$I$1=2,ROW()&gt;$BJ$1+2,ROW()&lt;=$BJ$1+4),"………………..",IFERROR(INDEX($AC$3:$AC$400,MATCH(ROWS(BQ$3:BQ32),BJ$3:BJ$400,0),1),"")))</f>
        <v/>
      </c>
      <c r="BR32" s="48">
        <f t="shared" ca="1" si="11"/>
        <v>0</v>
      </c>
      <c r="BS32" s="48">
        <f ca="1">IF(IF(AND(OR(INDEX(PDC,MATCH($AC32,DEN_PDC,0),4)="D",INDEX(PDC,MATCH($AC32,DEN_PDC,0),4)="D/A"),SUMIFS(DARE,DEN_G,$AC32)&gt;=SUMIFS(AVERE,DEN_G,$AC32)),SUMIFS(DARE,DEN_G,$AC32),IF(AND(OR(INDEX(PDC,MATCH($AC32,DEN_PDC,0),4)="A",INDEX(PDC,MATCH($AC32,DEN_PDC,0),4)="D/A"),SUMIFS(AVERE,DEN_G,$AC32)&gt;=SUMIFS(DARE,DEN_G,$AC32)),SUMIFS(AVERE,DEN_G,$AC32),))&gt;0,MAX($BS$2:BS31)+1,0)</f>
        <v>0</v>
      </c>
      <c r="BT32" s="48" t="str">
        <f ca="1">IF($CO$1=0,"",IF(AND($I$1=2,ROW()&gt;$BR$1,ROW()&lt;=$BS$1)," …………….",IF(AND($E$1=1,$BX$1=1,$I$1=2,ROW()=$BQ$1),"TOTALI",IFERROR(INDEX(PDC,MATCH(ROWS(BT$3:BT32),BS$3:BS429,0),2),""))))</f>
        <v/>
      </c>
      <c r="BU32" s="48">
        <f t="shared" ca="1" si="12"/>
        <v>0</v>
      </c>
      <c r="BV32" s="48">
        <f t="shared" ca="1" si="13"/>
        <v>0</v>
      </c>
      <c r="BW32" s="48">
        <f t="shared" ca="1" si="14"/>
        <v>0</v>
      </c>
      <c r="BX32" s="48">
        <f t="shared" ca="1" si="15"/>
        <v>0</v>
      </c>
      <c r="BY32" s="48">
        <f ca="1">IF(OR(BW32&gt;0,BX32&gt;0),MAX($BY$2:BY31)+1,0)</f>
        <v>0</v>
      </c>
      <c r="BZ32" s="48" t="str">
        <f ca="1">IFERROR(INDEX($BT$3:$BY$400,MATCH(ROWS(BZ$3:BZ32),$BY$3:$BY$400,0),1),"")</f>
        <v/>
      </c>
      <c r="CA32" s="48" t="str">
        <f ca="1">IFERROR(INDEX($BT$3:$BY$400,MATCH(ROWS(CA$3:CA32),$BY$3:$BY$400,0),4),"")</f>
        <v/>
      </c>
      <c r="CB32" s="48" t="str">
        <f ca="1">IFERROR(INDEX($BT$3:$BY$400,MATCH(ROWS(CB$3:CB32),$BY$3:$BY$400,0),5),"")</f>
        <v/>
      </c>
      <c r="CC32" s="48" t="str">
        <f t="shared" ca="1" si="16"/>
        <v/>
      </c>
      <c r="CD32" s="48">
        <f ca="1">IF(AND($BF$9=1,CE32&lt;&gt;0),MAX($CD$2:CD31)+1,0)</f>
        <v>0</v>
      </c>
      <c r="CE32" s="48">
        <f ca="1">IF(ROUND(SUMIFS(COPIA!$CA$3:$CA$400,COPIA!$CC$3:$CC$400,CF32)-SUMIFS(COPIA!$CB$3:$CB$400,COPIA!$CC$3:$CC$400,CF32),0)&lt;0,0,ROUND(SUMIFS(COPIA!$CA$3:$CA$400,COPIA!$CC$3:$CC$400,CF32)-SUMIFS(COPIA!$CB$3:$CB$400,COPIA!$CC$3:$CC$400,CF32),0))</f>
        <v>0</v>
      </c>
      <c r="CF32" s="48" t="s">
        <v>648</v>
      </c>
      <c r="CG32" s="242" t="s">
        <v>807</v>
      </c>
      <c r="CH32" s="242">
        <f ca="1">CE32</f>
        <v>0</v>
      </c>
      <c r="CI32" s="242"/>
      <c r="CJ32" s="242">
        <f ca="1">SUMIFS(COPIA!$CA$3:$CA$400,COPIA!$CC$3:$CC$400,CF32)-SUMIFS(COPIA!$CB$3:$CB$400,COPIA!$CC$3:$CC$400,CF32)</f>
        <v>0</v>
      </c>
      <c r="CK32" s="48">
        <f ca="1">IF($CF$2=FALSE,0,IF(AND($BF$9=1,CJ32&lt;&gt;0),MAX($CK$21:CK31)+1,0))</f>
        <v>0</v>
      </c>
      <c r="CL32" s="48" t="s">
        <v>788</v>
      </c>
      <c r="CM32" s="242" t="str">
        <f t="shared" ca="1" si="37"/>
        <v/>
      </c>
      <c r="CN32" s="243">
        <f t="shared" ca="1" si="38"/>
        <v>0</v>
      </c>
      <c r="CO32" s="48" t="str">
        <f t="shared" ca="1" si="39"/>
        <v/>
      </c>
      <c r="CQ32" s="247">
        <f t="shared" ca="1" si="86"/>
        <v>47119</v>
      </c>
      <c r="CR32" s="247">
        <f t="shared" ca="1" si="86"/>
        <v>47483</v>
      </c>
      <c r="CS32" s="48">
        <f t="shared" ca="1" si="87"/>
        <v>0</v>
      </c>
      <c r="CT32" s="242">
        <f ca="1">SUM($CS$29:CS32)</f>
        <v>0</v>
      </c>
      <c r="CU32" s="48">
        <f ca="1">IF(SUMIFS(AVERE,DEN_G,AC32,AVERE,"&gt;"&amp;0)+SUMIFS(DARE,DEN_G,AC32,DARE,"&gt;"&amp;0)&gt;0,MAX($CU$2:CU31)+1,0)</f>
        <v>0</v>
      </c>
      <c r="CV32" s="48" t="str">
        <f ca="1">IF(IFERROR(INDEX(PDC,MATCH(ROWS($CV$3:CV32),$CU$3:$CU$400,0),2),"")="CONTO DI RISULTATO ECONOMICO","",IFERROR(INDEX(PDC,MATCH(ROWS($CV$3:CV32),$CU$3:$CU$400,0),2),""))</f>
        <v/>
      </c>
      <c r="CW32" s="48">
        <f ca="1">IFERROR(IF(CV32&lt;&gt;"",MAX($CW$2:CW31)+1,0),0)</f>
        <v>0</v>
      </c>
      <c r="CX32" s="48">
        <f t="shared" ca="1" si="88"/>
        <v>3</v>
      </c>
      <c r="CY32" s="48" t="str">
        <f t="shared" ca="1" si="85"/>
        <v>MASTRO</v>
      </c>
      <c r="CZ32" s="48" t="e">
        <f t="shared" ca="1" si="90"/>
        <v>#N/A</v>
      </c>
      <c r="DA32" s="48" t="str">
        <f t="shared" ref="DA32:DA40" ca="1" si="94">IFERROR(INDEX(LIBRO_GIORNALE,CZ32,1),"")</f>
        <v/>
      </c>
      <c r="DB32" s="48" t="str">
        <f t="shared" ca="1" si="76"/>
        <v/>
      </c>
      <c r="DC32" s="48" t="str">
        <f t="shared" ca="1" si="91"/>
        <v/>
      </c>
      <c r="DD32" s="48" t="str">
        <f t="shared" ca="1" si="92"/>
        <v/>
      </c>
      <c r="DE32" s="48" t="str">
        <f t="shared" ca="1" si="93"/>
        <v/>
      </c>
      <c r="DF32" s="48">
        <f ca="1">IF(AND(CX32=$DF$1,CX32&lt;&gt;""),0,IF(AND(DB32&lt;&gt;"",OR(DB31&lt;&gt;"",DB33&lt;&gt;"")),MAX($DF$2:DF31)+1,0))</f>
        <v>0</v>
      </c>
      <c r="DH32" s="244" t="s">
        <v>277</v>
      </c>
      <c r="DI32" s="48" t="s">
        <v>1013</v>
      </c>
      <c r="DJ32" s="48" t="s">
        <v>311</v>
      </c>
      <c r="DK32" s="48" t="s">
        <v>298</v>
      </c>
      <c r="DL32" s="48" t="s">
        <v>318</v>
      </c>
      <c r="DM32" s="48" t="s">
        <v>299</v>
      </c>
      <c r="DO32" s="48" t="str">
        <f ca="1">IF($BF$9=1,"pab14","pab1")</f>
        <v>pab1</v>
      </c>
      <c r="DQ32" s="227" t="s">
        <v>16</v>
      </c>
      <c r="DR32" s="48" t="s">
        <v>852</v>
      </c>
      <c r="DS32" s="48" t="s">
        <v>311</v>
      </c>
      <c r="DT32" s="48" t="s">
        <v>298</v>
      </c>
      <c r="DU32" s="48" t="s">
        <v>318</v>
      </c>
      <c r="DV32" s="48" t="s">
        <v>299</v>
      </c>
      <c r="DW32" s="48">
        <f ca="1">IF(DR32&lt;&gt;"",MAX($DW$2:DW31)+1,0)</f>
        <v>10</v>
      </c>
      <c r="DX32" s="48" t="str">
        <f ca="1">IF($BF$9=1,"pab11","pab1")</f>
        <v>pab1</v>
      </c>
      <c r="DY32" s="48" t="str">
        <f t="shared" ca="1" si="19"/>
        <v/>
      </c>
      <c r="DZ32" s="48" t="str">
        <f t="shared" ca="1" si="40"/>
        <v/>
      </c>
      <c r="EA32" s="48" t="str">
        <f t="shared" ca="1" si="41"/>
        <v/>
      </c>
      <c r="EB32" s="48">
        <f t="shared" ca="1" si="42"/>
        <v>0</v>
      </c>
      <c r="EC32" s="48">
        <f t="shared" ca="1" si="43"/>
        <v>0</v>
      </c>
      <c r="ED32" s="48" t="str">
        <f t="shared" ca="1" si="44"/>
        <v/>
      </c>
      <c r="EE32" s="48">
        <f t="shared" ca="1" si="45"/>
        <v>0</v>
      </c>
      <c r="EF32" s="48" t="str">
        <f t="shared" ca="1" si="46"/>
        <v/>
      </c>
      <c r="EG32" s="48">
        <f t="shared" ca="1" si="47"/>
        <v>0</v>
      </c>
      <c r="EH32" s="48" t="str">
        <f t="shared" ca="1" si="48"/>
        <v/>
      </c>
      <c r="EI32" s="48">
        <f t="shared" ca="1" si="49"/>
        <v>0</v>
      </c>
      <c r="EJ32" s="48" t="str">
        <f t="shared" ca="1" si="50"/>
        <v/>
      </c>
      <c r="EK32" s="48">
        <f t="shared" ca="1" si="51"/>
        <v>0</v>
      </c>
      <c r="EL32" s="48">
        <f t="shared" ca="1" si="20"/>
        <v>0</v>
      </c>
      <c r="EM32" s="48">
        <f ca="1">IF(EL32&gt;=0,0,MAX($EM$2:EM31)+1)</f>
        <v>0</v>
      </c>
      <c r="EN32" s="48" t="str">
        <f t="shared" ca="1" si="21"/>
        <v/>
      </c>
      <c r="EO32" s="48" t="str">
        <f ca="1">IFERROR(INDEX($EM$3:$EN$400,MATCH(ROWS($EO$3:EO32),$EM$3:$EM$400,0),2),"")</f>
        <v/>
      </c>
      <c r="EP32" s="48">
        <f>ROW()</f>
        <v>32</v>
      </c>
      <c r="EQ32" s="48">
        <f t="shared" ca="1" si="22"/>
        <v>0</v>
      </c>
      <c r="ER32" s="48">
        <f ca="1">IF(ISNA(EQ32)=TRUE,MAX($ER$2:ER31)+1,0)</f>
        <v>0</v>
      </c>
      <c r="ES32" s="48" t="str">
        <f t="shared" ca="1" si="52"/>
        <v/>
      </c>
      <c r="ET32" s="48" t="str">
        <f ca="1">IFERROR(INDEX($ER$3:$ES$400,MATCH(ROWS($ET$3:ET32),$ER$3:$ER$400,0),2),"")</f>
        <v/>
      </c>
      <c r="EV32" s="48">
        <f ca="1">IFERROR(INDEX(LIBRO_GIORNALE!$O$11:$P$408,MATCH(ROWS($EV$2:EV31),LIBRO_GIORNALE!$P$11:$P$408,0),1),0)</f>
        <v>0</v>
      </c>
      <c r="EW32" s="48" t="str">
        <f t="shared" ca="1" si="53"/>
        <v>0</v>
      </c>
      <c r="EX32" s="48">
        <f t="shared" ca="1" si="54"/>
        <v>0</v>
      </c>
      <c r="EY32" s="48">
        <f ca="1">IF(EX32&gt;0,MAX($EY$2:EY31)+1,0)</f>
        <v>0</v>
      </c>
      <c r="EZ32" s="48">
        <f ca="1">IFERROR(INDEX($EX$3:$EX$400,MATCH(ROWS($EZ$3:EZ32),$EY$3:$EY$400,0),1),0)</f>
        <v>0</v>
      </c>
      <c r="FA32" s="48">
        <f ca="1">IF(EZ32&gt;0,0,MAX($FA$2:FA31)+1)</f>
        <v>30</v>
      </c>
      <c r="FB32" s="48">
        <f t="shared" ca="1" si="55"/>
        <v>0</v>
      </c>
      <c r="FC32" s="48">
        <f t="shared" ca="1" si="56"/>
        <v>30</v>
      </c>
      <c r="FD32" s="48">
        <f t="shared" ca="1" si="57"/>
        <v>30</v>
      </c>
      <c r="FE32" s="48">
        <f ca="1">IF(FD32=0,0,MAX($FE$2:FE31)+1)</f>
        <v>30</v>
      </c>
      <c r="FF32" s="48">
        <f ca="1">IFERROR(INDEX($FD$3:$FE$400,MATCH(ROWS($FF$3:FF32),$FE$3:$FE$400,0),1),"")</f>
        <v>30</v>
      </c>
      <c r="FH32" s="48">
        <f t="shared" ca="1" si="58"/>
        <v>0</v>
      </c>
      <c r="FI32" s="48">
        <f ca="1">IF(FH32&lt;&gt;0,MAX($FI$2:FI31)+1,0)</f>
        <v>0</v>
      </c>
      <c r="FJ32" s="48" t="str">
        <f ca="1">IFERROR(INDEX($FH$3:$FI$400,MATCH(ROWS($FJ$3:FJ32),$FI$3:$FI$400,0),1),"")</f>
        <v/>
      </c>
      <c r="FK32" s="48">
        <f ca="1">IF(ABS(SUMIFS(DARE,DEN_G,"="&amp;FJ32,DATA,"&lt;="&amp;FINE_AC,DATA,"&gt;="&amp;INIZIO_A_PC)-SUMIFS(AVERE,DEN_G,"="&amp;FJ32,DATA,"&lt;="&amp;FINE_AC,DATA,"&gt;="&amp;INIZIO_A_PC))&gt;0,MAX($FK$2:FK31)+1,0)</f>
        <v>0</v>
      </c>
      <c r="FL32" s="48" t="str">
        <f ca="1">IF(AND(ROW()-2&lt;&gt;1,ROW()-2&lt;=$FK$1),CONCATENATE(" - ",IFERROR(INDEX($FJ$3:$FK$400,MATCH(ROWS($FL$3:FL32),$FK$3:$FK$400,0),1),"")),IFERROR(INDEX($FJ$3:$FK$400,MATCH(ROWS($FL$3:FL32),$FK$3:$FK$400,0),1),""))</f>
        <v/>
      </c>
      <c r="FM32" s="48">
        <f ca="1">IF(OR(B32="IVA ns/credito",B32="IVA NS/DEBITO",B32="IVA C/ACCONTO",B32="IMPOSTE C/ACCONTO",B32="CREDITI PER RITENUTE SUBITE",B32="CREDITI D'IMPOSTA"),MAX($FM$2:FM31)+1,0)</f>
        <v>0</v>
      </c>
      <c r="FN32" s="48" t="str">
        <f t="shared" ca="1" si="59"/>
        <v/>
      </c>
      <c r="FO32" s="48" t="str">
        <f ca="1">IFERROR(INDEX($FM$3:$FN$400,MATCH(ROWS($FO$3:FO32),$FM$3:$FM$400,0),2),"")</f>
        <v/>
      </c>
      <c r="FP32" s="48">
        <f ca="1">IF(ABS(SUMIFS(DARE,DEN_G,"="&amp;FO32,DATA,"&lt;="&amp;FINE_AC,DATA,"&gt;="&amp;INIZIO_A_PC)-SUMIFS(AVERE,DEN_G,"="&amp;FO32,DATA,"&lt;="&amp;FINE_AC,DATA,"&gt;="&amp;INIZIO_A_PC))&gt;0,MAX($FP$2:FP31)+1,0)</f>
        <v>0</v>
      </c>
      <c r="FQ32" s="48" t="str">
        <f ca="1">IF(AND(ROW()-2&lt;&gt;1,ROW()-2&lt;=$FP$1),CONCATENATE(" - ",IFERROR(INDEX($FO$3:$FP$400,MATCH(ROWS($FQ$3:FQ32),$FP$3:$FP$400,0),1),"")),IFERROR(INDEX($FO$3:$FP$400,MATCH(ROWS($FQ$3:FQ32),$FP$3:$FP$400,0),1),""))</f>
        <v/>
      </c>
    </row>
    <row r="33" spans="1:173" x14ac:dyDescent="0.3">
      <c r="A33" s="48" t="str">
        <f ca="1">IFERROR(IF($A$1=2,INDEX($DH$3:$DN$401,MATCH(ROWS(A$3:A33),$DN$3:$DN$401,0),COLUMN()),IF($A$1=1,INDEX($DQ$3:$DW$401,MATCH(ROWS(A$3:A33),$DW$3:$DW$401,0),COLUMN()),"")),"")</f>
        <v>02.13</v>
      </c>
      <c r="B33" s="48" t="str">
        <f ca="1">IFERROR(IF($A$1=2,INDEX($DH$3:$DN$401,MATCH(ROWS(B$3:B33),$DN$3:$DN$401,0),COLUMN()),IF($A$1=1,INDEX($DQ$3:$DW$400,MATCH(ROWS(B$3:B33),$DW$3:$DW$401,0),COLUMN()),"")),"")</f>
        <v>FONDO AMMORTAMENTO ATTREZZATURE INDUSTRIALI</v>
      </c>
      <c r="C33" s="48" t="str">
        <f ca="1">IFERROR(IF($A$1=2,INDEX($DH$3:$DN$401,MATCH(ROWS(C$3:C33),$DN$3:$DN$401,0),COLUMN()),IF($A$1=1,INDEX($DQ$3:$DW$401,MATCH(ROWS(C$3:C33),$DW$3:$DW$401,0),COLUMN()),"")),"")</f>
        <v>E</v>
      </c>
      <c r="D33" s="48" t="str">
        <f ca="1">IFERROR(IF($A$1=2,INDEX($DH$3:$DN$401,MATCH(ROWS(D$3:D33),$DN$3:$DN$401,0),COLUMN()),IF($A$1=1,INDEX($DQ$3:$DW$401,MATCH(ROWS(D$3:D33),$DW$3:$DW$401,0),COLUMN()),"")),"")</f>
        <v>A</v>
      </c>
      <c r="E33" s="48" t="str">
        <f ca="1">IFERROR(IF($A$1=2,INDEX($DH$3:$DN$401,MATCH(ROWS(E$3:E33),$DN$3:$DN$401,0),COLUMN()),IF($A$1=1,INDEX($DQ$3:$DW$401,MATCH(ROWS(E$3:E33),$DW$3:$DW$401,0),COLUMN()),"")),"")</f>
        <v>RETTIFICHE COSTI PLURIENNALI</v>
      </c>
      <c r="F33" s="48" t="str">
        <f ca="1">IFERROR(IF($A$1=2,INDEX($DH$3:$DN$401,MATCH(ROWS(F$3:F33),$DN$3:$DN$401,0),COLUMN()),IF($A$1=1,INDEX($DQ$3:$DX$401,MATCH(ROWS(F$3:F33),$DW$3:$DW$401,0),COLUMN()),"")),"")</f>
        <v>SP AVERE</v>
      </c>
      <c r="G33" s="48" t="str">
        <f t="shared" ca="1" si="23"/>
        <v>SP</v>
      </c>
      <c r="H33" s="48" t="str">
        <f ca="1">IFERROR(IF($A$1=2,INDEX($DH$3:$DO$400,MATCH(ROWS(H$3:H33),$DN$3:$DN$400,0),COLUMN()),IF($A$1=1,INDEX($DQ$3:$DX$400,MATCH(ROWS(H$3:H33),$DW$3:$DW$400,0),COLUMN()),"")),"")</f>
        <v>pab2</v>
      </c>
      <c r="I33" s="48" t="str">
        <f t="shared" ca="1" si="0"/>
        <v/>
      </c>
      <c r="J33" s="48" t="str">
        <f t="shared" ca="1" si="24"/>
        <v/>
      </c>
      <c r="K33" s="48">
        <f t="shared" ca="1" si="25"/>
        <v>0</v>
      </c>
      <c r="L33" s="48">
        <f t="shared" ca="1" si="26"/>
        <v>0</v>
      </c>
      <c r="M33" s="48">
        <f ca="1">IFERROR(IF(IF(MID($A33,3,3)=".00",MID(A33,1,2),"")&lt;&gt;"",MAX($M$2:M32)+1,0),"")</f>
        <v>0</v>
      </c>
      <c r="N33" s="48" t="str">
        <f t="shared" ca="1" si="27"/>
        <v/>
      </c>
      <c r="O33" s="48" t="str">
        <f ca="1">IF(IFERROR(INDEX($N$3:$O$400,MATCH(ROWS($O$3:O33),$M$3:$M$400,0),1),"")&lt;&gt;"",CONCATENATE(INDEX($N$3:$O$400,MATCH(ROWS($O$3:O33),$M$3:$M$400,0),1),".00"),"")</f>
        <v>39.00</v>
      </c>
      <c r="P33" s="48" t="str">
        <f t="shared" ca="1" si="28"/>
        <v>ONERI DIVERSI</v>
      </c>
      <c r="Q33" s="48">
        <f ca="1">IF(M33&gt;=1,0,MAX($Q$2:Q32)+1)</f>
        <v>28</v>
      </c>
      <c r="R33" s="48">
        <f ca="1">IF(AND($U$2=2,S33&lt;&gt;""),MAX($R$2:R32)+1,0)</f>
        <v>15</v>
      </c>
      <c r="S33" s="48" t="str">
        <f t="shared" ca="1" si="81"/>
        <v>DEBITI FINANZIARI</v>
      </c>
      <c r="T33" s="48" t="str">
        <f ca="1">IFERROR(INDEX($R$3:$S$64,MATCH(ROWS($T$2:T32),$R$3:$R$64,0),2),"")</f>
        <v>ACCANTONAMENTI</v>
      </c>
      <c r="U33" s="48" t="str">
        <f ca="1">IFERROR(INDEX(PDC,MATCH(ROWS(U$3:U33),$V$3:$V$400,0),2),"")</f>
        <v>FONDO AMMORTAMENTO ARREDAMENTO</v>
      </c>
      <c r="V33" s="48">
        <f ca="1">IF(AND($T$1="VISUALIZZA TUTTI I CONTI",AA33&lt;&gt;""),MAX($V$2:V32)+1,IF(AND($U$2=2,AI33=$T$1),MAX($V$2:V32)+1,IF(AND($U$2=1,$T$1=AF33),MAX($V$2:V32)+1,0)))</f>
        <v>31</v>
      </c>
      <c r="Z33" s="246"/>
      <c r="AA33" s="48" t="str">
        <f t="shared" ca="1" si="29"/>
        <v>02.00</v>
      </c>
      <c r="AB33" s="48" t="str">
        <f ca="1">IFERROR(INDEX($A$3:$G$400,MATCH(ROWS(AB$3:AB33),$Q$3:$Q$400,0),1),"")</f>
        <v>02.16</v>
      </c>
      <c r="AC33" s="48" t="str">
        <f ca="1">IFERROR(INDEX($A$3:$G$400,MATCH(ROWS($AC$3:AC33),$Q$3:$Q$400,0),2),"")</f>
        <v>FONDO AMMORTAMENTO ARREDAMENTO</v>
      </c>
      <c r="AD33" s="48" t="str">
        <f ca="1">IFERROR(INDEX($A$3:$G$400,MATCH(ROWS(AD$3:AD33),$Q$3:$Q$400,0),3),"")</f>
        <v>E</v>
      </c>
      <c r="AE33" s="48" t="str">
        <f ca="1">IFERROR(INDEX($A$3:$G$400,MATCH(ROWS(AE$3:AE33),$Q$3:$Q$400,0),4),"")</f>
        <v>A</v>
      </c>
      <c r="AF33" s="48" t="str">
        <f ca="1">IFERROR(INDEX($A$3:$G$400,MATCH(ROWS(AF$3:AF33),$Q$3:$Q$400,0),5),"")</f>
        <v>RETTIFICHE COSTI PLURIENNALI</v>
      </c>
      <c r="AG33" s="48" t="str">
        <f ca="1">IFERROR(INDEX($A$3:$G$400,MATCH(ROWS(AG$3:AG33),$Q$3:$Q$400,0),6),"")</f>
        <v>SP AVERE</v>
      </c>
      <c r="AH33" s="48" t="str">
        <f ca="1">IFERROR(INDEX($A$3:$G$400,MATCH(ROWS(AH$3:AH33),$Q$3:$Q$400,0),7),"")</f>
        <v>SP</v>
      </c>
      <c r="AI33" s="48" t="str">
        <f t="shared" ca="1" si="1"/>
        <v>IMMOBILIZZAZIONI MATERIALI</v>
      </c>
      <c r="AJ33" s="48" t="str">
        <f ca="1">IFERROR(INDEX($A$3:$H$400,MATCH(ROWS(AJ$3:AJ33),$Q$3:$Q$400,0),8),"")</f>
        <v>pab2</v>
      </c>
      <c r="AK33" s="48">
        <f t="shared" ca="1" si="2"/>
        <v>0</v>
      </c>
      <c r="AL33" s="48">
        <f t="shared" ca="1" si="3"/>
        <v>0</v>
      </c>
      <c r="AM33" s="48">
        <f t="shared" ca="1" si="30"/>
        <v>0</v>
      </c>
      <c r="AN33" s="48" t="str">
        <f t="shared" ca="1" si="31"/>
        <v/>
      </c>
      <c r="AO33" s="48">
        <f t="shared" ca="1" si="32"/>
        <v>0</v>
      </c>
      <c r="AP33" s="48">
        <f t="shared" ca="1" si="32"/>
        <v>0</v>
      </c>
      <c r="AQ33" s="48" t="str">
        <f t="shared" ca="1" si="4"/>
        <v>FONDO AMMORTAMENTO ARREDAMENTO</v>
      </c>
      <c r="AR33" s="48">
        <f t="shared" ca="1" si="5"/>
        <v>0</v>
      </c>
      <c r="AS33" s="48">
        <f t="shared" ca="1" si="6"/>
        <v>0</v>
      </c>
      <c r="AT33" s="48">
        <f t="shared" ca="1" si="33"/>
        <v>0</v>
      </c>
      <c r="AU33" s="48">
        <f t="shared" ca="1" si="34"/>
        <v>0</v>
      </c>
      <c r="AV33" s="48">
        <f ca="1">IF(OR(AT33&gt;0,AU33&gt;0),MAX($AV$2:AV32)+1,0)</f>
        <v>0</v>
      </c>
      <c r="AZ33" s="241" t="str">
        <f t="shared" ca="1" si="35"/>
        <v/>
      </c>
      <c r="BA33" s="48">
        <f t="shared" ca="1" si="7"/>
        <v>0</v>
      </c>
      <c r="BB33" s="48">
        <f ca="1">IFERROR(INDEX($AQ$3:$AV$220,MATCH(ROWS($BB$3:BB33),$AV$3:$AV$220,0),1),0)</f>
        <v>0</v>
      </c>
      <c r="BC33" s="48" t="str">
        <f t="shared" ca="1" si="36"/>
        <v/>
      </c>
      <c r="BD33" s="48">
        <f ca="1">IFERROR(INDEX($AQ$3:$AV$220,MATCH(ROWS($BB$3:BD33),$AV$3:$AV$220,0),4),0)</f>
        <v>0</v>
      </c>
      <c r="BE33" s="48">
        <f ca="1">IFERROR(INDEX($AQ$3:$AV$220,MATCH(ROWS($BB$3:BE33),$AV$3:$AV$220,0),5),0)</f>
        <v>0</v>
      </c>
      <c r="BF33" s="48">
        <v>19</v>
      </c>
      <c r="BG33" s="48">
        <f ca="1">IF(IF(AND(OR(INDEX(PDC,MATCH($AC33,DEN_PDC,0),6)="SP DARE",INDEX(PDC,MATCH($AC33,DEN_PDC,0),6)="SP DARE/AVERE"),SUMIFS(DARE,DEN_G,$AC33)&gt;=SUMIFS(AVERE,DEN_G,$AC33)),SUMIFS(DARE,DEN_G,$AC33)-SUMIFS(AVERE,DEN_G,$AC33),0)&gt;0,MAX($BG$2:BG32)+1,0)</f>
        <v>0</v>
      </c>
      <c r="BH33" s="48">
        <f ca="1">IF(IF(AND(OR(INDEX(PDC,MATCH($AC33,DEN_PDC,0),6)="SP AVERE",INDEX(PDC,MATCH($AC33,DEN_PDC,0),6)="SP DARE/AVERE"),SUMIFS(AVERE,DEN_G,$AC33)&gt;=SUMIFS(DARE,DEN_G,$AC33)),SUMIFS(AVERE,DEN_G,$AC33)-SUMIFS(DARE,DEN_G,$AC33),0)&gt;0,MAX(BH$2:BH32)+1,0)</f>
        <v>0</v>
      </c>
      <c r="BI33" s="48">
        <f ca="1">IF(IF(AND(OR(INDEX(PDC,MATCH($AC33,DEN_PDC,0),6)="SE DARE",INDEX(PDC,MATCH($AC33,DEN_PDC,0),6)="SE DARE/AVERE"),SUMIFS(DARE,DEN_G,$AC33)&gt;=SUMIFS(AVERE,DEN_G,$AC33)),SUMIFS(DARE,DEN_G,$AC33)-SUMIFS(AVERE,DEN_G,$AC33),0)&gt;0,MAX(BI$2:BI32)+1,0)</f>
        <v>0</v>
      </c>
      <c r="BJ33" s="48">
        <f ca="1">IF(IF(AND(OR(INDEX(PDC,MATCH($AC33,DEN_PDC,0),6)="SE AVERE",INDEX(PDC,MATCH($AC33,DEN_PDC,0),6)="SE DARE/AVERE"),SUMIFS(AVERE,DEN_G,$AC33)&gt;=SUMIFS(DARE,DEN_G,$AC33)),SUMIFS(AVERE,DEN_G,$AC33)-SUMIFS(DARE,DEN_G,$AC33),0)&gt;0,MAX(BJ$2:BJ32)+1,0)</f>
        <v>0</v>
      </c>
      <c r="BK33" s="48" t="str">
        <f ca="1">IF(AND(AND($DY$2=0,$DY$1=0),$I$1=2,ROW()&gt;$BG$1+2,ROW()&lt;=$BG$1+4),"………………..",IF(AND(OR($DY$2&gt;0,$DY$1&gt;0),$I$1=2,ROW()&gt;$BG$1+2,ROW()&lt;=$BG$1+4),"………………..",IFERROR(INDEX($AC$3:$AC$398,MATCH(ROWS(BK$3:BK33),BG$3:BG$398,0),1),"")))</f>
        <v/>
      </c>
      <c r="BL33" s="48">
        <f t="shared" ca="1" si="69"/>
        <v>0</v>
      </c>
      <c r="BM33" s="48" t="str">
        <f ca="1">IF(AND(OR($DY$2=0,$DY$1=0),$I$1=2,ROW()&gt;$BH$1+2,ROW()&lt;=$BH$1+4),"………………..",IF(AND(OR($DY$2&gt;0,$DY$1&gt;0),$I$1=2,ROW()&gt;$BH$1+2,ROW()&lt;=$BH$1+4),"………………..",IFERROR(INDEX($AC$3:$AC$400,MATCH(ROWS(BM$3:BM33),BH$3:BH$400,0),1),"")))</f>
        <v/>
      </c>
      <c r="BN33" s="48">
        <f t="shared" ca="1" si="9"/>
        <v>0</v>
      </c>
      <c r="BO33" s="48" t="str">
        <f ca="1">IF(AND(OR($DY$2=0,$DY$1=0),$I$1=2,ROW()&gt;$BI$1+2,ROW()&lt;=$BI$1+4),"………………..",IF(AND(OR($DY$2&gt;0,$DY$1&gt;0),$I$1=2,ROW()&gt;$BI$1+2,ROW()&lt;=$BI$1+4),"………………..",IFERROR(INDEX($AC$3:$AC$400,MATCH(ROWS(BO$3:BO33),BI$3:BI$400,0),1),"")))</f>
        <v/>
      </c>
      <c r="BP33" s="48">
        <f t="shared" ca="1" si="10"/>
        <v>0</v>
      </c>
      <c r="BQ33" s="48" t="str">
        <f ca="1">IF(AND(OR($DY$2=0,$DY$1=0),$I$1=2,ROW()&gt;$BJ$1+2,ROW()&lt;=$BJ$1+4),"………………..",IF(AND(OR($DY$2&gt;0,$DY$1&gt;0),$I$1=2,ROW()&gt;$BJ$1+2,ROW()&lt;=$BJ$1+4),"………………..",IFERROR(INDEX($AC$3:$AC$400,MATCH(ROWS(BQ$3:BQ33),BJ$3:BJ$400,0),1),"")))</f>
        <v/>
      </c>
      <c r="BR33" s="48">
        <f t="shared" ca="1" si="11"/>
        <v>0</v>
      </c>
      <c r="BS33" s="48">
        <f ca="1">IF(IF(AND(OR(INDEX(PDC,MATCH($AC33,DEN_PDC,0),4)="D",INDEX(PDC,MATCH($AC33,DEN_PDC,0),4)="D/A"),SUMIFS(DARE,DEN_G,$AC33)&gt;=SUMIFS(AVERE,DEN_G,$AC33)),SUMIFS(DARE,DEN_G,$AC33),IF(AND(OR(INDEX(PDC,MATCH($AC33,DEN_PDC,0),4)="A",INDEX(PDC,MATCH($AC33,DEN_PDC,0),4)="D/A"),SUMIFS(AVERE,DEN_G,$AC33)&gt;=SUMIFS(DARE,DEN_G,$AC33)),SUMIFS(AVERE,DEN_G,$AC33),))&gt;0,MAX($BS$2:BS32)+1,0)</f>
        <v>0</v>
      </c>
      <c r="BT33" s="48" t="str">
        <f ca="1">IF($CO$1=0,"",IF(AND($I$1=2,ROW()&gt;$BR$1,ROW()&lt;=$BS$1)," …………….",IF(AND($E$1=1,$BX$1=1,$I$1=2,ROW()=$BQ$1),"TOTALI",IFERROR(INDEX(PDC,MATCH(ROWS(BT$3:BT33),BS$3:BS430,0),2),""))))</f>
        <v/>
      </c>
      <c r="BU33" s="48">
        <f t="shared" ca="1" si="12"/>
        <v>0</v>
      </c>
      <c r="BV33" s="48">
        <f t="shared" ca="1" si="13"/>
        <v>0</v>
      </c>
      <c r="BW33" s="48">
        <f t="shared" ca="1" si="14"/>
        <v>0</v>
      </c>
      <c r="BX33" s="48">
        <f t="shared" ca="1" si="15"/>
        <v>0</v>
      </c>
      <c r="BY33" s="48">
        <f ca="1">IF(OR(BW33&gt;0,BX33&gt;0),MAX($BY$2:BY32)+1,0)</f>
        <v>0</v>
      </c>
      <c r="BZ33" s="48" t="str">
        <f ca="1">IFERROR(INDEX($BT$3:$BY$400,MATCH(ROWS(BZ$3:BZ33),$BY$3:$BY$400,0),1),"")</f>
        <v/>
      </c>
      <c r="CA33" s="48" t="str">
        <f ca="1">IFERROR(INDEX($BT$3:$BY$400,MATCH(ROWS(CA$3:CA33),$BY$3:$BY$400,0),4),"")</f>
        <v/>
      </c>
      <c r="CB33" s="48" t="str">
        <f ca="1">IFERROR(INDEX($BT$3:$BY$400,MATCH(ROWS(CB$3:CB33),$BY$3:$BY$400,0),5),"")</f>
        <v/>
      </c>
      <c r="CC33" s="48" t="str">
        <f t="shared" ca="1" si="16"/>
        <v/>
      </c>
      <c r="CD33" s="48">
        <f ca="1">IF(AND($BF$9=1,CE33&lt;&gt;0),MAX($CD$2:CD32)+1,0)</f>
        <v>0</v>
      </c>
      <c r="CE33" s="48">
        <f ca="1">ROUND(IFERROR(INDEX(BILANCIO!$I$13:$J$59,MATCH(CF33,BILANCIO!$J$13:$J$59,0),1),0),0)</f>
        <v>0</v>
      </c>
      <c r="CF33" s="48" t="s">
        <v>788</v>
      </c>
      <c r="CG33" s="242" t="s">
        <v>570</v>
      </c>
      <c r="CH33" s="242"/>
      <c r="CI33" s="242"/>
      <c r="CJ33" s="242">
        <f ca="1">SUMIFS(COPIA!$CA$3:$CA$400,COPIA!$CC$3:$CC$400,CF33)-SUMIFS(COPIA!$CB$3:$CB$400,COPIA!$CC$3:$CC$400,CF33)</f>
        <v>0</v>
      </c>
      <c r="CK33" s="48">
        <f ca="1">IF($CF$2=FALSE,0,IF(AND($BF$9=1,CJ33&lt;&gt;0),MAX($CK$21:CK32)+1,0))</f>
        <v>0</v>
      </c>
      <c r="CM33" s="242" t="str">
        <f t="shared" ca="1" si="37"/>
        <v/>
      </c>
      <c r="CN33" s="243">
        <f t="shared" ca="1" si="38"/>
        <v>0</v>
      </c>
      <c r="CO33" s="48" t="str">
        <f t="shared" ca="1" si="39"/>
        <v/>
      </c>
      <c r="CQ33" s="247">
        <f t="shared" ca="1" si="86"/>
        <v>47484</v>
      </c>
      <c r="CR33" s="247">
        <f t="shared" ca="1" si="86"/>
        <v>47848</v>
      </c>
      <c r="CS33" s="48">
        <f t="shared" ca="1" si="87"/>
        <v>0</v>
      </c>
      <c r="CT33" s="242">
        <f ca="1">SUM($CS$29:CS33)</f>
        <v>0</v>
      </c>
      <c r="CU33" s="48">
        <f ca="1">IF(SUMIFS(AVERE,DEN_G,AC33,AVERE,"&gt;"&amp;0)+SUMIFS(DARE,DEN_G,AC33,DARE,"&gt;"&amp;0)&gt;0,MAX($CU$2:CU32)+1,0)</f>
        <v>0</v>
      </c>
      <c r="CV33" s="48" t="str">
        <f ca="1">IF(IFERROR(INDEX(PDC,MATCH(ROWS($CV$3:CV33),$CU$3:$CU$400,0),2),"")="CONTO DI RISULTATO ECONOMICO","",IFERROR(INDEX(PDC,MATCH(ROWS($CV$3:CV33),$CU$3:$CU$400,0),2),""))</f>
        <v/>
      </c>
      <c r="CW33" s="48">
        <f ca="1">IFERROR(IF(CV33&lt;&gt;"",MAX($CW$2:CW32)+1,0),0)</f>
        <v>0</v>
      </c>
      <c r="CX33" s="48">
        <f t="shared" ca="1" si="88"/>
        <v>3</v>
      </c>
      <c r="CY33" s="48" t="str">
        <f t="shared" ca="1" si="85"/>
        <v>MASTRO</v>
      </c>
      <c r="CZ33" s="48" t="e">
        <f t="shared" ca="1" si="90"/>
        <v>#N/A</v>
      </c>
      <c r="DA33" s="48" t="str">
        <f t="shared" ca="1" si="94"/>
        <v/>
      </c>
      <c r="DB33" s="48" t="str">
        <f t="shared" ca="1" si="76"/>
        <v/>
      </c>
      <c r="DC33" s="48" t="str">
        <f t="shared" ca="1" si="91"/>
        <v/>
      </c>
      <c r="DD33" s="48" t="str">
        <f t="shared" ca="1" si="92"/>
        <v/>
      </c>
      <c r="DE33" s="48" t="str">
        <f t="shared" ca="1" si="93"/>
        <v/>
      </c>
      <c r="DF33" s="48">
        <f ca="1">IF(AND(CX33=$DF$1,CX33&lt;&gt;""),0,IF(AND(DB33&lt;&gt;"",OR(DB32&lt;&gt;"",DB34&lt;&gt;"")),MAX($DF$2:DF32)+1,0))</f>
        <v>0</v>
      </c>
      <c r="DH33" s="244" t="s">
        <v>277</v>
      </c>
      <c r="DI33" s="48" t="s">
        <v>19</v>
      </c>
      <c r="DJ33" s="48" t="s">
        <v>311</v>
      </c>
      <c r="DK33" s="48" t="s">
        <v>298</v>
      </c>
      <c r="DL33" s="48" t="s">
        <v>318</v>
      </c>
      <c r="DM33" s="48" t="s">
        <v>299</v>
      </c>
      <c r="DN33" s="48">
        <f ca="1">IF(DI33&lt;&gt;"",MAX($DN$2:DN32)+1,0)</f>
        <v>17</v>
      </c>
      <c r="DO33" s="48" t="str">
        <f ca="1">IF($BF$9=1,"pab15","pab1")</f>
        <v>pab1</v>
      </c>
      <c r="DQ33" s="227" t="s">
        <v>333</v>
      </c>
      <c r="DR33" s="48" t="s">
        <v>1048</v>
      </c>
      <c r="DS33" s="48" t="s">
        <v>311</v>
      </c>
      <c r="DT33" s="48" t="s">
        <v>298</v>
      </c>
      <c r="DU33" s="48" t="s">
        <v>318</v>
      </c>
      <c r="DV33" s="48" t="s">
        <v>299</v>
      </c>
      <c r="DW33" s="48">
        <f ca="1">IF(DR33&lt;&gt;"",MAX($DW$2:DW32)+1,0)</f>
        <v>11</v>
      </c>
      <c r="DX33" s="48" t="str">
        <f ca="1">IF($BF$9=1,"pab13","pab1")</f>
        <v>pab1</v>
      </c>
      <c r="DY33" s="48" t="str">
        <f t="shared" ca="1" si="19"/>
        <v/>
      </c>
      <c r="DZ33" s="48" t="str">
        <f t="shared" ca="1" si="40"/>
        <v/>
      </c>
      <c r="EA33" s="48" t="str">
        <f t="shared" ca="1" si="41"/>
        <v/>
      </c>
      <c r="EB33" s="48">
        <f t="shared" ca="1" si="42"/>
        <v>0</v>
      </c>
      <c r="EC33" s="48">
        <f t="shared" ca="1" si="43"/>
        <v>0</v>
      </c>
      <c r="ED33" s="48" t="str">
        <f t="shared" ca="1" si="44"/>
        <v/>
      </c>
      <c r="EE33" s="48">
        <f t="shared" ca="1" si="45"/>
        <v>0</v>
      </c>
      <c r="EF33" s="48" t="str">
        <f t="shared" ca="1" si="46"/>
        <v/>
      </c>
      <c r="EG33" s="48">
        <f t="shared" ca="1" si="47"/>
        <v>0</v>
      </c>
      <c r="EH33" s="48" t="str">
        <f t="shared" ca="1" si="48"/>
        <v/>
      </c>
      <c r="EI33" s="48">
        <f t="shared" ca="1" si="49"/>
        <v>0</v>
      </c>
      <c r="EJ33" s="48" t="str">
        <f t="shared" ca="1" si="50"/>
        <v/>
      </c>
      <c r="EK33" s="48">
        <f t="shared" ca="1" si="51"/>
        <v>0</v>
      </c>
      <c r="EL33" s="48">
        <f t="shared" ca="1" si="20"/>
        <v>0</v>
      </c>
      <c r="EM33" s="48">
        <f ca="1">IF(EL33&gt;=0,0,MAX($EM$2:EM32)+1)</f>
        <v>0</v>
      </c>
      <c r="EN33" s="48" t="str">
        <f t="shared" ca="1" si="21"/>
        <v/>
      </c>
      <c r="EO33" s="48" t="str">
        <f ca="1">IFERROR(INDEX($EM$3:$EN$400,MATCH(ROWS($EO$3:EO33),$EM$3:$EM$400,0),2),"")</f>
        <v/>
      </c>
      <c r="EP33" s="48">
        <f>ROW()</f>
        <v>33</v>
      </c>
      <c r="EQ33" s="48">
        <f t="shared" ca="1" si="22"/>
        <v>0</v>
      </c>
      <c r="ER33" s="48">
        <f ca="1">IF(ISNA(EQ33)=TRUE,MAX($ER$2:ER32)+1,0)</f>
        <v>0</v>
      </c>
      <c r="ES33" s="48" t="str">
        <f t="shared" ca="1" si="52"/>
        <v/>
      </c>
      <c r="ET33" s="48" t="str">
        <f ca="1">IFERROR(INDEX($ER$3:$ES$400,MATCH(ROWS($ET$3:ET33),$ER$3:$ER$400,0),2),"")</f>
        <v/>
      </c>
      <c r="EV33" s="48">
        <f ca="1">IFERROR(INDEX(LIBRO_GIORNALE!$O$11:$P$408,MATCH(ROWS($EV$2:EV32),LIBRO_GIORNALE!$P$11:$P$408,0),1),0)</f>
        <v>0</v>
      </c>
      <c r="EW33" s="48" t="str">
        <f t="shared" ca="1" si="53"/>
        <v>0</v>
      </c>
      <c r="EX33" s="48">
        <f t="shared" ca="1" si="54"/>
        <v>0</v>
      </c>
      <c r="EY33" s="48">
        <f ca="1">IF(EX33&gt;0,MAX($EY$2:EY32)+1,0)</f>
        <v>0</v>
      </c>
      <c r="EZ33" s="48">
        <f ca="1">IFERROR(INDEX($EX$3:$EX$400,MATCH(ROWS($EZ$3:EZ33),$EY$3:$EY$400,0),1),0)</f>
        <v>0</v>
      </c>
      <c r="FA33" s="48">
        <f ca="1">IF(EZ33&gt;0,0,MAX($FA$2:FA32)+1)</f>
        <v>31</v>
      </c>
      <c r="FB33" s="48">
        <f t="shared" ca="1" si="55"/>
        <v>0</v>
      </c>
      <c r="FC33" s="48">
        <f t="shared" ca="1" si="56"/>
        <v>31</v>
      </c>
      <c r="FD33" s="48">
        <f t="shared" ca="1" si="57"/>
        <v>31</v>
      </c>
      <c r="FE33" s="48">
        <f ca="1">IF(FD33=0,0,MAX($FE$2:FE32)+1)</f>
        <v>31</v>
      </c>
      <c r="FF33" s="48">
        <f ca="1">IFERROR(INDEX($FD$3:$FE$400,MATCH(ROWS($FF$3:FF33),$FE$3:$FE$400,0),1),"")</f>
        <v>31</v>
      </c>
      <c r="FH33" s="48">
        <f t="shared" ca="1" si="58"/>
        <v>0</v>
      </c>
      <c r="FI33" s="48">
        <f ca="1">IF(FH33&lt;&gt;0,MAX($FI$2:FI32)+1,0)</f>
        <v>0</v>
      </c>
      <c r="FJ33" s="48" t="str">
        <f ca="1">IFERROR(INDEX($FH$3:$FI$400,MATCH(ROWS($FJ$3:FJ33),$FI$3:$FI$400,0),1),"")</f>
        <v/>
      </c>
      <c r="FK33" s="48">
        <f ca="1">IF(ABS(SUMIFS(DARE,DEN_G,"="&amp;FJ33,DATA,"&lt;="&amp;FINE_AC,DATA,"&gt;="&amp;INIZIO_A_PC)-SUMIFS(AVERE,DEN_G,"="&amp;FJ33,DATA,"&lt;="&amp;FINE_AC,DATA,"&gt;="&amp;INIZIO_A_PC))&gt;0,MAX($FK$2:FK32)+1,0)</f>
        <v>0</v>
      </c>
      <c r="FL33" s="48" t="str">
        <f ca="1">IF(AND(ROW()-2&lt;&gt;1,ROW()-2&lt;=$FK$1),CONCATENATE(" - ",IFERROR(INDEX($FJ$3:$FK$400,MATCH(ROWS($FL$3:FL33),$FK$3:$FK$400,0),1),"")),IFERROR(INDEX($FJ$3:$FK$400,MATCH(ROWS($FL$3:FL33),$FK$3:$FK$400,0),1),""))</f>
        <v/>
      </c>
      <c r="FM33" s="48">
        <f ca="1">IF(OR(B33="IVA ns/credito",B33="IVA NS/DEBITO",B33="IVA C/ACCONTO",B33="IMPOSTE C/ACCONTO",B33="CREDITI PER RITENUTE SUBITE",B33="CREDITI D'IMPOSTA"),MAX($FM$2:FM32)+1,0)</f>
        <v>0</v>
      </c>
      <c r="FN33" s="48" t="str">
        <f t="shared" ca="1" si="59"/>
        <v/>
      </c>
      <c r="FO33" s="48" t="str">
        <f ca="1">IFERROR(INDEX($FM$3:$FN$400,MATCH(ROWS($FO$3:FO33),$FM$3:$FM$400,0),2),"")</f>
        <v/>
      </c>
      <c r="FP33" s="48">
        <f ca="1">IF(ABS(SUMIFS(DARE,DEN_G,"="&amp;FO33,DATA,"&lt;="&amp;FINE_AC,DATA,"&gt;="&amp;INIZIO_A_PC)-SUMIFS(AVERE,DEN_G,"="&amp;FO33,DATA,"&lt;="&amp;FINE_AC,DATA,"&gt;="&amp;INIZIO_A_PC))&gt;0,MAX($FP$2:FP32)+1,0)</f>
        <v>0</v>
      </c>
      <c r="FQ33" s="48" t="str">
        <f ca="1">IF(AND(ROW()-2&lt;&gt;1,ROW()-2&lt;=$FP$1),CONCATENATE(" - ",IFERROR(INDEX($FO$3:$FP$400,MATCH(ROWS($FQ$3:FQ33),$FP$3:$FP$400,0),1),"")),IFERROR(INDEX($FO$3:$FP$400,MATCH(ROWS($FQ$3:FQ33),$FP$3:$FP$400,0),1),""))</f>
        <v/>
      </c>
    </row>
    <row r="34" spans="1:173" x14ac:dyDescent="0.3">
      <c r="A34" s="48" t="str">
        <f ca="1">IFERROR(IF($A$1=2,INDEX($DH$3:$DN$401,MATCH(ROWS(A$3:A34),$DN$3:$DN$401,0),COLUMN()),IF($A$1=1,INDEX($DQ$3:$DW$401,MATCH(ROWS(A$3:A34),$DW$3:$DW$401,0),COLUMN()),"")),"")</f>
        <v>02.14</v>
      </c>
      <c r="B34" s="48" t="str">
        <f ca="1">IFERROR(IF($A$1=2,INDEX($DH$3:$DN$401,MATCH(ROWS(B$3:B34),$DN$3:$DN$401,0),COLUMN()),IF($A$1=1,INDEX($DQ$3:$DW$400,MATCH(ROWS(B$3:B34),$DW$3:$DW$401,0),COLUMN()),"")),"")</f>
        <v>FONDO AMMORTAMENTO ATTREZZATURE COMMERCIALI</v>
      </c>
      <c r="C34" s="48" t="str">
        <f ca="1">IFERROR(IF($A$1=2,INDEX($DH$3:$DN$401,MATCH(ROWS(C$3:C34),$DN$3:$DN$401,0),COLUMN()),IF($A$1=1,INDEX($DQ$3:$DW$401,MATCH(ROWS(C$3:C34),$DW$3:$DW$401,0),COLUMN()),"")),"")</f>
        <v>E</v>
      </c>
      <c r="D34" s="48" t="str">
        <f ca="1">IFERROR(IF($A$1=2,INDEX($DH$3:$DN$401,MATCH(ROWS(D$3:D34),$DN$3:$DN$401,0),COLUMN()),IF($A$1=1,INDEX($DQ$3:$DW$401,MATCH(ROWS(D$3:D34),$DW$3:$DW$401,0),COLUMN()),"")),"")</f>
        <v>A</v>
      </c>
      <c r="E34" s="48" t="str">
        <f ca="1">IFERROR(IF($A$1=2,INDEX($DH$3:$DN$401,MATCH(ROWS(E$3:E34),$DN$3:$DN$401,0),COLUMN()),IF($A$1=1,INDEX($DQ$3:$DW$401,MATCH(ROWS(E$3:E34),$DW$3:$DW$401,0),COLUMN()),"")),"")</f>
        <v>RETTIFICHE COSTI PLURIENNALI</v>
      </c>
      <c r="F34" s="48" t="str">
        <f ca="1">IFERROR(IF($A$1=2,INDEX($DH$3:$DN$401,MATCH(ROWS(F$3:F34),$DN$3:$DN$401,0),COLUMN()),IF($A$1=1,INDEX($DQ$3:$DX$401,MATCH(ROWS(F$3:F34),$DW$3:$DW$401,0),COLUMN()),"")),"")</f>
        <v>SP AVERE</v>
      </c>
      <c r="G34" s="48" t="str">
        <f t="shared" ca="1" si="23"/>
        <v>SP</v>
      </c>
      <c r="H34" s="48" t="str">
        <f ca="1">IFERROR(IF($A$1=2,INDEX($DH$3:$DO$400,MATCH(ROWS(H$3:H34),$DN$3:$DN$400,0),COLUMN()),IF($A$1=1,INDEX($DQ$3:$DX$400,MATCH(ROWS(H$3:H34),$DW$3:$DW$400,0),COLUMN()),"")),"")</f>
        <v>pab2</v>
      </c>
      <c r="I34" s="48" t="str">
        <f t="shared" ca="1" si="0"/>
        <v/>
      </c>
      <c r="J34" s="48" t="str">
        <f t="shared" ca="1" si="24"/>
        <v/>
      </c>
      <c r="K34" s="48">
        <f t="shared" ca="1" si="25"/>
        <v>0</v>
      </c>
      <c r="L34" s="48">
        <f t="shared" ca="1" si="26"/>
        <v>0</v>
      </c>
      <c r="M34" s="48">
        <f ca="1">IFERROR(IF(IF(MID($A34,3,3)=".00",MID(A34,1,2),"")&lt;&gt;"",MAX($M$2:M33)+1,0),"")</f>
        <v>0</v>
      </c>
      <c r="N34" s="48" t="str">
        <f t="shared" ca="1" si="27"/>
        <v/>
      </c>
      <c r="O34" s="48" t="str">
        <f ca="1">IF(IFERROR(INDEX($N$3:$O$400,MATCH(ROWS($O$3:O34),$M$3:$M$400,0),1),"")&lt;&gt;"",CONCATENATE(INDEX($N$3:$O$400,MATCH(ROWS($O$3:O34),$M$3:$M$400,0),1),".00"),"")</f>
        <v>40.00</v>
      </c>
      <c r="P34" s="48" t="str">
        <f t="shared" ca="1" si="28"/>
        <v>PROVENTI FINANZIARI</v>
      </c>
      <c r="Q34" s="48">
        <f ca="1">IF(M34&gt;=1,0,MAX($Q$2:Q33)+1)</f>
        <v>29</v>
      </c>
      <c r="R34" s="48">
        <f ca="1">IF(AND($U$2=2,S34&lt;&gt;""),MAX($R$2:R33)+1,0)</f>
        <v>16</v>
      </c>
      <c r="S34" s="48" t="str">
        <f t="shared" ca="1" si="81"/>
        <v>DEBITI COMMERCIALI</v>
      </c>
      <c r="T34" s="48" t="str">
        <f ca="1">IFERROR(INDEX($R$3:$S$64,MATCH(ROWS($T$2:T33),$R$3:$R$64,0),2),"")</f>
        <v>ONERI DIVERSI</v>
      </c>
      <c r="U34" s="48" t="str">
        <f ca="1">IFERROR(INDEX(PDC,MATCH(ROWS(U$3:U34),$V$3:$V$400,0),2),"")</f>
        <v>FONDO AMMORTAMENTO AUTOMEZZI</v>
      </c>
      <c r="V34" s="48">
        <f ca="1">IF(AND($T$1="VISUALIZZA TUTTI I CONTI",AA34&lt;&gt;""),MAX($V$2:V33)+1,IF(AND($U$2=2,AI34=$T$1),MAX($V$2:V33)+1,IF(AND($U$2=1,$T$1=AF34),MAX($V$2:V33)+1,0)))</f>
        <v>32</v>
      </c>
      <c r="Z34" s="246"/>
      <c r="AA34" s="48" t="str">
        <f t="shared" ca="1" si="29"/>
        <v>02.00</v>
      </c>
      <c r="AB34" s="48" t="str">
        <f ca="1">IFERROR(INDEX($A$3:$G$400,MATCH(ROWS(AB$3:AB34),$Q$3:$Q$400,0),1),"")</f>
        <v>02.17</v>
      </c>
      <c r="AC34" s="48" t="str">
        <f ca="1">IFERROR(INDEX($A$3:$G$400,MATCH(ROWS($AC$3:AC34),$Q$3:$Q$400,0),2),"")</f>
        <v>FONDO AMMORTAMENTO AUTOMEZZI</v>
      </c>
      <c r="AD34" s="48" t="str">
        <f ca="1">IFERROR(INDEX($A$3:$G$400,MATCH(ROWS(AD$3:AD34),$Q$3:$Q$400,0),3),"")</f>
        <v>E</v>
      </c>
      <c r="AE34" s="48" t="str">
        <f ca="1">IFERROR(INDEX($A$3:$G$400,MATCH(ROWS(AE$3:AE34),$Q$3:$Q$400,0),4),"")</f>
        <v>A</v>
      </c>
      <c r="AF34" s="48" t="str">
        <f ca="1">IFERROR(INDEX($A$3:$G$400,MATCH(ROWS(AF$3:AF34),$Q$3:$Q$400,0),5),"")</f>
        <v>RETTIFICHE COSTI PLURIENNALI</v>
      </c>
      <c r="AG34" s="48" t="str">
        <f ca="1">IFERROR(INDEX($A$3:$G$400,MATCH(ROWS(AG$3:AG34),$Q$3:$Q$400,0),6),"")</f>
        <v>SP AVERE</v>
      </c>
      <c r="AH34" s="48" t="str">
        <f ca="1">IFERROR(INDEX($A$3:$G$400,MATCH(ROWS(AH$3:AH34),$Q$3:$Q$400,0),7),"")</f>
        <v>SP</v>
      </c>
      <c r="AI34" s="48" t="str">
        <f t="shared" ca="1" si="1"/>
        <v>IMMOBILIZZAZIONI MATERIALI</v>
      </c>
      <c r="AJ34" s="48" t="str">
        <f ca="1">IFERROR(INDEX($A$3:$H$400,MATCH(ROWS(AJ$3:AJ34),$Q$3:$Q$400,0),8),"")</f>
        <v>pab2</v>
      </c>
      <c r="AK34" s="48">
        <f t="shared" ca="1" si="2"/>
        <v>0</v>
      </c>
      <c r="AL34" s="48">
        <f t="shared" ca="1" si="3"/>
        <v>0</v>
      </c>
      <c r="AM34" s="48">
        <f t="shared" ca="1" si="30"/>
        <v>0</v>
      </c>
      <c r="AN34" s="48" t="str">
        <f t="shared" ca="1" si="31"/>
        <v/>
      </c>
      <c r="AO34" s="48">
        <f t="shared" ca="1" si="32"/>
        <v>0</v>
      </c>
      <c r="AP34" s="48">
        <f t="shared" ca="1" si="32"/>
        <v>0</v>
      </c>
      <c r="AQ34" s="48" t="str">
        <f t="shared" ca="1" si="4"/>
        <v>FONDO AMMORTAMENTO AUTOMEZZI</v>
      </c>
      <c r="AR34" s="48">
        <f t="shared" ca="1" si="5"/>
        <v>0</v>
      </c>
      <c r="AS34" s="48">
        <f t="shared" ca="1" si="6"/>
        <v>0</v>
      </c>
      <c r="AT34" s="48">
        <f t="shared" ca="1" si="33"/>
        <v>0</v>
      </c>
      <c r="AU34" s="48">
        <f t="shared" ca="1" si="34"/>
        <v>0</v>
      </c>
      <c r="AV34" s="48">
        <f ca="1">IF(OR(AT34&gt;0,AU34&gt;0),MAX($AV$2:AV33)+1,0)</f>
        <v>0</v>
      </c>
      <c r="AZ34" s="241" t="str">
        <f t="shared" ca="1" si="35"/>
        <v/>
      </c>
      <c r="BA34" s="48">
        <f t="shared" ca="1" si="7"/>
        <v>0</v>
      </c>
      <c r="BB34" s="48">
        <f ca="1">IFERROR(INDEX($AQ$3:$AV$220,MATCH(ROWS($BB$3:BB34),$AV$3:$AV$220,0),1),0)</f>
        <v>0</v>
      </c>
      <c r="BC34" s="48" t="str">
        <f t="shared" ca="1" si="36"/>
        <v/>
      </c>
      <c r="BD34" s="48">
        <f ca="1">IFERROR(INDEX($AQ$3:$AV$220,MATCH(ROWS($BB$3:BD34),$AV$3:$AV$220,0),4),0)</f>
        <v>0</v>
      </c>
      <c r="BE34" s="48">
        <f ca="1">IFERROR(INDEX($AQ$3:$AV$220,MATCH(ROWS($BB$3:BE34),$AV$3:$AV$220,0),5),0)</f>
        <v>0</v>
      </c>
      <c r="BF34" s="48">
        <v>20</v>
      </c>
      <c r="BG34" s="48">
        <f ca="1">IF(IF(AND(OR(INDEX(PDC,MATCH($AC34,DEN_PDC,0),6)="SP DARE",INDEX(PDC,MATCH($AC34,DEN_PDC,0),6)="SP DARE/AVERE"),SUMIFS(DARE,DEN_G,$AC34)&gt;=SUMIFS(AVERE,DEN_G,$AC34)),SUMIFS(DARE,DEN_G,$AC34)-SUMIFS(AVERE,DEN_G,$AC34),0)&gt;0,MAX($BG$2:BG33)+1,0)</f>
        <v>0</v>
      </c>
      <c r="BH34" s="48">
        <f ca="1">IF(IF(AND(OR(INDEX(PDC,MATCH($AC34,DEN_PDC,0),6)="SP AVERE",INDEX(PDC,MATCH($AC34,DEN_PDC,0),6)="SP DARE/AVERE"),SUMIFS(AVERE,DEN_G,$AC34)&gt;=SUMIFS(DARE,DEN_G,$AC34)),SUMIFS(AVERE,DEN_G,$AC34)-SUMIFS(DARE,DEN_G,$AC34),0)&gt;0,MAX(BH$2:BH33)+1,0)</f>
        <v>0</v>
      </c>
      <c r="BI34" s="48">
        <f ca="1">IF(IF(AND(OR(INDEX(PDC,MATCH($AC34,DEN_PDC,0),6)="SE DARE",INDEX(PDC,MATCH($AC34,DEN_PDC,0),6)="SE DARE/AVERE"),SUMIFS(DARE,DEN_G,$AC34)&gt;=SUMIFS(AVERE,DEN_G,$AC34)),SUMIFS(DARE,DEN_G,$AC34)-SUMIFS(AVERE,DEN_G,$AC34),0)&gt;0,MAX(BI$2:BI33)+1,0)</f>
        <v>0</v>
      </c>
      <c r="BJ34" s="48">
        <f ca="1">IF(IF(AND(OR(INDEX(PDC,MATCH($AC34,DEN_PDC,0),6)="SE AVERE",INDEX(PDC,MATCH($AC34,DEN_PDC,0),6)="SE DARE/AVERE"),SUMIFS(AVERE,DEN_G,$AC34)&gt;=SUMIFS(DARE,DEN_G,$AC34)),SUMIFS(AVERE,DEN_G,$AC34)-SUMIFS(DARE,DEN_G,$AC34),0)&gt;0,MAX(BJ$2:BJ33)+1,0)</f>
        <v>0</v>
      </c>
      <c r="BK34" s="48" t="str">
        <f ca="1">IF(AND(AND($DY$2=0,$DY$1=0),$I$1=2,ROW()&gt;$BG$1+2,ROW()&lt;=$BG$1+4),"………………..",IF(AND(OR($DY$2&gt;0,$DY$1&gt;0),$I$1=2,ROW()&gt;$BG$1+2,ROW()&lt;=$BG$1+4),"………………..",IFERROR(INDEX($AC$3:$AC$398,MATCH(ROWS(BK$3:BK34),BG$3:BG$398,0),1),"")))</f>
        <v/>
      </c>
      <c r="BL34" s="48">
        <f t="shared" ca="1" si="69"/>
        <v>0</v>
      </c>
      <c r="BM34" s="48" t="str">
        <f ca="1">IF(AND(OR($DY$2=0,$DY$1=0),$I$1=2,ROW()&gt;$BH$1+2,ROW()&lt;=$BH$1+4),"………………..",IF(AND(OR($DY$2&gt;0,$DY$1&gt;0),$I$1=2,ROW()&gt;$BH$1+2,ROW()&lt;=$BH$1+4),"………………..",IFERROR(INDEX($AC$3:$AC$400,MATCH(ROWS(BM$3:BM34),BH$3:BH$400,0),1),"")))</f>
        <v/>
      </c>
      <c r="BN34" s="48">
        <f t="shared" ca="1" si="9"/>
        <v>0</v>
      </c>
      <c r="BO34" s="48" t="str">
        <f ca="1">IF(AND(OR($DY$2=0,$DY$1=0),$I$1=2,ROW()&gt;$BI$1+2,ROW()&lt;=$BI$1+4),"………………..",IF(AND(OR($DY$2&gt;0,$DY$1&gt;0),$I$1=2,ROW()&gt;$BI$1+2,ROW()&lt;=$BI$1+4),"………………..",IFERROR(INDEX($AC$3:$AC$400,MATCH(ROWS(BO$3:BO34),BI$3:BI$400,0),1),"")))</f>
        <v/>
      </c>
      <c r="BP34" s="48">
        <f t="shared" ca="1" si="10"/>
        <v>0</v>
      </c>
      <c r="BQ34" s="48" t="str">
        <f ca="1">IF(AND(OR($DY$2=0,$DY$1=0),$I$1=2,ROW()&gt;$BJ$1+2,ROW()&lt;=$BJ$1+4),"………………..",IF(AND(OR($DY$2&gt;0,$DY$1&gt;0),$I$1=2,ROW()&gt;$BJ$1+2,ROW()&lt;=$BJ$1+4),"………………..",IFERROR(INDEX($AC$3:$AC$400,MATCH(ROWS(BQ$3:BQ34),BJ$3:BJ$400,0),1),"")))</f>
        <v/>
      </c>
      <c r="BR34" s="48">
        <f t="shared" ca="1" si="11"/>
        <v>0</v>
      </c>
      <c r="BS34" s="48">
        <f ca="1">IF(IF(AND(OR(INDEX(PDC,MATCH($AC34,DEN_PDC,0),4)="D",INDEX(PDC,MATCH($AC34,DEN_PDC,0),4)="D/A"),SUMIFS(DARE,DEN_G,$AC34)&gt;=SUMIFS(AVERE,DEN_G,$AC34)),SUMIFS(DARE,DEN_G,$AC34),IF(AND(OR(INDEX(PDC,MATCH($AC34,DEN_PDC,0),4)="A",INDEX(PDC,MATCH($AC34,DEN_PDC,0),4)="D/A"),SUMIFS(AVERE,DEN_G,$AC34)&gt;=SUMIFS(DARE,DEN_G,$AC34)),SUMIFS(AVERE,DEN_G,$AC34),))&gt;0,MAX($BS$2:BS33)+1,0)</f>
        <v>0</v>
      </c>
      <c r="BT34" s="48" t="str">
        <f ca="1">IF($CO$1=0,"",IF(AND($I$1=2,ROW()&gt;$BR$1,ROW()&lt;=$BS$1)," …………….",IF(AND($E$1=1,$BX$1=1,$I$1=2,ROW()=$BQ$1),"TOTALI",IFERROR(INDEX(PDC,MATCH(ROWS(BT$3:BT34),BS$3:BS431,0),2),""))))</f>
        <v/>
      </c>
      <c r="BU34" s="48">
        <f t="shared" ca="1" si="12"/>
        <v>0</v>
      </c>
      <c r="BV34" s="48">
        <f t="shared" ca="1" si="13"/>
        <v>0</v>
      </c>
      <c r="BW34" s="48">
        <f t="shared" ca="1" si="14"/>
        <v>0</v>
      </c>
      <c r="BX34" s="48">
        <f t="shared" ca="1" si="15"/>
        <v>0</v>
      </c>
      <c r="BY34" s="48">
        <f ca="1">IF(OR(BW34&gt;0,BX34&gt;0),MAX($BY$2:BY33)+1,0)</f>
        <v>0</v>
      </c>
      <c r="BZ34" s="48" t="str">
        <f ca="1">IFERROR(INDEX($BT$3:$BY$400,MATCH(ROWS(BZ$3:BZ34),$BY$3:$BY$400,0),1),"")</f>
        <v/>
      </c>
      <c r="CA34" s="48" t="str">
        <f ca="1">IFERROR(INDEX($BT$3:$BY$400,MATCH(ROWS(CA$3:CA34),$BY$3:$BY$400,0),4),"")</f>
        <v/>
      </c>
      <c r="CB34" s="48" t="str">
        <f ca="1">IFERROR(INDEX($BT$3:$BY$400,MATCH(ROWS(CB$3:CB34),$BY$3:$BY$400,0),5),"")</f>
        <v/>
      </c>
      <c r="CC34" s="48" t="str">
        <f t="shared" ca="1" si="16"/>
        <v/>
      </c>
      <c r="CD34" s="48">
        <f ca="1">IF(AND($BF$9=1,CE34&lt;&gt;0),MAX($CD$2:CD33)+1,0)</f>
        <v>0</v>
      </c>
      <c r="CE34" s="48">
        <f ca="1">IF(ROUND(SUMIFS(COPIA!$CA$3:$CA$400,COPIA!$CC$3:$CC$400,CF34)-SUMIFS(COPIA!$CB$3:$CB$400,COPIA!$CC$3:$CC$400,CF34),0)&lt;0,0,ROUND(SUMIFS(COPIA!$CA$3:$CA$400,COPIA!$CC$3:$CC$400,CF34)-SUMIFS(COPIA!$CB$3:$CB$400,COPIA!$CC$3:$CC$400,CF34),0))</f>
        <v>0</v>
      </c>
      <c r="CF34" s="48" t="s">
        <v>606</v>
      </c>
      <c r="CG34" s="242" t="s">
        <v>512</v>
      </c>
      <c r="CH34" s="242">
        <f ca="1">CE34</f>
        <v>0</v>
      </c>
      <c r="CI34" s="242"/>
      <c r="CJ34" s="242">
        <f ca="1">SUMIFS(COPIA!$CA$3:$CA$400,COPIA!$CC$3:$CC$400,CF34)-SUMIFS(COPIA!$CB$3:$CB$400,COPIA!$CC$3:$CC$400,CF34)</f>
        <v>0</v>
      </c>
      <c r="CK34" s="48">
        <f ca="1">IF($CF$2=FALSE,0,IF(AND($BF$9=1,CJ34&lt;&gt;0),MAX($CK$21:CK33)+1,0))</f>
        <v>0</v>
      </c>
      <c r="CL34" s="48" t="s">
        <v>685</v>
      </c>
      <c r="CM34" s="242" t="str">
        <f t="shared" ca="1" si="37"/>
        <v/>
      </c>
      <c r="CN34" s="243">
        <f t="shared" ca="1" si="38"/>
        <v>0</v>
      </c>
      <c r="CO34" s="48" t="str">
        <f t="shared" ca="1" si="39"/>
        <v/>
      </c>
      <c r="CQ34" s="247">
        <f t="shared" ca="1" si="86"/>
        <v>47849</v>
      </c>
      <c r="CR34" s="247">
        <f t="shared" ca="1" si="86"/>
        <v>48213</v>
      </c>
      <c r="CS34" s="48">
        <f ca="1">ABS(CS26-CT26)</f>
        <v>0</v>
      </c>
      <c r="CT34" s="242">
        <f ca="1">SUM($CS$29:CS34)</f>
        <v>0</v>
      </c>
      <c r="CU34" s="48">
        <f ca="1">IF(SUMIFS(AVERE,DEN_G,AC34,AVERE,"&gt;"&amp;0)+SUMIFS(DARE,DEN_G,AC34,DARE,"&gt;"&amp;0)&gt;0,MAX($CU$2:CU33)+1,0)</f>
        <v>0</v>
      </c>
      <c r="CV34" s="48" t="str">
        <f ca="1">IF(IFERROR(INDEX(PDC,MATCH(ROWS($CV$3:CV34),$CU$3:$CU$400,0),2),"")="CONTO DI RISULTATO ECONOMICO","",IFERROR(INDEX(PDC,MATCH(ROWS($CV$3:CV34),$CU$3:$CU$400,0),2),""))</f>
        <v/>
      </c>
      <c r="CW34" s="48">
        <f ca="1">IFERROR(IF(CV34&lt;&gt;"",MAX($CW$2:CW33)+1,0),0)</f>
        <v>0</v>
      </c>
      <c r="CX34" s="48">
        <f t="shared" ca="1" si="88"/>
        <v>3</v>
      </c>
      <c r="CY34" s="48" t="str">
        <f t="shared" ca="1" si="85"/>
        <v>MASTRO</v>
      </c>
      <c r="CZ34" s="48" t="e">
        <f t="shared" ca="1" si="90"/>
        <v>#N/A</v>
      </c>
      <c r="DA34" s="48" t="str">
        <f t="shared" ca="1" si="94"/>
        <v/>
      </c>
      <c r="DB34" s="48" t="str">
        <f t="shared" ca="1" si="76"/>
        <v/>
      </c>
      <c r="DC34" s="48" t="str">
        <f t="shared" ca="1" si="91"/>
        <v/>
      </c>
      <c r="DD34" s="48" t="str">
        <f t="shared" ca="1" si="92"/>
        <v/>
      </c>
      <c r="DE34" s="48" t="str">
        <f t="shared" ca="1" si="93"/>
        <v/>
      </c>
      <c r="DF34" s="48">
        <f ca="1">IF(AND(CX34=$DF$1,CX34&lt;&gt;""),0,IF(AND(DB34&lt;&gt;"",OR(DB33&lt;&gt;"",DB35&lt;&gt;"")),MAX($DF$2:DF33)+1,0))</f>
        <v>0</v>
      </c>
      <c r="DH34" s="244" t="s">
        <v>1014</v>
      </c>
      <c r="DI34" s="48" t="s">
        <v>1015</v>
      </c>
      <c r="DJ34" s="48" t="s">
        <v>311</v>
      </c>
      <c r="DK34" s="48" t="s">
        <v>298</v>
      </c>
      <c r="DL34" s="48" t="s">
        <v>318</v>
      </c>
      <c r="DM34" s="48" t="s">
        <v>299</v>
      </c>
      <c r="DO34" s="48" t="str">
        <f ca="1">IF($BF$9=1,"pab13","pab1")</f>
        <v>pab1</v>
      </c>
      <c r="DQ34" s="227" t="s">
        <v>334</v>
      </c>
      <c r="DR34" s="48" t="s">
        <v>758</v>
      </c>
      <c r="DS34" s="48" t="s">
        <v>311</v>
      </c>
      <c r="DT34" s="48" t="s">
        <v>298</v>
      </c>
      <c r="DU34" s="48" t="s">
        <v>318</v>
      </c>
      <c r="DV34" s="48" t="s">
        <v>299</v>
      </c>
      <c r="DW34" s="48">
        <f ca="1">IF(DR34&lt;&gt;"",MAX($DW$2:DW33)+1,0)</f>
        <v>12</v>
      </c>
      <c r="DX34" s="48" t="str">
        <f ca="1">IF($BF$9=1,"pab13","pab1")</f>
        <v>pab1</v>
      </c>
      <c r="DY34" s="48" t="str">
        <f t="shared" ca="1" si="19"/>
        <v/>
      </c>
      <c r="DZ34" s="48" t="str">
        <f t="shared" ca="1" si="40"/>
        <v/>
      </c>
      <c r="EA34" s="48" t="str">
        <f t="shared" ca="1" si="41"/>
        <v/>
      </c>
      <c r="EB34" s="48">
        <f t="shared" ca="1" si="42"/>
        <v>0</v>
      </c>
      <c r="EC34" s="48">
        <f t="shared" ca="1" si="43"/>
        <v>0</v>
      </c>
      <c r="ED34" s="48" t="str">
        <f t="shared" ca="1" si="44"/>
        <v/>
      </c>
      <c r="EE34" s="48">
        <f t="shared" ca="1" si="45"/>
        <v>0</v>
      </c>
      <c r="EF34" s="48" t="str">
        <f t="shared" ca="1" si="46"/>
        <v/>
      </c>
      <c r="EG34" s="48">
        <f t="shared" ca="1" si="47"/>
        <v>0</v>
      </c>
      <c r="EH34" s="48" t="str">
        <f t="shared" ca="1" si="48"/>
        <v/>
      </c>
      <c r="EI34" s="48">
        <f t="shared" ca="1" si="49"/>
        <v>0</v>
      </c>
      <c r="EJ34" s="48" t="str">
        <f t="shared" ca="1" si="50"/>
        <v/>
      </c>
      <c r="EK34" s="48">
        <f t="shared" ca="1" si="51"/>
        <v>0</v>
      </c>
      <c r="EL34" s="48">
        <f t="shared" ca="1" si="20"/>
        <v>0</v>
      </c>
      <c r="EM34" s="48">
        <f ca="1">IF(EL34&gt;=0,0,MAX($EM$2:EM33)+1)</f>
        <v>0</v>
      </c>
      <c r="EN34" s="48" t="str">
        <f t="shared" ca="1" si="21"/>
        <v/>
      </c>
      <c r="EO34" s="48" t="str">
        <f ca="1">IFERROR(INDEX($EM$3:$EN$400,MATCH(ROWS($EO$3:EO34),$EM$3:$EM$400,0),2),"")</f>
        <v/>
      </c>
      <c r="EP34" s="48">
        <f>ROW()</f>
        <v>34</v>
      </c>
      <c r="EQ34" s="48">
        <f t="shared" ca="1" si="22"/>
        <v>0</v>
      </c>
      <c r="ER34" s="48">
        <f ca="1">IF(ISNA(EQ34)=TRUE,MAX($ER$2:ER33)+1,0)</f>
        <v>0</v>
      </c>
      <c r="ES34" s="48" t="str">
        <f t="shared" ca="1" si="52"/>
        <v/>
      </c>
      <c r="ET34" s="48" t="str">
        <f ca="1">IFERROR(INDEX($ER$3:$ES$400,MATCH(ROWS($ET$3:ET34),$ER$3:$ER$400,0),2),"")</f>
        <v/>
      </c>
      <c r="EV34" s="48">
        <f ca="1">IFERROR(INDEX(LIBRO_GIORNALE!$O$11:$P$408,MATCH(ROWS($EV$2:EV33),LIBRO_GIORNALE!$P$11:$P$408,0),1),0)</f>
        <v>0</v>
      </c>
      <c r="EW34" s="48" t="str">
        <f t="shared" ca="1" si="53"/>
        <v>0</v>
      </c>
      <c r="EX34" s="48">
        <f t="shared" ca="1" si="54"/>
        <v>0</v>
      </c>
      <c r="EY34" s="48">
        <f ca="1">IF(EX34&gt;0,MAX($EY$2:EY33)+1,0)</f>
        <v>0</v>
      </c>
      <c r="EZ34" s="48">
        <f ca="1">IFERROR(INDEX($EX$3:$EX$400,MATCH(ROWS($EZ$3:EZ34),$EY$3:$EY$400,0),1),0)</f>
        <v>0</v>
      </c>
      <c r="FA34" s="48">
        <f ca="1">IF(EZ34&gt;0,0,MAX($FA$2:FA33)+1)</f>
        <v>32</v>
      </c>
      <c r="FB34" s="48">
        <f t="shared" ca="1" si="55"/>
        <v>0</v>
      </c>
      <c r="FC34" s="48">
        <f t="shared" ca="1" si="56"/>
        <v>32</v>
      </c>
      <c r="FD34" s="48">
        <f t="shared" ca="1" si="57"/>
        <v>32</v>
      </c>
      <c r="FE34" s="48">
        <f ca="1">IF(FD34=0,0,MAX($FE$2:FE33)+1)</f>
        <v>32</v>
      </c>
      <c r="FF34" s="48">
        <f ca="1">IFERROR(INDEX($FD$3:$FE$400,MATCH(ROWS($FF$3:FF34),$FE$3:$FE$400,0),1),"")</f>
        <v>32</v>
      </c>
      <c r="FH34" s="48">
        <f t="shared" ca="1" si="58"/>
        <v>0</v>
      </c>
      <c r="FI34" s="48">
        <f ca="1">IF(FH34&lt;&gt;0,MAX($FI$2:FI33)+1,0)</f>
        <v>0</v>
      </c>
      <c r="FJ34" s="48" t="str">
        <f ca="1">IFERROR(INDEX($FH$3:$FI$400,MATCH(ROWS($FJ$3:FJ34),$FI$3:$FI$400,0),1),"")</f>
        <v/>
      </c>
      <c r="FK34" s="48">
        <f ca="1">IF(ABS(SUMIFS(DARE,DEN_G,"="&amp;FJ34,DATA,"&lt;="&amp;FINE_AC,DATA,"&gt;="&amp;INIZIO_A_PC)-SUMIFS(AVERE,DEN_G,"="&amp;FJ34,DATA,"&lt;="&amp;FINE_AC,DATA,"&gt;="&amp;INIZIO_A_PC))&gt;0,MAX($FK$2:FK33)+1,0)</f>
        <v>0</v>
      </c>
      <c r="FL34" s="48" t="str">
        <f ca="1">IF(AND(ROW()-2&lt;&gt;1,ROW()-2&lt;=$FK$1),CONCATENATE(" - ",IFERROR(INDEX($FJ$3:$FK$400,MATCH(ROWS($FL$3:FL34),$FK$3:$FK$400,0),1),"")),IFERROR(INDEX($FJ$3:$FK$400,MATCH(ROWS($FL$3:FL34),$FK$3:$FK$400,0),1),""))</f>
        <v/>
      </c>
      <c r="FM34" s="48">
        <f ca="1">IF(OR(B34="IVA ns/credito",B34="IVA NS/DEBITO",B34="IVA C/ACCONTO",B34="IMPOSTE C/ACCONTO",B34="CREDITI PER RITENUTE SUBITE",B34="CREDITI D'IMPOSTA"),MAX($FM$2:FM33)+1,0)</f>
        <v>0</v>
      </c>
      <c r="FN34" s="48" t="str">
        <f t="shared" ca="1" si="59"/>
        <v/>
      </c>
      <c r="FO34" s="48" t="str">
        <f ca="1">IFERROR(INDEX($FM$3:$FN$400,MATCH(ROWS($FO$3:FO34),$FM$3:$FM$400,0),2),"")</f>
        <v/>
      </c>
      <c r="FP34" s="48">
        <f ca="1">IF(ABS(SUMIFS(DARE,DEN_G,"="&amp;FO34,DATA,"&lt;="&amp;FINE_AC,DATA,"&gt;="&amp;INIZIO_A_PC)-SUMIFS(AVERE,DEN_G,"="&amp;FO34,DATA,"&lt;="&amp;FINE_AC,DATA,"&gt;="&amp;INIZIO_A_PC))&gt;0,MAX($FP$2:FP33)+1,0)</f>
        <v>0</v>
      </c>
      <c r="FQ34" s="48" t="str">
        <f ca="1">IF(AND(ROW()-2&lt;&gt;1,ROW()-2&lt;=$FP$1),CONCATENATE(" - ",IFERROR(INDEX($FO$3:$FP$400,MATCH(ROWS($FQ$3:FQ34),$FP$3:$FP$400,0),1),"")),IFERROR(INDEX($FO$3:$FP$400,MATCH(ROWS($FQ$3:FQ34),$FP$3:$FP$400,0),1),""))</f>
        <v/>
      </c>
    </row>
    <row r="35" spans="1:173" x14ac:dyDescent="0.3">
      <c r="A35" s="48" t="str">
        <f ca="1">IFERROR(IF($A$1=2,INDEX($DH$3:$DN$401,MATCH(ROWS(A$3:A35),$DN$3:$DN$401,0),COLUMN()),IF($A$1=1,INDEX($DQ$3:$DW$401,MATCH(ROWS(A$3:A35),$DW$3:$DW$401,0),COLUMN()),"")),"")</f>
        <v>02.15</v>
      </c>
      <c r="B35" s="48" t="str">
        <f ca="1">IFERROR(IF($A$1=2,INDEX($DH$3:$DN$401,MATCH(ROWS(B$3:B35),$DN$3:$DN$401,0),COLUMN()),IF($A$1=1,INDEX($DQ$3:$DW$400,MATCH(ROWS(B$3:B35),$DW$3:$DW$401,0),COLUMN()),"")),"")</f>
        <v>FONDO AMMORTAMENTO MACCHINE D'UFFICIO</v>
      </c>
      <c r="C35" s="48" t="str">
        <f ca="1">IFERROR(IF($A$1=2,INDEX($DH$3:$DN$401,MATCH(ROWS(C$3:C35),$DN$3:$DN$401,0),COLUMN()),IF($A$1=1,INDEX($DQ$3:$DW$401,MATCH(ROWS(C$3:C35),$DW$3:$DW$401,0),COLUMN()),"")),"")</f>
        <v>E</v>
      </c>
      <c r="D35" s="48" t="str">
        <f ca="1">IFERROR(IF($A$1=2,INDEX($DH$3:$DN$401,MATCH(ROWS(D$3:D35),$DN$3:$DN$401,0),COLUMN()),IF($A$1=1,INDEX($DQ$3:$DW$401,MATCH(ROWS(D$3:D35),$DW$3:$DW$401,0),COLUMN()),"")),"")</f>
        <v>A</v>
      </c>
      <c r="E35" s="48" t="str">
        <f ca="1">IFERROR(IF($A$1=2,INDEX($DH$3:$DN$401,MATCH(ROWS(E$3:E35),$DN$3:$DN$401,0),COLUMN()),IF($A$1=1,INDEX($DQ$3:$DW$401,MATCH(ROWS(E$3:E35),$DW$3:$DW$401,0),COLUMN()),"")),"")</f>
        <v>RETTIFICHE COSTI PLURIENNALI</v>
      </c>
      <c r="F35" s="48" t="str">
        <f ca="1">IFERROR(IF($A$1=2,INDEX($DH$3:$DN$401,MATCH(ROWS(F$3:F35),$DN$3:$DN$401,0),COLUMN()),IF($A$1=1,INDEX($DQ$3:$DX$401,MATCH(ROWS(F$3:F35),$DW$3:$DW$401,0),COLUMN()),"")),"")</f>
        <v>SP AVERE</v>
      </c>
      <c r="G35" s="48" t="str">
        <f t="shared" ca="1" si="23"/>
        <v>SP</v>
      </c>
      <c r="H35" s="48" t="str">
        <f ca="1">IFERROR(IF($A$1=2,INDEX($DH$3:$DO$400,MATCH(ROWS(H$3:H35),$DN$3:$DN$400,0),COLUMN()),IF($A$1=1,INDEX($DQ$3:$DX$400,MATCH(ROWS(H$3:H35),$DW$3:$DW$400,0),COLUMN()),"")),"")</f>
        <v>pab2</v>
      </c>
      <c r="I35" s="48" t="str">
        <f t="shared" ca="1" si="0"/>
        <v/>
      </c>
      <c r="J35" s="48" t="str">
        <f t="shared" ca="1" si="24"/>
        <v/>
      </c>
      <c r="K35" s="48">
        <f t="shared" ca="1" si="25"/>
        <v>0</v>
      </c>
      <c r="L35" s="48">
        <f t="shared" ca="1" si="26"/>
        <v>0</v>
      </c>
      <c r="M35" s="48">
        <f ca="1">IFERROR(IF(IF(MID($A35,3,3)=".00",MID(A35,1,2),"")&lt;&gt;"",MAX($M$2:M34)+1,0),"")</f>
        <v>0</v>
      </c>
      <c r="N35" s="48" t="str">
        <f t="shared" ca="1" si="27"/>
        <v/>
      </c>
      <c r="O35" s="48" t="str">
        <f ca="1">IF(IFERROR(INDEX($N$3:$O$400,MATCH(ROWS($O$3:O35),$M$3:$M$400,0),1),"")&lt;&gt;"",CONCATENATE(INDEX($N$3:$O$400,MATCH(ROWS($O$3:O35),$M$3:$M$400,0),1),".00"),"")</f>
        <v>41.00</v>
      </c>
      <c r="P35" s="48" t="str">
        <f t="shared" ca="1" si="28"/>
        <v>ONERI FINANZIARI</v>
      </c>
      <c r="Q35" s="48">
        <f ca="1">IF(M35&gt;=1,0,MAX($Q$2:Q34)+1)</f>
        <v>30</v>
      </c>
      <c r="R35" s="48">
        <f ca="1">IF(AND($U$2=2,S35&lt;&gt;""),MAX($R$2:R34)+1,0)</f>
        <v>17</v>
      </c>
      <c r="S35" s="48" t="str">
        <f t="shared" ca="1" si="81"/>
        <v>DEBITI DIVERSI</v>
      </c>
      <c r="T35" s="48" t="str">
        <f ca="1">IFERROR(INDEX($R$3:$S$64,MATCH(ROWS($T$2:T34),$R$3:$R$64,0),2),"")</f>
        <v>PROVENTI FINANZIARI</v>
      </c>
      <c r="U35" s="48" t="str">
        <f ca="1">IFERROR(INDEX(PDC,MATCH(ROWS(U$3:U35),$V$3:$V$400,0),2),"")</f>
        <v>FONDO AMMORTAMENTO IMBALLAGGI DUREVOLI</v>
      </c>
      <c r="V35" s="48">
        <f ca="1">IF(AND($T$1="VISUALIZZA TUTTI I CONTI",AA35&lt;&gt;""),MAX($V$2:V34)+1,IF(AND($U$2=2,AI35=$T$1),MAX($V$2:V34)+1,IF(AND($U$2=1,$T$1=AF35),MAX($V$2:V34)+1,0)))</f>
        <v>33</v>
      </c>
      <c r="Z35" s="246"/>
      <c r="AA35" s="48" t="str">
        <f t="shared" ca="1" si="29"/>
        <v>02.00</v>
      </c>
      <c r="AB35" s="48" t="str">
        <f ca="1">IFERROR(INDEX($A$3:$G$400,MATCH(ROWS(AB$3:AB35),$Q$3:$Q$400,0),1),"")</f>
        <v>02.18</v>
      </c>
      <c r="AC35" s="48" t="str">
        <f ca="1">IFERROR(INDEX($A$3:$G$400,MATCH(ROWS($AC$3:AC35),$Q$3:$Q$400,0),2),"")</f>
        <v>FONDO AMMORTAMENTO IMBALLAGGI DUREVOLI</v>
      </c>
      <c r="AD35" s="48" t="str">
        <f ca="1">IFERROR(INDEX($A$3:$G$400,MATCH(ROWS(AD$3:AD35),$Q$3:$Q$400,0),3),"")</f>
        <v>E</v>
      </c>
      <c r="AE35" s="48" t="str">
        <f ca="1">IFERROR(INDEX($A$3:$G$400,MATCH(ROWS(AE$3:AE35),$Q$3:$Q$400,0),4),"")</f>
        <v>A</v>
      </c>
      <c r="AF35" s="48" t="str">
        <f ca="1">IFERROR(INDEX($A$3:$G$400,MATCH(ROWS(AF$3:AF35),$Q$3:$Q$400,0),5),"")</f>
        <v>RETTIFICHE COSTI PLURIENNALI</v>
      </c>
      <c r="AG35" s="48" t="str">
        <f ca="1">IFERROR(INDEX($A$3:$G$400,MATCH(ROWS(AG$3:AG35),$Q$3:$Q$400,0),6),"")</f>
        <v>SP AVERE</v>
      </c>
      <c r="AH35" s="48" t="str">
        <f ca="1">IFERROR(INDEX($A$3:$G$400,MATCH(ROWS(AH$3:AH35),$Q$3:$Q$400,0),7),"")</f>
        <v>SP</v>
      </c>
      <c r="AI35" s="48" t="str">
        <f t="shared" ca="1" si="1"/>
        <v>IMMOBILIZZAZIONI MATERIALI</v>
      </c>
      <c r="AJ35" s="48" t="str">
        <f ca="1">IFERROR(INDEX($A$3:$H$400,MATCH(ROWS(AJ$3:AJ35),$Q$3:$Q$400,0),8),"")</f>
        <v>pab2</v>
      </c>
      <c r="AK35" s="48">
        <f t="shared" ca="1" si="2"/>
        <v>0</v>
      </c>
      <c r="AL35" s="48">
        <f t="shared" ref="AL35:AL66" ca="1" si="95">IF(OR(INDIRECT(ADDRESS(ROW()+6,COLUMN()-34,,,"VALORI_INIZIALI"))&lt;INIZIO_A_PC,INDIRECT(ADDRESS(ROW()+6,COLUMN()-34,,,"VALORI_INIZIALI"))&gt;FINE_PERIODO),0,INDIRECT(ADDRESS(ROW()+6,COLUMN()-34,,,"VALORI_INIZIALI")))</f>
        <v>0</v>
      </c>
      <c r="AM35" s="48">
        <f t="shared" ca="1" si="30"/>
        <v>0</v>
      </c>
      <c r="AN35" s="48" t="str">
        <f t="shared" ca="1" si="31"/>
        <v/>
      </c>
      <c r="AO35" s="48">
        <f t="shared" ca="1" si="32"/>
        <v>0</v>
      </c>
      <c r="AP35" s="48">
        <f t="shared" ca="1" si="32"/>
        <v>0</v>
      </c>
      <c r="AQ35" s="48" t="str">
        <f t="shared" ca="1" si="4"/>
        <v>FONDO AMMORTAMENTO IMBALLAGGI DUREVOLI</v>
      </c>
      <c r="AR35" s="48">
        <f t="shared" ca="1" si="5"/>
        <v>0</v>
      </c>
      <c r="AS35" s="48">
        <f t="shared" ca="1" si="6"/>
        <v>0</v>
      </c>
      <c r="AT35" s="48">
        <f t="shared" ca="1" si="33"/>
        <v>0</v>
      </c>
      <c r="AU35" s="48">
        <f t="shared" ca="1" si="34"/>
        <v>0</v>
      </c>
      <c r="AV35" s="48">
        <f ca="1">IF(OR(AT35&gt;0,AU35&gt;0),MAX($AV$2:AV34)+1,0)</f>
        <v>0</v>
      </c>
      <c r="AZ35" s="241" t="str">
        <f t="shared" ca="1" si="35"/>
        <v/>
      </c>
      <c r="BA35" s="48">
        <f t="shared" ref="BA35:BA66" ca="1" si="96">IF(BB35&lt;&gt;0,INIZIO_AC,0)</f>
        <v>0</v>
      </c>
      <c r="BB35" s="48">
        <f ca="1">IFERROR(INDEX($AQ$3:$AV$220,MATCH(ROWS($BB$3:BB35),$AV$3:$AV$220,0),1),0)</f>
        <v>0</v>
      </c>
      <c r="BC35" s="48" t="str">
        <f t="shared" ca="1" si="36"/>
        <v/>
      </c>
      <c r="BD35" s="48">
        <f ca="1">IFERROR(INDEX($AQ$3:$AV$220,MATCH(ROWS($BB$3:BD35),$AV$3:$AV$220,0),4),0)</f>
        <v>0</v>
      </c>
      <c r="BE35" s="48">
        <f ca="1">IFERROR(INDEX($AQ$3:$AV$220,MATCH(ROWS($BB$3:BE35),$AV$3:$AV$220,0),5),0)</f>
        <v>0</v>
      </c>
      <c r="BF35" s="48">
        <v>21</v>
      </c>
      <c r="BG35" s="48">
        <f ca="1">IF(IF(AND(OR(INDEX(PDC,MATCH($AC35,DEN_PDC,0),6)="SP DARE",INDEX(PDC,MATCH($AC35,DEN_PDC,0),6)="SP DARE/AVERE"),SUMIFS(DARE,DEN_G,$AC35)&gt;=SUMIFS(AVERE,DEN_G,$AC35)),SUMIFS(DARE,DEN_G,$AC35)-SUMIFS(AVERE,DEN_G,$AC35),0)&gt;0,MAX($BG$2:BG34)+1,0)</f>
        <v>0</v>
      </c>
      <c r="BH35" s="48">
        <f ca="1">IF(IF(AND(OR(INDEX(PDC,MATCH($AC35,DEN_PDC,0),6)="SP AVERE",INDEX(PDC,MATCH($AC35,DEN_PDC,0),6)="SP DARE/AVERE"),SUMIFS(AVERE,DEN_G,$AC35)&gt;=SUMIFS(DARE,DEN_G,$AC35)),SUMIFS(AVERE,DEN_G,$AC35)-SUMIFS(DARE,DEN_G,$AC35),0)&gt;0,MAX(BH$2:BH34)+1,0)</f>
        <v>0</v>
      </c>
      <c r="BI35" s="48">
        <f ca="1">IF(IF(AND(OR(INDEX(PDC,MATCH($AC35,DEN_PDC,0),6)="SE DARE",INDEX(PDC,MATCH($AC35,DEN_PDC,0),6)="SE DARE/AVERE"),SUMIFS(DARE,DEN_G,$AC35)&gt;=SUMIFS(AVERE,DEN_G,$AC35)),SUMIFS(DARE,DEN_G,$AC35)-SUMIFS(AVERE,DEN_G,$AC35),0)&gt;0,MAX(BI$2:BI34)+1,0)</f>
        <v>0</v>
      </c>
      <c r="BJ35" s="48">
        <f ca="1">IF(IF(AND(OR(INDEX(PDC,MATCH($AC35,DEN_PDC,0),6)="SE AVERE",INDEX(PDC,MATCH($AC35,DEN_PDC,0),6)="SE DARE/AVERE"),SUMIFS(AVERE,DEN_G,$AC35)&gt;=SUMIFS(DARE,DEN_G,$AC35)),SUMIFS(AVERE,DEN_G,$AC35)-SUMIFS(DARE,DEN_G,$AC35),0)&gt;0,MAX(BJ$2:BJ34)+1,0)</f>
        <v>0</v>
      </c>
      <c r="BK35" s="48" t="str">
        <f ca="1">IF(AND(AND($DY$2=0,$DY$1=0),$I$1=2,ROW()&gt;$BG$1+2,ROW()&lt;=$BG$1+4),"………………..",IF(AND(OR($DY$2&gt;0,$DY$1&gt;0),$I$1=2,ROW()&gt;$BG$1+2,ROW()&lt;=$BG$1+4),"………………..",IFERROR(INDEX($AC$3:$AC$398,MATCH(ROWS(BK$3:BK35),BG$3:BG$398,0),1),"")))</f>
        <v/>
      </c>
      <c r="BL35" s="48">
        <f t="shared" ca="1" si="69"/>
        <v>0</v>
      </c>
      <c r="BM35" s="48" t="str">
        <f ca="1">IF(AND(OR($DY$2=0,$DY$1=0),$I$1=2,ROW()&gt;$BH$1+2,ROW()&lt;=$BH$1+4),"………………..",IF(AND(OR($DY$2&gt;0,$DY$1&gt;0),$I$1=2,ROW()&gt;$BH$1+2,ROW()&lt;=$BH$1+4),"………………..",IFERROR(INDEX($AC$3:$AC$400,MATCH(ROWS(BM$3:BM35),BH$3:BH$400,0),1),"")))</f>
        <v/>
      </c>
      <c r="BN35" s="48">
        <f t="shared" ca="1" si="9"/>
        <v>0</v>
      </c>
      <c r="BO35" s="48" t="str">
        <f ca="1">IF(AND(OR($DY$2=0,$DY$1=0),$I$1=2,ROW()&gt;$BI$1+2,ROW()&lt;=$BI$1+4),"………………..",IF(AND(OR($DY$2&gt;0,$DY$1&gt;0),$I$1=2,ROW()&gt;$BI$1+2,ROW()&lt;=$BI$1+4),"………………..",IFERROR(INDEX($AC$3:$AC$400,MATCH(ROWS(BO$3:BO35),BI$3:BI$400,0),1),"")))</f>
        <v/>
      </c>
      <c r="BP35" s="48">
        <f t="shared" ca="1" si="10"/>
        <v>0</v>
      </c>
      <c r="BQ35" s="48" t="str">
        <f ca="1">IF(AND(OR($DY$2=0,$DY$1=0),$I$1=2,ROW()&gt;$BJ$1+2,ROW()&lt;=$BJ$1+4),"………………..",IF(AND(OR($DY$2&gt;0,$DY$1&gt;0),$I$1=2,ROW()&gt;$BJ$1+2,ROW()&lt;=$BJ$1+4),"………………..",IFERROR(INDEX($AC$3:$AC$400,MATCH(ROWS(BQ$3:BQ35),BJ$3:BJ$400,0),1),"")))</f>
        <v/>
      </c>
      <c r="BR35" s="48">
        <f t="shared" ca="1" si="11"/>
        <v>0</v>
      </c>
      <c r="BS35" s="48">
        <f ca="1">IF(IF(AND(OR(INDEX(PDC,MATCH($AC35,DEN_PDC,0),4)="D",INDEX(PDC,MATCH($AC35,DEN_PDC,0),4)="D/A"),SUMIFS(DARE,DEN_G,$AC35)&gt;=SUMIFS(AVERE,DEN_G,$AC35)),SUMIFS(DARE,DEN_G,$AC35),IF(AND(OR(INDEX(PDC,MATCH($AC35,DEN_PDC,0),4)="A",INDEX(PDC,MATCH($AC35,DEN_PDC,0),4)="D/A"),SUMIFS(AVERE,DEN_G,$AC35)&gt;=SUMIFS(DARE,DEN_G,$AC35)),SUMIFS(AVERE,DEN_G,$AC35),))&gt;0,MAX($BS$2:BS34)+1,0)</f>
        <v>0</v>
      </c>
      <c r="BT35" s="48" t="str">
        <f ca="1">IF($CO$1=0,"",IF(AND($I$1=2,ROW()&gt;$BR$1,ROW()&lt;=$BS$1)," …………….",IF(AND($E$1=1,$BX$1=1,$I$1=2,ROW()=$BQ$1),"TOTALI",IFERROR(INDEX(PDC,MATCH(ROWS(BT$3:BT35),BS$3:BS432,0),2),""))))</f>
        <v/>
      </c>
      <c r="BU35" s="48">
        <f t="shared" ca="1" si="12"/>
        <v>0</v>
      </c>
      <c r="BV35" s="48">
        <f t="shared" ca="1" si="13"/>
        <v>0</v>
      </c>
      <c r="BW35" s="48">
        <f t="shared" ca="1" si="14"/>
        <v>0</v>
      </c>
      <c r="BX35" s="48">
        <f t="shared" ca="1" si="15"/>
        <v>0</v>
      </c>
      <c r="BY35" s="48">
        <f ca="1">IF(OR(BW35&gt;0,BX35&gt;0),MAX($BY$2:BY34)+1,0)</f>
        <v>0</v>
      </c>
      <c r="BZ35" s="48" t="str">
        <f ca="1">IFERROR(INDEX($BT$3:$BY$400,MATCH(ROWS(BZ$3:BZ35),$BY$3:$BY$400,0),1),"")</f>
        <v/>
      </c>
      <c r="CA35" s="48" t="str">
        <f ca="1">IFERROR(INDEX($BT$3:$BY$400,MATCH(ROWS(CA$3:CA35),$BY$3:$BY$400,0),4),"")</f>
        <v/>
      </c>
      <c r="CB35" s="48" t="str">
        <f ca="1">IFERROR(INDEX($BT$3:$BY$400,MATCH(ROWS(CB$3:CB35),$BY$3:$BY$400,0),5),"")</f>
        <v/>
      </c>
      <c r="CC35" s="48" t="str">
        <f t="shared" ca="1" si="16"/>
        <v/>
      </c>
      <c r="CD35" s="48">
        <f ca="1">IF(AND($BF$9=1,CE35&lt;&gt;0),MAX($CD$2:CD34)+1,0)</f>
        <v>0</v>
      </c>
      <c r="CE35" s="48">
        <f ca="1">ROUND(IFERROR(INDEX(BILANCIO!$I$13:$J$59,MATCH(CF35,BILANCIO!$J$13:$J$59,0),1),0),0)</f>
        <v>0</v>
      </c>
      <c r="CF35" s="48" t="s">
        <v>685</v>
      </c>
      <c r="CG35" s="242" t="s">
        <v>570</v>
      </c>
      <c r="CH35" s="242"/>
      <c r="CI35" s="242"/>
      <c r="CJ35" s="242">
        <f ca="1">SUMIFS(COPIA!$CA$3:$CA$400,COPIA!$CC$3:$CC$400,CF35)-SUMIFS(COPIA!$CB$3:$CB$400,COPIA!$CC$3:$CC$400,CF35)</f>
        <v>0</v>
      </c>
      <c r="CK35" s="48">
        <f ca="1">IF($CF$2=FALSE,0,IF(AND($BF$9=1,CJ35&lt;&gt;0),MAX($CK$21:CK34)+1,0))</f>
        <v>0</v>
      </c>
      <c r="CM35" s="242" t="str">
        <f t="shared" ca="1" si="37"/>
        <v/>
      </c>
      <c r="CN35" s="243">
        <f t="shared" ca="1" si="38"/>
        <v>0</v>
      </c>
      <c r="CO35" s="48" t="str">
        <f t="shared" ca="1" si="39"/>
        <v/>
      </c>
      <c r="CQ35" s="242"/>
      <c r="CR35" s="242"/>
      <c r="CT35" s="242"/>
      <c r="CU35" s="48">
        <f ca="1">IF(SUMIFS(AVERE,DEN_G,AC35,AVERE,"&gt;"&amp;0)+SUMIFS(DARE,DEN_G,AC35,DARE,"&gt;"&amp;0)&gt;0,MAX($CU$2:CU34)+1,0)</f>
        <v>0</v>
      </c>
      <c r="CV35" s="48" t="str">
        <f ca="1">IF(IFERROR(INDEX(PDC,MATCH(ROWS($CV$3:CV35),$CU$3:$CU$400,0),2),"")="CONTO DI RISULTATO ECONOMICO","",IFERROR(INDEX(PDC,MATCH(ROWS($CV$3:CV35),$CU$3:$CU$400,0),2),""))</f>
        <v/>
      </c>
      <c r="CW35" s="48">
        <f ca="1">IFERROR(IF(CV35&lt;&gt;"",MAX($CW$2:CW34)+1,0),0)</f>
        <v>0</v>
      </c>
      <c r="CX35" s="48">
        <f t="shared" ca="1" si="88"/>
        <v>3</v>
      </c>
      <c r="CY35" s="48" t="str">
        <f t="shared" ca="1" si="85"/>
        <v>MASTRO</v>
      </c>
      <c r="CZ35" s="48" t="e">
        <f t="shared" ca="1" si="90"/>
        <v>#N/A</v>
      </c>
      <c r="DA35" s="48" t="str">
        <f t="shared" ca="1" si="94"/>
        <v/>
      </c>
      <c r="DB35" s="48" t="str">
        <f t="shared" ca="1" si="76"/>
        <v/>
      </c>
      <c r="DC35" s="48" t="str">
        <f t="shared" ca="1" si="91"/>
        <v/>
      </c>
      <c r="DD35" s="48" t="str">
        <f t="shared" ca="1" si="92"/>
        <v/>
      </c>
      <c r="DE35" s="48" t="str">
        <f t="shared" ca="1" si="93"/>
        <v/>
      </c>
      <c r="DF35" s="48">
        <f ca="1">IF(AND(CX35=$DF$1,CX35&lt;&gt;""),0,IF(AND(DB35&lt;&gt;"",OR(DB34&lt;&gt;"",DB36&lt;&gt;"")),MAX($DF$2:DF34)+1,0))</f>
        <v>0</v>
      </c>
      <c r="DH35" s="244" t="s">
        <v>853</v>
      </c>
      <c r="DI35" s="48" t="s">
        <v>336</v>
      </c>
      <c r="DJ35" s="48" t="s">
        <v>311</v>
      </c>
      <c r="DK35" s="48" t="s">
        <v>275</v>
      </c>
      <c r="DL35" s="48" t="s">
        <v>9</v>
      </c>
      <c r="DM35" s="48" t="s">
        <v>270</v>
      </c>
      <c r="DN35" s="48">
        <f ca="1">IF(DI35&lt;&gt;"",MAX($DN$2:DN34)+1,0)</f>
        <v>18</v>
      </c>
      <c r="DO35" s="48" t="str">
        <f ca="1">IF($BF$9=1,"pab16","pab1")</f>
        <v>pab1</v>
      </c>
      <c r="DQ35" s="227" t="s">
        <v>335</v>
      </c>
      <c r="DR35" s="48" t="s">
        <v>19</v>
      </c>
      <c r="DS35" s="48" t="s">
        <v>311</v>
      </c>
      <c r="DT35" s="48" t="s">
        <v>298</v>
      </c>
      <c r="DU35" s="48" t="s">
        <v>318</v>
      </c>
      <c r="DV35" s="48" t="s">
        <v>299</v>
      </c>
      <c r="DW35" s="48">
        <f ca="1">IF(DR35&lt;&gt;"",MAX($DW$2:DW34)+1,0)</f>
        <v>13</v>
      </c>
      <c r="DX35" s="48" t="str">
        <f ca="1">IF($BF$9=1,"pab15","pab1")</f>
        <v>pab1</v>
      </c>
      <c r="DY35" s="48" t="str">
        <f t="shared" ca="1" si="19"/>
        <v/>
      </c>
      <c r="DZ35" s="48" t="str">
        <f t="shared" ca="1" si="40"/>
        <v/>
      </c>
      <c r="EA35" s="48" t="str">
        <f t="shared" ca="1" si="41"/>
        <v/>
      </c>
      <c r="EB35" s="48">
        <f t="shared" ca="1" si="42"/>
        <v>0</v>
      </c>
      <c r="EC35" s="48">
        <f t="shared" ca="1" si="43"/>
        <v>0</v>
      </c>
      <c r="ED35" s="48" t="str">
        <f t="shared" ca="1" si="44"/>
        <v/>
      </c>
      <c r="EE35" s="48">
        <f t="shared" ca="1" si="45"/>
        <v>0</v>
      </c>
      <c r="EF35" s="48" t="str">
        <f t="shared" ca="1" si="46"/>
        <v/>
      </c>
      <c r="EG35" s="48">
        <f t="shared" ca="1" si="47"/>
        <v>0</v>
      </c>
      <c r="EH35" s="48" t="str">
        <f t="shared" ca="1" si="48"/>
        <v/>
      </c>
      <c r="EI35" s="48">
        <f t="shared" ca="1" si="49"/>
        <v>0</v>
      </c>
      <c r="EJ35" s="48" t="str">
        <f t="shared" ca="1" si="50"/>
        <v/>
      </c>
      <c r="EK35" s="48">
        <f t="shared" ca="1" si="51"/>
        <v>0</v>
      </c>
      <c r="EL35" s="48">
        <f t="shared" ca="1" si="20"/>
        <v>0</v>
      </c>
      <c r="EM35" s="48">
        <f ca="1">IF(EL35&gt;=0,0,MAX($EM$2:EM34)+1)</f>
        <v>0</v>
      </c>
      <c r="EN35" s="48" t="str">
        <f t="shared" ca="1" si="21"/>
        <v/>
      </c>
      <c r="EO35" s="48" t="str">
        <f ca="1">IFERROR(INDEX($EM$3:$EN$400,MATCH(ROWS($EO$3:EO35),$EM$3:$EM$400,0),2),"")</f>
        <v/>
      </c>
      <c r="EP35" s="48">
        <f>ROW()</f>
        <v>35</v>
      </c>
      <c r="EQ35" s="48">
        <f t="shared" ca="1" si="22"/>
        <v>0</v>
      </c>
      <c r="ER35" s="48">
        <f ca="1">IF(ISNA(EQ35)=TRUE,MAX($ER$2:ER34)+1,0)</f>
        <v>0</v>
      </c>
      <c r="ES35" s="48" t="str">
        <f t="shared" ca="1" si="52"/>
        <v/>
      </c>
      <c r="ET35" s="48" t="str">
        <f ca="1">IFERROR(INDEX($ER$3:$ES$400,MATCH(ROWS($ET$3:ET35),$ER$3:$ER$400,0),2),"")</f>
        <v/>
      </c>
      <c r="EV35" s="48">
        <f ca="1">IFERROR(INDEX(LIBRO_GIORNALE!$O$11:$P$408,MATCH(ROWS($EV$2:EV34),LIBRO_GIORNALE!$P$11:$P$408,0),1),0)</f>
        <v>0</v>
      </c>
      <c r="EW35" s="48" t="str">
        <f t="shared" ca="1" si="53"/>
        <v>0</v>
      </c>
      <c r="EX35" s="48">
        <f t="shared" ca="1" si="54"/>
        <v>0</v>
      </c>
      <c r="EY35" s="48">
        <f ca="1">IF(EX35&gt;0,MAX($EY$2:EY34)+1,0)</f>
        <v>0</v>
      </c>
      <c r="EZ35" s="48">
        <f ca="1">IFERROR(INDEX($EX$3:$EX$400,MATCH(ROWS($EZ$3:EZ35),$EY$3:$EY$400,0),1),0)</f>
        <v>0</v>
      </c>
      <c r="FA35" s="48">
        <f ca="1">IF(EZ35&gt;0,0,MAX($FA$2:FA34)+1)</f>
        <v>33</v>
      </c>
      <c r="FB35" s="48">
        <f t="shared" ca="1" si="55"/>
        <v>0</v>
      </c>
      <c r="FC35" s="48">
        <f t="shared" ca="1" si="56"/>
        <v>33</v>
      </c>
      <c r="FD35" s="48">
        <f t="shared" ca="1" si="57"/>
        <v>33</v>
      </c>
      <c r="FE35" s="48">
        <f ca="1">IF(FD35=0,0,MAX($FE$2:FE34)+1)</f>
        <v>33</v>
      </c>
      <c r="FF35" s="48">
        <f ca="1">IFERROR(INDEX($FD$3:$FE$400,MATCH(ROWS($FF$3:FF35),$FE$3:$FE$400,0),1),"")</f>
        <v>33</v>
      </c>
      <c r="FH35" s="48">
        <f t="shared" ca="1" si="58"/>
        <v>0</v>
      </c>
      <c r="FI35" s="48">
        <f ca="1">IF(FH35&lt;&gt;0,MAX($FI$2:FI34)+1,0)</f>
        <v>0</v>
      </c>
      <c r="FJ35" s="48" t="str">
        <f ca="1">IFERROR(INDEX($FH$3:$FI$400,MATCH(ROWS($FJ$3:FJ35),$FI$3:$FI$400,0),1),"")</f>
        <v/>
      </c>
      <c r="FK35" s="48">
        <f ca="1">IF(ABS(SUMIFS(DARE,DEN_G,"="&amp;FJ35,DATA,"&lt;="&amp;FINE_AC,DATA,"&gt;="&amp;INIZIO_A_PC)-SUMIFS(AVERE,DEN_G,"="&amp;FJ35,DATA,"&lt;="&amp;FINE_AC,DATA,"&gt;="&amp;INIZIO_A_PC))&gt;0,MAX($FK$2:FK34)+1,0)</f>
        <v>0</v>
      </c>
      <c r="FL35" s="48" t="str">
        <f ca="1">IF(AND(ROW()-2&lt;&gt;1,ROW()-2&lt;=$FK$1),CONCATENATE(" - ",IFERROR(INDEX($FJ$3:$FK$400,MATCH(ROWS($FL$3:FL35),$FK$3:$FK$400,0),1),"")),IFERROR(INDEX($FJ$3:$FK$400,MATCH(ROWS($FL$3:FL35),$FK$3:$FK$400,0),1),""))</f>
        <v/>
      </c>
      <c r="FM35" s="48">
        <f ca="1">IF(OR(B35="IVA ns/credito",B35="IVA NS/DEBITO",B35="IVA C/ACCONTO",B35="IMPOSTE C/ACCONTO",B35="CREDITI PER RITENUTE SUBITE",B35="CREDITI D'IMPOSTA"),MAX($FM$2:FM34)+1,0)</f>
        <v>0</v>
      </c>
      <c r="FN35" s="48" t="str">
        <f t="shared" ca="1" si="59"/>
        <v/>
      </c>
      <c r="FO35" s="48" t="str">
        <f ca="1">IFERROR(INDEX($FM$3:$FN$400,MATCH(ROWS($FO$3:FO35),$FM$3:$FM$400,0),2),"")</f>
        <v/>
      </c>
      <c r="FP35" s="48">
        <f ca="1">IF(ABS(SUMIFS(DARE,DEN_G,"="&amp;FO35,DATA,"&lt;="&amp;FINE_AC,DATA,"&gt;="&amp;INIZIO_A_PC)-SUMIFS(AVERE,DEN_G,"="&amp;FO35,DATA,"&lt;="&amp;FINE_AC,DATA,"&gt;="&amp;INIZIO_A_PC))&gt;0,MAX($FP$2:FP34)+1,0)</f>
        <v>0</v>
      </c>
      <c r="FQ35" s="48" t="str">
        <f ca="1">IF(AND(ROW()-2&lt;&gt;1,ROW()-2&lt;=$FP$1),CONCATENATE(" - ",IFERROR(INDEX($FO$3:$FP$400,MATCH(ROWS($FQ$3:FQ35),$FP$3:$FP$400,0),1),"")),IFERROR(INDEX($FO$3:$FP$400,MATCH(ROWS($FQ$3:FQ35),$FP$3:$FP$400,0),1),""))</f>
        <v/>
      </c>
    </row>
    <row r="36" spans="1:173" x14ac:dyDescent="0.3">
      <c r="A36" s="48" t="str">
        <f ca="1">IFERROR(IF($A$1=2,INDEX($DH$3:$DN$401,MATCH(ROWS(A$3:A36),$DN$3:$DN$401,0),COLUMN()),IF($A$1=1,INDEX($DQ$3:$DW$401,MATCH(ROWS(A$3:A36),$DW$3:$DW$401,0),COLUMN()),"")),"")</f>
        <v>02.16</v>
      </c>
      <c r="B36" s="48" t="str">
        <f ca="1">IFERROR(IF($A$1=2,INDEX($DH$3:$DN$401,MATCH(ROWS(B$3:B36),$DN$3:$DN$401,0),COLUMN()),IF($A$1=1,INDEX($DQ$3:$DW$400,MATCH(ROWS(B$3:B36),$DW$3:$DW$401,0),COLUMN()),"")),"")</f>
        <v>FONDO AMMORTAMENTO ARREDAMENTO</v>
      </c>
      <c r="C36" s="48" t="str">
        <f ca="1">IFERROR(IF($A$1=2,INDEX($DH$3:$DN$401,MATCH(ROWS(C$3:C36),$DN$3:$DN$401,0),COLUMN()),IF($A$1=1,INDEX($DQ$3:$DW$401,MATCH(ROWS(C$3:C36),$DW$3:$DW$401,0),COLUMN()),"")),"")</f>
        <v>E</v>
      </c>
      <c r="D36" s="48" t="str">
        <f ca="1">IFERROR(IF($A$1=2,INDEX($DH$3:$DN$401,MATCH(ROWS(D$3:D36),$DN$3:$DN$401,0),COLUMN()),IF($A$1=1,INDEX($DQ$3:$DW$401,MATCH(ROWS(D$3:D36),$DW$3:$DW$401,0),COLUMN()),"")),"")</f>
        <v>A</v>
      </c>
      <c r="E36" s="48" t="str">
        <f ca="1">IFERROR(IF($A$1=2,INDEX($DH$3:$DN$401,MATCH(ROWS(E$3:E36),$DN$3:$DN$401,0),COLUMN()),IF($A$1=1,INDEX($DQ$3:$DW$401,MATCH(ROWS(E$3:E36),$DW$3:$DW$401,0),COLUMN()),"")),"")</f>
        <v>RETTIFICHE COSTI PLURIENNALI</v>
      </c>
      <c r="F36" s="48" t="str">
        <f ca="1">IFERROR(IF($A$1=2,INDEX($DH$3:$DN$401,MATCH(ROWS(F$3:F36),$DN$3:$DN$401,0),COLUMN()),IF($A$1=1,INDEX($DQ$3:$DX$401,MATCH(ROWS(F$3:F36),$DW$3:$DW$401,0),COLUMN()),"")),"")</f>
        <v>SP AVERE</v>
      </c>
      <c r="G36" s="48" t="str">
        <f t="shared" ca="1" si="23"/>
        <v>SP</v>
      </c>
      <c r="H36" s="48" t="str">
        <f ca="1">IFERROR(IF($A$1=2,INDEX($DH$3:$DO$400,MATCH(ROWS(H$3:H36),$DN$3:$DN$400,0),COLUMN()),IF($A$1=1,INDEX($DQ$3:$DX$400,MATCH(ROWS(H$3:H36),$DW$3:$DW$400,0),COLUMN()),"")),"")</f>
        <v>pab2</v>
      </c>
      <c r="I36" s="48" t="str">
        <f t="shared" ca="1" si="0"/>
        <v/>
      </c>
      <c r="J36" s="48" t="str">
        <f t="shared" ca="1" si="24"/>
        <v/>
      </c>
      <c r="K36" s="48">
        <f t="shared" ca="1" si="25"/>
        <v>0</v>
      </c>
      <c r="L36" s="48">
        <f t="shared" ca="1" si="26"/>
        <v>0</v>
      </c>
      <c r="M36" s="48">
        <f ca="1">IFERROR(IF(IF(MID($A36,3,3)=".00",MID(A36,1,2),"")&lt;&gt;"",MAX($M$2:M35)+1,0),"")</f>
        <v>0</v>
      </c>
      <c r="N36" s="48" t="str">
        <f t="shared" ca="1" si="27"/>
        <v/>
      </c>
      <c r="O36" s="48" t="str">
        <f ca="1">IF(IFERROR(INDEX($N$3:$O$400,MATCH(ROWS($O$3:O36),$M$3:$M$400,0),1),"")&lt;&gt;"",CONCATENATE(INDEX($N$3:$O$400,MATCH(ROWS($O$3:O36),$M$3:$M$400,0),1),".00"),"")</f>
        <v>50.00</v>
      </c>
      <c r="P36" s="48" t="str">
        <f t="shared" ca="1" si="28"/>
        <v>RIVALUTAZIONI DI ATTIVITÀ FINANZIARIE</v>
      </c>
      <c r="Q36" s="48">
        <f ca="1">IF(M36&gt;=1,0,MAX($Q$2:Q35)+1)</f>
        <v>31</v>
      </c>
      <c r="R36" s="48">
        <f ca="1">IF(AND($U$2=2,S36&lt;&gt;""),MAX($R$2:R35)+1,0)</f>
        <v>18</v>
      </c>
      <c r="S36" s="48" t="str">
        <f t="shared" ca="1" si="81"/>
        <v>RATEI E RISCONTI PASSIVI</v>
      </c>
      <c r="T36" s="48" t="str">
        <f ca="1">IFERROR(INDEX($R$3:$S$64,MATCH(ROWS($T$2:T35),$R$3:$R$64,0),2),"")</f>
        <v>ONERI FINANZIARI</v>
      </c>
      <c r="U36" s="48" t="str">
        <f ca="1">IFERROR(INDEX(PDC,MATCH(ROWS(U$3:U36),$V$3:$V$400,0),2),"")</f>
        <v>FONDO SVALUTAZIONE TERRENI E FABBRICATI</v>
      </c>
      <c r="V36" s="48">
        <f ca="1">IF(AND($T$1="VISUALIZZA TUTTI I CONTI",AA36&lt;&gt;""),MAX($V$2:V35)+1,IF(AND($U$2=2,AI36=$T$1),MAX($V$2:V35)+1,IF(AND($U$2=1,$T$1=AF36),MAX($V$2:V35)+1,0)))</f>
        <v>34</v>
      </c>
      <c r="Z36" s="246"/>
      <c r="AA36" s="48" t="str">
        <f t="shared" ca="1" si="29"/>
        <v>02.00</v>
      </c>
      <c r="AB36" s="48" t="str">
        <f ca="1">IFERROR(INDEX($A$3:$G$400,MATCH(ROWS(AB$3:AB36),$Q$3:$Q$400,0),1),"")</f>
        <v>02.20</v>
      </c>
      <c r="AC36" s="48" t="str">
        <f ca="1">IFERROR(INDEX($A$3:$G$400,MATCH(ROWS($AC$3:AC36),$Q$3:$Q$400,0),2),"")</f>
        <v>FONDO SVALUTAZIONE TERRENI E FABBRICATI</v>
      </c>
      <c r="AD36" s="48" t="str">
        <f ca="1">IFERROR(INDEX($A$3:$G$400,MATCH(ROWS(AD$3:AD36),$Q$3:$Q$400,0),3),"")</f>
        <v>E</v>
      </c>
      <c r="AE36" s="48" t="str">
        <f ca="1">IFERROR(INDEX($A$3:$G$400,MATCH(ROWS(AE$3:AE36),$Q$3:$Q$400,0),4),"")</f>
        <v>A</v>
      </c>
      <c r="AF36" s="48" t="str">
        <f ca="1">IFERROR(INDEX($A$3:$G$400,MATCH(ROWS(AF$3:AF36),$Q$3:$Q$400,0),5),"")</f>
        <v>RETTIFICHE COSTI PLURIENNALI</v>
      </c>
      <c r="AG36" s="48" t="str">
        <f ca="1">IFERROR(INDEX($A$3:$G$400,MATCH(ROWS(AG$3:AG36),$Q$3:$Q$400,0),6),"")</f>
        <v>SP AVERE</v>
      </c>
      <c r="AH36" s="48" t="str">
        <f ca="1">IFERROR(INDEX($A$3:$G$400,MATCH(ROWS(AH$3:AH36),$Q$3:$Q$400,0),7),"")</f>
        <v>SP</v>
      </c>
      <c r="AI36" s="48" t="str">
        <f t="shared" ca="1" si="1"/>
        <v>IMMOBILIZZAZIONI MATERIALI</v>
      </c>
      <c r="AJ36" s="48" t="str">
        <f ca="1">IFERROR(INDEX($A$3:$H$400,MATCH(ROWS(AJ$3:AJ36),$Q$3:$Q$400,0),8),"")</f>
        <v>pab2</v>
      </c>
      <c r="AK36" s="48">
        <f t="shared" ca="1" si="2"/>
        <v>0</v>
      </c>
      <c r="AL36" s="48">
        <f t="shared" ca="1" si="95"/>
        <v>0</v>
      </c>
      <c r="AM36" s="48">
        <f t="shared" ca="1" si="30"/>
        <v>0</v>
      </c>
      <c r="AN36" s="48" t="str">
        <f t="shared" ca="1" si="31"/>
        <v/>
      </c>
      <c r="AO36" s="48">
        <f t="shared" ca="1" si="32"/>
        <v>0</v>
      </c>
      <c r="AP36" s="48">
        <f t="shared" ca="1" si="32"/>
        <v>0</v>
      </c>
      <c r="AQ36" s="48" t="str">
        <f t="shared" ca="1" si="4"/>
        <v>FONDO SVALUTAZIONE TERRENI E FABBRICATI</v>
      </c>
      <c r="AR36" s="48">
        <f t="shared" ca="1" si="5"/>
        <v>0</v>
      </c>
      <c r="AS36" s="48">
        <f t="shared" ca="1" si="6"/>
        <v>0</v>
      </c>
      <c r="AT36" s="48">
        <f t="shared" ca="1" si="33"/>
        <v>0</v>
      </c>
      <c r="AU36" s="48">
        <f t="shared" ca="1" si="34"/>
        <v>0</v>
      </c>
      <c r="AV36" s="48">
        <f ca="1">IF(OR(AT36&gt;0,AU36&gt;0),MAX($AV$2:AV35)+1,0)</f>
        <v>0</v>
      </c>
      <c r="AZ36" s="241" t="str">
        <f t="shared" ca="1" si="35"/>
        <v/>
      </c>
      <c r="BA36" s="48">
        <f t="shared" ca="1" si="96"/>
        <v>0</v>
      </c>
      <c r="BB36" s="48">
        <f ca="1">IFERROR(INDEX($AQ$3:$AV$220,MATCH(ROWS($BB$3:BB36),$AV$3:$AV$220,0),1),0)</f>
        <v>0</v>
      </c>
      <c r="BC36" s="48" t="str">
        <f t="shared" ca="1" si="36"/>
        <v/>
      </c>
      <c r="BD36" s="48">
        <f ca="1">IFERROR(INDEX($AQ$3:$AV$220,MATCH(ROWS($BB$3:BD36),$AV$3:$AV$220,0),4),0)</f>
        <v>0</v>
      </c>
      <c r="BE36" s="48">
        <f ca="1">IFERROR(INDEX($AQ$3:$AV$220,MATCH(ROWS($BB$3:BE36),$AV$3:$AV$220,0),5),0)</f>
        <v>0</v>
      </c>
      <c r="BF36" s="48">
        <v>22</v>
      </c>
      <c r="BG36" s="48">
        <f ca="1">IF(IF(AND(OR(INDEX(PDC,MATCH($AC36,DEN_PDC,0),6)="SP DARE",INDEX(PDC,MATCH($AC36,DEN_PDC,0),6)="SP DARE/AVERE"),SUMIFS(DARE,DEN_G,$AC36)&gt;=SUMIFS(AVERE,DEN_G,$AC36)),SUMIFS(DARE,DEN_G,$AC36)-SUMIFS(AVERE,DEN_G,$AC36),0)&gt;0,MAX($BG$2:BG35)+1,0)</f>
        <v>0</v>
      </c>
      <c r="BH36" s="48">
        <f ca="1">IF(IF(AND(OR(INDEX(PDC,MATCH($AC36,DEN_PDC,0),6)="SP AVERE",INDEX(PDC,MATCH($AC36,DEN_PDC,0),6)="SP DARE/AVERE"),SUMIFS(AVERE,DEN_G,$AC36)&gt;=SUMIFS(DARE,DEN_G,$AC36)),SUMIFS(AVERE,DEN_G,$AC36)-SUMIFS(DARE,DEN_G,$AC36),0)&gt;0,MAX(BH$2:BH35)+1,0)</f>
        <v>0</v>
      </c>
      <c r="BI36" s="48">
        <f ca="1">IF(IF(AND(OR(INDEX(PDC,MATCH($AC36,DEN_PDC,0),6)="SE DARE",INDEX(PDC,MATCH($AC36,DEN_PDC,0),6)="SE DARE/AVERE"),SUMIFS(DARE,DEN_G,$AC36)&gt;=SUMIFS(AVERE,DEN_G,$AC36)),SUMIFS(DARE,DEN_G,$AC36)-SUMIFS(AVERE,DEN_G,$AC36),0)&gt;0,MAX(BI$2:BI35)+1,0)</f>
        <v>0</v>
      </c>
      <c r="BJ36" s="48">
        <f ca="1">IF(IF(AND(OR(INDEX(PDC,MATCH($AC36,DEN_PDC,0),6)="SE AVERE",INDEX(PDC,MATCH($AC36,DEN_PDC,0),6)="SE DARE/AVERE"),SUMIFS(AVERE,DEN_G,$AC36)&gt;=SUMIFS(DARE,DEN_G,$AC36)),SUMIFS(AVERE,DEN_G,$AC36)-SUMIFS(DARE,DEN_G,$AC36),0)&gt;0,MAX(BJ$2:BJ35)+1,0)</f>
        <v>0</v>
      </c>
      <c r="BK36" s="48" t="str">
        <f ca="1">IF(AND(AND($DY$2=0,$DY$1=0),$I$1=2,ROW()&gt;$BG$1+2,ROW()&lt;=$BG$1+4),"………………..",IF(AND(OR($DY$2&gt;0,$DY$1&gt;0),$I$1=2,ROW()&gt;$BG$1+2,ROW()&lt;=$BG$1+4),"………………..",IFERROR(INDEX($AC$3:$AC$398,MATCH(ROWS(BK$3:BK36),BG$3:BG$398,0),1),"")))</f>
        <v/>
      </c>
      <c r="BL36" s="48">
        <f t="shared" ca="1" si="69"/>
        <v>0</v>
      </c>
      <c r="BM36" s="48" t="str">
        <f ca="1">IF(AND(OR($DY$2=0,$DY$1=0),$I$1=2,ROW()&gt;$BH$1+2,ROW()&lt;=$BH$1+4),"………………..",IF(AND(OR($DY$2&gt;0,$DY$1&gt;0),$I$1=2,ROW()&gt;$BH$1+2,ROW()&lt;=$BH$1+4),"………………..",IFERROR(INDEX($AC$3:$AC$400,MATCH(ROWS(BM$3:BM36),BH$3:BH$400,0),1),"")))</f>
        <v/>
      </c>
      <c r="BN36" s="48">
        <f t="shared" ca="1" si="9"/>
        <v>0</v>
      </c>
      <c r="BO36" s="48" t="str">
        <f ca="1">IF(AND(OR($DY$2=0,$DY$1=0),$I$1=2,ROW()&gt;$BI$1+2,ROW()&lt;=$BI$1+4),"………………..",IF(AND(OR($DY$2&gt;0,$DY$1&gt;0),$I$1=2,ROW()&gt;$BI$1+2,ROW()&lt;=$BI$1+4),"………………..",IFERROR(INDEX($AC$3:$AC$400,MATCH(ROWS(BO$3:BO36),BI$3:BI$400,0),1),"")))</f>
        <v/>
      </c>
      <c r="BP36" s="48">
        <f t="shared" ca="1" si="10"/>
        <v>0</v>
      </c>
      <c r="BQ36" s="48" t="str">
        <f ca="1">IF(AND(OR($DY$2=0,$DY$1=0),$I$1=2,ROW()&gt;$BJ$1+2,ROW()&lt;=$BJ$1+4),"………………..",IF(AND(OR($DY$2&gt;0,$DY$1&gt;0),$I$1=2,ROW()&gt;$BJ$1+2,ROW()&lt;=$BJ$1+4),"………………..",IFERROR(INDEX($AC$3:$AC$400,MATCH(ROWS(BQ$3:BQ36),BJ$3:BJ$400,0),1),"")))</f>
        <v/>
      </c>
      <c r="BR36" s="48">
        <f t="shared" ca="1" si="11"/>
        <v>0</v>
      </c>
      <c r="BS36" s="48">
        <f ca="1">IF(IF(AND(OR(INDEX(PDC,MATCH($AC36,DEN_PDC,0),4)="D",INDEX(PDC,MATCH($AC36,DEN_PDC,0),4)="D/A"),SUMIFS(DARE,DEN_G,$AC36)&gt;=SUMIFS(AVERE,DEN_G,$AC36)),SUMIFS(DARE,DEN_G,$AC36),IF(AND(OR(INDEX(PDC,MATCH($AC36,DEN_PDC,0),4)="A",INDEX(PDC,MATCH($AC36,DEN_PDC,0),4)="D/A"),SUMIFS(AVERE,DEN_G,$AC36)&gt;=SUMIFS(DARE,DEN_G,$AC36)),SUMIFS(AVERE,DEN_G,$AC36),))&gt;0,MAX($BS$2:BS35)+1,0)</f>
        <v>0</v>
      </c>
      <c r="BT36" s="48" t="str">
        <f ca="1">IF($CO$1=0,"",IF(AND($I$1=2,ROW()&gt;$BR$1,ROW()&lt;=$BS$1)," …………….",IF(AND($E$1=1,$BX$1=1,$I$1=2,ROW()=$BQ$1),"TOTALI",IFERROR(INDEX(PDC,MATCH(ROWS(BT$3:BT36),BS$3:BS433,0),2),""))))</f>
        <v/>
      </c>
      <c r="BU36" s="48">
        <f t="shared" ca="1" si="12"/>
        <v>0</v>
      </c>
      <c r="BV36" s="48">
        <f t="shared" ca="1" si="13"/>
        <v>0</v>
      </c>
      <c r="BW36" s="48">
        <f t="shared" ca="1" si="14"/>
        <v>0</v>
      </c>
      <c r="BX36" s="48">
        <f t="shared" ca="1" si="15"/>
        <v>0</v>
      </c>
      <c r="BY36" s="48">
        <f ca="1">IF(OR(BW36&gt;0,BX36&gt;0),MAX($BY$2:BY35)+1,0)</f>
        <v>0</v>
      </c>
      <c r="BZ36" s="48" t="str">
        <f ca="1">IFERROR(INDEX($BT$3:$BY$400,MATCH(ROWS(BZ$3:BZ36),$BY$3:$BY$400,0),1),"")</f>
        <v/>
      </c>
      <c r="CA36" s="48" t="str">
        <f ca="1">IFERROR(INDEX($BT$3:$BY$400,MATCH(ROWS(CA$3:CA36),$BY$3:$BY$400,0),4),"")</f>
        <v/>
      </c>
      <c r="CB36" s="48" t="str">
        <f ca="1">IFERROR(INDEX($BT$3:$BY$400,MATCH(ROWS(CB$3:CB36),$BY$3:$BY$400,0),5),"")</f>
        <v/>
      </c>
      <c r="CC36" s="48" t="str">
        <f t="shared" ca="1" si="16"/>
        <v/>
      </c>
      <c r="CD36" s="48">
        <f ca="1">IF(AND($BF$9=1,CE36&lt;&gt;0),MAX($CD$2:CD35)+1,0)</f>
        <v>0</v>
      </c>
      <c r="CE36" s="48">
        <f ca="1">IF(ROUND(SUMIFS(COPIA!$CA$3:$CA$400,COPIA!$CC$3:$CC$400,CF36)-SUMIFS(COPIA!$CB$3:$CB$400,COPIA!$CC$3:$CC$400,CF36),0)&lt;0,0,ROUND(SUMIFS(COPIA!$CA$3:$CA$400,COPIA!$CC$3:$CC$400,CF36)-SUMIFS(COPIA!$CB$3:$CB$400,COPIA!$CC$3:$CC$400,CF36),0))</f>
        <v>0</v>
      </c>
      <c r="CF36" s="48" t="s">
        <v>605</v>
      </c>
      <c r="CG36" s="242" t="s">
        <v>513</v>
      </c>
      <c r="CH36" s="242">
        <f ca="1">CE36</f>
        <v>0</v>
      </c>
      <c r="CI36" s="242"/>
      <c r="CJ36" s="242">
        <f ca="1">SUMIFS(COPIA!$CA$3:$CA$400,COPIA!$CC$3:$CC$400,CF36)-SUMIFS(COPIA!$CB$3:$CB$400,COPIA!$CC$3:$CC$400,CF36)</f>
        <v>0</v>
      </c>
      <c r="CK36" s="48">
        <f ca="1">IF($CF$2=FALSE,0,IF(AND($BF$9=1,CJ36&lt;&gt;0),MAX($CK$21:CK35)+1,0))</f>
        <v>0</v>
      </c>
      <c r="CL36" s="48" t="s">
        <v>686</v>
      </c>
      <c r="CM36" s="242" t="str">
        <f t="shared" ca="1" si="37"/>
        <v/>
      </c>
      <c r="CN36" s="243">
        <f t="shared" ca="1" si="38"/>
        <v>0</v>
      </c>
      <c r="CO36" s="48" t="str">
        <f t="shared" ca="1" si="39"/>
        <v/>
      </c>
      <c r="CQ36" s="242">
        <f ca="1">$AR$1</f>
        <v>2026</v>
      </c>
      <c r="CR36" s="242">
        <f ca="1">YEAR(CR29)</f>
        <v>2026</v>
      </c>
      <c r="CS36" s="48">
        <f ca="1">CT29</f>
        <v>0</v>
      </c>
      <c r="CT36" s="242">
        <f ca="1">IFERROR(INDEX(CQ36:CS41,MATCH(CQ36,CR36:CR41,0),3),0)</f>
        <v>0</v>
      </c>
      <c r="CU36" s="48">
        <f ca="1">IF(SUMIFS(AVERE,DEN_G,AC36,AVERE,"&gt;"&amp;0)+SUMIFS(DARE,DEN_G,AC36,DARE,"&gt;"&amp;0)&gt;0,MAX($CU$2:CU35)+1,0)</f>
        <v>0</v>
      </c>
      <c r="CV36" s="48" t="str">
        <f ca="1">IF(IFERROR(INDEX(PDC,MATCH(ROWS($CV$3:CV36),$CU$3:$CU$400,0),2),"")="CONTO DI RISULTATO ECONOMICO","",IFERROR(INDEX(PDC,MATCH(ROWS($CV$3:CV36),$CU$3:$CU$400,0),2),""))</f>
        <v/>
      </c>
      <c r="CW36" s="48">
        <f ca="1">IFERROR(IF(CV36&lt;&gt;"",MAX($CW$2:CW35)+1,0),0)</f>
        <v>0</v>
      </c>
      <c r="CX36" s="48">
        <f t="shared" ca="1" si="88"/>
        <v>3</v>
      </c>
      <c r="CY36" s="48" t="str">
        <f t="shared" ca="1" si="85"/>
        <v>MASTRO</v>
      </c>
      <c r="CZ36" s="48" t="e">
        <f t="shared" ca="1" si="90"/>
        <v>#N/A</v>
      </c>
      <c r="DA36" s="48" t="str">
        <f t="shared" ca="1" si="94"/>
        <v/>
      </c>
      <c r="DB36" s="48" t="str">
        <f t="shared" ca="1" si="76"/>
        <v/>
      </c>
      <c r="DC36" s="48" t="str">
        <f t="shared" ca="1" si="91"/>
        <v/>
      </c>
      <c r="DD36" s="48" t="str">
        <f t="shared" ca="1" si="92"/>
        <v/>
      </c>
      <c r="DE36" s="48" t="str">
        <f t="shared" ca="1" si="93"/>
        <v/>
      </c>
      <c r="DF36" s="48">
        <f ca="1">IF(AND(CX36=$DF$1,CX36&lt;&gt;""),0,IF(AND(DB36&lt;&gt;"",OR(DB35&lt;&gt;"",DB37&lt;&gt;"")),MAX($DF$2:DF35)+1,0))</f>
        <v>0</v>
      </c>
      <c r="DH36" s="244" t="s">
        <v>854</v>
      </c>
      <c r="DI36" s="48" t="s">
        <v>855</v>
      </c>
      <c r="DJ36" s="48" t="s">
        <v>312</v>
      </c>
      <c r="DK36" s="48" t="s">
        <v>275</v>
      </c>
      <c r="DL36" s="48" t="s">
        <v>6</v>
      </c>
      <c r="DM36" s="48" t="s">
        <v>270</v>
      </c>
      <c r="DN36" s="48">
        <f ca="1">IF(DI36&lt;&gt;"",MAX($DN$2:DN35)+1,0)</f>
        <v>19</v>
      </c>
      <c r="DO36" s="48" t="str">
        <f ca="1">IF($BF$9=1,"pab16","pab1")</f>
        <v>pab1</v>
      </c>
      <c r="DQ36" s="227" t="s">
        <v>853</v>
      </c>
      <c r="DR36" s="48" t="s">
        <v>336</v>
      </c>
      <c r="DS36" s="48" t="s">
        <v>311</v>
      </c>
      <c r="DT36" s="48" t="s">
        <v>275</v>
      </c>
      <c r="DU36" s="48" t="s">
        <v>9</v>
      </c>
      <c r="DV36" s="48" t="s">
        <v>270</v>
      </c>
      <c r="DW36" s="48">
        <f ca="1">IF(DR36&lt;&gt;"",MAX($DW$2:DW35)+1,0)</f>
        <v>14</v>
      </c>
      <c r="DX36" s="48" t="str">
        <f ca="1">IF($BF$9=1,"pab16","pab1")</f>
        <v>pab1</v>
      </c>
      <c r="DY36" s="48" t="str">
        <f t="shared" ca="1" si="19"/>
        <v/>
      </c>
      <c r="DZ36" s="48" t="str">
        <f t="shared" ca="1" si="40"/>
        <v/>
      </c>
      <c r="EA36" s="48" t="str">
        <f t="shared" ca="1" si="41"/>
        <v/>
      </c>
      <c r="EB36" s="48">
        <f t="shared" ca="1" si="42"/>
        <v>0</v>
      </c>
      <c r="EC36" s="48">
        <f t="shared" ca="1" si="43"/>
        <v>0</v>
      </c>
      <c r="ED36" s="48" t="str">
        <f t="shared" ca="1" si="44"/>
        <v/>
      </c>
      <c r="EE36" s="48">
        <f t="shared" ca="1" si="45"/>
        <v>0</v>
      </c>
      <c r="EF36" s="48" t="str">
        <f t="shared" ca="1" si="46"/>
        <v/>
      </c>
      <c r="EG36" s="48">
        <f t="shared" ca="1" si="47"/>
        <v>0</v>
      </c>
      <c r="EH36" s="48" t="str">
        <f t="shared" ca="1" si="48"/>
        <v/>
      </c>
      <c r="EI36" s="48">
        <f t="shared" ca="1" si="49"/>
        <v>0</v>
      </c>
      <c r="EJ36" s="48" t="str">
        <f t="shared" ca="1" si="50"/>
        <v/>
      </c>
      <c r="EK36" s="48">
        <f t="shared" ca="1" si="51"/>
        <v>0</v>
      </c>
      <c r="EL36" s="48">
        <f t="shared" ca="1" si="20"/>
        <v>0</v>
      </c>
      <c r="EM36" s="48">
        <f ca="1">IF(EL36&gt;=0,0,MAX($EM$2:EM35)+1)</f>
        <v>0</v>
      </c>
      <c r="EN36" s="48" t="str">
        <f t="shared" ca="1" si="21"/>
        <v/>
      </c>
      <c r="EO36" s="48" t="str">
        <f ca="1">IFERROR(INDEX($EM$3:$EN$400,MATCH(ROWS($EO$3:EO36),$EM$3:$EM$400,0),2),"")</f>
        <v/>
      </c>
      <c r="EP36" s="48">
        <f>ROW()</f>
        <v>36</v>
      </c>
      <c r="EQ36" s="48">
        <f t="shared" ca="1" si="22"/>
        <v>0</v>
      </c>
      <c r="ER36" s="48">
        <f ca="1">IF(ISNA(EQ36)=TRUE,MAX($ER$2:ER35)+1,0)</f>
        <v>0</v>
      </c>
      <c r="ES36" s="48" t="str">
        <f t="shared" ca="1" si="52"/>
        <v/>
      </c>
      <c r="ET36" s="48" t="str">
        <f ca="1">IFERROR(INDEX($ER$3:$ES$400,MATCH(ROWS($ET$3:ET36),$ER$3:$ER$400,0),2),"")</f>
        <v/>
      </c>
      <c r="EV36" s="48">
        <f ca="1">IFERROR(INDEX(LIBRO_GIORNALE!$O$11:$P$408,MATCH(ROWS($EV$2:EV35),LIBRO_GIORNALE!$P$11:$P$408,0),1),0)</f>
        <v>0</v>
      </c>
      <c r="EW36" s="48" t="str">
        <f t="shared" ca="1" si="53"/>
        <v>0</v>
      </c>
      <c r="EX36" s="48">
        <f t="shared" ca="1" si="54"/>
        <v>0</v>
      </c>
      <c r="EY36" s="48">
        <f ca="1">IF(EX36&gt;0,MAX($EY$2:EY35)+1,0)</f>
        <v>0</v>
      </c>
      <c r="EZ36" s="48">
        <f ca="1">IFERROR(INDEX($EX$3:$EX$400,MATCH(ROWS($EZ$3:EZ36),$EY$3:$EY$400,0),1),0)</f>
        <v>0</v>
      </c>
      <c r="FA36" s="48">
        <f ca="1">IF(EZ36&gt;0,0,MAX($FA$2:FA35)+1)</f>
        <v>34</v>
      </c>
      <c r="FB36" s="48">
        <f t="shared" ca="1" si="55"/>
        <v>0</v>
      </c>
      <c r="FC36" s="48">
        <f t="shared" ca="1" si="56"/>
        <v>34</v>
      </c>
      <c r="FD36" s="48">
        <f t="shared" ca="1" si="57"/>
        <v>34</v>
      </c>
      <c r="FE36" s="48">
        <f ca="1">IF(FD36=0,0,MAX($FE$2:FE35)+1)</f>
        <v>34</v>
      </c>
      <c r="FF36" s="48">
        <f ca="1">IFERROR(INDEX($FD$3:$FE$400,MATCH(ROWS($FF$3:FF36),$FE$3:$FE$400,0),1),"")</f>
        <v>34</v>
      </c>
      <c r="FH36" s="48">
        <f t="shared" ca="1" si="58"/>
        <v>0</v>
      </c>
      <c r="FI36" s="48">
        <f ca="1">IF(FH36&lt;&gt;0,MAX($FI$2:FI35)+1,0)</f>
        <v>0</v>
      </c>
      <c r="FJ36" s="48" t="str">
        <f ca="1">IFERROR(INDEX($FH$3:$FI$400,MATCH(ROWS($FJ$3:FJ36),$FI$3:$FI$400,0),1),"")</f>
        <v/>
      </c>
      <c r="FK36" s="48">
        <f ca="1">IF(ABS(SUMIFS(DARE,DEN_G,"="&amp;FJ36,DATA,"&lt;="&amp;FINE_AC,DATA,"&gt;="&amp;INIZIO_A_PC)-SUMIFS(AVERE,DEN_G,"="&amp;FJ36,DATA,"&lt;="&amp;FINE_AC,DATA,"&gt;="&amp;INIZIO_A_PC))&gt;0,MAX($FK$2:FK35)+1,0)</f>
        <v>0</v>
      </c>
      <c r="FL36" s="48" t="str">
        <f ca="1">IF(AND(ROW()-2&lt;&gt;1,ROW()-2&lt;=$FK$1),CONCATENATE(" - ",IFERROR(INDEX($FJ$3:$FK$400,MATCH(ROWS($FL$3:FL36),$FK$3:$FK$400,0),1),"")),IFERROR(INDEX($FJ$3:$FK$400,MATCH(ROWS($FL$3:FL36),$FK$3:$FK$400,0),1),""))</f>
        <v/>
      </c>
      <c r="FM36" s="48">
        <f ca="1">IF(OR(B36="IVA ns/credito",B36="IVA NS/DEBITO",B36="IVA C/ACCONTO",B36="IMPOSTE C/ACCONTO",B36="CREDITI PER RITENUTE SUBITE",B36="CREDITI D'IMPOSTA"),MAX($FM$2:FM35)+1,0)</f>
        <v>0</v>
      </c>
      <c r="FN36" s="48" t="str">
        <f t="shared" ca="1" si="59"/>
        <v/>
      </c>
      <c r="FO36" s="48" t="str">
        <f ca="1">IFERROR(INDEX($FM$3:$FN$400,MATCH(ROWS($FO$3:FO36),$FM$3:$FM$400,0),2),"")</f>
        <v/>
      </c>
      <c r="FP36" s="48">
        <f ca="1">IF(ABS(SUMIFS(DARE,DEN_G,"="&amp;FO36,DATA,"&lt;="&amp;FINE_AC,DATA,"&gt;="&amp;INIZIO_A_PC)-SUMIFS(AVERE,DEN_G,"="&amp;FO36,DATA,"&lt;="&amp;FINE_AC,DATA,"&gt;="&amp;INIZIO_A_PC))&gt;0,MAX($FP$2:FP35)+1,0)</f>
        <v>0</v>
      </c>
      <c r="FQ36" s="48" t="str">
        <f ca="1">IF(AND(ROW()-2&lt;&gt;1,ROW()-2&lt;=$FP$1),CONCATENATE(" - ",IFERROR(INDEX($FO$3:$FP$400,MATCH(ROWS($FQ$3:FQ36),$FP$3:$FP$400,0),1),"")),IFERROR(INDEX($FO$3:$FP$400,MATCH(ROWS($FQ$3:FQ36),$FP$3:$FP$400,0),1),""))</f>
        <v/>
      </c>
    </row>
    <row r="37" spans="1:173" x14ac:dyDescent="0.3">
      <c r="A37" s="48" t="str">
        <f ca="1">IFERROR(IF($A$1=2,INDEX($DH$3:$DN$401,MATCH(ROWS(A$3:A37),$DN$3:$DN$401,0),COLUMN()),IF($A$1=1,INDEX($DQ$3:$DW$401,MATCH(ROWS(A$3:A37),$DW$3:$DW$401,0),COLUMN()),"")),"")</f>
        <v>02.17</v>
      </c>
      <c r="B37" s="48" t="str">
        <f ca="1">IFERROR(IF($A$1=2,INDEX($DH$3:$DN$401,MATCH(ROWS(B$3:B37),$DN$3:$DN$401,0),COLUMN()),IF($A$1=1,INDEX($DQ$3:$DW$400,MATCH(ROWS(B$3:B37),$DW$3:$DW$401,0),COLUMN()),"")),"")</f>
        <v>FONDO AMMORTAMENTO AUTOMEZZI</v>
      </c>
      <c r="C37" s="48" t="str">
        <f ca="1">IFERROR(IF($A$1=2,INDEX($DH$3:$DN$401,MATCH(ROWS(C$3:C37),$DN$3:$DN$401,0),COLUMN()),IF($A$1=1,INDEX($DQ$3:$DW$401,MATCH(ROWS(C$3:C37),$DW$3:$DW$401,0),COLUMN()),"")),"")</f>
        <v>E</v>
      </c>
      <c r="D37" s="48" t="str">
        <f ca="1">IFERROR(IF($A$1=2,INDEX($DH$3:$DN$401,MATCH(ROWS(D$3:D37),$DN$3:$DN$401,0),COLUMN()),IF($A$1=1,INDEX($DQ$3:$DW$401,MATCH(ROWS(D$3:D37),$DW$3:$DW$401,0),COLUMN()),"")),"")</f>
        <v>A</v>
      </c>
      <c r="E37" s="48" t="str">
        <f ca="1">IFERROR(IF($A$1=2,INDEX($DH$3:$DN$401,MATCH(ROWS(E$3:E37),$DN$3:$DN$401,0),COLUMN()),IF($A$1=1,INDEX($DQ$3:$DW$401,MATCH(ROWS(E$3:E37),$DW$3:$DW$401,0),COLUMN()),"")),"")</f>
        <v>RETTIFICHE COSTI PLURIENNALI</v>
      </c>
      <c r="F37" s="48" t="str">
        <f ca="1">IFERROR(IF($A$1=2,INDEX($DH$3:$DN$401,MATCH(ROWS(F$3:F37),$DN$3:$DN$401,0),COLUMN()),IF($A$1=1,INDEX($DQ$3:$DX$401,MATCH(ROWS(F$3:F37),$DW$3:$DW$401,0),COLUMN()),"")),"")</f>
        <v>SP AVERE</v>
      </c>
      <c r="G37" s="48" t="str">
        <f t="shared" ca="1" si="23"/>
        <v>SP</v>
      </c>
      <c r="H37" s="48" t="str">
        <f ca="1">IFERROR(IF($A$1=2,INDEX($DH$3:$DO$400,MATCH(ROWS(H$3:H37),$DN$3:$DN$400,0),COLUMN()),IF($A$1=1,INDEX($DQ$3:$DX$400,MATCH(ROWS(H$3:H37),$DW$3:$DW$400,0),COLUMN()),"")),"")</f>
        <v>pab2</v>
      </c>
      <c r="I37" s="48" t="str">
        <f t="shared" ca="1" si="0"/>
        <v/>
      </c>
      <c r="J37" s="48" t="str">
        <f t="shared" ca="1" si="24"/>
        <v/>
      </c>
      <c r="K37" s="48">
        <f t="shared" ca="1" si="25"/>
        <v>0</v>
      </c>
      <c r="L37" s="48">
        <f t="shared" ca="1" si="26"/>
        <v>0</v>
      </c>
      <c r="M37" s="48">
        <f ca="1">IFERROR(IF(IF(MID($A37,3,3)=".00",MID(A37,1,2),"")&lt;&gt;"",MAX($M$2:M36)+1,0),"")</f>
        <v>0</v>
      </c>
      <c r="N37" s="48" t="str">
        <f t="shared" ca="1" si="27"/>
        <v/>
      </c>
      <c r="O37" s="48" t="str">
        <f ca="1">IF(IFERROR(INDEX($N$3:$O$400,MATCH(ROWS($O$3:O37),$M$3:$M$400,0),1),"")&lt;&gt;"",CONCATENATE(INDEX($N$3:$O$400,MATCH(ROWS($O$3:O37),$M$3:$M$400,0),1),".00"),"")</f>
        <v>51.00</v>
      </c>
      <c r="P37" s="48" t="str">
        <f t="shared" ca="1" si="28"/>
        <v>SVALUTAZIONI DI ATTIVITÀ FINANZIARIE</v>
      </c>
      <c r="Q37" s="48">
        <f ca="1">IF(M37&gt;=1,0,MAX($Q$2:Q36)+1)</f>
        <v>32</v>
      </c>
      <c r="R37" s="48">
        <f ca="1">IF(AND($U$2=2,S37&lt;&gt;""),MAX($R$2:R36)+1,0)</f>
        <v>19</v>
      </c>
      <c r="S37" s="48" t="str">
        <f t="shared" ca="1" si="81"/>
        <v>CONTI TRANSITORI E DIVERSI</v>
      </c>
      <c r="T37" s="48" t="str">
        <f ca="1">IFERROR(INDEX($R$3:$S$64,MATCH(ROWS($T$2:T36),$R$3:$R$64,0),2),"")</f>
        <v>RIVALUTAZIONI DI ATTIVITÀ FINANZIARIE</v>
      </c>
      <c r="U37" s="48" t="str">
        <f ca="1">IFERROR(INDEX(PDC,MATCH(ROWS(U$3:U37),$V$3:$V$400,0),2),"")</f>
        <v>FONDO SVALUTAZIONE IMPIANTI E MACCHINARI</v>
      </c>
      <c r="V37" s="48">
        <f ca="1">IF(AND($T$1="VISUALIZZA TUTTI I CONTI",AA37&lt;&gt;""),MAX($V$2:V36)+1,IF(AND($U$2=2,AI37=$T$1),MAX($V$2:V36)+1,IF(AND($U$2=1,$T$1=AF37),MAX($V$2:V36)+1,0)))</f>
        <v>35</v>
      </c>
      <c r="Z37" s="246"/>
      <c r="AA37" s="48" t="str">
        <f t="shared" ca="1" si="29"/>
        <v>02.00</v>
      </c>
      <c r="AB37" s="48" t="str">
        <f ca="1">IFERROR(INDEX($A$3:$G$400,MATCH(ROWS(AB$3:AB37),$Q$3:$Q$400,0),1),"")</f>
        <v>02.21</v>
      </c>
      <c r="AC37" s="48" t="str">
        <f ca="1">IFERROR(INDEX($A$3:$G$400,MATCH(ROWS($AC$3:AC37),$Q$3:$Q$400,0),2),"")</f>
        <v>FONDO SVALUTAZIONE IMPIANTI E MACCHINARI</v>
      </c>
      <c r="AD37" s="48" t="str">
        <f ca="1">IFERROR(INDEX($A$3:$G$400,MATCH(ROWS(AD$3:AD37),$Q$3:$Q$400,0),3),"")</f>
        <v>E</v>
      </c>
      <c r="AE37" s="48" t="str">
        <f ca="1">IFERROR(INDEX($A$3:$G$400,MATCH(ROWS(AE$3:AE37),$Q$3:$Q$400,0),4),"")</f>
        <v>A</v>
      </c>
      <c r="AF37" s="48" t="str">
        <f ca="1">IFERROR(INDEX($A$3:$G$400,MATCH(ROWS(AF$3:AF37),$Q$3:$Q$400,0),5),"")</f>
        <v>RETTIFICHE COSTI PLURIENNALI</v>
      </c>
      <c r="AG37" s="48" t="str">
        <f ca="1">IFERROR(INDEX($A$3:$G$400,MATCH(ROWS(AG$3:AG37),$Q$3:$Q$400,0),6),"")</f>
        <v>SP AVERE</v>
      </c>
      <c r="AH37" s="48" t="str">
        <f ca="1">IFERROR(INDEX($A$3:$G$400,MATCH(ROWS(AH$3:AH37),$Q$3:$Q$400,0),7),"")</f>
        <v>SP</v>
      </c>
      <c r="AI37" s="48" t="str">
        <f t="shared" ca="1" si="1"/>
        <v>IMMOBILIZZAZIONI MATERIALI</v>
      </c>
      <c r="AJ37" s="48" t="str">
        <f ca="1">IFERROR(INDEX($A$3:$H$400,MATCH(ROWS(AJ$3:AJ37),$Q$3:$Q$400,0),8),"")</f>
        <v>pab2</v>
      </c>
      <c r="AK37" s="48">
        <f t="shared" ca="1" si="2"/>
        <v>0</v>
      </c>
      <c r="AL37" s="48">
        <f t="shared" ca="1" si="95"/>
        <v>0</v>
      </c>
      <c r="AM37" s="48">
        <f t="shared" ca="1" si="30"/>
        <v>0</v>
      </c>
      <c r="AN37" s="48" t="str">
        <f t="shared" ca="1" si="31"/>
        <v/>
      </c>
      <c r="AO37" s="48">
        <f t="shared" ca="1" si="32"/>
        <v>0</v>
      </c>
      <c r="AP37" s="48">
        <f t="shared" ca="1" si="32"/>
        <v>0</v>
      </c>
      <c r="AQ37" s="48" t="str">
        <f t="shared" ca="1" si="4"/>
        <v>FONDO SVALUTAZIONE IMPIANTI E MACCHINARI</v>
      </c>
      <c r="AR37" s="48">
        <f t="shared" ca="1" si="5"/>
        <v>0</v>
      </c>
      <c r="AS37" s="48">
        <f t="shared" ca="1" si="6"/>
        <v>0</v>
      </c>
      <c r="AT37" s="48">
        <f t="shared" ca="1" si="33"/>
        <v>0</v>
      </c>
      <c r="AU37" s="48">
        <f t="shared" ca="1" si="34"/>
        <v>0</v>
      </c>
      <c r="AV37" s="48">
        <f ca="1">IF(OR(AT37&gt;0,AU37&gt;0),MAX($AV$2:AV36)+1,0)</f>
        <v>0</v>
      </c>
      <c r="AZ37" s="241" t="str">
        <f t="shared" ca="1" si="35"/>
        <v/>
      </c>
      <c r="BA37" s="48">
        <f t="shared" ca="1" si="96"/>
        <v>0</v>
      </c>
      <c r="BB37" s="48">
        <f ca="1">IFERROR(INDEX($AQ$3:$AV$220,MATCH(ROWS($BB$3:BB37),$AV$3:$AV$220,0),1),0)</f>
        <v>0</v>
      </c>
      <c r="BC37" s="48" t="str">
        <f t="shared" ca="1" si="36"/>
        <v/>
      </c>
      <c r="BD37" s="48">
        <f ca="1">IFERROR(INDEX($AQ$3:$AV$220,MATCH(ROWS($BB$3:BD37),$AV$3:$AV$220,0),4),0)</f>
        <v>0</v>
      </c>
      <c r="BE37" s="48">
        <f ca="1">IFERROR(INDEX($AQ$3:$AV$220,MATCH(ROWS($BB$3:BE37),$AV$3:$AV$220,0),5),0)</f>
        <v>0</v>
      </c>
      <c r="BF37" s="48">
        <v>23</v>
      </c>
      <c r="BG37" s="48">
        <f ca="1">IF(IF(AND(OR(INDEX(PDC,MATCH($AC37,DEN_PDC,0),6)="SP DARE",INDEX(PDC,MATCH($AC37,DEN_PDC,0),6)="SP DARE/AVERE"),SUMIFS(DARE,DEN_G,$AC37)&gt;=SUMIFS(AVERE,DEN_G,$AC37)),SUMIFS(DARE,DEN_G,$AC37)-SUMIFS(AVERE,DEN_G,$AC37),0)&gt;0,MAX($BG$2:BG36)+1,0)</f>
        <v>0</v>
      </c>
      <c r="BH37" s="48">
        <f ca="1">IF(IF(AND(OR(INDEX(PDC,MATCH($AC37,DEN_PDC,0),6)="SP AVERE",INDEX(PDC,MATCH($AC37,DEN_PDC,0),6)="SP DARE/AVERE"),SUMIFS(AVERE,DEN_G,$AC37)&gt;=SUMIFS(DARE,DEN_G,$AC37)),SUMIFS(AVERE,DEN_G,$AC37)-SUMIFS(DARE,DEN_G,$AC37),0)&gt;0,MAX(BH$2:BH36)+1,0)</f>
        <v>0</v>
      </c>
      <c r="BI37" s="48">
        <f ca="1">IF(IF(AND(OR(INDEX(PDC,MATCH($AC37,DEN_PDC,0),6)="SE DARE",INDEX(PDC,MATCH($AC37,DEN_PDC,0),6)="SE DARE/AVERE"),SUMIFS(DARE,DEN_G,$AC37)&gt;=SUMIFS(AVERE,DEN_G,$AC37)),SUMIFS(DARE,DEN_G,$AC37)-SUMIFS(AVERE,DEN_G,$AC37),0)&gt;0,MAX(BI$2:BI36)+1,0)</f>
        <v>0</v>
      </c>
      <c r="BJ37" s="48">
        <f ca="1">IF(IF(AND(OR(INDEX(PDC,MATCH($AC37,DEN_PDC,0),6)="SE AVERE",INDEX(PDC,MATCH($AC37,DEN_PDC,0),6)="SE DARE/AVERE"),SUMIFS(AVERE,DEN_G,$AC37)&gt;=SUMIFS(DARE,DEN_G,$AC37)),SUMIFS(AVERE,DEN_G,$AC37)-SUMIFS(DARE,DEN_G,$AC37),0)&gt;0,MAX(BJ$2:BJ36)+1,0)</f>
        <v>0</v>
      </c>
      <c r="BK37" s="48" t="str">
        <f ca="1">IF(AND(AND($DY$2=0,$DY$1=0),$I$1=2,ROW()&gt;$BG$1+2,ROW()&lt;=$BG$1+4),"………………..",IF(AND(OR($DY$2&gt;0,$DY$1&gt;0),$I$1=2,ROW()&gt;$BG$1+2,ROW()&lt;=$BG$1+4),"………………..",IFERROR(INDEX($AC$3:$AC$398,MATCH(ROWS(BK$3:BK37),BG$3:BG$398,0),1),"")))</f>
        <v/>
      </c>
      <c r="BL37" s="48">
        <f t="shared" ca="1" si="69"/>
        <v>0</v>
      </c>
      <c r="BM37" s="48" t="str">
        <f ca="1">IF(AND(OR($DY$2=0,$DY$1=0),$I$1=2,ROW()&gt;$BH$1+2,ROW()&lt;=$BH$1+4),"………………..",IF(AND(OR($DY$2&gt;0,$DY$1&gt;0),$I$1=2,ROW()&gt;$BH$1+2,ROW()&lt;=$BH$1+4),"………………..",IFERROR(INDEX($AC$3:$AC$400,MATCH(ROWS(BM$3:BM37),BH$3:BH$400,0),1),"")))</f>
        <v/>
      </c>
      <c r="BN37" s="48">
        <f t="shared" ca="1" si="9"/>
        <v>0</v>
      </c>
      <c r="BO37" s="48" t="str">
        <f ca="1">IF(AND(OR($DY$2=0,$DY$1=0),$I$1=2,ROW()&gt;$BI$1+2,ROW()&lt;=$BI$1+4),"………………..",IF(AND(OR($DY$2&gt;0,$DY$1&gt;0),$I$1=2,ROW()&gt;$BI$1+2,ROW()&lt;=$BI$1+4),"………………..",IFERROR(INDEX($AC$3:$AC$400,MATCH(ROWS(BO$3:BO37),BI$3:BI$400,0),1),"")))</f>
        <v/>
      </c>
      <c r="BP37" s="48">
        <f t="shared" ca="1" si="10"/>
        <v>0</v>
      </c>
      <c r="BQ37" s="48" t="str">
        <f ca="1">IF(AND(OR($DY$2=0,$DY$1=0),$I$1=2,ROW()&gt;$BJ$1+2,ROW()&lt;=$BJ$1+4),"………………..",IF(AND(OR($DY$2&gt;0,$DY$1&gt;0),$I$1=2,ROW()&gt;$BJ$1+2,ROW()&lt;=$BJ$1+4),"………………..",IFERROR(INDEX($AC$3:$AC$400,MATCH(ROWS(BQ$3:BQ37),BJ$3:BJ$400,0),1),"")))</f>
        <v/>
      </c>
      <c r="BR37" s="48">
        <f t="shared" ca="1" si="11"/>
        <v>0</v>
      </c>
      <c r="BS37" s="48">
        <f ca="1">IF(IF(AND(OR(INDEX(PDC,MATCH($AC37,DEN_PDC,0),4)="D",INDEX(PDC,MATCH($AC37,DEN_PDC,0),4)="D/A"),SUMIFS(DARE,DEN_G,$AC37)&gt;=SUMIFS(AVERE,DEN_G,$AC37)),SUMIFS(DARE,DEN_G,$AC37),IF(AND(OR(INDEX(PDC,MATCH($AC37,DEN_PDC,0),4)="A",INDEX(PDC,MATCH($AC37,DEN_PDC,0),4)="D/A"),SUMIFS(AVERE,DEN_G,$AC37)&gt;=SUMIFS(DARE,DEN_G,$AC37)),SUMIFS(AVERE,DEN_G,$AC37),))&gt;0,MAX($BS$2:BS36)+1,0)</f>
        <v>0</v>
      </c>
      <c r="BT37" s="48" t="str">
        <f ca="1">IF($CO$1=0,"",IF(AND($I$1=2,ROW()&gt;$BR$1,ROW()&lt;=$BS$1)," …………….",IF(AND($E$1=1,$BX$1=1,$I$1=2,ROW()=$BQ$1),"TOTALI",IFERROR(INDEX(PDC,MATCH(ROWS(BT$3:BT37),BS$3:BS434,0),2),""))))</f>
        <v/>
      </c>
      <c r="BU37" s="48">
        <f t="shared" ca="1" si="12"/>
        <v>0</v>
      </c>
      <c r="BV37" s="48">
        <f t="shared" ca="1" si="13"/>
        <v>0</v>
      </c>
      <c r="BW37" s="48">
        <f t="shared" ca="1" si="14"/>
        <v>0</v>
      </c>
      <c r="BX37" s="48">
        <f t="shared" ca="1" si="15"/>
        <v>0</v>
      </c>
      <c r="BY37" s="48">
        <f ca="1">IF(OR(BW37&gt;0,BX37&gt;0),MAX($BY$2:BY36)+1,0)</f>
        <v>0</v>
      </c>
      <c r="BZ37" s="48" t="str">
        <f ca="1">IFERROR(INDEX($BT$3:$BY$400,MATCH(ROWS(BZ$3:BZ37),$BY$3:$BY$400,0),1),"")</f>
        <v/>
      </c>
      <c r="CA37" s="48" t="str">
        <f ca="1">IFERROR(INDEX($BT$3:$BY$400,MATCH(ROWS(CA$3:CA37),$BY$3:$BY$400,0),4),"")</f>
        <v/>
      </c>
      <c r="CB37" s="48" t="str">
        <f ca="1">IFERROR(INDEX($BT$3:$BY$400,MATCH(ROWS(CB$3:CB37),$BY$3:$BY$400,0),5),"")</f>
        <v/>
      </c>
      <c r="CC37" s="48" t="str">
        <f t="shared" ca="1" si="16"/>
        <v/>
      </c>
      <c r="CD37" s="48">
        <f ca="1">IF(AND($BF$9=1,CE37&lt;&gt;0),MAX($CD$2:CD36)+1,0)</f>
        <v>0</v>
      </c>
      <c r="CE37" s="48">
        <f ca="1">ROUND(IFERROR(INDEX(BILANCIO!$I$13:$J$59,MATCH(CF37,BILANCIO!$J$13:$J$59,0),1),0),0)</f>
        <v>0</v>
      </c>
      <c r="CF37" s="48" t="s">
        <v>686</v>
      </c>
      <c r="CG37" s="242" t="s">
        <v>570</v>
      </c>
      <c r="CH37" s="242"/>
      <c r="CI37" s="242"/>
      <c r="CJ37" s="242">
        <f ca="1">SUMIFS(COPIA!$CA$3:$CA$400,COPIA!$CC$3:$CC$400,CF37)-SUMIFS(COPIA!$CB$3:$CB$400,COPIA!$CC$3:$CC$400,CF37)</f>
        <v>0</v>
      </c>
      <c r="CK37" s="48">
        <f ca="1">IF($CF$2=FALSE,0,IF(AND($BF$9=1,CJ37&lt;&gt;0),MAX($CK$21:CK36)+1,0))</f>
        <v>0</v>
      </c>
      <c r="CM37" s="242" t="str">
        <f t="shared" ca="1" si="37"/>
        <v/>
      </c>
      <c r="CN37" s="243">
        <f t="shared" ca="1" si="38"/>
        <v>0</v>
      </c>
      <c r="CO37" s="48" t="str">
        <f t="shared" ca="1" si="39"/>
        <v/>
      </c>
      <c r="CQ37" s="242"/>
      <c r="CR37" s="242">
        <f t="shared" ref="CR37:CR40" ca="1" si="97">YEAR(CR30)</f>
        <v>2027</v>
      </c>
      <c r="CS37" s="48">
        <f t="shared" ref="CS37:CS41" ca="1" si="98">CT30</f>
        <v>0</v>
      </c>
      <c r="CT37" s="242"/>
      <c r="CU37" s="48">
        <f ca="1">IF(SUMIFS(AVERE,DEN_G,AC37,AVERE,"&gt;"&amp;0)+SUMIFS(DARE,DEN_G,AC37,DARE,"&gt;"&amp;0)&gt;0,MAX($CU$2:CU36)+1,0)</f>
        <v>0</v>
      </c>
      <c r="CV37" s="48" t="str">
        <f ca="1">IF(IFERROR(INDEX(PDC,MATCH(ROWS($CV$3:CV37),$CU$3:$CU$400,0),2),"")="CONTO DI RISULTATO ECONOMICO","",IFERROR(INDEX(PDC,MATCH(ROWS($CV$3:CV37),$CU$3:$CU$400,0),2),""))</f>
        <v/>
      </c>
      <c r="CW37" s="48">
        <f ca="1">IFERROR(IF(CV37&lt;&gt;"",MAX($CW$2:CW36)+1,0),0)</f>
        <v>0</v>
      </c>
      <c r="CX37" s="48">
        <f t="shared" ca="1" si="88"/>
        <v>3</v>
      </c>
      <c r="CY37" s="48" t="str">
        <f t="shared" ca="1" si="85"/>
        <v>MASTRO</v>
      </c>
      <c r="CZ37" s="48" t="e">
        <f t="shared" ca="1" si="90"/>
        <v>#N/A</v>
      </c>
      <c r="DA37" s="48" t="str">
        <f t="shared" ca="1" si="94"/>
        <v/>
      </c>
      <c r="DB37" s="48" t="str">
        <f t="shared" ca="1" si="76"/>
        <v/>
      </c>
      <c r="DC37" s="48" t="str">
        <f t="shared" ca="1" si="91"/>
        <v/>
      </c>
      <c r="DD37" s="48" t="str">
        <f t="shared" ca="1" si="92"/>
        <v/>
      </c>
      <c r="DE37" s="48" t="str">
        <f t="shared" ca="1" si="93"/>
        <v/>
      </c>
      <c r="DF37" s="48">
        <f ca="1">IF(AND(CX37=$DF$1,CX37&lt;&gt;""),0,IF(AND(DB37&lt;&gt;"",OR(DB36&lt;&gt;"",DB38&lt;&gt;"")),MAX($DF$2:DF36)+1,0))</f>
        <v>0</v>
      </c>
      <c r="DH37" s="244" t="s">
        <v>22</v>
      </c>
      <c r="DI37" s="228" t="s">
        <v>21</v>
      </c>
      <c r="DN37" s="48">
        <f ca="1">IF(DI37&lt;&gt;"",MAX($DN$2:DN36)+1,0)</f>
        <v>20</v>
      </c>
      <c r="DQ37" s="227" t="s">
        <v>854</v>
      </c>
      <c r="DR37" s="48" t="s">
        <v>855</v>
      </c>
      <c r="DS37" s="48" t="s">
        <v>312</v>
      </c>
      <c r="DT37" s="48" t="s">
        <v>275</v>
      </c>
      <c r="DU37" s="48" t="s">
        <v>6</v>
      </c>
      <c r="DV37" s="48" t="s">
        <v>270</v>
      </c>
      <c r="DW37" s="48">
        <f ca="1">IF(DR37&lt;&gt;"",MAX($DW$2:DW36)+1,0)</f>
        <v>15</v>
      </c>
      <c r="DX37" s="48" t="str">
        <f ca="1">IF($BF$9=1,"pab16","pab1")</f>
        <v>pab1</v>
      </c>
      <c r="DY37" s="48" t="str">
        <f t="shared" ca="1" si="19"/>
        <v/>
      </c>
      <c r="DZ37" s="48" t="str">
        <f t="shared" ca="1" si="40"/>
        <v/>
      </c>
      <c r="EA37" s="48" t="str">
        <f t="shared" ca="1" si="41"/>
        <v/>
      </c>
      <c r="EB37" s="48">
        <f t="shared" ca="1" si="42"/>
        <v>0</v>
      </c>
      <c r="EC37" s="48">
        <f t="shared" ca="1" si="43"/>
        <v>0</v>
      </c>
      <c r="ED37" s="48" t="str">
        <f t="shared" ca="1" si="44"/>
        <v/>
      </c>
      <c r="EE37" s="48">
        <f t="shared" ca="1" si="45"/>
        <v>0</v>
      </c>
      <c r="EF37" s="48" t="str">
        <f t="shared" ca="1" si="46"/>
        <v/>
      </c>
      <c r="EG37" s="48">
        <f t="shared" ca="1" si="47"/>
        <v>0</v>
      </c>
      <c r="EH37" s="48" t="str">
        <f t="shared" ca="1" si="48"/>
        <v/>
      </c>
      <c r="EI37" s="48">
        <f t="shared" ca="1" si="49"/>
        <v>0</v>
      </c>
      <c r="EJ37" s="48" t="str">
        <f t="shared" ca="1" si="50"/>
        <v/>
      </c>
      <c r="EK37" s="48">
        <f t="shared" ca="1" si="51"/>
        <v>0</v>
      </c>
      <c r="EL37" s="48">
        <f t="shared" ca="1" si="20"/>
        <v>0</v>
      </c>
      <c r="EM37" s="48">
        <f ca="1">IF(EL37&gt;=0,0,MAX($EM$2:EM36)+1)</f>
        <v>0</v>
      </c>
      <c r="EN37" s="48" t="str">
        <f t="shared" ca="1" si="21"/>
        <v/>
      </c>
      <c r="EO37" s="48" t="str">
        <f ca="1">IFERROR(INDEX($EM$3:$EN$400,MATCH(ROWS($EO$3:EO37),$EM$3:$EM$400,0),2),"")</f>
        <v/>
      </c>
      <c r="EP37" s="48">
        <f>ROW()</f>
        <v>37</v>
      </c>
      <c r="EQ37" s="48">
        <f t="shared" ca="1" si="22"/>
        <v>0</v>
      </c>
      <c r="ER37" s="48">
        <f ca="1">IF(ISNA(EQ37)=TRUE,MAX($ER$2:ER36)+1,0)</f>
        <v>0</v>
      </c>
      <c r="ES37" s="48" t="str">
        <f t="shared" ca="1" si="52"/>
        <v/>
      </c>
      <c r="ET37" s="48" t="str">
        <f ca="1">IFERROR(INDEX($ER$3:$ES$400,MATCH(ROWS($ET$3:ET37),$ER$3:$ER$400,0),2),"")</f>
        <v/>
      </c>
      <c r="EV37" s="48">
        <f ca="1">IFERROR(INDEX(LIBRO_GIORNALE!$O$11:$P$408,MATCH(ROWS($EV$2:EV36),LIBRO_GIORNALE!$P$11:$P$408,0),1),0)</f>
        <v>0</v>
      </c>
      <c r="EW37" s="48" t="str">
        <f t="shared" ca="1" si="53"/>
        <v>0</v>
      </c>
      <c r="EX37" s="48">
        <f t="shared" ca="1" si="54"/>
        <v>0</v>
      </c>
      <c r="EY37" s="48">
        <f ca="1">IF(EX37&gt;0,MAX($EY$2:EY36)+1,0)</f>
        <v>0</v>
      </c>
      <c r="EZ37" s="48">
        <f ca="1">IFERROR(INDEX($EX$3:$EX$400,MATCH(ROWS($EZ$3:EZ37),$EY$3:$EY$400,0),1),0)</f>
        <v>0</v>
      </c>
      <c r="FA37" s="48">
        <f ca="1">IF(EZ37&gt;0,0,MAX($FA$2:FA36)+1)</f>
        <v>35</v>
      </c>
      <c r="FB37" s="48">
        <f t="shared" ca="1" si="55"/>
        <v>0</v>
      </c>
      <c r="FC37" s="48">
        <f t="shared" ca="1" si="56"/>
        <v>35</v>
      </c>
      <c r="FD37" s="48">
        <f t="shared" ca="1" si="57"/>
        <v>35</v>
      </c>
      <c r="FE37" s="48">
        <f ca="1">IF(FD37=0,0,MAX($FE$2:FE36)+1)</f>
        <v>35</v>
      </c>
      <c r="FF37" s="48">
        <f ca="1">IFERROR(INDEX($FD$3:$FE$400,MATCH(ROWS($FF$3:FF37),$FE$3:$FE$400,0),1),"")</f>
        <v>35</v>
      </c>
      <c r="FH37" s="48">
        <f t="shared" ca="1" si="58"/>
        <v>0</v>
      </c>
      <c r="FI37" s="48">
        <f ca="1">IF(FH37&lt;&gt;0,MAX($FI$2:FI36)+1,0)</f>
        <v>0</v>
      </c>
      <c r="FJ37" s="48" t="str">
        <f ca="1">IFERROR(INDEX($FH$3:$FI$400,MATCH(ROWS($FJ$3:FJ37),$FI$3:$FI$400,0),1),"")</f>
        <v/>
      </c>
      <c r="FK37" s="48">
        <f ca="1">IF(ABS(SUMIFS(DARE,DEN_G,"="&amp;FJ37,DATA,"&lt;="&amp;FINE_AC,DATA,"&gt;="&amp;INIZIO_A_PC)-SUMIFS(AVERE,DEN_G,"="&amp;FJ37,DATA,"&lt;="&amp;FINE_AC,DATA,"&gt;="&amp;INIZIO_A_PC))&gt;0,MAX($FK$2:FK36)+1,0)</f>
        <v>0</v>
      </c>
      <c r="FL37" s="48" t="str">
        <f ca="1">IF(AND(ROW()-2&lt;&gt;1,ROW()-2&lt;=$FK$1),CONCATENATE(" - ",IFERROR(INDEX($FJ$3:$FK$400,MATCH(ROWS($FL$3:FL37),$FK$3:$FK$400,0),1),"")),IFERROR(INDEX($FJ$3:$FK$400,MATCH(ROWS($FL$3:FL37),$FK$3:$FK$400,0),1),""))</f>
        <v/>
      </c>
      <c r="FM37" s="48">
        <f ca="1">IF(OR(B37="IVA ns/credito",B37="IVA NS/DEBITO",B37="IVA C/ACCONTO",B37="IMPOSTE C/ACCONTO",B37="CREDITI PER RITENUTE SUBITE",B37="CREDITI D'IMPOSTA"),MAX($FM$2:FM36)+1,0)</f>
        <v>0</v>
      </c>
      <c r="FN37" s="48" t="str">
        <f t="shared" ca="1" si="59"/>
        <v/>
      </c>
      <c r="FO37" s="48" t="str">
        <f ca="1">IFERROR(INDEX($FM$3:$FN$400,MATCH(ROWS($FO$3:FO37),$FM$3:$FM$400,0),2),"")</f>
        <v/>
      </c>
      <c r="FP37" s="48">
        <f ca="1">IF(ABS(SUMIFS(DARE,DEN_G,"="&amp;FO37,DATA,"&lt;="&amp;FINE_AC,DATA,"&gt;="&amp;INIZIO_A_PC)-SUMIFS(AVERE,DEN_G,"="&amp;FO37,DATA,"&lt;="&amp;FINE_AC,DATA,"&gt;="&amp;INIZIO_A_PC))&gt;0,MAX($FP$2:FP36)+1,0)</f>
        <v>0</v>
      </c>
      <c r="FQ37" s="48" t="str">
        <f ca="1">IF(AND(ROW()-2&lt;&gt;1,ROW()-2&lt;=$FP$1),CONCATENATE(" - ",IFERROR(INDEX($FO$3:$FP$400,MATCH(ROWS($FQ$3:FQ37),$FP$3:$FP$400,0),1),"")),IFERROR(INDEX($FO$3:$FP$400,MATCH(ROWS($FQ$3:FQ37),$FP$3:$FP$400,0),1),""))</f>
        <v/>
      </c>
    </row>
    <row r="38" spans="1:173" x14ac:dyDescent="0.3">
      <c r="A38" s="48" t="str">
        <f ca="1">IFERROR(IF($A$1=2,INDEX($DH$3:$DN$401,MATCH(ROWS(A$3:A38),$DN$3:$DN$401,0),COLUMN()),IF($A$1=1,INDEX($DQ$3:$DW$401,MATCH(ROWS(A$3:A38),$DW$3:$DW$401,0),COLUMN()),"")),"")</f>
        <v>02.18</v>
      </c>
      <c r="B38" s="48" t="str">
        <f ca="1">IFERROR(IF($A$1=2,INDEX($DH$3:$DN$401,MATCH(ROWS(B$3:B38),$DN$3:$DN$401,0),COLUMN()),IF($A$1=1,INDEX($DQ$3:$DW$400,MATCH(ROWS(B$3:B38),$DW$3:$DW$401,0),COLUMN()),"")),"")</f>
        <v>FONDO AMMORTAMENTO IMBALLAGGI DUREVOLI</v>
      </c>
      <c r="C38" s="48" t="str">
        <f ca="1">IFERROR(IF($A$1=2,INDEX($DH$3:$DN$401,MATCH(ROWS(C$3:C38),$DN$3:$DN$401,0),COLUMN()),IF($A$1=1,INDEX($DQ$3:$DW$401,MATCH(ROWS(C$3:C38),$DW$3:$DW$401,0),COLUMN()),"")),"")</f>
        <v>E</v>
      </c>
      <c r="D38" s="48" t="str">
        <f ca="1">IFERROR(IF($A$1=2,INDEX($DH$3:$DN$401,MATCH(ROWS(D$3:D38),$DN$3:$DN$401,0),COLUMN()),IF($A$1=1,INDEX($DQ$3:$DW$401,MATCH(ROWS(D$3:D38),$DW$3:$DW$401,0),COLUMN()),"")),"")</f>
        <v>A</v>
      </c>
      <c r="E38" s="48" t="str">
        <f ca="1">IFERROR(IF($A$1=2,INDEX($DH$3:$DN$401,MATCH(ROWS(E$3:E38),$DN$3:$DN$401,0),COLUMN()),IF($A$1=1,INDEX($DQ$3:$DW$401,MATCH(ROWS(E$3:E38),$DW$3:$DW$401,0),COLUMN()),"")),"")</f>
        <v>RETTIFICHE COSTI PLURIENNALI</v>
      </c>
      <c r="F38" s="48" t="str">
        <f ca="1">IFERROR(IF($A$1=2,INDEX($DH$3:$DN$401,MATCH(ROWS(F$3:F38),$DN$3:$DN$401,0),COLUMN()),IF($A$1=1,INDEX($DQ$3:$DX$401,MATCH(ROWS(F$3:F38),$DW$3:$DW$401,0),COLUMN()),"")),"")</f>
        <v>SP AVERE</v>
      </c>
      <c r="G38" s="48" t="str">
        <f t="shared" ca="1" si="23"/>
        <v>SP</v>
      </c>
      <c r="H38" s="48" t="str">
        <f ca="1">IFERROR(IF($A$1=2,INDEX($DH$3:$DO$400,MATCH(ROWS(H$3:H38),$DN$3:$DN$400,0),COLUMN()),IF($A$1=1,INDEX($DQ$3:$DX$400,MATCH(ROWS(H$3:H38),$DW$3:$DW$400,0),COLUMN()),"")),"")</f>
        <v>pab2</v>
      </c>
      <c r="I38" s="48" t="str">
        <f t="shared" ca="1" si="0"/>
        <v/>
      </c>
      <c r="J38" s="48" t="str">
        <f t="shared" ca="1" si="24"/>
        <v/>
      </c>
      <c r="K38" s="48">
        <f t="shared" ca="1" si="25"/>
        <v>0</v>
      </c>
      <c r="L38" s="48">
        <f t="shared" ca="1" si="26"/>
        <v>0</v>
      </c>
      <c r="M38" s="48">
        <f ca="1">IFERROR(IF(IF(MID($A38,3,3)=".00",MID(A38,1,2),"")&lt;&gt;"",MAX($M$2:M37)+1,0),"")</f>
        <v>0</v>
      </c>
      <c r="N38" s="48" t="str">
        <f t="shared" ca="1" si="27"/>
        <v/>
      </c>
      <c r="O38" s="48" t="str">
        <f ca="1">IF(IFERROR(INDEX($N$3:$O$400,MATCH(ROWS($O$3:O38),$M$3:$M$400,0),1),"")&lt;&gt;"",CONCATENATE(INDEX($N$3:$O$400,MATCH(ROWS($O$3:O38),$M$3:$M$400,0),1),".00"),"")</f>
        <v>60.00</v>
      </c>
      <c r="P38" s="48" t="str">
        <f t="shared" ca="1" si="28"/>
        <v>IMPOSTE DELL'ESERCIZIO</v>
      </c>
      <c r="Q38" s="48">
        <f ca="1">IF(M38&gt;=1,0,MAX($Q$2:Q37)+1)</f>
        <v>33</v>
      </c>
      <c r="R38" s="48">
        <f ca="1">IF(AND($U$2=2,S38&lt;&gt;""),MAX($R$2:R37)+1,0)</f>
        <v>20</v>
      </c>
      <c r="S38" s="48" t="str">
        <f t="shared" ca="1" si="81"/>
        <v>CONTI DEI SISTEMI MINORI</v>
      </c>
      <c r="T38" s="48" t="str">
        <f ca="1">IFERROR(INDEX($R$3:$S$64,MATCH(ROWS($T$2:T37),$R$3:$R$64,0),2),"")</f>
        <v>SVALUTAZIONI DI ATTIVITÀ FINANZIARIE</v>
      </c>
      <c r="U38" s="48" t="str">
        <f ca="1">IFERROR(INDEX(PDC,MATCH(ROWS(U$3:U38),$V$3:$V$400,0),2),"")</f>
        <v>IMMOBILIZZAZIONI MATERIALI IN CORSO</v>
      </c>
      <c r="V38" s="48">
        <f ca="1">IF(AND($T$1="VISUALIZZA TUTTI I CONTI",AA38&lt;&gt;""),MAX($V$2:V37)+1,IF(AND($U$2=2,AI38=$T$1),MAX($V$2:V37)+1,IF(AND($U$2=1,$T$1=AF38),MAX($V$2:V37)+1,0)))</f>
        <v>36</v>
      </c>
      <c r="Z38" s="246"/>
      <c r="AA38" s="48" t="str">
        <f t="shared" ca="1" si="29"/>
        <v>02.00</v>
      </c>
      <c r="AB38" s="48" t="str">
        <f ca="1">IFERROR(INDEX($A$3:$G$400,MATCH(ROWS(AB$3:AB38),$Q$3:$Q$400,0),1),"")</f>
        <v>02.30</v>
      </c>
      <c r="AC38" s="48" t="str">
        <f ca="1">IFERROR(INDEX($A$3:$G$400,MATCH(ROWS($AC$3:AC38),$Q$3:$Q$400,0),2),"")</f>
        <v>IMMOBILIZZAZIONI MATERIALI IN CORSO</v>
      </c>
      <c r="AD38" s="48" t="str">
        <f ca="1">IFERROR(INDEX($A$3:$G$400,MATCH(ROWS(AD$3:AD38),$Q$3:$Q$400,0),3),"")</f>
        <v>E</v>
      </c>
      <c r="AE38" s="48" t="str">
        <f ca="1">IFERROR(INDEX($A$3:$G$400,MATCH(ROWS(AE$3:AE38),$Q$3:$Q$400,0),4),"")</f>
        <v>D</v>
      </c>
      <c r="AF38" s="48" t="str">
        <f ca="1">IFERROR(INDEX($A$3:$G$400,MATCH(ROWS(AF$3:AF38),$Q$3:$Q$400,0),5),"")</f>
        <v>COSTI PLURIENNALI</v>
      </c>
      <c r="AG38" s="48" t="str">
        <f ca="1">IFERROR(INDEX($A$3:$G$400,MATCH(ROWS(AG$3:AG38),$Q$3:$Q$400,0),6),"")</f>
        <v>SP DARE</v>
      </c>
      <c r="AH38" s="48" t="str">
        <f ca="1">IFERROR(INDEX($A$3:$G$400,MATCH(ROWS(AH$3:AH38),$Q$3:$Q$400,0),7),"")</f>
        <v>SP</v>
      </c>
      <c r="AI38" s="48" t="str">
        <f t="shared" ca="1" si="1"/>
        <v>IMMOBILIZZAZIONI MATERIALI</v>
      </c>
      <c r="AJ38" s="48" t="str">
        <f ca="1">IFERROR(INDEX($A$3:$H$400,MATCH(ROWS(AJ$3:AJ38),$Q$3:$Q$400,0),8),"")</f>
        <v>pab2</v>
      </c>
      <c r="AK38" s="48">
        <f t="shared" ca="1" si="2"/>
        <v>0</v>
      </c>
      <c r="AL38" s="48">
        <f t="shared" ca="1" si="95"/>
        <v>0</v>
      </c>
      <c r="AM38" s="48">
        <f t="shared" ca="1" si="30"/>
        <v>0</v>
      </c>
      <c r="AN38" s="48" t="str">
        <f t="shared" ca="1" si="31"/>
        <v/>
      </c>
      <c r="AO38" s="48">
        <f t="shared" ca="1" si="32"/>
        <v>0</v>
      </c>
      <c r="AP38" s="48">
        <f t="shared" ca="1" si="32"/>
        <v>0</v>
      </c>
      <c r="AQ38" s="48" t="str">
        <f t="shared" ca="1" si="4"/>
        <v>IMMOBILIZZAZIONI MATERIALI IN CORSO</v>
      </c>
      <c r="AR38" s="48">
        <f t="shared" ca="1" si="5"/>
        <v>0</v>
      </c>
      <c r="AS38" s="48">
        <f t="shared" ca="1" si="6"/>
        <v>0</v>
      </c>
      <c r="AT38" s="48">
        <f t="shared" ca="1" si="33"/>
        <v>0</v>
      </c>
      <c r="AU38" s="48">
        <f t="shared" ca="1" si="34"/>
        <v>0</v>
      </c>
      <c r="AV38" s="48">
        <f ca="1">IF(OR(AT38&gt;0,AU38&gt;0),MAX($AV$2:AV37)+1,0)</f>
        <v>0</v>
      </c>
      <c r="AZ38" s="241" t="str">
        <f t="shared" ca="1" si="35"/>
        <v/>
      </c>
      <c r="BA38" s="48">
        <f t="shared" ca="1" si="96"/>
        <v>0</v>
      </c>
      <c r="BB38" s="48">
        <f ca="1">IFERROR(INDEX($AQ$3:$AV$220,MATCH(ROWS($BB$3:BB38),$AV$3:$AV$220,0),1),0)</f>
        <v>0</v>
      </c>
      <c r="BC38" s="48" t="str">
        <f t="shared" ca="1" si="36"/>
        <v/>
      </c>
      <c r="BD38" s="48">
        <f ca="1">IFERROR(INDEX($AQ$3:$AV$220,MATCH(ROWS($BB$3:BD38),$AV$3:$AV$220,0),4),0)</f>
        <v>0</v>
      </c>
      <c r="BE38" s="48">
        <f ca="1">IFERROR(INDEX($AQ$3:$AV$220,MATCH(ROWS($BB$3:BE38),$AV$3:$AV$220,0),5),0)</f>
        <v>0</v>
      </c>
      <c r="BF38" s="48">
        <v>24</v>
      </c>
      <c r="BG38" s="48">
        <f ca="1">IF(IF(AND(OR(INDEX(PDC,MATCH($AC38,DEN_PDC,0),6)="SP DARE",INDEX(PDC,MATCH($AC38,DEN_PDC,0),6)="SP DARE/AVERE"),SUMIFS(DARE,DEN_G,$AC38)&gt;=SUMIFS(AVERE,DEN_G,$AC38)),SUMIFS(DARE,DEN_G,$AC38)-SUMIFS(AVERE,DEN_G,$AC38),0)&gt;0,MAX($BG$2:BG37)+1,0)</f>
        <v>0</v>
      </c>
      <c r="BH38" s="48">
        <f ca="1">IF(IF(AND(OR(INDEX(PDC,MATCH($AC38,DEN_PDC,0),6)="SP AVERE",INDEX(PDC,MATCH($AC38,DEN_PDC,0),6)="SP DARE/AVERE"),SUMIFS(AVERE,DEN_G,$AC38)&gt;=SUMIFS(DARE,DEN_G,$AC38)),SUMIFS(AVERE,DEN_G,$AC38)-SUMIFS(DARE,DEN_G,$AC38),0)&gt;0,MAX(BH$2:BH37)+1,0)</f>
        <v>0</v>
      </c>
      <c r="BI38" s="48">
        <f ca="1">IF(IF(AND(OR(INDEX(PDC,MATCH($AC38,DEN_PDC,0),6)="SE DARE",INDEX(PDC,MATCH($AC38,DEN_PDC,0),6)="SE DARE/AVERE"),SUMIFS(DARE,DEN_G,$AC38)&gt;=SUMIFS(AVERE,DEN_G,$AC38)),SUMIFS(DARE,DEN_G,$AC38)-SUMIFS(AVERE,DEN_G,$AC38),0)&gt;0,MAX(BI$2:BI37)+1,0)</f>
        <v>0</v>
      </c>
      <c r="BJ38" s="48">
        <f ca="1">IF(IF(AND(OR(INDEX(PDC,MATCH($AC38,DEN_PDC,0),6)="SE AVERE",INDEX(PDC,MATCH($AC38,DEN_PDC,0),6)="SE DARE/AVERE"),SUMIFS(AVERE,DEN_G,$AC38)&gt;=SUMIFS(DARE,DEN_G,$AC38)),SUMIFS(AVERE,DEN_G,$AC38)-SUMIFS(DARE,DEN_G,$AC38),0)&gt;0,MAX(BJ$2:BJ37)+1,0)</f>
        <v>0</v>
      </c>
      <c r="BK38" s="48" t="str">
        <f ca="1">IF(AND(AND($DY$2=0,$DY$1=0),$I$1=2,ROW()&gt;$BG$1+2,ROW()&lt;=$BG$1+4),"………………..",IF(AND(OR($DY$2&gt;0,$DY$1&gt;0),$I$1=2,ROW()&gt;$BG$1+2,ROW()&lt;=$BG$1+4),"………………..",IFERROR(INDEX($AC$3:$AC$398,MATCH(ROWS(BK$3:BK38),BG$3:BG$398,0),1),"")))</f>
        <v/>
      </c>
      <c r="BL38" s="48">
        <f t="shared" ca="1" si="69"/>
        <v>0</v>
      </c>
      <c r="BM38" s="48" t="str">
        <f ca="1">IF(AND(OR($DY$2=0,$DY$1=0),$I$1=2,ROW()&gt;$BH$1+2,ROW()&lt;=$BH$1+4),"………………..",IF(AND(OR($DY$2&gt;0,$DY$1&gt;0),$I$1=2,ROW()&gt;$BH$1+2,ROW()&lt;=$BH$1+4),"………………..",IFERROR(INDEX($AC$3:$AC$400,MATCH(ROWS(BM$3:BM38),BH$3:BH$400,0),1),"")))</f>
        <v/>
      </c>
      <c r="BN38" s="48">
        <f t="shared" ca="1" si="9"/>
        <v>0</v>
      </c>
      <c r="BO38" s="48" t="str">
        <f ca="1">IF(AND(OR($DY$2=0,$DY$1=0),$I$1=2,ROW()&gt;$BI$1+2,ROW()&lt;=$BI$1+4),"………………..",IF(AND(OR($DY$2&gt;0,$DY$1&gt;0),$I$1=2,ROW()&gt;$BI$1+2,ROW()&lt;=$BI$1+4),"………………..",IFERROR(INDEX($AC$3:$AC$400,MATCH(ROWS(BO$3:BO38),BI$3:BI$400,0),1),"")))</f>
        <v/>
      </c>
      <c r="BP38" s="48">
        <f t="shared" ca="1" si="10"/>
        <v>0</v>
      </c>
      <c r="BQ38" s="48" t="str">
        <f ca="1">IF(AND(OR($DY$2=0,$DY$1=0),$I$1=2,ROW()&gt;$BJ$1+2,ROW()&lt;=$BJ$1+4),"………………..",IF(AND(OR($DY$2&gt;0,$DY$1&gt;0),$I$1=2,ROW()&gt;$BJ$1+2,ROW()&lt;=$BJ$1+4),"………………..",IFERROR(INDEX($AC$3:$AC$400,MATCH(ROWS(BQ$3:BQ38),BJ$3:BJ$400,0),1),"")))</f>
        <v/>
      </c>
      <c r="BR38" s="48">
        <f t="shared" ca="1" si="11"/>
        <v>0</v>
      </c>
      <c r="BS38" s="48">
        <f ca="1">IF(IF(AND(OR(INDEX(PDC,MATCH($AC38,DEN_PDC,0),4)="D",INDEX(PDC,MATCH($AC38,DEN_PDC,0),4)="D/A"),SUMIFS(DARE,DEN_G,$AC38)&gt;=SUMIFS(AVERE,DEN_G,$AC38)),SUMIFS(DARE,DEN_G,$AC38),IF(AND(OR(INDEX(PDC,MATCH($AC38,DEN_PDC,0),4)="A",INDEX(PDC,MATCH($AC38,DEN_PDC,0),4)="D/A"),SUMIFS(AVERE,DEN_G,$AC38)&gt;=SUMIFS(DARE,DEN_G,$AC38)),SUMIFS(AVERE,DEN_G,$AC38),))&gt;0,MAX($BS$2:BS37)+1,0)</f>
        <v>0</v>
      </c>
      <c r="BT38" s="48" t="str">
        <f ca="1">IF($CO$1=0,"",IF(AND($I$1=2,ROW()&gt;$BR$1,ROW()&lt;=$BS$1)," …………….",IF(AND($E$1=1,$BX$1=1,$I$1=2,ROW()=$BQ$1),"TOTALI",IFERROR(INDEX(PDC,MATCH(ROWS(BT$3:BT38),BS$3:BS435,0),2),""))))</f>
        <v/>
      </c>
      <c r="BU38" s="48">
        <f t="shared" ca="1" si="12"/>
        <v>0</v>
      </c>
      <c r="BV38" s="48">
        <f t="shared" ca="1" si="13"/>
        <v>0</v>
      </c>
      <c r="BW38" s="48">
        <f t="shared" ca="1" si="14"/>
        <v>0</v>
      </c>
      <c r="BX38" s="48">
        <f t="shared" ca="1" si="15"/>
        <v>0</v>
      </c>
      <c r="BY38" s="48">
        <f ca="1">IF(OR(BW38&gt;0,BX38&gt;0),MAX($BY$2:BY37)+1,0)</f>
        <v>0</v>
      </c>
      <c r="BZ38" s="48" t="str">
        <f ca="1">IFERROR(INDEX($BT$3:$BY$400,MATCH(ROWS(BZ$3:BZ38),$BY$3:$BY$400,0),1),"")</f>
        <v/>
      </c>
      <c r="CA38" s="48" t="str">
        <f ca="1">IFERROR(INDEX($BT$3:$BY$400,MATCH(ROWS(CA$3:CA38),$BY$3:$BY$400,0),4),"")</f>
        <v/>
      </c>
      <c r="CB38" s="48" t="str">
        <f ca="1">IFERROR(INDEX($BT$3:$BY$400,MATCH(ROWS(CB$3:CB38),$BY$3:$BY$400,0),5),"")</f>
        <v/>
      </c>
      <c r="CC38" s="48" t="str">
        <f t="shared" ca="1" si="16"/>
        <v/>
      </c>
      <c r="CD38" s="48">
        <f ca="1">IF(AND($BF$9=1,CE38&lt;&gt;0),MAX($CD$2:CD37)+1,0)</f>
        <v>0</v>
      </c>
      <c r="CE38" s="48">
        <f ca="1">IF(ROUND(SUMIFS(COPIA!$CA$3:$CA$400,COPIA!$CC$3:$CC$400,CF38)-SUMIFS(COPIA!$CB$3:$CB$400,COPIA!$CC$3:$CC$400,CF38),0)&lt;0,0,ROUND(SUMIFS(COPIA!$CA$3:$CA$400,COPIA!$CC$3:$CC$400,CF38)-SUMIFS(COPIA!$CB$3:$CB$400,COPIA!$CC$3:$CC$400,CF38),0))</f>
        <v>0</v>
      </c>
      <c r="CF38" s="48" t="s">
        <v>604</v>
      </c>
      <c r="CG38" s="242" t="s">
        <v>514</v>
      </c>
      <c r="CH38" s="242">
        <f ca="1">CE38</f>
        <v>0</v>
      </c>
      <c r="CI38" s="242"/>
      <c r="CJ38" s="242">
        <f ca="1">SUMIFS(COPIA!$CA$3:$CA$400,COPIA!$CC$3:$CC$400,CF38)-SUMIFS(COPIA!$CB$3:$CB$400,COPIA!$CC$3:$CC$400,CF38)</f>
        <v>0</v>
      </c>
      <c r="CK38" s="48">
        <f ca="1">IF($CF$2=FALSE,0,IF(AND($BF$9=1,CJ38&lt;&gt;0),MAX($CK$21:CK37)+1,0))</f>
        <v>0</v>
      </c>
      <c r="CL38" s="48" t="s">
        <v>687</v>
      </c>
      <c r="CM38" s="242" t="str">
        <f t="shared" ca="1" si="37"/>
        <v/>
      </c>
      <c r="CN38" s="243">
        <f t="shared" ca="1" si="38"/>
        <v>0</v>
      </c>
      <c r="CO38" s="48" t="str">
        <f t="shared" ca="1" si="39"/>
        <v/>
      </c>
      <c r="CQ38" s="242"/>
      <c r="CR38" s="242">
        <f t="shared" ca="1" si="97"/>
        <v>2028</v>
      </c>
      <c r="CS38" s="48">
        <f t="shared" ca="1" si="98"/>
        <v>0</v>
      </c>
      <c r="CT38" s="242"/>
      <c r="CU38" s="48">
        <f ca="1">IF(SUMIFS(AVERE,DEN_G,AC38,AVERE,"&gt;"&amp;0)+SUMIFS(DARE,DEN_G,AC38,DARE,"&gt;"&amp;0)&gt;0,MAX($CU$2:CU37)+1,0)</f>
        <v>0</v>
      </c>
      <c r="CV38" s="48" t="str">
        <f ca="1">IF(IFERROR(INDEX(PDC,MATCH(ROWS($CV$3:CV38),$CU$3:$CU$400,0),2),"")="CONTO DI RISULTATO ECONOMICO","",IFERROR(INDEX(PDC,MATCH(ROWS($CV$3:CV38),$CU$3:$CU$400,0),2),""))</f>
        <v/>
      </c>
      <c r="CW38" s="48">
        <f ca="1">IFERROR(IF(CV38&lt;&gt;"",MAX($CW$2:CW37)+1,0),0)</f>
        <v>0</v>
      </c>
      <c r="CX38" s="48">
        <f t="shared" ca="1" si="88"/>
        <v>3</v>
      </c>
      <c r="CY38" s="48" t="str">
        <f t="shared" ca="1" si="85"/>
        <v>MASTRO</v>
      </c>
      <c r="CZ38" s="48" t="e">
        <f t="shared" ca="1" si="90"/>
        <v>#N/A</v>
      </c>
      <c r="DA38" s="48" t="str">
        <f t="shared" ca="1" si="94"/>
        <v/>
      </c>
      <c r="DB38" s="48" t="str">
        <f t="shared" ca="1" si="76"/>
        <v/>
      </c>
      <c r="DC38" s="48" t="str">
        <f t="shared" ca="1" si="91"/>
        <v/>
      </c>
      <c r="DD38" s="48" t="str">
        <f t="shared" ca="1" si="92"/>
        <v/>
      </c>
      <c r="DE38" s="48" t="str">
        <f t="shared" ca="1" si="93"/>
        <v/>
      </c>
      <c r="DF38" s="48">
        <f ca="1">IF(AND(CX38=$DF$1,CX38&lt;&gt;""),0,IF(AND(DB38&lt;&gt;"",OR(DB37&lt;&gt;"",DB39&lt;&gt;"")),MAX($DF$2:DF37)+1,0))</f>
        <v>0</v>
      </c>
      <c r="DH38" s="244" t="s">
        <v>27</v>
      </c>
      <c r="DI38" s="48" t="s">
        <v>337</v>
      </c>
      <c r="DJ38" s="48" t="s">
        <v>311</v>
      </c>
      <c r="DK38" s="48" t="s">
        <v>275</v>
      </c>
      <c r="DL38" s="48" t="s">
        <v>9</v>
      </c>
      <c r="DM38" s="48" t="s">
        <v>270</v>
      </c>
      <c r="DN38" s="48">
        <f ca="1">IF(DI38&lt;&gt;"",MAX($DN$2:DN37)+1,0)</f>
        <v>21</v>
      </c>
      <c r="DO38" s="48" t="str">
        <f ca="1">IF($BF$9=1,"pab21","pab2")</f>
        <v>pab2</v>
      </c>
      <c r="DW38" s="48">
        <f>IF(DR38&lt;&gt;"",MAX($DW$2:DW37)+1,0)</f>
        <v>0</v>
      </c>
      <c r="DY38" s="48" t="str">
        <f t="shared" ca="1" si="19"/>
        <v/>
      </c>
      <c r="DZ38" s="48" t="str">
        <f t="shared" ca="1" si="40"/>
        <v/>
      </c>
      <c r="EA38" s="48" t="str">
        <f t="shared" ca="1" si="41"/>
        <v/>
      </c>
      <c r="EB38" s="48">
        <f t="shared" ca="1" si="42"/>
        <v>0</v>
      </c>
      <c r="EC38" s="48">
        <f t="shared" ca="1" si="43"/>
        <v>0</v>
      </c>
      <c r="ED38" s="48" t="str">
        <f t="shared" ca="1" si="44"/>
        <v/>
      </c>
      <c r="EE38" s="48">
        <f t="shared" ca="1" si="45"/>
        <v>0</v>
      </c>
      <c r="EF38" s="48" t="str">
        <f t="shared" ca="1" si="46"/>
        <v/>
      </c>
      <c r="EG38" s="48">
        <f t="shared" ca="1" si="47"/>
        <v>0</v>
      </c>
      <c r="EH38" s="48" t="str">
        <f t="shared" ca="1" si="48"/>
        <v/>
      </c>
      <c r="EI38" s="48">
        <f t="shared" ca="1" si="49"/>
        <v>0</v>
      </c>
      <c r="EJ38" s="48" t="str">
        <f t="shared" ca="1" si="50"/>
        <v/>
      </c>
      <c r="EK38" s="48">
        <f t="shared" ca="1" si="51"/>
        <v>0</v>
      </c>
      <c r="EL38" s="48">
        <f t="shared" ca="1" si="20"/>
        <v>0</v>
      </c>
      <c r="EM38" s="48">
        <f ca="1">IF(EL38&gt;=0,0,MAX($EM$2:EM37)+1)</f>
        <v>0</v>
      </c>
      <c r="EN38" s="48" t="str">
        <f t="shared" ca="1" si="21"/>
        <v/>
      </c>
      <c r="EO38" s="48" t="str">
        <f ca="1">IFERROR(INDEX($EM$3:$EN$400,MATCH(ROWS($EO$3:EO38),$EM$3:$EM$400,0),2),"")</f>
        <v/>
      </c>
      <c r="EP38" s="48">
        <f>ROW()</f>
        <v>38</v>
      </c>
      <c r="EQ38" s="48">
        <f t="shared" ca="1" si="22"/>
        <v>0</v>
      </c>
      <c r="ER38" s="48">
        <f ca="1">IF(ISNA(EQ38)=TRUE,MAX($ER$2:ER37)+1,0)</f>
        <v>0</v>
      </c>
      <c r="ES38" s="48" t="str">
        <f t="shared" ca="1" si="52"/>
        <v/>
      </c>
      <c r="ET38" s="48" t="str">
        <f ca="1">IFERROR(INDEX($ER$3:$ES$400,MATCH(ROWS($ET$3:ET38),$ER$3:$ER$400,0),2),"")</f>
        <v/>
      </c>
      <c r="EV38" s="48">
        <f ca="1">IFERROR(INDEX(LIBRO_GIORNALE!$O$11:$P$408,MATCH(ROWS($EV$2:EV37),LIBRO_GIORNALE!$P$11:$P$408,0),1),0)</f>
        <v>0</v>
      </c>
      <c r="EW38" s="48" t="str">
        <f t="shared" ca="1" si="53"/>
        <v>0</v>
      </c>
      <c r="EX38" s="48">
        <f t="shared" ca="1" si="54"/>
        <v>0</v>
      </c>
      <c r="EY38" s="48">
        <f ca="1">IF(EX38&gt;0,MAX($EY$2:EY37)+1,0)</f>
        <v>0</v>
      </c>
      <c r="EZ38" s="48">
        <f ca="1">IFERROR(INDEX($EX$3:$EX$400,MATCH(ROWS($EZ$3:EZ38),$EY$3:$EY$400,0),1),0)</f>
        <v>0</v>
      </c>
      <c r="FA38" s="48">
        <f ca="1">IF(EZ38&gt;0,0,MAX($FA$2:FA37)+1)</f>
        <v>36</v>
      </c>
      <c r="FB38" s="48">
        <f t="shared" ca="1" si="55"/>
        <v>0</v>
      </c>
      <c r="FC38" s="48">
        <f t="shared" ca="1" si="56"/>
        <v>36</v>
      </c>
      <c r="FD38" s="48">
        <f t="shared" ca="1" si="57"/>
        <v>36</v>
      </c>
      <c r="FE38" s="48">
        <f ca="1">IF(FD38=0,0,MAX($FE$2:FE37)+1)</f>
        <v>36</v>
      </c>
      <c r="FF38" s="48">
        <f ca="1">IFERROR(INDEX($FD$3:$FE$400,MATCH(ROWS($FF$3:FF38),$FE$3:$FE$400,0),1),"")</f>
        <v>36</v>
      </c>
      <c r="FH38" s="48">
        <f t="shared" ca="1" si="58"/>
        <v>0</v>
      </c>
      <c r="FI38" s="48">
        <f ca="1">IF(FH38&lt;&gt;0,MAX($FI$2:FI37)+1,0)</f>
        <v>0</v>
      </c>
      <c r="FJ38" s="48" t="str">
        <f ca="1">IFERROR(INDEX($FH$3:$FI$400,MATCH(ROWS($FJ$3:FJ38),$FI$3:$FI$400,0),1),"")</f>
        <v/>
      </c>
      <c r="FK38" s="48">
        <f ca="1">IF(ABS(SUMIFS(DARE,DEN_G,"="&amp;FJ38,DATA,"&lt;="&amp;FINE_AC,DATA,"&gt;="&amp;INIZIO_A_PC)-SUMIFS(AVERE,DEN_G,"="&amp;FJ38,DATA,"&lt;="&amp;FINE_AC,DATA,"&gt;="&amp;INIZIO_A_PC))&gt;0,MAX($FK$2:FK37)+1,0)</f>
        <v>0</v>
      </c>
      <c r="FL38" s="48" t="str">
        <f ca="1">IF(AND(ROW()-2&lt;&gt;1,ROW()-2&lt;=$FK$1),CONCATENATE(" - ",IFERROR(INDEX($FJ$3:$FK$400,MATCH(ROWS($FL$3:FL38),$FK$3:$FK$400,0),1),"")),IFERROR(INDEX($FJ$3:$FK$400,MATCH(ROWS($FL$3:FL38),$FK$3:$FK$400,0),1),""))</f>
        <v/>
      </c>
      <c r="FM38" s="48">
        <f ca="1">IF(OR(B38="IVA ns/credito",B38="IVA NS/DEBITO",B38="IVA C/ACCONTO",B38="IMPOSTE C/ACCONTO",B38="CREDITI PER RITENUTE SUBITE",B38="CREDITI D'IMPOSTA"),MAX($FM$2:FM37)+1,0)</f>
        <v>0</v>
      </c>
      <c r="FN38" s="48" t="str">
        <f t="shared" ca="1" si="59"/>
        <v/>
      </c>
      <c r="FO38" s="48" t="str">
        <f ca="1">IFERROR(INDEX($FM$3:$FN$400,MATCH(ROWS($FO$3:FO38),$FM$3:$FM$400,0),2),"")</f>
        <v/>
      </c>
      <c r="FP38" s="48">
        <f ca="1">IF(ABS(SUMIFS(DARE,DEN_G,"="&amp;FO38,DATA,"&lt;="&amp;FINE_AC,DATA,"&gt;="&amp;INIZIO_A_PC)-SUMIFS(AVERE,DEN_G,"="&amp;FO38,DATA,"&lt;="&amp;FINE_AC,DATA,"&gt;="&amp;INIZIO_A_PC))&gt;0,MAX($FP$2:FP37)+1,0)</f>
        <v>0</v>
      </c>
      <c r="FQ38" s="48" t="str">
        <f ca="1">IF(AND(ROW()-2&lt;&gt;1,ROW()-2&lt;=$FP$1),CONCATENATE(" - ",IFERROR(INDEX($FO$3:$FP$400,MATCH(ROWS($FQ$3:FQ38),$FP$3:$FP$400,0),1),"")),IFERROR(INDEX($FO$3:$FP$400,MATCH(ROWS($FQ$3:FQ38),$FP$3:$FP$400,0),1),""))</f>
        <v/>
      </c>
    </row>
    <row r="39" spans="1:173" x14ac:dyDescent="0.3">
      <c r="A39" s="48" t="str">
        <f ca="1">IFERROR(IF($A$1=2,INDEX($DH$3:$DN$401,MATCH(ROWS(A$3:A39),$DN$3:$DN$401,0),COLUMN()),IF($A$1=1,INDEX($DQ$3:$DW$401,MATCH(ROWS(A$3:A39),$DW$3:$DW$401,0),COLUMN()),"")),"")</f>
        <v>02.20</v>
      </c>
      <c r="B39" s="48" t="str">
        <f ca="1">IFERROR(IF($A$1=2,INDEX($DH$3:$DN$401,MATCH(ROWS(B$3:B39),$DN$3:$DN$401,0),COLUMN()),IF($A$1=1,INDEX($DQ$3:$DW$400,MATCH(ROWS(B$3:B39),$DW$3:$DW$401,0),COLUMN()),"")),"")</f>
        <v>FONDO SVALUTAZIONE TERRENI E FABBRICATI</v>
      </c>
      <c r="C39" s="48" t="str">
        <f ca="1">IFERROR(IF($A$1=2,INDEX($DH$3:$DN$401,MATCH(ROWS(C$3:C39),$DN$3:$DN$401,0),COLUMN()),IF($A$1=1,INDEX($DQ$3:$DW$401,MATCH(ROWS(C$3:C39),$DW$3:$DW$401,0),COLUMN()),"")),"")</f>
        <v>E</v>
      </c>
      <c r="D39" s="48" t="str">
        <f ca="1">IFERROR(IF($A$1=2,INDEX($DH$3:$DN$401,MATCH(ROWS(D$3:D39),$DN$3:$DN$401,0),COLUMN()),IF($A$1=1,INDEX($DQ$3:$DW$401,MATCH(ROWS(D$3:D39),$DW$3:$DW$401,0),COLUMN()),"")),"")</f>
        <v>A</v>
      </c>
      <c r="E39" s="48" t="str">
        <f ca="1">IFERROR(IF($A$1=2,INDEX($DH$3:$DN$401,MATCH(ROWS(E$3:E39),$DN$3:$DN$401,0),COLUMN()),IF($A$1=1,INDEX($DQ$3:$DW$401,MATCH(ROWS(E$3:E39),$DW$3:$DW$401,0),COLUMN()),"")),"")</f>
        <v>RETTIFICHE COSTI PLURIENNALI</v>
      </c>
      <c r="F39" s="48" t="str">
        <f ca="1">IFERROR(IF($A$1=2,INDEX($DH$3:$DN$401,MATCH(ROWS(F$3:F39),$DN$3:$DN$401,0),COLUMN()),IF($A$1=1,INDEX($DQ$3:$DX$401,MATCH(ROWS(F$3:F39),$DW$3:$DW$401,0),COLUMN()),"")),"")</f>
        <v>SP AVERE</v>
      </c>
      <c r="G39" s="48" t="str">
        <f t="shared" ca="1" si="23"/>
        <v>SP</v>
      </c>
      <c r="H39" s="48" t="str">
        <f ca="1">IFERROR(IF($A$1=2,INDEX($DH$3:$DO$400,MATCH(ROWS(H$3:H39),$DN$3:$DN$400,0),COLUMN()),IF($A$1=1,INDEX($DQ$3:$DX$400,MATCH(ROWS(H$3:H39),$DW$3:$DW$400,0),COLUMN()),"")),"")</f>
        <v>pab2</v>
      </c>
      <c r="I39" s="48" t="str">
        <f t="shared" ca="1" si="0"/>
        <v/>
      </c>
      <c r="J39" s="48" t="str">
        <f t="shared" ca="1" si="24"/>
        <v/>
      </c>
      <c r="K39" s="48">
        <f t="shared" ca="1" si="25"/>
        <v>0</v>
      </c>
      <c r="L39" s="48">
        <f t="shared" ca="1" si="26"/>
        <v>0</v>
      </c>
      <c r="M39" s="48">
        <f ca="1">IFERROR(IF(IF(MID($A39,3,3)=".00",MID(A39,1,2),"")&lt;&gt;"",MAX($M$2:M38)+1,0),"")</f>
        <v>0</v>
      </c>
      <c r="N39" s="48" t="str">
        <f t="shared" ca="1" si="27"/>
        <v/>
      </c>
      <c r="O39" s="48" t="str">
        <f ca="1">IF(IFERROR(INDEX($N$3:$O$400,MATCH(ROWS($O$3:O39),$M$3:$M$400,0),1),"")&lt;&gt;"",CONCATENATE(INDEX($N$3:$O$400,MATCH(ROWS($O$3:O39),$M$3:$M$400,0),1),".00"),"")</f>
        <v>90.00</v>
      </c>
      <c r="P39" s="48" t="str">
        <f t="shared" ca="1" si="28"/>
        <v>CONTI DI RISULTATO</v>
      </c>
      <c r="Q39" s="48">
        <f ca="1">IF(M39&gt;=1,0,MAX($Q$2:Q38)+1)</f>
        <v>34</v>
      </c>
      <c r="R39" s="48">
        <f ca="1">IF(AND($U$2=2,S39&lt;&gt;""),MAX($R$2:R38)+1,0)</f>
        <v>21</v>
      </c>
      <c r="S39" s="48" t="str">
        <f t="shared" ca="1" si="81"/>
        <v>VALORE DELLA PRODUZIONE</v>
      </c>
      <c r="T39" s="48" t="str">
        <f ca="1">IFERROR(INDEX($R$3:$S$64,MATCH(ROWS($T$2:T38),$R$3:$R$64,0),2),"")</f>
        <v>IMPOSTE DELL'ESERCIZIO</v>
      </c>
      <c r="U39" s="48" t="str">
        <f ca="1">IFERROR(INDEX(PDC,MATCH(ROWS(U$3:U39),$V$3:$V$400,0),2),"")</f>
        <v>FORNITORI IMMOBILIZZAZIONI MATERIALI C/ACCONTI</v>
      </c>
      <c r="V39" s="48">
        <f ca="1">IF(AND($T$1="VISUALIZZA TUTTI I CONTI",AA39&lt;&gt;""),MAX($V$2:V38)+1,IF(AND($U$2=2,AI39=$T$1),MAX($V$2:V38)+1,IF(AND($U$2=1,$T$1=AF39),MAX($V$2:V38)+1,0)))</f>
        <v>37</v>
      </c>
      <c r="Z39" s="246"/>
      <c r="AA39" s="48" t="str">
        <f t="shared" ca="1" si="29"/>
        <v>02.00</v>
      </c>
      <c r="AB39" s="48" t="str">
        <f ca="1">IFERROR(INDEX($A$3:$G$400,MATCH(ROWS(AB$3:AB39),$Q$3:$Q$400,0),1),"")</f>
        <v>02.31</v>
      </c>
      <c r="AC39" s="48" t="str">
        <f ca="1">IFERROR(INDEX($A$3:$G$400,MATCH(ROWS($AC$3:AC39),$Q$3:$Q$400,0),2),"")</f>
        <v>FORNITORI IMMOBILIZZAZIONI MATERIALI C/ACCONTI</v>
      </c>
      <c r="AD39" s="48" t="str">
        <f ca="1">IFERROR(INDEX($A$3:$G$400,MATCH(ROWS(AD$3:AD39),$Q$3:$Q$400,0),3),"")</f>
        <v>F</v>
      </c>
      <c r="AE39" s="48" t="str">
        <f ca="1">IFERROR(INDEX($A$3:$G$400,MATCH(ROWS(AE$3:AE39),$Q$3:$Q$400,0),4),"")</f>
        <v>D</v>
      </c>
      <c r="AF39" s="48" t="str">
        <f ca="1">IFERROR(INDEX($A$3:$G$400,MATCH(ROWS(AF$3:AF39),$Q$3:$Q$400,0),5),"")</f>
        <v>CREDITI</v>
      </c>
      <c r="AG39" s="48" t="str">
        <f ca="1">IFERROR(INDEX($A$3:$G$400,MATCH(ROWS(AG$3:AG39),$Q$3:$Q$400,0),6),"")</f>
        <v>SP DARE</v>
      </c>
      <c r="AH39" s="48" t="str">
        <f ca="1">IFERROR(INDEX($A$3:$G$400,MATCH(ROWS(AH$3:AH39),$Q$3:$Q$400,0),7),"")</f>
        <v>SP</v>
      </c>
      <c r="AI39" s="48" t="str">
        <f t="shared" ca="1" si="1"/>
        <v>IMMOBILIZZAZIONI MATERIALI</v>
      </c>
      <c r="AJ39" s="48" t="str">
        <f ca="1">IFERROR(INDEX($A$3:$H$400,MATCH(ROWS(AJ$3:AJ39),$Q$3:$Q$400,0),8),"")</f>
        <v>pab2</v>
      </c>
      <c r="AK39" s="48">
        <f t="shared" ca="1" si="2"/>
        <v>0</v>
      </c>
      <c r="AL39" s="48">
        <f t="shared" ca="1" si="95"/>
        <v>0</v>
      </c>
      <c r="AM39" s="48">
        <f t="shared" ca="1" si="30"/>
        <v>0</v>
      </c>
      <c r="AN39" s="48" t="str">
        <f t="shared" ca="1" si="31"/>
        <v/>
      </c>
      <c r="AO39" s="48">
        <f t="shared" ca="1" si="32"/>
        <v>0</v>
      </c>
      <c r="AP39" s="48">
        <f t="shared" ca="1" si="32"/>
        <v>0</v>
      </c>
      <c r="AQ39" s="48" t="str">
        <f t="shared" ca="1" si="4"/>
        <v>FORNITORI IMMOBILIZZAZIONI MATERIALI C/ACCONTI</v>
      </c>
      <c r="AR39" s="48">
        <f t="shared" ca="1" si="5"/>
        <v>0</v>
      </c>
      <c r="AS39" s="48">
        <f t="shared" ca="1" si="6"/>
        <v>0</v>
      </c>
      <c r="AT39" s="48">
        <f t="shared" ca="1" si="33"/>
        <v>0</v>
      </c>
      <c r="AU39" s="48">
        <f t="shared" ca="1" si="34"/>
        <v>0</v>
      </c>
      <c r="AV39" s="48">
        <f ca="1">IF(OR(AT39&gt;0,AU39&gt;0),MAX($AV$2:AV38)+1,0)</f>
        <v>0</v>
      </c>
      <c r="AZ39" s="241" t="str">
        <f t="shared" ca="1" si="35"/>
        <v/>
      </c>
      <c r="BA39" s="48">
        <f t="shared" ca="1" si="96"/>
        <v>0</v>
      </c>
      <c r="BB39" s="48">
        <f ca="1">IFERROR(INDEX($AQ$3:$AV$220,MATCH(ROWS($BB$3:BB39),$AV$3:$AV$220,0),1),0)</f>
        <v>0</v>
      </c>
      <c r="BC39" s="48" t="str">
        <f t="shared" ca="1" si="36"/>
        <v/>
      </c>
      <c r="BD39" s="48">
        <f ca="1">IFERROR(INDEX($AQ$3:$AV$220,MATCH(ROWS($BB$3:BD39),$AV$3:$AV$220,0),4),0)</f>
        <v>0</v>
      </c>
      <c r="BE39" s="48">
        <f ca="1">IFERROR(INDEX($AQ$3:$AV$220,MATCH(ROWS($BB$3:BE39),$AV$3:$AV$220,0),5),0)</f>
        <v>0</v>
      </c>
      <c r="BF39" s="48">
        <v>25</v>
      </c>
      <c r="BG39" s="48">
        <f ca="1">IF(IF(AND(OR(INDEX(PDC,MATCH($AC39,DEN_PDC,0),6)="SP DARE",INDEX(PDC,MATCH($AC39,DEN_PDC,0),6)="SP DARE/AVERE"),SUMIFS(DARE,DEN_G,$AC39)&gt;=SUMIFS(AVERE,DEN_G,$AC39)),SUMIFS(DARE,DEN_G,$AC39)-SUMIFS(AVERE,DEN_G,$AC39),0)&gt;0,MAX($BG$2:BG38)+1,0)</f>
        <v>0</v>
      </c>
      <c r="BH39" s="48">
        <f ca="1">IF(IF(AND(OR(INDEX(PDC,MATCH($AC39,DEN_PDC,0),6)="SP AVERE",INDEX(PDC,MATCH($AC39,DEN_PDC,0),6)="SP DARE/AVERE"),SUMIFS(AVERE,DEN_G,$AC39)&gt;=SUMIFS(DARE,DEN_G,$AC39)),SUMIFS(AVERE,DEN_G,$AC39)-SUMIFS(DARE,DEN_G,$AC39),0)&gt;0,MAX(BH$2:BH38)+1,0)</f>
        <v>0</v>
      </c>
      <c r="BI39" s="48">
        <f ca="1">IF(IF(AND(OR(INDEX(PDC,MATCH($AC39,DEN_PDC,0),6)="SE DARE",INDEX(PDC,MATCH($AC39,DEN_PDC,0),6)="SE DARE/AVERE"),SUMIFS(DARE,DEN_G,$AC39)&gt;=SUMIFS(AVERE,DEN_G,$AC39)),SUMIFS(DARE,DEN_G,$AC39)-SUMIFS(AVERE,DEN_G,$AC39),0)&gt;0,MAX(BI$2:BI38)+1,0)</f>
        <v>0</v>
      </c>
      <c r="BJ39" s="48">
        <f ca="1">IF(IF(AND(OR(INDEX(PDC,MATCH($AC39,DEN_PDC,0),6)="SE AVERE",INDEX(PDC,MATCH($AC39,DEN_PDC,0),6)="SE DARE/AVERE"),SUMIFS(AVERE,DEN_G,$AC39)&gt;=SUMIFS(DARE,DEN_G,$AC39)),SUMIFS(AVERE,DEN_G,$AC39)-SUMIFS(DARE,DEN_G,$AC39),0)&gt;0,MAX(BJ$2:BJ38)+1,0)</f>
        <v>0</v>
      </c>
      <c r="BK39" s="48" t="str">
        <f ca="1">IF(AND(AND($DY$2=0,$DY$1=0),$I$1=2,ROW()&gt;$BG$1+2,ROW()&lt;=$BG$1+4),"………………..",IF(AND(OR($DY$2&gt;0,$DY$1&gt;0),$I$1=2,ROW()&gt;$BG$1+2,ROW()&lt;=$BG$1+4),"………………..",IFERROR(INDEX($AC$3:$AC$398,MATCH(ROWS(BK$3:BK39),BG$3:BG$398,0),1),"")))</f>
        <v/>
      </c>
      <c r="BL39" s="48">
        <f t="shared" ca="1" si="69"/>
        <v>0</v>
      </c>
      <c r="BM39" s="48" t="str">
        <f ca="1">IF(AND(OR($DY$2=0,$DY$1=0),$I$1=2,ROW()&gt;$BH$1+2,ROW()&lt;=$BH$1+4),"………………..",IF(AND(OR($DY$2&gt;0,$DY$1&gt;0),$I$1=2,ROW()&gt;$BH$1+2,ROW()&lt;=$BH$1+4),"………………..",IFERROR(INDEX($AC$3:$AC$400,MATCH(ROWS(BM$3:BM39),BH$3:BH$400,0),1),"")))</f>
        <v/>
      </c>
      <c r="BN39" s="48">
        <f t="shared" ca="1" si="9"/>
        <v>0</v>
      </c>
      <c r="BO39" s="48" t="str">
        <f ca="1">IF(AND(OR($DY$2=0,$DY$1=0),$I$1=2,ROW()&gt;$BI$1+2,ROW()&lt;=$BI$1+4),"………………..",IF(AND(OR($DY$2&gt;0,$DY$1&gt;0),$I$1=2,ROW()&gt;$BI$1+2,ROW()&lt;=$BI$1+4),"………………..",IFERROR(INDEX($AC$3:$AC$400,MATCH(ROWS(BO$3:BO39),BI$3:BI$400,0),1),"")))</f>
        <v/>
      </c>
      <c r="BP39" s="48">
        <f t="shared" ca="1" si="10"/>
        <v>0</v>
      </c>
      <c r="BQ39" s="48" t="str">
        <f ca="1">IF(AND(OR($DY$2=0,$DY$1=0),$I$1=2,ROW()&gt;$BJ$1+2,ROW()&lt;=$BJ$1+4),"………………..",IF(AND(OR($DY$2&gt;0,$DY$1&gt;0),$I$1=2,ROW()&gt;$BJ$1+2,ROW()&lt;=$BJ$1+4),"………………..",IFERROR(INDEX($AC$3:$AC$400,MATCH(ROWS(BQ$3:BQ39),BJ$3:BJ$400,0),1),"")))</f>
        <v/>
      </c>
      <c r="BR39" s="48">
        <f t="shared" ca="1" si="11"/>
        <v>0</v>
      </c>
      <c r="BS39" s="48">
        <f ca="1">IF(IF(AND(OR(INDEX(PDC,MATCH($AC39,DEN_PDC,0),4)="D",INDEX(PDC,MATCH($AC39,DEN_PDC,0),4)="D/A"),SUMIFS(DARE,DEN_G,$AC39)&gt;=SUMIFS(AVERE,DEN_G,$AC39)),SUMIFS(DARE,DEN_G,$AC39),IF(AND(OR(INDEX(PDC,MATCH($AC39,DEN_PDC,0),4)="A",INDEX(PDC,MATCH($AC39,DEN_PDC,0),4)="D/A"),SUMIFS(AVERE,DEN_G,$AC39)&gt;=SUMIFS(DARE,DEN_G,$AC39)),SUMIFS(AVERE,DEN_G,$AC39),))&gt;0,MAX($BS$2:BS38)+1,0)</f>
        <v>0</v>
      </c>
      <c r="BT39" s="48" t="str">
        <f ca="1">IF($CO$1=0,"",IF(AND($I$1=2,ROW()&gt;$BR$1,ROW()&lt;=$BS$1)," …………….",IF(AND($E$1=1,$BX$1=1,$I$1=2,ROW()=$BQ$1),"TOTALI",IFERROR(INDEX(PDC,MATCH(ROWS(BT$3:BT39),BS$3:BS436,0),2),""))))</f>
        <v/>
      </c>
      <c r="BU39" s="48">
        <f t="shared" ca="1" si="12"/>
        <v>0</v>
      </c>
      <c r="BV39" s="48">
        <f t="shared" ca="1" si="13"/>
        <v>0</v>
      </c>
      <c r="BW39" s="48">
        <f t="shared" ca="1" si="14"/>
        <v>0</v>
      </c>
      <c r="BX39" s="48">
        <f t="shared" ca="1" si="15"/>
        <v>0</v>
      </c>
      <c r="BY39" s="48">
        <f ca="1">IF(OR(BW39&gt;0,BX39&gt;0),MAX($BY$2:BY38)+1,0)</f>
        <v>0</v>
      </c>
      <c r="BZ39" s="48" t="str">
        <f ca="1">IFERROR(INDEX($BT$3:$BY$400,MATCH(ROWS(BZ$3:BZ39),$BY$3:$BY$400,0),1),"")</f>
        <v/>
      </c>
      <c r="CA39" s="48" t="str">
        <f ca="1">IFERROR(INDEX($BT$3:$BY$400,MATCH(ROWS(CA$3:CA39),$BY$3:$BY$400,0),4),"")</f>
        <v/>
      </c>
      <c r="CB39" s="48" t="str">
        <f ca="1">IFERROR(INDEX($BT$3:$BY$400,MATCH(ROWS(CB$3:CB39),$BY$3:$BY$400,0),5),"")</f>
        <v/>
      </c>
      <c r="CC39" s="48" t="str">
        <f t="shared" ca="1" si="16"/>
        <v/>
      </c>
      <c r="CD39" s="48">
        <f ca="1">IF(AND($BF$9=1,CE39&lt;&gt;0),MAX($CD$2:CD38)+1,0)</f>
        <v>0</v>
      </c>
      <c r="CE39" s="48">
        <f ca="1">ROUND(IFERROR(INDEX(BILANCIO!$I$13:$J$59,MATCH(CF39,BILANCIO!$J$13:$J$59,0),1),0),0)</f>
        <v>0</v>
      </c>
      <c r="CF39" s="48" t="s">
        <v>687</v>
      </c>
      <c r="CG39" s="242" t="s">
        <v>570</v>
      </c>
      <c r="CH39" s="242"/>
      <c r="CI39" s="242"/>
      <c r="CJ39" s="242">
        <f ca="1">SUMIFS(COPIA!$CA$3:$CA$400,COPIA!$CC$3:$CC$400,CF39)-SUMIFS(COPIA!$CB$3:$CB$400,COPIA!$CC$3:$CC$400,CF39)</f>
        <v>0</v>
      </c>
      <c r="CK39" s="48">
        <f ca="1">IF($CF$2=FALSE,0,IF(AND($BF$9=1,CJ39&lt;&gt;0),MAX($CK$21:CK38)+1,0))</f>
        <v>0</v>
      </c>
      <c r="CM39" s="242" t="str">
        <f t="shared" ca="1" si="37"/>
        <v/>
      </c>
      <c r="CN39" s="243">
        <f t="shared" ca="1" si="38"/>
        <v>0</v>
      </c>
      <c r="CO39" s="48" t="str">
        <f t="shared" ca="1" si="39"/>
        <v/>
      </c>
      <c r="CQ39" s="242"/>
      <c r="CR39" s="242">
        <f t="shared" ca="1" si="97"/>
        <v>2029</v>
      </c>
      <c r="CS39" s="48">
        <f t="shared" ca="1" si="98"/>
        <v>0</v>
      </c>
      <c r="CT39" s="242"/>
      <c r="CU39" s="48">
        <f ca="1">IF(SUMIFS(AVERE,DEN_G,AC39,AVERE,"&gt;"&amp;0)+SUMIFS(DARE,DEN_G,AC39,DARE,"&gt;"&amp;0)&gt;0,MAX($CU$2:CU38)+1,0)</f>
        <v>0</v>
      </c>
      <c r="CV39" s="48" t="str">
        <f ca="1">IF(IFERROR(INDEX(PDC,MATCH(ROWS($CV$3:CV39),$CU$3:$CU$400,0),2),"")="CONTO DI RISULTATO ECONOMICO","",IFERROR(INDEX(PDC,MATCH(ROWS($CV$3:CV39),$CU$3:$CU$400,0),2),""))</f>
        <v/>
      </c>
      <c r="CW39" s="48">
        <f ca="1">IFERROR(IF(CV39&lt;&gt;"",MAX($CW$2:CW38)+1,0),0)</f>
        <v>0</v>
      </c>
      <c r="CX39" s="48">
        <f t="shared" ca="1" si="88"/>
        <v>3</v>
      </c>
      <c r="CY39" s="48" t="str">
        <f t="shared" ca="1" si="85"/>
        <v>MASTRO</v>
      </c>
      <c r="CZ39" s="48" t="e">
        <f t="shared" ca="1" si="90"/>
        <v>#N/A</v>
      </c>
      <c r="DA39" s="48" t="str">
        <f t="shared" ca="1" si="94"/>
        <v/>
      </c>
      <c r="DB39" s="48" t="str">
        <f t="shared" ca="1" si="76"/>
        <v/>
      </c>
      <c r="DC39" s="48" t="str">
        <f t="shared" ca="1" si="91"/>
        <v/>
      </c>
      <c r="DD39" s="48" t="str">
        <f t="shared" ca="1" si="92"/>
        <v/>
      </c>
      <c r="DE39" s="48" t="str">
        <f t="shared" ca="1" si="93"/>
        <v/>
      </c>
      <c r="DF39" s="48">
        <f ca="1">IF(AND(CX39=$DF$1,CX39&lt;&gt;""),0,IF(AND(DB39&lt;&gt;"",OR(DB38&lt;&gt;"",DB40&lt;&gt;"")),MAX($DF$2:DF38)+1,0))</f>
        <v>0</v>
      </c>
      <c r="DH39" s="244" t="s">
        <v>28</v>
      </c>
      <c r="DI39" s="48" t="s">
        <v>857</v>
      </c>
      <c r="DJ39" s="48" t="s">
        <v>311</v>
      </c>
      <c r="DK39" s="48" t="s">
        <v>275</v>
      </c>
      <c r="DL39" s="48" t="s">
        <v>9</v>
      </c>
      <c r="DM39" s="48" t="s">
        <v>270</v>
      </c>
      <c r="DN39" s="48">
        <f ca="1">IF(DI39&lt;&gt;"",MAX($DN$2:DN38)+1,0)</f>
        <v>22</v>
      </c>
      <c r="DO39" s="48" t="str">
        <f ca="1">IF($BF$9=1,"pab22","pab2")</f>
        <v>pab2</v>
      </c>
      <c r="DW39" s="48">
        <f>IF(DR39&lt;&gt;"",MAX($DW$2:DW38)+1,0)</f>
        <v>0</v>
      </c>
      <c r="DY39" s="48" t="str">
        <f t="shared" ca="1" si="19"/>
        <v/>
      </c>
      <c r="DZ39" s="48" t="str">
        <f t="shared" ca="1" si="40"/>
        <v/>
      </c>
      <c r="EA39" s="48" t="str">
        <f t="shared" ca="1" si="41"/>
        <v/>
      </c>
      <c r="EB39" s="48">
        <f t="shared" ca="1" si="42"/>
        <v>0</v>
      </c>
      <c r="EC39" s="48">
        <f t="shared" ca="1" si="43"/>
        <v>0</v>
      </c>
      <c r="ED39" s="48" t="str">
        <f t="shared" ca="1" si="44"/>
        <v/>
      </c>
      <c r="EE39" s="48">
        <f t="shared" ca="1" si="45"/>
        <v>0</v>
      </c>
      <c r="EF39" s="48" t="str">
        <f t="shared" ca="1" si="46"/>
        <v/>
      </c>
      <c r="EG39" s="48">
        <f t="shared" ca="1" si="47"/>
        <v>0</v>
      </c>
      <c r="EH39" s="48" t="str">
        <f t="shared" ca="1" si="48"/>
        <v/>
      </c>
      <c r="EI39" s="48">
        <f t="shared" ca="1" si="49"/>
        <v>0</v>
      </c>
      <c r="EJ39" s="48" t="str">
        <f t="shared" ca="1" si="50"/>
        <v/>
      </c>
      <c r="EK39" s="48">
        <f t="shared" ca="1" si="51"/>
        <v>0</v>
      </c>
      <c r="EL39" s="48">
        <f t="shared" ca="1" si="20"/>
        <v>0</v>
      </c>
      <c r="EM39" s="48">
        <f ca="1">IF(EL39&gt;=0,0,MAX($EM$2:EM38)+1)</f>
        <v>0</v>
      </c>
      <c r="EN39" s="48" t="str">
        <f t="shared" ca="1" si="21"/>
        <v/>
      </c>
      <c r="EO39" s="48" t="str">
        <f ca="1">IFERROR(INDEX($EM$3:$EN$400,MATCH(ROWS($EO$3:EO39),$EM$3:$EM$400,0),2),"")</f>
        <v/>
      </c>
      <c r="EP39" s="48">
        <f>ROW()</f>
        <v>39</v>
      </c>
      <c r="EQ39" s="48">
        <f t="shared" ca="1" si="22"/>
        <v>0</v>
      </c>
      <c r="ER39" s="48">
        <f ca="1">IF(ISNA(EQ39)=TRUE,MAX($ER$2:ER38)+1,0)</f>
        <v>0</v>
      </c>
      <c r="ES39" s="48" t="str">
        <f t="shared" ca="1" si="52"/>
        <v/>
      </c>
      <c r="ET39" s="48" t="str">
        <f ca="1">IFERROR(INDEX($ER$3:$ES$400,MATCH(ROWS($ET$3:ET39),$ER$3:$ER$400,0),2),"")</f>
        <v/>
      </c>
      <c r="EV39" s="48">
        <f ca="1">IFERROR(INDEX(LIBRO_GIORNALE!$O$11:$P$408,MATCH(ROWS($EV$2:EV38),LIBRO_GIORNALE!$P$11:$P$408,0),1),0)</f>
        <v>0</v>
      </c>
      <c r="EW39" s="48" t="str">
        <f t="shared" ca="1" si="53"/>
        <v>0</v>
      </c>
      <c r="EX39" s="48">
        <f t="shared" ca="1" si="54"/>
        <v>0</v>
      </c>
      <c r="EY39" s="48">
        <f ca="1">IF(EX39&gt;0,MAX($EY$2:EY38)+1,0)</f>
        <v>0</v>
      </c>
      <c r="EZ39" s="48">
        <f ca="1">IFERROR(INDEX($EX$3:$EX$400,MATCH(ROWS($EZ$3:EZ39),$EY$3:$EY$400,0),1),0)</f>
        <v>0</v>
      </c>
      <c r="FA39" s="48">
        <f ca="1">IF(EZ39&gt;0,0,MAX($FA$2:FA38)+1)</f>
        <v>37</v>
      </c>
      <c r="FB39" s="48">
        <f t="shared" ca="1" si="55"/>
        <v>0</v>
      </c>
      <c r="FC39" s="48">
        <f t="shared" ca="1" si="56"/>
        <v>37</v>
      </c>
      <c r="FD39" s="48">
        <f t="shared" ca="1" si="57"/>
        <v>37</v>
      </c>
      <c r="FE39" s="48">
        <f ca="1">IF(FD39=0,0,MAX($FE$2:FE38)+1)</f>
        <v>37</v>
      </c>
      <c r="FF39" s="48">
        <f ca="1">IFERROR(INDEX($FD$3:$FE$400,MATCH(ROWS($FF$3:FF39),$FE$3:$FE$400,0),1),"")</f>
        <v>37</v>
      </c>
      <c r="FH39" s="48">
        <f t="shared" ca="1" si="58"/>
        <v>0</v>
      </c>
      <c r="FI39" s="48">
        <f ca="1">IF(FH39&lt;&gt;0,MAX($FI$2:FI38)+1,0)</f>
        <v>0</v>
      </c>
      <c r="FJ39" s="48" t="str">
        <f ca="1">IFERROR(INDEX($FH$3:$FI$400,MATCH(ROWS($FJ$3:FJ39),$FI$3:$FI$400,0),1),"")</f>
        <v/>
      </c>
      <c r="FK39" s="48">
        <f ca="1">IF(ABS(SUMIFS(DARE,DEN_G,"="&amp;FJ39,DATA,"&lt;="&amp;FINE_AC,DATA,"&gt;="&amp;INIZIO_A_PC)-SUMIFS(AVERE,DEN_G,"="&amp;FJ39,DATA,"&lt;="&amp;FINE_AC,DATA,"&gt;="&amp;INIZIO_A_PC))&gt;0,MAX($FK$2:FK38)+1,0)</f>
        <v>0</v>
      </c>
      <c r="FL39" s="48" t="str">
        <f ca="1">IF(AND(ROW()-2&lt;&gt;1,ROW()-2&lt;=$FK$1),CONCATENATE(" - ",IFERROR(INDEX($FJ$3:$FK$400,MATCH(ROWS($FL$3:FL39),$FK$3:$FK$400,0),1),"")),IFERROR(INDEX($FJ$3:$FK$400,MATCH(ROWS($FL$3:FL39),$FK$3:$FK$400,0),1),""))</f>
        <v/>
      </c>
      <c r="FM39" s="48">
        <f ca="1">IF(OR(B39="IVA ns/credito",B39="IVA NS/DEBITO",B39="IVA C/ACCONTO",B39="IMPOSTE C/ACCONTO",B39="CREDITI PER RITENUTE SUBITE",B39="CREDITI D'IMPOSTA"),MAX($FM$2:FM38)+1,0)</f>
        <v>0</v>
      </c>
      <c r="FN39" s="48" t="str">
        <f t="shared" ca="1" si="59"/>
        <v/>
      </c>
      <c r="FO39" s="48" t="str">
        <f ca="1">IFERROR(INDEX($FM$3:$FN$400,MATCH(ROWS($FO$3:FO39),$FM$3:$FM$400,0),2),"")</f>
        <v/>
      </c>
      <c r="FP39" s="48">
        <f ca="1">IF(ABS(SUMIFS(DARE,DEN_G,"="&amp;FO39,DATA,"&lt;="&amp;FINE_AC,DATA,"&gt;="&amp;INIZIO_A_PC)-SUMIFS(AVERE,DEN_G,"="&amp;FO39,DATA,"&lt;="&amp;FINE_AC,DATA,"&gt;="&amp;INIZIO_A_PC))&gt;0,MAX($FP$2:FP38)+1,0)</f>
        <v>0</v>
      </c>
      <c r="FQ39" s="48" t="str">
        <f ca="1">IF(AND(ROW()-2&lt;&gt;1,ROW()-2&lt;=$FP$1),CONCATENATE(" - ",IFERROR(INDEX($FO$3:$FP$400,MATCH(ROWS($FQ$3:FQ39),$FP$3:$FP$400,0),1),"")),IFERROR(INDEX($FO$3:$FP$400,MATCH(ROWS($FQ$3:FQ39),$FP$3:$FP$400,0),1),""))</f>
        <v/>
      </c>
    </row>
    <row r="40" spans="1:173" x14ac:dyDescent="0.3">
      <c r="A40" s="48" t="str">
        <f ca="1">IFERROR(IF($A$1=2,INDEX($DH$3:$DN$401,MATCH(ROWS(A$3:A40),$DN$3:$DN$401,0),COLUMN()),IF($A$1=1,INDEX($DQ$3:$DW$401,MATCH(ROWS(A$3:A40),$DW$3:$DW$401,0),COLUMN()),"")),"")</f>
        <v>02.21</v>
      </c>
      <c r="B40" s="48" t="str">
        <f ca="1">IFERROR(IF($A$1=2,INDEX($DH$3:$DN$401,MATCH(ROWS(B$3:B40),$DN$3:$DN$401,0),COLUMN()),IF($A$1=1,INDEX($DQ$3:$DW$400,MATCH(ROWS(B$3:B40),$DW$3:$DW$401,0),COLUMN()),"")),"")</f>
        <v>FONDO SVALUTAZIONE IMPIANTI E MACCHINARI</v>
      </c>
      <c r="C40" s="48" t="str">
        <f ca="1">IFERROR(IF($A$1=2,INDEX($DH$3:$DN$401,MATCH(ROWS(C$3:C40),$DN$3:$DN$401,0),COLUMN()),IF($A$1=1,INDEX($DQ$3:$DW$401,MATCH(ROWS(C$3:C40),$DW$3:$DW$401,0),COLUMN()),"")),"")</f>
        <v>E</v>
      </c>
      <c r="D40" s="48" t="str">
        <f ca="1">IFERROR(IF($A$1=2,INDEX($DH$3:$DN$401,MATCH(ROWS(D$3:D40),$DN$3:$DN$401,0),COLUMN()),IF($A$1=1,INDEX($DQ$3:$DW$401,MATCH(ROWS(D$3:D40),$DW$3:$DW$401,0),COLUMN()),"")),"")</f>
        <v>A</v>
      </c>
      <c r="E40" s="48" t="str">
        <f ca="1">IFERROR(IF($A$1=2,INDEX($DH$3:$DN$401,MATCH(ROWS(E$3:E40),$DN$3:$DN$401,0),COLUMN()),IF($A$1=1,INDEX($DQ$3:$DW$401,MATCH(ROWS(E$3:E40),$DW$3:$DW$401,0),COLUMN()),"")),"")</f>
        <v>RETTIFICHE COSTI PLURIENNALI</v>
      </c>
      <c r="F40" s="48" t="str">
        <f ca="1">IFERROR(IF($A$1=2,INDEX($DH$3:$DN$401,MATCH(ROWS(F$3:F40),$DN$3:$DN$401,0),COLUMN()),IF($A$1=1,INDEX($DQ$3:$DX$401,MATCH(ROWS(F$3:F40),$DW$3:$DW$401,0),COLUMN()),"")),"")</f>
        <v>SP AVERE</v>
      </c>
      <c r="G40" s="48" t="str">
        <f t="shared" ca="1" si="23"/>
        <v>SP</v>
      </c>
      <c r="H40" s="48" t="str">
        <f ca="1">IFERROR(IF($A$1=2,INDEX($DH$3:$DO$400,MATCH(ROWS(H$3:H40),$DN$3:$DN$400,0),COLUMN()),IF($A$1=1,INDEX($DQ$3:$DX$400,MATCH(ROWS(H$3:H40),$DW$3:$DW$400,0),COLUMN()),"")),"")</f>
        <v>pab2</v>
      </c>
      <c r="I40" s="48" t="str">
        <f t="shared" ca="1" si="0"/>
        <v/>
      </c>
      <c r="J40" s="48" t="str">
        <f t="shared" ca="1" si="24"/>
        <v/>
      </c>
      <c r="K40" s="48">
        <f t="shared" ca="1" si="25"/>
        <v>0</v>
      </c>
      <c r="L40" s="48">
        <f t="shared" ca="1" si="26"/>
        <v>0</v>
      </c>
      <c r="M40" s="48">
        <f ca="1">IFERROR(IF(IF(MID($A40,3,3)=".00",MID(A40,1,2),"")&lt;&gt;"",MAX($M$2:M39)+1,0),"")</f>
        <v>0</v>
      </c>
      <c r="N40" s="48" t="str">
        <f t="shared" ca="1" si="27"/>
        <v/>
      </c>
      <c r="O40" s="48" t="str">
        <f ca="1">IF(IFERROR(INDEX($N$3:$O$400,MATCH(ROWS($O$3:O40),$M$3:$M$400,0),1),"")&lt;&gt;"",CONCATENATE(INDEX($N$3:$O$400,MATCH(ROWS($O$3:O40),$M$3:$M$400,0),1),".00"),"")</f>
        <v/>
      </c>
      <c r="P40" s="48" t="str">
        <f t="shared" ca="1" si="28"/>
        <v/>
      </c>
      <c r="Q40" s="48">
        <f ca="1">IF(M40&gt;=1,0,MAX($Q$2:Q39)+1)</f>
        <v>35</v>
      </c>
      <c r="R40" s="48">
        <f ca="1">IF(AND($U$2=2,S40&lt;&gt;""),MAX($R$2:R39)+1,0)</f>
        <v>22</v>
      </c>
      <c r="S40" s="48" t="str">
        <f t="shared" ca="1" si="81"/>
        <v>VARIAZ. RIM. PROD. IN CORSO DI LAVORAZ., SEMIL. E FINITI</v>
      </c>
      <c r="T40" s="48" t="str">
        <f ca="1">IFERROR(INDEX($R$3:$S$64,MATCH(ROWS($T$2:T39),$R$3:$R$64,0),2),"")</f>
        <v>CONTI DI RISULTATO</v>
      </c>
      <c r="U40" s="48" t="str">
        <f ca="1">IFERROR(INDEX(PDC,MATCH(ROWS(U$3:U40),$V$3:$V$400,0),2),"")</f>
        <v>PARTECIPAZIONI IN CONTROLLATE</v>
      </c>
      <c r="V40" s="48">
        <f ca="1">IF(AND($T$1="VISUALIZZA TUTTI I CONTI",AA40&lt;&gt;""),MAX($V$2:V39)+1,IF(AND($U$2=2,AI40=$T$1),MAX($V$2:V39)+1,IF(AND($U$2=1,$T$1=AF40),MAX($V$2:V39)+1,0)))</f>
        <v>38</v>
      </c>
      <c r="Z40" s="246"/>
      <c r="AA40" s="48" t="str">
        <f t="shared" ca="1" si="29"/>
        <v>03.00</v>
      </c>
      <c r="AB40" s="48" t="str">
        <f ca="1">IFERROR(INDEX($A$3:$G$400,MATCH(ROWS(AB$3:AB40),$Q$3:$Q$400,0),1),"")</f>
        <v>03.01</v>
      </c>
      <c r="AC40" s="48" t="str">
        <f ca="1">IFERROR(INDEX($A$3:$G$400,MATCH(ROWS($AC$3:AC40),$Q$3:$Q$400,0),2),"")</f>
        <v>PARTECIPAZIONI IN CONTROLLATE</v>
      </c>
      <c r="AD40" s="48" t="str">
        <f ca="1">IFERROR(INDEX($A$3:$G$400,MATCH(ROWS(AD$3:AD40),$Q$3:$Q$400,0),3),"")</f>
        <v>E</v>
      </c>
      <c r="AE40" s="48" t="str">
        <f ca="1">IFERROR(INDEX($A$3:$G$400,MATCH(ROWS(AE$3:AE40),$Q$3:$Q$400,0),4),"")</f>
        <v>D</v>
      </c>
      <c r="AF40" s="48" t="str">
        <f ca="1">IFERROR(INDEX($A$3:$G$400,MATCH(ROWS(AF$3:AF40),$Q$3:$Q$400,0),5),"")</f>
        <v>COSTI SOSPESI</v>
      </c>
      <c r="AG40" s="48" t="str">
        <f ca="1">IFERROR(INDEX($A$3:$G$400,MATCH(ROWS(AG$3:AG40),$Q$3:$Q$400,0),6),"")</f>
        <v>SP DARE</v>
      </c>
      <c r="AH40" s="48" t="str">
        <f ca="1">IFERROR(INDEX($A$3:$G$400,MATCH(ROWS(AH$3:AH40),$Q$3:$Q$400,0),7),"")</f>
        <v>SP</v>
      </c>
      <c r="AI40" s="48" t="str">
        <f t="shared" ca="1" si="1"/>
        <v>IMMOBILIZZAZIONI FINANZIARIE</v>
      </c>
      <c r="AJ40" s="48" t="str">
        <f ca="1">IFERROR(INDEX($A$3:$H$400,MATCH(ROWS(AJ$3:AJ40),$Q$3:$Q$400,0),8),"")</f>
        <v>pab3</v>
      </c>
      <c r="AK40" s="48">
        <f t="shared" ca="1" si="2"/>
        <v>0</v>
      </c>
      <c r="AL40" s="48">
        <f t="shared" ca="1" si="95"/>
        <v>0</v>
      </c>
      <c r="AM40" s="48">
        <f t="shared" ca="1" si="30"/>
        <v>0</v>
      </c>
      <c r="AN40" s="48" t="str">
        <f t="shared" ca="1" si="31"/>
        <v/>
      </c>
      <c r="AO40" s="48">
        <f t="shared" ca="1" si="32"/>
        <v>0</v>
      </c>
      <c r="AP40" s="48">
        <f t="shared" ca="1" si="32"/>
        <v>0</v>
      </c>
      <c r="AQ40" s="48" t="str">
        <f t="shared" ca="1" si="4"/>
        <v>PARTECIPAZIONI IN CONTROLLATE</v>
      </c>
      <c r="AR40" s="48">
        <f t="shared" ca="1" si="5"/>
        <v>0</v>
      </c>
      <c r="AS40" s="48">
        <f t="shared" ca="1" si="6"/>
        <v>0</v>
      </c>
      <c r="AT40" s="48">
        <f t="shared" ca="1" si="33"/>
        <v>0</v>
      </c>
      <c r="AU40" s="48">
        <f t="shared" ca="1" si="34"/>
        <v>0</v>
      </c>
      <c r="AV40" s="48">
        <f ca="1">IF(OR(AT40&gt;0,AU40&gt;0),MAX($AV$2:AV39)+1,0)</f>
        <v>0</v>
      </c>
      <c r="AZ40" s="241" t="str">
        <f t="shared" ca="1" si="35"/>
        <v/>
      </c>
      <c r="BA40" s="48">
        <f t="shared" ca="1" si="96"/>
        <v>0</v>
      </c>
      <c r="BB40" s="48">
        <f ca="1">IFERROR(INDEX($AQ$3:$AV$220,MATCH(ROWS($BB$3:BB40),$AV$3:$AV$220,0),1),0)</f>
        <v>0</v>
      </c>
      <c r="BC40" s="48" t="str">
        <f t="shared" ca="1" si="36"/>
        <v/>
      </c>
      <c r="BD40" s="48">
        <f ca="1">IFERROR(INDEX($AQ$3:$AV$220,MATCH(ROWS($BB$3:BD40),$AV$3:$AV$220,0),4),0)</f>
        <v>0</v>
      </c>
      <c r="BE40" s="48">
        <f ca="1">IFERROR(INDEX($AQ$3:$AV$220,MATCH(ROWS($BB$3:BE40),$AV$3:$AV$220,0),5),0)</f>
        <v>0</v>
      </c>
      <c r="BF40" s="48">
        <v>26</v>
      </c>
      <c r="BG40" s="48">
        <f ca="1">IF(IF(AND(OR(INDEX(PDC,MATCH($AC40,DEN_PDC,0),6)="SP DARE",INDEX(PDC,MATCH($AC40,DEN_PDC,0),6)="SP DARE/AVERE"),SUMIFS(DARE,DEN_G,$AC40)&gt;=SUMIFS(AVERE,DEN_G,$AC40)),SUMIFS(DARE,DEN_G,$AC40)-SUMIFS(AVERE,DEN_G,$AC40),0)&gt;0,MAX($BG$2:BG39)+1,0)</f>
        <v>0</v>
      </c>
      <c r="BH40" s="48">
        <f ca="1">IF(IF(AND(OR(INDEX(PDC,MATCH($AC40,DEN_PDC,0),6)="SP AVERE",INDEX(PDC,MATCH($AC40,DEN_PDC,0),6)="SP DARE/AVERE"),SUMIFS(AVERE,DEN_G,$AC40)&gt;=SUMIFS(DARE,DEN_G,$AC40)),SUMIFS(AVERE,DEN_G,$AC40)-SUMIFS(DARE,DEN_G,$AC40),0)&gt;0,MAX(BH$2:BH39)+1,0)</f>
        <v>0</v>
      </c>
      <c r="BI40" s="48">
        <f ca="1">IF(IF(AND(OR(INDEX(PDC,MATCH($AC40,DEN_PDC,0),6)="SE DARE",INDEX(PDC,MATCH($AC40,DEN_PDC,0),6)="SE DARE/AVERE"),SUMIFS(DARE,DEN_G,$AC40)&gt;=SUMIFS(AVERE,DEN_G,$AC40)),SUMIFS(DARE,DEN_G,$AC40)-SUMIFS(AVERE,DEN_G,$AC40),0)&gt;0,MAX(BI$2:BI39)+1,0)</f>
        <v>0</v>
      </c>
      <c r="BJ40" s="48">
        <f ca="1">IF(IF(AND(OR(INDEX(PDC,MATCH($AC40,DEN_PDC,0),6)="SE AVERE",INDEX(PDC,MATCH($AC40,DEN_PDC,0),6)="SE DARE/AVERE"),SUMIFS(AVERE,DEN_G,$AC40)&gt;=SUMIFS(DARE,DEN_G,$AC40)),SUMIFS(AVERE,DEN_G,$AC40)-SUMIFS(DARE,DEN_G,$AC40),0)&gt;0,MAX(BJ$2:BJ39)+1,0)</f>
        <v>0</v>
      </c>
      <c r="BK40" s="48" t="str">
        <f ca="1">IF(AND(AND($DY$2=0,$DY$1=0),$I$1=2,ROW()&gt;$BG$1+2,ROW()&lt;=$BG$1+4),"………………..",IF(AND(OR($DY$2&gt;0,$DY$1&gt;0),$I$1=2,ROW()&gt;$BG$1+2,ROW()&lt;=$BG$1+4),"………………..",IFERROR(INDEX($AC$3:$AC$398,MATCH(ROWS(BK$3:BK40),BG$3:BG$398,0),1),"")))</f>
        <v/>
      </c>
      <c r="BL40" s="48">
        <f t="shared" ca="1" si="69"/>
        <v>0</v>
      </c>
      <c r="BM40" s="48" t="str">
        <f ca="1">IF(AND(OR($DY$2=0,$DY$1=0),$I$1=2,ROW()&gt;$BH$1+2,ROW()&lt;=$BH$1+4),"………………..",IF(AND(OR($DY$2&gt;0,$DY$1&gt;0),$I$1=2,ROW()&gt;$BH$1+2,ROW()&lt;=$BH$1+4),"………………..",IFERROR(INDEX($AC$3:$AC$400,MATCH(ROWS(BM$3:BM40),BH$3:BH$400,0),1),"")))</f>
        <v/>
      </c>
      <c r="BN40" s="48">
        <f t="shared" ca="1" si="9"/>
        <v>0</v>
      </c>
      <c r="BO40" s="48" t="str">
        <f ca="1">IF(AND(OR($DY$2=0,$DY$1=0),$I$1=2,ROW()&gt;$BI$1+2,ROW()&lt;=$BI$1+4),"………………..",IF(AND(OR($DY$2&gt;0,$DY$1&gt;0),$I$1=2,ROW()&gt;$BI$1+2,ROW()&lt;=$BI$1+4),"………………..",IFERROR(INDEX($AC$3:$AC$400,MATCH(ROWS(BO$3:BO40),BI$3:BI$400,0),1),"")))</f>
        <v/>
      </c>
      <c r="BP40" s="48">
        <f t="shared" ca="1" si="10"/>
        <v>0</v>
      </c>
      <c r="BQ40" s="48" t="str">
        <f ca="1">IF(AND(OR($DY$2=0,$DY$1=0),$I$1=2,ROW()&gt;$BJ$1+2,ROW()&lt;=$BJ$1+4),"………………..",IF(AND(OR($DY$2&gt;0,$DY$1&gt;0),$I$1=2,ROW()&gt;$BJ$1+2,ROW()&lt;=$BJ$1+4),"………………..",IFERROR(INDEX($AC$3:$AC$400,MATCH(ROWS(BQ$3:BQ40),BJ$3:BJ$400,0),1),"")))</f>
        <v/>
      </c>
      <c r="BR40" s="48">
        <f t="shared" ca="1" si="11"/>
        <v>0</v>
      </c>
      <c r="BS40" s="48">
        <f ca="1">IF(IF(AND(OR(INDEX(PDC,MATCH($AC40,DEN_PDC,0),4)="D",INDEX(PDC,MATCH($AC40,DEN_PDC,0),4)="D/A"),SUMIFS(DARE,DEN_G,$AC40)&gt;=SUMIFS(AVERE,DEN_G,$AC40)),SUMIFS(DARE,DEN_G,$AC40),IF(AND(OR(INDEX(PDC,MATCH($AC40,DEN_PDC,0),4)="A",INDEX(PDC,MATCH($AC40,DEN_PDC,0),4)="D/A"),SUMIFS(AVERE,DEN_G,$AC40)&gt;=SUMIFS(DARE,DEN_G,$AC40)),SUMIFS(AVERE,DEN_G,$AC40),))&gt;0,MAX($BS$2:BS39)+1,0)</f>
        <v>0</v>
      </c>
      <c r="BT40" s="48" t="str">
        <f ca="1">IF($CO$1=0,"",IF(AND($I$1=2,ROW()&gt;$BR$1,ROW()&lt;=$BS$1)," …………….",IF(AND($E$1=1,$BX$1=1,$I$1=2,ROW()=$BQ$1),"TOTALI",IFERROR(INDEX(PDC,MATCH(ROWS(BT$3:BT40),BS$3:BS437,0),2),""))))</f>
        <v/>
      </c>
      <c r="BU40" s="48">
        <f t="shared" ca="1" si="12"/>
        <v>0</v>
      </c>
      <c r="BV40" s="48">
        <f t="shared" ca="1" si="13"/>
        <v>0</v>
      </c>
      <c r="BW40" s="48">
        <f t="shared" ca="1" si="14"/>
        <v>0</v>
      </c>
      <c r="BX40" s="48">
        <f t="shared" ca="1" si="15"/>
        <v>0</v>
      </c>
      <c r="BY40" s="48">
        <f ca="1">IF(OR(BW40&gt;0,BX40&gt;0),MAX($BY$2:BY39)+1,0)</f>
        <v>0</v>
      </c>
      <c r="BZ40" s="48" t="str">
        <f ca="1">IFERROR(INDEX($BT$3:$BY$400,MATCH(ROWS(BZ$3:BZ40),$BY$3:$BY$400,0),1),"")</f>
        <v/>
      </c>
      <c r="CA40" s="48" t="str">
        <f ca="1">IFERROR(INDEX($BT$3:$BY$400,MATCH(ROWS(CA$3:CA40),$BY$3:$BY$400,0),4),"")</f>
        <v/>
      </c>
      <c r="CB40" s="48" t="str">
        <f ca="1">IFERROR(INDEX($BT$3:$BY$400,MATCH(ROWS(CB$3:CB40),$BY$3:$BY$400,0),5),"")</f>
        <v/>
      </c>
      <c r="CC40" s="48" t="str">
        <f t="shared" ca="1" si="16"/>
        <v/>
      </c>
      <c r="CD40" s="48">
        <f ca="1">IF(AND($BF$9=1,CE40&lt;&gt;0),MAX($CD$2:CD39)+1,0)</f>
        <v>0</v>
      </c>
      <c r="CE40" s="48">
        <f ca="1">IF(ROUND(SUMIFS(COPIA!$CA$3:$CA$400,COPIA!$CC$3:$CC$400,CF40)-SUMIFS(COPIA!$CB$3:$CB$400,COPIA!$CC$3:$CC$400,CF40),0)&lt;0,0,ROUND(SUMIFS(COPIA!$CA$3:$CA$400,COPIA!$CC$3:$CC$400,CF40)-SUMIFS(COPIA!$CB$3:$CB$400,COPIA!$CC$3:$CC$400,CF40),0))</f>
        <v>0</v>
      </c>
      <c r="CF40" s="48" t="s">
        <v>603</v>
      </c>
      <c r="CG40" s="242" t="s">
        <v>515</v>
      </c>
      <c r="CH40" s="242">
        <f ca="1">CE40</f>
        <v>0</v>
      </c>
      <c r="CI40" s="242"/>
      <c r="CJ40" s="242"/>
      <c r="CM40" s="242" t="str">
        <f t="shared" ca="1" si="37"/>
        <v/>
      </c>
      <c r="CN40" s="243">
        <f t="shared" ca="1" si="38"/>
        <v>0</v>
      </c>
      <c r="CO40" s="48" t="str">
        <f t="shared" ca="1" si="39"/>
        <v/>
      </c>
      <c r="CQ40" s="242"/>
      <c r="CR40" s="242">
        <f t="shared" ca="1" si="97"/>
        <v>2030</v>
      </c>
      <c r="CS40" s="48">
        <f t="shared" ca="1" si="98"/>
        <v>0</v>
      </c>
      <c r="CT40" s="242"/>
      <c r="CU40" s="48">
        <f ca="1">IF(SUMIFS(AVERE,DEN_G,AC40,AVERE,"&gt;"&amp;0)+SUMIFS(DARE,DEN_G,AC40,DARE,"&gt;"&amp;0)&gt;0,MAX($CU$2:CU39)+1,0)</f>
        <v>0</v>
      </c>
      <c r="CV40" s="48" t="str">
        <f ca="1">IF(IFERROR(INDEX(PDC,MATCH(ROWS($CV$3:CV40),$CU$3:$CU$400,0),2),"")="CONTO DI RISULTATO ECONOMICO","",IFERROR(INDEX(PDC,MATCH(ROWS($CV$3:CV40),$CU$3:$CU$400,0),2),""))</f>
        <v/>
      </c>
      <c r="CW40" s="48">
        <f ca="1">IFERROR(IF(CV40&lt;&gt;"",MAX($CW$2:CW39)+1,0),0)</f>
        <v>0</v>
      </c>
      <c r="CX40" s="48">
        <f t="shared" ca="1" si="88"/>
        <v>3</v>
      </c>
      <c r="CY40" s="48" t="str">
        <f t="shared" ca="1" si="85"/>
        <v>MASTRO</v>
      </c>
      <c r="CZ40" s="48" t="e">
        <f t="shared" ca="1" si="90"/>
        <v>#N/A</v>
      </c>
      <c r="DA40" s="48" t="str">
        <f t="shared" ca="1" si="94"/>
        <v/>
      </c>
      <c r="DB40" s="48" t="str">
        <f t="shared" ca="1" si="76"/>
        <v/>
      </c>
      <c r="DC40" s="48" t="str">
        <f t="shared" ca="1" si="91"/>
        <v/>
      </c>
      <c r="DD40" s="48" t="str">
        <f t="shared" ca="1" si="92"/>
        <v/>
      </c>
      <c r="DE40" s="48" t="str">
        <f t="shared" ca="1" si="93"/>
        <v/>
      </c>
      <c r="DF40" s="48">
        <f ca="1">IF(AND(CX40=$DF$1,CX40&lt;&gt;""),0,IF(AND(DB40&lt;&gt;"",OR(DB39&lt;&gt;"",DB41&lt;&gt;"")),MAX($DF$2:DF39)+1,0))</f>
        <v>0</v>
      </c>
      <c r="DH40" s="244" t="s">
        <v>338</v>
      </c>
      <c r="DI40" s="48" t="s">
        <v>339</v>
      </c>
      <c r="DJ40" s="48" t="s">
        <v>311</v>
      </c>
      <c r="DK40" s="48" t="s">
        <v>275</v>
      </c>
      <c r="DL40" s="48" t="s">
        <v>9</v>
      </c>
      <c r="DM40" s="48" t="s">
        <v>270</v>
      </c>
      <c r="DN40" s="48">
        <f ca="1">IF(DI40&lt;&gt;"",MAX($DN$2:DN39)+1,0)</f>
        <v>23</v>
      </c>
      <c r="DO40" s="48" t="str">
        <f ca="1">IF($BF$9=1,"pab23","pab2")</f>
        <v>pab2</v>
      </c>
      <c r="DW40" s="48">
        <f>IF(DR40&lt;&gt;"",MAX($DW$2:DW39)+1,0)</f>
        <v>0</v>
      </c>
      <c r="DY40" s="48" t="str">
        <f t="shared" ca="1" si="19"/>
        <v/>
      </c>
      <c r="DZ40" s="48" t="str">
        <f t="shared" ca="1" si="40"/>
        <v/>
      </c>
      <c r="EA40" s="48" t="str">
        <f t="shared" ca="1" si="41"/>
        <v/>
      </c>
      <c r="EB40" s="48">
        <f t="shared" ca="1" si="42"/>
        <v>0</v>
      </c>
      <c r="EC40" s="48">
        <f t="shared" ca="1" si="43"/>
        <v>0</v>
      </c>
      <c r="ED40" s="48" t="str">
        <f t="shared" ca="1" si="44"/>
        <v/>
      </c>
      <c r="EE40" s="48">
        <f t="shared" ca="1" si="45"/>
        <v>0</v>
      </c>
      <c r="EF40" s="48" t="str">
        <f t="shared" ca="1" si="46"/>
        <v/>
      </c>
      <c r="EG40" s="48">
        <f t="shared" ca="1" si="47"/>
        <v>0</v>
      </c>
      <c r="EH40" s="48" t="str">
        <f t="shared" ca="1" si="48"/>
        <v/>
      </c>
      <c r="EI40" s="48">
        <f t="shared" ca="1" si="49"/>
        <v>0</v>
      </c>
      <c r="EJ40" s="48" t="str">
        <f t="shared" ca="1" si="50"/>
        <v/>
      </c>
      <c r="EK40" s="48">
        <f t="shared" ca="1" si="51"/>
        <v>0</v>
      </c>
      <c r="EL40" s="48">
        <f t="shared" ca="1" si="20"/>
        <v>0</v>
      </c>
      <c r="EM40" s="48">
        <f ca="1">IF(EL40&gt;=0,0,MAX($EM$2:EM39)+1)</f>
        <v>0</v>
      </c>
      <c r="EN40" s="48" t="str">
        <f t="shared" ca="1" si="21"/>
        <v/>
      </c>
      <c r="EO40" s="48" t="str">
        <f ca="1">IFERROR(INDEX($EM$3:$EN$400,MATCH(ROWS($EO$3:EO40),$EM$3:$EM$400,0),2),"")</f>
        <v/>
      </c>
      <c r="EP40" s="48">
        <f>ROW()</f>
        <v>40</v>
      </c>
      <c r="EQ40" s="48">
        <f t="shared" ca="1" si="22"/>
        <v>0</v>
      </c>
      <c r="ER40" s="48">
        <f ca="1">IF(ISNA(EQ40)=TRUE,MAX($ER$2:ER39)+1,0)</f>
        <v>0</v>
      </c>
      <c r="ES40" s="48" t="str">
        <f t="shared" ca="1" si="52"/>
        <v/>
      </c>
      <c r="ET40" s="48" t="str">
        <f ca="1">IFERROR(INDEX($ER$3:$ES$400,MATCH(ROWS($ET$3:ET40),$ER$3:$ER$400,0),2),"")</f>
        <v/>
      </c>
      <c r="EV40" s="48">
        <f ca="1">IFERROR(INDEX(LIBRO_GIORNALE!$O$11:$P$408,MATCH(ROWS($EV$2:EV39),LIBRO_GIORNALE!$P$11:$P$408,0),1),0)</f>
        <v>0</v>
      </c>
      <c r="EW40" s="48" t="str">
        <f t="shared" ca="1" si="53"/>
        <v>0</v>
      </c>
      <c r="EX40" s="48">
        <f t="shared" ca="1" si="54"/>
        <v>0</v>
      </c>
      <c r="EY40" s="48">
        <f ca="1">IF(EX40&gt;0,MAX($EY$2:EY39)+1,0)</f>
        <v>0</v>
      </c>
      <c r="EZ40" s="48">
        <f ca="1">IFERROR(INDEX($EX$3:$EX$400,MATCH(ROWS($EZ$3:EZ40),$EY$3:$EY$400,0),1),0)</f>
        <v>0</v>
      </c>
      <c r="FA40" s="48">
        <f ca="1">IF(EZ40&gt;0,0,MAX($FA$2:FA39)+1)</f>
        <v>38</v>
      </c>
      <c r="FB40" s="48">
        <f t="shared" ca="1" si="55"/>
        <v>0</v>
      </c>
      <c r="FC40" s="48">
        <f t="shared" ca="1" si="56"/>
        <v>38</v>
      </c>
      <c r="FD40" s="48">
        <f t="shared" ca="1" si="57"/>
        <v>38</v>
      </c>
      <c r="FE40" s="48">
        <f ca="1">IF(FD40=0,0,MAX($FE$2:FE39)+1)</f>
        <v>38</v>
      </c>
      <c r="FF40" s="48">
        <f ca="1">IFERROR(INDEX($FD$3:$FE$400,MATCH(ROWS($FF$3:FF40),$FE$3:$FE$400,0),1),"")</f>
        <v>38</v>
      </c>
      <c r="FH40" s="48">
        <f t="shared" ca="1" si="58"/>
        <v>0</v>
      </c>
      <c r="FI40" s="48">
        <f ca="1">IF(FH40&lt;&gt;0,MAX($FI$2:FI39)+1,0)</f>
        <v>0</v>
      </c>
      <c r="FJ40" s="48" t="str">
        <f ca="1">IFERROR(INDEX($FH$3:$FI$400,MATCH(ROWS($FJ$3:FJ40),$FI$3:$FI$400,0),1),"")</f>
        <v/>
      </c>
      <c r="FK40" s="48">
        <f ca="1">IF(ABS(SUMIFS(DARE,DEN_G,"="&amp;FJ40,DATA,"&lt;="&amp;FINE_AC,DATA,"&gt;="&amp;INIZIO_A_PC)-SUMIFS(AVERE,DEN_G,"="&amp;FJ40,DATA,"&lt;="&amp;FINE_AC,DATA,"&gt;="&amp;INIZIO_A_PC))&gt;0,MAX($FK$2:FK39)+1,0)</f>
        <v>0</v>
      </c>
      <c r="FL40" s="48" t="str">
        <f ca="1">IF(AND(ROW()-2&lt;&gt;1,ROW()-2&lt;=$FK$1),CONCATENATE(" - ",IFERROR(INDEX($FJ$3:$FK$400,MATCH(ROWS($FL$3:FL40),$FK$3:$FK$400,0),1),"")),IFERROR(INDEX($FJ$3:$FK$400,MATCH(ROWS($FL$3:FL40),$FK$3:$FK$400,0),1),""))</f>
        <v/>
      </c>
      <c r="FM40" s="48">
        <f ca="1">IF(OR(B40="IVA ns/credito",B40="IVA NS/DEBITO",B40="IVA C/ACCONTO",B40="IMPOSTE C/ACCONTO",B40="CREDITI PER RITENUTE SUBITE",B40="CREDITI D'IMPOSTA"),MAX($FM$2:FM39)+1,0)</f>
        <v>0</v>
      </c>
      <c r="FN40" s="48" t="str">
        <f t="shared" ca="1" si="59"/>
        <v/>
      </c>
      <c r="FO40" s="48" t="str">
        <f ca="1">IFERROR(INDEX($FM$3:$FN$400,MATCH(ROWS($FO$3:FO40),$FM$3:$FM$400,0),2),"")</f>
        <v/>
      </c>
      <c r="FP40" s="48">
        <f ca="1">IF(ABS(SUMIFS(DARE,DEN_G,"="&amp;FO40,DATA,"&lt;="&amp;FINE_AC,DATA,"&gt;="&amp;INIZIO_A_PC)-SUMIFS(AVERE,DEN_G,"="&amp;FO40,DATA,"&lt;="&amp;FINE_AC,DATA,"&gt;="&amp;INIZIO_A_PC))&gt;0,MAX($FP$2:FP39)+1,0)</f>
        <v>0</v>
      </c>
      <c r="FQ40" s="48" t="str">
        <f ca="1">IF(AND(ROW()-2&lt;&gt;1,ROW()-2&lt;=$FP$1),CONCATENATE(" - ",IFERROR(INDEX($FO$3:$FP$400,MATCH(ROWS($FQ$3:FQ40),$FP$3:$FP$400,0),1),"")),IFERROR(INDEX($FO$3:$FP$400,MATCH(ROWS($FQ$3:FQ40),$FP$3:$FP$400,0),1),""))</f>
        <v/>
      </c>
    </row>
    <row r="41" spans="1:173" x14ac:dyDescent="0.3">
      <c r="A41" s="48" t="str">
        <f ca="1">IFERROR(IF($A$1=2,INDEX($DH$3:$DN$401,MATCH(ROWS(A$3:A41),$DN$3:$DN$401,0),COLUMN()),IF($A$1=1,INDEX($DQ$3:$DW$401,MATCH(ROWS(A$3:A41),$DW$3:$DW$401,0),COLUMN()),"")),"")</f>
        <v>02.30</v>
      </c>
      <c r="B41" s="48" t="str">
        <f ca="1">IFERROR(IF($A$1=2,INDEX($DH$3:$DN$401,MATCH(ROWS(B$3:B41),$DN$3:$DN$401,0),COLUMN()),IF($A$1=1,INDEX($DQ$3:$DW$400,MATCH(ROWS(B$3:B41),$DW$3:$DW$401,0),COLUMN()),"")),"")</f>
        <v>IMMOBILIZZAZIONI MATERIALI IN CORSO</v>
      </c>
      <c r="C41" s="48" t="str">
        <f ca="1">IFERROR(IF($A$1=2,INDEX($DH$3:$DN$401,MATCH(ROWS(C$3:C41),$DN$3:$DN$401,0),COLUMN()),IF($A$1=1,INDEX($DQ$3:$DW$401,MATCH(ROWS(C$3:C41),$DW$3:$DW$401,0),COLUMN()),"")),"")</f>
        <v>E</v>
      </c>
      <c r="D41" s="48" t="str">
        <f ca="1">IFERROR(IF($A$1=2,INDEX($DH$3:$DN$401,MATCH(ROWS(D$3:D41),$DN$3:$DN$401,0),COLUMN()),IF($A$1=1,INDEX($DQ$3:$DW$401,MATCH(ROWS(D$3:D41),$DW$3:$DW$401,0),COLUMN()),"")),"")</f>
        <v>D</v>
      </c>
      <c r="E41" s="48" t="str">
        <f ca="1">IFERROR(IF($A$1=2,INDEX($DH$3:$DN$401,MATCH(ROWS(E$3:E41),$DN$3:$DN$401,0),COLUMN()),IF($A$1=1,INDEX($DQ$3:$DW$401,MATCH(ROWS(E$3:E41),$DW$3:$DW$401,0),COLUMN()),"")),"")</f>
        <v>COSTI PLURIENNALI</v>
      </c>
      <c r="F41" s="48" t="str">
        <f ca="1">IFERROR(IF($A$1=2,INDEX($DH$3:$DN$401,MATCH(ROWS(F$3:F41),$DN$3:$DN$401,0),COLUMN()),IF($A$1=1,INDEX($DQ$3:$DX$401,MATCH(ROWS(F$3:F41),$DW$3:$DW$401,0),COLUMN()),"")),"")</f>
        <v>SP DARE</v>
      </c>
      <c r="G41" s="48" t="str">
        <f t="shared" ca="1" si="23"/>
        <v>SP</v>
      </c>
      <c r="H41" s="48" t="str">
        <f ca="1">IFERROR(IF($A$1=2,INDEX($DH$3:$DO$400,MATCH(ROWS(H$3:H41),$DN$3:$DN$400,0),COLUMN()),IF($A$1=1,INDEX($DQ$3:$DX$400,MATCH(ROWS(H$3:H41),$DW$3:$DW$400,0),COLUMN()),"")),"")</f>
        <v>pab2</v>
      </c>
      <c r="I41" s="48" t="str">
        <f t="shared" ca="1" si="0"/>
        <v/>
      </c>
      <c r="J41" s="48" t="str">
        <f t="shared" ca="1" si="24"/>
        <v/>
      </c>
      <c r="K41" s="48">
        <f t="shared" ca="1" si="25"/>
        <v>0</v>
      </c>
      <c r="L41" s="48">
        <f t="shared" ca="1" si="26"/>
        <v>0</v>
      </c>
      <c r="M41" s="48">
        <f ca="1">IFERROR(IF(IF(MID($A41,3,3)=".00",MID(A41,1,2),"")&lt;&gt;"",MAX($M$2:M40)+1,0),"")</f>
        <v>0</v>
      </c>
      <c r="N41" s="48" t="str">
        <f t="shared" ca="1" si="27"/>
        <v/>
      </c>
      <c r="O41" s="48" t="str">
        <f ca="1">IF(IFERROR(INDEX($N$3:$O$400,MATCH(ROWS($O$3:O41),$M$3:$M$400,0),1),"")&lt;&gt;"",CONCATENATE(INDEX($N$3:$O$400,MATCH(ROWS($O$3:O41),$M$3:$M$400,0),1),".00"),"")</f>
        <v/>
      </c>
      <c r="P41" s="48" t="str">
        <f t="shared" ca="1" si="28"/>
        <v/>
      </c>
      <c r="Q41" s="48">
        <f ca="1">IF(M41&gt;=1,0,MAX($Q$2:Q40)+1)</f>
        <v>36</v>
      </c>
      <c r="R41" s="48">
        <f ca="1">IF(AND($U$2=2,S41&lt;&gt;""),MAX($R$2:R40)+1,0)</f>
        <v>23</v>
      </c>
      <c r="S41" s="48" t="str">
        <f t="shared" ca="1" si="81"/>
        <v>COSTI DELLE MATERIE</v>
      </c>
      <c r="T41" s="48" t="str">
        <f ca="1">IFERROR(INDEX($R$3:$S$64,MATCH(ROWS($T$2:T40),$R$3:$R$64,0),2),"")</f>
        <v/>
      </c>
      <c r="U41" s="48" t="str">
        <f ca="1">IFERROR(INDEX(PDC,MATCH(ROWS(U$3:U41),$V$3:$V$400,0),2),"")</f>
        <v>PARTECIPAZIONI IN COLLEGATE</v>
      </c>
      <c r="V41" s="48">
        <f ca="1">IF(AND($T$1="VISUALIZZA TUTTI I CONTI",AA41&lt;&gt;""),MAX($V$2:V40)+1,IF(AND($U$2=2,AI41=$T$1),MAX($V$2:V40)+1,IF(AND($U$2=1,$T$1=AF41),MAX($V$2:V40)+1,0)))</f>
        <v>39</v>
      </c>
      <c r="Z41" s="246"/>
      <c r="AA41" s="48" t="str">
        <f t="shared" ca="1" si="29"/>
        <v>03.00</v>
      </c>
      <c r="AB41" s="48" t="str">
        <f ca="1">IFERROR(INDEX($A$3:$G$400,MATCH(ROWS(AB$3:AB41),$Q$3:$Q$400,0),1),"")</f>
        <v>03.02</v>
      </c>
      <c r="AC41" s="48" t="str">
        <f ca="1">IFERROR(INDEX($A$3:$G$400,MATCH(ROWS($AC$3:AC41),$Q$3:$Q$400,0),2),"")</f>
        <v>PARTECIPAZIONI IN COLLEGATE</v>
      </c>
      <c r="AD41" s="48" t="str">
        <f ca="1">IFERROR(INDEX($A$3:$G$400,MATCH(ROWS(AD$3:AD41),$Q$3:$Q$400,0),3),"")</f>
        <v>E</v>
      </c>
      <c r="AE41" s="48" t="str">
        <f ca="1">IFERROR(INDEX($A$3:$G$400,MATCH(ROWS(AE$3:AE41),$Q$3:$Q$400,0),4),"")</f>
        <v>D</v>
      </c>
      <c r="AF41" s="48" t="str">
        <f ca="1">IFERROR(INDEX($A$3:$G$400,MATCH(ROWS(AF$3:AF41),$Q$3:$Q$400,0),5),"")</f>
        <v>COSTI SOSPESI</v>
      </c>
      <c r="AG41" s="48" t="str">
        <f ca="1">IFERROR(INDEX($A$3:$G$400,MATCH(ROWS(AG$3:AG41),$Q$3:$Q$400,0),6),"")</f>
        <v>SP DARE</v>
      </c>
      <c r="AH41" s="48" t="str">
        <f ca="1">IFERROR(INDEX($A$3:$G$400,MATCH(ROWS(AH$3:AH41),$Q$3:$Q$400,0),7),"")</f>
        <v>SP</v>
      </c>
      <c r="AI41" s="48" t="str">
        <f t="shared" ca="1" si="1"/>
        <v>IMMOBILIZZAZIONI FINANZIARIE</v>
      </c>
      <c r="AJ41" s="48" t="str">
        <f ca="1">IFERROR(INDEX($A$3:$H$400,MATCH(ROWS(AJ$3:AJ41),$Q$3:$Q$400,0),8),"")</f>
        <v>pab3</v>
      </c>
      <c r="AK41" s="48">
        <f t="shared" ca="1" si="2"/>
        <v>0</v>
      </c>
      <c r="AL41" s="48">
        <f t="shared" ca="1" si="95"/>
        <v>0</v>
      </c>
      <c r="AM41" s="48">
        <f t="shared" ca="1" si="30"/>
        <v>0</v>
      </c>
      <c r="AN41" s="48" t="str">
        <f t="shared" ca="1" si="31"/>
        <v/>
      </c>
      <c r="AO41" s="48">
        <f t="shared" ca="1" si="32"/>
        <v>0</v>
      </c>
      <c r="AP41" s="48">
        <f t="shared" ca="1" si="32"/>
        <v>0</v>
      </c>
      <c r="AQ41" s="48" t="str">
        <f t="shared" ca="1" si="4"/>
        <v>PARTECIPAZIONI IN COLLEGATE</v>
      </c>
      <c r="AR41" s="48">
        <f t="shared" ca="1" si="5"/>
        <v>0</v>
      </c>
      <c r="AS41" s="48">
        <f t="shared" ca="1" si="6"/>
        <v>0</v>
      </c>
      <c r="AT41" s="48">
        <f t="shared" ca="1" si="33"/>
        <v>0</v>
      </c>
      <c r="AU41" s="48">
        <f t="shared" ca="1" si="34"/>
        <v>0</v>
      </c>
      <c r="AV41" s="48">
        <f ca="1">IF(OR(AT41&gt;0,AU41&gt;0),MAX($AV$2:AV40)+1,0)</f>
        <v>0</v>
      </c>
      <c r="AZ41" s="241" t="str">
        <f t="shared" ca="1" si="35"/>
        <v/>
      </c>
      <c r="BA41" s="48">
        <f t="shared" ca="1" si="96"/>
        <v>0</v>
      </c>
      <c r="BB41" s="48">
        <f ca="1">IFERROR(INDEX($AQ$3:$AV$220,MATCH(ROWS($BB$3:BB41),$AV$3:$AV$220,0),1),0)</f>
        <v>0</v>
      </c>
      <c r="BC41" s="48" t="str">
        <f t="shared" ca="1" si="36"/>
        <v/>
      </c>
      <c r="BD41" s="48">
        <f ca="1">IFERROR(INDEX($AQ$3:$AV$220,MATCH(ROWS($BB$3:BD41),$AV$3:$AV$220,0),4),0)</f>
        <v>0</v>
      </c>
      <c r="BE41" s="48">
        <f ca="1">IFERROR(INDEX($AQ$3:$AV$220,MATCH(ROWS($BB$3:BE41),$AV$3:$AV$220,0),5),0)</f>
        <v>0</v>
      </c>
      <c r="BF41" s="48">
        <v>27</v>
      </c>
      <c r="BG41" s="48">
        <f ca="1">IF(IF(AND(OR(INDEX(PDC,MATCH($AC41,DEN_PDC,0),6)="SP DARE",INDEX(PDC,MATCH($AC41,DEN_PDC,0),6)="SP DARE/AVERE"),SUMIFS(DARE,DEN_G,$AC41)&gt;=SUMIFS(AVERE,DEN_G,$AC41)),SUMIFS(DARE,DEN_G,$AC41)-SUMIFS(AVERE,DEN_G,$AC41),0)&gt;0,MAX($BG$2:BG40)+1,0)</f>
        <v>0</v>
      </c>
      <c r="BH41" s="48">
        <f ca="1">IF(IF(AND(OR(INDEX(PDC,MATCH($AC41,DEN_PDC,0),6)="SP AVERE",INDEX(PDC,MATCH($AC41,DEN_PDC,0),6)="SP DARE/AVERE"),SUMIFS(AVERE,DEN_G,$AC41)&gt;=SUMIFS(DARE,DEN_G,$AC41)),SUMIFS(AVERE,DEN_G,$AC41)-SUMIFS(DARE,DEN_G,$AC41),0)&gt;0,MAX(BH$2:BH40)+1,0)</f>
        <v>0</v>
      </c>
      <c r="BI41" s="48">
        <f ca="1">IF(IF(AND(OR(INDEX(PDC,MATCH($AC41,DEN_PDC,0),6)="SE DARE",INDEX(PDC,MATCH($AC41,DEN_PDC,0),6)="SE DARE/AVERE"),SUMIFS(DARE,DEN_G,$AC41)&gt;=SUMIFS(AVERE,DEN_G,$AC41)),SUMIFS(DARE,DEN_G,$AC41)-SUMIFS(AVERE,DEN_G,$AC41),0)&gt;0,MAX(BI$2:BI40)+1,0)</f>
        <v>0</v>
      </c>
      <c r="BJ41" s="48">
        <f ca="1">IF(IF(AND(OR(INDEX(PDC,MATCH($AC41,DEN_PDC,0),6)="SE AVERE",INDEX(PDC,MATCH($AC41,DEN_PDC,0),6)="SE DARE/AVERE"),SUMIFS(AVERE,DEN_G,$AC41)&gt;=SUMIFS(DARE,DEN_G,$AC41)),SUMIFS(AVERE,DEN_G,$AC41)-SUMIFS(DARE,DEN_G,$AC41),0)&gt;0,MAX(BJ$2:BJ40)+1,0)</f>
        <v>0</v>
      </c>
      <c r="BK41" s="48" t="str">
        <f ca="1">IF(AND(AND($DY$2=0,$DY$1=0),$I$1=2,ROW()&gt;$BG$1+2,ROW()&lt;=$BG$1+4),"………………..",IF(AND(OR($DY$2&gt;0,$DY$1&gt;0),$I$1=2,ROW()&gt;$BG$1+2,ROW()&lt;=$BG$1+4),"………………..",IFERROR(INDEX($AC$3:$AC$398,MATCH(ROWS(BK$3:BK41),BG$3:BG$398,0),1),"")))</f>
        <v/>
      </c>
      <c r="BL41" s="48">
        <f t="shared" ca="1" si="69"/>
        <v>0</v>
      </c>
      <c r="BM41" s="48" t="str">
        <f ca="1">IF(AND(OR($DY$2=0,$DY$1=0),$I$1=2,ROW()&gt;$BH$1+2,ROW()&lt;=$BH$1+4),"………………..",IF(AND(OR($DY$2&gt;0,$DY$1&gt;0),$I$1=2,ROW()&gt;$BH$1+2,ROW()&lt;=$BH$1+4),"………………..",IFERROR(INDEX($AC$3:$AC$400,MATCH(ROWS(BM$3:BM41),BH$3:BH$400,0),1),"")))</f>
        <v/>
      </c>
      <c r="BN41" s="48">
        <f t="shared" ca="1" si="9"/>
        <v>0</v>
      </c>
      <c r="BO41" s="48" t="str">
        <f ca="1">IF(AND(OR($DY$2=0,$DY$1=0),$I$1=2,ROW()&gt;$BI$1+2,ROW()&lt;=$BI$1+4),"………………..",IF(AND(OR($DY$2&gt;0,$DY$1&gt;0),$I$1=2,ROW()&gt;$BI$1+2,ROW()&lt;=$BI$1+4),"………………..",IFERROR(INDEX($AC$3:$AC$400,MATCH(ROWS(BO$3:BO41),BI$3:BI$400,0),1),"")))</f>
        <v/>
      </c>
      <c r="BP41" s="48">
        <f t="shared" ca="1" si="10"/>
        <v>0</v>
      </c>
      <c r="BQ41" s="48" t="str">
        <f ca="1">IF(AND(OR($DY$2=0,$DY$1=0),$I$1=2,ROW()&gt;$BJ$1+2,ROW()&lt;=$BJ$1+4),"………………..",IF(AND(OR($DY$2&gt;0,$DY$1&gt;0),$I$1=2,ROW()&gt;$BJ$1+2,ROW()&lt;=$BJ$1+4),"………………..",IFERROR(INDEX($AC$3:$AC$400,MATCH(ROWS(BQ$3:BQ41),BJ$3:BJ$400,0),1),"")))</f>
        <v/>
      </c>
      <c r="BR41" s="48">
        <f t="shared" ca="1" si="11"/>
        <v>0</v>
      </c>
      <c r="BS41" s="48">
        <f ca="1">IF(IF(AND(OR(INDEX(PDC,MATCH($AC41,DEN_PDC,0),4)="D",INDEX(PDC,MATCH($AC41,DEN_PDC,0),4)="D/A"),SUMIFS(DARE,DEN_G,$AC41)&gt;=SUMIFS(AVERE,DEN_G,$AC41)),SUMIFS(DARE,DEN_G,$AC41),IF(AND(OR(INDEX(PDC,MATCH($AC41,DEN_PDC,0),4)="A",INDEX(PDC,MATCH($AC41,DEN_PDC,0),4)="D/A"),SUMIFS(AVERE,DEN_G,$AC41)&gt;=SUMIFS(DARE,DEN_G,$AC41)),SUMIFS(AVERE,DEN_G,$AC41),))&gt;0,MAX($BS$2:BS40)+1,0)</f>
        <v>0</v>
      </c>
      <c r="BT41" s="48" t="str">
        <f ca="1">IF($CO$1=0,"",IF(AND($I$1=2,ROW()&gt;$BR$1,ROW()&lt;=$BS$1)," …………….",IF(AND($E$1=1,$BX$1=1,$I$1=2,ROW()=$BQ$1),"TOTALI",IFERROR(INDEX(PDC,MATCH(ROWS(BT$3:BT41),BS$3:BS438,0),2),""))))</f>
        <v/>
      </c>
      <c r="BU41" s="48">
        <f t="shared" ca="1" si="12"/>
        <v>0</v>
      </c>
      <c r="BV41" s="48">
        <f t="shared" ca="1" si="13"/>
        <v>0</v>
      </c>
      <c r="BW41" s="48">
        <f t="shared" ca="1" si="14"/>
        <v>0</v>
      </c>
      <c r="BX41" s="48">
        <f t="shared" ca="1" si="15"/>
        <v>0</v>
      </c>
      <c r="BY41" s="48">
        <f ca="1">IF(OR(BW41&gt;0,BX41&gt;0),MAX($BY$2:BY40)+1,0)</f>
        <v>0</v>
      </c>
      <c r="BZ41" s="48" t="str">
        <f ca="1">IFERROR(INDEX($BT$3:$BY$400,MATCH(ROWS(BZ$3:BZ41),$BY$3:$BY$400,0),1),"")</f>
        <v/>
      </c>
      <c r="CA41" s="48" t="str">
        <f ca="1">IFERROR(INDEX($BT$3:$BY$400,MATCH(ROWS(CA$3:CA41),$BY$3:$BY$400,0),4),"")</f>
        <v/>
      </c>
      <c r="CB41" s="48" t="str">
        <f ca="1">IFERROR(INDEX($BT$3:$BY$400,MATCH(ROWS(CB$3:CB41),$BY$3:$BY$400,0),5),"")</f>
        <v/>
      </c>
      <c r="CC41" s="48" t="str">
        <f t="shared" ca="1" si="16"/>
        <v/>
      </c>
      <c r="CD41" s="48">
        <f ca="1">IF(AND($BF$9=1,CE41&lt;&gt;0),MAX($CD$2:CD40)+1,0)</f>
        <v>0</v>
      </c>
      <c r="CE41" s="48">
        <f ca="1">IF(ROUND(SUMIFS(COPIA!$CA$3:$CA$400,COPIA!$CC$3:$CC$400,CF41)-SUMIFS(COPIA!$CB$3:$CB$400,COPIA!$CC$3:$CC$400,CF41),0)&lt;0,0,ROUND(SUMIFS(COPIA!$CA$3:$CA$400,COPIA!$CC$3:$CC$400,CF41)-SUMIFS(COPIA!$CB$3:$CB$400,COPIA!$CC$3:$CC$400,CF41),0))</f>
        <v>0</v>
      </c>
      <c r="CF41" s="48" t="s">
        <v>602</v>
      </c>
      <c r="CG41" s="242" t="s">
        <v>516</v>
      </c>
      <c r="CH41" s="242">
        <f ca="1">CE41</f>
        <v>0</v>
      </c>
      <c r="CI41" s="242"/>
      <c r="CJ41" s="242"/>
      <c r="CM41" s="242" t="str">
        <f t="shared" ca="1" si="37"/>
        <v/>
      </c>
      <c r="CN41" s="243">
        <f t="shared" ca="1" si="38"/>
        <v>0</v>
      </c>
      <c r="CO41" s="48" t="str">
        <f t="shared" ca="1" si="39"/>
        <v/>
      </c>
      <c r="CQ41" s="242"/>
      <c r="CR41" s="242">
        <f ca="1">YEAR(CR34)</f>
        <v>2031</v>
      </c>
      <c r="CS41" s="48">
        <f t="shared" ca="1" si="98"/>
        <v>0</v>
      </c>
      <c r="CT41" s="242"/>
      <c r="CU41" s="48">
        <f ca="1">IF(SUMIFS(AVERE,DEN_G,AC41,AVERE,"&gt;"&amp;0)+SUMIFS(DARE,DEN_G,AC41,DARE,"&gt;"&amp;0)&gt;0,MAX($CU$2:CU40)+1,0)</f>
        <v>0</v>
      </c>
      <c r="CV41" s="48" t="str">
        <f ca="1">IF(IFERROR(INDEX(PDC,MATCH(ROWS($CV$3:CV41),$CU$3:$CU$400,0),2),"")="CONTO DI RISULTATO ECONOMICO","",IFERROR(INDEX(PDC,MATCH(ROWS($CV$3:CV41),$CU$3:$CU$400,0),2),""))</f>
        <v/>
      </c>
      <c r="CW41" s="48">
        <f ca="1">IFERROR(IF(CV41&lt;&gt;"",MAX($CW$2:CW40)+1,0),0)</f>
        <v>0</v>
      </c>
      <c r="CY41" s="48" t="s">
        <v>500</v>
      </c>
      <c r="DB41" s="48" t="str">
        <f t="shared" ref="DB41" ca="1" si="99">IF(CX40=$DF$1,"","MASTRO")</f>
        <v>MASTRO</v>
      </c>
      <c r="DF41" s="48">
        <f ca="1">IF(AND(CX41=$DF$1,CX41&lt;&gt;""),0,IF(AND(DB41&lt;&gt;"",OR(DB40&lt;&gt;"",DB42&lt;&gt;"")),MAX($DF$2:DF40)+1,0))</f>
        <v>0</v>
      </c>
      <c r="DH41" s="244" t="s">
        <v>29</v>
      </c>
      <c r="DI41" s="48" t="s">
        <v>340</v>
      </c>
      <c r="DJ41" s="48" t="s">
        <v>311</v>
      </c>
      <c r="DK41" s="48" t="s">
        <v>275</v>
      </c>
      <c r="DL41" s="48" t="s">
        <v>9</v>
      </c>
      <c r="DM41" s="48" t="s">
        <v>270</v>
      </c>
      <c r="DN41" s="48">
        <f ca="1">IF(DI41&lt;&gt;"",MAX($DN$2:DN40)+1,0)</f>
        <v>24</v>
      </c>
      <c r="DO41" s="48" t="str">
        <f ca="1">IF($BF$9=1,"pab23","pab2")</f>
        <v>pab2</v>
      </c>
      <c r="DW41" s="48">
        <f>IF(DR41&lt;&gt;"",MAX($DW$2:DW40)+1,0)</f>
        <v>0</v>
      </c>
      <c r="DY41" s="48" t="str">
        <f t="shared" ca="1" si="19"/>
        <v/>
      </c>
      <c r="DZ41" s="48" t="str">
        <f t="shared" ca="1" si="40"/>
        <v/>
      </c>
      <c r="EA41" s="48" t="str">
        <f t="shared" ca="1" si="41"/>
        <v/>
      </c>
      <c r="EB41" s="48">
        <f t="shared" ca="1" si="42"/>
        <v>0</v>
      </c>
      <c r="EC41" s="48">
        <f t="shared" ca="1" si="43"/>
        <v>0</v>
      </c>
      <c r="ED41" s="48" t="str">
        <f t="shared" ca="1" si="44"/>
        <v/>
      </c>
      <c r="EE41" s="48">
        <f t="shared" ca="1" si="45"/>
        <v>0</v>
      </c>
      <c r="EF41" s="48" t="str">
        <f t="shared" ca="1" si="46"/>
        <v/>
      </c>
      <c r="EG41" s="48">
        <f t="shared" ca="1" si="47"/>
        <v>0</v>
      </c>
      <c r="EH41" s="48" t="str">
        <f t="shared" ca="1" si="48"/>
        <v/>
      </c>
      <c r="EI41" s="48">
        <f t="shared" ca="1" si="49"/>
        <v>0</v>
      </c>
      <c r="EJ41" s="48" t="str">
        <f t="shared" ca="1" si="50"/>
        <v/>
      </c>
      <c r="EK41" s="48">
        <f t="shared" ca="1" si="51"/>
        <v>0</v>
      </c>
      <c r="EL41" s="48">
        <f t="shared" ca="1" si="20"/>
        <v>0</v>
      </c>
      <c r="EM41" s="48">
        <f ca="1">IF(EL41&gt;=0,0,MAX($EM$2:EM40)+1)</f>
        <v>0</v>
      </c>
      <c r="EN41" s="48" t="str">
        <f t="shared" ca="1" si="21"/>
        <v/>
      </c>
      <c r="EO41" s="48" t="str">
        <f ca="1">IFERROR(INDEX($EM$3:$EN$400,MATCH(ROWS($EO$3:EO41),$EM$3:$EM$400,0),2),"")</f>
        <v/>
      </c>
      <c r="EP41" s="48">
        <f>ROW()</f>
        <v>41</v>
      </c>
      <c r="EQ41" s="48">
        <f t="shared" ca="1" si="22"/>
        <v>0</v>
      </c>
      <c r="ER41" s="48">
        <f ca="1">IF(ISNA(EQ41)=TRUE,MAX($ER$2:ER40)+1,0)</f>
        <v>0</v>
      </c>
      <c r="ES41" s="48" t="str">
        <f t="shared" ca="1" si="52"/>
        <v/>
      </c>
      <c r="ET41" s="48" t="str">
        <f ca="1">IFERROR(INDEX($ER$3:$ES$400,MATCH(ROWS($ET$3:ET41),$ER$3:$ER$400,0),2),"")</f>
        <v/>
      </c>
      <c r="EV41" s="48">
        <f ca="1">IFERROR(INDEX(LIBRO_GIORNALE!$O$11:$P$408,MATCH(ROWS($EV$2:EV40),LIBRO_GIORNALE!$P$11:$P$408,0),1),0)</f>
        <v>0</v>
      </c>
      <c r="EW41" s="48" t="str">
        <f t="shared" ca="1" si="53"/>
        <v>0</v>
      </c>
      <c r="EX41" s="48">
        <f t="shared" ca="1" si="54"/>
        <v>0</v>
      </c>
      <c r="EY41" s="48">
        <f ca="1">IF(EX41&gt;0,MAX($EY$2:EY40)+1,0)</f>
        <v>0</v>
      </c>
      <c r="EZ41" s="48">
        <f ca="1">IFERROR(INDEX($EX$3:$EX$400,MATCH(ROWS($EZ$3:EZ41),$EY$3:$EY$400,0),1),0)</f>
        <v>0</v>
      </c>
      <c r="FA41" s="48">
        <f ca="1">IF(EZ41&gt;0,0,MAX($FA$2:FA40)+1)</f>
        <v>39</v>
      </c>
      <c r="FB41" s="48">
        <f t="shared" ca="1" si="55"/>
        <v>0</v>
      </c>
      <c r="FC41" s="48">
        <f t="shared" ca="1" si="56"/>
        <v>39</v>
      </c>
      <c r="FD41" s="48">
        <f t="shared" ca="1" si="57"/>
        <v>39</v>
      </c>
      <c r="FE41" s="48">
        <f ca="1">IF(FD41=0,0,MAX($FE$2:FE40)+1)</f>
        <v>39</v>
      </c>
      <c r="FF41" s="48">
        <f ca="1">IFERROR(INDEX($FD$3:$FE$400,MATCH(ROWS($FF$3:FF41),$FE$3:$FE$400,0),1),"")</f>
        <v>39</v>
      </c>
      <c r="FH41" s="48">
        <f t="shared" ca="1" si="58"/>
        <v>0</v>
      </c>
      <c r="FI41" s="48">
        <f ca="1">IF(FH41&lt;&gt;0,MAX($FI$2:FI40)+1,0)</f>
        <v>0</v>
      </c>
      <c r="FJ41" s="48" t="str">
        <f ca="1">IFERROR(INDEX($FH$3:$FI$400,MATCH(ROWS($FJ$3:FJ41),$FI$3:$FI$400,0),1),"")</f>
        <v/>
      </c>
      <c r="FK41" s="48">
        <f ca="1">IF(ABS(SUMIFS(DARE,DEN_G,"="&amp;FJ41,DATA,"&lt;="&amp;FINE_AC,DATA,"&gt;="&amp;INIZIO_A_PC)-SUMIFS(AVERE,DEN_G,"="&amp;FJ41,DATA,"&lt;="&amp;FINE_AC,DATA,"&gt;="&amp;INIZIO_A_PC))&gt;0,MAX($FK$2:FK40)+1,0)</f>
        <v>0</v>
      </c>
      <c r="FL41" s="48" t="str">
        <f ca="1">IF(AND(ROW()-2&lt;&gt;1,ROW()-2&lt;=$FK$1),CONCATENATE(" - ",IFERROR(INDEX($FJ$3:$FK$400,MATCH(ROWS($FL$3:FL41),$FK$3:$FK$400,0),1),"")),IFERROR(INDEX($FJ$3:$FK$400,MATCH(ROWS($FL$3:FL41),$FK$3:$FK$400,0),1),""))</f>
        <v/>
      </c>
      <c r="FM41" s="48">
        <f ca="1">IF(OR(B41="IVA ns/credito",B41="IVA NS/DEBITO",B41="IVA C/ACCONTO",B41="IMPOSTE C/ACCONTO",B41="CREDITI PER RITENUTE SUBITE",B41="CREDITI D'IMPOSTA"),MAX($FM$2:FM40)+1,0)</f>
        <v>0</v>
      </c>
      <c r="FN41" s="48" t="str">
        <f t="shared" ca="1" si="59"/>
        <v/>
      </c>
      <c r="FO41" s="48" t="str">
        <f ca="1">IFERROR(INDEX($FM$3:$FN$400,MATCH(ROWS($FO$3:FO41),$FM$3:$FM$400,0),2),"")</f>
        <v/>
      </c>
      <c r="FP41" s="48">
        <f ca="1">IF(ABS(SUMIFS(DARE,DEN_G,"="&amp;FO41,DATA,"&lt;="&amp;FINE_AC,DATA,"&gt;="&amp;INIZIO_A_PC)-SUMIFS(AVERE,DEN_G,"="&amp;FO41,DATA,"&lt;="&amp;FINE_AC,DATA,"&gt;="&amp;INIZIO_A_PC))&gt;0,MAX($FP$2:FP40)+1,0)</f>
        <v>0</v>
      </c>
      <c r="FQ41" s="48" t="str">
        <f ca="1">IF(AND(ROW()-2&lt;&gt;1,ROW()-2&lt;=$FP$1),CONCATENATE(" - ",IFERROR(INDEX($FO$3:$FP$400,MATCH(ROWS($FQ$3:FQ41),$FP$3:$FP$400,0),1),"")),IFERROR(INDEX($FO$3:$FP$400,MATCH(ROWS($FQ$3:FQ41),$FP$3:$FP$400,0),1),""))</f>
        <v/>
      </c>
    </row>
    <row r="42" spans="1:173" x14ac:dyDescent="0.3">
      <c r="A42" s="48" t="str">
        <f ca="1">IFERROR(IF($A$1=2,INDEX($DH$3:$DN$401,MATCH(ROWS(A$3:A42),$DN$3:$DN$401,0),COLUMN()),IF($A$1=1,INDEX($DQ$3:$DW$401,MATCH(ROWS(A$3:A42),$DW$3:$DW$401,0),COLUMN()),"")),"")</f>
        <v>02.31</v>
      </c>
      <c r="B42" s="48" t="str">
        <f ca="1">IFERROR(IF($A$1=2,INDEX($DH$3:$DN$401,MATCH(ROWS(B$3:B42),$DN$3:$DN$401,0),COLUMN()),IF($A$1=1,INDEX($DQ$3:$DW$400,MATCH(ROWS(B$3:B42),$DW$3:$DW$401,0),COLUMN()),"")),"")</f>
        <v>FORNITORI IMMOBILIZZAZIONI MATERIALI C/ACCONTI</v>
      </c>
      <c r="C42" s="48" t="str">
        <f ca="1">IFERROR(IF($A$1=2,INDEX($DH$3:$DN$401,MATCH(ROWS(C$3:C42),$DN$3:$DN$401,0),COLUMN()),IF($A$1=1,INDEX($DQ$3:$DW$401,MATCH(ROWS(C$3:C42),$DW$3:$DW$401,0),COLUMN()),"")),"")</f>
        <v>F</v>
      </c>
      <c r="D42" s="48" t="str">
        <f ca="1">IFERROR(IF($A$1=2,INDEX($DH$3:$DN$401,MATCH(ROWS(D$3:D42),$DN$3:$DN$401,0),COLUMN()),IF($A$1=1,INDEX($DQ$3:$DW$401,MATCH(ROWS(D$3:D42),$DW$3:$DW$401,0),COLUMN()),"")),"")</f>
        <v>D</v>
      </c>
      <c r="E42" s="48" t="str">
        <f ca="1">IFERROR(IF($A$1=2,INDEX($DH$3:$DN$401,MATCH(ROWS(E$3:E42),$DN$3:$DN$401,0),COLUMN()),IF($A$1=1,INDEX($DQ$3:$DW$401,MATCH(ROWS(E$3:E42),$DW$3:$DW$401,0),COLUMN()),"")),"")</f>
        <v>CREDITI</v>
      </c>
      <c r="F42" s="48" t="str">
        <f ca="1">IFERROR(IF($A$1=2,INDEX($DH$3:$DN$401,MATCH(ROWS(F$3:F42),$DN$3:$DN$401,0),COLUMN()),IF($A$1=1,INDEX($DQ$3:$DX$401,MATCH(ROWS(F$3:F42),$DW$3:$DW$401,0),COLUMN()),"")),"")</f>
        <v>SP DARE</v>
      </c>
      <c r="G42" s="48" t="str">
        <f t="shared" ca="1" si="23"/>
        <v>SP</v>
      </c>
      <c r="H42" s="48" t="str">
        <f ca="1">IFERROR(IF($A$1=2,INDEX($DH$3:$DO$400,MATCH(ROWS(H$3:H42),$DN$3:$DN$400,0),COLUMN()),IF($A$1=1,INDEX($DQ$3:$DX$400,MATCH(ROWS(H$3:H42),$DW$3:$DW$400,0),COLUMN()),"")),"")</f>
        <v>pab2</v>
      </c>
      <c r="I42" s="48" t="str">
        <f t="shared" ca="1" si="0"/>
        <v/>
      </c>
      <c r="J42" s="48" t="str">
        <f t="shared" ca="1" si="24"/>
        <v/>
      </c>
      <c r="K42" s="48">
        <f t="shared" ca="1" si="25"/>
        <v>0</v>
      </c>
      <c r="L42" s="48">
        <f t="shared" ca="1" si="26"/>
        <v>0</v>
      </c>
      <c r="M42" s="48">
        <f ca="1">IFERROR(IF(IF(MID($A42,3,3)=".00",MID(A42,1,2),"")&lt;&gt;"",MAX($M$2:M41)+1,0),"")</f>
        <v>0</v>
      </c>
      <c r="N42" s="48" t="str">
        <f t="shared" ca="1" si="27"/>
        <v/>
      </c>
      <c r="O42" s="48" t="str">
        <f ca="1">IF(IFERROR(INDEX($N$3:$O$400,MATCH(ROWS($O$3:O42),$M$3:$M$400,0),1),"")&lt;&gt;"",CONCATENATE(INDEX($N$3:$O$400,MATCH(ROWS($O$3:O42),$M$3:$M$400,0),1),".00"),"")</f>
        <v/>
      </c>
      <c r="P42" s="48" t="str">
        <f t="shared" ca="1" si="28"/>
        <v/>
      </c>
      <c r="Q42" s="48">
        <f ca="1">IF(M42&gt;=1,0,MAX($Q$2:Q41)+1)</f>
        <v>37</v>
      </c>
      <c r="R42" s="48">
        <f ca="1">IF(AND($U$2=2,S42&lt;&gt;""),MAX($R$2:R41)+1,0)</f>
        <v>24</v>
      </c>
      <c r="S42" s="48" t="str">
        <f t="shared" ca="1" si="81"/>
        <v>COSTI PER SERVIZI</v>
      </c>
      <c r="T42" s="48" t="str">
        <f ca="1">IFERROR(INDEX($R$3:$S$64,MATCH(ROWS($T$2:T41),$R$3:$R$64,0),2),"")</f>
        <v/>
      </c>
      <c r="U42" s="48" t="str">
        <f ca="1">IFERROR(INDEX(PDC,MATCH(ROWS(U$3:U42),$V$3:$V$400,0),2),"")</f>
        <v>PARTECIPAZIONI IN CONTROLLANTE</v>
      </c>
      <c r="V42" s="48">
        <f ca="1">IF(AND($T$1="VISUALIZZA TUTTI I CONTI",AA42&lt;&gt;""),MAX($V$2:V41)+1,IF(AND($U$2=2,AI42=$T$1),MAX($V$2:V41)+1,IF(AND($U$2=1,$T$1=AF42),MAX($V$2:V41)+1,0)))</f>
        <v>40</v>
      </c>
      <c r="Z42" s="246"/>
      <c r="AA42" s="48" t="str">
        <f t="shared" ca="1" si="29"/>
        <v>03.00</v>
      </c>
      <c r="AB42" s="48" t="str">
        <f ca="1">IFERROR(INDEX($A$3:$G$400,MATCH(ROWS(AB$3:AB42),$Q$3:$Q$400,0),1),"")</f>
        <v>03.03</v>
      </c>
      <c r="AC42" s="48" t="str">
        <f ca="1">IFERROR(INDEX($A$3:$G$400,MATCH(ROWS($AC$3:AC42),$Q$3:$Q$400,0),2),"")</f>
        <v>PARTECIPAZIONI IN CONTROLLANTE</v>
      </c>
      <c r="AD42" s="48" t="str">
        <f ca="1">IFERROR(INDEX($A$3:$G$400,MATCH(ROWS(AD$3:AD42),$Q$3:$Q$400,0),3),"")</f>
        <v>E</v>
      </c>
      <c r="AE42" s="48" t="str">
        <f ca="1">IFERROR(INDEX($A$3:$G$400,MATCH(ROWS(AE$3:AE42),$Q$3:$Q$400,0),4),"")</f>
        <v>D</v>
      </c>
      <c r="AF42" s="48" t="str">
        <f ca="1">IFERROR(INDEX($A$3:$G$400,MATCH(ROWS(AF$3:AF42),$Q$3:$Q$400,0),5),"")</f>
        <v>COSTI SOSPESI</v>
      </c>
      <c r="AG42" s="48" t="str">
        <f ca="1">IFERROR(INDEX($A$3:$G$400,MATCH(ROWS(AG$3:AG42),$Q$3:$Q$400,0),6),"")</f>
        <v>SP DARE</v>
      </c>
      <c r="AH42" s="48" t="str">
        <f ca="1">IFERROR(INDEX($A$3:$G$400,MATCH(ROWS(AH$3:AH42),$Q$3:$Q$400,0),7),"")</f>
        <v>SP</v>
      </c>
      <c r="AI42" s="48" t="str">
        <f t="shared" ca="1" si="1"/>
        <v>IMMOBILIZZAZIONI FINANZIARIE</v>
      </c>
      <c r="AJ42" s="48" t="str">
        <f ca="1">IFERROR(INDEX($A$3:$H$400,MATCH(ROWS(AJ$3:AJ42),$Q$3:$Q$400,0),8),"")</f>
        <v>pab3</v>
      </c>
      <c r="AK42" s="48">
        <f t="shared" ca="1" si="2"/>
        <v>0</v>
      </c>
      <c r="AL42" s="48">
        <f t="shared" ca="1" si="95"/>
        <v>0</v>
      </c>
      <c r="AM42" s="48">
        <f t="shared" ca="1" si="30"/>
        <v>0</v>
      </c>
      <c r="AN42" s="48" t="str">
        <f t="shared" ca="1" si="31"/>
        <v/>
      </c>
      <c r="AO42" s="48">
        <f t="shared" ca="1" si="32"/>
        <v>0</v>
      </c>
      <c r="AP42" s="48">
        <f t="shared" ca="1" si="32"/>
        <v>0</v>
      </c>
      <c r="AQ42" s="48" t="str">
        <f t="shared" ca="1" si="4"/>
        <v>PARTECIPAZIONI IN CONTROLLANTE</v>
      </c>
      <c r="AR42" s="48">
        <f t="shared" ca="1" si="5"/>
        <v>0</v>
      </c>
      <c r="AS42" s="48">
        <f t="shared" ca="1" si="6"/>
        <v>0</v>
      </c>
      <c r="AT42" s="48">
        <f t="shared" ca="1" si="33"/>
        <v>0</v>
      </c>
      <c r="AU42" s="48">
        <f t="shared" ca="1" si="34"/>
        <v>0</v>
      </c>
      <c r="AV42" s="48">
        <f ca="1">IF(OR(AT42&gt;0,AU42&gt;0),MAX($AV$2:AV41)+1,0)</f>
        <v>0</v>
      </c>
      <c r="AZ42" s="241" t="str">
        <f t="shared" ca="1" si="35"/>
        <v/>
      </c>
      <c r="BA42" s="48">
        <f t="shared" ca="1" si="96"/>
        <v>0</v>
      </c>
      <c r="BB42" s="48">
        <f ca="1">IFERROR(INDEX($AQ$3:$AV$220,MATCH(ROWS($BB$3:BB42),$AV$3:$AV$220,0),1),0)</f>
        <v>0</v>
      </c>
      <c r="BC42" s="48" t="str">
        <f t="shared" ca="1" si="36"/>
        <v/>
      </c>
      <c r="BD42" s="48">
        <f ca="1">IFERROR(INDEX($AQ$3:$AV$220,MATCH(ROWS($BB$3:BD42),$AV$3:$AV$220,0),4),0)</f>
        <v>0</v>
      </c>
      <c r="BE42" s="48">
        <f ca="1">IFERROR(INDEX($AQ$3:$AV$220,MATCH(ROWS($BB$3:BE42),$AV$3:$AV$220,0),5),0)</f>
        <v>0</v>
      </c>
      <c r="BF42" s="48">
        <v>28</v>
      </c>
      <c r="BG42" s="48">
        <f ca="1">IF(IF(AND(OR(INDEX(PDC,MATCH($AC42,DEN_PDC,0),6)="SP DARE",INDEX(PDC,MATCH($AC42,DEN_PDC,0),6)="SP DARE/AVERE"),SUMIFS(DARE,DEN_G,$AC42)&gt;=SUMIFS(AVERE,DEN_G,$AC42)),SUMIFS(DARE,DEN_G,$AC42)-SUMIFS(AVERE,DEN_G,$AC42),0)&gt;0,MAX($BG$2:BG41)+1,0)</f>
        <v>0</v>
      </c>
      <c r="BH42" s="48">
        <f ca="1">IF(IF(AND(OR(INDEX(PDC,MATCH($AC42,DEN_PDC,0),6)="SP AVERE",INDEX(PDC,MATCH($AC42,DEN_PDC,0),6)="SP DARE/AVERE"),SUMIFS(AVERE,DEN_G,$AC42)&gt;=SUMIFS(DARE,DEN_G,$AC42)),SUMIFS(AVERE,DEN_G,$AC42)-SUMIFS(DARE,DEN_G,$AC42),0)&gt;0,MAX(BH$2:BH41)+1,0)</f>
        <v>0</v>
      </c>
      <c r="BI42" s="48">
        <f ca="1">IF(IF(AND(OR(INDEX(PDC,MATCH($AC42,DEN_PDC,0),6)="SE DARE",INDEX(PDC,MATCH($AC42,DEN_PDC,0),6)="SE DARE/AVERE"),SUMIFS(DARE,DEN_G,$AC42)&gt;=SUMIFS(AVERE,DEN_G,$AC42)),SUMIFS(DARE,DEN_G,$AC42)-SUMIFS(AVERE,DEN_G,$AC42),0)&gt;0,MAX(BI$2:BI41)+1,0)</f>
        <v>0</v>
      </c>
      <c r="BJ42" s="48">
        <f ca="1">IF(IF(AND(OR(INDEX(PDC,MATCH($AC42,DEN_PDC,0),6)="SE AVERE",INDEX(PDC,MATCH($AC42,DEN_PDC,0),6)="SE DARE/AVERE"),SUMIFS(AVERE,DEN_G,$AC42)&gt;=SUMIFS(DARE,DEN_G,$AC42)),SUMIFS(AVERE,DEN_G,$AC42)-SUMIFS(DARE,DEN_G,$AC42),0)&gt;0,MAX(BJ$2:BJ41)+1,0)</f>
        <v>0</v>
      </c>
      <c r="BK42" s="48" t="str">
        <f ca="1">IF(AND(AND($DY$2=0,$DY$1=0),$I$1=2,ROW()&gt;$BG$1+2,ROW()&lt;=$BG$1+4),"………………..",IF(AND(OR($DY$2&gt;0,$DY$1&gt;0),$I$1=2,ROW()&gt;$BG$1+2,ROW()&lt;=$BG$1+4),"………………..",IFERROR(INDEX($AC$3:$AC$398,MATCH(ROWS(BK$3:BK42),BG$3:BG$398,0),1),"")))</f>
        <v/>
      </c>
      <c r="BL42" s="48">
        <f t="shared" ca="1" si="69"/>
        <v>0</v>
      </c>
      <c r="BM42" s="48" t="str">
        <f ca="1">IF(AND(OR($DY$2=0,$DY$1=0),$I$1=2,ROW()&gt;$BH$1+2,ROW()&lt;=$BH$1+4),"………………..",IF(AND(OR($DY$2&gt;0,$DY$1&gt;0),$I$1=2,ROW()&gt;$BH$1+2,ROW()&lt;=$BH$1+4),"………………..",IFERROR(INDEX($AC$3:$AC$400,MATCH(ROWS(BM$3:BM42),BH$3:BH$400,0),1),"")))</f>
        <v/>
      </c>
      <c r="BN42" s="48">
        <f t="shared" ca="1" si="9"/>
        <v>0</v>
      </c>
      <c r="BO42" s="48" t="str">
        <f ca="1">IF(AND(OR($DY$2=0,$DY$1=0),$I$1=2,ROW()&gt;$BI$1+2,ROW()&lt;=$BI$1+4),"………………..",IF(AND(OR($DY$2&gt;0,$DY$1&gt;0),$I$1=2,ROW()&gt;$BI$1+2,ROW()&lt;=$BI$1+4),"………………..",IFERROR(INDEX($AC$3:$AC$400,MATCH(ROWS(BO$3:BO42),BI$3:BI$400,0),1),"")))</f>
        <v/>
      </c>
      <c r="BP42" s="48">
        <f t="shared" ca="1" si="10"/>
        <v>0</v>
      </c>
      <c r="BQ42" s="48" t="str">
        <f ca="1">IF(AND(OR($DY$2=0,$DY$1=0),$I$1=2,ROW()&gt;$BJ$1+2,ROW()&lt;=$BJ$1+4),"………………..",IF(AND(OR($DY$2&gt;0,$DY$1&gt;0),$I$1=2,ROW()&gt;$BJ$1+2,ROW()&lt;=$BJ$1+4),"………………..",IFERROR(INDEX($AC$3:$AC$400,MATCH(ROWS(BQ$3:BQ42),BJ$3:BJ$400,0),1),"")))</f>
        <v/>
      </c>
      <c r="BR42" s="48">
        <f t="shared" ca="1" si="11"/>
        <v>0</v>
      </c>
      <c r="BS42" s="48">
        <f ca="1">IF(IF(AND(OR(INDEX(PDC,MATCH($AC42,DEN_PDC,0),4)="D",INDEX(PDC,MATCH($AC42,DEN_PDC,0),4)="D/A"),SUMIFS(DARE,DEN_G,$AC42)&gt;=SUMIFS(AVERE,DEN_G,$AC42)),SUMIFS(DARE,DEN_G,$AC42),IF(AND(OR(INDEX(PDC,MATCH($AC42,DEN_PDC,0),4)="A",INDEX(PDC,MATCH($AC42,DEN_PDC,0),4)="D/A"),SUMIFS(AVERE,DEN_G,$AC42)&gt;=SUMIFS(DARE,DEN_G,$AC42)),SUMIFS(AVERE,DEN_G,$AC42),))&gt;0,MAX($BS$2:BS41)+1,0)</f>
        <v>0</v>
      </c>
      <c r="BT42" s="48" t="str">
        <f ca="1">IF($CO$1=0,"",IF(AND($I$1=2,ROW()&gt;$BR$1,ROW()&lt;=$BS$1)," …………….",IF(AND($E$1=1,$BX$1=1,$I$1=2,ROW()=$BQ$1),"TOTALI",IFERROR(INDEX(PDC,MATCH(ROWS(BT$3:BT42),BS$3:BS439,0),2),""))))</f>
        <v/>
      </c>
      <c r="BU42" s="48">
        <f t="shared" ca="1" si="12"/>
        <v>0</v>
      </c>
      <c r="BV42" s="48">
        <f t="shared" ca="1" si="13"/>
        <v>0</v>
      </c>
      <c r="BW42" s="48">
        <f t="shared" ca="1" si="14"/>
        <v>0</v>
      </c>
      <c r="BX42" s="48">
        <f t="shared" ca="1" si="15"/>
        <v>0</v>
      </c>
      <c r="BY42" s="48">
        <f ca="1">IF(OR(BW42&gt;0,BX42&gt;0),MAX($BY$2:BY41)+1,0)</f>
        <v>0</v>
      </c>
      <c r="BZ42" s="48" t="str">
        <f ca="1">IFERROR(INDEX($BT$3:$BY$400,MATCH(ROWS(BZ$3:BZ42),$BY$3:$BY$400,0),1),"")</f>
        <v/>
      </c>
      <c r="CA42" s="48" t="str">
        <f ca="1">IFERROR(INDEX($BT$3:$BY$400,MATCH(ROWS(CA$3:CA42),$BY$3:$BY$400,0),4),"")</f>
        <v/>
      </c>
      <c r="CB42" s="48" t="str">
        <f ca="1">IFERROR(INDEX($BT$3:$BY$400,MATCH(ROWS(CB$3:CB42),$BY$3:$BY$400,0),5),"")</f>
        <v/>
      </c>
      <c r="CC42" s="48" t="str">
        <f t="shared" ca="1" si="16"/>
        <v/>
      </c>
      <c r="CD42" s="48">
        <f ca="1">IF(AND($CG$1=TRUE,$BF$9=1,CE42&lt;&gt;0),MAX($CD$2:CD41)+1,0)</f>
        <v>0</v>
      </c>
      <c r="CE42" s="48">
        <f ca="1">IF($I$1=1,SUM(CE30,CE32,CE34,CE36,CE38,CE40,CE41,CE24:CE28),IF(AND($I$1=2,SUM(CE30,CE32,CE34,CE36,CE38,CE40,CE41,CE24:CE28)&gt;0),"_ _ _",0))</f>
        <v>0</v>
      </c>
      <c r="CG42" s="242" t="s">
        <v>505</v>
      </c>
      <c r="CH42" s="242">
        <f ca="1">CE42</f>
        <v>0</v>
      </c>
      <c r="CI42" s="242"/>
      <c r="CJ42" s="242"/>
      <c r="CM42" s="242" t="str">
        <f t="shared" ca="1" si="37"/>
        <v/>
      </c>
      <c r="CN42" s="243">
        <f t="shared" ca="1" si="38"/>
        <v>0</v>
      </c>
      <c r="CO42" s="48" t="str">
        <f t="shared" ca="1" si="39"/>
        <v/>
      </c>
      <c r="CQ42" s="242"/>
      <c r="CR42" s="242"/>
      <c r="CS42" s="48" t="s">
        <v>814</v>
      </c>
      <c r="CT42" s="242" t="s">
        <v>815</v>
      </c>
      <c r="CU42" s="48">
        <f ca="1">IF(SUMIFS(AVERE,DEN_G,AC42,AVERE,"&gt;"&amp;0)+SUMIFS(DARE,DEN_G,AC42,DARE,"&gt;"&amp;0)&gt;0,MAX($CU$2:CU41)+1,0)</f>
        <v>0</v>
      </c>
      <c r="CV42" s="48" t="str">
        <f ca="1">IF(IFERROR(INDEX(PDC,MATCH(ROWS($CV$3:CV42),$CU$3:$CU$400,0),2),"")="CONTO DI RISULTATO ECONOMICO","",IFERROR(INDEX(PDC,MATCH(ROWS($CV$3:CV42),$CU$3:$CU$400,0),2),""))</f>
        <v/>
      </c>
      <c r="CW42" s="48">
        <f ca="1">IFERROR(IF(CV42&lt;&gt;"",MAX($CW$2:CW41)+1,0),0)</f>
        <v>0</v>
      </c>
      <c r="CX42" s="48">
        <f ca="1">$FF$6</f>
        <v>4</v>
      </c>
      <c r="CY42" s="48" t="str">
        <f t="shared" ref="CY42:CY53" ca="1" si="100">IF(ISERROR(INDEX($CV$3:$CX$1302,MATCH(CX42,$CW$3:$CW$1302,0),1)),"MASTRO",INDEX($CV$3:$CX$1302,MATCH(CX42,$CW$3:$CW$1302,0),1))</f>
        <v>MASTRO</v>
      </c>
      <c r="DA42" s="48" t="str">
        <f>IF(CY41="MASTRO","Conto n.","")</f>
        <v>Conto n.</v>
      </c>
      <c r="DB42" s="48" t="str">
        <f ca="1">IF(CY42=0,"",INDEX(PDC,MATCH(DC42,DEN_PDC,0),1))</f>
        <v/>
      </c>
      <c r="DC42" s="48" t="str">
        <f ca="1">IF(OR(CY42=0,CY42="mastro"),"",CY42)</f>
        <v/>
      </c>
      <c r="DD42" s="48" t="str">
        <f ca="1">IF(AND($DA$2=TRUE,OR(INDEX(PDC,MATCH($DC42,DEN_PDC,0),4)="A",INDEX(PDC,MATCH($DC42,DEN_PDC,0),4)="D/A"),SUMIFS(AVERE,DEN_G,"="&amp;$DC42,DATA,"&lt;="&amp;FINE_AC,DATA,"&gt;="&amp;INIZIO_AC)&gt;SUMIFS(DARE,DEN_G,"="&amp;$DC42,DATA,"&lt;="&amp;FINE_AC,DATA,"&gt;="&amp;INIZIO_AC)),CONCATENATE("s ",FIXED(ABS(SUMIFS(AVERE,DEN_G,"="&amp;$DC42,DATA,"&lt;="&amp;FINE_AC,DATA,"&gt;="&amp;INIZIO_AC)-SUMIFS(DARE,DEN_G,"="&amp;$DC42,DATA,"&lt;="&amp;FINE_AC,DATA,"&gt;="&amp;INIZIO_AC)),2)),"")</f>
        <v/>
      </c>
      <c r="DE42" s="48" t="str">
        <f ca="1">IF(AND($DA$2=TRUE,OR(INDEX(PDC,MATCH($DC42,DEN_PDC,0),4)="D",INDEX(PDC,MATCH($DC42,DEN_PDC,0),4)="D/A"),SUMIFS(DARE,DEN_G,"="&amp;$DC42,DATA,"&lt;="&amp;FINE_AC,DATA,"&gt;="&amp;INIZIO_AC)&gt;SUMIFS(AVERE,DEN_G,"="&amp;$DC42,DATA,"&lt;="&amp;FINE_AC,DATA,"&gt;="&amp;INIZIO_AC)),CONCATENATE("s ",FIXED(ABS(SUMIFS(DARE,DEN_G,"="&amp;$DC42,DATA,"&lt;="&amp;FINE_AC,DATA,"&gt;="&amp;INIZIO_AC)-SUMIFS(AVERE,DEN_G,"="&amp;$DC42,DATA,"&lt;="&amp;FINE_AC,DATA,"&gt;="&amp;INIZIO_AC)),2)),"")</f>
        <v/>
      </c>
      <c r="DF42" s="48">
        <f ca="1">IF(AND(CX42=$DF$1,CX42&lt;&gt;""),0,IF(AND(DB42&lt;&gt;"",OR(DB41&lt;&gt;"",DB43&lt;&gt;"")),MAX($DF$2:DF41)+1,0))</f>
        <v>0</v>
      </c>
      <c r="DH42" s="244" t="s">
        <v>30</v>
      </c>
      <c r="DI42" s="48" t="s">
        <v>921</v>
      </c>
      <c r="DJ42" s="48" t="s">
        <v>311</v>
      </c>
      <c r="DK42" s="48" t="s">
        <v>275</v>
      </c>
      <c r="DL42" s="48" t="s">
        <v>9</v>
      </c>
      <c r="DM42" s="48" t="s">
        <v>270</v>
      </c>
      <c r="DN42" s="48">
        <f ca="1">IF(DI42&lt;&gt;"",MAX($DN$2:DN41)+1,0)</f>
        <v>25</v>
      </c>
      <c r="DO42" s="48" t="str">
        <f ca="1">IF($BF$9=1,"pab24","pab2")</f>
        <v>pab2</v>
      </c>
      <c r="DW42" s="48">
        <f>IF(DR42&lt;&gt;"",MAX($DW$2:DW41)+1,0)</f>
        <v>0</v>
      </c>
      <c r="DY42" s="48" t="str">
        <f t="shared" ca="1" si="19"/>
        <v/>
      </c>
      <c r="DZ42" s="48" t="str">
        <f t="shared" ca="1" si="40"/>
        <v/>
      </c>
      <c r="EA42" s="48" t="str">
        <f t="shared" ca="1" si="41"/>
        <v/>
      </c>
      <c r="EB42" s="48">
        <f t="shared" ca="1" si="42"/>
        <v>0</v>
      </c>
      <c r="EC42" s="48">
        <f t="shared" ca="1" si="43"/>
        <v>0</v>
      </c>
      <c r="ED42" s="48" t="str">
        <f t="shared" ca="1" si="44"/>
        <v/>
      </c>
      <c r="EE42" s="48">
        <f t="shared" ca="1" si="45"/>
        <v>0</v>
      </c>
      <c r="EF42" s="48" t="str">
        <f t="shared" ca="1" si="46"/>
        <v/>
      </c>
      <c r="EG42" s="48">
        <f t="shared" ca="1" si="47"/>
        <v>0</v>
      </c>
      <c r="EH42" s="48" t="str">
        <f t="shared" ca="1" si="48"/>
        <v/>
      </c>
      <c r="EI42" s="48">
        <f t="shared" ca="1" si="49"/>
        <v>0</v>
      </c>
      <c r="EJ42" s="48" t="str">
        <f t="shared" ca="1" si="50"/>
        <v/>
      </c>
      <c r="EK42" s="48">
        <f t="shared" ca="1" si="51"/>
        <v>0</v>
      </c>
      <c r="EL42" s="48">
        <f t="shared" ca="1" si="20"/>
        <v>0</v>
      </c>
      <c r="EM42" s="48">
        <f ca="1">IF(EL42&gt;=0,0,MAX($EM$2:EM41)+1)</f>
        <v>0</v>
      </c>
      <c r="EN42" s="48" t="str">
        <f t="shared" ca="1" si="21"/>
        <v/>
      </c>
      <c r="EO42" s="48" t="str">
        <f ca="1">IFERROR(INDEX($EM$3:$EN$400,MATCH(ROWS($EO$3:EO42),$EM$3:$EM$400,0),2),"")</f>
        <v/>
      </c>
      <c r="EP42" s="48">
        <f>ROW()</f>
        <v>42</v>
      </c>
      <c r="EQ42" s="48">
        <f t="shared" ca="1" si="22"/>
        <v>0</v>
      </c>
      <c r="ER42" s="48">
        <f ca="1">IF(ISNA(EQ42)=TRUE,MAX($ER$2:ER41)+1,0)</f>
        <v>0</v>
      </c>
      <c r="ES42" s="48" t="str">
        <f t="shared" ca="1" si="52"/>
        <v/>
      </c>
      <c r="ET42" s="48" t="str">
        <f ca="1">IFERROR(INDEX($ER$3:$ES$400,MATCH(ROWS($ET$3:ET42),$ER$3:$ER$400,0),2),"")</f>
        <v/>
      </c>
      <c r="EV42" s="48">
        <f ca="1">IFERROR(INDEX(LIBRO_GIORNALE!$O$11:$P$408,MATCH(ROWS($EV$2:EV41),LIBRO_GIORNALE!$P$11:$P$408,0),1),0)</f>
        <v>0</v>
      </c>
      <c r="EW42" s="48" t="str">
        <f t="shared" ca="1" si="53"/>
        <v>0</v>
      </c>
      <c r="EX42" s="48">
        <f t="shared" ca="1" si="54"/>
        <v>0</v>
      </c>
      <c r="EY42" s="48">
        <f ca="1">IF(EX42&gt;0,MAX($EY$2:EY41)+1,0)</f>
        <v>0</v>
      </c>
      <c r="EZ42" s="48">
        <f ca="1">IFERROR(INDEX($EX$3:$EX$400,MATCH(ROWS($EZ$3:EZ42),$EY$3:$EY$400,0),1),0)</f>
        <v>0</v>
      </c>
      <c r="FA42" s="48">
        <f ca="1">IF(EZ42&gt;0,0,MAX($FA$2:FA41)+1)</f>
        <v>40</v>
      </c>
      <c r="FB42" s="48">
        <f t="shared" ca="1" si="55"/>
        <v>0</v>
      </c>
      <c r="FC42" s="48">
        <f t="shared" ca="1" si="56"/>
        <v>40</v>
      </c>
      <c r="FD42" s="48">
        <f t="shared" ca="1" si="57"/>
        <v>40</v>
      </c>
      <c r="FE42" s="48">
        <f ca="1">IF(FD42=0,0,MAX($FE$2:FE41)+1)</f>
        <v>40</v>
      </c>
      <c r="FF42" s="48">
        <f ca="1">IFERROR(INDEX($FD$3:$FE$400,MATCH(ROWS($FF$3:FF42),$FE$3:$FE$400,0),1),"")</f>
        <v>40</v>
      </c>
      <c r="FH42" s="48">
        <f t="shared" ca="1" si="58"/>
        <v>0</v>
      </c>
      <c r="FI42" s="48">
        <f ca="1">IF(FH42&lt;&gt;0,MAX($FI$2:FI41)+1,0)</f>
        <v>0</v>
      </c>
      <c r="FJ42" s="48" t="str">
        <f ca="1">IFERROR(INDEX($FH$3:$FI$400,MATCH(ROWS($FJ$3:FJ42),$FI$3:$FI$400,0),1),"")</f>
        <v/>
      </c>
      <c r="FK42" s="48">
        <f ca="1">IF(ABS(SUMIFS(DARE,DEN_G,"="&amp;FJ42,DATA,"&lt;="&amp;FINE_AC,DATA,"&gt;="&amp;INIZIO_A_PC)-SUMIFS(AVERE,DEN_G,"="&amp;FJ42,DATA,"&lt;="&amp;FINE_AC,DATA,"&gt;="&amp;INIZIO_A_PC))&gt;0,MAX($FK$2:FK41)+1,0)</f>
        <v>0</v>
      </c>
      <c r="FL42" s="48" t="str">
        <f ca="1">IF(AND(ROW()-2&lt;&gt;1,ROW()-2&lt;=$FK$1),CONCATENATE(" - ",IFERROR(INDEX($FJ$3:$FK$400,MATCH(ROWS($FL$3:FL42),$FK$3:$FK$400,0),1),"")),IFERROR(INDEX($FJ$3:$FK$400,MATCH(ROWS($FL$3:FL42),$FK$3:$FK$400,0),1),""))</f>
        <v/>
      </c>
      <c r="FM42" s="48">
        <f ca="1">IF(OR(B42="IVA ns/credito",B42="IVA NS/DEBITO",B42="IVA C/ACCONTO",B42="IMPOSTE C/ACCONTO",B42="CREDITI PER RITENUTE SUBITE",B42="CREDITI D'IMPOSTA"),MAX($FM$2:FM41)+1,0)</f>
        <v>0</v>
      </c>
      <c r="FN42" s="48" t="str">
        <f t="shared" ca="1" si="59"/>
        <v/>
      </c>
      <c r="FO42" s="48" t="str">
        <f ca="1">IFERROR(INDEX($FM$3:$FN$400,MATCH(ROWS($FO$3:FO42),$FM$3:$FM$400,0),2),"")</f>
        <v/>
      </c>
      <c r="FP42" s="48">
        <f ca="1">IF(ABS(SUMIFS(DARE,DEN_G,"="&amp;FO42,DATA,"&lt;="&amp;FINE_AC,DATA,"&gt;="&amp;INIZIO_A_PC)-SUMIFS(AVERE,DEN_G,"="&amp;FO42,DATA,"&lt;="&amp;FINE_AC,DATA,"&gt;="&amp;INIZIO_A_PC))&gt;0,MAX($FP$2:FP41)+1,0)</f>
        <v>0</v>
      </c>
      <c r="FQ42" s="48" t="str">
        <f ca="1">IF(AND(ROW()-2&lt;&gt;1,ROW()-2&lt;=$FP$1),CONCATENATE(" - ",IFERROR(INDEX($FO$3:$FP$400,MATCH(ROWS($FQ$3:FQ42),$FP$3:$FP$400,0),1),"")),IFERROR(INDEX($FO$3:$FP$400,MATCH(ROWS($FQ$3:FQ42),$FP$3:$FP$400,0),1),""))</f>
        <v/>
      </c>
    </row>
    <row r="43" spans="1:173" x14ac:dyDescent="0.3">
      <c r="A43" s="48" t="str">
        <f ca="1">IFERROR(IF($A$1=2,INDEX($DH$3:$DN$401,MATCH(ROWS(A$3:A43),$DN$3:$DN$401,0),COLUMN()),IF($A$1=1,INDEX($DQ$3:$DW$401,MATCH(ROWS(A$3:A43),$DW$3:$DW$401,0),COLUMN()),"")),"")</f>
        <v>03.00</v>
      </c>
      <c r="B43" s="48" t="str">
        <f ca="1">IFERROR(IF($A$1=2,INDEX($DH$3:$DN$401,MATCH(ROWS(B$3:B43),$DN$3:$DN$401,0),COLUMN()),IF($A$1=1,INDEX($DQ$3:$DW$400,MATCH(ROWS(B$3:B43),$DW$3:$DW$401,0),COLUMN()),"")),"")</f>
        <v>IMMOBILIZZAZIONI FINANZIARIE</v>
      </c>
      <c r="C43" s="48">
        <f ca="1">IFERROR(IF($A$1=2,INDEX($DH$3:$DN$401,MATCH(ROWS(C$3:C43),$DN$3:$DN$401,0),COLUMN()),IF($A$1=1,INDEX($DQ$3:$DW$401,MATCH(ROWS(C$3:C43),$DW$3:$DW$401,0),COLUMN()),"")),"")</f>
        <v>0</v>
      </c>
      <c r="D43" s="48">
        <f ca="1">IFERROR(IF($A$1=2,INDEX($DH$3:$DN$401,MATCH(ROWS(D$3:D43),$DN$3:$DN$401,0),COLUMN()),IF($A$1=1,INDEX($DQ$3:$DW$401,MATCH(ROWS(D$3:D43),$DW$3:$DW$401,0),COLUMN()),"")),"")</f>
        <v>0</v>
      </c>
      <c r="E43" s="48">
        <f ca="1">IFERROR(IF($A$1=2,INDEX($DH$3:$DN$401,MATCH(ROWS(E$3:E43),$DN$3:$DN$401,0),COLUMN()),IF($A$1=1,INDEX($DQ$3:$DW$401,MATCH(ROWS(E$3:E43),$DW$3:$DW$401,0),COLUMN()),"")),"")</f>
        <v>0</v>
      </c>
      <c r="F43" s="48">
        <f ca="1">IFERROR(IF($A$1=2,INDEX($DH$3:$DN$401,MATCH(ROWS(F$3:F43),$DN$3:$DN$401,0),COLUMN()),IF($A$1=1,INDEX($DQ$3:$DX$401,MATCH(ROWS(F$3:F43),$DW$3:$DW$401,0),COLUMN()),"")),"")</f>
        <v>0</v>
      </c>
      <c r="G43" s="48" t="str">
        <f t="shared" ca="1" si="23"/>
        <v>0</v>
      </c>
      <c r="H43" s="48">
        <f ca="1">IFERROR(IF($A$1=2,INDEX($DH$3:$DO$400,MATCH(ROWS(H$3:H43),$DN$3:$DN$400,0),COLUMN()),IF($A$1=1,INDEX($DQ$3:$DX$400,MATCH(ROWS(H$3:H43),$DW$3:$DW$400,0),COLUMN()),"")),"")</f>
        <v>0</v>
      </c>
      <c r="I43" s="48" t="str">
        <f t="shared" ca="1" si="0"/>
        <v/>
      </c>
      <c r="J43" s="48" t="str">
        <f t="shared" ca="1" si="24"/>
        <v/>
      </c>
      <c r="K43" s="48">
        <f t="shared" ca="1" si="25"/>
        <v>0</v>
      </c>
      <c r="L43" s="48">
        <f t="shared" ca="1" si="26"/>
        <v>0</v>
      </c>
      <c r="M43" s="48">
        <f ca="1">IFERROR(IF(IF(MID($A43,3,3)=".00",MID(A43,1,2),"")&lt;&gt;"",MAX($M$2:M42)+1,0),"")</f>
        <v>4</v>
      </c>
      <c r="N43" s="48" t="str">
        <f t="shared" ca="1" si="27"/>
        <v>03</v>
      </c>
      <c r="O43" s="48" t="str">
        <f ca="1">IF(IFERROR(INDEX($N$3:$O$400,MATCH(ROWS($O$3:O43),$M$3:$M$400,0),1),"")&lt;&gt;"",CONCATENATE(INDEX($N$3:$O$400,MATCH(ROWS($O$3:O43),$M$3:$M$400,0),1),".00"),"")</f>
        <v/>
      </c>
      <c r="P43" s="48" t="str">
        <f t="shared" ca="1" si="28"/>
        <v/>
      </c>
      <c r="Q43" s="48">
        <f ca="1">IF(M43&gt;=1,0,MAX($Q$2:Q42)+1)</f>
        <v>0</v>
      </c>
      <c r="R43" s="48">
        <f ca="1">IF(AND($U$2=2,S43&lt;&gt;""),MAX($R$2:R42)+1,0)</f>
        <v>25</v>
      </c>
      <c r="S43" s="48" t="str">
        <f t="shared" ca="1" si="81"/>
        <v>COSTI PER GODIMENTO BENI DI TERZI</v>
      </c>
      <c r="T43" s="48" t="str">
        <f ca="1">IFERROR(INDEX($R$3:$S$64,MATCH(ROWS($T$2:T42),$R$3:$R$64,0),2),"")</f>
        <v/>
      </c>
      <c r="U43" s="48" t="str">
        <f ca="1">IFERROR(INDEX(PDC,MATCH(ROWS(U$3:U43),$V$3:$V$400,0),2),"")</f>
        <v>PARTECIPAZIONI DIVERSE</v>
      </c>
      <c r="V43" s="48">
        <f ca="1">IF(AND($T$1="VISUALIZZA TUTTI I CONTI",AA43&lt;&gt;""),MAX($V$2:V42)+1,IF(AND($U$2=2,AI43=$T$1),MAX($V$2:V42)+1,IF(AND($U$2=1,$T$1=AF43),MAX($V$2:V42)+1,0)))</f>
        <v>41</v>
      </c>
      <c r="Z43" s="246"/>
      <c r="AA43" s="48" t="str">
        <f t="shared" ca="1" si="29"/>
        <v>03.00</v>
      </c>
      <c r="AB43" s="48" t="str">
        <f ca="1">IFERROR(INDEX($A$3:$G$400,MATCH(ROWS(AB$3:AB43),$Q$3:$Q$400,0),1),"")</f>
        <v>03.04</v>
      </c>
      <c r="AC43" s="48" t="str">
        <f ca="1">IFERROR(INDEX($A$3:$G$400,MATCH(ROWS($AC$3:AC43),$Q$3:$Q$400,0),2),"")</f>
        <v>PARTECIPAZIONI DIVERSE</v>
      </c>
      <c r="AD43" s="48" t="str">
        <f ca="1">IFERROR(INDEX($A$3:$G$400,MATCH(ROWS(AD$3:AD43),$Q$3:$Q$400,0),3),"")</f>
        <v>E</v>
      </c>
      <c r="AE43" s="48" t="str">
        <f ca="1">IFERROR(INDEX($A$3:$G$400,MATCH(ROWS(AE$3:AE43),$Q$3:$Q$400,0),4),"")</f>
        <v>D</v>
      </c>
      <c r="AF43" s="48" t="str">
        <f ca="1">IFERROR(INDEX($A$3:$G$400,MATCH(ROWS(AF$3:AF43),$Q$3:$Q$400,0),5),"")</f>
        <v>COSTI SOSPESI</v>
      </c>
      <c r="AG43" s="48" t="str">
        <f ca="1">IFERROR(INDEX($A$3:$G$400,MATCH(ROWS(AG$3:AG43),$Q$3:$Q$400,0),6),"")</f>
        <v>SP DARE</v>
      </c>
      <c r="AH43" s="48" t="str">
        <f ca="1">IFERROR(INDEX($A$3:$G$400,MATCH(ROWS(AH$3:AH43),$Q$3:$Q$400,0),7),"")</f>
        <v>SP</v>
      </c>
      <c r="AI43" s="48" t="str">
        <f t="shared" ca="1" si="1"/>
        <v>IMMOBILIZZAZIONI FINANZIARIE</v>
      </c>
      <c r="AJ43" s="48" t="str">
        <f ca="1">IFERROR(INDEX($A$3:$H$400,MATCH(ROWS(AJ$3:AJ43),$Q$3:$Q$400,0),8),"")</f>
        <v>pab3</v>
      </c>
      <c r="AK43" s="48">
        <f t="shared" ca="1" si="2"/>
        <v>0</v>
      </c>
      <c r="AL43" s="48">
        <f t="shared" ca="1" si="95"/>
        <v>0</v>
      </c>
      <c r="AM43" s="48">
        <f t="shared" ca="1" si="30"/>
        <v>0</v>
      </c>
      <c r="AN43" s="48" t="str">
        <f t="shared" ca="1" si="31"/>
        <v/>
      </c>
      <c r="AO43" s="48">
        <f t="shared" ca="1" si="32"/>
        <v>0</v>
      </c>
      <c r="AP43" s="48">
        <f t="shared" ca="1" si="32"/>
        <v>0</v>
      </c>
      <c r="AQ43" s="48" t="str">
        <f t="shared" ca="1" si="4"/>
        <v>PARTECIPAZIONI DIVERSE</v>
      </c>
      <c r="AR43" s="48">
        <f t="shared" ca="1" si="5"/>
        <v>0</v>
      </c>
      <c r="AS43" s="48">
        <f t="shared" ca="1" si="6"/>
        <v>0</v>
      </c>
      <c r="AT43" s="48">
        <f t="shared" ca="1" si="33"/>
        <v>0</v>
      </c>
      <c r="AU43" s="48">
        <f t="shared" ca="1" si="34"/>
        <v>0</v>
      </c>
      <c r="AV43" s="48">
        <f ca="1">IF(OR(AT43&gt;0,AU43&gt;0),MAX($AV$2:AV42)+1,0)</f>
        <v>0</v>
      </c>
      <c r="AZ43" s="241" t="str">
        <f t="shared" ca="1" si="35"/>
        <v/>
      </c>
      <c r="BA43" s="48">
        <f t="shared" ca="1" si="96"/>
        <v>0</v>
      </c>
      <c r="BB43" s="48">
        <f ca="1">IFERROR(INDEX($AQ$3:$AV$220,MATCH(ROWS($BB$3:BB43),$AV$3:$AV$220,0),1),0)</f>
        <v>0</v>
      </c>
      <c r="BC43" s="48" t="str">
        <f t="shared" ca="1" si="36"/>
        <v/>
      </c>
      <c r="BD43" s="48">
        <f ca="1">IFERROR(INDEX($AQ$3:$AV$220,MATCH(ROWS($BB$3:BD43),$AV$3:$AV$220,0),4),0)</f>
        <v>0</v>
      </c>
      <c r="BE43" s="48">
        <f ca="1">IFERROR(INDEX($AQ$3:$AV$220,MATCH(ROWS($BB$3:BE43),$AV$3:$AV$220,0),5),0)</f>
        <v>0</v>
      </c>
      <c r="BF43" s="48">
        <v>29</v>
      </c>
      <c r="BG43" s="48">
        <f ca="1">IF(IF(AND(OR(INDEX(PDC,MATCH($AC43,DEN_PDC,0),6)="SP DARE",INDEX(PDC,MATCH($AC43,DEN_PDC,0),6)="SP DARE/AVERE"),SUMIFS(DARE,DEN_G,$AC43)&gt;=SUMIFS(AVERE,DEN_G,$AC43)),SUMIFS(DARE,DEN_G,$AC43)-SUMIFS(AVERE,DEN_G,$AC43),0)&gt;0,MAX($BG$2:BG42)+1,0)</f>
        <v>0</v>
      </c>
      <c r="BH43" s="48">
        <f ca="1">IF(IF(AND(OR(INDEX(PDC,MATCH($AC43,DEN_PDC,0),6)="SP AVERE",INDEX(PDC,MATCH($AC43,DEN_PDC,0),6)="SP DARE/AVERE"),SUMIFS(AVERE,DEN_G,$AC43)&gt;=SUMIFS(DARE,DEN_G,$AC43)),SUMIFS(AVERE,DEN_G,$AC43)-SUMIFS(DARE,DEN_G,$AC43),0)&gt;0,MAX(BH$2:BH42)+1,0)</f>
        <v>0</v>
      </c>
      <c r="BI43" s="48">
        <f ca="1">IF(IF(AND(OR(INDEX(PDC,MATCH($AC43,DEN_PDC,0),6)="SE DARE",INDEX(PDC,MATCH($AC43,DEN_PDC,0),6)="SE DARE/AVERE"),SUMIFS(DARE,DEN_G,$AC43)&gt;=SUMIFS(AVERE,DEN_G,$AC43)),SUMIFS(DARE,DEN_G,$AC43)-SUMIFS(AVERE,DEN_G,$AC43),0)&gt;0,MAX(BI$2:BI42)+1,0)</f>
        <v>0</v>
      </c>
      <c r="BJ43" s="48">
        <f ca="1">IF(IF(AND(OR(INDEX(PDC,MATCH($AC43,DEN_PDC,0),6)="SE AVERE",INDEX(PDC,MATCH($AC43,DEN_PDC,0),6)="SE DARE/AVERE"),SUMIFS(AVERE,DEN_G,$AC43)&gt;=SUMIFS(DARE,DEN_G,$AC43)),SUMIFS(AVERE,DEN_G,$AC43)-SUMIFS(DARE,DEN_G,$AC43),0)&gt;0,MAX(BJ$2:BJ42)+1,0)</f>
        <v>0</v>
      </c>
      <c r="BK43" s="48" t="str">
        <f ca="1">IF(AND(AND($DY$2=0,$DY$1=0),$I$1=2,ROW()&gt;$BG$1+2,ROW()&lt;=$BG$1+4),"………………..",IF(AND(OR($DY$2&gt;0,$DY$1&gt;0),$I$1=2,ROW()&gt;$BG$1+2,ROW()&lt;=$BG$1+4),"………………..",IFERROR(INDEX($AC$3:$AC$398,MATCH(ROWS(BK$3:BK43),BG$3:BG$398,0),1),"")))</f>
        <v/>
      </c>
      <c r="BL43" s="48">
        <f t="shared" ca="1" si="69"/>
        <v>0</v>
      </c>
      <c r="BM43" s="48" t="str">
        <f ca="1">IF(AND(OR($DY$2=0,$DY$1=0),$I$1=2,ROW()&gt;$BH$1+2,ROW()&lt;=$BH$1+4),"………………..",IF(AND(OR($DY$2&gt;0,$DY$1&gt;0),$I$1=2,ROW()&gt;$BH$1+2,ROW()&lt;=$BH$1+4),"………………..",IFERROR(INDEX($AC$3:$AC$400,MATCH(ROWS(BM$3:BM43),BH$3:BH$400,0),1),"")))</f>
        <v/>
      </c>
      <c r="BN43" s="48">
        <f t="shared" ca="1" si="9"/>
        <v>0</v>
      </c>
      <c r="BO43" s="48" t="str">
        <f ca="1">IF(AND(OR($DY$2=0,$DY$1=0),$I$1=2,ROW()&gt;$BI$1+2,ROW()&lt;=$BI$1+4),"………………..",IF(AND(OR($DY$2&gt;0,$DY$1&gt;0),$I$1=2,ROW()&gt;$BI$1+2,ROW()&lt;=$BI$1+4),"………………..",IFERROR(INDEX($AC$3:$AC$400,MATCH(ROWS(BO$3:BO43),BI$3:BI$400,0),1),"")))</f>
        <v/>
      </c>
      <c r="BP43" s="48">
        <f t="shared" ca="1" si="10"/>
        <v>0</v>
      </c>
      <c r="BQ43" s="48" t="str">
        <f ca="1">IF(AND(OR($DY$2=0,$DY$1=0),$I$1=2,ROW()&gt;$BJ$1+2,ROW()&lt;=$BJ$1+4),"………………..",IF(AND(OR($DY$2&gt;0,$DY$1&gt;0),$I$1=2,ROW()&gt;$BJ$1+2,ROW()&lt;=$BJ$1+4),"………………..",IFERROR(INDEX($AC$3:$AC$400,MATCH(ROWS(BQ$3:BQ43),BJ$3:BJ$400,0),1),"")))</f>
        <v/>
      </c>
      <c r="BR43" s="48">
        <f t="shared" ca="1" si="11"/>
        <v>0</v>
      </c>
      <c r="BS43" s="48">
        <f ca="1">IF(IF(AND(OR(INDEX(PDC,MATCH($AC43,DEN_PDC,0),4)="D",INDEX(PDC,MATCH($AC43,DEN_PDC,0),4)="D/A"),SUMIFS(DARE,DEN_G,$AC43)&gt;=SUMIFS(AVERE,DEN_G,$AC43)),SUMIFS(DARE,DEN_G,$AC43),IF(AND(OR(INDEX(PDC,MATCH($AC43,DEN_PDC,0),4)="A",INDEX(PDC,MATCH($AC43,DEN_PDC,0),4)="D/A"),SUMIFS(AVERE,DEN_G,$AC43)&gt;=SUMIFS(DARE,DEN_G,$AC43)),SUMIFS(AVERE,DEN_G,$AC43),))&gt;0,MAX($BS$2:BS42)+1,0)</f>
        <v>0</v>
      </c>
      <c r="BT43" s="48" t="str">
        <f ca="1">IF($CO$1=0,"",IF(AND($I$1=2,ROW()&gt;$BR$1,ROW()&lt;=$BS$1)," …………….",IF(AND($E$1=1,$BX$1=1,$I$1=2,ROW()=$BQ$1),"TOTALI",IFERROR(INDEX(PDC,MATCH(ROWS(BT$3:BT43),BS$3:BS440,0),2),""))))</f>
        <v/>
      </c>
      <c r="BU43" s="48">
        <f t="shared" ca="1" si="12"/>
        <v>0</v>
      </c>
      <c r="BV43" s="48">
        <f t="shared" ca="1" si="13"/>
        <v>0</v>
      </c>
      <c r="BW43" s="48">
        <f t="shared" ca="1" si="14"/>
        <v>0</v>
      </c>
      <c r="BX43" s="48">
        <f t="shared" ca="1" si="15"/>
        <v>0</v>
      </c>
      <c r="BY43" s="48">
        <f ca="1">IF(OR(BW43&gt;0,BX43&gt;0),MAX($BY$2:BY42)+1,0)</f>
        <v>0</v>
      </c>
      <c r="BZ43" s="48" t="str">
        <f ca="1">IFERROR(INDEX($BT$3:$BY$400,MATCH(ROWS(BZ$3:BZ43),$BY$3:$BY$400,0),1),"")</f>
        <v/>
      </c>
      <c r="CA43" s="48" t="str">
        <f ca="1">IFERROR(INDEX($BT$3:$BY$400,MATCH(ROWS(CA$3:CA43),$BY$3:$BY$400,0),4),"")</f>
        <v/>
      </c>
      <c r="CB43" s="48" t="str">
        <f ca="1">IFERROR(INDEX($BT$3:$BY$400,MATCH(ROWS(CB$3:CB43),$BY$3:$BY$400,0),5),"")</f>
        <v/>
      </c>
      <c r="CC43" s="48" t="str">
        <f t="shared" ca="1" si="16"/>
        <v/>
      </c>
      <c r="CD43" s="48">
        <f ca="1">IF(AND($CF$1=TRUE,$BF$9=1,CE43&lt;&gt;0),MAX($CD$2:CD42)+1,0)</f>
        <v>0</v>
      </c>
      <c r="CE43" s="48">
        <f ca="1">IF($I$1=1,SUM(CE42,CE21,CE14),IF(AND($I$1=2,OR(CE42="_ _ _",CE21="_ _ _",CE14="_ _ _")),"_ _ _",0))</f>
        <v>0</v>
      </c>
      <c r="CG43" s="242" t="s">
        <v>700</v>
      </c>
      <c r="CH43" s="242">
        <f ca="1">CE43</f>
        <v>0</v>
      </c>
      <c r="CI43" s="242"/>
      <c r="CJ43" s="242"/>
      <c r="CM43" s="242" t="str">
        <f t="shared" ca="1" si="37"/>
        <v/>
      </c>
      <c r="CN43" s="243">
        <f t="shared" ca="1" si="38"/>
        <v>0</v>
      </c>
      <c r="CO43" s="48" t="str">
        <f t="shared" ca="1" si="39"/>
        <v/>
      </c>
      <c r="CQ43" s="247">
        <f ca="1">CQ29</f>
        <v>46023</v>
      </c>
      <c r="CR43" s="247">
        <f ca="1">CR29</f>
        <v>46387</v>
      </c>
      <c r="CS43" s="48">
        <f t="shared" ref="CS43:CS48" ca="1" si="101">SUMIFS(dare_grezzo,den_grezzo,"="&amp;"imposte dell'esercizio",data_grezzo,"="&amp;CR43,dare_grezzo,"&gt;"&amp;0)</f>
        <v>0</v>
      </c>
      <c r="CT43" s="242">
        <f t="shared" ref="CT43:CT48" ca="1" si="102">COUNTIFS(data_grezzo,"="&amp;CR43)</f>
        <v>0</v>
      </c>
      <c r="CU43" s="48">
        <f ca="1">IF(SUMIFS(AVERE,DEN_G,AC43,AVERE,"&gt;"&amp;0)+SUMIFS(DARE,DEN_G,AC43,DARE,"&gt;"&amp;0)&gt;0,MAX($CU$2:CU42)+1,0)</f>
        <v>0</v>
      </c>
      <c r="CV43" s="48" t="str">
        <f ca="1">IF(IFERROR(INDEX(PDC,MATCH(ROWS($CV$3:CV43),$CU$3:$CU$400,0),2),"")="CONTO DI RISULTATO ECONOMICO","",IFERROR(INDEX(PDC,MATCH(ROWS($CV$3:CV43),$CU$3:$CU$400,0),2),""))</f>
        <v/>
      </c>
      <c r="CW43" s="48">
        <f ca="1">IFERROR(IF(CV43&lt;&gt;"",MAX($CW$2:CW42)+1,0),0)</f>
        <v>0</v>
      </c>
      <c r="CX43" s="48">
        <f t="shared" ref="CX43:CX53" ca="1" si="103">$FF$6</f>
        <v>4</v>
      </c>
      <c r="CY43" s="48" t="str">
        <f t="shared" ca="1" si="100"/>
        <v>MASTRO</v>
      </c>
      <c r="DA43" s="48" t="str">
        <f ca="1">IF(DB42="","","Num. riga")</f>
        <v/>
      </c>
      <c r="DB43" s="48" t="str">
        <f t="shared" ref="DB43" ca="1" si="104">IF(DB42="","","Data")</f>
        <v/>
      </c>
      <c r="DC43" s="48" t="str">
        <f ca="1">IF(DB42="","","Operazioni")</f>
        <v/>
      </c>
      <c r="DD43" s="48" t="str">
        <f ca="1">IF(DB42="","","Dare        ")</f>
        <v/>
      </c>
      <c r="DE43" s="48" t="str">
        <f ca="1">IF(DB42="","","Avere        ")</f>
        <v/>
      </c>
      <c r="DF43" s="48">
        <f ca="1">IF(AND(CX43=$DF$1,CX43&lt;&gt;""),0,IF(AND(DB43&lt;&gt;"",OR(DB42&lt;&gt;"",DB44&lt;&gt;"")),MAX($DF$2:DF42)+1,0))</f>
        <v>0</v>
      </c>
      <c r="DH43" s="244" t="s">
        <v>31</v>
      </c>
      <c r="DI43" s="48" t="s">
        <v>23</v>
      </c>
      <c r="DJ43" s="48" t="s">
        <v>311</v>
      </c>
      <c r="DK43" s="48" t="s">
        <v>275</v>
      </c>
      <c r="DL43" s="48" t="s">
        <v>9</v>
      </c>
      <c r="DM43" s="48" t="s">
        <v>270</v>
      </c>
      <c r="DN43" s="48">
        <f ca="1">IF(DI43&lt;&gt;"",MAX($DN$2:DN42)+1,0)</f>
        <v>26</v>
      </c>
      <c r="DO43" s="48" t="str">
        <f t="shared" ref="DO43:DO45" ca="1" si="105">IF($BF$9=1,"pab24","pab2")</f>
        <v>pab2</v>
      </c>
      <c r="DW43" s="48">
        <f>IF(DR43&lt;&gt;"",MAX($DW$2:DW42)+1,0)</f>
        <v>0</v>
      </c>
      <c r="DY43" s="48" t="str">
        <f t="shared" ca="1" si="19"/>
        <v/>
      </c>
      <c r="DZ43" s="48" t="str">
        <f t="shared" ca="1" si="40"/>
        <v/>
      </c>
      <c r="EA43" s="48" t="str">
        <f t="shared" ca="1" si="41"/>
        <v/>
      </c>
      <c r="EB43" s="48">
        <f t="shared" ca="1" si="42"/>
        <v>0</v>
      </c>
      <c r="EC43" s="48">
        <f t="shared" ca="1" si="43"/>
        <v>0</v>
      </c>
      <c r="ED43" s="48" t="str">
        <f t="shared" ca="1" si="44"/>
        <v/>
      </c>
      <c r="EE43" s="48">
        <f t="shared" ca="1" si="45"/>
        <v>0</v>
      </c>
      <c r="EF43" s="48" t="str">
        <f t="shared" ca="1" si="46"/>
        <v/>
      </c>
      <c r="EG43" s="48">
        <f t="shared" ca="1" si="47"/>
        <v>0</v>
      </c>
      <c r="EH43" s="48" t="str">
        <f t="shared" ca="1" si="48"/>
        <v/>
      </c>
      <c r="EI43" s="48">
        <f t="shared" ca="1" si="49"/>
        <v>0</v>
      </c>
      <c r="EJ43" s="48" t="str">
        <f t="shared" ca="1" si="50"/>
        <v/>
      </c>
      <c r="EK43" s="48">
        <f t="shared" ca="1" si="51"/>
        <v>0</v>
      </c>
      <c r="EL43" s="48">
        <f t="shared" ca="1" si="20"/>
        <v>0</v>
      </c>
      <c r="EM43" s="48">
        <f ca="1">IF(EL43&gt;=0,0,MAX($EM$2:EM42)+1)</f>
        <v>0</v>
      </c>
      <c r="EN43" s="48" t="str">
        <f t="shared" ca="1" si="21"/>
        <v/>
      </c>
      <c r="EO43" s="48" t="str">
        <f ca="1">IFERROR(INDEX($EM$3:$EN$400,MATCH(ROWS($EO$3:EO43),$EM$3:$EM$400,0),2),"")</f>
        <v/>
      </c>
      <c r="EP43" s="48">
        <f>ROW()</f>
        <v>43</v>
      </c>
      <c r="EQ43" s="48">
        <f t="shared" ca="1" si="22"/>
        <v>0</v>
      </c>
      <c r="ER43" s="48">
        <f ca="1">IF(ISNA(EQ43)=TRUE,MAX($ER$2:ER42)+1,0)</f>
        <v>0</v>
      </c>
      <c r="ES43" s="48" t="str">
        <f t="shared" ca="1" si="52"/>
        <v/>
      </c>
      <c r="ET43" s="48" t="str">
        <f ca="1">IFERROR(INDEX($ER$3:$ES$400,MATCH(ROWS($ET$3:ET43),$ER$3:$ER$400,0),2),"")</f>
        <v/>
      </c>
      <c r="EV43" s="48">
        <f ca="1">IFERROR(INDEX(LIBRO_GIORNALE!$O$11:$P$408,MATCH(ROWS($EV$2:EV42),LIBRO_GIORNALE!$P$11:$P$408,0),1),0)</f>
        <v>0</v>
      </c>
      <c r="EW43" s="48" t="str">
        <f t="shared" ca="1" si="53"/>
        <v>0</v>
      </c>
      <c r="EX43" s="48">
        <f t="shared" ca="1" si="54"/>
        <v>0</v>
      </c>
      <c r="EY43" s="48">
        <f ca="1">IF(EX43&gt;0,MAX($EY$2:EY42)+1,0)</f>
        <v>0</v>
      </c>
      <c r="EZ43" s="48">
        <f ca="1">IFERROR(INDEX($EX$3:$EX$400,MATCH(ROWS($EZ$3:EZ43),$EY$3:$EY$400,0),1),0)</f>
        <v>0</v>
      </c>
      <c r="FA43" s="48">
        <f ca="1">IF(EZ43&gt;0,0,MAX($FA$2:FA42)+1)</f>
        <v>41</v>
      </c>
      <c r="FB43" s="48">
        <f t="shared" ca="1" si="55"/>
        <v>0</v>
      </c>
      <c r="FC43" s="48">
        <f t="shared" ca="1" si="56"/>
        <v>41</v>
      </c>
      <c r="FD43" s="48">
        <f t="shared" ca="1" si="57"/>
        <v>41</v>
      </c>
      <c r="FE43" s="48">
        <f ca="1">IF(FD43=0,0,MAX($FE$2:FE42)+1)</f>
        <v>41</v>
      </c>
      <c r="FF43" s="48">
        <f ca="1">IFERROR(INDEX($FD$3:$FE$400,MATCH(ROWS($FF$3:FF43),$FE$3:$FE$400,0),1),"")</f>
        <v>41</v>
      </c>
      <c r="FH43" s="48">
        <f t="shared" ca="1" si="58"/>
        <v>0</v>
      </c>
      <c r="FI43" s="48">
        <f ca="1">IF(FH43&lt;&gt;0,MAX($FI$2:FI42)+1,0)</f>
        <v>0</v>
      </c>
      <c r="FJ43" s="48" t="str">
        <f ca="1">IFERROR(INDEX($FH$3:$FI$400,MATCH(ROWS($FJ$3:FJ43),$FI$3:$FI$400,0),1),"")</f>
        <v/>
      </c>
      <c r="FK43" s="48">
        <f ca="1">IF(ABS(SUMIFS(DARE,DEN_G,"="&amp;FJ43,DATA,"&lt;="&amp;FINE_AC,DATA,"&gt;="&amp;INIZIO_A_PC)-SUMIFS(AVERE,DEN_G,"="&amp;FJ43,DATA,"&lt;="&amp;FINE_AC,DATA,"&gt;="&amp;INIZIO_A_PC))&gt;0,MAX($FK$2:FK42)+1,0)</f>
        <v>0</v>
      </c>
      <c r="FL43" s="48" t="str">
        <f ca="1">IF(AND(ROW()-2&lt;&gt;1,ROW()-2&lt;=$FK$1),CONCATENATE(" - ",IFERROR(INDEX($FJ$3:$FK$400,MATCH(ROWS($FL$3:FL43),$FK$3:$FK$400,0),1),"")),IFERROR(INDEX($FJ$3:$FK$400,MATCH(ROWS($FL$3:FL43),$FK$3:$FK$400,0),1),""))</f>
        <v/>
      </c>
      <c r="FM43" s="48">
        <f ca="1">IF(OR(B43="IVA ns/credito",B43="IVA NS/DEBITO",B43="IVA C/ACCONTO",B43="IMPOSTE C/ACCONTO",B43="CREDITI PER RITENUTE SUBITE",B43="CREDITI D'IMPOSTA"),MAX($FM$2:FM42)+1,0)</f>
        <v>0</v>
      </c>
      <c r="FN43" s="48" t="str">
        <f t="shared" ca="1" si="59"/>
        <v/>
      </c>
      <c r="FO43" s="48" t="str">
        <f ca="1">IFERROR(INDEX($FM$3:$FN$400,MATCH(ROWS($FO$3:FO43),$FM$3:$FM$400,0),2),"")</f>
        <v/>
      </c>
      <c r="FP43" s="48">
        <f ca="1">IF(ABS(SUMIFS(DARE,DEN_G,"="&amp;FO43,DATA,"&lt;="&amp;FINE_AC,DATA,"&gt;="&amp;INIZIO_A_PC)-SUMIFS(AVERE,DEN_G,"="&amp;FO43,DATA,"&lt;="&amp;FINE_AC,DATA,"&gt;="&amp;INIZIO_A_PC))&gt;0,MAX($FP$2:FP42)+1,0)</f>
        <v>0</v>
      </c>
      <c r="FQ43" s="48" t="str">
        <f ca="1">IF(AND(ROW()-2&lt;&gt;1,ROW()-2&lt;=$FP$1),CONCATENATE(" - ",IFERROR(INDEX($FO$3:$FP$400,MATCH(ROWS($FQ$3:FQ43),$FP$3:$FP$400,0),1),"")),IFERROR(INDEX($FO$3:$FP$400,MATCH(ROWS($FQ$3:FQ43),$FP$3:$FP$400,0),1),""))</f>
        <v/>
      </c>
    </row>
    <row r="44" spans="1:173" x14ac:dyDescent="0.3">
      <c r="A44" s="48" t="str">
        <f ca="1">IFERROR(IF($A$1=2,INDEX($DH$3:$DN$401,MATCH(ROWS(A$3:A44),$DN$3:$DN$401,0),COLUMN()),IF($A$1=1,INDEX($DQ$3:$DW$401,MATCH(ROWS(A$3:A44),$DW$3:$DW$401,0),COLUMN()),"")),"")</f>
        <v>03.01</v>
      </c>
      <c r="B44" s="48" t="str">
        <f ca="1">IFERROR(IF($A$1=2,INDEX($DH$3:$DN$401,MATCH(ROWS(B$3:B44),$DN$3:$DN$401,0),COLUMN()),IF($A$1=1,INDEX($DQ$3:$DW$400,MATCH(ROWS(B$3:B44),$DW$3:$DW$401,0),COLUMN()),"")),"")</f>
        <v>PARTECIPAZIONI IN CONTROLLATE</v>
      </c>
      <c r="C44" s="48" t="str">
        <f ca="1">IFERROR(IF($A$1=2,INDEX($DH$3:$DN$401,MATCH(ROWS(C$3:C44),$DN$3:$DN$401,0),COLUMN()),IF($A$1=1,INDEX($DQ$3:$DW$401,MATCH(ROWS(C$3:C44),$DW$3:$DW$401,0),COLUMN()),"")),"")</f>
        <v>E</v>
      </c>
      <c r="D44" s="48" t="str">
        <f ca="1">IFERROR(IF($A$1=2,INDEX($DH$3:$DN$401,MATCH(ROWS(D$3:D44),$DN$3:$DN$401,0),COLUMN()),IF($A$1=1,INDEX($DQ$3:$DW$401,MATCH(ROWS(D$3:D44),$DW$3:$DW$401,0),COLUMN()),"")),"")</f>
        <v>D</v>
      </c>
      <c r="E44" s="48" t="str">
        <f ca="1">IFERROR(IF($A$1=2,INDEX($DH$3:$DN$401,MATCH(ROWS(E$3:E44),$DN$3:$DN$401,0),COLUMN()),IF($A$1=1,INDEX($DQ$3:$DW$401,MATCH(ROWS(E$3:E44),$DW$3:$DW$401,0),COLUMN()),"")),"")</f>
        <v>COSTI SOSPESI</v>
      </c>
      <c r="F44" s="48" t="str">
        <f ca="1">IFERROR(IF($A$1=2,INDEX($DH$3:$DN$401,MATCH(ROWS(F$3:F44),$DN$3:$DN$401,0),COLUMN()),IF($A$1=1,INDEX($DQ$3:$DX$401,MATCH(ROWS(F$3:F44),$DW$3:$DW$401,0),COLUMN()),"")),"")</f>
        <v>SP DARE</v>
      </c>
      <c r="G44" s="48" t="str">
        <f t="shared" ca="1" si="23"/>
        <v>SP</v>
      </c>
      <c r="H44" s="48" t="str">
        <f ca="1">IFERROR(IF($A$1=2,INDEX($DH$3:$DO$400,MATCH(ROWS(H$3:H44),$DN$3:$DN$400,0),COLUMN()),IF($A$1=1,INDEX($DQ$3:$DX$400,MATCH(ROWS(H$3:H44),$DW$3:$DW$400,0),COLUMN()),"")),"")</f>
        <v>pab3</v>
      </c>
      <c r="I44" s="48" t="str">
        <f t="shared" ca="1" si="0"/>
        <v/>
      </c>
      <c r="J44" s="48" t="str">
        <f t="shared" ca="1" si="24"/>
        <v/>
      </c>
      <c r="K44" s="48">
        <f t="shared" ca="1" si="25"/>
        <v>0</v>
      </c>
      <c r="L44" s="48">
        <f t="shared" ca="1" si="26"/>
        <v>0</v>
      </c>
      <c r="M44" s="48">
        <f ca="1">IFERROR(IF(IF(MID($A44,3,3)=".00",MID(A44,1,2),"")&lt;&gt;"",MAX($M$2:M43)+1,0),"")</f>
        <v>0</v>
      </c>
      <c r="N44" s="48" t="str">
        <f t="shared" ca="1" si="27"/>
        <v/>
      </c>
      <c r="O44" s="48" t="str">
        <f ca="1">IF(IFERROR(INDEX($N$3:$O$400,MATCH(ROWS($O$3:O44),$M$3:$M$400,0),1),"")&lt;&gt;"",CONCATENATE(INDEX($N$3:$O$400,MATCH(ROWS($O$3:O44),$M$3:$M$400,0),1),".00"),"")</f>
        <v/>
      </c>
      <c r="P44" s="48" t="str">
        <f t="shared" ca="1" si="28"/>
        <v/>
      </c>
      <c r="Q44" s="48">
        <f ca="1">IF(M44&gt;=1,0,MAX($Q$2:Q43)+1)</f>
        <v>38</v>
      </c>
      <c r="R44" s="48">
        <f ca="1">IF(AND($U$2=2,S44&lt;&gt;""),MAX($R$2:R43)+1,0)</f>
        <v>26</v>
      </c>
      <c r="S44" s="48" t="str">
        <f t="shared" ca="1" si="81"/>
        <v>COSTI PER IL PERSONALE</v>
      </c>
      <c r="T44" s="48" t="str">
        <f ca="1">IFERROR(INDEX($R$3:$S$64,MATCH(ROWS($T$2:T43),$R$3:$R$64,0),2),"")</f>
        <v/>
      </c>
      <c r="U44" s="48" t="str">
        <f ca="1">IFERROR(INDEX(PDC,MATCH(ROWS(U$3:U44),$V$3:$V$400,0),2),"")</f>
        <v>PRESTITI A CONTROLLATE</v>
      </c>
      <c r="V44" s="48">
        <f ca="1">IF(AND($T$1="VISUALIZZA TUTTI I CONTI",AA44&lt;&gt;""),MAX($V$2:V43)+1,IF(AND($U$2=2,AI44=$T$1),MAX($V$2:V43)+1,IF(AND($U$2=1,$T$1=AF44),MAX($V$2:V43)+1,0)))</f>
        <v>42</v>
      </c>
      <c r="Z44" s="246"/>
      <c r="AA44" s="48" t="str">
        <f t="shared" ca="1" si="29"/>
        <v>03.00</v>
      </c>
      <c r="AB44" s="48" t="str">
        <f ca="1">IFERROR(INDEX($A$3:$G$400,MATCH(ROWS(AB$3:AB44),$Q$3:$Q$400,0),1),"")</f>
        <v>03.10</v>
      </c>
      <c r="AC44" s="48" t="str">
        <f ca="1">IFERROR(INDEX($A$3:$G$400,MATCH(ROWS($AC$3:AC44),$Q$3:$Q$400,0),2),"")</f>
        <v>PRESTITI A CONTROLLATE</v>
      </c>
      <c r="AD44" s="48" t="str">
        <f ca="1">IFERROR(INDEX($A$3:$G$400,MATCH(ROWS(AD$3:AD44),$Q$3:$Q$400,0),3),"")</f>
        <v>F</v>
      </c>
      <c r="AE44" s="48" t="str">
        <f ca="1">IFERROR(INDEX($A$3:$G$400,MATCH(ROWS(AE$3:AE44),$Q$3:$Q$400,0),4),"")</f>
        <v>D</v>
      </c>
      <c r="AF44" s="48" t="str">
        <f ca="1">IFERROR(INDEX($A$3:$G$400,MATCH(ROWS(AF$3:AF44),$Q$3:$Q$400,0),5),"")</f>
        <v>CREDITI</v>
      </c>
      <c r="AG44" s="48" t="str">
        <f ca="1">IFERROR(INDEX($A$3:$G$400,MATCH(ROWS(AG$3:AG44),$Q$3:$Q$400,0),6),"")</f>
        <v>SP DARE</v>
      </c>
      <c r="AH44" s="48" t="str">
        <f ca="1">IFERROR(INDEX($A$3:$G$400,MATCH(ROWS(AH$3:AH44),$Q$3:$Q$400,0),7),"")</f>
        <v>SP</v>
      </c>
      <c r="AI44" s="48" t="str">
        <f t="shared" ca="1" si="1"/>
        <v>IMMOBILIZZAZIONI FINANZIARIE</v>
      </c>
      <c r="AJ44" s="48" t="str">
        <f ca="1">IFERROR(INDEX($A$3:$H$400,MATCH(ROWS(AJ$3:AJ44),$Q$3:$Q$400,0),8),"")</f>
        <v>pab3</v>
      </c>
      <c r="AK44" s="48">
        <f t="shared" ca="1" si="2"/>
        <v>0</v>
      </c>
      <c r="AL44" s="48">
        <f t="shared" ca="1" si="95"/>
        <v>0</v>
      </c>
      <c r="AM44" s="48">
        <f t="shared" ca="1" si="30"/>
        <v>0</v>
      </c>
      <c r="AN44" s="48" t="str">
        <f t="shared" ca="1" si="31"/>
        <v/>
      </c>
      <c r="AO44" s="48">
        <f t="shared" ca="1" si="32"/>
        <v>0</v>
      </c>
      <c r="AP44" s="48">
        <f t="shared" ca="1" si="32"/>
        <v>0</v>
      </c>
      <c r="AQ44" s="48" t="str">
        <f t="shared" ca="1" si="4"/>
        <v>PRESTITI A CONTROLLATE</v>
      </c>
      <c r="AR44" s="48">
        <f t="shared" ca="1" si="5"/>
        <v>0</v>
      </c>
      <c r="AS44" s="48">
        <f t="shared" ca="1" si="6"/>
        <v>0</v>
      </c>
      <c r="AT44" s="48">
        <f t="shared" ca="1" si="33"/>
        <v>0</v>
      </c>
      <c r="AU44" s="48">
        <f t="shared" ca="1" si="34"/>
        <v>0</v>
      </c>
      <c r="AV44" s="48">
        <f ca="1">IF(OR(AT44&gt;0,AU44&gt;0),MAX($AV$2:AV43)+1,0)</f>
        <v>0</v>
      </c>
      <c r="AZ44" s="241" t="str">
        <f t="shared" ca="1" si="35"/>
        <v/>
      </c>
      <c r="BA44" s="48">
        <f t="shared" ca="1" si="96"/>
        <v>0</v>
      </c>
      <c r="BB44" s="48">
        <f ca="1">IFERROR(INDEX($AQ$3:$AV$220,MATCH(ROWS($BB$3:BB44),$AV$3:$AV$220,0),1),0)</f>
        <v>0</v>
      </c>
      <c r="BC44" s="48" t="str">
        <f t="shared" ca="1" si="36"/>
        <v/>
      </c>
      <c r="BD44" s="48">
        <f ca="1">IFERROR(INDEX($AQ$3:$AV$220,MATCH(ROWS($BB$3:BD44),$AV$3:$AV$220,0),4),0)</f>
        <v>0</v>
      </c>
      <c r="BE44" s="48">
        <f ca="1">IFERROR(INDEX($AQ$3:$AV$220,MATCH(ROWS($BB$3:BE44),$AV$3:$AV$220,0),5),0)</f>
        <v>0</v>
      </c>
      <c r="BF44" s="48">
        <v>30</v>
      </c>
      <c r="BG44" s="48">
        <f ca="1">IF(IF(AND(OR(INDEX(PDC,MATCH($AC44,DEN_PDC,0),6)="SP DARE",INDEX(PDC,MATCH($AC44,DEN_PDC,0),6)="SP DARE/AVERE"),SUMIFS(DARE,DEN_G,$AC44)&gt;=SUMIFS(AVERE,DEN_G,$AC44)),SUMIFS(DARE,DEN_G,$AC44)-SUMIFS(AVERE,DEN_G,$AC44),0)&gt;0,MAX($BG$2:BG43)+1,0)</f>
        <v>0</v>
      </c>
      <c r="BH44" s="48">
        <f ca="1">IF(IF(AND(OR(INDEX(PDC,MATCH($AC44,DEN_PDC,0),6)="SP AVERE",INDEX(PDC,MATCH($AC44,DEN_PDC,0),6)="SP DARE/AVERE"),SUMIFS(AVERE,DEN_G,$AC44)&gt;=SUMIFS(DARE,DEN_G,$AC44)),SUMIFS(AVERE,DEN_G,$AC44)-SUMIFS(DARE,DEN_G,$AC44),0)&gt;0,MAX(BH$2:BH43)+1,0)</f>
        <v>0</v>
      </c>
      <c r="BI44" s="48">
        <f ca="1">IF(IF(AND(OR(INDEX(PDC,MATCH($AC44,DEN_PDC,0),6)="SE DARE",INDEX(PDC,MATCH($AC44,DEN_PDC,0),6)="SE DARE/AVERE"),SUMIFS(DARE,DEN_G,$AC44)&gt;=SUMIFS(AVERE,DEN_G,$AC44)),SUMIFS(DARE,DEN_G,$AC44)-SUMIFS(AVERE,DEN_G,$AC44),0)&gt;0,MAX(BI$2:BI43)+1,0)</f>
        <v>0</v>
      </c>
      <c r="BJ44" s="48">
        <f ca="1">IF(IF(AND(OR(INDEX(PDC,MATCH($AC44,DEN_PDC,0),6)="SE AVERE",INDEX(PDC,MATCH($AC44,DEN_PDC,0),6)="SE DARE/AVERE"),SUMIFS(AVERE,DEN_G,$AC44)&gt;=SUMIFS(DARE,DEN_G,$AC44)),SUMIFS(AVERE,DEN_G,$AC44)-SUMIFS(DARE,DEN_G,$AC44),0)&gt;0,MAX(BJ$2:BJ43)+1,0)</f>
        <v>0</v>
      </c>
      <c r="BK44" s="48" t="str">
        <f ca="1">IF(AND(AND($DY$2=0,$DY$1=0),$I$1=2,ROW()&gt;$BG$1+2,ROW()&lt;=$BG$1+4),"………………..",IF(AND(OR($DY$2&gt;0,$DY$1&gt;0),$I$1=2,ROW()&gt;$BG$1+2,ROW()&lt;=$BG$1+4),"………………..",IFERROR(INDEX($AC$3:$AC$398,MATCH(ROWS(BK$3:BK44),BG$3:BG$398,0),1),"")))</f>
        <v/>
      </c>
      <c r="BL44" s="48">
        <f t="shared" ca="1" si="69"/>
        <v>0</v>
      </c>
      <c r="BM44" s="48" t="str">
        <f ca="1">IF(AND(OR($DY$2=0,$DY$1=0),$I$1=2,ROW()&gt;$BH$1+2,ROW()&lt;=$BH$1+4),"………………..",IF(AND(OR($DY$2&gt;0,$DY$1&gt;0),$I$1=2,ROW()&gt;$BH$1+2,ROW()&lt;=$BH$1+4),"………………..",IFERROR(INDEX($AC$3:$AC$400,MATCH(ROWS(BM$3:BM44),BH$3:BH$400,0),1),"")))</f>
        <v/>
      </c>
      <c r="BN44" s="48">
        <f t="shared" ca="1" si="9"/>
        <v>0</v>
      </c>
      <c r="BO44" s="48" t="str">
        <f ca="1">IF(AND(OR($DY$2=0,$DY$1=0),$I$1=2,ROW()&gt;$BI$1+2,ROW()&lt;=$BI$1+4),"………………..",IF(AND(OR($DY$2&gt;0,$DY$1&gt;0),$I$1=2,ROW()&gt;$BI$1+2,ROW()&lt;=$BI$1+4),"………………..",IFERROR(INDEX($AC$3:$AC$400,MATCH(ROWS(BO$3:BO44),BI$3:BI$400,0),1),"")))</f>
        <v/>
      </c>
      <c r="BP44" s="48">
        <f t="shared" ca="1" si="10"/>
        <v>0</v>
      </c>
      <c r="BQ44" s="48" t="str">
        <f ca="1">IF(AND(OR($DY$2=0,$DY$1=0),$I$1=2,ROW()&gt;$BJ$1+2,ROW()&lt;=$BJ$1+4),"………………..",IF(AND(OR($DY$2&gt;0,$DY$1&gt;0),$I$1=2,ROW()&gt;$BJ$1+2,ROW()&lt;=$BJ$1+4),"………………..",IFERROR(INDEX($AC$3:$AC$400,MATCH(ROWS(BQ$3:BQ44),BJ$3:BJ$400,0),1),"")))</f>
        <v/>
      </c>
      <c r="BR44" s="48">
        <f t="shared" ca="1" si="11"/>
        <v>0</v>
      </c>
      <c r="BS44" s="48">
        <f ca="1">IF(IF(AND(OR(INDEX(PDC,MATCH($AC44,DEN_PDC,0),4)="D",INDEX(PDC,MATCH($AC44,DEN_PDC,0),4)="D/A"),SUMIFS(DARE,DEN_G,$AC44)&gt;=SUMIFS(AVERE,DEN_G,$AC44)),SUMIFS(DARE,DEN_G,$AC44),IF(AND(OR(INDEX(PDC,MATCH($AC44,DEN_PDC,0),4)="A",INDEX(PDC,MATCH($AC44,DEN_PDC,0),4)="D/A"),SUMIFS(AVERE,DEN_G,$AC44)&gt;=SUMIFS(DARE,DEN_G,$AC44)),SUMIFS(AVERE,DEN_G,$AC44),))&gt;0,MAX($BS$2:BS43)+1,0)</f>
        <v>0</v>
      </c>
      <c r="BT44" s="48" t="str">
        <f ca="1">IF($CO$1=0,"",IF(AND($I$1=2,ROW()&gt;$BR$1,ROW()&lt;=$BS$1)," …………….",IF(AND($E$1=1,$BX$1=1,$I$1=2,ROW()=$BQ$1),"TOTALI",IFERROR(INDEX(PDC,MATCH(ROWS(BT$3:BT44),BS$3:BS441,0),2),""))))</f>
        <v/>
      </c>
      <c r="BU44" s="48">
        <f t="shared" ca="1" si="12"/>
        <v>0</v>
      </c>
      <c r="BV44" s="48">
        <f t="shared" ca="1" si="13"/>
        <v>0</v>
      </c>
      <c r="BW44" s="48">
        <f t="shared" ca="1" si="14"/>
        <v>0</v>
      </c>
      <c r="BX44" s="48">
        <f t="shared" ca="1" si="15"/>
        <v>0</v>
      </c>
      <c r="BY44" s="48">
        <f ca="1">IF(OR(BW44&gt;0,BX44&gt;0),MAX($BY$2:BY43)+1,0)</f>
        <v>0</v>
      </c>
      <c r="BZ44" s="48" t="str">
        <f ca="1">IFERROR(INDEX($BT$3:$BY$400,MATCH(ROWS(BZ$3:BZ44),$BY$3:$BY$400,0),1),"")</f>
        <v/>
      </c>
      <c r="CA44" s="48" t="str">
        <f ca="1">IFERROR(INDEX($BT$3:$BY$400,MATCH(ROWS(CA$3:CA44),$BY$3:$BY$400,0),4),"")</f>
        <v/>
      </c>
      <c r="CB44" s="48" t="str">
        <f ca="1">IFERROR(INDEX($BT$3:$BY$400,MATCH(ROWS(CB$3:CB44),$BY$3:$BY$400,0),5),"")</f>
        <v/>
      </c>
      <c r="CC44" s="48" t="str">
        <f t="shared" ca="1" si="16"/>
        <v/>
      </c>
      <c r="CD44" s="48">
        <f ca="1">IF(AND($BF$9=1,CE44&lt;&gt;0),MAX($CD$2:CD43)+1,0)</f>
        <v>0</v>
      </c>
      <c r="CE44" s="48">
        <f ca="1">IF(OR(CE84&gt;0,CE84="_ _ _"),"a",0)</f>
        <v>0</v>
      </c>
      <c r="CG44" s="242" t="s">
        <v>502</v>
      </c>
      <c r="CH44" s="242"/>
      <c r="CI44" s="242"/>
      <c r="CJ44" s="242">
        <f ca="1">CJ52</f>
        <v>0</v>
      </c>
      <c r="CK44" s="48">
        <f ca="1">IF($CF$2=FALSE,0,IF(AND($BF$9=1,CJ44&lt;&gt;0),MAX($CK$21:CK43)+1,0))</f>
        <v>0</v>
      </c>
      <c r="CM44" s="242" t="str">
        <f t="shared" ca="1" si="37"/>
        <v/>
      </c>
      <c r="CN44" s="243">
        <f t="shared" ca="1" si="38"/>
        <v>0</v>
      </c>
      <c r="CO44" s="48" t="str">
        <f t="shared" ca="1" si="39"/>
        <v/>
      </c>
      <c r="CQ44" s="247">
        <f t="shared" ref="CQ44:CR47" ca="1" si="106">CQ30</f>
        <v>46388</v>
      </c>
      <c r="CR44" s="247">
        <f t="shared" ca="1" si="106"/>
        <v>46752</v>
      </c>
      <c r="CS44" s="48">
        <f t="shared" ca="1" si="101"/>
        <v>0</v>
      </c>
      <c r="CT44" s="242">
        <f t="shared" ca="1" si="102"/>
        <v>0</v>
      </c>
      <c r="CU44" s="48">
        <f ca="1">IF(SUMIFS(AVERE,DEN_G,AC44,AVERE,"&gt;"&amp;0)+SUMIFS(DARE,DEN_G,AC44,DARE,"&gt;"&amp;0)&gt;0,MAX($CU$2:CU43)+1,0)</f>
        <v>0</v>
      </c>
      <c r="CV44" s="48" t="str">
        <f ca="1">IF(IFERROR(INDEX(PDC,MATCH(ROWS($CV$3:CV44),$CU$3:$CU$400,0),2),"")="CONTO DI RISULTATO ECONOMICO","",IFERROR(INDEX(PDC,MATCH(ROWS($CV$3:CV44),$CU$3:$CU$400,0),2),""))</f>
        <v/>
      </c>
      <c r="CW44" s="48">
        <f ca="1">IFERROR(IF(CV44&lt;&gt;"",MAX($CW$2:CW43)+1,0),0)</f>
        <v>0</v>
      </c>
      <c r="CX44" s="48">
        <f t="shared" ca="1" si="103"/>
        <v>4</v>
      </c>
      <c r="CY44" s="48" t="str">
        <f t="shared" ca="1" si="100"/>
        <v>MASTRO</v>
      </c>
      <c r="CZ44" s="48" t="e">
        <f t="shared" ref="CZ44:CZ53" ca="1" si="107">SUM(MATCH($CY44,INDIRECT(ADDRESS(SUM(CZ43)+3,54)&amp;":"&amp;ADDRESS(400,54)),0),CZ43)</f>
        <v>#N/A</v>
      </c>
      <c r="DA44" s="48" t="str">
        <f ca="1">IFERROR(INDEX(LIBRO_GIORNALE,CZ44,1),"")</f>
        <v/>
      </c>
      <c r="DB44" s="48" t="str">
        <f t="shared" ca="1" si="76"/>
        <v/>
      </c>
      <c r="DC44" s="48" t="str">
        <f t="shared" ref="DC44:DC53" ca="1" si="108">IF(IFERROR(INDEX(LIBRO_GIORNALE,CZ44,4),"")=0,"manca la descrizione dell'operazione",IFERROR(INDEX(LIBRO_GIORNALE,CZ44,4),""))</f>
        <v/>
      </c>
      <c r="DD44" s="48" t="str">
        <f t="shared" ref="DD44:DD53" ca="1" si="109">IFERROR(IF(INDEX(LIBRO_GIORNALE,CZ44,5)&gt;0,INDEX(LIBRO_GIORNALE,CZ44,5),""),"")</f>
        <v/>
      </c>
      <c r="DE44" s="48" t="str">
        <f t="shared" ref="DE44:DE53" ca="1" si="110">IFERROR(IF(INDEX(LIBRO_GIORNALE,CZ44,6)&gt;0,INDEX(LIBRO_GIORNALE,CZ44,6),""),"")</f>
        <v/>
      </c>
      <c r="DF44" s="48">
        <f ca="1">IF(AND(CX44=$DF$1,CX44&lt;&gt;""),0,IF(AND(DB44&lt;&gt;"",OR(DB43&lt;&gt;"",DB45&lt;&gt;"")),MAX($DF$2:DF43)+1,0))</f>
        <v>0</v>
      </c>
      <c r="DH44" s="244" t="s">
        <v>32</v>
      </c>
      <c r="DI44" s="48" t="s">
        <v>24</v>
      </c>
      <c r="DJ44" s="48" t="s">
        <v>311</v>
      </c>
      <c r="DK44" s="48" t="s">
        <v>275</v>
      </c>
      <c r="DL44" s="48" t="s">
        <v>9</v>
      </c>
      <c r="DM44" s="48" t="s">
        <v>270</v>
      </c>
      <c r="DN44" s="48">
        <f ca="1">IF(DI44&lt;&gt;"",MAX($DN$2:DN43)+1,0)</f>
        <v>27</v>
      </c>
      <c r="DO44" s="48" t="str">
        <f t="shared" ca="1" si="105"/>
        <v>pab2</v>
      </c>
      <c r="DW44" s="48">
        <f>IF(DR44&lt;&gt;"",MAX($DW$2:DW43)+1,0)</f>
        <v>0</v>
      </c>
      <c r="DY44" s="48" t="str">
        <f t="shared" ca="1" si="19"/>
        <v/>
      </c>
      <c r="DZ44" s="48" t="str">
        <f t="shared" ca="1" si="40"/>
        <v/>
      </c>
      <c r="EA44" s="48" t="str">
        <f t="shared" ca="1" si="41"/>
        <v/>
      </c>
      <c r="EB44" s="48">
        <f t="shared" ca="1" si="42"/>
        <v>0</v>
      </c>
      <c r="EC44" s="48">
        <f t="shared" ca="1" si="43"/>
        <v>0</v>
      </c>
      <c r="ED44" s="48" t="str">
        <f t="shared" ca="1" si="44"/>
        <v/>
      </c>
      <c r="EE44" s="48">
        <f t="shared" ca="1" si="45"/>
        <v>0</v>
      </c>
      <c r="EF44" s="48" t="str">
        <f t="shared" ca="1" si="46"/>
        <v/>
      </c>
      <c r="EG44" s="48">
        <f t="shared" ca="1" si="47"/>
        <v>0</v>
      </c>
      <c r="EH44" s="48" t="str">
        <f t="shared" ca="1" si="48"/>
        <v/>
      </c>
      <c r="EI44" s="48">
        <f t="shared" ca="1" si="49"/>
        <v>0</v>
      </c>
      <c r="EJ44" s="48" t="str">
        <f t="shared" ca="1" si="50"/>
        <v/>
      </c>
      <c r="EK44" s="48">
        <f t="shared" ca="1" si="51"/>
        <v>0</v>
      </c>
      <c r="EL44" s="48">
        <f t="shared" ca="1" si="20"/>
        <v>0</v>
      </c>
      <c r="EM44" s="48">
        <f ca="1">IF(EL44&gt;=0,0,MAX($EM$2:EM43)+1)</f>
        <v>0</v>
      </c>
      <c r="EN44" s="48" t="str">
        <f t="shared" ca="1" si="21"/>
        <v/>
      </c>
      <c r="EO44" s="48" t="str">
        <f ca="1">IFERROR(INDEX($EM$3:$EN$400,MATCH(ROWS($EO$3:EO44),$EM$3:$EM$400,0),2),"")</f>
        <v/>
      </c>
      <c r="EP44" s="48">
        <f>ROW()</f>
        <v>44</v>
      </c>
      <c r="EQ44" s="48">
        <f t="shared" ca="1" si="22"/>
        <v>0</v>
      </c>
      <c r="ER44" s="48">
        <f ca="1">IF(ISNA(EQ44)=TRUE,MAX($ER$2:ER43)+1,0)</f>
        <v>0</v>
      </c>
      <c r="ES44" s="48" t="str">
        <f t="shared" ca="1" si="52"/>
        <v/>
      </c>
      <c r="ET44" s="48" t="str">
        <f ca="1">IFERROR(INDEX($ER$3:$ES$400,MATCH(ROWS($ET$3:ET44),$ER$3:$ER$400,0),2),"")</f>
        <v/>
      </c>
      <c r="EV44" s="48">
        <f ca="1">IFERROR(INDEX(LIBRO_GIORNALE!$O$11:$P$408,MATCH(ROWS($EV$2:EV43),LIBRO_GIORNALE!$P$11:$P$408,0),1),0)</f>
        <v>0</v>
      </c>
      <c r="EW44" s="48" t="str">
        <f t="shared" ca="1" si="53"/>
        <v>0</v>
      </c>
      <c r="EX44" s="48">
        <f t="shared" ca="1" si="54"/>
        <v>0</v>
      </c>
      <c r="EY44" s="48">
        <f ca="1">IF(EX44&gt;0,MAX($EY$2:EY43)+1,0)</f>
        <v>0</v>
      </c>
      <c r="EZ44" s="48">
        <f ca="1">IFERROR(INDEX($EX$3:$EX$400,MATCH(ROWS($EZ$3:EZ44),$EY$3:$EY$400,0),1),0)</f>
        <v>0</v>
      </c>
      <c r="FA44" s="48">
        <f ca="1">IF(EZ44&gt;0,0,MAX($FA$2:FA43)+1)</f>
        <v>42</v>
      </c>
      <c r="FB44" s="48">
        <f t="shared" ca="1" si="55"/>
        <v>0</v>
      </c>
      <c r="FC44" s="48">
        <f t="shared" ca="1" si="56"/>
        <v>42</v>
      </c>
      <c r="FD44" s="48">
        <f t="shared" ca="1" si="57"/>
        <v>42</v>
      </c>
      <c r="FE44" s="48">
        <f ca="1">IF(FD44=0,0,MAX($FE$2:FE43)+1)</f>
        <v>42</v>
      </c>
      <c r="FF44" s="48">
        <f ca="1">IFERROR(INDEX($FD$3:$FE$400,MATCH(ROWS($FF$3:FF44),$FE$3:$FE$400,0),1),"")</f>
        <v>42</v>
      </c>
      <c r="FH44" s="48">
        <f t="shared" ca="1" si="58"/>
        <v>0</v>
      </c>
      <c r="FI44" s="48">
        <f ca="1">IF(FH44&lt;&gt;0,MAX($FI$2:FI43)+1,0)</f>
        <v>0</v>
      </c>
      <c r="FJ44" s="48" t="str">
        <f ca="1">IFERROR(INDEX($FH$3:$FI$400,MATCH(ROWS($FJ$3:FJ44),$FI$3:$FI$400,0),1),"")</f>
        <v/>
      </c>
      <c r="FK44" s="48">
        <f ca="1">IF(ABS(SUMIFS(DARE,DEN_G,"="&amp;FJ44,DATA,"&lt;="&amp;FINE_AC,DATA,"&gt;="&amp;INIZIO_A_PC)-SUMIFS(AVERE,DEN_G,"="&amp;FJ44,DATA,"&lt;="&amp;FINE_AC,DATA,"&gt;="&amp;INIZIO_A_PC))&gt;0,MAX($FK$2:FK43)+1,0)</f>
        <v>0</v>
      </c>
      <c r="FL44" s="48" t="str">
        <f ca="1">IF(AND(ROW()-2&lt;&gt;1,ROW()-2&lt;=$FK$1),CONCATENATE(" - ",IFERROR(INDEX($FJ$3:$FK$400,MATCH(ROWS($FL$3:FL44),$FK$3:$FK$400,0),1),"")),IFERROR(INDEX($FJ$3:$FK$400,MATCH(ROWS($FL$3:FL44),$FK$3:$FK$400,0),1),""))</f>
        <v/>
      </c>
      <c r="FM44" s="48">
        <f ca="1">IF(OR(B44="IVA ns/credito",B44="IVA NS/DEBITO",B44="IVA C/ACCONTO",B44="IMPOSTE C/ACCONTO",B44="CREDITI PER RITENUTE SUBITE",B44="CREDITI D'IMPOSTA"),MAX($FM$2:FM43)+1,0)</f>
        <v>0</v>
      </c>
      <c r="FN44" s="48" t="str">
        <f t="shared" ca="1" si="59"/>
        <v/>
      </c>
      <c r="FO44" s="48" t="str">
        <f ca="1">IFERROR(INDEX($FM$3:$FN$400,MATCH(ROWS($FO$3:FO44),$FM$3:$FM$400,0),2),"")</f>
        <v/>
      </c>
      <c r="FP44" s="48">
        <f ca="1">IF(ABS(SUMIFS(DARE,DEN_G,"="&amp;FO44,DATA,"&lt;="&amp;FINE_AC,DATA,"&gt;="&amp;INIZIO_A_PC)-SUMIFS(AVERE,DEN_G,"="&amp;FO44,DATA,"&lt;="&amp;FINE_AC,DATA,"&gt;="&amp;INIZIO_A_PC))&gt;0,MAX($FP$2:FP43)+1,0)</f>
        <v>0</v>
      </c>
      <c r="FQ44" s="48" t="str">
        <f ca="1">IF(AND(ROW()-2&lt;&gt;1,ROW()-2&lt;=$FP$1),CONCATENATE(" - ",IFERROR(INDEX($FO$3:$FP$400,MATCH(ROWS($FQ$3:FQ44),$FP$3:$FP$400,0),1),"")),IFERROR(INDEX($FO$3:$FP$400,MATCH(ROWS($FQ$3:FQ44),$FP$3:$FP$400,0),1),""))</f>
        <v/>
      </c>
    </row>
    <row r="45" spans="1:173" x14ac:dyDescent="0.3">
      <c r="A45" s="48" t="str">
        <f ca="1">IFERROR(IF($A$1=2,INDEX($DH$3:$DN$401,MATCH(ROWS(A$3:A45),$DN$3:$DN$401,0),COLUMN()),IF($A$1=1,INDEX($DQ$3:$DW$401,MATCH(ROWS(A$3:A45),$DW$3:$DW$401,0),COLUMN()),"")),"")</f>
        <v>03.02</v>
      </c>
      <c r="B45" s="48" t="str">
        <f ca="1">IFERROR(IF($A$1=2,INDEX($DH$3:$DN$401,MATCH(ROWS(B$3:B45),$DN$3:$DN$401,0),COLUMN()),IF($A$1=1,INDEX($DQ$3:$DW$400,MATCH(ROWS(B$3:B45),$DW$3:$DW$401,0),COLUMN()),"")),"")</f>
        <v>PARTECIPAZIONI IN COLLEGATE</v>
      </c>
      <c r="C45" s="48" t="str">
        <f ca="1">IFERROR(IF($A$1=2,INDEX($DH$3:$DN$401,MATCH(ROWS(C$3:C45),$DN$3:$DN$401,0),COLUMN()),IF($A$1=1,INDEX($DQ$3:$DW$401,MATCH(ROWS(C$3:C45),$DW$3:$DW$401,0),COLUMN()),"")),"")</f>
        <v>E</v>
      </c>
      <c r="D45" s="48" t="str">
        <f ca="1">IFERROR(IF($A$1=2,INDEX($DH$3:$DN$401,MATCH(ROWS(D$3:D45),$DN$3:$DN$401,0),COLUMN()),IF($A$1=1,INDEX($DQ$3:$DW$401,MATCH(ROWS(D$3:D45),$DW$3:$DW$401,0),COLUMN()),"")),"")</f>
        <v>D</v>
      </c>
      <c r="E45" s="48" t="str">
        <f ca="1">IFERROR(IF($A$1=2,INDEX($DH$3:$DN$401,MATCH(ROWS(E$3:E45),$DN$3:$DN$401,0),COLUMN()),IF($A$1=1,INDEX($DQ$3:$DW$401,MATCH(ROWS(E$3:E45),$DW$3:$DW$401,0),COLUMN()),"")),"")</f>
        <v>COSTI SOSPESI</v>
      </c>
      <c r="F45" s="48" t="str">
        <f ca="1">IFERROR(IF($A$1=2,INDEX($DH$3:$DN$401,MATCH(ROWS(F$3:F45),$DN$3:$DN$401,0),COLUMN()),IF($A$1=1,INDEX($DQ$3:$DX$401,MATCH(ROWS(F$3:F45),$DW$3:$DW$401,0),COLUMN()),"")),"")</f>
        <v>SP DARE</v>
      </c>
      <c r="G45" s="48" t="str">
        <f t="shared" ca="1" si="23"/>
        <v>SP</v>
      </c>
      <c r="H45" s="48" t="str">
        <f ca="1">IFERROR(IF($A$1=2,INDEX($DH$3:$DO$400,MATCH(ROWS(H$3:H45),$DN$3:$DN$400,0),COLUMN()),IF($A$1=1,INDEX($DQ$3:$DX$400,MATCH(ROWS(H$3:H45),$DW$3:$DW$400,0),COLUMN()),"")),"")</f>
        <v>pab3</v>
      </c>
      <c r="I45" s="48" t="str">
        <f t="shared" ca="1" si="0"/>
        <v/>
      </c>
      <c r="J45" s="48" t="str">
        <f t="shared" ca="1" si="24"/>
        <v/>
      </c>
      <c r="K45" s="48">
        <f t="shared" ca="1" si="25"/>
        <v>0</v>
      </c>
      <c r="L45" s="48">
        <f t="shared" ca="1" si="26"/>
        <v>0</v>
      </c>
      <c r="M45" s="48">
        <f ca="1">IFERROR(IF(IF(MID($A45,3,3)=".00",MID(A45,1,2),"")&lt;&gt;"",MAX($M$2:M44)+1,0),"")</f>
        <v>0</v>
      </c>
      <c r="N45" s="48" t="str">
        <f t="shared" ca="1" si="27"/>
        <v/>
      </c>
      <c r="O45" s="48" t="str">
        <f ca="1">IF(IFERROR(INDEX($N$3:$O$400,MATCH(ROWS($O$3:O45),$M$3:$M$400,0),1),"")&lt;&gt;"",CONCATENATE(INDEX($N$3:$O$400,MATCH(ROWS($O$3:O45),$M$3:$M$400,0),1),".00"),"")</f>
        <v/>
      </c>
      <c r="P45" s="48" t="str">
        <f t="shared" ca="1" si="28"/>
        <v/>
      </c>
      <c r="Q45" s="48">
        <f ca="1">IF(M45&gt;=1,0,MAX($Q$2:Q44)+1)</f>
        <v>39</v>
      </c>
      <c r="R45" s="48">
        <f ca="1">IF(AND($U$2=2,S45&lt;&gt;""),MAX($R$2:R44)+1,0)</f>
        <v>27</v>
      </c>
      <c r="S45" s="48" t="str">
        <f t="shared" ca="1" si="81"/>
        <v>AMMORTAMENTI IMMOBILIZZAZIONI IMMATERIALI</v>
      </c>
      <c r="T45" s="48" t="str">
        <f ca="1">IFERROR(INDEX($R$3:$S$64,MATCH(ROWS($T$2:T44),$R$3:$R$64,0),2),"")</f>
        <v/>
      </c>
      <c r="U45" s="48" t="str">
        <f ca="1">IFERROR(INDEX(PDC,MATCH(ROWS(U$3:U45),$V$3:$V$400,0),2),"")</f>
        <v>PRESTITI A COLLEGATE</v>
      </c>
      <c r="V45" s="48">
        <f ca="1">IF(AND($T$1="VISUALIZZA TUTTI I CONTI",AA45&lt;&gt;""),MAX($V$2:V44)+1,IF(AND($U$2=2,AI45=$T$1),MAX($V$2:V44)+1,IF(AND($U$2=1,$T$1=AF45),MAX($V$2:V44)+1,0)))</f>
        <v>43</v>
      </c>
      <c r="Z45" s="246"/>
      <c r="AA45" s="48" t="str">
        <f t="shared" ca="1" si="29"/>
        <v>03.00</v>
      </c>
      <c r="AB45" s="48" t="str">
        <f ca="1">IFERROR(INDEX($A$3:$G$400,MATCH(ROWS(AB$3:AB45),$Q$3:$Q$400,0),1),"")</f>
        <v>03.11</v>
      </c>
      <c r="AC45" s="48" t="str">
        <f ca="1">IFERROR(INDEX($A$3:$G$400,MATCH(ROWS($AC$3:AC45),$Q$3:$Q$400,0),2),"")</f>
        <v>PRESTITI A COLLEGATE</v>
      </c>
      <c r="AD45" s="48" t="str">
        <f ca="1">IFERROR(INDEX($A$3:$G$400,MATCH(ROWS(AD$3:AD45),$Q$3:$Q$400,0),3),"")</f>
        <v>F</v>
      </c>
      <c r="AE45" s="48" t="str">
        <f ca="1">IFERROR(INDEX($A$3:$G$400,MATCH(ROWS(AE$3:AE45),$Q$3:$Q$400,0),4),"")</f>
        <v>D</v>
      </c>
      <c r="AF45" s="48" t="str">
        <f ca="1">IFERROR(INDEX($A$3:$G$400,MATCH(ROWS(AF$3:AF45),$Q$3:$Q$400,0),5),"")</f>
        <v>CREDITI</v>
      </c>
      <c r="AG45" s="48" t="str">
        <f ca="1">IFERROR(INDEX($A$3:$G$400,MATCH(ROWS(AG$3:AG45),$Q$3:$Q$400,0),6),"")</f>
        <v>SP DARE</v>
      </c>
      <c r="AH45" s="48" t="str">
        <f ca="1">IFERROR(INDEX($A$3:$G$400,MATCH(ROWS(AH$3:AH45),$Q$3:$Q$400,0),7),"")</f>
        <v>SP</v>
      </c>
      <c r="AI45" s="48" t="str">
        <f t="shared" ca="1" si="1"/>
        <v>IMMOBILIZZAZIONI FINANZIARIE</v>
      </c>
      <c r="AJ45" s="48" t="str">
        <f ca="1">IFERROR(INDEX($A$3:$H$400,MATCH(ROWS(AJ$3:AJ45),$Q$3:$Q$400,0),8),"")</f>
        <v>pab3</v>
      </c>
      <c r="AK45" s="48">
        <f t="shared" ca="1" si="2"/>
        <v>0</v>
      </c>
      <c r="AL45" s="48">
        <f t="shared" ca="1" si="95"/>
        <v>0</v>
      </c>
      <c r="AM45" s="48">
        <f t="shared" ca="1" si="30"/>
        <v>0</v>
      </c>
      <c r="AN45" s="48" t="str">
        <f t="shared" ca="1" si="31"/>
        <v/>
      </c>
      <c r="AO45" s="48">
        <f t="shared" ca="1" si="32"/>
        <v>0</v>
      </c>
      <c r="AP45" s="48">
        <f t="shared" ca="1" si="32"/>
        <v>0</v>
      </c>
      <c r="AQ45" s="48" t="str">
        <f t="shared" ca="1" si="4"/>
        <v>PRESTITI A COLLEGATE</v>
      </c>
      <c r="AR45" s="48">
        <f t="shared" ca="1" si="5"/>
        <v>0</v>
      </c>
      <c r="AS45" s="48">
        <f t="shared" ca="1" si="6"/>
        <v>0</v>
      </c>
      <c r="AT45" s="48">
        <f t="shared" ca="1" si="33"/>
        <v>0</v>
      </c>
      <c r="AU45" s="48">
        <f t="shared" ca="1" si="34"/>
        <v>0</v>
      </c>
      <c r="AV45" s="48">
        <f ca="1">IF(OR(AT45&gt;0,AU45&gt;0),MAX($AV$2:AV44)+1,0)</f>
        <v>0</v>
      </c>
      <c r="AZ45" s="241" t="str">
        <f t="shared" ca="1" si="35"/>
        <v/>
      </c>
      <c r="BA45" s="48">
        <f t="shared" ca="1" si="96"/>
        <v>0</v>
      </c>
      <c r="BB45" s="48">
        <f ca="1">IFERROR(INDEX($AQ$3:$AV$220,MATCH(ROWS($BB$3:BB45),$AV$3:$AV$220,0),1),0)</f>
        <v>0</v>
      </c>
      <c r="BC45" s="48" t="str">
        <f t="shared" ca="1" si="36"/>
        <v/>
      </c>
      <c r="BD45" s="48">
        <f ca="1">IFERROR(INDEX($AQ$3:$AV$220,MATCH(ROWS($BB$3:BD45),$AV$3:$AV$220,0),4),0)</f>
        <v>0</v>
      </c>
      <c r="BE45" s="48">
        <f ca="1">IFERROR(INDEX($AQ$3:$AV$220,MATCH(ROWS($BB$3:BE45),$AV$3:$AV$220,0),5),0)</f>
        <v>0</v>
      </c>
      <c r="BF45" s="48">
        <v>31</v>
      </c>
      <c r="BG45" s="48">
        <f ca="1">IF(IF(AND(OR(INDEX(PDC,MATCH($AC45,DEN_PDC,0),6)="SP DARE",INDEX(PDC,MATCH($AC45,DEN_PDC,0),6)="SP DARE/AVERE"),SUMIFS(DARE,DEN_G,$AC45)&gt;=SUMIFS(AVERE,DEN_G,$AC45)),SUMIFS(DARE,DEN_G,$AC45)-SUMIFS(AVERE,DEN_G,$AC45),0)&gt;0,MAX($BG$2:BG44)+1,0)</f>
        <v>0</v>
      </c>
      <c r="BH45" s="48">
        <f ca="1">IF(IF(AND(OR(INDEX(PDC,MATCH($AC45,DEN_PDC,0),6)="SP AVERE",INDEX(PDC,MATCH($AC45,DEN_PDC,0),6)="SP DARE/AVERE"),SUMIFS(AVERE,DEN_G,$AC45)&gt;=SUMIFS(DARE,DEN_G,$AC45)),SUMIFS(AVERE,DEN_G,$AC45)-SUMIFS(DARE,DEN_G,$AC45),0)&gt;0,MAX(BH$2:BH44)+1,0)</f>
        <v>0</v>
      </c>
      <c r="BI45" s="48">
        <f ca="1">IF(IF(AND(OR(INDEX(PDC,MATCH($AC45,DEN_PDC,0),6)="SE DARE",INDEX(PDC,MATCH($AC45,DEN_PDC,0),6)="SE DARE/AVERE"),SUMIFS(DARE,DEN_G,$AC45)&gt;=SUMIFS(AVERE,DEN_G,$AC45)),SUMIFS(DARE,DEN_G,$AC45)-SUMIFS(AVERE,DEN_G,$AC45),0)&gt;0,MAX(BI$2:BI44)+1,0)</f>
        <v>0</v>
      </c>
      <c r="BJ45" s="48">
        <f ca="1">IF(IF(AND(OR(INDEX(PDC,MATCH($AC45,DEN_PDC,0),6)="SE AVERE",INDEX(PDC,MATCH($AC45,DEN_PDC,0),6)="SE DARE/AVERE"),SUMIFS(AVERE,DEN_G,$AC45)&gt;=SUMIFS(DARE,DEN_G,$AC45)),SUMIFS(AVERE,DEN_G,$AC45)-SUMIFS(DARE,DEN_G,$AC45),0)&gt;0,MAX(BJ$2:BJ44)+1,0)</f>
        <v>0</v>
      </c>
      <c r="BK45" s="48" t="str">
        <f ca="1">IF(AND(AND($DY$2=0,$DY$1=0),$I$1=2,ROW()&gt;$BG$1+2,ROW()&lt;=$BG$1+4),"………………..",IF(AND(OR($DY$2&gt;0,$DY$1&gt;0),$I$1=2,ROW()&gt;$BG$1+2,ROW()&lt;=$BG$1+4),"………………..",IFERROR(INDEX($AC$3:$AC$398,MATCH(ROWS(BK$3:BK45),BG$3:BG$398,0),1),"")))</f>
        <v/>
      </c>
      <c r="BL45" s="48">
        <f t="shared" ca="1" si="69"/>
        <v>0</v>
      </c>
      <c r="BM45" s="48" t="str">
        <f ca="1">IF(AND(OR($DY$2=0,$DY$1=0),$I$1=2,ROW()&gt;$BH$1+2,ROW()&lt;=$BH$1+4),"………………..",IF(AND(OR($DY$2&gt;0,$DY$1&gt;0),$I$1=2,ROW()&gt;$BH$1+2,ROW()&lt;=$BH$1+4),"………………..",IFERROR(INDEX($AC$3:$AC$400,MATCH(ROWS(BM$3:BM45),BH$3:BH$400,0),1),"")))</f>
        <v/>
      </c>
      <c r="BN45" s="48">
        <f t="shared" ca="1" si="9"/>
        <v>0</v>
      </c>
      <c r="BO45" s="48" t="str">
        <f ca="1">IF(AND(OR($DY$2=0,$DY$1=0),$I$1=2,ROW()&gt;$BI$1+2,ROW()&lt;=$BI$1+4),"………………..",IF(AND(OR($DY$2&gt;0,$DY$1&gt;0),$I$1=2,ROW()&gt;$BI$1+2,ROW()&lt;=$BI$1+4),"………………..",IFERROR(INDEX($AC$3:$AC$400,MATCH(ROWS(BO$3:BO45),BI$3:BI$400,0),1),"")))</f>
        <v/>
      </c>
      <c r="BP45" s="48">
        <f t="shared" ca="1" si="10"/>
        <v>0</v>
      </c>
      <c r="BQ45" s="48" t="str">
        <f ca="1">IF(AND(OR($DY$2=0,$DY$1=0),$I$1=2,ROW()&gt;$BJ$1+2,ROW()&lt;=$BJ$1+4),"………………..",IF(AND(OR($DY$2&gt;0,$DY$1&gt;0),$I$1=2,ROW()&gt;$BJ$1+2,ROW()&lt;=$BJ$1+4),"………………..",IFERROR(INDEX($AC$3:$AC$400,MATCH(ROWS(BQ$3:BQ45),BJ$3:BJ$400,0),1),"")))</f>
        <v/>
      </c>
      <c r="BR45" s="48">
        <f t="shared" ca="1" si="11"/>
        <v>0</v>
      </c>
      <c r="BS45" s="48">
        <f ca="1">IF(IF(AND(OR(INDEX(PDC,MATCH($AC45,DEN_PDC,0),4)="D",INDEX(PDC,MATCH($AC45,DEN_PDC,0),4)="D/A"),SUMIFS(DARE,DEN_G,$AC45)&gt;=SUMIFS(AVERE,DEN_G,$AC45)),SUMIFS(DARE,DEN_G,$AC45),IF(AND(OR(INDEX(PDC,MATCH($AC45,DEN_PDC,0),4)="A",INDEX(PDC,MATCH($AC45,DEN_PDC,0),4)="D/A"),SUMIFS(AVERE,DEN_G,$AC45)&gt;=SUMIFS(DARE,DEN_G,$AC45)),SUMIFS(AVERE,DEN_G,$AC45),))&gt;0,MAX($BS$2:BS44)+1,0)</f>
        <v>0</v>
      </c>
      <c r="BT45" s="48" t="str">
        <f ca="1">IF($CO$1=0,"",IF(AND($I$1=2,ROW()&gt;$BR$1,ROW()&lt;=$BS$1)," …………….",IF(AND($E$1=1,$BX$1=1,$I$1=2,ROW()=$BQ$1),"TOTALI",IFERROR(INDEX(PDC,MATCH(ROWS(BT$3:BT45),BS$3:BS442,0),2),""))))</f>
        <v/>
      </c>
      <c r="BU45" s="48">
        <f t="shared" ca="1" si="12"/>
        <v>0</v>
      </c>
      <c r="BV45" s="48">
        <f t="shared" ca="1" si="13"/>
        <v>0</v>
      </c>
      <c r="BW45" s="48">
        <f t="shared" ca="1" si="14"/>
        <v>0</v>
      </c>
      <c r="BX45" s="48">
        <f t="shared" ca="1" si="15"/>
        <v>0</v>
      </c>
      <c r="BY45" s="48">
        <f ca="1">IF(OR(BW45&gt;0,BX45&gt;0),MAX($BY$2:BY44)+1,0)</f>
        <v>0</v>
      </c>
      <c r="BZ45" s="48" t="str">
        <f ca="1">IFERROR(INDEX($BT$3:$BY$400,MATCH(ROWS(BZ$3:BZ45),$BY$3:$BY$400,0),1),"")</f>
        <v/>
      </c>
      <c r="CA45" s="48" t="str">
        <f ca="1">IFERROR(INDEX($BT$3:$BY$400,MATCH(ROWS(CA$3:CA45),$BY$3:$BY$400,0),4),"")</f>
        <v/>
      </c>
      <c r="CB45" s="48" t="str">
        <f ca="1">IFERROR(INDEX($BT$3:$BY$400,MATCH(ROWS(CB$3:CB45),$BY$3:$BY$400,0),5),"")</f>
        <v/>
      </c>
      <c r="CC45" s="48" t="str">
        <f t="shared" ca="1" si="16"/>
        <v/>
      </c>
      <c r="CD45" s="48">
        <f ca="1">IF(AND($BF$9=1,CE45&lt;&gt;0),MAX($CD$2:CD44)+1,0)</f>
        <v>0</v>
      </c>
      <c r="CE45" s="48">
        <f ca="1">IF(OR(CE51&gt;0,CE51="_ _ _"),"a",0)</f>
        <v>0</v>
      </c>
      <c r="CG45" s="242" t="s">
        <v>519</v>
      </c>
      <c r="CH45" s="242"/>
      <c r="CI45" s="242"/>
      <c r="CJ45" s="242"/>
      <c r="CK45" s="48">
        <f ca="1">IF($CF$2=FALSE,0,IF(AND($BF$9=1,CJ45&lt;&gt;0),MAX($CK$21:CK44)+1,0))</f>
        <v>0</v>
      </c>
      <c r="CM45" s="242" t="str">
        <f t="shared" ca="1" si="37"/>
        <v/>
      </c>
      <c r="CN45" s="243">
        <f t="shared" ca="1" si="38"/>
        <v>0</v>
      </c>
      <c r="CO45" s="48" t="str">
        <f t="shared" ca="1" si="39"/>
        <v/>
      </c>
      <c r="CQ45" s="247">
        <f t="shared" ca="1" si="106"/>
        <v>46753</v>
      </c>
      <c r="CR45" s="247">
        <f t="shared" ca="1" si="106"/>
        <v>47118</v>
      </c>
      <c r="CS45" s="48">
        <f t="shared" ca="1" si="101"/>
        <v>0</v>
      </c>
      <c r="CT45" s="242">
        <f t="shared" ca="1" si="102"/>
        <v>0</v>
      </c>
      <c r="CU45" s="48">
        <f ca="1">IF(SUMIFS(AVERE,DEN_G,AC45,AVERE,"&gt;"&amp;0)+SUMIFS(DARE,DEN_G,AC45,DARE,"&gt;"&amp;0)&gt;0,MAX($CU$2:CU44)+1,0)</f>
        <v>0</v>
      </c>
      <c r="CV45" s="48" t="str">
        <f ca="1">IF(IFERROR(INDEX(PDC,MATCH(ROWS($CV$3:CV45),$CU$3:$CU$400,0),2),"")="CONTO DI RISULTATO ECONOMICO","",IFERROR(INDEX(PDC,MATCH(ROWS($CV$3:CV45),$CU$3:$CU$400,0),2),""))</f>
        <v/>
      </c>
      <c r="CW45" s="48">
        <f ca="1">IFERROR(IF(CV45&lt;&gt;"",MAX($CW$2:CW44)+1,0),0)</f>
        <v>0</v>
      </c>
      <c r="CX45" s="48">
        <f t="shared" ca="1" si="103"/>
        <v>4</v>
      </c>
      <c r="CY45" s="48" t="str">
        <f t="shared" ca="1" si="100"/>
        <v>MASTRO</v>
      </c>
      <c r="CZ45" s="48" t="e">
        <f t="shared" ca="1" si="107"/>
        <v>#N/A</v>
      </c>
      <c r="DA45" s="48" t="str">
        <f t="shared" ref="DA45:DA53" ca="1" si="111">IFERROR(INDEX(LIBRO_GIORNALE,CZ45,1),"")</f>
        <v/>
      </c>
      <c r="DB45" s="48" t="str">
        <f t="shared" ca="1" si="76"/>
        <v/>
      </c>
      <c r="DC45" s="48" t="str">
        <f t="shared" ca="1" si="108"/>
        <v/>
      </c>
      <c r="DD45" s="48" t="str">
        <f t="shared" ca="1" si="109"/>
        <v/>
      </c>
      <c r="DE45" s="48" t="str">
        <f t="shared" ca="1" si="110"/>
        <v/>
      </c>
      <c r="DF45" s="48">
        <f ca="1">IF(AND(CX45=$DF$1,CX45&lt;&gt;""),0,IF(AND(DB45&lt;&gt;"",OR(DB44&lt;&gt;"",DB46&lt;&gt;"")),MAX($DF$2:DF44)+1,0))</f>
        <v>0</v>
      </c>
      <c r="DH45" s="244" t="s">
        <v>33</v>
      </c>
      <c r="DI45" s="48" t="s">
        <v>25</v>
      </c>
      <c r="DJ45" s="48" t="s">
        <v>311</v>
      </c>
      <c r="DK45" s="48" t="s">
        <v>275</v>
      </c>
      <c r="DL45" s="48" t="s">
        <v>9</v>
      </c>
      <c r="DM45" s="48" t="s">
        <v>270</v>
      </c>
      <c r="DN45" s="48">
        <f ca="1">IF(DI45&lt;&gt;"",MAX($DN$2:DN44)+1,0)</f>
        <v>28</v>
      </c>
      <c r="DO45" s="48" t="str">
        <f t="shared" ca="1" si="105"/>
        <v>pab2</v>
      </c>
      <c r="DW45" s="48">
        <f>IF(DR45&lt;&gt;"",MAX($DW$2:DW44)+1,0)</f>
        <v>0</v>
      </c>
      <c r="DY45" s="48" t="str">
        <f t="shared" ca="1" si="19"/>
        <v/>
      </c>
      <c r="DZ45" s="48" t="str">
        <f t="shared" ca="1" si="40"/>
        <v/>
      </c>
      <c r="EA45" s="48" t="str">
        <f t="shared" ca="1" si="41"/>
        <v/>
      </c>
      <c r="EB45" s="48">
        <f t="shared" ca="1" si="42"/>
        <v>0</v>
      </c>
      <c r="EC45" s="48">
        <f t="shared" ca="1" si="43"/>
        <v>0</v>
      </c>
      <c r="ED45" s="48" t="str">
        <f t="shared" ca="1" si="44"/>
        <v/>
      </c>
      <c r="EE45" s="48">
        <f t="shared" ca="1" si="45"/>
        <v>0</v>
      </c>
      <c r="EF45" s="48" t="str">
        <f t="shared" ca="1" si="46"/>
        <v/>
      </c>
      <c r="EG45" s="48">
        <f t="shared" ca="1" si="47"/>
        <v>0</v>
      </c>
      <c r="EH45" s="48" t="str">
        <f t="shared" ca="1" si="48"/>
        <v/>
      </c>
      <c r="EI45" s="48">
        <f t="shared" ca="1" si="49"/>
        <v>0</v>
      </c>
      <c r="EJ45" s="48" t="str">
        <f t="shared" ca="1" si="50"/>
        <v/>
      </c>
      <c r="EK45" s="48">
        <f t="shared" ca="1" si="51"/>
        <v>0</v>
      </c>
      <c r="EL45" s="48">
        <f t="shared" ca="1" si="20"/>
        <v>0</v>
      </c>
      <c r="EM45" s="48">
        <f ca="1">IF(EL45&gt;=0,0,MAX($EM$2:EM44)+1)</f>
        <v>0</v>
      </c>
      <c r="EN45" s="48" t="str">
        <f t="shared" ca="1" si="21"/>
        <v/>
      </c>
      <c r="EO45" s="48" t="str">
        <f ca="1">IFERROR(INDEX($EM$3:$EN$400,MATCH(ROWS($EO$3:EO45),$EM$3:$EM$400,0),2),"")</f>
        <v/>
      </c>
      <c r="EP45" s="48">
        <f>ROW()</f>
        <v>45</v>
      </c>
      <c r="EQ45" s="48">
        <f t="shared" ca="1" si="22"/>
        <v>0</v>
      </c>
      <c r="ER45" s="48">
        <f ca="1">IF(ISNA(EQ45)=TRUE,MAX($ER$2:ER44)+1,0)</f>
        <v>0</v>
      </c>
      <c r="ES45" s="48" t="str">
        <f t="shared" ca="1" si="52"/>
        <v/>
      </c>
      <c r="ET45" s="48" t="str">
        <f ca="1">IFERROR(INDEX($ER$3:$ES$400,MATCH(ROWS($ET$3:ET45),$ER$3:$ER$400,0),2),"")</f>
        <v/>
      </c>
      <c r="EV45" s="48">
        <f ca="1">IFERROR(INDEX(LIBRO_GIORNALE!$O$11:$P$408,MATCH(ROWS($EV$2:EV44),LIBRO_GIORNALE!$P$11:$P$408,0),1),0)</f>
        <v>0</v>
      </c>
      <c r="EW45" s="48" t="str">
        <f t="shared" ca="1" si="53"/>
        <v>0</v>
      </c>
      <c r="EX45" s="48">
        <f t="shared" ca="1" si="54"/>
        <v>0</v>
      </c>
      <c r="EY45" s="48">
        <f ca="1">IF(EX45&gt;0,MAX($EY$2:EY44)+1,0)</f>
        <v>0</v>
      </c>
      <c r="EZ45" s="48">
        <f ca="1">IFERROR(INDEX($EX$3:$EX$400,MATCH(ROWS($EZ$3:EZ45),$EY$3:$EY$400,0),1),0)</f>
        <v>0</v>
      </c>
      <c r="FA45" s="48">
        <f ca="1">IF(EZ45&gt;0,0,MAX($FA$2:FA44)+1)</f>
        <v>43</v>
      </c>
      <c r="FB45" s="48">
        <f t="shared" ca="1" si="55"/>
        <v>0</v>
      </c>
      <c r="FC45" s="48">
        <f t="shared" ca="1" si="56"/>
        <v>43</v>
      </c>
      <c r="FD45" s="48">
        <f t="shared" ca="1" si="57"/>
        <v>43</v>
      </c>
      <c r="FE45" s="48">
        <f ca="1">IF(FD45=0,0,MAX($FE$2:FE44)+1)</f>
        <v>43</v>
      </c>
      <c r="FF45" s="48">
        <f ca="1">IFERROR(INDEX($FD$3:$FE$400,MATCH(ROWS($FF$3:FF45),$FE$3:$FE$400,0),1),"")</f>
        <v>43</v>
      </c>
      <c r="FH45" s="48">
        <f t="shared" ca="1" si="58"/>
        <v>0</v>
      </c>
      <c r="FI45" s="48">
        <f ca="1">IF(FH45&lt;&gt;0,MAX($FI$2:FI44)+1,0)</f>
        <v>0</v>
      </c>
      <c r="FJ45" s="48" t="str">
        <f ca="1">IFERROR(INDEX($FH$3:$FI$400,MATCH(ROWS($FJ$3:FJ45),$FI$3:$FI$400,0),1),"")</f>
        <v/>
      </c>
      <c r="FK45" s="48">
        <f ca="1">IF(ABS(SUMIFS(DARE,DEN_G,"="&amp;FJ45,DATA,"&lt;="&amp;FINE_AC,DATA,"&gt;="&amp;INIZIO_A_PC)-SUMIFS(AVERE,DEN_G,"="&amp;FJ45,DATA,"&lt;="&amp;FINE_AC,DATA,"&gt;="&amp;INIZIO_A_PC))&gt;0,MAX($FK$2:FK44)+1,0)</f>
        <v>0</v>
      </c>
      <c r="FL45" s="48" t="str">
        <f ca="1">IF(AND(ROW()-2&lt;&gt;1,ROW()-2&lt;=$FK$1),CONCATENATE(" - ",IFERROR(INDEX($FJ$3:$FK$400,MATCH(ROWS($FL$3:FL45),$FK$3:$FK$400,0),1),"")),IFERROR(INDEX($FJ$3:$FK$400,MATCH(ROWS($FL$3:FL45),$FK$3:$FK$400,0),1),""))</f>
        <v/>
      </c>
      <c r="FM45" s="48">
        <f ca="1">IF(OR(B45="IVA ns/credito",B45="IVA NS/DEBITO",B45="IVA C/ACCONTO",B45="IMPOSTE C/ACCONTO",B45="CREDITI PER RITENUTE SUBITE",B45="CREDITI D'IMPOSTA"),MAX($FM$2:FM44)+1,0)</f>
        <v>0</v>
      </c>
      <c r="FN45" s="48" t="str">
        <f t="shared" ca="1" si="59"/>
        <v/>
      </c>
      <c r="FO45" s="48" t="str">
        <f ca="1">IFERROR(INDEX($FM$3:$FN$400,MATCH(ROWS($FO$3:FO45),$FM$3:$FM$400,0),2),"")</f>
        <v/>
      </c>
      <c r="FP45" s="48">
        <f ca="1">IF(ABS(SUMIFS(DARE,DEN_G,"="&amp;FO45,DATA,"&lt;="&amp;FINE_AC,DATA,"&gt;="&amp;INIZIO_A_PC)-SUMIFS(AVERE,DEN_G,"="&amp;FO45,DATA,"&lt;="&amp;FINE_AC,DATA,"&gt;="&amp;INIZIO_A_PC))&gt;0,MAX($FP$2:FP44)+1,0)</f>
        <v>0</v>
      </c>
      <c r="FQ45" s="48" t="str">
        <f ca="1">IF(AND(ROW()-2&lt;&gt;1,ROW()-2&lt;=$FP$1),CONCATENATE(" - ",IFERROR(INDEX($FO$3:$FP$400,MATCH(ROWS($FQ$3:FQ45),$FP$3:$FP$400,0),1),"")),IFERROR(INDEX($FO$3:$FP$400,MATCH(ROWS($FQ$3:FQ45),$FP$3:$FP$400,0),1),""))</f>
        <v/>
      </c>
    </row>
    <row r="46" spans="1:173" x14ac:dyDescent="0.3">
      <c r="A46" s="48" t="str">
        <f ca="1">IFERROR(IF($A$1=2,INDEX($DH$3:$DN$401,MATCH(ROWS(A$3:A46),$DN$3:$DN$401,0),COLUMN()),IF($A$1=1,INDEX($DQ$3:$DW$401,MATCH(ROWS(A$3:A46),$DW$3:$DW$401,0),COLUMN()),"")),"")</f>
        <v>03.03</v>
      </c>
      <c r="B46" s="48" t="str">
        <f ca="1">IFERROR(IF($A$1=2,INDEX($DH$3:$DN$401,MATCH(ROWS(B$3:B46),$DN$3:$DN$401,0),COLUMN()),IF($A$1=1,INDEX($DQ$3:$DW$400,MATCH(ROWS(B$3:B46),$DW$3:$DW$401,0),COLUMN()),"")),"")</f>
        <v>PARTECIPAZIONI IN CONTROLLANTE</v>
      </c>
      <c r="C46" s="48" t="str">
        <f ca="1">IFERROR(IF($A$1=2,INDEX($DH$3:$DN$401,MATCH(ROWS(C$3:C46),$DN$3:$DN$401,0),COLUMN()),IF($A$1=1,INDEX($DQ$3:$DW$401,MATCH(ROWS(C$3:C46),$DW$3:$DW$401,0),COLUMN()),"")),"")</f>
        <v>E</v>
      </c>
      <c r="D46" s="48" t="str">
        <f ca="1">IFERROR(IF($A$1=2,INDEX($DH$3:$DN$401,MATCH(ROWS(D$3:D46),$DN$3:$DN$401,0),COLUMN()),IF($A$1=1,INDEX($DQ$3:$DW$401,MATCH(ROWS(D$3:D46),$DW$3:$DW$401,0),COLUMN()),"")),"")</f>
        <v>D</v>
      </c>
      <c r="E46" s="48" t="str">
        <f ca="1">IFERROR(IF($A$1=2,INDEX($DH$3:$DN$401,MATCH(ROWS(E$3:E46),$DN$3:$DN$401,0),COLUMN()),IF($A$1=1,INDEX($DQ$3:$DW$401,MATCH(ROWS(E$3:E46),$DW$3:$DW$401,0),COLUMN()),"")),"")</f>
        <v>COSTI SOSPESI</v>
      </c>
      <c r="F46" s="48" t="str">
        <f ca="1">IFERROR(IF($A$1=2,INDEX($DH$3:$DN$401,MATCH(ROWS(F$3:F46),$DN$3:$DN$401,0),COLUMN()),IF($A$1=1,INDEX($DQ$3:$DX$401,MATCH(ROWS(F$3:F46),$DW$3:$DW$401,0),COLUMN()),"")),"")</f>
        <v>SP DARE</v>
      </c>
      <c r="G46" s="48" t="str">
        <f t="shared" ca="1" si="23"/>
        <v>SP</v>
      </c>
      <c r="H46" s="48" t="str">
        <f ca="1">IFERROR(IF($A$1=2,INDEX($DH$3:$DO$400,MATCH(ROWS(H$3:H46),$DN$3:$DN$400,0),COLUMN()),IF($A$1=1,INDEX($DQ$3:$DX$400,MATCH(ROWS(H$3:H46),$DW$3:$DW$400,0),COLUMN()),"")),"")</f>
        <v>pab3</v>
      </c>
      <c r="I46" s="48" t="str">
        <f t="shared" ca="1" si="0"/>
        <v/>
      </c>
      <c r="J46" s="48" t="str">
        <f t="shared" ca="1" si="24"/>
        <v/>
      </c>
      <c r="K46" s="48">
        <f t="shared" ca="1" si="25"/>
        <v>0</v>
      </c>
      <c r="L46" s="48">
        <f t="shared" ca="1" si="26"/>
        <v>0</v>
      </c>
      <c r="M46" s="48">
        <f ca="1">IFERROR(IF(IF(MID($A46,3,3)=".00",MID(A46,1,2),"")&lt;&gt;"",MAX($M$2:M45)+1,0),"")</f>
        <v>0</v>
      </c>
      <c r="N46" s="48" t="str">
        <f t="shared" ca="1" si="27"/>
        <v/>
      </c>
      <c r="O46" s="48" t="str">
        <f ca="1">IF(IFERROR(INDEX($N$3:$O$400,MATCH(ROWS($O$3:O46),$M$3:$M$400,0),1),"")&lt;&gt;"",CONCATENATE(INDEX($N$3:$O$400,MATCH(ROWS($O$3:O46),$M$3:$M$400,0),1),".00"),"")</f>
        <v/>
      </c>
      <c r="P46" s="48" t="str">
        <f t="shared" ca="1" si="28"/>
        <v/>
      </c>
      <c r="Q46" s="48">
        <f ca="1">IF(M46&gt;=1,0,MAX($Q$2:Q45)+1)</f>
        <v>40</v>
      </c>
      <c r="R46" s="48">
        <f ca="1">IF(AND($U$2=2,S46&lt;&gt;""),MAX($R$2:R45)+1,0)</f>
        <v>28</v>
      </c>
      <c r="S46" s="48" t="str">
        <f t="shared" ca="1" si="81"/>
        <v>AMMORTAMENTI IMMOBILIZZAZIONI MATERIALI</v>
      </c>
      <c r="T46" s="48" t="str">
        <f ca="1">IFERROR(INDEX($R$3:$S$64,MATCH(ROWS($T$2:T45),$R$3:$R$64,0),2),"")</f>
        <v/>
      </c>
      <c r="U46" s="48" t="str">
        <f ca="1">IFERROR(INDEX(PDC,MATCH(ROWS(U$3:U46),$V$3:$V$400,0),2),"")</f>
        <v>PRESTITI A CONTROLLANTE</v>
      </c>
      <c r="V46" s="48">
        <f ca="1">IF(AND($T$1="VISUALIZZA TUTTI I CONTI",AA46&lt;&gt;""),MAX($V$2:V45)+1,IF(AND($U$2=2,AI46=$T$1),MAX($V$2:V45)+1,IF(AND($U$2=1,$T$1=AF46),MAX($V$2:V45)+1,0)))</f>
        <v>44</v>
      </c>
      <c r="Z46" s="246"/>
      <c r="AA46" s="48" t="str">
        <f t="shared" ca="1" si="29"/>
        <v>03.00</v>
      </c>
      <c r="AB46" s="48" t="str">
        <f ca="1">IFERROR(INDEX($A$3:$G$400,MATCH(ROWS(AB$3:AB46),$Q$3:$Q$400,0),1),"")</f>
        <v>03.12</v>
      </c>
      <c r="AC46" s="48" t="str">
        <f ca="1">IFERROR(INDEX($A$3:$G$400,MATCH(ROWS($AC$3:AC46),$Q$3:$Q$400,0),2),"")</f>
        <v>PRESTITI A CONTROLLANTE</v>
      </c>
      <c r="AD46" s="48" t="str">
        <f ca="1">IFERROR(INDEX($A$3:$G$400,MATCH(ROWS(AD$3:AD46),$Q$3:$Q$400,0),3),"")</f>
        <v>F</v>
      </c>
      <c r="AE46" s="48" t="str">
        <f ca="1">IFERROR(INDEX($A$3:$G$400,MATCH(ROWS(AE$3:AE46),$Q$3:$Q$400,0),4),"")</f>
        <v>D</v>
      </c>
      <c r="AF46" s="48" t="str">
        <f ca="1">IFERROR(INDEX($A$3:$G$400,MATCH(ROWS(AF$3:AF46),$Q$3:$Q$400,0),5),"")</f>
        <v>CREDITI</v>
      </c>
      <c r="AG46" s="48" t="str">
        <f ca="1">IFERROR(INDEX($A$3:$G$400,MATCH(ROWS(AG$3:AG46),$Q$3:$Q$400,0),6),"")</f>
        <v>SP DARE</v>
      </c>
      <c r="AH46" s="48" t="str">
        <f ca="1">IFERROR(INDEX($A$3:$G$400,MATCH(ROWS(AH$3:AH46),$Q$3:$Q$400,0),7),"")</f>
        <v>SP</v>
      </c>
      <c r="AI46" s="48" t="str">
        <f t="shared" ca="1" si="1"/>
        <v>IMMOBILIZZAZIONI FINANZIARIE</v>
      </c>
      <c r="AJ46" s="48" t="str">
        <f ca="1">IFERROR(INDEX($A$3:$H$400,MATCH(ROWS(AJ$3:AJ46),$Q$3:$Q$400,0),8),"")</f>
        <v>pab3</v>
      </c>
      <c r="AK46" s="48">
        <f t="shared" ca="1" si="2"/>
        <v>0</v>
      </c>
      <c r="AL46" s="48">
        <f t="shared" ca="1" si="95"/>
        <v>0</v>
      </c>
      <c r="AM46" s="48">
        <f t="shared" ca="1" si="30"/>
        <v>0</v>
      </c>
      <c r="AN46" s="48" t="str">
        <f t="shared" ca="1" si="31"/>
        <v/>
      </c>
      <c r="AO46" s="48">
        <f t="shared" ca="1" si="32"/>
        <v>0</v>
      </c>
      <c r="AP46" s="48">
        <f t="shared" ca="1" si="32"/>
        <v>0</v>
      </c>
      <c r="AQ46" s="48" t="str">
        <f t="shared" ca="1" si="4"/>
        <v>PRESTITI A CONTROLLANTE</v>
      </c>
      <c r="AR46" s="48">
        <f t="shared" ca="1" si="5"/>
        <v>0</v>
      </c>
      <c r="AS46" s="48">
        <f t="shared" ca="1" si="6"/>
        <v>0</v>
      </c>
      <c r="AT46" s="48">
        <f t="shared" ca="1" si="33"/>
        <v>0</v>
      </c>
      <c r="AU46" s="48">
        <f t="shared" ca="1" si="34"/>
        <v>0</v>
      </c>
      <c r="AV46" s="48">
        <f ca="1">IF(OR(AT46&gt;0,AU46&gt;0),MAX($AV$2:AV45)+1,0)</f>
        <v>0</v>
      </c>
      <c r="AZ46" s="241" t="str">
        <f t="shared" ca="1" si="35"/>
        <v/>
      </c>
      <c r="BA46" s="48">
        <f t="shared" ca="1" si="96"/>
        <v>0</v>
      </c>
      <c r="BB46" s="48">
        <f ca="1">IFERROR(INDEX($AQ$3:$AV$220,MATCH(ROWS($BB$3:BB46),$AV$3:$AV$220,0),1),0)</f>
        <v>0</v>
      </c>
      <c r="BC46" s="48" t="str">
        <f t="shared" ca="1" si="36"/>
        <v/>
      </c>
      <c r="BD46" s="48">
        <f ca="1">IFERROR(INDEX($AQ$3:$AV$220,MATCH(ROWS($BB$3:BD46),$AV$3:$AV$220,0),4),0)</f>
        <v>0</v>
      </c>
      <c r="BE46" s="48">
        <f ca="1">IFERROR(INDEX($AQ$3:$AV$220,MATCH(ROWS($BB$3:BE46),$AV$3:$AV$220,0),5),0)</f>
        <v>0</v>
      </c>
      <c r="BG46" s="48">
        <f ca="1">IF(IF(AND(OR(INDEX(PDC,MATCH($AC46,DEN_PDC,0),6)="SP DARE",INDEX(PDC,MATCH($AC46,DEN_PDC,0),6)="SP DARE/AVERE"),SUMIFS(DARE,DEN_G,$AC46)&gt;=SUMIFS(AVERE,DEN_G,$AC46)),SUMIFS(DARE,DEN_G,$AC46)-SUMIFS(AVERE,DEN_G,$AC46),0)&gt;0,MAX($BG$2:BG45)+1,0)</f>
        <v>0</v>
      </c>
      <c r="BH46" s="48">
        <f ca="1">IF(IF(AND(OR(INDEX(PDC,MATCH($AC46,DEN_PDC,0),6)="SP AVERE",INDEX(PDC,MATCH($AC46,DEN_PDC,0),6)="SP DARE/AVERE"),SUMIFS(AVERE,DEN_G,$AC46)&gt;=SUMIFS(DARE,DEN_G,$AC46)),SUMIFS(AVERE,DEN_G,$AC46)-SUMIFS(DARE,DEN_G,$AC46),0)&gt;0,MAX(BH$2:BH45)+1,0)</f>
        <v>0</v>
      </c>
      <c r="BI46" s="48">
        <f ca="1">IF(IF(AND(OR(INDEX(PDC,MATCH($AC46,DEN_PDC,0),6)="SE DARE",INDEX(PDC,MATCH($AC46,DEN_PDC,0),6)="SE DARE/AVERE"),SUMIFS(DARE,DEN_G,$AC46)&gt;=SUMIFS(AVERE,DEN_G,$AC46)),SUMIFS(DARE,DEN_G,$AC46)-SUMIFS(AVERE,DEN_G,$AC46),0)&gt;0,MAX(BI$2:BI45)+1,0)</f>
        <v>0</v>
      </c>
      <c r="BJ46" s="48">
        <f ca="1">IF(IF(AND(OR(INDEX(PDC,MATCH($AC46,DEN_PDC,0),6)="SE AVERE",INDEX(PDC,MATCH($AC46,DEN_PDC,0),6)="SE DARE/AVERE"),SUMIFS(AVERE,DEN_G,$AC46)&gt;=SUMIFS(DARE,DEN_G,$AC46)),SUMIFS(AVERE,DEN_G,$AC46)-SUMIFS(DARE,DEN_G,$AC46),0)&gt;0,MAX(BJ$2:BJ45)+1,0)</f>
        <v>0</v>
      </c>
      <c r="BK46" s="48" t="str">
        <f ca="1">IF(AND(AND($DY$2=0,$DY$1=0),$I$1=2,ROW()&gt;$BG$1+2,ROW()&lt;=$BG$1+4),"………………..",IF(AND(OR($DY$2&gt;0,$DY$1&gt;0),$I$1=2,ROW()&gt;$BG$1+2,ROW()&lt;=$BG$1+4),"………………..",IFERROR(INDEX($AC$3:$AC$398,MATCH(ROWS(BK$3:BK46),BG$3:BG$398,0),1),"")))</f>
        <v/>
      </c>
      <c r="BL46" s="48">
        <f t="shared" ca="1" si="69"/>
        <v>0</v>
      </c>
      <c r="BM46" s="48" t="str">
        <f ca="1">IF(AND(OR($DY$2=0,$DY$1=0),$I$1=2,ROW()&gt;$BH$1+2,ROW()&lt;=$BH$1+4),"………………..",IF(AND(OR($DY$2&gt;0,$DY$1&gt;0),$I$1=2,ROW()&gt;$BH$1+2,ROW()&lt;=$BH$1+4),"………………..",IFERROR(INDEX($AC$3:$AC$400,MATCH(ROWS(BM$3:BM46),BH$3:BH$400,0),1),"")))</f>
        <v/>
      </c>
      <c r="BN46" s="48">
        <f t="shared" ca="1" si="9"/>
        <v>0</v>
      </c>
      <c r="BO46" s="48" t="str">
        <f ca="1">IF(AND(OR($DY$2=0,$DY$1=0),$I$1=2,ROW()&gt;$BI$1+2,ROW()&lt;=$BI$1+4),"………………..",IF(AND(OR($DY$2&gt;0,$DY$1&gt;0),$I$1=2,ROW()&gt;$BI$1+2,ROW()&lt;=$BI$1+4),"………………..",IFERROR(INDEX($AC$3:$AC$400,MATCH(ROWS(BO$3:BO46),BI$3:BI$400,0),1),"")))</f>
        <v/>
      </c>
      <c r="BP46" s="48">
        <f t="shared" ca="1" si="10"/>
        <v>0</v>
      </c>
      <c r="BQ46" s="48" t="str">
        <f ca="1">IF(AND(OR($DY$2=0,$DY$1=0),$I$1=2,ROW()&gt;$BJ$1+2,ROW()&lt;=$BJ$1+4),"………………..",IF(AND(OR($DY$2&gt;0,$DY$1&gt;0),$I$1=2,ROW()&gt;$BJ$1+2,ROW()&lt;=$BJ$1+4),"………………..",IFERROR(INDEX($AC$3:$AC$400,MATCH(ROWS(BQ$3:BQ46),BJ$3:BJ$400,0),1),"")))</f>
        <v/>
      </c>
      <c r="BR46" s="48">
        <f t="shared" ca="1" si="11"/>
        <v>0</v>
      </c>
      <c r="BS46" s="48">
        <f ca="1">IF(IF(AND(OR(INDEX(PDC,MATCH($AC46,DEN_PDC,0),4)="D",INDEX(PDC,MATCH($AC46,DEN_PDC,0),4)="D/A"),SUMIFS(DARE,DEN_G,$AC46)&gt;=SUMIFS(AVERE,DEN_G,$AC46)),SUMIFS(DARE,DEN_G,$AC46),IF(AND(OR(INDEX(PDC,MATCH($AC46,DEN_PDC,0),4)="A",INDEX(PDC,MATCH($AC46,DEN_PDC,0),4)="D/A"),SUMIFS(AVERE,DEN_G,$AC46)&gt;=SUMIFS(DARE,DEN_G,$AC46)),SUMIFS(AVERE,DEN_G,$AC46),))&gt;0,MAX($BS$2:BS45)+1,0)</f>
        <v>0</v>
      </c>
      <c r="BT46" s="48" t="str">
        <f ca="1">IF($CO$1=0,"",IF(AND($I$1=2,ROW()&gt;$BR$1,ROW()&lt;=$BS$1)," …………….",IF(AND($E$1=1,$BX$1=1,$I$1=2,ROW()=$BQ$1),"TOTALI",IFERROR(INDEX(PDC,MATCH(ROWS(BT$3:BT46),BS$3:BS443,0),2),""))))</f>
        <v/>
      </c>
      <c r="BU46" s="48">
        <f t="shared" ca="1" si="12"/>
        <v>0</v>
      </c>
      <c r="BV46" s="48">
        <f t="shared" ca="1" si="13"/>
        <v>0</v>
      </c>
      <c r="BW46" s="48">
        <f t="shared" ca="1" si="14"/>
        <v>0</v>
      </c>
      <c r="BX46" s="48">
        <f t="shared" ca="1" si="15"/>
        <v>0</v>
      </c>
      <c r="BY46" s="48">
        <f ca="1">IF(OR(BW46&gt;0,BX46&gt;0),MAX($BY$2:BY45)+1,0)</f>
        <v>0</v>
      </c>
      <c r="BZ46" s="48" t="str">
        <f ca="1">IFERROR(INDEX($BT$3:$BY$400,MATCH(ROWS(BZ$3:BZ46),$BY$3:$BY$400,0),1),"")</f>
        <v/>
      </c>
      <c r="CA46" s="48" t="str">
        <f ca="1">IFERROR(INDEX($BT$3:$BY$400,MATCH(ROWS(CA$3:CA46),$BY$3:$BY$400,0),4),"")</f>
        <v/>
      </c>
      <c r="CB46" s="48" t="str">
        <f ca="1">IFERROR(INDEX($BT$3:$BY$400,MATCH(ROWS(CB$3:CB46),$BY$3:$BY$400,0),5),"")</f>
        <v/>
      </c>
      <c r="CC46" s="48" t="str">
        <f t="shared" ca="1" si="16"/>
        <v/>
      </c>
      <c r="CD46" s="48">
        <f ca="1">IF(AND($BF$9=1,CE46&lt;&gt;0),MAX($CD$2:CD45)+1,0)</f>
        <v>0</v>
      </c>
      <c r="CE46" s="48">
        <f ca="1">IF(ROUND(SUMIFS(COPIA!$CA$3:$CA$400,COPIA!$CC$3:$CC$400,CF46)-SUMIFS(COPIA!$CB$3:$CB$400,COPIA!$CC$3:$CC$400,CF46),0)&lt;0,0,ROUND(SUMIFS(COPIA!$CA$3:$CA$400,COPIA!$CC$3:$CC$400,CF46)-SUMIFS(COPIA!$CB$3:$CB$400,COPIA!$CC$3:$CC$400,CF46),0))</f>
        <v>0</v>
      </c>
      <c r="CF46" s="48" t="s">
        <v>601</v>
      </c>
      <c r="CG46" s="242" t="s">
        <v>672</v>
      </c>
      <c r="CH46" s="242">
        <f ca="1">CE46</f>
        <v>0</v>
      </c>
      <c r="CI46" s="242"/>
      <c r="CJ46" s="242"/>
      <c r="CK46" s="48">
        <f ca="1">IF($CF$2=FALSE,0,IF(AND($BF$9=1,CJ46&lt;&gt;0),MAX($CK$21:CK45)+1,0))</f>
        <v>0</v>
      </c>
      <c r="CM46" s="242" t="str">
        <f t="shared" ca="1" si="37"/>
        <v/>
      </c>
      <c r="CN46" s="243">
        <f t="shared" ca="1" si="38"/>
        <v>0</v>
      </c>
      <c r="CO46" s="48" t="str">
        <f t="shared" ca="1" si="39"/>
        <v/>
      </c>
      <c r="CQ46" s="247">
        <f t="shared" ca="1" si="106"/>
        <v>47119</v>
      </c>
      <c r="CR46" s="247">
        <f t="shared" ca="1" si="106"/>
        <v>47483</v>
      </c>
      <c r="CS46" s="48">
        <f t="shared" ca="1" si="101"/>
        <v>0</v>
      </c>
      <c r="CT46" s="242">
        <f t="shared" ca="1" si="102"/>
        <v>0</v>
      </c>
      <c r="CU46" s="48">
        <f ca="1">IF(SUMIFS(AVERE,DEN_G,AC46,AVERE,"&gt;"&amp;0)+SUMIFS(DARE,DEN_G,AC46,DARE,"&gt;"&amp;0)&gt;0,MAX($CU$2:CU45)+1,0)</f>
        <v>0</v>
      </c>
      <c r="CV46" s="48" t="str">
        <f ca="1">IF(IFERROR(INDEX(PDC,MATCH(ROWS($CV$3:CV46),$CU$3:$CU$400,0),2),"")="CONTO DI RISULTATO ECONOMICO","",IFERROR(INDEX(PDC,MATCH(ROWS($CV$3:CV46),$CU$3:$CU$400,0),2),""))</f>
        <v/>
      </c>
      <c r="CW46" s="48">
        <f ca="1">IFERROR(IF(CV46&lt;&gt;"",MAX($CW$2:CW45)+1,0),0)</f>
        <v>0</v>
      </c>
      <c r="CX46" s="48">
        <f t="shared" ca="1" si="103"/>
        <v>4</v>
      </c>
      <c r="CY46" s="48" t="str">
        <f t="shared" ca="1" si="100"/>
        <v>MASTRO</v>
      </c>
      <c r="CZ46" s="48" t="e">
        <f t="shared" ca="1" si="107"/>
        <v>#N/A</v>
      </c>
      <c r="DA46" s="48" t="str">
        <f t="shared" ca="1" si="111"/>
        <v/>
      </c>
      <c r="DB46" s="48" t="str">
        <f t="shared" ca="1" si="76"/>
        <v/>
      </c>
      <c r="DC46" s="48" t="str">
        <f t="shared" ca="1" si="108"/>
        <v/>
      </c>
      <c r="DD46" s="48" t="str">
        <f t="shared" ca="1" si="109"/>
        <v/>
      </c>
      <c r="DE46" s="48" t="str">
        <f t="shared" ca="1" si="110"/>
        <v/>
      </c>
      <c r="DF46" s="48">
        <f ca="1">IF(AND(CX46=$DF$1,CX46&lt;&gt;""),0,IF(AND(DB46&lt;&gt;"",OR(DB45&lt;&gt;"",DB47&lt;&gt;"")),MAX($DF$2:DF45)+1,0))</f>
        <v>0</v>
      </c>
      <c r="DH46" s="244" t="s">
        <v>34</v>
      </c>
      <c r="DI46" s="48" t="s">
        <v>26</v>
      </c>
      <c r="DJ46" s="48" t="s">
        <v>311</v>
      </c>
      <c r="DK46" s="48" t="s">
        <v>298</v>
      </c>
      <c r="DL46" s="48" t="s">
        <v>318</v>
      </c>
      <c r="DM46" s="48" t="s">
        <v>299</v>
      </c>
      <c r="DN46" s="48">
        <f ca="1">IF(DI46&lt;&gt;"",MAX($DN$2:DN45)+1,0)</f>
        <v>29</v>
      </c>
      <c r="DO46" s="48" t="str">
        <f ca="1">IF($BF$9=1,"pab21","pab2")</f>
        <v>pab2</v>
      </c>
      <c r="DR46" s="228"/>
      <c r="DW46" s="48">
        <f>IF(DR46&lt;&gt;"",MAX($DW$2:DW45)+1,0)</f>
        <v>0</v>
      </c>
      <c r="DY46" s="48" t="str">
        <f t="shared" ca="1" si="19"/>
        <v/>
      </c>
      <c r="DZ46" s="48" t="str">
        <f t="shared" ca="1" si="40"/>
        <v/>
      </c>
      <c r="EA46" s="48" t="str">
        <f t="shared" ca="1" si="41"/>
        <v/>
      </c>
      <c r="EB46" s="48">
        <f t="shared" ca="1" si="42"/>
        <v>0</v>
      </c>
      <c r="EC46" s="48">
        <f t="shared" ca="1" si="43"/>
        <v>0</v>
      </c>
      <c r="ED46" s="48" t="str">
        <f t="shared" ca="1" si="44"/>
        <v/>
      </c>
      <c r="EE46" s="48">
        <f t="shared" ca="1" si="45"/>
        <v>0</v>
      </c>
      <c r="EF46" s="48" t="str">
        <f t="shared" ca="1" si="46"/>
        <v/>
      </c>
      <c r="EG46" s="48">
        <f t="shared" ca="1" si="47"/>
        <v>0</v>
      </c>
      <c r="EH46" s="48" t="str">
        <f t="shared" ca="1" si="48"/>
        <v/>
      </c>
      <c r="EI46" s="48">
        <f t="shared" ca="1" si="49"/>
        <v>0</v>
      </c>
      <c r="EJ46" s="48" t="str">
        <f t="shared" ca="1" si="50"/>
        <v/>
      </c>
      <c r="EK46" s="48">
        <f t="shared" ca="1" si="51"/>
        <v>0</v>
      </c>
      <c r="EL46" s="48">
        <f t="shared" ca="1" si="20"/>
        <v>0</v>
      </c>
      <c r="EM46" s="48">
        <f ca="1">IF(EL46&gt;=0,0,MAX($EM$2:EM45)+1)</f>
        <v>0</v>
      </c>
      <c r="EN46" s="48" t="str">
        <f t="shared" ca="1" si="21"/>
        <v/>
      </c>
      <c r="EO46" s="48" t="str">
        <f ca="1">IFERROR(INDEX($EM$3:$EN$400,MATCH(ROWS($EO$3:EO46),$EM$3:$EM$400,0),2),"")</f>
        <v/>
      </c>
      <c r="EP46" s="48">
        <f>ROW()</f>
        <v>46</v>
      </c>
      <c r="EQ46" s="48">
        <f t="shared" ca="1" si="22"/>
        <v>0</v>
      </c>
      <c r="ER46" s="48">
        <f ca="1">IF(ISNA(EQ46)=TRUE,MAX($ER$2:ER45)+1,0)</f>
        <v>0</v>
      </c>
      <c r="ES46" s="48" t="str">
        <f t="shared" ca="1" si="52"/>
        <v/>
      </c>
      <c r="ET46" s="48" t="str">
        <f ca="1">IFERROR(INDEX($ER$3:$ES$400,MATCH(ROWS($ET$3:ET46),$ER$3:$ER$400,0),2),"")</f>
        <v/>
      </c>
      <c r="EV46" s="48">
        <f ca="1">IFERROR(INDEX(LIBRO_GIORNALE!$O$11:$P$408,MATCH(ROWS($EV$2:EV45),LIBRO_GIORNALE!$P$11:$P$408,0),1),0)</f>
        <v>0</v>
      </c>
      <c r="EW46" s="48" t="str">
        <f t="shared" ca="1" si="53"/>
        <v>0</v>
      </c>
      <c r="EX46" s="48">
        <f t="shared" ca="1" si="54"/>
        <v>0</v>
      </c>
      <c r="EY46" s="48">
        <f ca="1">IF(EX46&gt;0,MAX($EY$2:EY45)+1,0)</f>
        <v>0</v>
      </c>
      <c r="EZ46" s="48">
        <f ca="1">IFERROR(INDEX($EX$3:$EX$400,MATCH(ROWS($EZ$3:EZ46),$EY$3:$EY$400,0),1),0)</f>
        <v>0</v>
      </c>
      <c r="FA46" s="48">
        <f ca="1">IF(EZ46&gt;0,0,MAX($FA$2:FA45)+1)</f>
        <v>44</v>
      </c>
      <c r="FB46" s="48">
        <f t="shared" ca="1" si="55"/>
        <v>0</v>
      </c>
      <c r="FC46" s="48">
        <f t="shared" ca="1" si="56"/>
        <v>44</v>
      </c>
      <c r="FD46" s="48">
        <f t="shared" ca="1" si="57"/>
        <v>44</v>
      </c>
      <c r="FE46" s="48">
        <f ca="1">IF(FD46=0,0,MAX($FE$2:FE45)+1)</f>
        <v>44</v>
      </c>
      <c r="FF46" s="48">
        <f ca="1">IFERROR(INDEX($FD$3:$FE$400,MATCH(ROWS($FF$3:FF46),$FE$3:$FE$400,0),1),"")</f>
        <v>44</v>
      </c>
      <c r="FH46" s="48">
        <f t="shared" ca="1" si="58"/>
        <v>0</v>
      </c>
      <c r="FI46" s="48">
        <f ca="1">IF(FH46&lt;&gt;0,MAX($FI$2:FI45)+1,0)</f>
        <v>0</v>
      </c>
      <c r="FJ46" s="48" t="str">
        <f ca="1">IFERROR(INDEX($FH$3:$FI$400,MATCH(ROWS($FJ$3:FJ46),$FI$3:$FI$400,0),1),"")</f>
        <v/>
      </c>
      <c r="FK46" s="48">
        <f ca="1">IF(ABS(SUMIFS(DARE,DEN_G,"="&amp;FJ46,DATA,"&lt;="&amp;FINE_AC,DATA,"&gt;="&amp;INIZIO_A_PC)-SUMIFS(AVERE,DEN_G,"="&amp;FJ46,DATA,"&lt;="&amp;FINE_AC,DATA,"&gt;="&amp;INIZIO_A_PC))&gt;0,MAX($FK$2:FK45)+1,0)</f>
        <v>0</v>
      </c>
      <c r="FL46" s="48" t="str">
        <f ca="1">IF(AND(ROW()-2&lt;&gt;1,ROW()-2&lt;=$FK$1),CONCATENATE(" - ",IFERROR(INDEX($FJ$3:$FK$400,MATCH(ROWS($FL$3:FL46),$FK$3:$FK$400,0),1),"")),IFERROR(INDEX($FJ$3:$FK$400,MATCH(ROWS($FL$3:FL46),$FK$3:$FK$400,0),1),""))</f>
        <v/>
      </c>
      <c r="FM46" s="48">
        <f ca="1">IF(OR(B46="IVA ns/credito",B46="IVA NS/DEBITO",B46="IVA C/ACCONTO",B46="IMPOSTE C/ACCONTO",B46="CREDITI PER RITENUTE SUBITE",B46="CREDITI D'IMPOSTA"),MAX($FM$2:FM45)+1,0)</f>
        <v>0</v>
      </c>
      <c r="FN46" s="48" t="str">
        <f t="shared" ca="1" si="59"/>
        <v/>
      </c>
      <c r="FO46" s="48" t="str">
        <f ca="1">IFERROR(INDEX($FM$3:$FN$400,MATCH(ROWS($FO$3:FO46),$FM$3:$FM$400,0),2),"")</f>
        <v/>
      </c>
      <c r="FP46" s="48">
        <f ca="1">IF(ABS(SUMIFS(DARE,DEN_G,"="&amp;FO46,DATA,"&lt;="&amp;FINE_AC,DATA,"&gt;="&amp;INIZIO_A_PC)-SUMIFS(AVERE,DEN_G,"="&amp;FO46,DATA,"&lt;="&amp;FINE_AC,DATA,"&gt;="&amp;INIZIO_A_PC))&gt;0,MAX($FP$2:FP45)+1,0)</f>
        <v>0</v>
      </c>
      <c r="FQ46" s="48" t="str">
        <f ca="1">IF(AND(ROW()-2&lt;&gt;1,ROW()-2&lt;=$FP$1),CONCATENATE(" - ",IFERROR(INDEX($FO$3:$FP$400,MATCH(ROWS($FQ$3:FQ46),$FP$3:$FP$400,0),1),"")),IFERROR(INDEX($FO$3:$FP$400,MATCH(ROWS($FQ$3:FQ46),$FP$3:$FP$400,0),1),""))</f>
        <v/>
      </c>
    </row>
    <row r="47" spans="1:173" x14ac:dyDescent="0.3">
      <c r="A47" s="48" t="str">
        <f ca="1">IFERROR(IF($A$1=2,INDEX($DH$3:$DN$401,MATCH(ROWS(A$3:A47),$DN$3:$DN$401,0),COLUMN()),IF($A$1=1,INDEX($DQ$3:$DW$401,MATCH(ROWS(A$3:A47),$DW$3:$DW$401,0),COLUMN()),"")),"")</f>
        <v>03.04</v>
      </c>
      <c r="B47" s="48" t="str">
        <f ca="1">IFERROR(IF($A$1=2,INDEX($DH$3:$DN$401,MATCH(ROWS(B$3:B47),$DN$3:$DN$401,0),COLUMN()),IF($A$1=1,INDEX($DQ$3:$DW$400,MATCH(ROWS(B$3:B47),$DW$3:$DW$401,0),COLUMN()),"")),"")</f>
        <v>PARTECIPAZIONI DIVERSE</v>
      </c>
      <c r="C47" s="48" t="str">
        <f ca="1">IFERROR(IF($A$1=2,INDEX($DH$3:$DN$401,MATCH(ROWS(C$3:C47),$DN$3:$DN$401,0),COLUMN()),IF($A$1=1,INDEX($DQ$3:$DW$401,MATCH(ROWS(C$3:C47),$DW$3:$DW$401,0),COLUMN()),"")),"")</f>
        <v>E</v>
      </c>
      <c r="D47" s="48" t="str">
        <f ca="1">IFERROR(IF($A$1=2,INDEX($DH$3:$DN$401,MATCH(ROWS(D$3:D47),$DN$3:$DN$401,0),COLUMN()),IF($A$1=1,INDEX($DQ$3:$DW$401,MATCH(ROWS(D$3:D47),$DW$3:$DW$401,0),COLUMN()),"")),"")</f>
        <v>D</v>
      </c>
      <c r="E47" s="48" t="str">
        <f ca="1">IFERROR(IF($A$1=2,INDEX($DH$3:$DN$401,MATCH(ROWS(E$3:E47),$DN$3:$DN$401,0),COLUMN()),IF($A$1=1,INDEX($DQ$3:$DW$401,MATCH(ROWS(E$3:E47),$DW$3:$DW$401,0),COLUMN()),"")),"")</f>
        <v>COSTI SOSPESI</v>
      </c>
      <c r="F47" s="48" t="str">
        <f ca="1">IFERROR(IF($A$1=2,INDEX($DH$3:$DN$401,MATCH(ROWS(F$3:F47),$DN$3:$DN$401,0),COLUMN()),IF($A$1=1,INDEX($DQ$3:$DX$401,MATCH(ROWS(F$3:F47),$DW$3:$DW$401,0),COLUMN()),"")),"")</f>
        <v>SP DARE</v>
      </c>
      <c r="G47" s="48" t="str">
        <f t="shared" ca="1" si="23"/>
        <v>SP</v>
      </c>
      <c r="H47" s="48" t="str">
        <f ca="1">IFERROR(IF($A$1=2,INDEX($DH$3:$DO$400,MATCH(ROWS(H$3:H47),$DN$3:$DN$400,0),COLUMN()),IF($A$1=1,INDEX($DQ$3:$DX$400,MATCH(ROWS(H$3:H47),$DW$3:$DW$400,0),COLUMN()),"")),"")</f>
        <v>pab3</v>
      </c>
      <c r="I47" s="48" t="str">
        <f t="shared" ca="1" si="0"/>
        <v/>
      </c>
      <c r="J47" s="48" t="str">
        <f t="shared" ca="1" si="24"/>
        <v/>
      </c>
      <c r="K47" s="48">
        <f t="shared" ca="1" si="25"/>
        <v>0</v>
      </c>
      <c r="L47" s="48">
        <f t="shared" ca="1" si="26"/>
        <v>0</v>
      </c>
      <c r="M47" s="48">
        <f ca="1">IFERROR(IF(IF(MID($A47,3,3)=".00",MID(A47,1,2),"")&lt;&gt;"",MAX($M$2:M46)+1,0),"")</f>
        <v>0</v>
      </c>
      <c r="N47" s="48" t="str">
        <f t="shared" ca="1" si="27"/>
        <v/>
      </c>
      <c r="O47" s="48" t="str">
        <f ca="1">IF(IFERROR(INDEX($N$3:$O$400,MATCH(ROWS($O$3:O47),$M$3:$M$400,0),1),"")&lt;&gt;"",CONCATENATE(INDEX($N$3:$O$400,MATCH(ROWS($O$3:O47),$M$3:$M$400,0),1),".00"),"")</f>
        <v/>
      </c>
      <c r="P47" s="48" t="str">
        <f t="shared" ca="1" si="28"/>
        <v/>
      </c>
      <c r="Q47" s="48">
        <f ca="1">IF(M47&gt;=1,0,MAX($Q$2:Q46)+1)</f>
        <v>41</v>
      </c>
      <c r="R47" s="48">
        <f ca="1">IF(AND($U$2=2,S47&lt;&gt;""),MAX($R$2:R46)+1,0)</f>
        <v>29</v>
      </c>
      <c r="S47" s="48" t="str">
        <f t="shared" ca="1" si="81"/>
        <v>SVALUTAZIONI</v>
      </c>
      <c r="T47" s="48" t="str">
        <f ca="1">IFERROR(INDEX($R$3:$S$64,MATCH(ROWS($T$2:T46),$R$3:$R$64,0),2),"")</f>
        <v/>
      </c>
      <c r="U47" s="48" t="str">
        <f ca="1">IFERROR(INDEX(PDC,MATCH(ROWS(U$3:U47),$V$3:$V$400,0),2),"")</f>
        <v>MUTUI ATTIVI</v>
      </c>
      <c r="V47" s="48">
        <f ca="1">IF(AND($T$1="VISUALIZZA TUTTI I CONTI",AA47&lt;&gt;""),MAX($V$2:V46)+1,IF(AND($U$2=2,AI47=$T$1),MAX($V$2:V46)+1,IF(AND($U$2=1,$T$1=AF47),MAX($V$2:V46)+1,0)))</f>
        <v>45</v>
      </c>
      <c r="Z47" s="246"/>
      <c r="AA47" s="48" t="str">
        <f t="shared" ca="1" si="29"/>
        <v>03.00</v>
      </c>
      <c r="AB47" s="48" t="str">
        <f ca="1">IFERROR(INDEX($A$3:$G$400,MATCH(ROWS(AB$3:AB47),$Q$3:$Q$400,0),1),"")</f>
        <v>03.13</v>
      </c>
      <c r="AC47" s="48" t="str">
        <f ca="1">IFERROR(INDEX($A$3:$G$400,MATCH(ROWS($AC$3:AC47),$Q$3:$Q$400,0),2),"")</f>
        <v>MUTUI ATTIVI</v>
      </c>
      <c r="AD47" s="48" t="str">
        <f ca="1">IFERROR(INDEX($A$3:$G$400,MATCH(ROWS(AD$3:AD47),$Q$3:$Q$400,0),3),"")</f>
        <v>F</v>
      </c>
      <c r="AE47" s="48" t="str">
        <f ca="1">IFERROR(INDEX($A$3:$G$400,MATCH(ROWS(AE$3:AE47),$Q$3:$Q$400,0),4),"")</f>
        <v>D</v>
      </c>
      <c r="AF47" s="48" t="str">
        <f ca="1">IFERROR(INDEX($A$3:$G$400,MATCH(ROWS(AF$3:AF47),$Q$3:$Q$400,0),5),"")</f>
        <v>CREDITI</v>
      </c>
      <c r="AG47" s="48" t="str">
        <f ca="1">IFERROR(INDEX($A$3:$G$400,MATCH(ROWS(AG$3:AG47),$Q$3:$Q$400,0),6),"")</f>
        <v>SP DARE</v>
      </c>
      <c r="AH47" s="48" t="str">
        <f ca="1">IFERROR(INDEX($A$3:$G$400,MATCH(ROWS(AH$3:AH47),$Q$3:$Q$400,0),7),"")</f>
        <v>SP</v>
      </c>
      <c r="AI47" s="48" t="str">
        <f t="shared" ca="1" si="1"/>
        <v>IMMOBILIZZAZIONI FINANZIARIE</v>
      </c>
      <c r="AJ47" s="48" t="str">
        <f ca="1">IFERROR(INDEX($A$3:$H$400,MATCH(ROWS(AJ$3:AJ47),$Q$3:$Q$400,0),8),"")</f>
        <v>pab3</v>
      </c>
      <c r="AK47" s="48">
        <f t="shared" ca="1" si="2"/>
        <v>0</v>
      </c>
      <c r="AL47" s="48">
        <f t="shared" ca="1" si="95"/>
        <v>0</v>
      </c>
      <c r="AM47" s="48">
        <f t="shared" ca="1" si="30"/>
        <v>0</v>
      </c>
      <c r="AN47" s="48" t="str">
        <f t="shared" ca="1" si="31"/>
        <v/>
      </c>
      <c r="AO47" s="48">
        <f t="shared" ca="1" si="32"/>
        <v>0</v>
      </c>
      <c r="AP47" s="48">
        <f t="shared" ca="1" si="32"/>
        <v>0</v>
      </c>
      <c r="AQ47" s="48" t="str">
        <f t="shared" ca="1" si="4"/>
        <v>MUTUI ATTIVI</v>
      </c>
      <c r="AR47" s="48">
        <f t="shared" ca="1" si="5"/>
        <v>0</v>
      </c>
      <c r="AS47" s="48">
        <f t="shared" ca="1" si="6"/>
        <v>0</v>
      </c>
      <c r="AT47" s="48">
        <f t="shared" ca="1" si="33"/>
        <v>0</v>
      </c>
      <c r="AU47" s="48">
        <f t="shared" ca="1" si="34"/>
        <v>0</v>
      </c>
      <c r="AV47" s="48">
        <f ca="1">IF(OR(AT47&gt;0,AU47&gt;0),MAX($AV$2:AV46)+1,0)</f>
        <v>0</v>
      </c>
      <c r="AZ47" s="241" t="str">
        <f t="shared" ca="1" si="35"/>
        <v/>
      </c>
      <c r="BA47" s="48">
        <f t="shared" ca="1" si="96"/>
        <v>0</v>
      </c>
      <c r="BB47" s="48">
        <f ca="1">IFERROR(INDEX($AQ$3:$AV$220,MATCH(ROWS($BB$3:BB47),$AV$3:$AV$220,0),1),0)</f>
        <v>0</v>
      </c>
      <c r="BC47" s="48" t="str">
        <f t="shared" ca="1" si="36"/>
        <v/>
      </c>
      <c r="BD47" s="48">
        <f ca="1">IFERROR(INDEX($AQ$3:$AV$220,MATCH(ROWS($BB$3:BD47),$AV$3:$AV$220,0),4),0)</f>
        <v>0</v>
      </c>
      <c r="BE47" s="48">
        <f ca="1">IFERROR(INDEX($AQ$3:$AV$220,MATCH(ROWS($BB$3:BE47),$AV$3:$AV$220,0),5),0)</f>
        <v>0</v>
      </c>
      <c r="BG47" s="48">
        <f ca="1">IF(IF(AND(OR(INDEX(PDC,MATCH($AC47,DEN_PDC,0),6)="SP DARE",INDEX(PDC,MATCH($AC47,DEN_PDC,0),6)="SP DARE/AVERE"),SUMIFS(DARE,DEN_G,$AC47)&gt;=SUMIFS(AVERE,DEN_G,$AC47)),SUMIFS(DARE,DEN_G,$AC47)-SUMIFS(AVERE,DEN_G,$AC47),0)&gt;0,MAX($BG$2:BG46)+1,0)</f>
        <v>0</v>
      </c>
      <c r="BH47" s="48">
        <f ca="1">IF(IF(AND(OR(INDEX(PDC,MATCH($AC47,DEN_PDC,0),6)="SP AVERE",INDEX(PDC,MATCH($AC47,DEN_PDC,0),6)="SP DARE/AVERE"),SUMIFS(AVERE,DEN_G,$AC47)&gt;=SUMIFS(DARE,DEN_G,$AC47)),SUMIFS(AVERE,DEN_G,$AC47)-SUMIFS(DARE,DEN_G,$AC47),0)&gt;0,MAX(BH$2:BH46)+1,0)</f>
        <v>0</v>
      </c>
      <c r="BI47" s="48">
        <f ca="1">IF(IF(AND(OR(INDEX(PDC,MATCH($AC47,DEN_PDC,0),6)="SE DARE",INDEX(PDC,MATCH($AC47,DEN_PDC,0),6)="SE DARE/AVERE"),SUMIFS(DARE,DEN_G,$AC47)&gt;=SUMIFS(AVERE,DEN_G,$AC47)),SUMIFS(DARE,DEN_G,$AC47)-SUMIFS(AVERE,DEN_G,$AC47),0)&gt;0,MAX(BI$2:BI46)+1,0)</f>
        <v>0</v>
      </c>
      <c r="BJ47" s="48">
        <f ca="1">IF(IF(AND(OR(INDEX(PDC,MATCH($AC47,DEN_PDC,0),6)="SE AVERE",INDEX(PDC,MATCH($AC47,DEN_PDC,0),6)="SE DARE/AVERE"),SUMIFS(AVERE,DEN_G,$AC47)&gt;=SUMIFS(DARE,DEN_G,$AC47)),SUMIFS(AVERE,DEN_G,$AC47)-SUMIFS(DARE,DEN_G,$AC47),0)&gt;0,MAX(BJ$2:BJ46)+1,0)</f>
        <v>0</v>
      </c>
      <c r="BK47" s="48" t="str">
        <f ca="1">IF(AND(AND($DY$2=0,$DY$1=0),$I$1=2,ROW()&gt;$BG$1+2,ROW()&lt;=$BG$1+4),"………………..",IF(AND(OR($DY$2&gt;0,$DY$1&gt;0),$I$1=2,ROW()&gt;$BG$1+2,ROW()&lt;=$BG$1+4),"………………..",IFERROR(INDEX($AC$3:$AC$398,MATCH(ROWS(BK$3:BK47),BG$3:BG$398,0),1),"")))</f>
        <v/>
      </c>
      <c r="BL47" s="48">
        <f t="shared" ca="1" si="69"/>
        <v>0</v>
      </c>
      <c r="BM47" s="48" t="str">
        <f ca="1">IF(AND(OR($DY$2=0,$DY$1=0),$I$1=2,ROW()&gt;$BH$1+2,ROW()&lt;=$BH$1+4),"………………..",IF(AND(OR($DY$2&gt;0,$DY$1&gt;0),$I$1=2,ROW()&gt;$BH$1+2,ROW()&lt;=$BH$1+4),"………………..",IFERROR(INDEX($AC$3:$AC$400,MATCH(ROWS(BM$3:BM47),BH$3:BH$400,0),1),"")))</f>
        <v/>
      </c>
      <c r="BN47" s="48">
        <f t="shared" ca="1" si="9"/>
        <v>0</v>
      </c>
      <c r="BO47" s="48" t="str">
        <f ca="1">IF(AND(OR($DY$2=0,$DY$1=0),$I$1=2,ROW()&gt;$BI$1+2,ROW()&lt;=$BI$1+4),"………………..",IF(AND(OR($DY$2&gt;0,$DY$1&gt;0),$I$1=2,ROW()&gt;$BI$1+2,ROW()&lt;=$BI$1+4),"………………..",IFERROR(INDEX($AC$3:$AC$400,MATCH(ROWS(BO$3:BO47),BI$3:BI$400,0),1),"")))</f>
        <v/>
      </c>
      <c r="BP47" s="48">
        <f t="shared" ca="1" si="10"/>
        <v>0</v>
      </c>
      <c r="BQ47" s="48" t="str">
        <f ca="1">IF(AND(OR($DY$2=0,$DY$1=0),$I$1=2,ROW()&gt;$BJ$1+2,ROW()&lt;=$BJ$1+4),"………………..",IF(AND(OR($DY$2&gt;0,$DY$1&gt;0),$I$1=2,ROW()&gt;$BJ$1+2,ROW()&lt;=$BJ$1+4),"………………..",IFERROR(INDEX($AC$3:$AC$400,MATCH(ROWS(BQ$3:BQ47),BJ$3:BJ$400,0),1),"")))</f>
        <v/>
      </c>
      <c r="BR47" s="48">
        <f t="shared" ca="1" si="11"/>
        <v>0</v>
      </c>
      <c r="BS47" s="48">
        <f ca="1">IF(IF(AND(OR(INDEX(PDC,MATCH($AC47,DEN_PDC,0),4)="D",INDEX(PDC,MATCH($AC47,DEN_PDC,0),4)="D/A"),SUMIFS(DARE,DEN_G,$AC47)&gt;=SUMIFS(AVERE,DEN_G,$AC47)),SUMIFS(DARE,DEN_G,$AC47),IF(AND(OR(INDEX(PDC,MATCH($AC47,DEN_PDC,0),4)="A",INDEX(PDC,MATCH($AC47,DEN_PDC,0),4)="D/A"),SUMIFS(AVERE,DEN_G,$AC47)&gt;=SUMIFS(DARE,DEN_G,$AC47)),SUMIFS(AVERE,DEN_G,$AC47),))&gt;0,MAX($BS$2:BS46)+1,0)</f>
        <v>0</v>
      </c>
      <c r="BT47" s="48" t="str">
        <f ca="1">IF($CO$1=0,"",IF(AND($I$1=2,ROW()&gt;$BR$1,ROW()&lt;=$BS$1)," …………….",IF(AND($E$1=1,$BX$1=1,$I$1=2,ROW()=$BQ$1),"TOTALI",IFERROR(INDEX(PDC,MATCH(ROWS(BT$3:BT47),BS$3:BS444,0),2),""))))</f>
        <v/>
      </c>
      <c r="BU47" s="48">
        <f t="shared" ca="1" si="12"/>
        <v>0</v>
      </c>
      <c r="BV47" s="48">
        <f t="shared" ca="1" si="13"/>
        <v>0</v>
      </c>
      <c r="BW47" s="48">
        <f t="shared" ca="1" si="14"/>
        <v>0</v>
      </c>
      <c r="BX47" s="48">
        <f t="shared" ca="1" si="15"/>
        <v>0</v>
      </c>
      <c r="BY47" s="48">
        <f ca="1">IF(OR(BW47&gt;0,BX47&gt;0),MAX($BY$2:BY46)+1,0)</f>
        <v>0</v>
      </c>
      <c r="BZ47" s="48" t="str">
        <f ca="1">IFERROR(INDEX($BT$3:$BY$400,MATCH(ROWS(BZ$3:BZ47),$BY$3:$BY$400,0),1),"")</f>
        <v/>
      </c>
      <c r="CA47" s="48" t="str">
        <f ca="1">IFERROR(INDEX($BT$3:$BY$400,MATCH(ROWS(CA$3:CA47),$BY$3:$BY$400,0),4),"")</f>
        <v/>
      </c>
      <c r="CB47" s="48" t="str">
        <f ca="1">IFERROR(INDEX($BT$3:$BY$400,MATCH(ROWS(CB$3:CB47),$BY$3:$BY$400,0),5),"")</f>
        <v/>
      </c>
      <c r="CC47" s="48" t="str">
        <f t="shared" ca="1" si="16"/>
        <v/>
      </c>
      <c r="CD47" s="48">
        <f ca="1">IF(AND($BF$9=1,CE47&lt;&gt;0),MAX($CD$2:CD46)+1,0)</f>
        <v>0</v>
      </c>
      <c r="CE47" s="48">
        <f ca="1">IF(ROUND(SUMIFS(COPIA!$CA$3:$CA$400,COPIA!$CC$3:$CC$400,CF47)-SUMIFS(COPIA!$CB$3:$CB$400,COPIA!$CC$3:$CC$400,CF47),0)&lt;0,0,ROUND(SUMIFS(COPIA!$CA$3:$CA$400,COPIA!$CC$3:$CC$400,CF47)-SUMIFS(COPIA!$CB$3:$CB$400,COPIA!$CC$3:$CC$400,CF47),0))</f>
        <v>0</v>
      </c>
      <c r="CF47" s="48" t="s">
        <v>626</v>
      </c>
      <c r="CG47" s="242" t="s">
        <v>673</v>
      </c>
      <c r="CH47" s="242">
        <f t="shared" ref="CH47:CH103" ca="1" si="112">CE47</f>
        <v>0</v>
      </c>
      <c r="CI47" s="242"/>
      <c r="CJ47" s="242"/>
      <c r="CK47" s="48">
        <f ca="1">IF($CF$2=FALSE,0,IF(AND($BF$9=1,CJ47&lt;&gt;0),MAX($CK$21:CK46)+1,0))</f>
        <v>0</v>
      </c>
      <c r="CM47" s="242" t="str">
        <f t="shared" ca="1" si="37"/>
        <v/>
      </c>
      <c r="CN47" s="243">
        <f t="shared" ca="1" si="38"/>
        <v>0</v>
      </c>
      <c r="CO47" s="48" t="str">
        <f t="shared" ca="1" si="39"/>
        <v/>
      </c>
      <c r="CQ47" s="247">
        <f t="shared" ca="1" si="106"/>
        <v>47484</v>
      </c>
      <c r="CR47" s="247">
        <f t="shared" ca="1" si="106"/>
        <v>47848</v>
      </c>
      <c r="CS47" s="48">
        <f t="shared" ca="1" si="101"/>
        <v>0</v>
      </c>
      <c r="CT47" s="242">
        <f t="shared" ca="1" si="102"/>
        <v>0</v>
      </c>
      <c r="CU47" s="48">
        <f ca="1">IF(SUMIFS(AVERE,DEN_G,AC47,AVERE,"&gt;"&amp;0)+SUMIFS(DARE,DEN_G,AC47,DARE,"&gt;"&amp;0)&gt;0,MAX($CU$2:CU46)+1,0)</f>
        <v>0</v>
      </c>
      <c r="CV47" s="48" t="str">
        <f ca="1">IF(IFERROR(INDEX(PDC,MATCH(ROWS($CV$3:CV47),$CU$3:$CU$400,0),2),"")="CONTO DI RISULTATO ECONOMICO","",IFERROR(INDEX(PDC,MATCH(ROWS($CV$3:CV47),$CU$3:$CU$400,0),2),""))</f>
        <v/>
      </c>
      <c r="CW47" s="48">
        <f ca="1">IFERROR(IF(CV47&lt;&gt;"",MAX($CW$2:CW46)+1,0),0)</f>
        <v>0</v>
      </c>
      <c r="CX47" s="48">
        <f t="shared" ca="1" si="103"/>
        <v>4</v>
      </c>
      <c r="CY47" s="48" t="str">
        <f t="shared" ca="1" si="100"/>
        <v>MASTRO</v>
      </c>
      <c r="CZ47" s="48" t="e">
        <f t="shared" ca="1" si="107"/>
        <v>#N/A</v>
      </c>
      <c r="DA47" s="48" t="str">
        <f t="shared" ca="1" si="111"/>
        <v/>
      </c>
      <c r="DB47" s="48" t="str">
        <f t="shared" ca="1" si="76"/>
        <v/>
      </c>
      <c r="DC47" s="48" t="str">
        <f t="shared" ca="1" si="108"/>
        <v/>
      </c>
      <c r="DD47" s="48" t="str">
        <f t="shared" ca="1" si="109"/>
        <v/>
      </c>
      <c r="DE47" s="48" t="str">
        <f t="shared" ca="1" si="110"/>
        <v/>
      </c>
      <c r="DF47" s="48">
        <f ca="1">IF(AND(CX47=$DF$1,CX47&lt;&gt;""),0,IF(AND(DB47&lt;&gt;"",OR(DB46&lt;&gt;"",DB48&lt;&gt;"")),MAX($DF$2:DF46)+1,0))</f>
        <v>0</v>
      </c>
      <c r="DH47" s="244" t="s">
        <v>35</v>
      </c>
      <c r="DI47" s="48" t="s">
        <v>470</v>
      </c>
      <c r="DJ47" s="48" t="s">
        <v>311</v>
      </c>
      <c r="DK47" s="48" t="s">
        <v>298</v>
      </c>
      <c r="DL47" s="48" t="s">
        <v>318</v>
      </c>
      <c r="DM47" s="48" t="s">
        <v>299</v>
      </c>
      <c r="DN47" s="48">
        <f ca="1">IF(DI47&lt;&gt;"",MAX($DN$2:DN46)+1,0)</f>
        <v>30</v>
      </c>
      <c r="DO47" s="48" t="str">
        <f ca="1">IF($BF$9=1,"pab22","pab2")</f>
        <v>pab2</v>
      </c>
      <c r="DW47" s="48">
        <f>IF(DR47&lt;&gt;"",MAX($DW$2:DW46)+1,0)</f>
        <v>0</v>
      </c>
      <c r="DY47" s="48" t="str">
        <f t="shared" ca="1" si="19"/>
        <v/>
      </c>
      <c r="DZ47" s="48" t="str">
        <f t="shared" ca="1" si="40"/>
        <v/>
      </c>
      <c r="EA47" s="48" t="str">
        <f t="shared" ca="1" si="41"/>
        <v/>
      </c>
      <c r="EB47" s="48">
        <f t="shared" ca="1" si="42"/>
        <v>0</v>
      </c>
      <c r="EC47" s="48">
        <f t="shared" ca="1" si="43"/>
        <v>0</v>
      </c>
      <c r="ED47" s="48" t="str">
        <f t="shared" ca="1" si="44"/>
        <v/>
      </c>
      <c r="EE47" s="48">
        <f t="shared" ca="1" si="45"/>
        <v>0</v>
      </c>
      <c r="EF47" s="48" t="str">
        <f t="shared" ca="1" si="46"/>
        <v/>
      </c>
      <c r="EG47" s="48">
        <f t="shared" ca="1" si="47"/>
        <v>0</v>
      </c>
      <c r="EH47" s="48" t="str">
        <f t="shared" ca="1" si="48"/>
        <v/>
      </c>
      <c r="EI47" s="48">
        <f t="shared" ca="1" si="49"/>
        <v>0</v>
      </c>
      <c r="EJ47" s="48" t="str">
        <f t="shared" ca="1" si="50"/>
        <v/>
      </c>
      <c r="EK47" s="48">
        <f t="shared" ca="1" si="51"/>
        <v>0</v>
      </c>
      <c r="EL47" s="48">
        <f t="shared" ca="1" si="20"/>
        <v>0</v>
      </c>
      <c r="EM47" s="48">
        <f ca="1">IF(EL47&gt;=0,0,MAX($EM$2:EM46)+1)</f>
        <v>0</v>
      </c>
      <c r="EN47" s="48" t="str">
        <f t="shared" ca="1" si="21"/>
        <v/>
      </c>
      <c r="EO47" s="48" t="str">
        <f ca="1">IFERROR(INDEX($EM$3:$EN$400,MATCH(ROWS($EO$3:EO47),$EM$3:$EM$400,0),2),"")</f>
        <v/>
      </c>
      <c r="EP47" s="48">
        <f>ROW()</f>
        <v>47</v>
      </c>
      <c r="EQ47" s="48">
        <f t="shared" ca="1" si="22"/>
        <v>0</v>
      </c>
      <c r="ER47" s="48">
        <f ca="1">IF(ISNA(EQ47)=TRUE,MAX($ER$2:ER46)+1,0)</f>
        <v>0</v>
      </c>
      <c r="ES47" s="48" t="str">
        <f t="shared" ca="1" si="52"/>
        <v/>
      </c>
      <c r="ET47" s="48" t="str">
        <f ca="1">IFERROR(INDEX($ER$3:$ES$400,MATCH(ROWS($ET$3:ET47),$ER$3:$ER$400,0),2),"")</f>
        <v/>
      </c>
      <c r="EV47" s="48">
        <f ca="1">IFERROR(INDEX(LIBRO_GIORNALE!$O$11:$P$408,MATCH(ROWS($EV$2:EV46),LIBRO_GIORNALE!$P$11:$P$408,0),1),0)</f>
        <v>0</v>
      </c>
      <c r="EW47" s="48" t="str">
        <f t="shared" ca="1" si="53"/>
        <v>0</v>
      </c>
      <c r="EX47" s="48">
        <f t="shared" ca="1" si="54"/>
        <v>0</v>
      </c>
      <c r="EY47" s="48">
        <f ca="1">IF(EX47&gt;0,MAX($EY$2:EY46)+1,0)</f>
        <v>0</v>
      </c>
      <c r="EZ47" s="48">
        <f ca="1">IFERROR(INDEX($EX$3:$EX$400,MATCH(ROWS($EZ$3:EZ47),$EY$3:$EY$400,0),1),0)</f>
        <v>0</v>
      </c>
      <c r="FA47" s="48">
        <f ca="1">IF(EZ47&gt;0,0,MAX($FA$2:FA46)+1)</f>
        <v>45</v>
      </c>
      <c r="FB47" s="48">
        <f t="shared" ca="1" si="55"/>
        <v>0</v>
      </c>
      <c r="FC47" s="48">
        <f t="shared" ca="1" si="56"/>
        <v>45</v>
      </c>
      <c r="FD47" s="48">
        <f t="shared" ca="1" si="57"/>
        <v>45</v>
      </c>
      <c r="FE47" s="48">
        <f ca="1">IF(FD47=0,0,MAX($FE$2:FE46)+1)</f>
        <v>45</v>
      </c>
      <c r="FF47" s="48">
        <f ca="1">IFERROR(INDEX($FD$3:$FE$400,MATCH(ROWS($FF$3:FF47),$FE$3:$FE$400,0),1),"")</f>
        <v>45</v>
      </c>
      <c r="FH47" s="48">
        <f t="shared" ca="1" si="58"/>
        <v>0</v>
      </c>
      <c r="FI47" s="48">
        <f ca="1">IF(FH47&lt;&gt;0,MAX($FI$2:FI46)+1,0)</f>
        <v>0</v>
      </c>
      <c r="FJ47" s="48" t="str">
        <f ca="1">IFERROR(INDEX($FH$3:$FI$400,MATCH(ROWS($FJ$3:FJ47),$FI$3:$FI$400,0),1),"")</f>
        <v/>
      </c>
      <c r="FK47" s="48">
        <f ca="1">IF(ABS(SUMIFS(DARE,DEN_G,"="&amp;FJ47,DATA,"&lt;="&amp;FINE_AC,DATA,"&gt;="&amp;INIZIO_A_PC)-SUMIFS(AVERE,DEN_G,"="&amp;FJ47,DATA,"&lt;="&amp;FINE_AC,DATA,"&gt;="&amp;INIZIO_A_PC))&gt;0,MAX($FK$2:FK46)+1,0)</f>
        <v>0</v>
      </c>
      <c r="FL47" s="48" t="str">
        <f ca="1">IF(AND(ROW()-2&lt;&gt;1,ROW()-2&lt;=$FK$1),CONCATENATE(" - ",IFERROR(INDEX($FJ$3:$FK$400,MATCH(ROWS($FL$3:FL47),$FK$3:$FK$400,0),1),"")),IFERROR(INDEX($FJ$3:$FK$400,MATCH(ROWS($FL$3:FL47),$FK$3:$FK$400,0),1),""))</f>
        <v/>
      </c>
      <c r="FM47" s="48">
        <f ca="1">IF(OR(B47="IVA ns/credito",B47="IVA NS/DEBITO",B47="IVA C/ACCONTO",B47="IMPOSTE C/ACCONTO",B47="CREDITI PER RITENUTE SUBITE",B47="CREDITI D'IMPOSTA"),MAX($FM$2:FM46)+1,0)</f>
        <v>0</v>
      </c>
      <c r="FN47" s="48" t="str">
        <f t="shared" ca="1" si="59"/>
        <v/>
      </c>
      <c r="FO47" s="48" t="str">
        <f ca="1">IFERROR(INDEX($FM$3:$FN$400,MATCH(ROWS($FO$3:FO47),$FM$3:$FM$400,0),2),"")</f>
        <v/>
      </c>
      <c r="FP47" s="48">
        <f ca="1">IF(ABS(SUMIFS(DARE,DEN_G,"="&amp;FO47,DATA,"&lt;="&amp;FINE_AC,DATA,"&gt;="&amp;INIZIO_A_PC)-SUMIFS(AVERE,DEN_G,"="&amp;FO47,DATA,"&lt;="&amp;FINE_AC,DATA,"&gt;="&amp;INIZIO_A_PC))&gt;0,MAX($FP$2:FP46)+1,0)</f>
        <v>0</v>
      </c>
      <c r="FQ47" s="48" t="str">
        <f ca="1">IF(AND(ROW()-2&lt;&gt;1,ROW()-2&lt;=$FP$1),CONCATENATE(" - ",IFERROR(INDEX($FO$3:$FP$400,MATCH(ROWS($FQ$3:FQ47),$FP$3:$FP$400,0),1),"")),IFERROR(INDEX($FO$3:$FP$400,MATCH(ROWS($FQ$3:FQ47),$FP$3:$FP$400,0),1),""))</f>
        <v/>
      </c>
    </row>
    <row r="48" spans="1:173" x14ac:dyDescent="0.3">
      <c r="A48" s="48" t="str">
        <f ca="1">IFERROR(IF($A$1=2,INDEX($DH$3:$DN$401,MATCH(ROWS(A$3:A48),$DN$3:$DN$401,0),COLUMN()),IF($A$1=1,INDEX($DQ$3:$DW$401,MATCH(ROWS(A$3:A48),$DW$3:$DW$401,0),COLUMN()),"")),"")</f>
        <v>03.10</v>
      </c>
      <c r="B48" s="48" t="str">
        <f ca="1">IFERROR(IF($A$1=2,INDEX($DH$3:$DN$401,MATCH(ROWS(B$3:B48),$DN$3:$DN$401,0),COLUMN()),IF($A$1=1,INDEX($DQ$3:$DW$400,MATCH(ROWS(B$3:B48),$DW$3:$DW$401,0),COLUMN()),"")),"")</f>
        <v>PRESTITI A CONTROLLATE</v>
      </c>
      <c r="C48" s="48" t="str">
        <f ca="1">IFERROR(IF($A$1=2,INDEX($DH$3:$DN$401,MATCH(ROWS(C$3:C48),$DN$3:$DN$401,0),COLUMN()),IF($A$1=1,INDEX($DQ$3:$DW$401,MATCH(ROWS(C$3:C48),$DW$3:$DW$401,0),COLUMN()),"")),"")</f>
        <v>F</v>
      </c>
      <c r="D48" s="48" t="str">
        <f ca="1">IFERROR(IF($A$1=2,INDEX($DH$3:$DN$401,MATCH(ROWS(D$3:D48),$DN$3:$DN$401,0),COLUMN()),IF($A$1=1,INDEX($DQ$3:$DW$401,MATCH(ROWS(D$3:D48),$DW$3:$DW$401,0),COLUMN()),"")),"")</f>
        <v>D</v>
      </c>
      <c r="E48" s="48" t="str">
        <f ca="1">IFERROR(IF($A$1=2,INDEX($DH$3:$DN$401,MATCH(ROWS(E$3:E48),$DN$3:$DN$401,0),COLUMN()),IF($A$1=1,INDEX($DQ$3:$DW$401,MATCH(ROWS(E$3:E48),$DW$3:$DW$401,0),COLUMN()),"")),"")</f>
        <v>CREDITI</v>
      </c>
      <c r="F48" s="48" t="str">
        <f ca="1">IFERROR(IF($A$1=2,INDEX($DH$3:$DN$401,MATCH(ROWS(F$3:F48),$DN$3:$DN$401,0),COLUMN()),IF($A$1=1,INDEX($DQ$3:$DX$401,MATCH(ROWS(F$3:F48),$DW$3:$DW$401,0),COLUMN()),"")),"")</f>
        <v>SP DARE</v>
      </c>
      <c r="G48" s="48" t="str">
        <f t="shared" ca="1" si="23"/>
        <v>SP</v>
      </c>
      <c r="H48" s="48" t="str">
        <f ca="1">IFERROR(IF($A$1=2,INDEX($DH$3:$DO$400,MATCH(ROWS(H$3:H48),$DN$3:$DN$400,0),COLUMN()),IF($A$1=1,INDEX($DQ$3:$DX$400,MATCH(ROWS(H$3:H48),$DW$3:$DW$400,0),COLUMN()),"")),"")</f>
        <v>pab3</v>
      </c>
      <c r="I48" s="48" t="str">
        <f t="shared" ca="1" si="0"/>
        <v/>
      </c>
      <c r="J48" s="48" t="str">
        <f t="shared" ca="1" si="24"/>
        <v/>
      </c>
      <c r="K48" s="48">
        <f t="shared" ca="1" si="25"/>
        <v>0</v>
      </c>
      <c r="L48" s="48">
        <f t="shared" ca="1" si="26"/>
        <v>0</v>
      </c>
      <c r="M48" s="48">
        <f ca="1">IFERROR(IF(IF(MID($A48,3,3)=".00",MID(A48,1,2),"")&lt;&gt;"",MAX($M$2:M47)+1,0),"")</f>
        <v>0</v>
      </c>
      <c r="N48" s="48" t="str">
        <f t="shared" ca="1" si="27"/>
        <v/>
      </c>
      <c r="O48" s="48" t="str">
        <f ca="1">IF(IFERROR(INDEX($N$3:$O$400,MATCH(ROWS($O$3:O48),$M$3:$M$400,0),1),"")&lt;&gt;"",CONCATENATE(INDEX($N$3:$O$400,MATCH(ROWS($O$3:O48),$M$3:$M$400,0),1),".00"),"")</f>
        <v/>
      </c>
      <c r="P48" s="48" t="str">
        <f t="shared" ca="1" si="28"/>
        <v/>
      </c>
      <c r="Q48" s="48">
        <f ca="1">IF(M48&gt;=1,0,MAX($Q$2:Q47)+1)</f>
        <v>42</v>
      </c>
      <c r="R48" s="48">
        <f ca="1">IF(AND($U$2=2,S48&lt;&gt;""),MAX($R$2:R47)+1,0)</f>
        <v>30</v>
      </c>
      <c r="S48" s="48" t="str">
        <f t="shared" ca="1" si="81"/>
        <v>VARIAZIONI DELLE RIMANZENZE DI MATERIE</v>
      </c>
      <c r="T48" s="48" t="str">
        <f ca="1">IFERROR(INDEX($R$3:$S$64,MATCH(ROWS($T$2:T47),$R$3:$R$64,0),2),"")</f>
        <v/>
      </c>
      <c r="U48" s="48" t="str">
        <f ca="1">IFERROR(INDEX(PDC,MATCH(ROWS(U$3:U48),$V$3:$V$400,0),2),"")</f>
        <v>TITOLI IMMOBILIZZATI</v>
      </c>
      <c r="V48" s="48">
        <f ca="1">IF(AND($T$1="VISUALIZZA TUTTI I CONTI",AA48&lt;&gt;""),MAX($V$2:V47)+1,IF(AND($U$2=2,AI48=$T$1),MAX($V$2:V47)+1,IF(AND($U$2=1,$T$1=AF48),MAX($V$2:V47)+1,0)))</f>
        <v>46</v>
      </c>
      <c r="Z48" s="246"/>
      <c r="AA48" s="48" t="str">
        <f t="shared" ca="1" si="29"/>
        <v>03.00</v>
      </c>
      <c r="AB48" s="48" t="str">
        <f ca="1">IFERROR(INDEX($A$3:$G$400,MATCH(ROWS(AB$3:AB48),$Q$3:$Q$400,0),1),"")</f>
        <v>03.30</v>
      </c>
      <c r="AC48" s="48" t="str">
        <f ca="1">IFERROR(INDEX($A$3:$G$400,MATCH(ROWS($AC$3:AC48),$Q$3:$Q$400,0),2),"")</f>
        <v>TITOLI IMMOBILIZZATI</v>
      </c>
      <c r="AD48" s="48" t="str">
        <f ca="1">IFERROR(INDEX($A$3:$G$400,MATCH(ROWS(AD$3:AD48),$Q$3:$Q$400,0),3),"")</f>
        <v>E</v>
      </c>
      <c r="AE48" s="48" t="str">
        <f ca="1">IFERROR(INDEX($A$3:$G$400,MATCH(ROWS(AE$3:AE48),$Q$3:$Q$400,0),4),"")</f>
        <v>D</v>
      </c>
      <c r="AF48" s="48" t="str">
        <f ca="1">IFERROR(INDEX($A$3:$G$400,MATCH(ROWS(AF$3:AF48),$Q$3:$Q$400,0),5),"")</f>
        <v>COSTI SOSPESI</v>
      </c>
      <c r="AG48" s="48" t="str">
        <f ca="1">IFERROR(INDEX($A$3:$G$400,MATCH(ROWS(AG$3:AG48),$Q$3:$Q$400,0),6),"")</f>
        <v>SP DARE</v>
      </c>
      <c r="AH48" s="48" t="str">
        <f ca="1">IFERROR(INDEX($A$3:$G$400,MATCH(ROWS(AH$3:AH48),$Q$3:$Q$400,0),7),"")</f>
        <v>SP</v>
      </c>
      <c r="AI48" s="48" t="str">
        <f t="shared" ca="1" si="1"/>
        <v>IMMOBILIZZAZIONI FINANZIARIE</v>
      </c>
      <c r="AJ48" s="48" t="str">
        <f ca="1">IFERROR(INDEX($A$3:$H$400,MATCH(ROWS(AJ$3:AJ48),$Q$3:$Q$400,0),8),"")</f>
        <v>pab3</v>
      </c>
      <c r="AK48" s="48">
        <f t="shared" ca="1" si="2"/>
        <v>0</v>
      </c>
      <c r="AL48" s="48">
        <f t="shared" ca="1" si="95"/>
        <v>0</v>
      </c>
      <c r="AM48" s="48">
        <f t="shared" ca="1" si="30"/>
        <v>0</v>
      </c>
      <c r="AN48" s="48" t="str">
        <f t="shared" ca="1" si="31"/>
        <v/>
      </c>
      <c r="AO48" s="48">
        <f t="shared" ca="1" si="32"/>
        <v>0</v>
      </c>
      <c r="AP48" s="48">
        <f t="shared" ca="1" si="32"/>
        <v>0</v>
      </c>
      <c r="AQ48" s="48" t="str">
        <f t="shared" ca="1" si="4"/>
        <v>TITOLI IMMOBILIZZATI</v>
      </c>
      <c r="AR48" s="48">
        <f t="shared" ca="1" si="5"/>
        <v>0</v>
      </c>
      <c r="AS48" s="48">
        <f t="shared" ca="1" si="6"/>
        <v>0</v>
      </c>
      <c r="AT48" s="48">
        <f t="shared" ca="1" si="33"/>
        <v>0</v>
      </c>
      <c r="AU48" s="48">
        <f t="shared" ca="1" si="34"/>
        <v>0</v>
      </c>
      <c r="AV48" s="48">
        <f ca="1">IF(OR(AT48&gt;0,AU48&gt;0),MAX($AV$2:AV47)+1,0)</f>
        <v>0</v>
      </c>
      <c r="AZ48" s="241" t="str">
        <f t="shared" ca="1" si="35"/>
        <v/>
      </c>
      <c r="BA48" s="48">
        <f t="shared" ca="1" si="96"/>
        <v>0</v>
      </c>
      <c r="BB48" s="48">
        <f ca="1">IFERROR(INDEX($AQ$3:$AV$220,MATCH(ROWS($BB$3:BB48),$AV$3:$AV$220,0),1),0)</f>
        <v>0</v>
      </c>
      <c r="BC48" s="48" t="str">
        <f t="shared" ca="1" si="36"/>
        <v/>
      </c>
      <c r="BD48" s="48">
        <f ca="1">IFERROR(INDEX($AQ$3:$AV$220,MATCH(ROWS($BB$3:BD48),$AV$3:$AV$220,0),4),0)</f>
        <v>0</v>
      </c>
      <c r="BE48" s="48">
        <f ca="1">IFERROR(INDEX($AQ$3:$AV$220,MATCH(ROWS($BB$3:BE48),$AV$3:$AV$220,0),5),0)</f>
        <v>0</v>
      </c>
      <c r="BG48" s="48">
        <f ca="1">IF(IF(AND(OR(INDEX(PDC,MATCH($AC48,DEN_PDC,0),6)="SP DARE",INDEX(PDC,MATCH($AC48,DEN_PDC,0),6)="SP DARE/AVERE"),SUMIFS(DARE,DEN_G,$AC48)&gt;=SUMIFS(AVERE,DEN_G,$AC48)),SUMIFS(DARE,DEN_G,$AC48)-SUMIFS(AVERE,DEN_G,$AC48),0)&gt;0,MAX($BG$2:BG47)+1,0)</f>
        <v>0</v>
      </c>
      <c r="BH48" s="48">
        <f ca="1">IF(IF(AND(OR(INDEX(PDC,MATCH($AC48,DEN_PDC,0),6)="SP AVERE",INDEX(PDC,MATCH($AC48,DEN_PDC,0),6)="SP DARE/AVERE"),SUMIFS(AVERE,DEN_G,$AC48)&gt;=SUMIFS(DARE,DEN_G,$AC48)),SUMIFS(AVERE,DEN_G,$AC48)-SUMIFS(DARE,DEN_G,$AC48),0)&gt;0,MAX(BH$2:BH47)+1,0)</f>
        <v>0</v>
      </c>
      <c r="BI48" s="48">
        <f ca="1">IF(IF(AND(OR(INDEX(PDC,MATCH($AC48,DEN_PDC,0),6)="SE DARE",INDEX(PDC,MATCH($AC48,DEN_PDC,0),6)="SE DARE/AVERE"),SUMIFS(DARE,DEN_G,$AC48)&gt;=SUMIFS(AVERE,DEN_G,$AC48)),SUMIFS(DARE,DEN_G,$AC48)-SUMIFS(AVERE,DEN_G,$AC48),0)&gt;0,MAX(BI$2:BI47)+1,0)</f>
        <v>0</v>
      </c>
      <c r="BJ48" s="48">
        <f ca="1">IF(IF(AND(OR(INDEX(PDC,MATCH($AC48,DEN_PDC,0),6)="SE AVERE",INDEX(PDC,MATCH($AC48,DEN_PDC,0),6)="SE DARE/AVERE"),SUMIFS(AVERE,DEN_G,$AC48)&gt;=SUMIFS(DARE,DEN_G,$AC48)),SUMIFS(AVERE,DEN_G,$AC48)-SUMIFS(DARE,DEN_G,$AC48),0)&gt;0,MAX(BJ$2:BJ47)+1,0)</f>
        <v>0</v>
      </c>
      <c r="BK48" s="48" t="str">
        <f ca="1">IF(AND(AND($DY$2=0,$DY$1=0),$I$1=2,ROW()&gt;$BG$1+2,ROW()&lt;=$BG$1+4),"………………..",IF(AND(OR($DY$2&gt;0,$DY$1&gt;0),$I$1=2,ROW()&gt;$BG$1+2,ROW()&lt;=$BG$1+4),"………………..",IFERROR(INDEX($AC$3:$AC$398,MATCH(ROWS(BK$3:BK48),BG$3:BG$398,0),1),"")))</f>
        <v/>
      </c>
      <c r="BL48" s="48">
        <f t="shared" ca="1" si="69"/>
        <v>0</v>
      </c>
      <c r="BM48" s="48" t="str">
        <f ca="1">IF(AND(OR($DY$2=0,$DY$1=0),$I$1=2,ROW()&gt;$BH$1+2,ROW()&lt;=$BH$1+4),"………………..",IF(AND(OR($DY$2&gt;0,$DY$1&gt;0),$I$1=2,ROW()&gt;$BH$1+2,ROW()&lt;=$BH$1+4),"………………..",IFERROR(INDEX($AC$3:$AC$400,MATCH(ROWS(BM$3:BM48),BH$3:BH$400,0),1),"")))</f>
        <v/>
      </c>
      <c r="BN48" s="48">
        <f t="shared" ca="1" si="9"/>
        <v>0</v>
      </c>
      <c r="BO48" s="48" t="str">
        <f ca="1">IF(AND(OR($DY$2=0,$DY$1=0),$I$1=2,ROW()&gt;$BI$1+2,ROW()&lt;=$BI$1+4),"………………..",IF(AND(OR($DY$2&gt;0,$DY$1&gt;0),$I$1=2,ROW()&gt;$BI$1+2,ROW()&lt;=$BI$1+4),"………………..",IFERROR(INDEX($AC$3:$AC$400,MATCH(ROWS(BO$3:BO48),BI$3:BI$400,0),1),"")))</f>
        <v/>
      </c>
      <c r="BP48" s="48">
        <f t="shared" ca="1" si="10"/>
        <v>0</v>
      </c>
      <c r="BQ48" s="48" t="str">
        <f ca="1">IF(AND(OR($DY$2=0,$DY$1=0),$I$1=2,ROW()&gt;$BJ$1+2,ROW()&lt;=$BJ$1+4),"………………..",IF(AND(OR($DY$2&gt;0,$DY$1&gt;0),$I$1=2,ROW()&gt;$BJ$1+2,ROW()&lt;=$BJ$1+4),"………………..",IFERROR(INDEX($AC$3:$AC$400,MATCH(ROWS(BQ$3:BQ48),BJ$3:BJ$400,0),1),"")))</f>
        <v/>
      </c>
      <c r="BR48" s="48">
        <f t="shared" ca="1" si="11"/>
        <v>0</v>
      </c>
      <c r="BS48" s="48">
        <f ca="1">IF(IF(AND(OR(INDEX(PDC,MATCH($AC48,DEN_PDC,0),4)="D",INDEX(PDC,MATCH($AC48,DEN_PDC,0),4)="D/A"),SUMIFS(DARE,DEN_G,$AC48)&gt;=SUMIFS(AVERE,DEN_G,$AC48)),SUMIFS(DARE,DEN_G,$AC48),IF(AND(OR(INDEX(PDC,MATCH($AC48,DEN_PDC,0),4)="A",INDEX(PDC,MATCH($AC48,DEN_PDC,0),4)="D/A"),SUMIFS(AVERE,DEN_G,$AC48)&gt;=SUMIFS(DARE,DEN_G,$AC48)),SUMIFS(AVERE,DEN_G,$AC48),))&gt;0,MAX($BS$2:BS47)+1,0)</f>
        <v>0</v>
      </c>
      <c r="BT48" s="48" t="str">
        <f ca="1">IF($CO$1=0,"",IF(AND($I$1=2,ROW()&gt;$BR$1,ROW()&lt;=$BS$1)," …………….",IF(AND($E$1=1,$BX$1=1,$I$1=2,ROW()=$BQ$1),"TOTALI",IFERROR(INDEX(PDC,MATCH(ROWS(BT$3:BT48),BS$3:BS445,0),2),""))))</f>
        <v/>
      </c>
      <c r="BU48" s="48">
        <f t="shared" ca="1" si="12"/>
        <v>0</v>
      </c>
      <c r="BV48" s="48">
        <f t="shared" ca="1" si="13"/>
        <v>0</v>
      </c>
      <c r="BW48" s="48">
        <f t="shared" ca="1" si="14"/>
        <v>0</v>
      </c>
      <c r="BX48" s="48">
        <f t="shared" ca="1" si="15"/>
        <v>0</v>
      </c>
      <c r="BY48" s="48">
        <f ca="1">IF(OR(BW48&gt;0,BX48&gt;0),MAX($BY$2:BY47)+1,0)</f>
        <v>0</v>
      </c>
      <c r="BZ48" s="48" t="str">
        <f ca="1">IFERROR(INDEX($BT$3:$BY$400,MATCH(ROWS(BZ$3:BZ48),$BY$3:$BY$400,0),1),"")</f>
        <v/>
      </c>
      <c r="CA48" s="48" t="str">
        <f ca="1">IFERROR(INDEX($BT$3:$BY$400,MATCH(ROWS(CA$3:CA48),$BY$3:$BY$400,0),4),"")</f>
        <v/>
      </c>
      <c r="CB48" s="48" t="str">
        <f ca="1">IFERROR(INDEX($BT$3:$BY$400,MATCH(ROWS(CB$3:CB48),$BY$3:$BY$400,0),5),"")</f>
        <v/>
      </c>
      <c r="CC48" s="48" t="str">
        <f t="shared" ca="1" si="16"/>
        <v/>
      </c>
      <c r="CD48" s="48">
        <f ca="1">IF(AND($BF$9=1,CE48&lt;&gt;0),MAX($CD$2:CD47)+1,0)</f>
        <v>0</v>
      </c>
      <c r="CE48" s="48">
        <f ca="1">IF(ROUND(SUMIFS(COPIA!$CA$3:$CA$400,COPIA!$CC$3:$CC$400,CF48)-SUMIFS(COPIA!$CB$3:$CB$400,COPIA!$CC$3:$CC$400,CF48),0)&lt;0,0,ROUND(SUMIFS(COPIA!$CA$3:$CA$400,COPIA!$CC$3:$CC$400,CF48)-SUMIFS(COPIA!$CB$3:$CB$400,COPIA!$CC$3:$CC$400,CF48),0))</f>
        <v>0</v>
      </c>
      <c r="CF48" s="48" t="s">
        <v>627</v>
      </c>
      <c r="CG48" s="242" t="s">
        <v>674</v>
      </c>
      <c r="CH48" s="242">
        <f t="shared" ca="1" si="112"/>
        <v>0</v>
      </c>
      <c r="CI48" s="242"/>
      <c r="CJ48" s="242"/>
      <c r="CK48" s="48">
        <f ca="1">IF($CF$2=FALSE,0,IF(AND($BF$9=1,CJ48&lt;&gt;0),MAX($CK$21:CK47)+1,0))</f>
        <v>0</v>
      </c>
      <c r="CM48" s="242" t="str">
        <f t="shared" ca="1" si="37"/>
        <v/>
      </c>
      <c r="CN48" s="243">
        <f t="shared" ca="1" si="38"/>
        <v>0</v>
      </c>
      <c r="CO48" s="48" t="str">
        <f t="shared" ca="1" si="39"/>
        <v/>
      </c>
      <c r="CQ48" s="247">
        <f ca="1">CQ34</f>
        <v>47849</v>
      </c>
      <c r="CR48" s="247">
        <f t="shared" ref="CR48" ca="1" si="113">CR34</f>
        <v>48213</v>
      </c>
      <c r="CS48" s="48">
        <f t="shared" ca="1" si="101"/>
        <v>0</v>
      </c>
      <c r="CT48" s="242">
        <f t="shared" ca="1" si="102"/>
        <v>0</v>
      </c>
      <c r="CU48" s="48">
        <f ca="1">IF(SUMIFS(AVERE,DEN_G,AC48,AVERE,"&gt;"&amp;0)+SUMIFS(DARE,DEN_G,AC48,DARE,"&gt;"&amp;0)&gt;0,MAX($CU$2:CU47)+1,0)</f>
        <v>0</v>
      </c>
      <c r="CV48" s="48" t="str">
        <f ca="1">IF(IFERROR(INDEX(PDC,MATCH(ROWS($CV$3:CV48),$CU$3:$CU$400,0),2),"")="CONTO DI RISULTATO ECONOMICO","",IFERROR(INDEX(PDC,MATCH(ROWS($CV$3:CV48),$CU$3:$CU$400,0),2),""))</f>
        <v/>
      </c>
      <c r="CW48" s="48">
        <f ca="1">IFERROR(IF(CV48&lt;&gt;"",MAX($CW$2:CW47)+1,0),0)</f>
        <v>0</v>
      </c>
      <c r="CX48" s="48">
        <f t="shared" ca="1" si="103"/>
        <v>4</v>
      </c>
      <c r="CY48" s="48" t="str">
        <f t="shared" ca="1" si="100"/>
        <v>MASTRO</v>
      </c>
      <c r="CZ48" s="48" t="e">
        <f t="shared" ca="1" si="107"/>
        <v>#N/A</v>
      </c>
      <c r="DA48" s="48" t="str">
        <f t="shared" ca="1" si="111"/>
        <v/>
      </c>
      <c r="DB48" s="48" t="str">
        <f t="shared" ca="1" si="76"/>
        <v/>
      </c>
      <c r="DC48" s="48" t="str">
        <f t="shared" ca="1" si="108"/>
        <v/>
      </c>
      <c r="DD48" s="48" t="str">
        <f t="shared" ca="1" si="109"/>
        <v/>
      </c>
      <c r="DE48" s="48" t="str">
        <f t="shared" ca="1" si="110"/>
        <v/>
      </c>
      <c r="DF48" s="48">
        <f ca="1">IF(AND(CX48=$DF$1,CX48&lt;&gt;""),0,IF(AND(DB48&lt;&gt;"",OR(DB47&lt;&gt;"",DB49&lt;&gt;"")),MAX($DF$2:DF47)+1,0))</f>
        <v>0</v>
      </c>
      <c r="DH48" s="244" t="s">
        <v>341</v>
      </c>
      <c r="DI48" s="48" t="s">
        <v>837</v>
      </c>
      <c r="DJ48" s="48" t="s">
        <v>311</v>
      </c>
      <c r="DK48" s="48" t="s">
        <v>298</v>
      </c>
      <c r="DL48" s="48" t="s">
        <v>318</v>
      </c>
      <c r="DM48" s="48" t="s">
        <v>299</v>
      </c>
      <c r="DN48" s="48">
        <f ca="1">IF(DI48&lt;&gt;"",MAX($DN$2:DN47)+1,0)</f>
        <v>31</v>
      </c>
      <c r="DO48" s="48" t="str">
        <f ca="1">IF($BF$9=1,"pab23","pab2")</f>
        <v>pab2</v>
      </c>
      <c r="DR48" s="228"/>
      <c r="DW48" s="48">
        <f>IF(DR48&lt;&gt;"",MAX($DW$2:DW47)+1,0)</f>
        <v>0</v>
      </c>
      <c r="DY48" s="48" t="str">
        <f t="shared" ca="1" si="19"/>
        <v/>
      </c>
      <c r="DZ48" s="48" t="str">
        <f t="shared" ca="1" si="40"/>
        <v/>
      </c>
      <c r="EA48" s="48" t="str">
        <f t="shared" ca="1" si="41"/>
        <v/>
      </c>
      <c r="EB48" s="48">
        <f t="shared" ca="1" si="42"/>
        <v>0</v>
      </c>
      <c r="EC48" s="48">
        <f t="shared" ca="1" si="43"/>
        <v>0</v>
      </c>
      <c r="ED48" s="48" t="str">
        <f t="shared" ca="1" si="44"/>
        <v/>
      </c>
      <c r="EE48" s="48">
        <f t="shared" ca="1" si="45"/>
        <v>0</v>
      </c>
      <c r="EF48" s="48" t="str">
        <f t="shared" ca="1" si="46"/>
        <v/>
      </c>
      <c r="EG48" s="48">
        <f t="shared" ca="1" si="47"/>
        <v>0</v>
      </c>
      <c r="EH48" s="48" t="str">
        <f t="shared" ca="1" si="48"/>
        <v/>
      </c>
      <c r="EI48" s="48">
        <f t="shared" ca="1" si="49"/>
        <v>0</v>
      </c>
      <c r="EJ48" s="48" t="str">
        <f t="shared" ca="1" si="50"/>
        <v/>
      </c>
      <c r="EK48" s="48">
        <f t="shared" ca="1" si="51"/>
        <v>0</v>
      </c>
      <c r="EL48" s="48">
        <f t="shared" ca="1" si="20"/>
        <v>0</v>
      </c>
      <c r="EM48" s="48">
        <f ca="1">IF(EL48&gt;=0,0,MAX($EM$2:EM47)+1)</f>
        <v>0</v>
      </c>
      <c r="EN48" s="48" t="str">
        <f t="shared" ca="1" si="21"/>
        <v/>
      </c>
      <c r="EO48" s="48" t="str">
        <f ca="1">IFERROR(INDEX($EM$3:$EN$400,MATCH(ROWS($EO$3:EO48),$EM$3:$EM$400,0),2),"")</f>
        <v/>
      </c>
      <c r="EP48" s="48">
        <f>ROW()</f>
        <v>48</v>
      </c>
      <c r="EQ48" s="48">
        <f t="shared" ca="1" si="22"/>
        <v>0</v>
      </c>
      <c r="ER48" s="48">
        <f ca="1">IF(ISNA(EQ48)=TRUE,MAX($ER$2:ER47)+1,0)</f>
        <v>0</v>
      </c>
      <c r="ES48" s="48" t="str">
        <f t="shared" ca="1" si="52"/>
        <v/>
      </c>
      <c r="ET48" s="48" t="str">
        <f ca="1">IFERROR(INDEX($ER$3:$ES$400,MATCH(ROWS($ET$3:ET48),$ER$3:$ER$400,0),2),"")</f>
        <v/>
      </c>
      <c r="EV48" s="48">
        <f ca="1">IFERROR(INDEX(LIBRO_GIORNALE!$O$11:$P$408,MATCH(ROWS($EV$2:EV47),LIBRO_GIORNALE!$P$11:$P$408,0),1),0)</f>
        <v>0</v>
      </c>
      <c r="EW48" s="48" t="str">
        <f t="shared" ca="1" si="53"/>
        <v>0</v>
      </c>
      <c r="EX48" s="48">
        <f t="shared" ca="1" si="54"/>
        <v>0</v>
      </c>
      <c r="EY48" s="48">
        <f ca="1">IF(EX48&gt;0,MAX($EY$2:EY47)+1,0)</f>
        <v>0</v>
      </c>
      <c r="EZ48" s="48">
        <f ca="1">IFERROR(INDEX($EX$3:$EX$400,MATCH(ROWS($EZ$3:EZ48),$EY$3:$EY$400,0),1),0)</f>
        <v>0</v>
      </c>
      <c r="FA48" s="48">
        <f ca="1">IF(EZ48&gt;0,0,MAX($FA$2:FA47)+1)</f>
        <v>46</v>
      </c>
      <c r="FB48" s="48">
        <f t="shared" ca="1" si="55"/>
        <v>0</v>
      </c>
      <c r="FC48" s="48">
        <f t="shared" ca="1" si="56"/>
        <v>46</v>
      </c>
      <c r="FD48" s="48">
        <f t="shared" ca="1" si="57"/>
        <v>46</v>
      </c>
      <c r="FE48" s="48">
        <f ca="1">IF(FD48=0,0,MAX($FE$2:FE47)+1)</f>
        <v>46</v>
      </c>
      <c r="FF48" s="48">
        <f ca="1">IFERROR(INDEX($FD$3:$FE$400,MATCH(ROWS($FF$3:FF48),$FE$3:$FE$400,0),1),"")</f>
        <v>46</v>
      </c>
      <c r="FH48" s="48">
        <f t="shared" ca="1" si="58"/>
        <v>0</v>
      </c>
      <c r="FI48" s="48">
        <f ca="1">IF(FH48&lt;&gt;0,MAX($FI$2:FI47)+1,0)</f>
        <v>0</v>
      </c>
      <c r="FJ48" s="48" t="str">
        <f ca="1">IFERROR(INDEX($FH$3:$FI$400,MATCH(ROWS($FJ$3:FJ48),$FI$3:$FI$400,0),1),"")</f>
        <v/>
      </c>
      <c r="FK48" s="48">
        <f ca="1">IF(ABS(SUMIFS(DARE,DEN_G,"="&amp;FJ48,DATA,"&lt;="&amp;FINE_AC,DATA,"&gt;="&amp;INIZIO_A_PC)-SUMIFS(AVERE,DEN_G,"="&amp;FJ48,DATA,"&lt;="&amp;FINE_AC,DATA,"&gt;="&amp;INIZIO_A_PC))&gt;0,MAX($FK$2:FK47)+1,0)</f>
        <v>0</v>
      </c>
      <c r="FL48" s="48" t="str">
        <f ca="1">IF(AND(ROW()-2&lt;&gt;1,ROW()-2&lt;=$FK$1),CONCATENATE(" - ",IFERROR(INDEX($FJ$3:$FK$400,MATCH(ROWS($FL$3:FL48),$FK$3:$FK$400,0),1),"")),IFERROR(INDEX($FJ$3:$FK$400,MATCH(ROWS($FL$3:FL48),$FK$3:$FK$400,0),1),""))</f>
        <v/>
      </c>
      <c r="FM48" s="48">
        <f ca="1">IF(OR(B48="IVA ns/credito",B48="IVA NS/DEBITO",B48="IVA C/ACCONTO",B48="IMPOSTE C/ACCONTO",B48="CREDITI PER RITENUTE SUBITE",B48="CREDITI D'IMPOSTA"),MAX($FM$2:FM47)+1,0)</f>
        <v>0</v>
      </c>
      <c r="FN48" s="48" t="str">
        <f t="shared" ca="1" si="59"/>
        <v/>
      </c>
      <c r="FO48" s="48" t="str">
        <f ca="1">IFERROR(INDEX($FM$3:$FN$400,MATCH(ROWS($FO$3:FO48),$FM$3:$FM$400,0),2),"")</f>
        <v/>
      </c>
      <c r="FP48" s="48">
        <f ca="1">IF(ABS(SUMIFS(DARE,DEN_G,"="&amp;FO48,DATA,"&lt;="&amp;FINE_AC,DATA,"&gt;="&amp;INIZIO_A_PC)-SUMIFS(AVERE,DEN_G,"="&amp;FO48,DATA,"&lt;="&amp;FINE_AC,DATA,"&gt;="&amp;INIZIO_A_PC))&gt;0,MAX($FP$2:FP47)+1,0)</f>
        <v>0</v>
      </c>
      <c r="FQ48" s="48" t="str">
        <f ca="1">IF(AND(ROW()-2&lt;&gt;1,ROW()-2&lt;=$FP$1),CONCATENATE(" - ",IFERROR(INDEX($FO$3:$FP$400,MATCH(ROWS($FQ$3:FQ48),$FP$3:$FP$400,0),1),"")),IFERROR(INDEX($FO$3:$FP$400,MATCH(ROWS($FQ$3:FQ48),$FP$3:$FP$400,0),1),""))</f>
        <v/>
      </c>
    </row>
    <row r="49" spans="1:173" x14ac:dyDescent="0.3">
      <c r="A49" s="48" t="str">
        <f ca="1">IFERROR(IF($A$1=2,INDEX($DH$3:$DN$401,MATCH(ROWS(A$3:A49),$DN$3:$DN$401,0),COLUMN()),IF($A$1=1,INDEX($DQ$3:$DW$401,MATCH(ROWS(A$3:A49),$DW$3:$DW$401,0),COLUMN()),"")),"")</f>
        <v>03.11</v>
      </c>
      <c r="B49" s="48" t="str">
        <f ca="1">IFERROR(IF($A$1=2,INDEX($DH$3:$DN$401,MATCH(ROWS(B$3:B49),$DN$3:$DN$401,0),COLUMN()),IF($A$1=1,INDEX($DQ$3:$DW$400,MATCH(ROWS(B$3:B49),$DW$3:$DW$401,0),COLUMN()),"")),"")</f>
        <v>PRESTITI A COLLEGATE</v>
      </c>
      <c r="C49" s="48" t="str">
        <f ca="1">IFERROR(IF($A$1=2,INDEX($DH$3:$DN$401,MATCH(ROWS(C$3:C49),$DN$3:$DN$401,0),COLUMN()),IF($A$1=1,INDEX($DQ$3:$DW$401,MATCH(ROWS(C$3:C49),$DW$3:$DW$401,0),COLUMN()),"")),"")</f>
        <v>F</v>
      </c>
      <c r="D49" s="48" t="str">
        <f ca="1">IFERROR(IF($A$1=2,INDEX($DH$3:$DN$401,MATCH(ROWS(D$3:D49),$DN$3:$DN$401,0),COLUMN()),IF($A$1=1,INDEX($DQ$3:$DW$401,MATCH(ROWS(D$3:D49),$DW$3:$DW$401,0),COLUMN()),"")),"")</f>
        <v>D</v>
      </c>
      <c r="E49" s="48" t="str">
        <f ca="1">IFERROR(IF($A$1=2,INDEX($DH$3:$DN$401,MATCH(ROWS(E$3:E49),$DN$3:$DN$401,0),COLUMN()),IF($A$1=1,INDEX($DQ$3:$DW$401,MATCH(ROWS(E$3:E49),$DW$3:$DW$401,0),COLUMN()),"")),"")</f>
        <v>CREDITI</v>
      </c>
      <c r="F49" s="48" t="str">
        <f ca="1">IFERROR(IF($A$1=2,INDEX($DH$3:$DN$401,MATCH(ROWS(F$3:F49),$DN$3:$DN$401,0),COLUMN()),IF($A$1=1,INDEX($DQ$3:$DX$401,MATCH(ROWS(F$3:F49),$DW$3:$DW$401,0),COLUMN()),"")),"")</f>
        <v>SP DARE</v>
      </c>
      <c r="G49" s="48" t="str">
        <f t="shared" ca="1" si="23"/>
        <v>SP</v>
      </c>
      <c r="H49" s="48" t="str">
        <f ca="1">IFERROR(IF($A$1=2,INDEX($DH$3:$DO$400,MATCH(ROWS(H$3:H49),$DN$3:$DN$400,0),COLUMN()),IF($A$1=1,INDEX($DQ$3:$DX$400,MATCH(ROWS(H$3:H49),$DW$3:$DW$400,0),COLUMN()),"")),"")</f>
        <v>pab3</v>
      </c>
      <c r="I49" s="48" t="str">
        <f t="shared" ca="1" si="0"/>
        <v/>
      </c>
      <c r="J49" s="48" t="str">
        <f t="shared" ca="1" si="24"/>
        <v/>
      </c>
      <c r="K49" s="48">
        <f t="shared" ca="1" si="25"/>
        <v>0</v>
      </c>
      <c r="L49" s="48">
        <f t="shared" ca="1" si="26"/>
        <v>0</v>
      </c>
      <c r="M49" s="48">
        <f ca="1">IFERROR(IF(IF(MID($A49,3,3)=".00",MID(A49,1,2),"")&lt;&gt;"",MAX($M$2:M48)+1,0),"")</f>
        <v>0</v>
      </c>
      <c r="N49" s="48" t="str">
        <f t="shared" ca="1" si="27"/>
        <v/>
      </c>
      <c r="O49" s="48" t="str">
        <f ca="1">IF(IFERROR(INDEX($N$3:$O$400,MATCH(ROWS($O$3:O49),$M$3:$M$400,0),1),"")&lt;&gt;"",CONCATENATE(INDEX($N$3:$O$400,MATCH(ROWS($O$3:O49),$M$3:$M$400,0),1),".00"),"")</f>
        <v/>
      </c>
      <c r="P49" s="48" t="str">
        <f t="shared" ca="1" si="28"/>
        <v/>
      </c>
      <c r="Q49" s="48">
        <f ca="1">IF(M49&gt;=1,0,MAX($Q$2:Q48)+1)</f>
        <v>43</v>
      </c>
      <c r="R49" s="48">
        <f ca="1">IF(AND($U$2=2,S49&lt;&gt;""),MAX($R$2:R48)+1,0)</f>
        <v>31</v>
      </c>
      <c r="S49" s="48" t="str">
        <f t="shared" ca="1" si="81"/>
        <v>ACCANTONAMENTI</v>
      </c>
      <c r="T49" s="48" t="str">
        <f ca="1">IFERROR(INDEX($R$3:$S$64,MATCH(ROWS($T$2:T48),$R$3:$R$64,0),2),"")</f>
        <v/>
      </c>
      <c r="U49" s="48" t="str">
        <f ca="1">IFERROR(INDEX(PDC,MATCH(ROWS(U$3:U49),$V$3:$V$400,0),2),"")</f>
        <v>MATERIE PRIME</v>
      </c>
      <c r="V49" s="48">
        <f ca="1">IF(AND($T$1="VISUALIZZA TUTTI I CONTI",AA49&lt;&gt;""),MAX($V$2:V48)+1,IF(AND($U$2=2,AI49=$T$1),MAX($V$2:V48)+1,IF(AND($U$2=1,$T$1=AF49),MAX($V$2:V48)+1,0)))</f>
        <v>47</v>
      </c>
      <c r="Z49" s="246"/>
      <c r="AA49" s="48" t="str">
        <f t="shared" ca="1" si="29"/>
        <v>04.00</v>
      </c>
      <c r="AB49" s="48" t="str">
        <f ca="1">IFERROR(INDEX($A$3:$G$400,MATCH(ROWS(AB$3:AB49),$Q$3:$Q$400,0),1),"")</f>
        <v>04.01</v>
      </c>
      <c r="AC49" s="48" t="str">
        <f ca="1">IFERROR(INDEX($A$3:$G$400,MATCH(ROWS($AC$3:AC49),$Q$3:$Q$400,0),2),"")</f>
        <v>MATERIE PRIME</v>
      </c>
      <c r="AD49" s="48" t="str">
        <f ca="1">IFERROR(INDEX($A$3:$G$400,MATCH(ROWS(AD$3:AD49),$Q$3:$Q$400,0),3),"")</f>
        <v>E</v>
      </c>
      <c r="AE49" s="48" t="str">
        <f ca="1">IFERROR(INDEX($A$3:$G$400,MATCH(ROWS(AE$3:AE49),$Q$3:$Q$400,0),4),"")</f>
        <v>D</v>
      </c>
      <c r="AF49" s="48" t="str">
        <f ca="1">IFERROR(INDEX($A$3:$G$400,MATCH(ROWS(AF$3:AF49),$Q$3:$Q$400,0),5),"")</f>
        <v>COSTI SOSPESI</v>
      </c>
      <c r="AG49" s="48" t="str">
        <f ca="1">IFERROR(INDEX($A$3:$G$400,MATCH(ROWS(AG$3:AG49),$Q$3:$Q$400,0),6),"")</f>
        <v>SP DARE</v>
      </c>
      <c r="AH49" s="48" t="str">
        <f ca="1">IFERROR(INDEX($A$3:$G$400,MATCH(ROWS(AH$3:AH49),$Q$3:$Q$400,0),7),"")</f>
        <v>SP</v>
      </c>
      <c r="AI49" s="48" t="str">
        <f t="shared" ca="1" si="1"/>
        <v>RIMANENZE</v>
      </c>
      <c r="AJ49" s="48" t="str">
        <f ca="1">IFERROR(INDEX($A$3:$H$400,MATCH(ROWS(AJ$3:AJ49),$Q$3:$Q$400,0),8),"")</f>
        <v>pac1</v>
      </c>
      <c r="AK49" s="48">
        <f t="shared" ca="1" si="2"/>
        <v>0</v>
      </c>
      <c r="AL49" s="48">
        <f t="shared" ca="1" si="95"/>
        <v>0</v>
      </c>
      <c r="AM49" s="48">
        <f t="shared" ca="1" si="30"/>
        <v>0</v>
      </c>
      <c r="AN49" s="48" t="str">
        <f t="shared" ca="1" si="31"/>
        <v/>
      </c>
      <c r="AO49" s="48">
        <f t="shared" ca="1" si="32"/>
        <v>0</v>
      </c>
      <c r="AP49" s="48">
        <f t="shared" ca="1" si="32"/>
        <v>0</v>
      </c>
      <c r="AQ49" s="48" t="str">
        <f t="shared" ca="1" si="4"/>
        <v>MATERIE PRIME</v>
      </c>
      <c r="AR49" s="48">
        <f t="shared" ca="1" si="5"/>
        <v>0</v>
      </c>
      <c r="AS49" s="48">
        <f t="shared" ca="1" si="6"/>
        <v>0</v>
      </c>
      <c r="AT49" s="48">
        <f t="shared" ca="1" si="33"/>
        <v>0</v>
      </c>
      <c r="AU49" s="48">
        <f t="shared" ca="1" si="34"/>
        <v>0</v>
      </c>
      <c r="AV49" s="48">
        <f ca="1">IF(OR(AT49&gt;0,AU49&gt;0),MAX($AV$2:AV48)+1,0)</f>
        <v>0</v>
      </c>
      <c r="AZ49" s="241" t="str">
        <f t="shared" ca="1" si="35"/>
        <v/>
      </c>
      <c r="BA49" s="48">
        <f t="shared" ca="1" si="96"/>
        <v>0</v>
      </c>
      <c r="BB49" s="48">
        <f ca="1">IFERROR(INDEX($AQ$3:$AV$220,MATCH(ROWS($BB$3:BB49),$AV$3:$AV$220,0),1),0)</f>
        <v>0</v>
      </c>
      <c r="BC49" s="48" t="str">
        <f t="shared" ca="1" si="36"/>
        <v/>
      </c>
      <c r="BD49" s="48">
        <f ca="1">IFERROR(INDEX($AQ$3:$AV$220,MATCH(ROWS($BB$3:BD49),$AV$3:$AV$220,0),4),0)</f>
        <v>0</v>
      </c>
      <c r="BE49" s="48">
        <f ca="1">IFERROR(INDEX($AQ$3:$AV$220,MATCH(ROWS($BB$3:BE49),$AV$3:$AV$220,0),5),0)</f>
        <v>0</v>
      </c>
      <c r="BG49" s="48">
        <f ca="1">IF(IF(AND(OR(INDEX(PDC,MATCH($AC49,DEN_PDC,0),6)="SP DARE",INDEX(PDC,MATCH($AC49,DEN_PDC,0),6)="SP DARE/AVERE"),SUMIFS(DARE,DEN_G,$AC49)&gt;=SUMIFS(AVERE,DEN_G,$AC49)),SUMIFS(DARE,DEN_G,$AC49)-SUMIFS(AVERE,DEN_G,$AC49),0)&gt;0,MAX($BG$2:BG48)+1,0)</f>
        <v>0</v>
      </c>
      <c r="BH49" s="48">
        <f ca="1">IF(IF(AND(OR(INDEX(PDC,MATCH($AC49,DEN_PDC,0),6)="SP AVERE",INDEX(PDC,MATCH($AC49,DEN_PDC,0),6)="SP DARE/AVERE"),SUMIFS(AVERE,DEN_G,$AC49)&gt;=SUMIFS(DARE,DEN_G,$AC49)),SUMIFS(AVERE,DEN_G,$AC49)-SUMIFS(DARE,DEN_G,$AC49),0)&gt;0,MAX(BH$2:BH48)+1,0)</f>
        <v>0</v>
      </c>
      <c r="BI49" s="48">
        <f ca="1">IF(IF(AND(OR(INDEX(PDC,MATCH($AC49,DEN_PDC,0),6)="SE DARE",INDEX(PDC,MATCH($AC49,DEN_PDC,0),6)="SE DARE/AVERE"),SUMIFS(DARE,DEN_G,$AC49)&gt;=SUMIFS(AVERE,DEN_G,$AC49)),SUMIFS(DARE,DEN_G,$AC49)-SUMIFS(AVERE,DEN_G,$AC49),0)&gt;0,MAX(BI$2:BI48)+1,0)</f>
        <v>0</v>
      </c>
      <c r="BJ49" s="48">
        <f ca="1">IF(IF(AND(OR(INDEX(PDC,MATCH($AC49,DEN_PDC,0),6)="SE AVERE",INDEX(PDC,MATCH($AC49,DEN_PDC,0),6)="SE DARE/AVERE"),SUMIFS(AVERE,DEN_G,$AC49)&gt;=SUMIFS(DARE,DEN_G,$AC49)),SUMIFS(AVERE,DEN_G,$AC49)-SUMIFS(DARE,DEN_G,$AC49),0)&gt;0,MAX(BJ$2:BJ48)+1,0)</f>
        <v>0</v>
      </c>
      <c r="BK49" s="48" t="str">
        <f ca="1">IF(AND(AND($DY$2=0,$DY$1=0),$I$1=2,ROW()&gt;$BG$1+2,ROW()&lt;=$BG$1+4),"………………..",IF(AND(OR($DY$2&gt;0,$DY$1&gt;0),$I$1=2,ROW()&gt;$BG$1+2,ROW()&lt;=$BG$1+4),"………………..",IFERROR(INDEX($AC$3:$AC$398,MATCH(ROWS(BK$3:BK49),BG$3:BG$398,0),1),"")))</f>
        <v/>
      </c>
      <c r="BL49" s="48">
        <f t="shared" ca="1" si="69"/>
        <v>0</v>
      </c>
      <c r="BM49" s="48" t="str">
        <f ca="1">IF(AND(OR($DY$2=0,$DY$1=0),$I$1=2,ROW()&gt;$BH$1+2,ROW()&lt;=$BH$1+4),"………………..",IF(AND(OR($DY$2&gt;0,$DY$1&gt;0),$I$1=2,ROW()&gt;$BH$1+2,ROW()&lt;=$BH$1+4),"………………..",IFERROR(INDEX($AC$3:$AC$400,MATCH(ROWS(BM$3:BM49),BH$3:BH$400,0),1),"")))</f>
        <v/>
      </c>
      <c r="BN49" s="48">
        <f t="shared" ca="1" si="9"/>
        <v>0</v>
      </c>
      <c r="BO49" s="48" t="str">
        <f ca="1">IF(AND(OR($DY$2=0,$DY$1=0),$I$1=2,ROW()&gt;$BI$1+2,ROW()&lt;=$BI$1+4),"………………..",IF(AND(OR($DY$2&gt;0,$DY$1&gt;0),$I$1=2,ROW()&gt;$BI$1+2,ROW()&lt;=$BI$1+4),"………………..",IFERROR(INDEX($AC$3:$AC$400,MATCH(ROWS(BO$3:BO49),BI$3:BI$400,0),1),"")))</f>
        <v/>
      </c>
      <c r="BP49" s="48">
        <f t="shared" ca="1" si="10"/>
        <v>0</v>
      </c>
      <c r="BQ49" s="48" t="str">
        <f ca="1">IF(AND(OR($DY$2=0,$DY$1=0),$I$1=2,ROW()&gt;$BJ$1+2,ROW()&lt;=$BJ$1+4),"………………..",IF(AND(OR($DY$2&gt;0,$DY$1&gt;0),$I$1=2,ROW()&gt;$BJ$1+2,ROW()&lt;=$BJ$1+4),"………………..",IFERROR(INDEX($AC$3:$AC$400,MATCH(ROWS(BQ$3:BQ49),BJ$3:BJ$400,0),1),"")))</f>
        <v/>
      </c>
      <c r="BR49" s="48">
        <f t="shared" ca="1" si="11"/>
        <v>0</v>
      </c>
      <c r="BS49" s="48">
        <f ca="1">IF(IF(AND(OR(INDEX(PDC,MATCH($AC49,DEN_PDC,0),4)="D",INDEX(PDC,MATCH($AC49,DEN_PDC,0),4)="D/A"),SUMIFS(DARE,DEN_G,$AC49)&gt;=SUMIFS(AVERE,DEN_G,$AC49)),SUMIFS(DARE,DEN_G,$AC49),IF(AND(OR(INDEX(PDC,MATCH($AC49,DEN_PDC,0),4)="A",INDEX(PDC,MATCH($AC49,DEN_PDC,0),4)="D/A"),SUMIFS(AVERE,DEN_G,$AC49)&gt;=SUMIFS(DARE,DEN_G,$AC49)),SUMIFS(AVERE,DEN_G,$AC49),))&gt;0,MAX($BS$2:BS48)+1,0)</f>
        <v>0</v>
      </c>
      <c r="BT49" s="48" t="str">
        <f ca="1">IF($CO$1=0,"",IF(AND($I$1=2,ROW()&gt;$BR$1,ROW()&lt;=$BS$1)," …………….",IF(AND($E$1=1,$BX$1=1,$I$1=2,ROW()=$BQ$1),"TOTALI",IFERROR(INDEX(PDC,MATCH(ROWS(BT$3:BT49),BS$3:BS446,0),2),""))))</f>
        <v/>
      </c>
      <c r="BU49" s="48">
        <f t="shared" ca="1" si="12"/>
        <v>0</v>
      </c>
      <c r="BV49" s="48">
        <f t="shared" ca="1" si="13"/>
        <v>0</v>
      </c>
      <c r="BW49" s="48">
        <f t="shared" ca="1" si="14"/>
        <v>0</v>
      </c>
      <c r="BX49" s="48">
        <f t="shared" ca="1" si="15"/>
        <v>0</v>
      </c>
      <c r="BY49" s="48">
        <f ca="1">IF(OR(BW49&gt;0,BX49&gt;0),MAX($BY$2:BY48)+1,0)</f>
        <v>0</v>
      </c>
      <c r="BZ49" s="48" t="str">
        <f ca="1">IFERROR(INDEX($BT$3:$BY$400,MATCH(ROWS(BZ$3:BZ49),$BY$3:$BY$400,0),1),"")</f>
        <v/>
      </c>
      <c r="CA49" s="48" t="str">
        <f ca="1">IFERROR(INDEX($BT$3:$BY$400,MATCH(ROWS(CA$3:CA49),$BY$3:$BY$400,0),4),"")</f>
        <v/>
      </c>
      <c r="CB49" s="48" t="str">
        <f ca="1">IFERROR(INDEX($BT$3:$BY$400,MATCH(ROWS(CB$3:CB49),$BY$3:$BY$400,0),5),"")</f>
        <v/>
      </c>
      <c r="CC49" s="48" t="str">
        <f t="shared" ca="1" si="16"/>
        <v/>
      </c>
      <c r="CD49" s="48">
        <f ca="1">IF(AND($BF$9=1,CE49&lt;&gt;0),MAX($CD$2:CD48)+1,0)</f>
        <v>0</v>
      </c>
      <c r="CE49" s="48">
        <f ca="1">IF(ROUND(SUMIFS(COPIA!$CA$3:$CA$400,COPIA!$CC$3:$CC$400,CF49)-SUMIFS(COPIA!$CB$3:$CB$400,COPIA!$CC$3:$CC$400,CF49),0)&lt;0,0,ROUND(SUMIFS(COPIA!$CA$3:$CA$400,COPIA!$CC$3:$CC$400,CF49)-SUMIFS(COPIA!$CB$3:$CB$400,COPIA!$CC$3:$CC$400,CF49),0))</f>
        <v>0</v>
      </c>
      <c r="CF49" s="48" t="s">
        <v>628</v>
      </c>
      <c r="CG49" s="242" t="s">
        <v>517</v>
      </c>
      <c r="CH49" s="242">
        <f t="shared" ca="1" si="112"/>
        <v>0</v>
      </c>
      <c r="CI49" s="242"/>
      <c r="CJ49" s="242"/>
      <c r="CK49" s="48">
        <f ca="1">IF($CF$2=FALSE,0,IF(AND($BF$9=1,CJ49&lt;&gt;0),MAX($CK$21:CK48)+1,0))</f>
        <v>0</v>
      </c>
      <c r="CM49" s="242" t="str">
        <f t="shared" ca="1" si="37"/>
        <v/>
      </c>
      <c r="CN49" s="243">
        <f t="shared" ca="1" si="38"/>
        <v>0</v>
      </c>
      <c r="CO49" s="48" t="str">
        <f t="shared" ca="1" si="39"/>
        <v/>
      </c>
      <c r="CQ49" s="242"/>
      <c r="CR49" s="242"/>
      <c r="CT49" s="242"/>
      <c r="CU49" s="48">
        <f ca="1">IF(SUMIFS(AVERE,DEN_G,AC49,AVERE,"&gt;"&amp;0)+SUMIFS(DARE,DEN_G,AC49,DARE,"&gt;"&amp;0)&gt;0,MAX($CU$2:CU48)+1,0)</f>
        <v>0</v>
      </c>
      <c r="CV49" s="48" t="str">
        <f ca="1">IF(IFERROR(INDEX(PDC,MATCH(ROWS($CV$3:CV49),$CU$3:$CU$400,0),2),"")="CONTO DI RISULTATO ECONOMICO","",IFERROR(INDEX(PDC,MATCH(ROWS($CV$3:CV49),$CU$3:$CU$400,0),2),""))</f>
        <v/>
      </c>
      <c r="CW49" s="48">
        <f ca="1">IFERROR(IF(CV49&lt;&gt;"",MAX($CW$2:CW48)+1,0),0)</f>
        <v>0</v>
      </c>
      <c r="CX49" s="48">
        <f t="shared" ca="1" si="103"/>
        <v>4</v>
      </c>
      <c r="CY49" s="48" t="str">
        <f t="shared" ca="1" si="100"/>
        <v>MASTRO</v>
      </c>
      <c r="CZ49" s="48" t="e">
        <f t="shared" ca="1" si="107"/>
        <v>#N/A</v>
      </c>
      <c r="DA49" s="48" t="str">
        <f t="shared" ca="1" si="111"/>
        <v/>
      </c>
      <c r="DB49" s="48" t="str">
        <f t="shared" ca="1" si="76"/>
        <v/>
      </c>
      <c r="DC49" s="48" t="str">
        <f t="shared" ca="1" si="108"/>
        <v/>
      </c>
      <c r="DD49" s="48" t="str">
        <f t="shared" ca="1" si="109"/>
        <v/>
      </c>
      <c r="DE49" s="48" t="str">
        <f t="shared" ca="1" si="110"/>
        <v/>
      </c>
      <c r="DF49" s="48">
        <f ca="1">IF(AND(CX49=$DF$1,CX49&lt;&gt;""),0,IF(AND(DB49&lt;&gt;"",OR(DB48&lt;&gt;"",DB50&lt;&gt;"")),MAX($DF$2:DF48)+1,0))</f>
        <v>0</v>
      </c>
      <c r="DH49" s="244" t="s">
        <v>36</v>
      </c>
      <c r="DI49" s="48" t="s">
        <v>836</v>
      </c>
      <c r="DJ49" s="48" t="s">
        <v>311</v>
      </c>
      <c r="DK49" s="48" t="s">
        <v>298</v>
      </c>
      <c r="DL49" s="48" t="s">
        <v>318</v>
      </c>
      <c r="DM49" s="48" t="s">
        <v>299</v>
      </c>
      <c r="DN49" s="48">
        <f ca="1">IF(DI49&lt;&gt;"",MAX($DN$2:DN48)+1,0)</f>
        <v>32</v>
      </c>
      <c r="DO49" s="48" t="str">
        <f ca="1">IF($BF$9=1,"pab23","pab2")</f>
        <v>pab2</v>
      </c>
      <c r="DW49" s="48">
        <f>IF(DR49&lt;&gt;"",MAX($DW$2:DW48)+1,0)</f>
        <v>0</v>
      </c>
      <c r="DY49" s="48" t="str">
        <f t="shared" ca="1" si="19"/>
        <v/>
      </c>
      <c r="DZ49" s="48" t="str">
        <f t="shared" ca="1" si="40"/>
        <v/>
      </c>
      <c r="EA49" s="48" t="str">
        <f t="shared" ca="1" si="41"/>
        <v/>
      </c>
      <c r="EB49" s="48">
        <f t="shared" ca="1" si="42"/>
        <v>0</v>
      </c>
      <c r="EC49" s="48">
        <f t="shared" ca="1" si="43"/>
        <v>0</v>
      </c>
      <c r="ED49" s="48" t="str">
        <f t="shared" ca="1" si="44"/>
        <v/>
      </c>
      <c r="EE49" s="48">
        <f t="shared" ca="1" si="45"/>
        <v>0</v>
      </c>
      <c r="EF49" s="48" t="str">
        <f t="shared" ca="1" si="46"/>
        <v/>
      </c>
      <c r="EG49" s="48">
        <f t="shared" ca="1" si="47"/>
        <v>0</v>
      </c>
      <c r="EH49" s="48" t="str">
        <f t="shared" ca="1" si="48"/>
        <v/>
      </c>
      <c r="EI49" s="48">
        <f t="shared" ca="1" si="49"/>
        <v>0</v>
      </c>
      <c r="EJ49" s="48" t="str">
        <f t="shared" ca="1" si="50"/>
        <v/>
      </c>
      <c r="EK49" s="48">
        <f t="shared" ca="1" si="51"/>
        <v>0</v>
      </c>
      <c r="EL49" s="48">
        <f t="shared" ca="1" si="20"/>
        <v>0</v>
      </c>
      <c r="EM49" s="48">
        <f ca="1">IF(EL49&gt;=0,0,MAX($EM$2:EM48)+1)</f>
        <v>0</v>
      </c>
      <c r="EN49" s="48" t="str">
        <f t="shared" ca="1" si="21"/>
        <v/>
      </c>
      <c r="EO49" s="48" t="str">
        <f ca="1">IFERROR(INDEX($EM$3:$EN$400,MATCH(ROWS($EO$3:EO49),$EM$3:$EM$400,0),2),"")</f>
        <v/>
      </c>
      <c r="EP49" s="48">
        <f>ROW()</f>
        <v>49</v>
      </c>
      <c r="EQ49" s="48">
        <f t="shared" ca="1" si="22"/>
        <v>0</v>
      </c>
      <c r="ER49" s="48">
        <f ca="1">IF(ISNA(EQ49)=TRUE,MAX($ER$2:ER48)+1,0)</f>
        <v>0</v>
      </c>
      <c r="ES49" s="48" t="str">
        <f t="shared" ca="1" si="52"/>
        <v/>
      </c>
      <c r="ET49" s="48" t="str">
        <f ca="1">IFERROR(INDEX($ER$3:$ES$400,MATCH(ROWS($ET$3:ET49),$ER$3:$ER$400,0),2),"")</f>
        <v/>
      </c>
      <c r="EV49" s="48">
        <f ca="1">IFERROR(INDEX(LIBRO_GIORNALE!$O$11:$P$408,MATCH(ROWS($EV$2:EV48),LIBRO_GIORNALE!$P$11:$P$408,0),1),0)</f>
        <v>0</v>
      </c>
      <c r="EW49" s="48" t="str">
        <f t="shared" ca="1" si="53"/>
        <v>0</v>
      </c>
      <c r="EX49" s="48">
        <f t="shared" ca="1" si="54"/>
        <v>0</v>
      </c>
      <c r="EY49" s="48">
        <f ca="1">IF(EX49&gt;0,MAX($EY$2:EY48)+1,0)</f>
        <v>0</v>
      </c>
      <c r="EZ49" s="48">
        <f ca="1">IFERROR(INDEX($EX$3:$EX$400,MATCH(ROWS($EZ$3:EZ49),$EY$3:$EY$400,0),1),0)</f>
        <v>0</v>
      </c>
      <c r="FA49" s="48">
        <f ca="1">IF(EZ49&gt;0,0,MAX($FA$2:FA48)+1)</f>
        <v>47</v>
      </c>
      <c r="FB49" s="48">
        <f t="shared" ca="1" si="55"/>
        <v>0</v>
      </c>
      <c r="FC49" s="48">
        <f t="shared" ca="1" si="56"/>
        <v>47</v>
      </c>
      <c r="FD49" s="48">
        <f t="shared" ca="1" si="57"/>
        <v>47</v>
      </c>
      <c r="FE49" s="48">
        <f ca="1">IF(FD49=0,0,MAX($FE$2:FE48)+1)</f>
        <v>47</v>
      </c>
      <c r="FF49" s="48">
        <f ca="1">IFERROR(INDEX($FD$3:$FE$400,MATCH(ROWS($FF$3:FF49),$FE$3:$FE$400,0),1),"")</f>
        <v>47</v>
      </c>
      <c r="FH49" s="48">
        <f t="shared" ca="1" si="58"/>
        <v>0</v>
      </c>
      <c r="FI49" s="48">
        <f ca="1">IF(FH49&lt;&gt;0,MAX($FI$2:FI48)+1,0)</f>
        <v>0</v>
      </c>
      <c r="FJ49" s="48" t="str">
        <f ca="1">IFERROR(INDEX($FH$3:$FI$400,MATCH(ROWS($FJ$3:FJ49),$FI$3:$FI$400,0),1),"")</f>
        <v/>
      </c>
      <c r="FK49" s="48">
        <f ca="1">IF(ABS(SUMIFS(DARE,DEN_G,"="&amp;FJ49,DATA,"&lt;="&amp;FINE_AC,DATA,"&gt;="&amp;INIZIO_A_PC)-SUMIFS(AVERE,DEN_G,"="&amp;FJ49,DATA,"&lt;="&amp;FINE_AC,DATA,"&gt;="&amp;INIZIO_A_PC))&gt;0,MAX($FK$2:FK48)+1,0)</f>
        <v>0</v>
      </c>
      <c r="FL49" s="48" t="str">
        <f ca="1">IF(AND(ROW()-2&lt;&gt;1,ROW()-2&lt;=$FK$1),CONCATENATE(" - ",IFERROR(INDEX($FJ$3:$FK$400,MATCH(ROWS($FL$3:FL49),$FK$3:$FK$400,0),1),"")),IFERROR(INDEX($FJ$3:$FK$400,MATCH(ROWS($FL$3:FL49),$FK$3:$FK$400,0),1),""))</f>
        <v/>
      </c>
      <c r="FM49" s="48">
        <f ca="1">IF(OR(B49="IVA ns/credito",B49="IVA NS/DEBITO",B49="IVA C/ACCONTO",B49="IMPOSTE C/ACCONTO",B49="CREDITI PER RITENUTE SUBITE",B49="CREDITI D'IMPOSTA"),MAX($FM$2:FM48)+1,0)</f>
        <v>0</v>
      </c>
      <c r="FN49" s="48" t="str">
        <f t="shared" ca="1" si="59"/>
        <v/>
      </c>
      <c r="FO49" s="48" t="str">
        <f ca="1">IFERROR(INDEX($FM$3:$FN$400,MATCH(ROWS($FO$3:FO49),$FM$3:$FM$400,0),2),"")</f>
        <v/>
      </c>
      <c r="FP49" s="48">
        <f ca="1">IF(ABS(SUMIFS(DARE,DEN_G,"="&amp;FO49,DATA,"&lt;="&amp;FINE_AC,DATA,"&gt;="&amp;INIZIO_A_PC)-SUMIFS(AVERE,DEN_G,"="&amp;FO49,DATA,"&lt;="&amp;FINE_AC,DATA,"&gt;="&amp;INIZIO_A_PC))&gt;0,MAX($FP$2:FP48)+1,0)</f>
        <v>0</v>
      </c>
      <c r="FQ49" s="48" t="str">
        <f ca="1">IF(AND(ROW()-2&lt;&gt;1,ROW()-2&lt;=$FP$1),CONCATENATE(" - ",IFERROR(INDEX($FO$3:$FP$400,MATCH(ROWS($FQ$3:FQ49),$FP$3:$FP$400,0),1),"")),IFERROR(INDEX($FO$3:$FP$400,MATCH(ROWS($FQ$3:FQ49),$FP$3:$FP$400,0),1),""))</f>
        <v/>
      </c>
    </row>
    <row r="50" spans="1:173" x14ac:dyDescent="0.3">
      <c r="A50" s="48" t="str">
        <f ca="1">IFERROR(IF($A$1=2,INDEX($DH$3:$DN$401,MATCH(ROWS(A$3:A50),$DN$3:$DN$401,0),COLUMN()),IF($A$1=1,INDEX($DQ$3:$DW$401,MATCH(ROWS(A$3:A50),$DW$3:$DW$401,0),COLUMN()),"")),"")</f>
        <v>03.12</v>
      </c>
      <c r="B50" s="48" t="str">
        <f ca="1">IFERROR(IF($A$1=2,INDEX($DH$3:$DN$401,MATCH(ROWS(B$3:B50),$DN$3:$DN$401,0),COLUMN()),IF($A$1=1,INDEX($DQ$3:$DW$400,MATCH(ROWS(B$3:B50),$DW$3:$DW$401,0),COLUMN()),"")),"")</f>
        <v>PRESTITI A CONTROLLANTE</v>
      </c>
      <c r="C50" s="48" t="str">
        <f ca="1">IFERROR(IF($A$1=2,INDEX($DH$3:$DN$401,MATCH(ROWS(C$3:C50),$DN$3:$DN$401,0),COLUMN()),IF($A$1=1,INDEX($DQ$3:$DW$401,MATCH(ROWS(C$3:C50),$DW$3:$DW$401,0),COLUMN()),"")),"")</f>
        <v>F</v>
      </c>
      <c r="D50" s="48" t="str">
        <f ca="1">IFERROR(IF($A$1=2,INDEX($DH$3:$DN$401,MATCH(ROWS(D$3:D50),$DN$3:$DN$401,0),COLUMN()),IF($A$1=1,INDEX($DQ$3:$DW$401,MATCH(ROWS(D$3:D50),$DW$3:$DW$401,0),COLUMN()),"")),"")</f>
        <v>D</v>
      </c>
      <c r="E50" s="48" t="str">
        <f ca="1">IFERROR(IF($A$1=2,INDEX($DH$3:$DN$401,MATCH(ROWS(E$3:E50),$DN$3:$DN$401,0),COLUMN()),IF($A$1=1,INDEX($DQ$3:$DW$401,MATCH(ROWS(E$3:E50),$DW$3:$DW$401,0),COLUMN()),"")),"")</f>
        <v>CREDITI</v>
      </c>
      <c r="F50" s="48" t="str">
        <f ca="1">IFERROR(IF($A$1=2,INDEX($DH$3:$DN$401,MATCH(ROWS(F$3:F50),$DN$3:$DN$401,0),COLUMN()),IF($A$1=1,INDEX($DQ$3:$DX$401,MATCH(ROWS(F$3:F50),$DW$3:$DW$401,0),COLUMN()),"")),"")</f>
        <v>SP DARE</v>
      </c>
      <c r="G50" s="48" t="str">
        <f t="shared" ca="1" si="23"/>
        <v>SP</v>
      </c>
      <c r="H50" s="48" t="str">
        <f ca="1">IFERROR(IF($A$1=2,INDEX($DH$3:$DO$400,MATCH(ROWS(H$3:H50),$DN$3:$DN$400,0),COLUMN()),IF($A$1=1,INDEX($DQ$3:$DX$400,MATCH(ROWS(H$3:H50),$DW$3:$DW$400,0),COLUMN()),"")),"")</f>
        <v>pab3</v>
      </c>
      <c r="I50" s="48" t="str">
        <f t="shared" ca="1" si="0"/>
        <v/>
      </c>
      <c r="J50" s="48" t="str">
        <f t="shared" ca="1" si="24"/>
        <v/>
      </c>
      <c r="K50" s="48">
        <f t="shared" ca="1" si="25"/>
        <v>0</v>
      </c>
      <c r="L50" s="48">
        <f t="shared" ca="1" si="26"/>
        <v>0</v>
      </c>
      <c r="M50" s="48">
        <f ca="1">IFERROR(IF(IF(MID($A50,3,3)=".00",MID(A50,1,2),"")&lt;&gt;"",MAX($M$2:M49)+1,0),"")</f>
        <v>0</v>
      </c>
      <c r="N50" s="48" t="str">
        <f t="shared" ca="1" si="27"/>
        <v/>
      </c>
      <c r="O50" s="48" t="str">
        <f ca="1">IF(IFERROR(INDEX($N$3:$O$400,MATCH(ROWS($O$3:O50),$M$3:$M$400,0),1),"")&lt;&gt;"",CONCATENATE(INDEX($N$3:$O$400,MATCH(ROWS($O$3:O50),$M$3:$M$400,0),1),".00"),"")</f>
        <v/>
      </c>
      <c r="P50" s="48" t="str">
        <f t="shared" ca="1" si="28"/>
        <v/>
      </c>
      <c r="Q50" s="48">
        <f ca="1">IF(M50&gt;=1,0,MAX($Q$2:Q49)+1)</f>
        <v>44</v>
      </c>
      <c r="R50" s="48">
        <f ca="1">IF(AND($U$2=2,S50&lt;&gt;""),MAX($R$2:R49)+1,0)</f>
        <v>32</v>
      </c>
      <c r="S50" s="48" t="str">
        <f t="shared" ca="1" si="81"/>
        <v>ONERI DIVERSI</v>
      </c>
      <c r="T50" s="48" t="str">
        <f ca="1">IFERROR(INDEX($R$3:$S$64,MATCH(ROWS($T$2:T49),$R$3:$R$64,0),2),"")</f>
        <v/>
      </c>
      <c r="U50" s="48" t="str">
        <f ca="1">IFERROR(INDEX(PDC,MATCH(ROWS(U$3:U50),$V$3:$V$400,0),2),"")</f>
        <v>MATERIE SUSSIDIARIE</v>
      </c>
      <c r="V50" s="48">
        <f ca="1">IF(AND($T$1="VISUALIZZA TUTTI I CONTI",AA50&lt;&gt;""),MAX($V$2:V49)+1,IF(AND($U$2=2,AI50=$T$1),MAX($V$2:V49)+1,IF(AND($U$2=1,$T$1=AF50),MAX($V$2:V49)+1,0)))</f>
        <v>48</v>
      </c>
      <c r="Z50" s="246"/>
      <c r="AA50" s="48" t="str">
        <f t="shared" ca="1" si="29"/>
        <v>04.00</v>
      </c>
      <c r="AB50" s="48" t="str">
        <f ca="1">IFERROR(INDEX($A$3:$G$400,MATCH(ROWS(AB$3:AB50),$Q$3:$Q$400,0),1),"")</f>
        <v>04.02</v>
      </c>
      <c r="AC50" s="48" t="str">
        <f ca="1">IFERROR(INDEX($A$3:$G$400,MATCH(ROWS($AC$3:AC50),$Q$3:$Q$400,0),2),"")</f>
        <v>MATERIE SUSSIDIARIE</v>
      </c>
      <c r="AD50" s="48" t="str">
        <f ca="1">IFERROR(INDEX($A$3:$G$400,MATCH(ROWS(AD$3:AD50),$Q$3:$Q$400,0),3),"")</f>
        <v>E</v>
      </c>
      <c r="AE50" s="48" t="str">
        <f ca="1">IFERROR(INDEX($A$3:$G$400,MATCH(ROWS(AE$3:AE50),$Q$3:$Q$400,0),4),"")</f>
        <v>D</v>
      </c>
      <c r="AF50" s="48" t="str">
        <f ca="1">IFERROR(INDEX($A$3:$G$400,MATCH(ROWS(AF$3:AF50),$Q$3:$Q$400,0),5),"")</f>
        <v>COSTI SOSPESI</v>
      </c>
      <c r="AG50" s="48" t="str">
        <f ca="1">IFERROR(INDEX($A$3:$G$400,MATCH(ROWS(AG$3:AG50),$Q$3:$Q$400,0),6),"")</f>
        <v>SP DARE</v>
      </c>
      <c r="AH50" s="48" t="str">
        <f ca="1">IFERROR(INDEX($A$3:$G$400,MATCH(ROWS(AH$3:AH50),$Q$3:$Q$400,0),7),"")</f>
        <v>SP</v>
      </c>
      <c r="AI50" s="48" t="str">
        <f t="shared" ca="1" si="1"/>
        <v>RIMANENZE</v>
      </c>
      <c r="AJ50" s="48" t="str">
        <f ca="1">IFERROR(INDEX($A$3:$H$400,MATCH(ROWS(AJ$3:AJ50),$Q$3:$Q$400,0),8),"")</f>
        <v>pac1</v>
      </c>
      <c r="AK50" s="48">
        <f t="shared" ca="1" si="2"/>
        <v>0</v>
      </c>
      <c r="AL50" s="48">
        <f t="shared" ca="1" si="95"/>
        <v>0</v>
      </c>
      <c r="AM50" s="48">
        <f t="shared" ca="1" si="30"/>
        <v>0</v>
      </c>
      <c r="AN50" s="48" t="str">
        <f t="shared" ca="1" si="31"/>
        <v/>
      </c>
      <c r="AO50" s="48">
        <f t="shared" ca="1" si="32"/>
        <v>0</v>
      </c>
      <c r="AP50" s="48">
        <f t="shared" ca="1" si="32"/>
        <v>0</v>
      </c>
      <c r="AQ50" s="48" t="str">
        <f t="shared" ca="1" si="4"/>
        <v>MATERIE SUSSIDIARIE</v>
      </c>
      <c r="AR50" s="48">
        <f t="shared" ca="1" si="5"/>
        <v>0</v>
      </c>
      <c r="AS50" s="48">
        <f t="shared" ca="1" si="6"/>
        <v>0</v>
      </c>
      <c r="AT50" s="48">
        <f t="shared" ca="1" si="33"/>
        <v>0</v>
      </c>
      <c r="AU50" s="48">
        <f t="shared" ca="1" si="34"/>
        <v>0</v>
      </c>
      <c r="AV50" s="48">
        <f ca="1">IF(OR(AT50&gt;0,AU50&gt;0),MAX($AV$2:AV49)+1,0)</f>
        <v>0</v>
      </c>
      <c r="AZ50" s="241" t="str">
        <f t="shared" ca="1" si="35"/>
        <v/>
      </c>
      <c r="BA50" s="48">
        <f t="shared" ca="1" si="96"/>
        <v>0</v>
      </c>
      <c r="BB50" s="48">
        <f ca="1">IFERROR(INDEX($AQ$3:$AV$220,MATCH(ROWS($BB$3:BB50),$AV$3:$AV$220,0),1),0)</f>
        <v>0</v>
      </c>
      <c r="BC50" s="48" t="str">
        <f t="shared" ca="1" si="36"/>
        <v/>
      </c>
      <c r="BD50" s="48">
        <f ca="1">IFERROR(INDEX($AQ$3:$AV$220,MATCH(ROWS($BB$3:BD50),$AV$3:$AV$220,0),4),0)</f>
        <v>0</v>
      </c>
      <c r="BE50" s="48">
        <f ca="1">IFERROR(INDEX($AQ$3:$AV$220,MATCH(ROWS($BB$3:BE50),$AV$3:$AV$220,0),5),0)</f>
        <v>0</v>
      </c>
      <c r="BG50" s="48">
        <f ca="1">IF(IF(AND(OR(INDEX(PDC,MATCH($AC50,DEN_PDC,0),6)="SP DARE",INDEX(PDC,MATCH($AC50,DEN_PDC,0),6)="SP DARE/AVERE"),SUMIFS(DARE,DEN_G,$AC50)&gt;=SUMIFS(AVERE,DEN_G,$AC50)),SUMIFS(DARE,DEN_G,$AC50)-SUMIFS(AVERE,DEN_G,$AC50),0)&gt;0,MAX($BG$2:BG49)+1,0)</f>
        <v>0</v>
      </c>
      <c r="BH50" s="48">
        <f ca="1">IF(IF(AND(OR(INDEX(PDC,MATCH($AC50,DEN_PDC,0),6)="SP AVERE",INDEX(PDC,MATCH($AC50,DEN_PDC,0),6)="SP DARE/AVERE"),SUMIFS(AVERE,DEN_G,$AC50)&gt;=SUMIFS(DARE,DEN_G,$AC50)),SUMIFS(AVERE,DEN_G,$AC50)-SUMIFS(DARE,DEN_G,$AC50),0)&gt;0,MAX(BH$2:BH49)+1,0)</f>
        <v>0</v>
      </c>
      <c r="BI50" s="48">
        <f ca="1">IF(IF(AND(OR(INDEX(PDC,MATCH($AC50,DEN_PDC,0),6)="SE DARE",INDEX(PDC,MATCH($AC50,DEN_PDC,0),6)="SE DARE/AVERE"),SUMIFS(DARE,DEN_G,$AC50)&gt;=SUMIFS(AVERE,DEN_G,$AC50)),SUMIFS(DARE,DEN_G,$AC50)-SUMIFS(AVERE,DEN_G,$AC50),0)&gt;0,MAX(BI$2:BI49)+1,0)</f>
        <v>0</v>
      </c>
      <c r="BJ50" s="48">
        <f ca="1">IF(IF(AND(OR(INDEX(PDC,MATCH($AC50,DEN_PDC,0),6)="SE AVERE",INDEX(PDC,MATCH($AC50,DEN_PDC,0),6)="SE DARE/AVERE"),SUMIFS(AVERE,DEN_G,$AC50)&gt;=SUMIFS(DARE,DEN_G,$AC50)),SUMIFS(AVERE,DEN_G,$AC50)-SUMIFS(DARE,DEN_G,$AC50),0)&gt;0,MAX(BJ$2:BJ49)+1,0)</f>
        <v>0</v>
      </c>
      <c r="BK50" s="48" t="str">
        <f ca="1">IF(AND(AND($DY$2=0,$DY$1=0),$I$1=2,ROW()&gt;$BG$1+2,ROW()&lt;=$BG$1+4),"………………..",IF(AND(OR($DY$2&gt;0,$DY$1&gt;0),$I$1=2,ROW()&gt;$BG$1+2,ROW()&lt;=$BG$1+4),"………………..",IFERROR(INDEX($AC$3:$AC$398,MATCH(ROWS(BK$3:BK50),BG$3:BG$398,0),1),"")))</f>
        <v/>
      </c>
      <c r="BL50" s="48">
        <f t="shared" ca="1" si="69"/>
        <v>0</v>
      </c>
      <c r="BM50" s="48" t="str">
        <f ca="1">IF(AND(OR($DY$2=0,$DY$1=0),$I$1=2,ROW()&gt;$BH$1+2,ROW()&lt;=$BH$1+4),"………………..",IF(AND(OR($DY$2&gt;0,$DY$1&gt;0),$I$1=2,ROW()&gt;$BH$1+2,ROW()&lt;=$BH$1+4),"………………..",IFERROR(INDEX($AC$3:$AC$400,MATCH(ROWS(BM$3:BM50),BH$3:BH$400,0),1),"")))</f>
        <v/>
      </c>
      <c r="BN50" s="48">
        <f t="shared" ca="1" si="9"/>
        <v>0</v>
      </c>
      <c r="BO50" s="48" t="str">
        <f ca="1">IF(AND(OR($DY$2=0,$DY$1=0),$I$1=2,ROW()&gt;$BI$1+2,ROW()&lt;=$BI$1+4),"………………..",IF(AND(OR($DY$2&gt;0,$DY$1&gt;0),$I$1=2,ROW()&gt;$BI$1+2,ROW()&lt;=$BI$1+4),"………………..",IFERROR(INDEX($AC$3:$AC$400,MATCH(ROWS(BO$3:BO50),BI$3:BI$400,0),1),"")))</f>
        <v/>
      </c>
      <c r="BP50" s="48">
        <f t="shared" ca="1" si="10"/>
        <v>0</v>
      </c>
      <c r="BQ50" s="48" t="str">
        <f ca="1">IF(AND(OR($DY$2=0,$DY$1=0),$I$1=2,ROW()&gt;$BJ$1+2,ROW()&lt;=$BJ$1+4),"………………..",IF(AND(OR($DY$2&gt;0,$DY$1&gt;0),$I$1=2,ROW()&gt;$BJ$1+2,ROW()&lt;=$BJ$1+4),"………………..",IFERROR(INDEX($AC$3:$AC$400,MATCH(ROWS(BQ$3:BQ50),BJ$3:BJ$400,0),1),"")))</f>
        <v/>
      </c>
      <c r="BR50" s="48">
        <f t="shared" ca="1" si="11"/>
        <v>0</v>
      </c>
      <c r="BS50" s="48">
        <f ca="1">IF(IF(AND(OR(INDEX(PDC,MATCH($AC50,DEN_PDC,0),4)="D",INDEX(PDC,MATCH($AC50,DEN_PDC,0),4)="D/A"),SUMIFS(DARE,DEN_G,$AC50)&gt;=SUMIFS(AVERE,DEN_G,$AC50)),SUMIFS(DARE,DEN_G,$AC50),IF(AND(OR(INDEX(PDC,MATCH($AC50,DEN_PDC,0),4)="A",INDEX(PDC,MATCH($AC50,DEN_PDC,0),4)="D/A"),SUMIFS(AVERE,DEN_G,$AC50)&gt;=SUMIFS(DARE,DEN_G,$AC50)),SUMIFS(AVERE,DEN_G,$AC50),))&gt;0,MAX($BS$2:BS49)+1,0)</f>
        <v>0</v>
      </c>
      <c r="BT50" s="48" t="str">
        <f ca="1">IF($CO$1=0,"",IF(AND($I$1=2,ROW()&gt;$BR$1,ROW()&lt;=$BS$1)," …………….",IF(AND($E$1=1,$BX$1=1,$I$1=2,ROW()=$BQ$1),"TOTALI",IFERROR(INDEX(PDC,MATCH(ROWS(BT$3:BT50),BS$3:BS447,0),2),""))))</f>
        <v/>
      </c>
      <c r="BU50" s="48">
        <f t="shared" ca="1" si="12"/>
        <v>0</v>
      </c>
      <c r="BV50" s="48">
        <f t="shared" ca="1" si="13"/>
        <v>0</v>
      </c>
      <c r="BW50" s="48">
        <f t="shared" ca="1" si="14"/>
        <v>0</v>
      </c>
      <c r="BX50" s="48">
        <f t="shared" ca="1" si="15"/>
        <v>0</v>
      </c>
      <c r="BY50" s="48">
        <f ca="1">IF(OR(BW50&gt;0,BX50&gt;0),MAX($BY$2:BY49)+1,0)</f>
        <v>0</v>
      </c>
      <c r="BZ50" s="48" t="str">
        <f ca="1">IFERROR(INDEX($BT$3:$BY$400,MATCH(ROWS(BZ$3:BZ50),$BY$3:$BY$400,0),1),"")</f>
        <v/>
      </c>
      <c r="CA50" s="48" t="str">
        <f ca="1">IFERROR(INDEX($BT$3:$BY$400,MATCH(ROWS(CA$3:CA50),$BY$3:$BY$400,0),4),"")</f>
        <v/>
      </c>
      <c r="CB50" s="48" t="str">
        <f ca="1">IFERROR(INDEX($BT$3:$BY$400,MATCH(ROWS(CB$3:CB50),$BY$3:$BY$400,0),5),"")</f>
        <v/>
      </c>
      <c r="CC50" s="48" t="str">
        <f t="shared" ca="1" si="16"/>
        <v/>
      </c>
      <c r="CD50" s="48">
        <f ca="1">IF(AND($BF$9=1,CE50&lt;&gt;0),MAX($CD$2:CD49)+1,0)</f>
        <v>0</v>
      </c>
      <c r="CE50" s="48">
        <f ca="1">IF(ROUND(SUMIFS(COPIA!$CA$3:$CA$400,COPIA!$CC$3:$CC$400,CF50)-SUMIFS(COPIA!$CB$3:$CB$400,COPIA!$CC$3:$CC$400,CF50),0)&lt;0,0,ROUND(SUMIFS(COPIA!$CA$3:$CA$400,COPIA!$CC$3:$CC$400,CF50)-SUMIFS(COPIA!$CB$3:$CB$400,COPIA!$CC$3:$CC$400,CF50),0))</f>
        <v>0</v>
      </c>
      <c r="CF50" s="48" t="s">
        <v>629</v>
      </c>
      <c r="CG50" s="242" t="s">
        <v>518</v>
      </c>
      <c r="CH50" s="242">
        <f t="shared" ca="1" si="112"/>
        <v>0</v>
      </c>
      <c r="CI50" s="242"/>
      <c r="CJ50" s="242"/>
      <c r="CK50" s="48">
        <f ca="1">IF($CF$2=FALSE,0,IF(AND($BF$9=1,CJ50&lt;&gt;0),MAX($CK$21:CK49)+1,0))</f>
        <v>0</v>
      </c>
      <c r="CM50" s="242" t="str">
        <f t="shared" ca="1" si="37"/>
        <v/>
      </c>
      <c r="CN50" s="243">
        <f t="shared" ca="1" si="38"/>
        <v>0</v>
      </c>
      <c r="CO50" s="48" t="str">
        <f t="shared" ca="1" si="39"/>
        <v/>
      </c>
      <c r="CQ50" s="242">
        <f ca="1">CQ36</f>
        <v>2026</v>
      </c>
      <c r="CR50" s="242">
        <f ca="1">CR36</f>
        <v>2026</v>
      </c>
      <c r="CS50" s="48">
        <f ca="1">IF(AND($CO$1=1,CS43&gt;0,CT43&gt;=2),1,0)</f>
        <v>0</v>
      </c>
      <c r="CT50" s="242">
        <f ca="1">INDEX(CQ50:CS55,MATCH(CQ50,CR50:CR55,0),3)</f>
        <v>0</v>
      </c>
      <c r="CU50" s="48">
        <f ca="1">IF(SUMIFS(AVERE,DEN_G,AC50,AVERE,"&gt;"&amp;0)+SUMIFS(DARE,DEN_G,AC50,DARE,"&gt;"&amp;0)&gt;0,MAX($CU$2:CU49)+1,0)</f>
        <v>0</v>
      </c>
      <c r="CV50" s="48" t="str">
        <f ca="1">IF(IFERROR(INDEX(PDC,MATCH(ROWS($CV$3:CV50),$CU$3:$CU$400,0),2),"")="CONTO DI RISULTATO ECONOMICO","",IFERROR(INDEX(PDC,MATCH(ROWS($CV$3:CV50),$CU$3:$CU$400,0),2),""))</f>
        <v/>
      </c>
      <c r="CW50" s="48">
        <f ca="1">IFERROR(IF(CV50&lt;&gt;"",MAX($CW$2:CW49)+1,0),0)</f>
        <v>0</v>
      </c>
      <c r="CX50" s="48">
        <f t="shared" ca="1" si="103"/>
        <v>4</v>
      </c>
      <c r="CY50" s="48" t="str">
        <f t="shared" ca="1" si="100"/>
        <v>MASTRO</v>
      </c>
      <c r="CZ50" s="48" t="e">
        <f t="shared" ca="1" si="107"/>
        <v>#N/A</v>
      </c>
      <c r="DA50" s="48" t="str">
        <f t="shared" ca="1" si="111"/>
        <v/>
      </c>
      <c r="DB50" s="48" t="str">
        <f t="shared" ca="1" si="76"/>
        <v/>
      </c>
      <c r="DC50" s="48" t="str">
        <f t="shared" ca="1" si="108"/>
        <v/>
      </c>
      <c r="DD50" s="48" t="str">
        <f t="shared" ca="1" si="109"/>
        <v/>
      </c>
      <c r="DE50" s="48" t="str">
        <f t="shared" ca="1" si="110"/>
        <v/>
      </c>
      <c r="DF50" s="48">
        <f ca="1">IF(AND(CX50=$DF$1,CX50&lt;&gt;""),0,IF(AND(DB50&lt;&gt;"",OR(DB49&lt;&gt;"",DB51&lt;&gt;"")),MAX($DF$2:DF49)+1,0))</f>
        <v>0</v>
      </c>
      <c r="DH50" s="244" t="s">
        <v>37</v>
      </c>
      <c r="DI50" s="48" t="s">
        <v>823</v>
      </c>
      <c r="DJ50" s="48" t="s">
        <v>311</v>
      </c>
      <c r="DK50" s="48" t="s">
        <v>298</v>
      </c>
      <c r="DL50" s="48" t="s">
        <v>318</v>
      </c>
      <c r="DM50" s="48" t="s">
        <v>299</v>
      </c>
      <c r="DN50" s="48">
        <f ca="1">IF(DI50&lt;&gt;"",MAX($DN$2:DN49)+1,0)</f>
        <v>33</v>
      </c>
      <c r="DO50" s="48" t="str">
        <f ca="1">IF($BF$9=1,"pab24","pab2")</f>
        <v>pab2</v>
      </c>
      <c r="DQ50" s="227" t="s">
        <v>22</v>
      </c>
      <c r="DR50" s="228" t="s">
        <v>21</v>
      </c>
      <c r="DW50" s="48">
        <f ca="1">IF(DR50&lt;&gt;"",MAX($DW$2:DW49)+1,0)</f>
        <v>16</v>
      </c>
      <c r="DY50" s="48" t="str">
        <f t="shared" ca="1" si="19"/>
        <v/>
      </c>
      <c r="DZ50" s="48" t="str">
        <f t="shared" ca="1" si="40"/>
        <v/>
      </c>
      <c r="EA50" s="48" t="str">
        <f t="shared" ca="1" si="41"/>
        <v/>
      </c>
      <c r="EB50" s="48">
        <f t="shared" ca="1" si="42"/>
        <v>0</v>
      </c>
      <c r="EC50" s="48">
        <f t="shared" ca="1" si="43"/>
        <v>0</v>
      </c>
      <c r="ED50" s="48" t="str">
        <f t="shared" ca="1" si="44"/>
        <v/>
      </c>
      <c r="EE50" s="48">
        <f t="shared" ca="1" si="45"/>
        <v>0</v>
      </c>
      <c r="EF50" s="48" t="str">
        <f t="shared" ca="1" si="46"/>
        <v/>
      </c>
      <c r="EG50" s="48">
        <f t="shared" ca="1" si="47"/>
        <v>0</v>
      </c>
      <c r="EH50" s="48" t="str">
        <f t="shared" ca="1" si="48"/>
        <v/>
      </c>
      <c r="EI50" s="48">
        <f t="shared" ca="1" si="49"/>
        <v>0</v>
      </c>
      <c r="EJ50" s="48" t="str">
        <f t="shared" ca="1" si="50"/>
        <v/>
      </c>
      <c r="EK50" s="48">
        <f t="shared" ca="1" si="51"/>
        <v>0</v>
      </c>
      <c r="EL50" s="48">
        <f t="shared" ca="1" si="20"/>
        <v>0</v>
      </c>
      <c r="EM50" s="48">
        <f ca="1">IF(EL50&gt;=0,0,MAX($EM$2:EM49)+1)</f>
        <v>0</v>
      </c>
      <c r="EN50" s="48" t="str">
        <f t="shared" ca="1" si="21"/>
        <v/>
      </c>
      <c r="EO50" s="48" t="str">
        <f ca="1">IFERROR(INDEX($EM$3:$EN$400,MATCH(ROWS($EO$3:EO50),$EM$3:$EM$400,0),2),"")</f>
        <v/>
      </c>
      <c r="EP50" s="48">
        <f>ROW()</f>
        <v>50</v>
      </c>
      <c r="EQ50" s="48">
        <f t="shared" ca="1" si="22"/>
        <v>0</v>
      </c>
      <c r="ER50" s="48">
        <f ca="1">IF(ISNA(EQ50)=TRUE,MAX($ER$2:ER49)+1,0)</f>
        <v>0</v>
      </c>
      <c r="ES50" s="48" t="str">
        <f t="shared" ca="1" si="52"/>
        <v/>
      </c>
      <c r="ET50" s="48" t="str">
        <f ca="1">IFERROR(INDEX($ER$3:$ES$400,MATCH(ROWS($ET$3:ET50),$ER$3:$ER$400,0),2),"")</f>
        <v/>
      </c>
      <c r="EV50" s="48">
        <f ca="1">IFERROR(INDEX(LIBRO_GIORNALE!$O$11:$P$408,MATCH(ROWS($EV$2:EV49),LIBRO_GIORNALE!$P$11:$P$408,0),1),0)</f>
        <v>0</v>
      </c>
      <c r="EW50" s="48" t="str">
        <f t="shared" ca="1" si="53"/>
        <v>0</v>
      </c>
      <c r="EX50" s="48">
        <f t="shared" ca="1" si="54"/>
        <v>0</v>
      </c>
      <c r="EY50" s="48">
        <f ca="1">IF(EX50&gt;0,MAX($EY$2:EY49)+1,0)</f>
        <v>0</v>
      </c>
      <c r="EZ50" s="48">
        <f ca="1">IFERROR(INDEX($EX$3:$EX$400,MATCH(ROWS($EZ$3:EZ50),$EY$3:$EY$400,0),1),0)</f>
        <v>0</v>
      </c>
      <c r="FA50" s="48">
        <f ca="1">IF(EZ50&gt;0,0,MAX($FA$2:FA49)+1)</f>
        <v>48</v>
      </c>
      <c r="FB50" s="48">
        <f t="shared" ca="1" si="55"/>
        <v>0</v>
      </c>
      <c r="FC50" s="48">
        <f t="shared" ca="1" si="56"/>
        <v>48</v>
      </c>
      <c r="FD50" s="48">
        <f t="shared" ca="1" si="57"/>
        <v>48</v>
      </c>
      <c r="FE50" s="48">
        <f ca="1">IF(FD50=0,0,MAX($FE$2:FE49)+1)</f>
        <v>48</v>
      </c>
      <c r="FF50" s="48">
        <f ca="1">IFERROR(INDEX($FD$3:$FE$400,MATCH(ROWS($FF$3:FF50),$FE$3:$FE$400,0),1),"")</f>
        <v>48</v>
      </c>
      <c r="FH50" s="48">
        <f t="shared" ca="1" si="58"/>
        <v>0</v>
      </c>
      <c r="FI50" s="48">
        <f ca="1">IF(FH50&lt;&gt;0,MAX($FI$2:FI49)+1,0)</f>
        <v>0</v>
      </c>
      <c r="FJ50" s="48" t="str">
        <f ca="1">IFERROR(INDEX($FH$3:$FI$400,MATCH(ROWS($FJ$3:FJ50),$FI$3:$FI$400,0),1),"")</f>
        <v/>
      </c>
      <c r="FK50" s="48">
        <f ca="1">IF(ABS(SUMIFS(DARE,DEN_G,"="&amp;FJ50,DATA,"&lt;="&amp;FINE_AC,DATA,"&gt;="&amp;INIZIO_A_PC)-SUMIFS(AVERE,DEN_G,"="&amp;FJ50,DATA,"&lt;="&amp;FINE_AC,DATA,"&gt;="&amp;INIZIO_A_PC))&gt;0,MAX($FK$2:FK49)+1,0)</f>
        <v>0</v>
      </c>
      <c r="FL50" s="48" t="str">
        <f ca="1">IF(AND(ROW()-2&lt;&gt;1,ROW()-2&lt;=$FK$1),CONCATENATE(" - ",IFERROR(INDEX($FJ$3:$FK$400,MATCH(ROWS($FL$3:FL50),$FK$3:$FK$400,0),1),"")),IFERROR(INDEX($FJ$3:$FK$400,MATCH(ROWS($FL$3:FL50),$FK$3:$FK$400,0),1),""))</f>
        <v/>
      </c>
      <c r="FM50" s="48">
        <f ca="1">IF(OR(B50="IVA ns/credito",B50="IVA NS/DEBITO",B50="IVA C/ACCONTO",B50="IMPOSTE C/ACCONTO",B50="CREDITI PER RITENUTE SUBITE",B50="CREDITI D'IMPOSTA"),MAX($FM$2:FM49)+1,0)</f>
        <v>0</v>
      </c>
      <c r="FN50" s="48" t="str">
        <f t="shared" ca="1" si="59"/>
        <v/>
      </c>
      <c r="FO50" s="48" t="str">
        <f ca="1">IFERROR(INDEX($FM$3:$FN$400,MATCH(ROWS($FO$3:FO50),$FM$3:$FM$400,0),2),"")</f>
        <v/>
      </c>
      <c r="FP50" s="48">
        <f ca="1">IF(ABS(SUMIFS(DARE,DEN_G,"="&amp;FO50,DATA,"&lt;="&amp;FINE_AC,DATA,"&gt;="&amp;INIZIO_A_PC)-SUMIFS(AVERE,DEN_G,"="&amp;FO50,DATA,"&lt;="&amp;FINE_AC,DATA,"&gt;="&amp;INIZIO_A_PC))&gt;0,MAX($FP$2:FP49)+1,0)</f>
        <v>0</v>
      </c>
      <c r="FQ50" s="48" t="str">
        <f ca="1">IF(AND(ROW()-2&lt;&gt;1,ROW()-2&lt;=$FP$1),CONCATENATE(" - ",IFERROR(INDEX($FO$3:$FP$400,MATCH(ROWS($FQ$3:FQ50),$FP$3:$FP$400,0),1),"")),IFERROR(INDEX($FO$3:$FP$400,MATCH(ROWS($FQ$3:FQ50),$FP$3:$FP$400,0),1),""))</f>
        <v/>
      </c>
    </row>
    <row r="51" spans="1:173" x14ac:dyDescent="0.3">
      <c r="A51" s="48" t="str">
        <f ca="1">IFERROR(IF($A$1=2,INDEX($DH$3:$DN$401,MATCH(ROWS(A$3:A51),$DN$3:$DN$401,0),COLUMN()),IF($A$1=1,INDEX($DQ$3:$DW$401,MATCH(ROWS(A$3:A51),$DW$3:$DW$401,0),COLUMN()),"")),"")</f>
        <v>03.13</v>
      </c>
      <c r="B51" s="48" t="str">
        <f ca="1">IFERROR(IF($A$1=2,INDEX($DH$3:$DN$401,MATCH(ROWS(B$3:B51),$DN$3:$DN$401,0),COLUMN()),IF($A$1=1,INDEX($DQ$3:$DW$400,MATCH(ROWS(B$3:B51),$DW$3:$DW$401,0),COLUMN()),"")),"")</f>
        <v>MUTUI ATTIVI</v>
      </c>
      <c r="C51" s="48" t="str">
        <f ca="1">IFERROR(IF($A$1=2,INDEX($DH$3:$DN$401,MATCH(ROWS(C$3:C51),$DN$3:$DN$401,0),COLUMN()),IF($A$1=1,INDEX($DQ$3:$DW$401,MATCH(ROWS(C$3:C51),$DW$3:$DW$401,0),COLUMN()),"")),"")</f>
        <v>F</v>
      </c>
      <c r="D51" s="48" t="str">
        <f ca="1">IFERROR(IF($A$1=2,INDEX($DH$3:$DN$401,MATCH(ROWS(D$3:D51),$DN$3:$DN$401,0),COLUMN()),IF($A$1=1,INDEX($DQ$3:$DW$401,MATCH(ROWS(D$3:D51),$DW$3:$DW$401,0),COLUMN()),"")),"")</f>
        <v>D</v>
      </c>
      <c r="E51" s="48" t="str">
        <f ca="1">IFERROR(IF($A$1=2,INDEX($DH$3:$DN$401,MATCH(ROWS(E$3:E51),$DN$3:$DN$401,0),COLUMN()),IF($A$1=1,INDEX($DQ$3:$DW$401,MATCH(ROWS(E$3:E51),$DW$3:$DW$401,0),COLUMN()),"")),"")</f>
        <v>CREDITI</v>
      </c>
      <c r="F51" s="48" t="str">
        <f ca="1">IFERROR(IF($A$1=2,INDEX($DH$3:$DN$401,MATCH(ROWS(F$3:F51),$DN$3:$DN$401,0),COLUMN()),IF($A$1=1,INDEX($DQ$3:$DX$401,MATCH(ROWS(F$3:F51),$DW$3:$DW$401,0),COLUMN()),"")),"")</f>
        <v>SP DARE</v>
      </c>
      <c r="G51" s="48" t="str">
        <f t="shared" ca="1" si="23"/>
        <v>SP</v>
      </c>
      <c r="H51" s="48" t="str">
        <f ca="1">IFERROR(IF($A$1=2,INDEX($DH$3:$DO$400,MATCH(ROWS(H$3:H51),$DN$3:$DN$400,0),COLUMN()),IF($A$1=1,INDEX($DQ$3:$DX$400,MATCH(ROWS(H$3:H51),$DW$3:$DW$400,0),COLUMN()),"")),"")</f>
        <v>pab3</v>
      </c>
      <c r="I51" s="48" t="str">
        <f t="shared" ca="1" si="0"/>
        <v/>
      </c>
      <c r="J51" s="48" t="str">
        <f t="shared" ca="1" si="24"/>
        <v/>
      </c>
      <c r="K51" s="48">
        <f t="shared" ca="1" si="25"/>
        <v>0</v>
      </c>
      <c r="L51" s="48">
        <f t="shared" ca="1" si="26"/>
        <v>0</v>
      </c>
      <c r="M51" s="48">
        <f ca="1">IFERROR(IF(IF(MID($A51,3,3)=".00",MID(A51,1,2),"")&lt;&gt;"",MAX($M$2:M50)+1,0),"")</f>
        <v>0</v>
      </c>
      <c r="N51" s="48" t="str">
        <f t="shared" ca="1" si="27"/>
        <v/>
      </c>
      <c r="O51" s="48">
        <v>1</v>
      </c>
      <c r="P51" s="48" t="s">
        <v>499</v>
      </c>
      <c r="Q51" s="48">
        <f ca="1">IF(M51&gt;=1,0,MAX($Q$2:Q50)+1)</f>
        <v>45</v>
      </c>
      <c r="R51" s="48">
        <f ca="1">IF(AND($U$2=2,S51&lt;&gt;""),MAX($R$2:R50)+1,0)</f>
        <v>33</v>
      </c>
      <c r="S51" s="48" t="str">
        <f t="shared" ca="1" si="81"/>
        <v>PROVENTI FINANZIARI</v>
      </c>
      <c r="T51" s="48" t="str">
        <f ca="1">IFERROR(INDEX($R$3:$S$64,MATCH(ROWS($T$2:T50),$R$3:$R$64,0),2),"")</f>
        <v/>
      </c>
      <c r="U51" s="48" t="str">
        <f ca="1">IFERROR(INDEX(PDC,MATCH(ROWS(U$3:U51),$V$3:$V$400,0),2),"")</f>
        <v>MATERIE DI CONSUMO</v>
      </c>
      <c r="V51" s="48">
        <f ca="1">IF(AND($T$1="VISUALIZZA TUTTI I CONTI",AA51&lt;&gt;""),MAX($V$2:V50)+1,IF(AND($U$2=2,AI51=$T$1),MAX($V$2:V50)+1,IF(AND($U$2=1,$T$1=AF51),MAX($V$2:V50)+1,0)))</f>
        <v>49</v>
      </c>
      <c r="Z51" s="246"/>
      <c r="AA51" s="48" t="str">
        <f t="shared" ca="1" si="29"/>
        <v>04.00</v>
      </c>
      <c r="AB51" s="48" t="str">
        <f ca="1">IFERROR(INDEX($A$3:$G$400,MATCH(ROWS(AB$3:AB51),$Q$3:$Q$400,0),1),"")</f>
        <v>04.03</v>
      </c>
      <c r="AC51" s="48" t="str">
        <f ca="1">IFERROR(INDEX($A$3:$G$400,MATCH(ROWS($AC$3:AC51),$Q$3:$Q$400,0),2),"")</f>
        <v>MATERIE DI CONSUMO</v>
      </c>
      <c r="AD51" s="48" t="str">
        <f ca="1">IFERROR(INDEX($A$3:$G$400,MATCH(ROWS(AD$3:AD51),$Q$3:$Q$400,0),3),"")</f>
        <v>E</v>
      </c>
      <c r="AE51" s="48" t="str">
        <f ca="1">IFERROR(INDEX($A$3:$G$400,MATCH(ROWS(AE$3:AE51),$Q$3:$Q$400,0),4),"")</f>
        <v>D</v>
      </c>
      <c r="AF51" s="48" t="str">
        <f ca="1">IFERROR(INDEX($A$3:$G$400,MATCH(ROWS(AF$3:AF51),$Q$3:$Q$400,0),5),"")</f>
        <v>COSTI SOSPESI</v>
      </c>
      <c r="AG51" s="48" t="str">
        <f ca="1">IFERROR(INDEX($A$3:$G$400,MATCH(ROWS(AG$3:AG51),$Q$3:$Q$400,0),6),"")</f>
        <v>SP DARE</v>
      </c>
      <c r="AH51" s="48" t="str">
        <f ca="1">IFERROR(INDEX($A$3:$G$400,MATCH(ROWS(AH$3:AH51),$Q$3:$Q$400,0),7),"")</f>
        <v>SP</v>
      </c>
      <c r="AI51" s="48" t="str">
        <f t="shared" ca="1" si="1"/>
        <v>RIMANENZE</v>
      </c>
      <c r="AJ51" s="48" t="str">
        <f ca="1">IFERROR(INDEX($A$3:$H$400,MATCH(ROWS(AJ$3:AJ51),$Q$3:$Q$400,0),8),"")</f>
        <v>pac1</v>
      </c>
      <c r="AK51" s="48">
        <f t="shared" ca="1" si="2"/>
        <v>0</v>
      </c>
      <c r="AL51" s="48">
        <f t="shared" ca="1" si="95"/>
        <v>0</v>
      </c>
      <c r="AM51" s="48">
        <f t="shared" ca="1" si="30"/>
        <v>0</v>
      </c>
      <c r="AN51" s="48" t="str">
        <f t="shared" ca="1" si="31"/>
        <v/>
      </c>
      <c r="AO51" s="48">
        <f t="shared" ca="1" si="32"/>
        <v>0</v>
      </c>
      <c r="AP51" s="48">
        <f t="shared" ca="1" si="32"/>
        <v>0</v>
      </c>
      <c r="AQ51" s="48" t="str">
        <f t="shared" ca="1" si="4"/>
        <v>MATERIE DI CONSUMO</v>
      </c>
      <c r="AR51" s="48">
        <f t="shared" ca="1" si="5"/>
        <v>0</v>
      </c>
      <c r="AS51" s="48">
        <f t="shared" ca="1" si="6"/>
        <v>0</v>
      </c>
      <c r="AT51" s="48">
        <f t="shared" ca="1" si="33"/>
        <v>0</v>
      </c>
      <c r="AU51" s="48">
        <f t="shared" ca="1" si="34"/>
        <v>0</v>
      </c>
      <c r="AV51" s="48">
        <f ca="1">IF(OR(AT51&gt;0,AU51&gt;0),MAX($AV$2:AV50)+1,0)</f>
        <v>0</v>
      </c>
      <c r="AZ51" s="241" t="str">
        <f t="shared" ca="1" si="35"/>
        <v/>
      </c>
      <c r="BA51" s="48">
        <f t="shared" ca="1" si="96"/>
        <v>0</v>
      </c>
      <c r="BB51" s="48">
        <f ca="1">IFERROR(INDEX($AQ$3:$AV$220,MATCH(ROWS($BB$3:BB51),$AV$3:$AV$220,0),1),0)</f>
        <v>0</v>
      </c>
      <c r="BC51" s="48" t="str">
        <f t="shared" ca="1" si="36"/>
        <v/>
      </c>
      <c r="BD51" s="48">
        <f ca="1">IFERROR(INDEX($AQ$3:$AV$220,MATCH(ROWS($BB$3:BD51),$AV$3:$AV$220,0),4),0)</f>
        <v>0</v>
      </c>
      <c r="BE51" s="48">
        <f ca="1">IFERROR(INDEX($AQ$3:$AV$220,MATCH(ROWS($BB$3:BE51),$AV$3:$AV$220,0),5),0)</f>
        <v>0</v>
      </c>
      <c r="BG51" s="48">
        <f ca="1">IF(IF(AND(OR(INDEX(PDC,MATCH($AC51,DEN_PDC,0),6)="SP DARE",INDEX(PDC,MATCH($AC51,DEN_PDC,0),6)="SP DARE/AVERE"),SUMIFS(DARE,DEN_G,$AC51)&gt;=SUMIFS(AVERE,DEN_G,$AC51)),SUMIFS(DARE,DEN_G,$AC51)-SUMIFS(AVERE,DEN_G,$AC51),0)&gt;0,MAX($BG$2:BG50)+1,0)</f>
        <v>0</v>
      </c>
      <c r="BH51" s="48">
        <f ca="1">IF(IF(AND(OR(INDEX(PDC,MATCH($AC51,DEN_PDC,0),6)="SP AVERE",INDEX(PDC,MATCH($AC51,DEN_PDC,0),6)="SP DARE/AVERE"),SUMIFS(AVERE,DEN_G,$AC51)&gt;=SUMIFS(DARE,DEN_G,$AC51)),SUMIFS(AVERE,DEN_G,$AC51)-SUMIFS(DARE,DEN_G,$AC51),0)&gt;0,MAX(BH$2:BH50)+1,0)</f>
        <v>0</v>
      </c>
      <c r="BI51" s="48">
        <f ca="1">IF(IF(AND(OR(INDEX(PDC,MATCH($AC51,DEN_PDC,0),6)="SE DARE",INDEX(PDC,MATCH($AC51,DEN_PDC,0),6)="SE DARE/AVERE"),SUMIFS(DARE,DEN_G,$AC51)&gt;=SUMIFS(AVERE,DEN_G,$AC51)),SUMIFS(DARE,DEN_G,$AC51)-SUMIFS(AVERE,DEN_G,$AC51),0)&gt;0,MAX(BI$2:BI50)+1,0)</f>
        <v>0</v>
      </c>
      <c r="BJ51" s="48">
        <f ca="1">IF(IF(AND(OR(INDEX(PDC,MATCH($AC51,DEN_PDC,0),6)="SE AVERE",INDEX(PDC,MATCH($AC51,DEN_PDC,0),6)="SE DARE/AVERE"),SUMIFS(AVERE,DEN_G,$AC51)&gt;=SUMIFS(DARE,DEN_G,$AC51)),SUMIFS(AVERE,DEN_G,$AC51)-SUMIFS(DARE,DEN_G,$AC51),0)&gt;0,MAX(BJ$2:BJ50)+1,0)</f>
        <v>0</v>
      </c>
      <c r="BK51" s="48" t="str">
        <f ca="1">IF(AND(AND($DY$2=0,$DY$1=0),$I$1=2,ROW()&gt;$BG$1+2,ROW()&lt;=$BG$1+4),"………………..",IF(AND(OR($DY$2&gt;0,$DY$1&gt;0),$I$1=2,ROW()&gt;$BG$1+2,ROW()&lt;=$BG$1+4),"………………..",IFERROR(INDEX($AC$3:$AC$398,MATCH(ROWS(BK$3:BK51),BG$3:BG$398,0),1),"")))</f>
        <v/>
      </c>
      <c r="BL51" s="48">
        <f t="shared" ca="1" si="69"/>
        <v>0</v>
      </c>
      <c r="BM51" s="48" t="str">
        <f ca="1">IF(AND(OR($DY$2=0,$DY$1=0),$I$1=2,ROW()&gt;$BH$1+2,ROW()&lt;=$BH$1+4),"………………..",IF(AND(OR($DY$2&gt;0,$DY$1&gt;0),$I$1=2,ROW()&gt;$BH$1+2,ROW()&lt;=$BH$1+4),"………………..",IFERROR(INDEX($AC$3:$AC$400,MATCH(ROWS(BM$3:BM51),BH$3:BH$400,0),1),"")))</f>
        <v/>
      </c>
      <c r="BN51" s="48">
        <f t="shared" ca="1" si="9"/>
        <v>0</v>
      </c>
      <c r="BO51" s="48" t="str">
        <f ca="1">IF(AND(OR($DY$2=0,$DY$1=0),$I$1=2,ROW()&gt;$BI$1+2,ROW()&lt;=$BI$1+4),"………………..",IF(AND(OR($DY$2&gt;0,$DY$1&gt;0),$I$1=2,ROW()&gt;$BI$1+2,ROW()&lt;=$BI$1+4),"………………..",IFERROR(INDEX($AC$3:$AC$400,MATCH(ROWS(BO$3:BO51),BI$3:BI$400,0),1),"")))</f>
        <v/>
      </c>
      <c r="BP51" s="48">
        <f t="shared" ca="1" si="10"/>
        <v>0</v>
      </c>
      <c r="BQ51" s="48" t="str">
        <f ca="1">IF(AND(OR($DY$2=0,$DY$1=0),$I$1=2,ROW()&gt;$BJ$1+2,ROW()&lt;=$BJ$1+4),"………………..",IF(AND(OR($DY$2&gt;0,$DY$1&gt;0),$I$1=2,ROW()&gt;$BJ$1+2,ROW()&lt;=$BJ$1+4),"………………..",IFERROR(INDEX($AC$3:$AC$400,MATCH(ROWS(BQ$3:BQ51),BJ$3:BJ$400,0),1),"")))</f>
        <v/>
      </c>
      <c r="BR51" s="48">
        <f t="shared" ca="1" si="11"/>
        <v>0</v>
      </c>
      <c r="BS51" s="48">
        <f ca="1">IF(IF(AND(OR(INDEX(PDC,MATCH($AC51,DEN_PDC,0),4)="D",INDEX(PDC,MATCH($AC51,DEN_PDC,0),4)="D/A"),SUMIFS(DARE,DEN_G,$AC51)&gt;=SUMIFS(AVERE,DEN_G,$AC51)),SUMIFS(DARE,DEN_G,$AC51),IF(AND(OR(INDEX(PDC,MATCH($AC51,DEN_PDC,0),4)="A",INDEX(PDC,MATCH($AC51,DEN_PDC,0),4)="D/A"),SUMIFS(AVERE,DEN_G,$AC51)&gt;=SUMIFS(DARE,DEN_G,$AC51)),SUMIFS(AVERE,DEN_G,$AC51),))&gt;0,MAX($BS$2:BS50)+1,0)</f>
        <v>0</v>
      </c>
      <c r="BT51" s="48" t="str">
        <f ca="1">IF($CO$1=0,"",IF(AND($I$1=2,ROW()&gt;$BR$1,ROW()&lt;=$BS$1)," …………….",IF(AND($E$1=1,$BX$1=1,$I$1=2,ROW()=$BQ$1),"TOTALI",IFERROR(INDEX(PDC,MATCH(ROWS(BT$3:BT51),BS$3:BS448,0),2),""))))</f>
        <v/>
      </c>
      <c r="BU51" s="48">
        <f t="shared" ca="1" si="12"/>
        <v>0</v>
      </c>
      <c r="BV51" s="48">
        <f t="shared" ca="1" si="13"/>
        <v>0</v>
      </c>
      <c r="BW51" s="48">
        <f t="shared" ca="1" si="14"/>
        <v>0</v>
      </c>
      <c r="BX51" s="48">
        <f t="shared" ca="1" si="15"/>
        <v>0</v>
      </c>
      <c r="BY51" s="48">
        <f ca="1">IF(OR(BW51&gt;0,BX51&gt;0),MAX($BY$2:BY50)+1,0)</f>
        <v>0</v>
      </c>
      <c r="BZ51" s="48" t="str">
        <f ca="1">IFERROR(INDEX($BT$3:$BY$400,MATCH(ROWS(BZ$3:BZ51),$BY$3:$BY$400,0),1),"")</f>
        <v/>
      </c>
      <c r="CA51" s="48" t="str">
        <f ca="1">IFERROR(INDEX($BT$3:$BY$400,MATCH(ROWS(CA$3:CA51),$BY$3:$BY$400,0),4),"")</f>
        <v/>
      </c>
      <c r="CB51" s="48" t="str">
        <f ca="1">IFERROR(INDEX($BT$3:$BY$400,MATCH(ROWS(CB$3:CB51),$BY$3:$BY$400,0),5),"")</f>
        <v/>
      </c>
      <c r="CC51" s="48" t="str">
        <f t="shared" ca="1" si="16"/>
        <v/>
      </c>
      <c r="CD51" s="48">
        <f ca="1">IF(AND($CG$1=TRUE,$BF$9=1,CE51&lt;&gt;0),MAX($CD$2:CD50)+1,0)</f>
        <v>0</v>
      </c>
      <c r="CE51" s="48">
        <f ca="1">IF($I$1=1,SUM(CE46:CE50),IF(AND($I$1=2,SUM(CE46:CE50)&gt;0),"_ _ _",0))</f>
        <v>0</v>
      </c>
      <c r="CG51" s="242" t="s">
        <v>505</v>
      </c>
      <c r="CH51" s="242">
        <f ca="1">CE51</f>
        <v>0</v>
      </c>
      <c r="CI51" s="242"/>
      <c r="CJ51" s="242"/>
      <c r="CK51" s="48">
        <f ca="1">IF($CF$2=FALSE,0,IF(AND($BF$9=1,CJ51&lt;&gt;0),MAX($CK$21:CK50)+1,0))</f>
        <v>0</v>
      </c>
      <c r="CM51" s="242" t="str">
        <f t="shared" ca="1" si="37"/>
        <v/>
      </c>
      <c r="CN51" s="243">
        <f t="shared" ca="1" si="38"/>
        <v>0</v>
      </c>
      <c r="CO51" s="48" t="str">
        <f t="shared" ca="1" si="39"/>
        <v/>
      </c>
      <c r="CQ51" s="242"/>
      <c r="CR51" s="242">
        <f t="shared" ref="CR51:CR55" ca="1" si="114">CR37</f>
        <v>2027</v>
      </c>
      <c r="CS51" s="48">
        <f t="shared" ref="CS51:CS55" ca="1" si="115">IF(AND($CO$1=1,CS44&gt;0,CT44&gt;=2),1,0)</f>
        <v>0</v>
      </c>
      <c r="CT51" s="242"/>
      <c r="CU51" s="48">
        <f ca="1">IF(SUMIFS(AVERE,DEN_G,AC51,AVERE,"&gt;"&amp;0)+SUMIFS(DARE,DEN_G,AC51,DARE,"&gt;"&amp;0)&gt;0,MAX($CU$2:CU50)+1,0)</f>
        <v>0</v>
      </c>
      <c r="CV51" s="48" t="str">
        <f ca="1">IF(IFERROR(INDEX(PDC,MATCH(ROWS($CV$3:CV51),$CU$3:$CU$400,0),2),"")="CONTO DI RISULTATO ECONOMICO","",IFERROR(INDEX(PDC,MATCH(ROWS($CV$3:CV51),$CU$3:$CU$400,0),2),""))</f>
        <v/>
      </c>
      <c r="CW51" s="48">
        <f ca="1">IFERROR(IF(CV51&lt;&gt;"",MAX($CW$2:CW50)+1,0),0)</f>
        <v>0</v>
      </c>
      <c r="CX51" s="48">
        <f t="shared" ca="1" si="103"/>
        <v>4</v>
      </c>
      <c r="CY51" s="48" t="str">
        <f t="shared" ca="1" si="100"/>
        <v>MASTRO</v>
      </c>
      <c r="CZ51" s="48" t="e">
        <f t="shared" ca="1" si="107"/>
        <v>#N/A</v>
      </c>
      <c r="DA51" s="48" t="str">
        <f t="shared" ca="1" si="111"/>
        <v/>
      </c>
      <c r="DB51" s="48" t="str">
        <f t="shared" ca="1" si="76"/>
        <v/>
      </c>
      <c r="DC51" s="48" t="str">
        <f t="shared" ca="1" si="108"/>
        <v/>
      </c>
      <c r="DD51" s="48" t="str">
        <f t="shared" ca="1" si="109"/>
        <v/>
      </c>
      <c r="DE51" s="48" t="str">
        <f t="shared" ca="1" si="110"/>
        <v/>
      </c>
      <c r="DF51" s="48">
        <f ca="1">IF(AND(CX51=$DF$1,CX51&lt;&gt;""),0,IF(AND(DB51&lt;&gt;"",OR(DB50&lt;&gt;"",DB52&lt;&gt;"")),MAX($DF$2:DF50)+1,0))</f>
        <v>0</v>
      </c>
      <c r="DH51" s="244" t="s">
        <v>38</v>
      </c>
      <c r="DI51" s="48" t="s">
        <v>471</v>
      </c>
      <c r="DJ51" s="48" t="s">
        <v>311</v>
      </c>
      <c r="DK51" s="48" t="s">
        <v>298</v>
      </c>
      <c r="DL51" s="48" t="s">
        <v>318</v>
      </c>
      <c r="DM51" s="48" t="s">
        <v>299</v>
      </c>
      <c r="DN51" s="48">
        <f ca="1">IF(DI51&lt;&gt;"",MAX($DN$2:DN50)+1,0)</f>
        <v>34</v>
      </c>
      <c r="DO51" s="48" t="str">
        <f t="shared" ref="DO51:DO53" ca="1" si="116">IF($BF$9=1,"pab24","pab2")</f>
        <v>pab2</v>
      </c>
      <c r="DQ51" s="227" t="s">
        <v>27</v>
      </c>
      <c r="DR51" s="48" t="s">
        <v>856</v>
      </c>
      <c r="DS51" s="48" t="s">
        <v>311</v>
      </c>
      <c r="DT51" s="48" t="s">
        <v>275</v>
      </c>
      <c r="DU51" s="48" t="s">
        <v>9</v>
      </c>
      <c r="DV51" s="48" t="s">
        <v>270</v>
      </c>
      <c r="DW51" s="48">
        <f ca="1">IF(DR51&lt;&gt;"",MAX($DW$2:DW50)+1,0)</f>
        <v>17</v>
      </c>
      <c r="DX51" s="48" t="str">
        <f ca="1">IF($BF$9=1,"pab21","pab2")</f>
        <v>pab2</v>
      </c>
      <c r="DY51" s="48" t="str">
        <f t="shared" ca="1" si="19"/>
        <v/>
      </c>
      <c r="DZ51" s="48" t="str">
        <f t="shared" ca="1" si="40"/>
        <v/>
      </c>
      <c r="EA51" s="48" t="str">
        <f t="shared" ca="1" si="41"/>
        <v/>
      </c>
      <c r="EB51" s="48">
        <f t="shared" ca="1" si="42"/>
        <v>0</v>
      </c>
      <c r="EC51" s="48">
        <f t="shared" ca="1" si="43"/>
        <v>0</v>
      </c>
      <c r="ED51" s="48" t="str">
        <f t="shared" ca="1" si="44"/>
        <v/>
      </c>
      <c r="EE51" s="48">
        <f t="shared" ca="1" si="45"/>
        <v>0</v>
      </c>
      <c r="EF51" s="48" t="str">
        <f t="shared" ca="1" si="46"/>
        <v/>
      </c>
      <c r="EG51" s="48">
        <f t="shared" ca="1" si="47"/>
        <v>0</v>
      </c>
      <c r="EH51" s="48" t="str">
        <f t="shared" ca="1" si="48"/>
        <v/>
      </c>
      <c r="EI51" s="48">
        <f t="shared" ca="1" si="49"/>
        <v>0</v>
      </c>
      <c r="EJ51" s="48" t="str">
        <f t="shared" ca="1" si="50"/>
        <v/>
      </c>
      <c r="EK51" s="48">
        <f t="shared" ca="1" si="51"/>
        <v>0</v>
      </c>
      <c r="EL51" s="48">
        <f t="shared" ca="1" si="20"/>
        <v>0</v>
      </c>
      <c r="EM51" s="48">
        <f ca="1">IF(EL51&gt;=0,0,MAX($EM$2:EM50)+1)</f>
        <v>0</v>
      </c>
      <c r="EN51" s="48" t="str">
        <f t="shared" ca="1" si="21"/>
        <v/>
      </c>
      <c r="EO51" s="48" t="str">
        <f ca="1">IFERROR(INDEX($EM$3:$EN$400,MATCH(ROWS($EO$3:EO51),$EM$3:$EM$400,0),2),"")</f>
        <v/>
      </c>
      <c r="EP51" s="48">
        <f>ROW()</f>
        <v>51</v>
      </c>
      <c r="EQ51" s="48">
        <f t="shared" ca="1" si="22"/>
        <v>0</v>
      </c>
      <c r="ER51" s="48">
        <f ca="1">IF(ISNA(EQ51)=TRUE,MAX($ER$2:ER50)+1,0)</f>
        <v>0</v>
      </c>
      <c r="ES51" s="48" t="str">
        <f t="shared" ca="1" si="52"/>
        <v/>
      </c>
      <c r="ET51" s="48" t="str">
        <f ca="1">IFERROR(INDEX($ER$3:$ES$400,MATCH(ROWS($ET$3:ET51),$ER$3:$ER$400,0),2),"")</f>
        <v/>
      </c>
      <c r="EV51" s="48">
        <f ca="1">IFERROR(INDEX(LIBRO_GIORNALE!$O$11:$P$408,MATCH(ROWS($EV$2:EV50),LIBRO_GIORNALE!$P$11:$P$408,0),1),0)</f>
        <v>0</v>
      </c>
      <c r="EW51" s="48" t="str">
        <f t="shared" ca="1" si="53"/>
        <v>0</v>
      </c>
      <c r="EX51" s="48">
        <f t="shared" ca="1" si="54"/>
        <v>0</v>
      </c>
      <c r="EY51" s="48">
        <f ca="1">IF(EX51&gt;0,MAX($EY$2:EY50)+1,0)</f>
        <v>0</v>
      </c>
      <c r="EZ51" s="48">
        <f ca="1">IFERROR(INDEX($EX$3:$EX$400,MATCH(ROWS($EZ$3:EZ51),$EY$3:$EY$400,0),1),0)</f>
        <v>0</v>
      </c>
      <c r="FA51" s="48">
        <f ca="1">IF(EZ51&gt;0,0,MAX($FA$2:FA50)+1)</f>
        <v>49</v>
      </c>
      <c r="FB51" s="48">
        <f t="shared" ca="1" si="55"/>
        <v>0</v>
      </c>
      <c r="FC51" s="48">
        <f t="shared" ca="1" si="56"/>
        <v>49</v>
      </c>
      <c r="FD51" s="48">
        <f t="shared" ca="1" si="57"/>
        <v>49</v>
      </c>
      <c r="FE51" s="48">
        <f ca="1">IF(FD51=0,0,MAX($FE$2:FE50)+1)</f>
        <v>49</v>
      </c>
      <c r="FF51" s="48">
        <f ca="1">IFERROR(INDEX($FD$3:$FE$400,MATCH(ROWS($FF$3:FF51),$FE$3:$FE$400,0),1),"")</f>
        <v>49</v>
      </c>
      <c r="FH51" s="48">
        <f t="shared" ca="1" si="58"/>
        <v>0</v>
      </c>
      <c r="FI51" s="48">
        <f ca="1">IF(FH51&lt;&gt;0,MAX($FI$2:FI50)+1,0)</f>
        <v>0</v>
      </c>
      <c r="FJ51" s="48" t="str">
        <f ca="1">IFERROR(INDEX($FH$3:$FI$400,MATCH(ROWS($FJ$3:FJ51),$FI$3:$FI$400,0),1),"")</f>
        <v/>
      </c>
      <c r="FK51" s="48">
        <f ca="1">IF(ABS(SUMIFS(DARE,DEN_G,"="&amp;FJ51,DATA,"&lt;="&amp;FINE_AC,DATA,"&gt;="&amp;INIZIO_A_PC)-SUMIFS(AVERE,DEN_G,"="&amp;FJ51,DATA,"&lt;="&amp;FINE_AC,DATA,"&gt;="&amp;INIZIO_A_PC))&gt;0,MAX($FK$2:FK50)+1,0)</f>
        <v>0</v>
      </c>
      <c r="FL51" s="48" t="str">
        <f ca="1">IF(AND(ROW()-2&lt;&gt;1,ROW()-2&lt;=$FK$1),CONCATENATE(" - ",IFERROR(INDEX($FJ$3:$FK$400,MATCH(ROWS($FL$3:FL51),$FK$3:$FK$400,0),1),"")),IFERROR(INDEX($FJ$3:$FK$400,MATCH(ROWS($FL$3:FL51),$FK$3:$FK$400,0),1),""))</f>
        <v/>
      </c>
      <c r="FM51" s="48">
        <f ca="1">IF(OR(B51="IVA ns/credito",B51="IVA NS/DEBITO",B51="IVA C/ACCONTO",B51="IMPOSTE C/ACCONTO",B51="CREDITI PER RITENUTE SUBITE",B51="CREDITI D'IMPOSTA"),MAX($FM$2:FM50)+1,0)</f>
        <v>0</v>
      </c>
      <c r="FN51" s="48" t="str">
        <f t="shared" ca="1" si="59"/>
        <v/>
      </c>
      <c r="FO51" s="48" t="str">
        <f ca="1">IFERROR(INDEX($FM$3:$FN$400,MATCH(ROWS($FO$3:FO51),$FM$3:$FM$400,0),2),"")</f>
        <v/>
      </c>
      <c r="FP51" s="48">
        <f ca="1">IF(ABS(SUMIFS(DARE,DEN_G,"="&amp;FO51,DATA,"&lt;="&amp;FINE_AC,DATA,"&gt;="&amp;INIZIO_A_PC)-SUMIFS(AVERE,DEN_G,"="&amp;FO51,DATA,"&lt;="&amp;FINE_AC,DATA,"&gt;="&amp;INIZIO_A_PC))&gt;0,MAX($FP$2:FP50)+1,0)</f>
        <v>0</v>
      </c>
      <c r="FQ51" s="48" t="str">
        <f ca="1">IF(AND(ROW()-2&lt;&gt;1,ROW()-2&lt;=$FP$1),CONCATENATE(" - ",IFERROR(INDEX($FO$3:$FP$400,MATCH(ROWS($FQ$3:FQ51),$FP$3:$FP$400,0),1),"")),IFERROR(INDEX($FO$3:$FP$400,MATCH(ROWS($FQ$3:FQ51),$FP$3:$FP$400,0),1),""))</f>
        <v/>
      </c>
    </row>
    <row r="52" spans="1:173" x14ac:dyDescent="0.3">
      <c r="A52" s="48" t="str">
        <f ca="1">IFERROR(IF($A$1=2,INDEX($DH$3:$DN$401,MATCH(ROWS(A$3:A52),$DN$3:$DN$401,0),COLUMN()),IF($A$1=1,INDEX($DQ$3:$DW$401,MATCH(ROWS(A$3:A52),$DW$3:$DW$401,0),COLUMN()),"")),"")</f>
        <v>03.30</v>
      </c>
      <c r="B52" s="48" t="str">
        <f ca="1">IFERROR(IF($A$1=2,INDEX($DH$3:$DN$401,MATCH(ROWS(B$3:B52),$DN$3:$DN$401,0),COLUMN()),IF($A$1=1,INDEX($DQ$3:$DW$400,MATCH(ROWS(B$3:B52),$DW$3:$DW$401,0),COLUMN()),"")),"")</f>
        <v>TITOLI IMMOBILIZZATI</v>
      </c>
      <c r="C52" s="48" t="str">
        <f ca="1">IFERROR(IF($A$1=2,INDEX($DH$3:$DN$401,MATCH(ROWS(C$3:C52),$DN$3:$DN$401,0),COLUMN()),IF($A$1=1,INDEX($DQ$3:$DW$401,MATCH(ROWS(C$3:C52),$DW$3:$DW$401,0),COLUMN()),"")),"")</f>
        <v>E</v>
      </c>
      <c r="D52" s="48" t="str">
        <f ca="1">IFERROR(IF($A$1=2,INDEX($DH$3:$DN$401,MATCH(ROWS(D$3:D52),$DN$3:$DN$401,0),COLUMN()),IF($A$1=1,INDEX($DQ$3:$DW$401,MATCH(ROWS(D$3:D52),$DW$3:$DW$401,0),COLUMN()),"")),"")</f>
        <v>D</v>
      </c>
      <c r="E52" s="48" t="str">
        <f ca="1">IFERROR(IF($A$1=2,INDEX($DH$3:$DN$401,MATCH(ROWS(E$3:E52),$DN$3:$DN$401,0),COLUMN()),IF($A$1=1,INDEX($DQ$3:$DW$401,MATCH(ROWS(E$3:E52),$DW$3:$DW$401,0),COLUMN()),"")),"")</f>
        <v>COSTI SOSPESI</v>
      </c>
      <c r="F52" s="48" t="str">
        <f ca="1">IFERROR(IF($A$1=2,INDEX($DH$3:$DN$401,MATCH(ROWS(F$3:F52),$DN$3:$DN$401,0),COLUMN()),IF($A$1=1,INDEX($DQ$3:$DX$401,MATCH(ROWS(F$3:F52),$DW$3:$DW$401,0),COLUMN()),"")),"")</f>
        <v>SP DARE</v>
      </c>
      <c r="G52" s="48" t="str">
        <f t="shared" ca="1" si="23"/>
        <v>SP</v>
      </c>
      <c r="H52" s="48" t="str">
        <f ca="1">IFERROR(IF($A$1=2,INDEX($DH$3:$DO$400,MATCH(ROWS(H$3:H52),$DN$3:$DN$400,0),COLUMN()),IF($A$1=1,INDEX($DQ$3:$DX$400,MATCH(ROWS(H$3:H52),$DW$3:$DW$400,0),COLUMN()),"")),"")</f>
        <v>pab3</v>
      </c>
      <c r="I52" s="48" t="str">
        <f t="shared" ca="1" si="0"/>
        <v/>
      </c>
      <c r="J52" s="48" t="str">
        <f t="shared" ca="1" si="24"/>
        <v/>
      </c>
      <c r="K52" s="48">
        <f t="shared" ca="1" si="25"/>
        <v>0</v>
      </c>
      <c r="L52" s="48">
        <f t="shared" ca="1" si="26"/>
        <v>0</v>
      </c>
      <c r="M52" s="48">
        <f ca="1">IFERROR(IF(IF(MID($A52,3,3)=".00",MID(A52,1,2),"")&lt;&gt;"",MAX($M$2:M51)+1,0),"")</f>
        <v>0</v>
      </c>
      <c r="N52" s="48" t="str">
        <f t="shared" ca="1" si="27"/>
        <v/>
      </c>
      <c r="O52" s="48">
        <v>2</v>
      </c>
      <c r="P52" s="48" t="str">
        <f t="shared" ref="P52:P67" ca="1" si="117">IFERROR(INDEX($A$3:$B$400,MATCH(O52,$A$3:$A$400,0),2),"")</f>
        <v/>
      </c>
      <c r="Q52" s="48">
        <f ca="1">IF(M52&gt;=1,0,MAX($Q$2:Q51)+1)</f>
        <v>46</v>
      </c>
      <c r="R52" s="48">
        <f ca="1">IF(AND($U$2=2,S52&lt;&gt;""),MAX($R$2:R51)+1,0)</f>
        <v>34</v>
      </c>
      <c r="S52" s="48" t="str">
        <f t="shared" ca="1" si="81"/>
        <v>ONERI FINANZIARI</v>
      </c>
      <c r="T52" s="48" t="str">
        <f ca="1">IFERROR(INDEX($R$3:$S$64,MATCH(ROWS($T$2:T51),$R$3:$R$64,0),2),"")</f>
        <v/>
      </c>
      <c r="U52" s="48" t="str">
        <f ca="1">IFERROR(INDEX(PDC,MATCH(ROWS(U$3:U52),$V$3:$V$400,0),2),"")</f>
        <v>PRODOTTI IN LAVORAZIONE</v>
      </c>
      <c r="V52" s="48">
        <f ca="1">IF(AND($T$1="VISUALIZZA TUTTI I CONTI",AA52&lt;&gt;""),MAX($V$2:V51)+1,IF(AND($U$2=2,AI52=$T$1),MAX($V$2:V51)+1,IF(AND($U$2=1,$T$1=AF52),MAX($V$2:V51)+1,0)))</f>
        <v>50</v>
      </c>
      <c r="Z52" s="246"/>
      <c r="AA52" s="48" t="str">
        <f t="shared" ca="1" si="29"/>
        <v>04.00</v>
      </c>
      <c r="AB52" s="48" t="str">
        <f ca="1">IFERROR(INDEX($A$3:$G$400,MATCH(ROWS(AB$3:AB52),$Q$3:$Q$400,0),1),"")</f>
        <v>04.04</v>
      </c>
      <c r="AC52" s="48" t="str">
        <f ca="1">IFERROR(INDEX($A$3:$G$400,MATCH(ROWS($AC$3:AC52),$Q$3:$Q$400,0),2),"")</f>
        <v>PRODOTTI IN LAVORAZIONE</v>
      </c>
      <c r="AD52" s="48" t="str">
        <f ca="1">IFERROR(INDEX($A$3:$G$400,MATCH(ROWS(AD$3:AD52),$Q$3:$Q$400,0),3),"")</f>
        <v>E</v>
      </c>
      <c r="AE52" s="48" t="str">
        <f ca="1">IFERROR(INDEX($A$3:$G$400,MATCH(ROWS(AE$3:AE52),$Q$3:$Q$400,0),4),"")</f>
        <v>D</v>
      </c>
      <c r="AF52" s="48" t="str">
        <f ca="1">IFERROR(INDEX($A$3:$G$400,MATCH(ROWS(AF$3:AF52),$Q$3:$Q$400,0),5),"")</f>
        <v>COSTI SOSPESI</v>
      </c>
      <c r="AG52" s="48" t="str">
        <f ca="1">IFERROR(INDEX($A$3:$G$400,MATCH(ROWS(AG$3:AG52),$Q$3:$Q$400,0),6),"")</f>
        <v>SP DARE</v>
      </c>
      <c r="AH52" s="48" t="str">
        <f ca="1">IFERROR(INDEX($A$3:$G$400,MATCH(ROWS(AH$3:AH52),$Q$3:$Q$400,0),7),"")</f>
        <v>SP</v>
      </c>
      <c r="AI52" s="48" t="str">
        <f t="shared" ca="1" si="1"/>
        <v>RIMANENZE</v>
      </c>
      <c r="AJ52" s="48" t="str">
        <f ca="1">IFERROR(INDEX($A$3:$H$400,MATCH(ROWS(AJ$3:AJ52),$Q$3:$Q$400,0),8),"")</f>
        <v>pac1</v>
      </c>
      <c r="AK52" s="48">
        <f t="shared" ca="1" si="2"/>
        <v>0</v>
      </c>
      <c r="AL52" s="48">
        <f t="shared" ca="1" si="95"/>
        <v>0</v>
      </c>
      <c r="AM52" s="48">
        <f t="shared" ca="1" si="30"/>
        <v>0</v>
      </c>
      <c r="AN52" s="48" t="str">
        <f t="shared" ca="1" si="31"/>
        <v/>
      </c>
      <c r="AO52" s="48">
        <f t="shared" ca="1" si="32"/>
        <v>0</v>
      </c>
      <c r="AP52" s="48">
        <f t="shared" ca="1" si="32"/>
        <v>0</v>
      </c>
      <c r="AQ52" s="48" t="str">
        <f t="shared" ca="1" si="4"/>
        <v>PRODOTTI IN LAVORAZIONE</v>
      </c>
      <c r="AR52" s="48">
        <f t="shared" ca="1" si="5"/>
        <v>0</v>
      </c>
      <c r="AS52" s="48">
        <f t="shared" ca="1" si="6"/>
        <v>0</v>
      </c>
      <c r="AT52" s="48">
        <f t="shared" ca="1" si="33"/>
        <v>0</v>
      </c>
      <c r="AU52" s="48">
        <f t="shared" ca="1" si="34"/>
        <v>0</v>
      </c>
      <c r="AV52" s="48">
        <f ca="1">IF(OR(AT52&gt;0,AU52&gt;0),MAX($AV$2:AV51)+1,0)</f>
        <v>0</v>
      </c>
      <c r="AZ52" s="241" t="str">
        <f t="shared" ca="1" si="35"/>
        <v/>
      </c>
      <c r="BA52" s="48">
        <f t="shared" ca="1" si="96"/>
        <v>0</v>
      </c>
      <c r="BB52" s="48">
        <f ca="1">IFERROR(INDEX($AQ$3:$AV$220,MATCH(ROWS($BB$3:BB52),$AV$3:$AV$220,0),1),0)</f>
        <v>0</v>
      </c>
      <c r="BC52" s="48" t="str">
        <f t="shared" ca="1" si="36"/>
        <v/>
      </c>
      <c r="BD52" s="48">
        <f ca="1">IFERROR(INDEX($AQ$3:$AV$220,MATCH(ROWS($BB$3:BD52),$AV$3:$AV$220,0),4),0)</f>
        <v>0</v>
      </c>
      <c r="BE52" s="48">
        <f ca="1">IFERROR(INDEX($AQ$3:$AV$220,MATCH(ROWS($BB$3:BE52),$AV$3:$AV$220,0),5),0)</f>
        <v>0</v>
      </c>
      <c r="BG52" s="48">
        <f ca="1">IF(IF(AND(OR(INDEX(PDC,MATCH($AC52,DEN_PDC,0),6)="SP DARE",INDEX(PDC,MATCH($AC52,DEN_PDC,0),6)="SP DARE/AVERE"),SUMIFS(DARE,DEN_G,$AC52)&gt;=SUMIFS(AVERE,DEN_G,$AC52)),SUMIFS(DARE,DEN_G,$AC52)-SUMIFS(AVERE,DEN_G,$AC52),0)&gt;0,MAX($BG$2:BG51)+1,0)</f>
        <v>0</v>
      </c>
      <c r="BH52" s="48">
        <f ca="1">IF(IF(AND(OR(INDEX(PDC,MATCH($AC52,DEN_PDC,0),6)="SP AVERE",INDEX(PDC,MATCH($AC52,DEN_PDC,0),6)="SP DARE/AVERE"),SUMIFS(AVERE,DEN_G,$AC52)&gt;=SUMIFS(DARE,DEN_G,$AC52)),SUMIFS(AVERE,DEN_G,$AC52)-SUMIFS(DARE,DEN_G,$AC52),0)&gt;0,MAX(BH$2:BH51)+1,0)</f>
        <v>0</v>
      </c>
      <c r="BI52" s="48">
        <f ca="1">IF(IF(AND(OR(INDEX(PDC,MATCH($AC52,DEN_PDC,0),6)="SE DARE",INDEX(PDC,MATCH($AC52,DEN_PDC,0),6)="SE DARE/AVERE"),SUMIFS(DARE,DEN_G,$AC52)&gt;=SUMIFS(AVERE,DEN_G,$AC52)),SUMIFS(DARE,DEN_G,$AC52)-SUMIFS(AVERE,DEN_G,$AC52),0)&gt;0,MAX(BI$2:BI51)+1,0)</f>
        <v>0</v>
      </c>
      <c r="BJ52" s="48">
        <f ca="1">IF(IF(AND(OR(INDEX(PDC,MATCH($AC52,DEN_PDC,0),6)="SE AVERE",INDEX(PDC,MATCH($AC52,DEN_PDC,0),6)="SE DARE/AVERE"),SUMIFS(AVERE,DEN_G,$AC52)&gt;=SUMIFS(DARE,DEN_G,$AC52)),SUMIFS(AVERE,DEN_G,$AC52)-SUMIFS(DARE,DEN_G,$AC52),0)&gt;0,MAX(BJ$2:BJ51)+1,0)</f>
        <v>0</v>
      </c>
      <c r="BK52" s="48" t="str">
        <f ca="1">IF(AND(AND($DY$2=0,$DY$1=0),$I$1=2,ROW()&gt;$BG$1+2,ROW()&lt;=$BG$1+4),"………………..",IF(AND(OR($DY$2&gt;0,$DY$1&gt;0),$I$1=2,ROW()&gt;$BG$1+2,ROW()&lt;=$BG$1+4),"………………..",IFERROR(INDEX($AC$3:$AC$398,MATCH(ROWS(BK$3:BK52),BG$3:BG$398,0),1),"")))</f>
        <v/>
      </c>
      <c r="BL52" s="48">
        <f t="shared" ca="1" si="69"/>
        <v>0</v>
      </c>
      <c r="BM52" s="48" t="str">
        <f ca="1">IF(AND(OR($DY$2=0,$DY$1=0),$I$1=2,ROW()&gt;$BH$1+2,ROW()&lt;=$BH$1+4),"………………..",IF(AND(OR($DY$2&gt;0,$DY$1&gt;0),$I$1=2,ROW()&gt;$BH$1+2,ROW()&lt;=$BH$1+4),"………………..",IFERROR(INDEX($AC$3:$AC$400,MATCH(ROWS(BM$3:BM52),BH$3:BH$400,0),1),"")))</f>
        <v/>
      </c>
      <c r="BN52" s="48">
        <f t="shared" ca="1" si="9"/>
        <v>0</v>
      </c>
      <c r="BO52" s="48" t="str">
        <f ca="1">IF(AND(OR($DY$2=0,$DY$1=0),$I$1=2,ROW()&gt;$BI$1+2,ROW()&lt;=$BI$1+4),"………………..",IF(AND(OR($DY$2&gt;0,$DY$1&gt;0),$I$1=2,ROW()&gt;$BI$1+2,ROW()&lt;=$BI$1+4),"………………..",IFERROR(INDEX($AC$3:$AC$400,MATCH(ROWS(BO$3:BO52),BI$3:BI$400,0),1),"")))</f>
        <v/>
      </c>
      <c r="BP52" s="48">
        <f t="shared" ca="1" si="10"/>
        <v>0</v>
      </c>
      <c r="BQ52" s="48" t="str">
        <f ca="1">IF(AND(OR($DY$2=0,$DY$1=0),$I$1=2,ROW()&gt;$BJ$1+2,ROW()&lt;=$BJ$1+4),"………………..",IF(AND(OR($DY$2&gt;0,$DY$1&gt;0),$I$1=2,ROW()&gt;$BJ$1+2,ROW()&lt;=$BJ$1+4),"………………..",IFERROR(INDEX($AC$3:$AC$400,MATCH(ROWS(BQ$3:BQ52),BJ$3:BJ$400,0),1),"")))</f>
        <v/>
      </c>
      <c r="BR52" s="48">
        <f t="shared" ca="1" si="11"/>
        <v>0</v>
      </c>
      <c r="BS52" s="48">
        <f ca="1">IF(IF(AND(OR(INDEX(PDC,MATCH($AC52,DEN_PDC,0),4)="D",INDEX(PDC,MATCH($AC52,DEN_PDC,0),4)="D/A"),SUMIFS(DARE,DEN_G,$AC52)&gt;=SUMIFS(AVERE,DEN_G,$AC52)),SUMIFS(DARE,DEN_G,$AC52),IF(AND(OR(INDEX(PDC,MATCH($AC52,DEN_PDC,0),4)="A",INDEX(PDC,MATCH($AC52,DEN_PDC,0),4)="D/A"),SUMIFS(AVERE,DEN_G,$AC52)&gt;=SUMIFS(DARE,DEN_G,$AC52)),SUMIFS(AVERE,DEN_G,$AC52),))&gt;0,MAX($BS$2:BS51)+1,0)</f>
        <v>0</v>
      </c>
      <c r="BT52" s="48" t="str">
        <f ca="1">IF($CO$1=0,"",IF(AND($I$1=2,ROW()&gt;$BR$1,ROW()&lt;=$BS$1)," …………….",IF(AND($E$1=1,$BX$1=1,$I$1=2,ROW()=$BQ$1),"TOTALI",IFERROR(INDEX(PDC,MATCH(ROWS(BT$3:BT52),BS$3:BS449,0),2),""))))</f>
        <v/>
      </c>
      <c r="BU52" s="48">
        <f t="shared" ca="1" si="12"/>
        <v>0</v>
      </c>
      <c r="BV52" s="48">
        <f t="shared" ca="1" si="13"/>
        <v>0</v>
      </c>
      <c r="BW52" s="48">
        <f t="shared" ca="1" si="14"/>
        <v>0</v>
      </c>
      <c r="BX52" s="48">
        <f t="shared" ca="1" si="15"/>
        <v>0</v>
      </c>
      <c r="BY52" s="48">
        <f ca="1">IF(OR(BW52&gt;0,BX52&gt;0),MAX($BY$2:BY51)+1,0)</f>
        <v>0</v>
      </c>
      <c r="BZ52" s="48" t="str">
        <f ca="1">IFERROR(INDEX($BT$3:$BY$400,MATCH(ROWS(BZ$3:BZ52),$BY$3:$BY$400,0),1),"")</f>
        <v/>
      </c>
      <c r="CA52" s="48" t="str">
        <f ca="1">IFERROR(INDEX($BT$3:$BY$400,MATCH(ROWS(CA$3:CA52),$BY$3:$BY$400,0),4),"")</f>
        <v/>
      </c>
      <c r="CB52" s="48" t="str">
        <f ca="1">IFERROR(INDEX($BT$3:$BY$400,MATCH(ROWS(CB$3:CB52),$BY$3:$BY$400,0),5),"")</f>
        <v/>
      </c>
      <c r="CC52" s="48" t="str">
        <f t="shared" ca="1" si="16"/>
        <v/>
      </c>
      <c r="CD52" s="48">
        <f ca="1">IF(AND($BF$9=1,CE52&lt;&gt;0),MAX($CD$2:CD51)+1,0)</f>
        <v>0</v>
      </c>
      <c r="CE52" s="48">
        <f ca="1">IF(SUM(CE53,CE55,CE57,CE59,CE61,CE63,CE65,CE67)&gt;0,"a",0)</f>
        <v>0</v>
      </c>
      <c r="CG52" s="242" t="s">
        <v>520</v>
      </c>
      <c r="CH52" s="242"/>
      <c r="CI52" s="242"/>
      <c r="CJ52" s="242">
        <f ca="1">SUM(CJ53:CJ68)</f>
        <v>0</v>
      </c>
      <c r="CK52" s="48">
        <f ca="1">IF($CF$2=FALSE,0,IF(AND($BF$9=1,CJ52&lt;&gt;0),MAX($CK$21:CK51)+1,0))</f>
        <v>0</v>
      </c>
      <c r="CM52" s="242" t="str">
        <f t="shared" ca="1" si="37"/>
        <v/>
      </c>
      <c r="CN52" s="243">
        <f t="shared" ca="1" si="38"/>
        <v>0</v>
      </c>
      <c r="CO52" s="48" t="str">
        <f t="shared" ca="1" si="39"/>
        <v/>
      </c>
      <c r="CQ52" s="242"/>
      <c r="CR52" s="242">
        <f t="shared" ca="1" si="114"/>
        <v>2028</v>
      </c>
      <c r="CS52" s="48">
        <f t="shared" ca="1" si="115"/>
        <v>0</v>
      </c>
      <c r="CT52" s="242"/>
      <c r="CU52" s="48">
        <f ca="1">IF(SUMIFS(AVERE,DEN_G,AC52,AVERE,"&gt;"&amp;0)+SUMIFS(DARE,DEN_G,AC52,DARE,"&gt;"&amp;0)&gt;0,MAX($CU$2:CU51)+1,0)</f>
        <v>0</v>
      </c>
      <c r="CV52" s="48" t="str">
        <f ca="1">IF(IFERROR(INDEX(PDC,MATCH(ROWS($CV$3:CV52),$CU$3:$CU$400,0),2),"")="CONTO DI RISULTATO ECONOMICO","",IFERROR(INDEX(PDC,MATCH(ROWS($CV$3:CV52),$CU$3:$CU$400,0),2),""))</f>
        <v/>
      </c>
      <c r="CW52" s="48">
        <f ca="1">IFERROR(IF(CV52&lt;&gt;"",MAX($CW$2:CW51)+1,0),0)</f>
        <v>0</v>
      </c>
      <c r="CX52" s="48">
        <f t="shared" ca="1" si="103"/>
        <v>4</v>
      </c>
      <c r="CY52" s="48" t="str">
        <f t="shared" ca="1" si="100"/>
        <v>MASTRO</v>
      </c>
      <c r="CZ52" s="48" t="e">
        <f t="shared" ca="1" si="107"/>
        <v>#N/A</v>
      </c>
      <c r="DA52" s="48" t="str">
        <f t="shared" ca="1" si="111"/>
        <v/>
      </c>
      <c r="DB52" s="48" t="str">
        <f t="shared" ca="1" si="76"/>
        <v/>
      </c>
      <c r="DC52" s="48" t="str">
        <f t="shared" ca="1" si="108"/>
        <v/>
      </c>
      <c r="DD52" s="48" t="str">
        <f t="shared" ca="1" si="109"/>
        <v/>
      </c>
      <c r="DE52" s="48" t="str">
        <f t="shared" ca="1" si="110"/>
        <v/>
      </c>
      <c r="DF52" s="48">
        <f ca="1">IF(AND(CX52=$DF$1,CX52&lt;&gt;""),0,IF(AND(DB52&lt;&gt;"",OR(DB51&lt;&gt;"",DB53&lt;&gt;"")),MAX($DF$2:DF51)+1,0))</f>
        <v>0</v>
      </c>
      <c r="DH52" s="244" t="s">
        <v>39</v>
      </c>
      <c r="DI52" s="48" t="s">
        <v>472</v>
      </c>
      <c r="DJ52" s="48" t="s">
        <v>311</v>
      </c>
      <c r="DK52" s="48" t="s">
        <v>298</v>
      </c>
      <c r="DL52" s="48" t="s">
        <v>318</v>
      </c>
      <c r="DM52" s="48" t="s">
        <v>299</v>
      </c>
      <c r="DN52" s="48">
        <f ca="1">IF(DI52&lt;&gt;"",MAX($DN$2:DN51)+1,0)</f>
        <v>35</v>
      </c>
      <c r="DO52" s="48" t="str">
        <f t="shared" ca="1" si="116"/>
        <v>pab2</v>
      </c>
      <c r="DQ52" s="227" t="s">
        <v>28</v>
      </c>
      <c r="DR52" s="48" t="s">
        <v>857</v>
      </c>
      <c r="DS52" s="48" t="s">
        <v>311</v>
      </c>
      <c r="DT52" s="48" t="s">
        <v>275</v>
      </c>
      <c r="DU52" s="48" t="s">
        <v>9</v>
      </c>
      <c r="DV52" s="48" t="s">
        <v>270</v>
      </c>
      <c r="DW52" s="48">
        <f ca="1">IF(DR52&lt;&gt;"",MAX($DW$2:DW51)+1,0)</f>
        <v>18</v>
      </c>
      <c r="DX52" s="48" t="str">
        <f ca="1">IF($BF$9=1,"pab22","pab2")</f>
        <v>pab2</v>
      </c>
      <c r="DY52" s="48" t="str">
        <f t="shared" ca="1" si="19"/>
        <v/>
      </c>
      <c r="DZ52" s="48" t="str">
        <f t="shared" ca="1" si="40"/>
        <v/>
      </c>
      <c r="EA52" s="48" t="str">
        <f t="shared" ca="1" si="41"/>
        <v/>
      </c>
      <c r="EB52" s="48">
        <f t="shared" ca="1" si="42"/>
        <v>0</v>
      </c>
      <c r="EC52" s="48">
        <f t="shared" ca="1" si="43"/>
        <v>0</v>
      </c>
      <c r="ED52" s="48" t="str">
        <f t="shared" ca="1" si="44"/>
        <v/>
      </c>
      <c r="EE52" s="48">
        <f t="shared" ca="1" si="45"/>
        <v>0</v>
      </c>
      <c r="EF52" s="48" t="str">
        <f t="shared" ca="1" si="46"/>
        <v/>
      </c>
      <c r="EG52" s="48">
        <f t="shared" ca="1" si="47"/>
        <v>0</v>
      </c>
      <c r="EH52" s="48" t="str">
        <f t="shared" ca="1" si="48"/>
        <v/>
      </c>
      <c r="EI52" s="48">
        <f t="shared" ca="1" si="49"/>
        <v>0</v>
      </c>
      <c r="EJ52" s="48" t="str">
        <f t="shared" ca="1" si="50"/>
        <v/>
      </c>
      <c r="EK52" s="48">
        <f t="shared" ca="1" si="51"/>
        <v>0</v>
      </c>
      <c r="EL52" s="48">
        <f t="shared" ca="1" si="20"/>
        <v>0</v>
      </c>
      <c r="EM52" s="48">
        <f ca="1">IF(EL52&gt;=0,0,MAX($EM$2:EM51)+1)</f>
        <v>0</v>
      </c>
      <c r="EN52" s="48" t="str">
        <f t="shared" ca="1" si="21"/>
        <v/>
      </c>
      <c r="EO52" s="48" t="str">
        <f ca="1">IFERROR(INDEX($EM$3:$EN$400,MATCH(ROWS($EO$3:EO52),$EM$3:$EM$400,0),2),"")</f>
        <v/>
      </c>
      <c r="EP52" s="48">
        <f>ROW()</f>
        <v>52</v>
      </c>
      <c r="EQ52" s="48">
        <f t="shared" ca="1" si="22"/>
        <v>0</v>
      </c>
      <c r="ER52" s="48">
        <f ca="1">IF(ISNA(EQ52)=TRUE,MAX($ER$2:ER51)+1,0)</f>
        <v>0</v>
      </c>
      <c r="ES52" s="48" t="str">
        <f t="shared" ca="1" si="52"/>
        <v/>
      </c>
      <c r="ET52" s="48" t="str">
        <f ca="1">IFERROR(INDEX($ER$3:$ES$400,MATCH(ROWS($ET$3:ET52),$ER$3:$ER$400,0),2),"")</f>
        <v/>
      </c>
      <c r="EV52" s="48">
        <f ca="1">IFERROR(INDEX(LIBRO_GIORNALE!$O$11:$P$408,MATCH(ROWS($EV$2:EV51),LIBRO_GIORNALE!$P$11:$P$408,0),1),0)</f>
        <v>0</v>
      </c>
      <c r="EW52" s="48" t="str">
        <f t="shared" ca="1" si="53"/>
        <v>0</v>
      </c>
      <c r="EX52" s="48">
        <f t="shared" ca="1" si="54"/>
        <v>0</v>
      </c>
      <c r="EY52" s="48">
        <f ca="1">IF(EX52&gt;0,MAX($EY$2:EY51)+1,0)</f>
        <v>0</v>
      </c>
      <c r="EZ52" s="48">
        <f ca="1">IFERROR(INDEX($EX$3:$EX$400,MATCH(ROWS($EZ$3:EZ52),$EY$3:$EY$400,0),1),0)</f>
        <v>0</v>
      </c>
      <c r="FA52" s="48">
        <f ca="1">IF(EZ52&gt;0,0,MAX($FA$2:FA51)+1)</f>
        <v>50</v>
      </c>
      <c r="FB52" s="48">
        <f t="shared" ca="1" si="55"/>
        <v>0</v>
      </c>
      <c r="FC52" s="48">
        <f t="shared" ca="1" si="56"/>
        <v>50</v>
      </c>
      <c r="FD52" s="48">
        <f t="shared" ca="1" si="57"/>
        <v>50</v>
      </c>
      <c r="FE52" s="48">
        <f ca="1">IF(FD52=0,0,MAX($FE$2:FE51)+1)</f>
        <v>50</v>
      </c>
      <c r="FF52" s="48">
        <f ca="1">IFERROR(INDEX($FD$3:$FE$400,MATCH(ROWS($FF$3:FF52),$FE$3:$FE$400,0),1),"")</f>
        <v>50</v>
      </c>
      <c r="FH52" s="48">
        <f t="shared" ca="1" si="58"/>
        <v>0</v>
      </c>
      <c r="FI52" s="48">
        <f ca="1">IF(FH52&lt;&gt;0,MAX($FI$2:FI51)+1,0)</f>
        <v>0</v>
      </c>
      <c r="FJ52" s="48" t="str">
        <f ca="1">IFERROR(INDEX($FH$3:$FI$400,MATCH(ROWS($FJ$3:FJ52),$FI$3:$FI$400,0),1),"")</f>
        <v/>
      </c>
      <c r="FK52" s="48">
        <f ca="1">IF(ABS(SUMIFS(DARE,DEN_G,"="&amp;FJ52,DATA,"&lt;="&amp;FINE_AC,DATA,"&gt;="&amp;INIZIO_A_PC)-SUMIFS(AVERE,DEN_G,"="&amp;FJ52,DATA,"&lt;="&amp;FINE_AC,DATA,"&gt;="&amp;INIZIO_A_PC))&gt;0,MAX($FK$2:FK51)+1,0)</f>
        <v>0</v>
      </c>
      <c r="FL52" s="48" t="str">
        <f ca="1">IF(AND(ROW()-2&lt;&gt;1,ROW()-2&lt;=$FK$1),CONCATENATE(" - ",IFERROR(INDEX($FJ$3:$FK$400,MATCH(ROWS($FL$3:FL52),$FK$3:$FK$400,0),1),"")),IFERROR(INDEX($FJ$3:$FK$400,MATCH(ROWS($FL$3:FL52),$FK$3:$FK$400,0),1),""))</f>
        <v/>
      </c>
      <c r="FM52" s="48">
        <f ca="1">IF(OR(B52="IVA ns/credito",B52="IVA NS/DEBITO",B52="IVA C/ACCONTO",B52="IMPOSTE C/ACCONTO",B52="CREDITI PER RITENUTE SUBITE",B52="CREDITI D'IMPOSTA"),MAX($FM$2:FM51)+1,0)</f>
        <v>0</v>
      </c>
      <c r="FN52" s="48" t="str">
        <f t="shared" ca="1" si="59"/>
        <v/>
      </c>
      <c r="FO52" s="48" t="str">
        <f ca="1">IFERROR(INDEX($FM$3:$FN$400,MATCH(ROWS($FO$3:FO52),$FM$3:$FM$400,0),2),"")</f>
        <v/>
      </c>
      <c r="FP52" s="48">
        <f ca="1">IF(ABS(SUMIFS(DARE,DEN_G,"="&amp;FO52,DATA,"&lt;="&amp;FINE_AC,DATA,"&gt;="&amp;INIZIO_A_PC)-SUMIFS(AVERE,DEN_G,"="&amp;FO52,DATA,"&lt;="&amp;FINE_AC,DATA,"&gt;="&amp;INIZIO_A_PC))&gt;0,MAX($FP$2:FP51)+1,0)</f>
        <v>0</v>
      </c>
      <c r="FQ52" s="48" t="str">
        <f ca="1">IF(AND(ROW()-2&lt;&gt;1,ROW()-2&lt;=$FP$1),CONCATENATE(" - ",IFERROR(INDEX($FO$3:$FP$400,MATCH(ROWS($FQ$3:FQ52),$FP$3:$FP$400,0),1),"")),IFERROR(INDEX($FO$3:$FP$400,MATCH(ROWS($FQ$3:FQ52),$FP$3:$FP$400,0),1),""))</f>
        <v/>
      </c>
    </row>
    <row r="53" spans="1:173" x14ac:dyDescent="0.3">
      <c r="A53" s="48" t="str">
        <f ca="1">IFERROR(IF($A$1=2,INDEX($DH$3:$DN$401,MATCH(ROWS(A$3:A53),$DN$3:$DN$401,0),COLUMN()),IF($A$1=1,INDEX($DQ$3:$DW$401,MATCH(ROWS(A$3:A53),$DW$3:$DW$401,0),COLUMN()),"")),"")</f>
        <v>04.00</v>
      </c>
      <c r="B53" s="48" t="str">
        <f ca="1">IFERROR(IF($A$1=2,INDEX($DH$3:$DN$401,MATCH(ROWS(B$3:B53),$DN$3:$DN$401,0),COLUMN()),IF($A$1=1,INDEX($DQ$3:$DW$400,MATCH(ROWS(B$3:B53),$DW$3:$DW$401,0),COLUMN()),"")),"")</f>
        <v>RIMANENZE</v>
      </c>
      <c r="C53" s="48">
        <f ca="1">IFERROR(IF($A$1=2,INDEX($DH$3:$DN$401,MATCH(ROWS(C$3:C53),$DN$3:$DN$401,0),COLUMN()),IF($A$1=1,INDEX($DQ$3:$DW$401,MATCH(ROWS(C$3:C53),$DW$3:$DW$401,0),COLUMN()),"")),"")</f>
        <v>0</v>
      </c>
      <c r="D53" s="48">
        <f ca="1">IFERROR(IF($A$1=2,INDEX($DH$3:$DN$401,MATCH(ROWS(D$3:D53),$DN$3:$DN$401,0),COLUMN()),IF($A$1=1,INDEX($DQ$3:$DW$401,MATCH(ROWS(D$3:D53),$DW$3:$DW$401,0),COLUMN()),"")),"")</f>
        <v>0</v>
      </c>
      <c r="E53" s="48">
        <f ca="1">IFERROR(IF($A$1=2,INDEX($DH$3:$DN$401,MATCH(ROWS(E$3:E53),$DN$3:$DN$401,0),COLUMN()),IF($A$1=1,INDEX($DQ$3:$DW$401,MATCH(ROWS(E$3:E53),$DW$3:$DW$401,0),COLUMN()),"")),"")</f>
        <v>0</v>
      </c>
      <c r="F53" s="48">
        <f ca="1">IFERROR(IF($A$1=2,INDEX($DH$3:$DN$401,MATCH(ROWS(F$3:F53),$DN$3:$DN$401,0),COLUMN()),IF($A$1=1,INDEX($DQ$3:$DX$401,MATCH(ROWS(F$3:F53),$DW$3:$DW$401,0),COLUMN()),"")),"")</f>
        <v>0</v>
      </c>
      <c r="G53" s="48" t="str">
        <f t="shared" ca="1" si="23"/>
        <v>0</v>
      </c>
      <c r="H53" s="48">
        <f ca="1">IFERROR(IF($A$1=2,INDEX($DH$3:$DO$400,MATCH(ROWS(H$3:H53),$DN$3:$DN$400,0),COLUMN()),IF($A$1=1,INDEX($DQ$3:$DX$400,MATCH(ROWS(H$3:H53),$DW$3:$DW$400,0),COLUMN()),"")),"")</f>
        <v>0</v>
      </c>
      <c r="I53" s="48" t="str">
        <f t="shared" ca="1" si="0"/>
        <v/>
      </c>
      <c r="J53" s="48" t="str">
        <f t="shared" ca="1" si="24"/>
        <v/>
      </c>
      <c r="K53" s="48">
        <f t="shared" ca="1" si="25"/>
        <v>0</v>
      </c>
      <c r="L53" s="48">
        <f t="shared" ca="1" si="26"/>
        <v>0</v>
      </c>
      <c r="M53" s="48">
        <f ca="1">IFERROR(IF(IF(MID($A53,3,3)=".00",MID(A53,1,2),"")&lt;&gt;"",MAX($M$2:M52)+1,0),"")</f>
        <v>5</v>
      </c>
      <c r="N53" s="48" t="str">
        <f t="shared" ca="1" si="27"/>
        <v>04</v>
      </c>
      <c r="O53" s="48">
        <v>3</v>
      </c>
      <c r="P53" s="48" t="str">
        <f t="shared" ca="1" si="117"/>
        <v/>
      </c>
      <c r="Q53" s="48">
        <f ca="1">IF(M53&gt;=1,0,MAX($Q$2:Q52)+1)</f>
        <v>0</v>
      </c>
      <c r="R53" s="48">
        <f ca="1">IF(AND($U$2=2,S53&lt;&gt;""),MAX($R$2:R52)+1,0)</f>
        <v>35</v>
      </c>
      <c r="S53" s="48" t="str">
        <f t="shared" ca="1" si="81"/>
        <v>RIVALUTAZIONI DI ATTIVITÀ FINANZIARIE</v>
      </c>
      <c r="T53" s="48" t="str">
        <f ca="1">IFERROR(INDEX($R$3:$S$64,MATCH(ROWS($T$2:T52),$R$3:$R$64,0),2),"")</f>
        <v/>
      </c>
      <c r="U53" s="48" t="str">
        <f ca="1">IFERROR(INDEX(PDC,MATCH(ROWS(U$3:U53),$V$3:$V$400,0),2),"")</f>
        <v>SEMILAVORATI</v>
      </c>
      <c r="V53" s="48">
        <f ca="1">IF(AND($T$1="VISUALIZZA TUTTI I CONTI",AA53&lt;&gt;""),MAX($V$2:V52)+1,IF(AND($U$2=2,AI53=$T$1),MAX($V$2:V52)+1,IF(AND($U$2=1,$T$1=AF53),MAX($V$2:V52)+1,0)))</f>
        <v>51</v>
      </c>
      <c r="Z53" s="246"/>
      <c r="AA53" s="48" t="str">
        <f t="shared" ca="1" si="29"/>
        <v>04.00</v>
      </c>
      <c r="AB53" s="48" t="str">
        <f ca="1">IFERROR(INDEX($A$3:$G$400,MATCH(ROWS(AB$3:AB53),$Q$3:$Q$400,0),1),"")</f>
        <v>04.05</v>
      </c>
      <c r="AC53" s="48" t="str">
        <f ca="1">IFERROR(INDEX($A$3:$G$400,MATCH(ROWS($AC$3:AC53),$Q$3:$Q$400,0),2),"")</f>
        <v>SEMILAVORATI</v>
      </c>
      <c r="AD53" s="48" t="str">
        <f ca="1">IFERROR(INDEX($A$3:$G$400,MATCH(ROWS(AD$3:AD53),$Q$3:$Q$400,0),3),"")</f>
        <v>E</v>
      </c>
      <c r="AE53" s="48" t="str">
        <f ca="1">IFERROR(INDEX($A$3:$G$400,MATCH(ROWS(AE$3:AE53),$Q$3:$Q$400,0),4),"")</f>
        <v>D</v>
      </c>
      <c r="AF53" s="48" t="str">
        <f ca="1">IFERROR(INDEX($A$3:$G$400,MATCH(ROWS(AF$3:AF53),$Q$3:$Q$400,0),5),"")</f>
        <v>COSTI SOSPESI</v>
      </c>
      <c r="AG53" s="48" t="str">
        <f ca="1">IFERROR(INDEX($A$3:$G$400,MATCH(ROWS(AG$3:AG53),$Q$3:$Q$400,0),6),"")</f>
        <v>SP DARE</v>
      </c>
      <c r="AH53" s="48" t="str">
        <f ca="1">IFERROR(INDEX($A$3:$G$400,MATCH(ROWS(AH$3:AH53),$Q$3:$Q$400,0),7),"")</f>
        <v>SP</v>
      </c>
      <c r="AI53" s="48" t="str">
        <f t="shared" ca="1" si="1"/>
        <v>RIMANENZE</v>
      </c>
      <c r="AJ53" s="48" t="str">
        <f ca="1">IFERROR(INDEX($A$3:$H$400,MATCH(ROWS(AJ$3:AJ53),$Q$3:$Q$400,0),8),"")</f>
        <v>pac1</v>
      </c>
      <c r="AK53" s="48">
        <f t="shared" ca="1" si="2"/>
        <v>0</v>
      </c>
      <c r="AL53" s="48">
        <f t="shared" ca="1" si="95"/>
        <v>0</v>
      </c>
      <c r="AM53" s="48">
        <f t="shared" ca="1" si="30"/>
        <v>0</v>
      </c>
      <c r="AN53" s="48" t="str">
        <f t="shared" ca="1" si="31"/>
        <v/>
      </c>
      <c r="AO53" s="48">
        <f t="shared" ca="1" si="32"/>
        <v>0</v>
      </c>
      <c r="AP53" s="48">
        <f t="shared" ca="1" si="32"/>
        <v>0</v>
      </c>
      <c r="AQ53" s="48" t="str">
        <f t="shared" ca="1" si="4"/>
        <v>SEMILAVORATI</v>
      </c>
      <c r="AR53" s="48">
        <f t="shared" ca="1" si="5"/>
        <v>0</v>
      </c>
      <c r="AS53" s="48">
        <f t="shared" ca="1" si="6"/>
        <v>0</v>
      </c>
      <c r="AT53" s="48">
        <f t="shared" ca="1" si="33"/>
        <v>0</v>
      </c>
      <c r="AU53" s="48">
        <f t="shared" ca="1" si="34"/>
        <v>0</v>
      </c>
      <c r="AV53" s="48">
        <f ca="1">IF(OR(AT53&gt;0,AU53&gt;0),MAX($AV$2:AV52)+1,0)</f>
        <v>0</v>
      </c>
      <c r="AZ53" s="241" t="str">
        <f t="shared" ca="1" si="35"/>
        <v/>
      </c>
      <c r="BA53" s="48">
        <f t="shared" ca="1" si="96"/>
        <v>0</v>
      </c>
      <c r="BB53" s="48">
        <f ca="1">IFERROR(INDEX($AQ$3:$AV$220,MATCH(ROWS($BB$3:BB53),$AV$3:$AV$220,0),1),0)</f>
        <v>0</v>
      </c>
      <c r="BC53" s="48" t="str">
        <f t="shared" ca="1" si="36"/>
        <v/>
      </c>
      <c r="BD53" s="48">
        <f ca="1">IFERROR(INDEX($AQ$3:$AV$220,MATCH(ROWS($BB$3:BD53),$AV$3:$AV$220,0),4),0)</f>
        <v>0</v>
      </c>
      <c r="BE53" s="48">
        <f ca="1">IFERROR(INDEX($AQ$3:$AV$220,MATCH(ROWS($BB$3:BE53),$AV$3:$AV$220,0),5),0)</f>
        <v>0</v>
      </c>
      <c r="BG53" s="48">
        <f ca="1">IF(IF(AND(OR(INDEX(PDC,MATCH($AC53,DEN_PDC,0),6)="SP DARE",INDEX(PDC,MATCH($AC53,DEN_PDC,0),6)="SP DARE/AVERE"),SUMIFS(DARE,DEN_G,$AC53)&gt;=SUMIFS(AVERE,DEN_G,$AC53)),SUMIFS(DARE,DEN_G,$AC53)-SUMIFS(AVERE,DEN_G,$AC53),0)&gt;0,MAX($BG$2:BG52)+1,0)</f>
        <v>0</v>
      </c>
      <c r="BH53" s="48">
        <f ca="1">IF(IF(AND(OR(INDEX(PDC,MATCH($AC53,DEN_PDC,0),6)="SP AVERE",INDEX(PDC,MATCH($AC53,DEN_PDC,0),6)="SP DARE/AVERE"),SUMIFS(AVERE,DEN_G,$AC53)&gt;=SUMIFS(DARE,DEN_G,$AC53)),SUMIFS(AVERE,DEN_G,$AC53)-SUMIFS(DARE,DEN_G,$AC53),0)&gt;0,MAX(BH$2:BH52)+1,0)</f>
        <v>0</v>
      </c>
      <c r="BI53" s="48">
        <f ca="1">IF(IF(AND(OR(INDEX(PDC,MATCH($AC53,DEN_PDC,0),6)="SE DARE",INDEX(PDC,MATCH($AC53,DEN_PDC,0),6)="SE DARE/AVERE"),SUMIFS(DARE,DEN_G,$AC53)&gt;=SUMIFS(AVERE,DEN_G,$AC53)),SUMIFS(DARE,DEN_G,$AC53)-SUMIFS(AVERE,DEN_G,$AC53),0)&gt;0,MAX(BI$2:BI52)+1,0)</f>
        <v>0</v>
      </c>
      <c r="BJ53" s="48">
        <f ca="1">IF(IF(AND(OR(INDEX(PDC,MATCH($AC53,DEN_PDC,0),6)="SE AVERE",INDEX(PDC,MATCH($AC53,DEN_PDC,0),6)="SE DARE/AVERE"),SUMIFS(AVERE,DEN_G,$AC53)&gt;=SUMIFS(DARE,DEN_G,$AC53)),SUMIFS(AVERE,DEN_G,$AC53)-SUMIFS(DARE,DEN_G,$AC53),0)&gt;0,MAX(BJ$2:BJ52)+1,0)</f>
        <v>0</v>
      </c>
      <c r="BK53" s="48" t="str">
        <f ca="1">IF(AND(AND($DY$2=0,$DY$1=0),$I$1=2,ROW()&gt;$BG$1+2,ROW()&lt;=$BG$1+4),"………………..",IF(AND(OR($DY$2&gt;0,$DY$1&gt;0),$I$1=2,ROW()&gt;$BG$1+2,ROW()&lt;=$BG$1+4),"………………..",IFERROR(INDEX($AC$3:$AC$398,MATCH(ROWS(BK$3:BK53),BG$3:BG$398,0),1),"")))</f>
        <v/>
      </c>
      <c r="BL53" s="48">
        <f t="shared" ca="1" si="69"/>
        <v>0</v>
      </c>
      <c r="BM53" s="48" t="str">
        <f ca="1">IF(AND(OR($DY$2=0,$DY$1=0),$I$1=2,ROW()&gt;$BH$1+2,ROW()&lt;=$BH$1+4),"………………..",IF(AND(OR($DY$2&gt;0,$DY$1&gt;0),$I$1=2,ROW()&gt;$BH$1+2,ROW()&lt;=$BH$1+4),"………………..",IFERROR(INDEX($AC$3:$AC$400,MATCH(ROWS(BM$3:BM53),BH$3:BH$400,0),1),"")))</f>
        <v/>
      </c>
      <c r="BN53" s="48">
        <f t="shared" ca="1" si="9"/>
        <v>0</v>
      </c>
      <c r="BO53" s="48" t="str">
        <f ca="1">IF(AND(OR($DY$2=0,$DY$1=0),$I$1=2,ROW()&gt;$BI$1+2,ROW()&lt;=$BI$1+4),"………………..",IF(AND(OR($DY$2&gt;0,$DY$1&gt;0),$I$1=2,ROW()&gt;$BI$1+2,ROW()&lt;=$BI$1+4),"………………..",IFERROR(INDEX($AC$3:$AC$400,MATCH(ROWS(BO$3:BO53),BI$3:BI$400,0),1),"")))</f>
        <v/>
      </c>
      <c r="BP53" s="48">
        <f t="shared" ca="1" si="10"/>
        <v>0</v>
      </c>
      <c r="BQ53" s="48" t="str">
        <f ca="1">IF(AND(OR($DY$2=0,$DY$1=0),$I$1=2,ROW()&gt;$BJ$1+2,ROW()&lt;=$BJ$1+4),"………………..",IF(AND(OR($DY$2&gt;0,$DY$1&gt;0),$I$1=2,ROW()&gt;$BJ$1+2,ROW()&lt;=$BJ$1+4),"………………..",IFERROR(INDEX($AC$3:$AC$400,MATCH(ROWS(BQ$3:BQ53),BJ$3:BJ$400,0),1),"")))</f>
        <v/>
      </c>
      <c r="BR53" s="48">
        <f t="shared" ca="1" si="11"/>
        <v>0</v>
      </c>
      <c r="BS53" s="48">
        <f ca="1">IF(IF(AND(OR(INDEX(PDC,MATCH($AC53,DEN_PDC,0),4)="D",INDEX(PDC,MATCH($AC53,DEN_PDC,0),4)="D/A"),SUMIFS(DARE,DEN_G,$AC53)&gt;=SUMIFS(AVERE,DEN_G,$AC53)),SUMIFS(DARE,DEN_G,$AC53),IF(AND(OR(INDEX(PDC,MATCH($AC53,DEN_PDC,0),4)="A",INDEX(PDC,MATCH($AC53,DEN_PDC,0),4)="D/A"),SUMIFS(AVERE,DEN_G,$AC53)&gt;=SUMIFS(DARE,DEN_G,$AC53)),SUMIFS(AVERE,DEN_G,$AC53),))&gt;0,MAX($BS$2:BS52)+1,0)</f>
        <v>0</v>
      </c>
      <c r="BT53" s="48" t="str">
        <f ca="1">IF($CO$1=0,"",IF(AND($I$1=2,ROW()&gt;$BR$1,ROW()&lt;=$BS$1)," …………….",IF(AND($E$1=1,$BX$1=1,$I$1=2,ROW()=$BQ$1),"TOTALI",IFERROR(INDEX(PDC,MATCH(ROWS(BT$3:BT53),BS$3:BS450,0),2),""))))</f>
        <v/>
      </c>
      <c r="BU53" s="48">
        <f t="shared" ca="1" si="12"/>
        <v>0</v>
      </c>
      <c r="BV53" s="48">
        <f t="shared" ca="1" si="13"/>
        <v>0</v>
      </c>
      <c r="BW53" s="48">
        <f t="shared" ca="1" si="14"/>
        <v>0</v>
      </c>
      <c r="BX53" s="48">
        <f t="shared" ca="1" si="15"/>
        <v>0</v>
      </c>
      <c r="BY53" s="48">
        <f ca="1">IF(OR(BW53&gt;0,BX53&gt;0),MAX($BY$2:BY52)+1,0)</f>
        <v>0</v>
      </c>
      <c r="BZ53" s="48" t="str">
        <f ca="1">IFERROR(INDEX($BT$3:$BY$400,MATCH(ROWS(BZ$3:BZ53),$BY$3:$BY$400,0),1),"")</f>
        <v/>
      </c>
      <c r="CA53" s="48" t="str">
        <f ca="1">IFERROR(INDEX($BT$3:$BY$400,MATCH(ROWS(CA$3:CA53),$BY$3:$BY$400,0),4),"")</f>
        <v/>
      </c>
      <c r="CB53" s="48" t="str">
        <f ca="1">IFERROR(INDEX($BT$3:$BY$400,MATCH(ROWS(CB$3:CB53),$BY$3:$BY$400,0),5),"")</f>
        <v/>
      </c>
      <c r="CC53" s="48" t="str">
        <f t="shared" ca="1" si="16"/>
        <v/>
      </c>
      <c r="CD53" s="48">
        <f ca="1">IF(AND($BF$9=1,CE53&lt;&gt;0),MAX($CD$2:CD52)+1,0)</f>
        <v>0</v>
      </c>
      <c r="CE53" s="48">
        <f ca="1">IF(ROUND(SUMIFS(COPIA!$CA$3:$CA$400,COPIA!$CC$3:$CC$400,CF53)-SUMIFS(COPIA!$CB$3:$CB$400,COPIA!$CC$3:$CC$400,CF53),0)&lt;0,0,ROUND(SUMIFS(COPIA!$CA$3:$CA$400,COPIA!$CC$3:$CC$400,CF53)-SUMIFS(COPIA!$CB$3:$CB$400,COPIA!$CC$3:$CC$400,CF53),0))</f>
        <v>0</v>
      </c>
      <c r="CF53" s="48" t="s">
        <v>630</v>
      </c>
      <c r="CG53" s="242" t="s">
        <v>521</v>
      </c>
      <c r="CH53" s="242">
        <f t="shared" ca="1" si="112"/>
        <v>0</v>
      </c>
      <c r="CI53" s="242"/>
      <c r="CJ53" s="242">
        <f ca="1">SUMIFS(COPIA!$CA$3:$CA$400,COPIA!$CC$3:$CC$400,CF53)-SUMIFS(COPIA!$CB$3:$CB$400,COPIA!$CC$3:$CC$400,CF53)</f>
        <v>0</v>
      </c>
      <c r="CK53" s="48">
        <f ca="1">IF($CF$2=FALSE,0,IF(AND($BF$9=1,CJ53&lt;&gt;0),MAX($CK$21:CK52)+1,0))</f>
        <v>0</v>
      </c>
      <c r="CL53" s="48" t="s">
        <v>688</v>
      </c>
      <c r="CM53" s="242" t="str">
        <f t="shared" ca="1" si="37"/>
        <v/>
      </c>
      <c r="CN53" s="243">
        <f t="shared" ca="1" si="38"/>
        <v>0</v>
      </c>
      <c r="CO53" s="48" t="str">
        <f t="shared" ca="1" si="39"/>
        <v/>
      </c>
      <c r="CQ53" s="242"/>
      <c r="CR53" s="242">
        <f t="shared" ca="1" si="114"/>
        <v>2029</v>
      </c>
      <c r="CS53" s="48">
        <f t="shared" ca="1" si="115"/>
        <v>0</v>
      </c>
      <c r="CT53" s="242"/>
      <c r="CU53" s="48">
        <f ca="1">IF(SUMIFS(AVERE,DEN_G,AC53,AVERE,"&gt;"&amp;0)+SUMIFS(DARE,DEN_G,AC53,DARE,"&gt;"&amp;0)&gt;0,MAX($CU$2:CU52)+1,0)</f>
        <v>0</v>
      </c>
      <c r="CV53" s="48" t="str">
        <f ca="1">IF(IFERROR(INDEX(PDC,MATCH(ROWS($CV$3:CV53),$CU$3:$CU$400,0),2),"")="CONTO DI RISULTATO ECONOMICO","",IFERROR(INDEX(PDC,MATCH(ROWS($CV$3:CV53),$CU$3:$CU$400,0),2),""))</f>
        <v/>
      </c>
      <c r="CW53" s="48">
        <f ca="1">IFERROR(IF(CV53&lt;&gt;"",MAX($CW$2:CW52)+1,0),0)</f>
        <v>0</v>
      </c>
      <c r="CX53" s="48">
        <f t="shared" ca="1" si="103"/>
        <v>4</v>
      </c>
      <c r="CY53" s="48" t="str">
        <f t="shared" ca="1" si="100"/>
        <v>MASTRO</v>
      </c>
      <c r="CZ53" s="48" t="e">
        <f t="shared" ca="1" si="107"/>
        <v>#N/A</v>
      </c>
      <c r="DA53" s="48" t="str">
        <f t="shared" ca="1" si="111"/>
        <v/>
      </c>
      <c r="DB53" s="48" t="str">
        <f t="shared" ca="1" si="76"/>
        <v/>
      </c>
      <c r="DC53" s="48" t="str">
        <f t="shared" ca="1" si="108"/>
        <v/>
      </c>
      <c r="DD53" s="48" t="str">
        <f t="shared" ca="1" si="109"/>
        <v/>
      </c>
      <c r="DE53" s="48" t="str">
        <f t="shared" ca="1" si="110"/>
        <v/>
      </c>
      <c r="DF53" s="48">
        <f ca="1">IF(AND(CX53=$DF$1,CX53&lt;&gt;""),0,IF(AND(DB53&lt;&gt;"",OR(DB52&lt;&gt;"",DB54&lt;&gt;"")),MAX($DF$2:DF52)+1,0))</f>
        <v>0</v>
      </c>
      <c r="DH53" s="244" t="s">
        <v>40</v>
      </c>
      <c r="DI53" s="48" t="s">
        <v>473</v>
      </c>
      <c r="DJ53" s="48" t="s">
        <v>311</v>
      </c>
      <c r="DK53" s="48" t="s">
        <v>298</v>
      </c>
      <c r="DL53" s="48" t="s">
        <v>318</v>
      </c>
      <c r="DM53" s="48" t="s">
        <v>299</v>
      </c>
      <c r="DN53" s="48">
        <f ca="1">IF(DI53&lt;&gt;"",MAX($DN$2:DN52)+1,0)</f>
        <v>36</v>
      </c>
      <c r="DO53" s="48" t="str">
        <f t="shared" ca="1" si="116"/>
        <v>pab2</v>
      </c>
      <c r="DQ53" s="227" t="s">
        <v>29</v>
      </c>
      <c r="DR53" s="48" t="s">
        <v>340</v>
      </c>
      <c r="DS53" s="48" t="s">
        <v>311</v>
      </c>
      <c r="DT53" s="48" t="s">
        <v>275</v>
      </c>
      <c r="DU53" s="48" t="s">
        <v>9</v>
      </c>
      <c r="DV53" s="48" t="s">
        <v>270</v>
      </c>
      <c r="DW53" s="48">
        <f ca="1">IF(DR53&lt;&gt;"",MAX($DW$2:DW52)+1,0)</f>
        <v>19</v>
      </c>
      <c r="DX53" s="48" t="str">
        <f ca="1">IF($BF$9=1,"pab23","pab2")</f>
        <v>pab2</v>
      </c>
      <c r="DY53" s="48" t="str">
        <f t="shared" ca="1" si="19"/>
        <v/>
      </c>
      <c r="DZ53" s="48" t="str">
        <f t="shared" ca="1" si="40"/>
        <v/>
      </c>
      <c r="EA53" s="48" t="str">
        <f t="shared" ca="1" si="41"/>
        <v/>
      </c>
      <c r="EB53" s="48">
        <f t="shared" ca="1" si="42"/>
        <v>0</v>
      </c>
      <c r="EC53" s="48">
        <f t="shared" ca="1" si="43"/>
        <v>0</v>
      </c>
      <c r="ED53" s="48" t="str">
        <f t="shared" ca="1" si="44"/>
        <v/>
      </c>
      <c r="EE53" s="48">
        <f t="shared" ca="1" si="45"/>
        <v>0</v>
      </c>
      <c r="EF53" s="48" t="str">
        <f t="shared" ca="1" si="46"/>
        <v/>
      </c>
      <c r="EG53" s="48">
        <f t="shared" ca="1" si="47"/>
        <v>0</v>
      </c>
      <c r="EH53" s="48" t="str">
        <f t="shared" ca="1" si="48"/>
        <v/>
      </c>
      <c r="EI53" s="48">
        <f t="shared" ca="1" si="49"/>
        <v>0</v>
      </c>
      <c r="EJ53" s="48" t="str">
        <f t="shared" ca="1" si="50"/>
        <v/>
      </c>
      <c r="EK53" s="48">
        <f t="shared" ca="1" si="51"/>
        <v>0</v>
      </c>
      <c r="EL53" s="48">
        <f t="shared" ca="1" si="20"/>
        <v>0</v>
      </c>
      <c r="EM53" s="48">
        <f ca="1">IF(EL53&gt;=0,0,MAX($EM$2:EM52)+1)</f>
        <v>0</v>
      </c>
      <c r="EN53" s="48" t="str">
        <f t="shared" ca="1" si="21"/>
        <v/>
      </c>
      <c r="EO53" s="48" t="str">
        <f ca="1">IFERROR(INDEX($EM$3:$EN$400,MATCH(ROWS($EO$3:EO53),$EM$3:$EM$400,0),2),"")</f>
        <v/>
      </c>
      <c r="EP53" s="48">
        <f>ROW()</f>
        <v>53</v>
      </c>
      <c r="EQ53" s="48">
        <f t="shared" ca="1" si="22"/>
        <v>0</v>
      </c>
      <c r="ER53" s="48">
        <f ca="1">IF(ISNA(EQ53)=TRUE,MAX($ER$2:ER52)+1,0)</f>
        <v>0</v>
      </c>
      <c r="ES53" s="48" t="str">
        <f t="shared" ca="1" si="52"/>
        <v/>
      </c>
      <c r="ET53" s="48" t="str">
        <f ca="1">IFERROR(INDEX($ER$3:$ES$400,MATCH(ROWS($ET$3:ET53),$ER$3:$ER$400,0),2),"")</f>
        <v/>
      </c>
      <c r="EU53" s="48">
        <f ca="1">IF(ROUND(SUMIFS(COPIA!$CA$3:$CA$400,COPIA!$CC$3:$CC$400,CF53)-SUMIFS(COPIA!$CB$3:$CB$400,COPIA!$CC$3:$CC$400,CF53),0)&lt;0,1,0)</f>
        <v>0</v>
      </c>
      <c r="EV53" s="48">
        <f ca="1">IFERROR(INDEX(LIBRO_GIORNALE!$O$11:$P$408,MATCH(ROWS($EV$2:EV52),LIBRO_GIORNALE!$P$11:$P$408,0),1),0)</f>
        <v>0</v>
      </c>
      <c r="EW53" s="48" t="str">
        <f t="shared" ca="1" si="53"/>
        <v>0</v>
      </c>
      <c r="EX53" s="48">
        <f t="shared" ca="1" si="54"/>
        <v>0</v>
      </c>
      <c r="EY53" s="48">
        <f ca="1">IF(EX53&gt;0,MAX($EY$2:EY52)+1,0)</f>
        <v>0</v>
      </c>
      <c r="EZ53" s="48">
        <f ca="1">IFERROR(INDEX($EX$3:$EX$400,MATCH(ROWS($EZ$3:EZ53),$EY$3:$EY$400,0),1),0)</f>
        <v>0</v>
      </c>
      <c r="FA53" s="48">
        <f ca="1">IF(EZ53&gt;0,0,MAX($FA$2:FA52)+1)</f>
        <v>51</v>
      </c>
      <c r="FB53" s="48">
        <f t="shared" ca="1" si="55"/>
        <v>0</v>
      </c>
      <c r="FC53" s="48">
        <f t="shared" ca="1" si="56"/>
        <v>51</v>
      </c>
      <c r="FD53" s="48">
        <f t="shared" ca="1" si="57"/>
        <v>51</v>
      </c>
      <c r="FE53" s="48">
        <f ca="1">IF(FD53=0,0,MAX($FE$2:FE52)+1)</f>
        <v>51</v>
      </c>
      <c r="FF53" s="48">
        <f ca="1">IFERROR(INDEX($FD$3:$FE$400,MATCH(ROWS($FF$3:FF53),$FE$3:$FE$400,0),1),"")</f>
        <v>51</v>
      </c>
      <c r="FH53" s="48">
        <f t="shared" ca="1" si="58"/>
        <v>0</v>
      </c>
      <c r="FI53" s="48">
        <f ca="1">IF(FH53&lt;&gt;0,MAX($FI$2:FI52)+1,0)</f>
        <v>0</v>
      </c>
      <c r="FJ53" s="48" t="str">
        <f ca="1">IFERROR(INDEX($FH$3:$FI$400,MATCH(ROWS($FJ$3:FJ53),$FI$3:$FI$400,0),1),"")</f>
        <v/>
      </c>
      <c r="FK53" s="48">
        <f ca="1">IF(ABS(SUMIFS(DARE,DEN_G,"="&amp;FJ53,DATA,"&lt;="&amp;FINE_AC,DATA,"&gt;="&amp;INIZIO_A_PC)-SUMIFS(AVERE,DEN_G,"="&amp;FJ53,DATA,"&lt;="&amp;FINE_AC,DATA,"&gt;="&amp;INIZIO_A_PC))&gt;0,MAX($FK$2:FK52)+1,0)</f>
        <v>0</v>
      </c>
      <c r="FL53" s="48" t="str">
        <f ca="1">IF(AND(ROW()-2&lt;&gt;1,ROW()-2&lt;=$FK$1),CONCATENATE(" - ",IFERROR(INDEX($FJ$3:$FK$400,MATCH(ROWS($FL$3:FL53),$FK$3:$FK$400,0),1),"")),IFERROR(INDEX($FJ$3:$FK$400,MATCH(ROWS($FL$3:FL53),$FK$3:$FK$400,0),1),""))</f>
        <v/>
      </c>
      <c r="FM53" s="48">
        <f ca="1">IF(OR(B53="IVA ns/credito",B53="IVA NS/DEBITO",B53="IVA C/ACCONTO",B53="IMPOSTE C/ACCONTO",B53="CREDITI PER RITENUTE SUBITE",B53="CREDITI D'IMPOSTA"),MAX($FM$2:FM52)+1,0)</f>
        <v>0</v>
      </c>
      <c r="FN53" s="48" t="str">
        <f t="shared" ca="1" si="59"/>
        <v/>
      </c>
      <c r="FO53" s="48" t="str">
        <f ca="1">IFERROR(INDEX($FM$3:$FN$400,MATCH(ROWS($FO$3:FO53),$FM$3:$FM$400,0),2),"")</f>
        <v/>
      </c>
      <c r="FP53" s="48">
        <f ca="1">IF(ABS(SUMIFS(DARE,DEN_G,"="&amp;FO53,DATA,"&lt;="&amp;FINE_AC,DATA,"&gt;="&amp;INIZIO_A_PC)-SUMIFS(AVERE,DEN_G,"="&amp;FO53,DATA,"&lt;="&amp;FINE_AC,DATA,"&gt;="&amp;INIZIO_A_PC))&gt;0,MAX($FP$2:FP52)+1,0)</f>
        <v>0</v>
      </c>
      <c r="FQ53" s="48" t="str">
        <f ca="1">IF(AND(ROW()-2&lt;&gt;1,ROW()-2&lt;=$FP$1),CONCATENATE(" - ",IFERROR(INDEX($FO$3:$FP$400,MATCH(ROWS($FQ$3:FQ53),$FP$3:$FP$400,0),1),"")),IFERROR(INDEX($FO$3:$FP$400,MATCH(ROWS($FQ$3:FQ53),$FP$3:$FP$400,0),1),""))</f>
        <v/>
      </c>
    </row>
    <row r="54" spans="1:173" x14ac:dyDescent="0.3">
      <c r="A54" s="48" t="str">
        <f ca="1">IFERROR(IF($A$1=2,INDEX($DH$3:$DN$401,MATCH(ROWS(A$3:A54),$DN$3:$DN$401,0),COLUMN()),IF($A$1=1,INDEX($DQ$3:$DW$401,MATCH(ROWS(A$3:A54),$DW$3:$DW$401,0),COLUMN()),"")),"")</f>
        <v>04.01</v>
      </c>
      <c r="B54" s="48" t="str">
        <f ca="1">IFERROR(IF($A$1=2,INDEX($DH$3:$DN$401,MATCH(ROWS(B$3:B54),$DN$3:$DN$401,0),COLUMN()),IF($A$1=1,INDEX($DQ$3:$DW$400,MATCH(ROWS(B$3:B54),$DW$3:$DW$401,0),COLUMN()),"")),"")</f>
        <v>MATERIE PRIME</v>
      </c>
      <c r="C54" s="48" t="str">
        <f ca="1">IFERROR(IF($A$1=2,INDEX($DH$3:$DN$401,MATCH(ROWS(C$3:C54),$DN$3:$DN$401,0),COLUMN()),IF($A$1=1,INDEX($DQ$3:$DW$401,MATCH(ROWS(C$3:C54),$DW$3:$DW$401,0),COLUMN()),"")),"")</f>
        <v>E</v>
      </c>
      <c r="D54" s="48" t="str">
        <f ca="1">IFERROR(IF($A$1=2,INDEX($DH$3:$DN$401,MATCH(ROWS(D$3:D54),$DN$3:$DN$401,0),COLUMN()),IF($A$1=1,INDEX($DQ$3:$DW$401,MATCH(ROWS(D$3:D54),$DW$3:$DW$401,0),COLUMN()),"")),"")</f>
        <v>D</v>
      </c>
      <c r="E54" s="48" t="str">
        <f ca="1">IFERROR(IF($A$1=2,INDEX($DH$3:$DN$401,MATCH(ROWS(E$3:E54),$DN$3:$DN$401,0),COLUMN()),IF($A$1=1,INDEX($DQ$3:$DW$401,MATCH(ROWS(E$3:E54),$DW$3:$DW$401,0),COLUMN()),"")),"")</f>
        <v>COSTI SOSPESI</v>
      </c>
      <c r="F54" s="48" t="str">
        <f ca="1">IFERROR(IF($A$1=2,INDEX($DH$3:$DN$401,MATCH(ROWS(F$3:F54),$DN$3:$DN$401,0),COLUMN()),IF($A$1=1,INDEX($DQ$3:$DX$401,MATCH(ROWS(F$3:F54),$DW$3:$DW$401,0),COLUMN()),"")),"")</f>
        <v>SP DARE</v>
      </c>
      <c r="G54" s="48" t="str">
        <f t="shared" ca="1" si="23"/>
        <v>SP</v>
      </c>
      <c r="H54" s="48" t="str">
        <f ca="1">IFERROR(IF($A$1=2,INDEX($DH$3:$DO$400,MATCH(ROWS(H$3:H54),$DN$3:$DN$400,0),COLUMN()),IF($A$1=1,INDEX($DQ$3:$DX$400,MATCH(ROWS(H$3:H54),$DW$3:$DW$400,0),COLUMN()),"")),"")</f>
        <v>pac1</v>
      </c>
      <c r="I54" s="48" t="str">
        <f t="shared" ca="1" si="0"/>
        <v/>
      </c>
      <c r="J54" s="48" t="str">
        <f t="shared" ca="1" si="24"/>
        <v/>
      </c>
      <c r="K54" s="48">
        <f t="shared" ca="1" si="25"/>
        <v>0</v>
      </c>
      <c r="L54" s="48">
        <f t="shared" ca="1" si="26"/>
        <v>0</v>
      </c>
      <c r="M54" s="48">
        <f ca="1">IFERROR(IF(IF(MID($A54,3,3)=".00",MID(A54,1,2),"")&lt;&gt;"",MAX($M$2:M53)+1,0),"")</f>
        <v>0</v>
      </c>
      <c r="N54" s="48" t="str">
        <f t="shared" ca="1" si="27"/>
        <v/>
      </c>
      <c r="O54" s="48">
        <v>4</v>
      </c>
      <c r="P54" s="48" t="str">
        <f t="shared" ca="1" si="117"/>
        <v/>
      </c>
      <c r="Q54" s="48">
        <f ca="1">IF(M54&gt;=1,0,MAX($Q$2:Q53)+1)</f>
        <v>47</v>
      </c>
      <c r="R54" s="48">
        <f ca="1">IF(AND($U$2=2,S54&lt;&gt;""),MAX($R$2:R53)+1,0)</f>
        <v>36</v>
      </c>
      <c r="S54" s="48" t="str">
        <f t="shared" ca="1" si="81"/>
        <v>SVALUTAZIONI DI ATTIVITÀ FINANZIARIE</v>
      </c>
      <c r="T54" s="48" t="str">
        <f ca="1">IFERROR(INDEX($R$3:$S$64,MATCH(ROWS($T$2:T53),$R$3:$R$64,0),2),"")</f>
        <v/>
      </c>
      <c r="U54" s="48" t="str">
        <f ca="1">IFERROR(INDEX(PDC,MATCH(ROWS(U$3:U54),$V$3:$V$400,0),2),"")</f>
        <v>PRODOTTI FINITI</v>
      </c>
      <c r="V54" s="48">
        <f ca="1">IF(AND($T$1="VISUALIZZA TUTTI I CONTI",AA54&lt;&gt;""),MAX($V$2:V53)+1,IF(AND($U$2=2,AI54=$T$1),MAX($V$2:V53)+1,IF(AND($U$2=1,$T$1=AF54),MAX($V$2:V53)+1,0)))</f>
        <v>52</v>
      </c>
      <c r="Z54" s="246"/>
      <c r="AA54" s="48" t="str">
        <f t="shared" ca="1" si="29"/>
        <v>04.00</v>
      </c>
      <c r="AB54" s="48" t="str">
        <f ca="1">IFERROR(INDEX($A$3:$G$400,MATCH(ROWS(AB$3:AB54),$Q$3:$Q$400,0),1),"")</f>
        <v>04.06</v>
      </c>
      <c r="AC54" s="48" t="str">
        <f ca="1">IFERROR(INDEX($A$3:$G$400,MATCH(ROWS($AC$3:AC54),$Q$3:$Q$400,0),2),"")</f>
        <v>PRODOTTI FINITI</v>
      </c>
      <c r="AD54" s="48" t="str">
        <f ca="1">IFERROR(INDEX($A$3:$G$400,MATCH(ROWS(AD$3:AD54),$Q$3:$Q$400,0),3),"")</f>
        <v>E</v>
      </c>
      <c r="AE54" s="48" t="str">
        <f ca="1">IFERROR(INDEX($A$3:$G$400,MATCH(ROWS(AE$3:AE54),$Q$3:$Q$400,0),4),"")</f>
        <v>D</v>
      </c>
      <c r="AF54" s="48" t="str">
        <f ca="1">IFERROR(INDEX($A$3:$G$400,MATCH(ROWS(AF$3:AF54),$Q$3:$Q$400,0),5),"")</f>
        <v>COSTI SOSPESI</v>
      </c>
      <c r="AG54" s="48" t="str">
        <f ca="1">IFERROR(INDEX($A$3:$G$400,MATCH(ROWS(AG$3:AG54),$Q$3:$Q$400,0),6),"")</f>
        <v>SP DARE</v>
      </c>
      <c r="AH54" s="48" t="str">
        <f ca="1">IFERROR(INDEX($A$3:$G$400,MATCH(ROWS(AH$3:AH54),$Q$3:$Q$400,0),7),"")</f>
        <v>SP</v>
      </c>
      <c r="AI54" s="48" t="str">
        <f t="shared" ca="1" si="1"/>
        <v>RIMANENZE</v>
      </c>
      <c r="AJ54" s="48" t="str">
        <f ca="1">IFERROR(INDEX($A$3:$H$400,MATCH(ROWS(AJ$3:AJ54),$Q$3:$Q$400,0),8),"")</f>
        <v>pac1</v>
      </c>
      <c r="AK54" s="48">
        <f t="shared" ca="1" si="2"/>
        <v>0</v>
      </c>
      <c r="AL54" s="48">
        <f t="shared" ca="1" si="95"/>
        <v>0</v>
      </c>
      <c r="AM54" s="48">
        <f t="shared" ca="1" si="30"/>
        <v>0</v>
      </c>
      <c r="AN54" s="48" t="str">
        <f t="shared" ca="1" si="31"/>
        <v/>
      </c>
      <c r="AO54" s="48">
        <f t="shared" ca="1" si="32"/>
        <v>0</v>
      </c>
      <c r="AP54" s="48">
        <f t="shared" ca="1" si="32"/>
        <v>0</v>
      </c>
      <c r="AQ54" s="48" t="str">
        <f t="shared" ca="1" si="4"/>
        <v>PRODOTTI FINITI</v>
      </c>
      <c r="AR54" s="48">
        <f t="shared" ca="1" si="5"/>
        <v>0</v>
      </c>
      <c r="AS54" s="48">
        <f t="shared" ca="1" si="6"/>
        <v>0</v>
      </c>
      <c r="AT54" s="48">
        <f t="shared" ca="1" si="33"/>
        <v>0</v>
      </c>
      <c r="AU54" s="48">
        <f t="shared" ca="1" si="34"/>
        <v>0</v>
      </c>
      <c r="AV54" s="48">
        <f ca="1">IF(OR(AT54&gt;0,AU54&gt;0),MAX($AV$2:AV53)+1,0)</f>
        <v>0</v>
      </c>
      <c r="AZ54" s="241" t="str">
        <f t="shared" ca="1" si="35"/>
        <v/>
      </c>
      <c r="BA54" s="48">
        <f t="shared" ca="1" si="96"/>
        <v>0</v>
      </c>
      <c r="BB54" s="48">
        <f ca="1">IFERROR(INDEX($AQ$3:$AV$220,MATCH(ROWS($BB$3:BB54),$AV$3:$AV$220,0),1),0)</f>
        <v>0</v>
      </c>
      <c r="BC54" s="48" t="str">
        <f t="shared" ca="1" si="36"/>
        <v/>
      </c>
      <c r="BD54" s="48">
        <f ca="1">IFERROR(INDEX($AQ$3:$AV$220,MATCH(ROWS($BB$3:BD54),$AV$3:$AV$220,0),4),0)</f>
        <v>0</v>
      </c>
      <c r="BE54" s="48">
        <f ca="1">IFERROR(INDEX($AQ$3:$AV$220,MATCH(ROWS($BB$3:BE54),$AV$3:$AV$220,0),5),0)</f>
        <v>0</v>
      </c>
      <c r="BG54" s="48">
        <f ca="1">IF(IF(AND(OR(INDEX(PDC,MATCH($AC54,DEN_PDC,0),6)="SP DARE",INDEX(PDC,MATCH($AC54,DEN_PDC,0),6)="SP DARE/AVERE"),SUMIFS(DARE,DEN_G,$AC54)&gt;=SUMIFS(AVERE,DEN_G,$AC54)),SUMIFS(DARE,DEN_G,$AC54)-SUMIFS(AVERE,DEN_G,$AC54),0)&gt;0,MAX($BG$2:BG53)+1,0)</f>
        <v>0</v>
      </c>
      <c r="BH54" s="48">
        <f ca="1">IF(IF(AND(OR(INDEX(PDC,MATCH($AC54,DEN_PDC,0),6)="SP AVERE",INDEX(PDC,MATCH($AC54,DEN_PDC,0),6)="SP DARE/AVERE"),SUMIFS(AVERE,DEN_G,$AC54)&gt;=SUMIFS(DARE,DEN_G,$AC54)),SUMIFS(AVERE,DEN_G,$AC54)-SUMIFS(DARE,DEN_G,$AC54),0)&gt;0,MAX(BH$2:BH53)+1,0)</f>
        <v>0</v>
      </c>
      <c r="BI54" s="48">
        <f ca="1">IF(IF(AND(OR(INDEX(PDC,MATCH($AC54,DEN_PDC,0),6)="SE DARE",INDEX(PDC,MATCH($AC54,DEN_PDC,0),6)="SE DARE/AVERE"),SUMIFS(DARE,DEN_G,$AC54)&gt;=SUMIFS(AVERE,DEN_G,$AC54)),SUMIFS(DARE,DEN_G,$AC54)-SUMIFS(AVERE,DEN_G,$AC54),0)&gt;0,MAX(BI$2:BI53)+1,0)</f>
        <v>0</v>
      </c>
      <c r="BJ54" s="48">
        <f ca="1">IF(IF(AND(OR(INDEX(PDC,MATCH($AC54,DEN_PDC,0),6)="SE AVERE",INDEX(PDC,MATCH($AC54,DEN_PDC,0),6)="SE DARE/AVERE"),SUMIFS(AVERE,DEN_G,$AC54)&gt;=SUMIFS(DARE,DEN_G,$AC54)),SUMIFS(AVERE,DEN_G,$AC54)-SUMIFS(DARE,DEN_G,$AC54),0)&gt;0,MAX(BJ$2:BJ53)+1,0)</f>
        <v>0</v>
      </c>
      <c r="BK54" s="48" t="str">
        <f ca="1">IF(AND(AND($DY$2=0,$DY$1=0),$I$1=2,ROW()&gt;$BG$1+2,ROW()&lt;=$BG$1+4),"………………..",IF(AND(OR($DY$2&gt;0,$DY$1&gt;0),$I$1=2,ROW()&gt;$BG$1+2,ROW()&lt;=$BG$1+4),"………………..",IFERROR(INDEX($AC$3:$AC$398,MATCH(ROWS(BK$3:BK54),BG$3:BG$398,0),1),"")))</f>
        <v/>
      </c>
      <c r="BL54" s="48">
        <f t="shared" ca="1" si="69"/>
        <v>0</v>
      </c>
      <c r="BM54" s="48" t="str">
        <f ca="1">IF(AND(OR($DY$2=0,$DY$1=0),$I$1=2,ROW()&gt;$BH$1+2,ROW()&lt;=$BH$1+4),"………………..",IF(AND(OR($DY$2&gt;0,$DY$1&gt;0),$I$1=2,ROW()&gt;$BH$1+2,ROW()&lt;=$BH$1+4),"………………..",IFERROR(INDEX($AC$3:$AC$400,MATCH(ROWS(BM$3:BM54),BH$3:BH$400,0),1),"")))</f>
        <v/>
      </c>
      <c r="BN54" s="48">
        <f t="shared" ca="1" si="9"/>
        <v>0</v>
      </c>
      <c r="BO54" s="48" t="str">
        <f ca="1">IF(AND(OR($DY$2=0,$DY$1=0),$I$1=2,ROW()&gt;$BI$1+2,ROW()&lt;=$BI$1+4),"………………..",IF(AND(OR($DY$2&gt;0,$DY$1&gt;0),$I$1=2,ROW()&gt;$BI$1+2,ROW()&lt;=$BI$1+4),"………………..",IFERROR(INDEX($AC$3:$AC$400,MATCH(ROWS(BO$3:BO54),BI$3:BI$400,0),1),"")))</f>
        <v/>
      </c>
      <c r="BP54" s="48">
        <f t="shared" ca="1" si="10"/>
        <v>0</v>
      </c>
      <c r="BQ54" s="48" t="str">
        <f ca="1">IF(AND(OR($DY$2=0,$DY$1=0),$I$1=2,ROW()&gt;$BJ$1+2,ROW()&lt;=$BJ$1+4),"………………..",IF(AND(OR($DY$2&gt;0,$DY$1&gt;0),$I$1=2,ROW()&gt;$BJ$1+2,ROW()&lt;=$BJ$1+4),"………………..",IFERROR(INDEX($AC$3:$AC$400,MATCH(ROWS(BQ$3:BQ54),BJ$3:BJ$400,0),1),"")))</f>
        <v/>
      </c>
      <c r="BR54" s="48">
        <f t="shared" ca="1" si="11"/>
        <v>0</v>
      </c>
      <c r="BS54" s="48">
        <f ca="1">IF(IF(AND(OR(INDEX(PDC,MATCH($AC54,DEN_PDC,0),4)="D",INDEX(PDC,MATCH($AC54,DEN_PDC,0),4)="D/A"),SUMIFS(DARE,DEN_G,$AC54)&gt;=SUMIFS(AVERE,DEN_G,$AC54)),SUMIFS(DARE,DEN_G,$AC54),IF(AND(OR(INDEX(PDC,MATCH($AC54,DEN_PDC,0),4)="A",INDEX(PDC,MATCH($AC54,DEN_PDC,0),4)="D/A"),SUMIFS(AVERE,DEN_G,$AC54)&gt;=SUMIFS(DARE,DEN_G,$AC54)),SUMIFS(AVERE,DEN_G,$AC54),))&gt;0,MAX($BS$2:BS53)+1,0)</f>
        <v>0</v>
      </c>
      <c r="BT54" s="48" t="str">
        <f ca="1">IF($CO$1=0,"",IF(AND($I$1=2,ROW()&gt;$BR$1,ROW()&lt;=$BS$1)," …………….",IF(AND($E$1=1,$BX$1=1,$I$1=2,ROW()=$BQ$1),"TOTALI",IFERROR(INDEX(PDC,MATCH(ROWS(BT$3:BT54),BS$3:BS451,0),2),""))))</f>
        <v/>
      </c>
      <c r="BU54" s="48">
        <f t="shared" ca="1" si="12"/>
        <v>0</v>
      </c>
      <c r="BV54" s="48">
        <f t="shared" ca="1" si="13"/>
        <v>0</v>
      </c>
      <c r="BW54" s="48">
        <f t="shared" ca="1" si="14"/>
        <v>0</v>
      </c>
      <c r="BX54" s="48">
        <f t="shared" ca="1" si="15"/>
        <v>0</v>
      </c>
      <c r="BY54" s="48">
        <f ca="1">IF(OR(BW54&gt;0,BX54&gt;0),MAX($BY$2:BY53)+1,0)</f>
        <v>0</v>
      </c>
      <c r="BZ54" s="48" t="str">
        <f ca="1">IFERROR(INDEX($BT$3:$BY$400,MATCH(ROWS(BZ$3:BZ54),$BY$3:$BY$400,0),1),"")</f>
        <v/>
      </c>
      <c r="CA54" s="48" t="str">
        <f ca="1">IFERROR(INDEX($BT$3:$BY$400,MATCH(ROWS(CA$3:CA54),$BY$3:$BY$400,0),4),"")</f>
        <v/>
      </c>
      <c r="CB54" s="48" t="str">
        <f ca="1">IFERROR(INDEX($BT$3:$BY$400,MATCH(ROWS(CB$3:CB54),$BY$3:$BY$400,0),5),"")</f>
        <v/>
      </c>
      <c r="CC54" s="48" t="str">
        <f t="shared" ca="1" si="16"/>
        <v/>
      </c>
      <c r="CD54" s="48">
        <f ca="1">IF(AND($BF$9=1,CE54&lt;&gt;0),MAX($CD$2:CD53)+1,0)</f>
        <v>0</v>
      </c>
      <c r="CE54" s="48">
        <f ca="1">ROUND(IFERROR(INDEX(BILANCIO!$I$13:$J$59,MATCH(CF54,BILANCIO!$J$13:$J$59,0),1),0),0)</f>
        <v>0</v>
      </c>
      <c r="CF54" s="48" t="s">
        <v>688</v>
      </c>
      <c r="CG54" s="242" t="s">
        <v>571</v>
      </c>
      <c r="CH54" s="242"/>
      <c r="CI54" s="242">
        <f ca="1">CE54</f>
        <v>0</v>
      </c>
      <c r="CJ54" s="242">
        <f ca="1">SUMIFS(COPIA!$CA$3:$CA$400,COPIA!$CC$3:$CC$400,CF54)-SUMIFS(COPIA!$CB$3:$CB$400,COPIA!$CC$3:$CC$400,CF54)</f>
        <v>0</v>
      </c>
      <c r="CK54" s="48">
        <f ca="1">IF($CF$2=FALSE,0,IF(AND($BF$9=1,CJ54&lt;&gt;0),MAX($CK$21:CK53)+1,0))</f>
        <v>0</v>
      </c>
      <c r="CM54" s="242" t="str">
        <f t="shared" ca="1" si="37"/>
        <v/>
      </c>
      <c r="CN54" s="243">
        <f t="shared" ca="1" si="38"/>
        <v>0</v>
      </c>
      <c r="CO54" s="48" t="str">
        <f t="shared" ca="1" si="39"/>
        <v/>
      </c>
      <c r="CQ54" s="242"/>
      <c r="CR54" s="242">
        <f t="shared" ca="1" si="114"/>
        <v>2030</v>
      </c>
      <c r="CS54" s="48">
        <f t="shared" ca="1" si="115"/>
        <v>0</v>
      </c>
      <c r="CT54" s="242"/>
      <c r="CU54" s="48">
        <f ca="1">IF(SUMIFS(AVERE,DEN_G,AC54,AVERE,"&gt;"&amp;0)+SUMIFS(DARE,DEN_G,AC54,DARE,"&gt;"&amp;0)&gt;0,MAX($CU$2:CU53)+1,0)</f>
        <v>0</v>
      </c>
      <c r="CV54" s="48" t="str">
        <f ca="1">IF(IFERROR(INDEX(PDC,MATCH(ROWS($CV$3:CV54),$CU$3:$CU$400,0),2),"")="CONTO DI RISULTATO ECONOMICO","",IFERROR(INDEX(PDC,MATCH(ROWS($CV$3:CV54),$CU$3:$CU$400,0),2),""))</f>
        <v/>
      </c>
      <c r="CW54" s="48">
        <f ca="1">IFERROR(IF(CV54&lt;&gt;"",MAX($CW$2:CW53)+1,0),0)</f>
        <v>0</v>
      </c>
      <c r="CY54" s="48" t="s">
        <v>500</v>
      </c>
      <c r="DB54" s="48" t="str">
        <f t="shared" ref="DB54" ca="1" si="118">IF(CX53=$DF$1,"","MASTRO")</f>
        <v>MASTRO</v>
      </c>
      <c r="DF54" s="48">
        <f ca="1">IF(AND(CX54=$DF$1,CX54&lt;&gt;""),0,IF(AND(DB54&lt;&gt;"",OR(DB53&lt;&gt;"",DB55&lt;&gt;"")),MAX($DF$2:DF53)+1,0))</f>
        <v>0</v>
      </c>
      <c r="DH54" s="244" t="s">
        <v>474</v>
      </c>
      <c r="DI54" s="48" t="s">
        <v>342</v>
      </c>
      <c r="DJ54" s="48" t="s">
        <v>311</v>
      </c>
      <c r="DK54" s="48" t="s">
        <v>298</v>
      </c>
      <c r="DL54" s="48" t="s">
        <v>318</v>
      </c>
      <c r="DM54" s="48" t="s">
        <v>299</v>
      </c>
      <c r="DN54" s="48">
        <f ca="1">IF(DI54&lt;&gt;"",MAX($DN$2:DN53)+1,0)</f>
        <v>37</v>
      </c>
      <c r="DO54" s="48" t="str">
        <f ca="1">IF($BF$9=1,"pab21","pab2")</f>
        <v>pab2</v>
      </c>
      <c r="DQ54" s="227" t="s">
        <v>30</v>
      </c>
      <c r="DR54" s="48" t="s">
        <v>921</v>
      </c>
      <c r="DS54" s="48" t="s">
        <v>311</v>
      </c>
      <c r="DT54" s="48" t="s">
        <v>275</v>
      </c>
      <c r="DU54" s="48" t="s">
        <v>9</v>
      </c>
      <c r="DV54" s="48" t="s">
        <v>270</v>
      </c>
      <c r="DW54" s="48">
        <f ca="1">IF(DR54&lt;&gt;"",MAX($DW$2:DW53)+1,0)</f>
        <v>20</v>
      </c>
      <c r="DX54" s="48" t="str">
        <f ca="1">IF($BF$9=1,"pab24","pab2")</f>
        <v>pab2</v>
      </c>
      <c r="DY54" s="48" t="str">
        <f t="shared" ca="1" si="19"/>
        <v/>
      </c>
      <c r="DZ54" s="48" t="str">
        <f t="shared" ca="1" si="40"/>
        <v/>
      </c>
      <c r="EA54" s="48" t="str">
        <f t="shared" ca="1" si="41"/>
        <v/>
      </c>
      <c r="EB54" s="48">
        <f t="shared" ca="1" si="42"/>
        <v>0</v>
      </c>
      <c r="EC54" s="48">
        <f t="shared" ca="1" si="43"/>
        <v>0</v>
      </c>
      <c r="ED54" s="48" t="str">
        <f t="shared" ca="1" si="44"/>
        <v/>
      </c>
      <c r="EE54" s="48">
        <f t="shared" ca="1" si="45"/>
        <v>0</v>
      </c>
      <c r="EF54" s="48" t="str">
        <f t="shared" ca="1" si="46"/>
        <v/>
      </c>
      <c r="EG54" s="48">
        <f t="shared" ca="1" si="47"/>
        <v>0</v>
      </c>
      <c r="EH54" s="48" t="str">
        <f t="shared" ca="1" si="48"/>
        <v/>
      </c>
      <c r="EI54" s="48">
        <f t="shared" ca="1" si="49"/>
        <v>0</v>
      </c>
      <c r="EJ54" s="48" t="str">
        <f t="shared" ca="1" si="50"/>
        <v/>
      </c>
      <c r="EK54" s="48">
        <f t="shared" ca="1" si="51"/>
        <v>0</v>
      </c>
      <c r="EL54" s="48">
        <f t="shared" ca="1" si="20"/>
        <v>0</v>
      </c>
      <c r="EM54" s="48">
        <f ca="1">IF(EL54&gt;=0,0,MAX($EM$2:EM53)+1)</f>
        <v>0</v>
      </c>
      <c r="EN54" s="48" t="str">
        <f t="shared" ca="1" si="21"/>
        <v/>
      </c>
      <c r="EO54" s="48" t="str">
        <f ca="1">IFERROR(INDEX($EM$3:$EN$400,MATCH(ROWS($EO$3:EO54),$EM$3:$EM$400,0),2),"")</f>
        <v/>
      </c>
      <c r="EP54" s="48">
        <f>ROW()</f>
        <v>54</v>
      </c>
      <c r="EQ54" s="48">
        <f t="shared" ca="1" si="22"/>
        <v>0</v>
      </c>
      <c r="ER54" s="48">
        <f ca="1">IF(ISNA(EQ54)=TRUE,MAX($ER$2:ER53)+1,0)</f>
        <v>0</v>
      </c>
      <c r="ES54" s="48" t="str">
        <f t="shared" ca="1" si="52"/>
        <v/>
      </c>
      <c r="ET54" s="48" t="str">
        <f ca="1">IFERROR(INDEX($ER$3:$ES$400,MATCH(ROWS($ET$3:ET54),$ER$3:$ER$400,0),2),"")</f>
        <v/>
      </c>
      <c r="EV54" s="48">
        <f ca="1">IFERROR(INDEX(LIBRO_GIORNALE!$O$11:$P$408,MATCH(ROWS($EV$2:EV53),LIBRO_GIORNALE!$P$11:$P$408,0),1),0)</f>
        <v>0</v>
      </c>
      <c r="EW54" s="48" t="str">
        <f t="shared" ca="1" si="53"/>
        <v>0</v>
      </c>
      <c r="EX54" s="48">
        <f t="shared" ca="1" si="54"/>
        <v>0</v>
      </c>
      <c r="EY54" s="48">
        <f ca="1">IF(EX54&gt;0,MAX($EY$2:EY53)+1,0)</f>
        <v>0</v>
      </c>
      <c r="EZ54" s="48">
        <f ca="1">IFERROR(INDEX($EX$3:$EX$400,MATCH(ROWS($EZ$3:EZ54),$EY$3:$EY$400,0),1),0)</f>
        <v>0</v>
      </c>
      <c r="FA54" s="48">
        <f ca="1">IF(EZ54&gt;0,0,MAX($FA$2:FA53)+1)</f>
        <v>52</v>
      </c>
      <c r="FB54" s="48">
        <f t="shared" ca="1" si="55"/>
        <v>0</v>
      </c>
      <c r="FC54" s="48">
        <f t="shared" ca="1" si="56"/>
        <v>52</v>
      </c>
      <c r="FD54" s="48">
        <f t="shared" ca="1" si="57"/>
        <v>52</v>
      </c>
      <c r="FE54" s="48">
        <f ca="1">IF(FD54=0,0,MAX($FE$2:FE53)+1)</f>
        <v>52</v>
      </c>
      <c r="FF54" s="48">
        <f ca="1">IFERROR(INDEX($FD$3:$FE$400,MATCH(ROWS($FF$3:FF54),$FE$3:$FE$400,0),1),"")</f>
        <v>52</v>
      </c>
      <c r="FH54" s="48">
        <f t="shared" ca="1" si="58"/>
        <v>0</v>
      </c>
      <c r="FI54" s="48">
        <f ca="1">IF(FH54&lt;&gt;0,MAX($FI$2:FI53)+1,0)</f>
        <v>0</v>
      </c>
      <c r="FJ54" s="48" t="str">
        <f ca="1">IFERROR(INDEX($FH$3:$FI$400,MATCH(ROWS($FJ$3:FJ54),$FI$3:$FI$400,0),1),"")</f>
        <v/>
      </c>
      <c r="FK54" s="48">
        <f ca="1">IF(ABS(SUMIFS(DARE,DEN_G,"="&amp;FJ54,DATA,"&lt;="&amp;FINE_AC,DATA,"&gt;="&amp;INIZIO_A_PC)-SUMIFS(AVERE,DEN_G,"="&amp;FJ54,DATA,"&lt;="&amp;FINE_AC,DATA,"&gt;="&amp;INIZIO_A_PC))&gt;0,MAX($FK$2:FK53)+1,0)</f>
        <v>0</v>
      </c>
      <c r="FL54" s="48" t="str">
        <f ca="1">IF(AND(ROW()-2&lt;&gt;1,ROW()-2&lt;=$FK$1),CONCATENATE(" - ",IFERROR(INDEX($FJ$3:$FK$400,MATCH(ROWS($FL$3:FL54),$FK$3:$FK$400,0),1),"")),IFERROR(INDEX($FJ$3:$FK$400,MATCH(ROWS($FL$3:FL54),$FK$3:$FK$400,0),1),""))</f>
        <v/>
      </c>
      <c r="FM54" s="48">
        <f ca="1">IF(OR(B54="IVA ns/credito",B54="IVA NS/DEBITO",B54="IVA C/ACCONTO",B54="IMPOSTE C/ACCONTO",B54="CREDITI PER RITENUTE SUBITE",B54="CREDITI D'IMPOSTA"),MAX($FM$2:FM53)+1,0)</f>
        <v>0</v>
      </c>
      <c r="FN54" s="48" t="str">
        <f t="shared" ca="1" si="59"/>
        <v/>
      </c>
      <c r="FO54" s="48" t="str">
        <f ca="1">IFERROR(INDEX($FM$3:$FN$400,MATCH(ROWS($FO$3:FO54),$FM$3:$FM$400,0),2),"")</f>
        <v/>
      </c>
      <c r="FP54" s="48">
        <f ca="1">IF(ABS(SUMIFS(DARE,DEN_G,"="&amp;FO54,DATA,"&lt;="&amp;FINE_AC,DATA,"&gt;="&amp;INIZIO_A_PC)-SUMIFS(AVERE,DEN_G,"="&amp;FO54,DATA,"&lt;="&amp;FINE_AC,DATA,"&gt;="&amp;INIZIO_A_PC))&gt;0,MAX($FP$2:FP53)+1,0)</f>
        <v>0</v>
      </c>
      <c r="FQ54" s="48" t="str">
        <f ca="1">IF(AND(ROW()-2&lt;&gt;1,ROW()-2&lt;=$FP$1),CONCATENATE(" - ",IFERROR(INDEX($FO$3:$FP$400,MATCH(ROWS($FQ$3:FQ54),$FP$3:$FP$400,0),1),"")),IFERROR(INDEX($FO$3:$FP$400,MATCH(ROWS($FQ$3:FQ54),$FP$3:$FP$400,0),1),""))</f>
        <v/>
      </c>
    </row>
    <row r="55" spans="1:173" x14ac:dyDescent="0.3">
      <c r="A55" s="48" t="str">
        <f ca="1">IFERROR(IF($A$1=2,INDEX($DH$3:$DN$401,MATCH(ROWS(A$3:A55),$DN$3:$DN$401,0),COLUMN()),IF($A$1=1,INDEX($DQ$3:$DW$401,MATCH(ROWS(A$3:A55),$DW$3:$DW$401,0),COLUMN()),"")),"")</f>
        <v>04.02</v>
      </c>
      <c r="B55" s="48" t="str">
        <f ca="1">IFERROR(IF($A$1=2,INDEX($DH$3:$DN$401,MATCH(ROWS(B$3:B55),$DN$3:$DN$401,0),COLUMN()),IF($A$1=1,INDEX($DQ$3:$DW$400,MATCH(ROWS(B$3:B55),$DW$3:$DW$401,0),COLUMN()),"")),"")</f>
        <v>MATERIE SUSSIDIARIE</v>
      </c>
      <c r="C55" s="48" t="str">
        <f ca="1">IFERROR(IF($A$1=2,INDEX($DH$3:$DN$401,MATCH(ROWS(C$3:C55),$DN$3:$DN$401,0),COLUMN()),IF($A$1=1,INDEX($DQ$3:$DW$401,MATCH(ROWS(C$3:C55),$DW$3:$DW$401,0),COLUMN()),"")),"")</f>
        <v>E</v>
      </c>
      <c r="D55" s="48" t="str">
        <f ca="1">IFERROR(IF($A$1=2,INDEX($DH$3:$DN$401,MATCH(ROWS(D$3:D55),$DN$3:$DN$401,0),COLUMN()),IF($A$1=1,INDEX($DQ$3:$DW$401,MATCH(ROWS(D$3:D55),$DW$3:$DW$401,0),COLUMN()),"")),"")</f>
        <v>D</v>
      </c>
      <c r="E55" s="48" t="str">
        <f ca="1">IFERROR(IF($A$1=2,INDEX($DH$3:$DN$401,MATCH(ROWS(E$3:E55),$DN$3:$DN$401,0),COLUMN()),IF($A$1=1,INDEX($DQ$3:$DW$401,MATCH(ROWS(E$3:E55),$DW$3:$DW$401,0),COLUMN()),"")),"")</f>
        <v>COSTI SOSPESI</v>
      </c>
      <c r="F55" s="48" t="str">
        <f ca="1">IFERROR(IF($A$1=2,INDEX($DH$3:$DN$401,MATCH(ROWS(F$3:F55),$DN$3:$DN$401,0),COLUMN()),IF($A$1=1,INDEX($DQ$3:$DX$401,MATCH(ROWS(F$3:F55),$DW$3:$DW$401,0),COLUMN()),"")),"")</f>
        <v>SP DARE</v>
      </c>
      <c r="G55" s="48" t="str">
        <f t="shared" ca="1" si="23"/>
        <v>SP</v>
      </c>
      <c r="H55" s="48" t="str">
        <f ca="1">IFERROR(IF($A$1=2,INDEX($DH$3:$DO$400,MATCH(ROWS(H$3:H55),$DN$3:$DN$400,0),COLUMN()),IF($A$1=1,INDEX($DQ$3:$DX$400,MATCH(ROWS(H$3:H55),$DW$3:$DW$400,0),COLUMN()),"")),"")</f>
        <v>pac1</v>
      </c>
      <c r="I55" s="48" t="str">
        <f t="shared" ca="1" si="0"/>
        <v/>
      </c>
      <c r="J55" s="48" t="str">
        <f t="shared" ca="1" si="24"/>
        <v/>
      </c>
      <c r="K55" s="48">
        <f t="shared" ca="1" si="25"/>
        <v>0</v>
      </c>
      <c r="L55" s="48">
        <f t="shared" ca="1" si="26"/>
        <v>0</v>
      </c>
      <c r="M55" s="48">
        <f ca="1">IFERROR(IF(IF(MID($A55,3,3)=".00",MID(A55,1,2),"")&lt;&gt;"",MAX($M$2:M54)+1,0),"")</f>
        <v>0</v>
      </c>
      <c r="N55" s="48" t="str">
        <f t="shared" ca="1" si="27"/>
        <v/>
      </c>
      <c r="O55" s="48">
        <v>5</v>
      </c>
      <c r="P55" s="48" t="str">
        <f t="shared" ca="1" si="117"/>
        <v/>
      </c>
      <c r="Q55" s="48">
        <f ca="1">IF(M55&gt;=1,0,MAX($Q$2:Q54)+1)</f>
        <v>48</v>
      </c>
      <c r="R55" s="48">
        <f ca="1">IF(AND($U$2=2,S55&lt;&gt;""),MAX($R$2:R54)+1,0)</f>
        <v>37</v>
      </c>
      <c r="S55" s="48" t="str">
        <f t="shared" ca="1" si="81"/>
        <v>IMPOSTE DELL'ESERCIZIO</v>
      </c>
      <c r="T55" s="48" t="str">
        <f ca="1">IFERROR(INDEX($R$3:$S$64,MATCH(ROWS($T$2:T54),$R$3:$R$64,0),2),"")</f>
        <v/>
      </c>
      <c r="U55" s="48" t="str">
        <f ca="1">IFERROR(INDEX(PDC,MATCH(ROWS(U$3:U55),$V$3:$V$400,0),2),"")</f>
        <v>FORNITORI C/ACCONTI</v>
      </c>
      <c r="V55" s="48">
        <f ca="1">IF(AND($T$1="VISUALIZZA TUTTI I CONTI",AA55&lt;&gt;""),MAX($V$2:V54)+1,IF(AND($U$2=2,AI55=$T$1),MAX($V$2:V54)+1,IF(AND($U$2=1,$T$1=AF55),MAX($V$2:V54)+1,0)))</f>
        <v>53</v>
      </c>
      <c r="Z55" s="246"/>
      <c r="AA55" s="48" t="str">
        <f t="shared" ca="1" si="29"/>
        <v>04.00</v>
      </c>
      <c r="AB55" s="48" t="str">
        <f ca="1">IFERROR(INDEX($A$3:$G$400,MATCH(ROWS(AB$3:AB55),$Q$3:$Q$400,0),1),"")</f>
        <v>04.30</v>
      </c>
      <c r="AC55" s="48" t="str">
        <f ca="1">IFERROR(INDEX($A$3:$G$400,MATCH(ROWS($AC$3:AC55),$Q$3:$Q$400,0),2),"")</f>
        <v>FORNITORI C/ACCONTI</v>
      </c>
      <c r="AD55" s="48" t="str">
        <f ca="1">IFERROR(INDEX($A$3:$G$400,MATCH(ROWS(AD$3:AD55),$Q$3:$Q$400,0),3),"")</f>
        <v>F</v>
      </c>
      <c r="AE55" s="48" t="str">
        <f ca="1">IFERROR(INDEX($A$3:$G$400,MATCH(ROWS(AE$3:AE55),$Q$3:$Q$400,0),4),"")</f>
        <v>D</v>
      </c>
      <c r="AF55" s="48" t="str">
        <f ca="1">IFERROR(INDEX($A$3:$G$400,MATCH(ROWS(AF$3:AF55),$Q$3:$Q$400,0),5),"")</f>
        <v>CREDITI</v>
      </c>
      <c r="AG55" s="48" t="str">
        <f ca="1">IFERROR(INDEX($A$3:$G$400,MATCH(ROWS(AG$3:AG55),$Q$3:$Q$400,0),6),"")</f>
        <v>SP DARE</v>
      </c>
      <c r="AH55" s="48" t="str">
        <f ca="1">IFERROR(INDEX($A$3:$G$400,MATCH(ROWS(AH$3:AH55),$Q$3:$Q$400,0),7),"")</f>
        <v>SP</v>
      </c>
      <c r="AI55" s="48" t="str">
        <f t="shared" ca="1" si="1"/>
        <v>RIMANENZE</v>
      </c>
      <c r="AJ55" s="48" t="str">
        <f ca="1">IFERROR(INDEX($A$3:$H$400,MATCH(ROWS(AJ$3:AJ55),$Q$3:$Q$400,0),8),"")</f>
        <v>pac1</v>
      </c>
      <c r="AK55" s="48">
        <f t="shared" ca="1" si="2"/>
        <v>0</v>
      </c>
      <c r="AL55" s="48">
        <f t="shared" ca="1" si="95"/>
        <v>0</v>
      </c>
      <c r="AM55" s="48">
        <f t="shared" ca="1" si="30"/>
        <v>0</v>
      </c>
      <c r="AN55" s="48" t="str">
        <f t="shared" ca="1" si="31"/>
        <v/>
      </c>
      <c r="AO55" s="48">
        <f t="shared" ca="1" si="32"/>
        <v>0</v>
      </c>
      <c r="AP55" s="48">
        <f t="shared" ca="1" si="32"/>
        <v>0</v>
      </c>
      <c r="AQ55" s="48" t="str">
        <f t="shared" ca="1" si="4"/>
        <v>FORNITORI C/ACCONTI</v>
      </c>
      <c r="AR55" s="48">
        <f t="shared" ca="1" si="5"/>
        <v>0</v>
      </c>
      <c r="AS55" s="48">
        <f t="shared" ca="1" si="6"/>
        <v>0</v>
      </c>
      <c r="AT55" s="48">
        <f t="shared" ca="1" si="33"/>
        <v>0</v>
      </c>
      <c r="AU55" s="48">
        <f t="shared" ca="1" si="34"/>
        <v>0</v>
      </c>
      <c r="AV55" s="48">
        <f ca="1">IF(OR(AT55&gt;0,AU55&gt;0),MAX($AV$2:AV54)+1,0)</f>
        <v>0</v>
      </c>
      <c r="AZ55" s="241" t="str">
        <f t="shared" ca="1" si="35"/>
        <v/>
      </c>
      <c r="BA55" s="48">
        <f t="shared" ca="1" si="96"/>
        <v>0</v>
      </c>
      <c r="BB55" s="48">
        <f ca="1">IFERROR(INDEX($AQ$3:$AV$220,MATCH(ROWS($BB$3:BB55),$AV$3:$AV$220,0),1),0)</f>
        <v>0</v>
      </c>
      <c r="BC55" s="48" t="str">
        <f t="shared" ca="1" si="36"/>
        <v/>
      </c>
      <c r="BD55" s="48">
        <f ca="1">IFERROR(INDEX($AQ$3:$AV$220,MATCH(ROWS($BB$3:BD55),$AV$3:$AV$220,0),4),0)</f>
        <v>0</v>
      </c>
      <c r="BE55" s="48">
        <f ca="1">IFERROR(INDEX($AQ$3:$AV$220,MATCH(ROWS($BB$3:BE55),$AV$3:$AV$220,0),5),0)</f>
        <v>0</v>
      </c>
      <c r="BG55" s="48">
        <f ca="1">IF(IF(AND(OR(INDEX(PDC,MATCH($AC55,DEN_PDC,0),6)="SP DARE",INDEX(PDC,MATCH($AC55,DEN_PDC,0),6)="SP DARE/AVERE"),SUMIFS(DARE,DEN_G,$AC55)&gt;=SUMIFS(AVERE,DEN_G,$AC55)),SUMIFS(DARE,DEN_G,$AC55)-SUMIFS(AVERE,DEN_G,$AC55),0)&gt;0,MAX($BG$2:BG54)+1,0)</f>
        <v>0</v>
      </c>
      <c r="BH55" s="48">
        <f ca="1">IF(IF(AND(OR(INDEX(PDC,MATCH($AC55,DEN_PDC,0),6)="SP AVERE",INDEX(PDC,MATCH($AC55,DEN_PDC,0),6)="SP DARE/AVERE"),SUMIFS(AVERE,DEN_G,$AC55)&gt;=SUMIFS(DARE,DEN_G,$AC55)),SUMIFS(AVERE,DEN_G,$AC55)-SUMIFS(DARE,DEN_G,$AC55),0)&gt;0,MAX(BH$2:BH54)+1,0)</f>
        <v>0</v>
      </c>
      <c r="BI55" s="48">
        <f ca="1">IF(IF(AND(OR(INDEX(PDC,MATCH($AC55,DEN_PDC,0),6)="SE DARE",INDEX(PDC,MATCH($AC55,DEN_PDC,0),6)="SE DARE/AVERE"),SUMIFS(DARE,DEN_G,$AC55)&gt;=SUMIFS(AVERE,DEN_G,$AC55)),SUMIFS(DARE,DEN_G,$AC55)-SUMIFS(AVERE,DEN_G,$AC55),0)&gt;0,MAX(BI$2:BI54)+1,0)</f>
        <v>0</v>
      </c>
      <c r="BJ55" s="48">
        <f ca="1">IF(IF(AND(OR(INDEX(PDC,MATCH($AC55,DEN_PDC,0),6)="SE AVERE",INDEX(PDC,MATCH($AC55,DEN_PDC,0),6)="SE DARE/AVERE"),SUMIFS(AVERE,DEN_G,$AC55)&gt;=SUMIFS(DARE,DEN_G,$AC55)),SUMIFS(AVERE,DEN_G,$AC55)-SUMIFS(DARE,DEN_G,$AC55),0)&gt;0,MAX(BJ$2:BJ54)+1,0)</f>
        <v>0</v>
      </c>
      <c r="BK55" s="48" t="str">
        <f ca="1">IF(AND(AND($DY$2=0,$DY$1=0),$I$1=2,ROW()&gt;$BG$1+2,ROW()&lt;=$BG$1+4),"………………..",IF(AND(OR($DY$2&gt;0,$DY$1&gt;0),$I$1=2,ROW()&gt;$BG$1+2,ROW()&lt;=$BG$1+4),"………………..",IFERROR(INDEX($AC$3:$AC$398,MATCH(ROWS(BK$3:BK55),BG$3:BG$398,0),1),"")))</f>
        <v/>
      </c>
      <c r="BL55" s="48">
        <f t="shared" ca="1" si="69"/>
        <v>0</v>
      </c>
      <c r="BM55" s="48" t="str">
        <f ca="1">IF(AND(OR($DY$2=0,$DY$1=0),$I$1=2,ROW()&gt;$BH$1+2,ROW()&lt;=$BH$1+4),"………………..",IF(AND(OR($DY$2&gt;0,$DY$1&gt;0),$I$1=2,ROW()&gt;$BH$1+2,ROW()&lt;=$BH$1+4),"………………..",IFERROR(INDEX($AC$3:$AC$400,MATCH(ROWS(BM$3:BM55),BH$3:BH$400,0),1),"")))</f>
        <v/>
      </c>
      <c r="BN55" s="48">
        <f t="shared" ca="1" si="9"/>
        <v>0</v>
      </c>
      <c r="BO55" s="48" t="str">
        <f ca="1">IF(AND(OR($DY$2=0,$DY$1=0),$I$1=2,ROW()&gt;$BI$1+2,ROW()&lt;=$BI$1+4),"………………..",IF(AND(OR($DY$2&gt;0,$DY$1&gt;0),$I$1=2,ROW()&gt;$BI$1+2,ROW()&lt;=$BI$1+4),"………………..",IFERROR(INDEX($AC$3:$AC$400,MATCH(ROWS(BO$3:BO55),BI$3:BI$400,0),1),"")))</f>
        <v/>
      </c>
      <c r="BP55" s="48">
        <f t="shared" ca="1" si="10"/>
        <v>0</v>
      </c>
      <c r="BQ55" s="48" t="str">
        <f ca="1">IF(AND(OR($DY$2=0,$DY$1=0),$I$1=2,ROW()&gt;$BJ$1+2,ROW()&lt;=$BJ$1+4),"………………..",IF(AND(OR($DY$2&gt;0,$DY$1&gt;0),$I$1=2,ROW()&gt;$BJ$1+2,ROW()&lt;=$BJ$1+4),"………………..",IFERROR(INDEX($AC$3:$AC$400,MATCH(ROWS(BQ$3:BQ55),BJ$3:BJ$400,0),1),"")))</f>
        <v/>
      </c>
      <c r="BR55" s="48">
        <f t="shared" ca="1" si="11"/>
        <v>0</v>
      </c>
      <c r="BS55" s="48">
        <f ca="1">IF(IF(AND(OR(INDEX(PDC,MATCH($AC55,DEN_PDC,0),4)="D",INDEX(PDC,MATCH($AC55,DEN_PDC,0),4)="D/A"),SUMIFS(DARE,DEN_G,$AC55)&gt;=SUMIFS(AVERE,DEN_G,$AC55)),SUMIFS(DARE,DEN_G,$AC55),IF(AND(OR(INDEX(PDC,MATCH($AC55,DEN_PDC,0),4)="A",INDEX(PDC,MATCH($AC55,DEN_PDC,0),4)="D/A"),SUMIFS(AVERE,DEN_G,$AC55)&gt;=SUMIFS(DARE,DEN_G,$AC55)),SUMIFS(AVERE,DEN_G,$AC55),))&gt;0,MAX($BS$2:BS54)+1,0)</f>
        <v>0</v>
      </c>
      <c r="BT55" s="48" t="str">
        <f ca="1">IF($CO$1=0,"",IF(AND($I$1=2,ROW()&gt;$BR$1,ROW()&lt;=$BS$1)," …………….",IF(AND($E$1=1,$BX$1=1,$I$1=2,ROW()=$BQ$1),"TOTALI",IFERROR(INDEX(PDC,MATCH(ROWS(BT$3:BT55),BS$3:BS452,0),2),""))))</f>
        <v/>
      </c>
      <c r="BU55" s="48">
        <f t="shared" ca="1" si="12"/>
        <v>0</v>
      </c>
      <c r="BV55" s="48">
        <f t="shared" ca="1" si="13"/>
        <v>0</v>
      </c>
      <c r="BW55" s="48">
        <f t="shared" ca="1" si="14"/>
        <v>0</v>
      </c>
      <c r="BX55" s="48">
        <f t="shared" ca="1" si="15"/>
        <v>0</v>
      </c>
      <c r="BY55" s="48">
        <f ca="1">IF(OR(BW55&gt;0,BX55&gt;0),MAX($BY$2:BY54)+1,0)</f>
        <v>0</v>
      </c>
      <c r="BZ55" s="48" t="str">
        <f ca="1">IFERROR(INDEX($BT$3:$BY$400,MATCH(ROWS(BZ$3:BZ55),$BY$3:$BY$400,0),1),"")</f>
        <v/>
      </c>
      <c r="CA55" s="48" t="str">
        <f ca="1">IFERROR(INDEX($BT$3:$BY$400,MATCH(ROWS(CA$3:CA55),$BY$3:$BY$400,0),4),"")</f>
        <v/>
      </c>
      <c r="CB55" s="48" t="str">
        <f ca="1">IFERROR(INDEX($BT$3:$BY$400,MATCH(ROWS(CB$3:CB55),$BY$3:$BY$400,0),5),"")</f>
        <v/>
      </c>
      <c r="CC55" s="48" t="str">
        <f t="shared" ca="1" si="16"/>
        <v/>
      </c>
      <c r="CD55" s="48">
        <f ca="1">IF(AND($BF$9=1,CE55&lt;&gt;0),MAX($CD$2:CD54)+1,0)</f>
        <v>0</v>
      </c>
      <c r="CE55" s="48">
        <f ca="1">IF(ROUND(SUMIFS(COPIA!$CA$3:$CA$400,COPIA!$CC$3:$CC$400,CF55)-SUMIFS(COPIA!$CB$3:$CB$400,COPIA!$CC$3:$CC$400,CF55),0)&lt;0,0,ROUND(SUMIFS(COPIA!$CA$3:$CA$400,COPIA!$CC$3:$CC$400,CF55)-SUMIFS(COPIA!$CB$3:$CB$400,COPIA!$CC$3:$CC$400,CF55),0))</f>
        <v>0</v>
      </c>
      <c r="CF55" s="48" t="s">
        <v>631</v>
      </c>
      <c r="CG55" s="242" t="s">
        <v>522</v>
      </c>
      <c r="CH55" s="242">
        <f t="shared" ca="1" si="112"/>
        <v>0</v>
      </c>
      <c r="CI55" s="242"/>
      <c r="CJ55" s="242">
        <f ca="1">SUMIFS(COPIA!$CA$3:$CA$400,COPIA!$CC$3:$CC$400,CF55)-SUMIFS(COPIA!$CB$3:$CB$400,COPIA!$CC$3:$CC$400,CF55)</f>
        <v>0</v>
      </c>
      <c r="CK55" s="48">
        <f ca="1">IF($CF$2=FALSE,0,IF(AND($BF$9=1,CJ55&lt;&gt;0),MAX($CK$21:CK54)+1,0))</f>
        <v>0</v>
      </c>
      <c r="CL55" s="48" t="s">
        <v>689</v>
      </c>
      <c r="CM55" s="242" t="str">
        <f t="shared" ca="1" si="37"/>
        <v/>
      </c>
      <c r="CN55" s="243">
        <f t="shared" ca="1" si="38"/>
        <v>0</v>
      </c>
      <c r="CO55" s="48" t="str">
        <f t="shared" ca="1" si="39"/>
        <v/>
      </c>
      <c r="CQ55" s="242"/>
      <c r="CR55" s="242">
        <f t="shared" ca="1" si="114"/>
        <v>2031</v>
      </c>
      <c r="CS55" s="48">
        <f t="shared" ca="1" si="115"/>
        <v>0</v>
      </c>
      <c r="CT55" s="242"/>
      <c r="CU55" s="48">
        <f ca="1">IF(SUMIFS(AVERE,DEN_G,AC55,AVERE,"&gt;"&amp;0)+SUMIFS(DARE,DEN_G,AC55,DARE,"&gt;"&amp;0)&gt;0,MAX($CU$2:CU54)+1,0)</f>
        <v>0</v>
      </c>
      <c r="CV55" s="48" t="str">
        <f ca="1">IF(IFERROR(INDEX(PDC,MATCH(ROWS($CV$3:CV55),$CU$3:$CU$400,0),2),"")="CONTO DI RISULTATO ECONOMICO","",IFERROR(INDEX(PDC,MATCH(ROWS($CV$3:CV55),$CU$3:$CU$400,0),2),""))</f>
        <v/>
      </c>
      <c r="CW55" s="48">
        <f ca="1">IFERROR(IF(CV55&lt;&gt;"",MAX($CW$2:CW54)+1,0),0)</f>
        <v>0</v>
      </c>
      <c r="CX55" s="48">
        <f ca="1">$FF$7</f>
        <v>5</v>
      </c>
      <c r="CY55" s="48" t="str">
        <f t="shared" ref="CY55:CY66" ca="1" si="119">IF(ISERROR(INDEX($CV$3:$CX$1302,MATCH(CX55,$CW$3:$CW$1302,0),1)),"MASTRO",INDEX($CV$3:$CX$1302,MATCH(CX55,$CW$3:$CW$1302,0),1))</f>
        <v>MASTRO</v>
      </c>
      <c r="DA55" s="48" t="str">
        <f>IF(CY54="MASTRO","Conto n.","")</f>
        <v>Conto n.</v>
      </c>
      <c r="DB55" s="48" t="str">
        <f ca="1">IF(CY55=0,"",INDEX(PDC,MATCH(DC55,DEN_PDC,0),1))</f>
        <v/>
      </c>
      <c r="DC55" s="48" t="str">
        <f ca="1">IF(OR(CY55=0,CY55="mastro"),"",CY55)</f>
        <v/>
      </c>
      <c r="DD55" s="48" t="str">
        <f ca="1">IF(AND($DA$2=TRUE,OR(INDEX(PDC,MATCH($DC55,DEN_PDC,0),4)="A",INDEX(PDC,MATCH($DC55,DEN_PDC,0),4)="D/A"),SUMIFS(AVERE,DEN_G,"="&amp;$DC55,DATA,"&lt;="&amp;FINE_AC,DATA,"&gt;="&amp;INIZIO_AC)&gt;SUMIFS(DARE,DEN_G,"="&amp;$DC55,DATA,"&lt;="&amp;FINE_AC,DATA,"&gt;="&amp;INIZIO_AC)),CONCATENATE("s ",FIXED(ABS(SUMIFS(AVERE,DEN_G,"="&amp;$DC55,DATA,"&lt;="&amp;FINE_AC,DATA,"&gt;="&amp;INIZIO_AC)-SUMIFS(DARE,DEN_G,"="&amp;$DC55,DATA,"&lt;="&amp;FINE_AC,DATA,"&gt;="&amp;INIZIO_AC)),2)),"")</f>
        <v/>
      </c>
      <c r="DE55" s="48" t="str">
        <f ca="1">IF(AND($DA$2=TRUE,OR(INDEX(PDC,MATCH($DC55,DEN_PDC,0),4)="D",INDEX(PDC,MATCH($DC55,DEN_PDC,0),4)="D/A"),SUMIFS(DARE,DEN_G,"="&amp;$DC55,DATA,"&lt;="&amp;FINE_AC,DATA,"&gt;="&amp;INIZIO_AC)&gt;SUMIFS(AVERE,DEN_G,"="&amp;$DC55,DATA,"&lt;="&amp;FINE_AC,DATA,"&gt;="&amp;INIZIO_AC)),CONCATENATE("s ",FIXED(ABS(SUMIFS(DARE,DEN_G,"="&amp;$DC55,DATA,"&lt;="&amp;FINE_AC,DATA,"&gt;="&amp;INIZIO_AC)-SUMIFS(AVERE,DEN_G,"="&amp;$DC55,DATA,"&lt;="&amp;FINE_AC,DATA,"&gt;="&amp;INIZIO_AC)),2)),"")</f>
        <v/>
      </c>
      <c r="DF55" s="48">
        <f ca="1">IF(AND(CX55=$DF$1,CX55&lt;&gt;""),0,IF(AND(DB55&lt;&gt;"",OR(DB54&lt;&gt;"",DB56&lt;&gt;"")),MAX($DF$2:DF54)+1,0))</f>
        <v>0</v>
      </c>
      <c r="DH55" s="244" t="s">
        <v>278</v>
      </c>
      <c r="DI55" s="48" t="s">
        <v>922</v>
      </c>
      <c r="DJ55" s="48" t="s">
        <v>311</v>
      </c>
      <c r="DK55" s="48" t="s">
        <v>298</v>
      </c>
      <c r="DL55" s="48" t="s">
        <v>318</v>
      </c>
      <c r="DM55" s="48" t="s">
        <v>299</v>
      </c>
      <c r="DN55" s="48">
        <f ca="1">IF(DI55&lt;&gt;"",MAX($DN$2:DN54)+1,0)</f>
        <v>38</v>
      </c>
      <c r="DO55" s="48" t="str">
        <f ca="1">IF($BF$9=1,"pab22","pab2")</f>
        <v>pab2</v>
      </c>
      <c r="DQ55" s="227" t="s">
        <v>31</v>
      </c>
      <c r="DR55" s="48" t="s">
        <v>23</v>
      </c>
      <c r="DS55" s="48" t="s">
        <v>311</v>
      </c>
      <c r="DT55" s="48" t="s">
        <v>275</v>
      </c>
      <c r="DU55" s="48" t="s">
        <v>9</v>
      </c>
      <c r="DV55" s="48" t="s">
        <v>270</v>
      </c>
      <c r="DW55" s="48">
        <f ca="1">IF(DR55&lt;&gt;"",MAX($DW$2:DW54)+1,0)</f>
        <v>21</v>
      </c>
      <c r="DX55" s="48" t="str">
        <f t="shared" ref="DX55:DX57" ca="1" si="120">IF($BF$9=1,"pab24","pab2")</f>
        <v>pab2</v>
      </c>
      <c r="DY55" s="48" t="str">
        <f t="shared" ca="1" si="19"/>
        <v/>
      </c>
      <c r="DZ55" s="48" t="str">
        <f t="shared" ca="1" si="40"/>
        <v/>
      </c>
      <c r="EA55" s="48" t="str">
        <f t="shared" ca="1" si="41"/>
        <v/>
      </c>
      <c r="EB55" s="48">
        <f t="shared" ca="1" si="42"/>
        <v>0</v>
      </c>
      <c r="EC55" s="48">
        <f t="shared" ca="1" si="43"/>
        <v>0</v>
      </c>
      <c r="ED55" s="48" t="str">
        <f t="shared" ca="1" si="44"/>
        <v/>
      </c>
      <c r="EE55" s="48">
        <f t="shared" ca="1" si="45"/>
        <v>0</v>
      </c>
      <c r="EF55" s="48" t="str">
        <f t="shared" ca="1" si="46"/>
        <v/>
      </c>
      <c r="EG55" s="48">
        <f t="shared" ca="1" si="47"/>
        <v>0</v>
      </c>
      <c r="EH55" s="48" t="str">
        <f t="shared" ca="1" si="48"/>
        <v/>
      </c>
      <c r="EI55" s="48">
        <f t="shared" ca="1" si="49"/>
        <v>0</v>
      </c>
      <c r="EJ55" s="48" t="str">
        <f t="shared" ca="1" si="50"/>
        <v/>
      </c>
      <c r="EK55" s="48">
        <f t="shared" ca="1" si="51"/>
        <v>0</v>
      </c>
      <c r="EL55" s="48">
        <f t="shared" ca="1" si="20"/>
        <v>0</v>
      </c>
      <c r="EM55" s="48">
        <f ca="1">IF(EL55&gt;=0,0,MAX($EM$2:EM54)+1)</f>
        <v>0</v>
      </c>
      <c r="EN55" s="48" t="str">
        <f t="shared" ca="1" si="21"/>
        <v/>
      </c>
      <c r="EO55" s="48" t="str">
        <f ca="1">IFERROR(INDEX($EM$3:$EN$400,MATCH(ROWS($EO$3:EO55),$EM$3:$EM$400,0),2),"")</f>
        <v/>
      </c>
      <c r="EP55" s="48">
        <f>ROW()</f>
        <v>55</v>
      </c>
      <c r="EQ55" s="48">
        <f t="shared" ca="1" si="22"/>
        <v>0</v>
      </c>
      <c r="ER55" s="48">
        <f ca="1">IF(ISNA(EQ55)=TRUE,MAX($ER$2:ER54)+1,0)</f>
        <v>0</v>
      </c>
      <c r="ES55" s="48" t="str">
        <f t="shared" ca="1" si="52"/>
        <v/>
      </c>
      <c r="ET55" s="48" t="str">
        <f ca="1">IFERROR(INDEX($ER$3:$ES$400,MATCH(ROWS($ET$3:ET55),$ER$3:$ER$400,0),2),"")</f>
        <v/>
      </c>
      <c r="EV55" s="48">
        <f ca="1">IFERROR(INDEX(LIBRO_GIORNALE!$O$11:$P$408,MATCH(ROWS($EV$2:EV54),LIBRO_GIORNALE!$P$11:$P$408,0),1),0)</f>
        <v>0</v>
      </c>
      <c r="EW55" s="48" t="str">
        <f t="shared" ca="1" si="53"/>
        <v>0</v>
      </c>
      <c r="EX55" s="48">
        <f t="shared" ca="1" si="54"/>
        <v>0</v>
      </c>
      <c r="EY55" s="48">
        <f ca="1">IF(EX55&gt;0,MAX($EY$2:EY54)+1,0)</f>
        <v>0</v>
      </c>
      <c r="EZ55" s="48">
        <f ca="1">IFERROR(INDEX($EX$3:$EX$400,MATCH(ROWS($EZ$3:EZ55),$EY$3:$EY$400,0),1),0)</f>
        <v>0</v>
      </c>
      <c r="FA55" s="48">
        <f ca="1">IF(EZ55&gt;0,0,MAX($FA$2:FA54)+1)</f>
        <v>53</v>
      </c>
      <c r="FB55" s="48">
        <f t="shared" ca="1" si="55"/>
        <v>0</v>
      </c>
      <c r="FC55" s="48">
        <f t="shared" ca="1" si="56"/>
        <v>53</v>
      </c>
      <c r="FD55" s="48">
        <f t="shared" ca="1" si="57"/>
        <v>53</v>
      </c>
      <c r="FE55" s="48">
        <f ca="1">IF(FD55=0,0,MAX($FE$2:FE54)+1)</f>
        <v>53</v>
      </c>
      <c r="FF55" s="48">
        <f ca="1">IFERROR(INDEX($FD$3:$FE$400,MATCH(ROWS($FF$3:FF55),$FE$3:$FE$400,0),1),"")</f>
        <v>53</v>
      </c>
      <c r="FH55" s="48">
        <f t="shared" ca="1" si="58"/>
        <v>0</v>
      </c>
      <c r="FI55" s="48">
        <f ca="1">IF(FH55&lt;&gt;0,MAX($FI$2:FI54)+1,0)</f>
        <v>0</v>
      </c>
      <c r="FJ55" s="48" t="str">
        <f ca="1">IFERROR(INDEX($FH$3:$FI$400,MATCH(ROWS($FJ$3:FJ55),$FI$3:$FI$400,0),1),"")</f>
        <v/>
      </c>
      <c r="FK55" s="48">
        <f ca="1">IF(ABS(SUMIFS(DARE,DEN_G,"="&amp;FJ55,DATA,"&lt;="&amp;FINE_AC,DATA,"&gt;="&amp;INIZIO_A_PC)-SUMIFS(AVERE,DEN_G,"="&amp;FJ55,DATA,"&lt;="&amp;FINE_AC,DATA,"&gt;="&amp;INIZIO_A_PC))&gt;0,MAX($FK$2:FK54)+1,0)</f>
        <v>0</v>
      </c>
      <c r="FL55" s="48" t="str">
        <f ca="1">IF(AND(ROW()-2&lt;&gt;1,ROW()-2&lt;=$FK$1),CONCATENATE(" - ",IFERROR(INDEX($FJ$3:$FK$400,MATCH(ROWS($FL$3:FL55),$FK$3:$FK$400,0),1),"")),IFERROR(INDEX($FJ$3:$FK$400,MATCH(ROWS($FL$3:FL55),$FK$3:$FK$400,0),1),""))</f>
        <v/>
      </c>
      <c r="FM55" s="48">
        <f ca="1">IF(OR(B55="IVA ns/credito",B55="IVA NS/DEBITO",B55="IVA C/ACCONTO",B55="IMPOSTE C/ACCONTO",B55="CREDITI PER RITENUTE SUBITE",B55="CREDITI D'IMPOSTA"),MAX($FM$2:FM54)+1,0)</f>
        <v>0</v>
      </c>
      <c r="FN55" s="48" t="str">
        <f t="shared" ca="1" si="59"/>
        <v/>
      </c>
      <c r="FO55" s="48" t="str">
        <f ca="1">IFERROR(INDEX($FM$3:$FN$400,MATCH(ROWS($FO$3:FO55),$FM$3:$FM$400,0),2),"")</f>
        <v/>
      </c>
      <c r="FP55" s="48">
        <f ca="1">IF(ABS(SUMIFS(DARE,DEN_G,"="&amp;FO55,DATA,"&lt;="&amp;FINE_AC,DATA,"&gt;="&amp;INIZIO_A_PC)-SUMIFS(AVERE,DEN_G,"="&amp;FO55,DATA,"&lt;="&amp;FINE_AC,DATA,"&gt;="&amp;INIZIO_A_PC))&gt;0,MAX($FP$2:FP54)+1,0)</f>
        <v>0</v>
      </c>
      <c r="FQ55" s="48" t="str">
        <f ca="1">IF(AND(ROW()-2&lt;&gt;1,ROW()-2&lt;=$FP$1),CONCATENATE(" - ",IFERROR(INDEX($FO$3:$FP$400,MATCH(ROWS($FQ$3:FQ55),$FP$3:$FP$400,0),1),"")),IFERROR(INDEX($FO$3:$FP$400,MATCH(ROWS($FQ$3:FQ55),$FP$3:$FP$400,0),1),""))</f>
        <v/>
      </c>
    </row>
    <row r="56" spans="1:173" x14ac:dyDescent="0.3">
      <c r="A56" s="48" t="str">
        <f ca="1">IFERROR(IF($A$1=2,INDEX($DH$3:$DN$401,MATCH(ROWS(A$3:A56),$DN$3:$DN$401,0),COLUMN()),IF($A$1=1,INDEX($DQ$3:$DW$401,MATCH(ROWS(A$3:A56),$DW$3:$DW$401,0),COLUMN()),"")),"")</f>
        <v>04.03</v>
      </c>
      <c r="B56" s="48" t="str">
        <f ca="1">IFERROR(IF($A$1=2,INDEX($DH$3:$DN$401,MATCH(ROWS(B$3:B56),$DN$3:$DN$401,0),COLUMN()),IF($A$1=1,INDEX($DQ$3:$DW$400,MATCH(ROWS(B$3:B56),$DW$3:$DW$401,0),COLUMN()),"")),"")</f>
        <v>MATERIE DI CONSUMO</v>
      </c>
      <c r="C56" s="48" t="str">
        <f ca="1">IFERROR(IF($A$1=2,INDEX($DH$3:$DN$401,MATCH(ROWS(C$3:C56),$DN$3:$DN$401,0),COLUMN()),IF($A$1=1,INDEX($DQ$3:$DW$401,MATCH(ROWS(C$3:C56),$DW$3:$DW$401,0),COLUMN()),"")),"")</f>
        <v>E</v>
      </c>
      <c r="D56" s="48" t="str">
        <f ca="1">IFERROR(IF($A$1=2,INDEX($DH$3:$DN$401,MATCH(ROWS(D$3:D56),$DN$3:$DN$401,0),COLUMN()),IF($A$1=1,INDEX($DQ$3:$DW$401,MATCH(ROWS(D$3:D56),$DW$3:$DW$401,0),COLUMN()),"")),"")</f>
        <v>D</v>
      </c>
      <c r="E56" s="48" t="str">
        <f ca="1">IFERROR(IF($A$1=2,INDEX($DH$3:$DN$401,MATCH(ROWS(E$3:E56),$DN$3:$DN$401,0),COLUMN()),IF($A$1=1,INDEX($DQ$3:$DW$401,MATCH(ROWS(E$3:E56),$DW$3:$DW$401,0),COLUMN()),"")),"")</f>
        <v>COSTI SOSPESI</v>
      </c>
      <c r="F56" s="48" t="str">
        <f ca="1">IFERROR(IF($A$1=2,INDEX($DH$3:$DN$401,MATCH(ROWS(F$3:F56),$DN$3:$DN$401,0),COLUMN()),IF($A$1=1,INDEX($DQ$3:$DX$401,MATCH(ROWS(F$3:F56),$DW$3:$DW$401,0),COLUMN()),"")),"")</f>
        <v>SP DARE</v>
      </c>
      <c r="G56" s="48" t="str">
        <f t="shared" ca="1" si="23"/>
        <v>SP</v>
      </c>
      <c r="H56" s="48" t="str">
        <f ca="1">IFERROR(IF($A$1=2,INDEX($DH$3:$DO$400,MATCH(ROWS(H$3:H56),$DN$3:$DN$400,0),COLUMN()),IF($A$1=1,INDEX($DQ$3:$DX$400,MATCH(ROWS(H$3:H56),$DW$3:$DW$400,0),COLUMN()),"")),"")</f>
        <v>pac1</v>
      </c>
      <c r="I56" s="48" t="str">
        <f t="shared" ca="1" si="0"/>
        <v/>
      </c>
      <c r="J56" s="48" t="str">
        <f t="shared" ca="1" si="24"/>
        <v/>
      </c>
      <c r="K56" s="48">
        <f t="shared" ca="1" si="25"/>
        <v>0</v>
      </c>
      <c r="L56" s="48">
        <f t="shared" ca="1" si="26"/>
        <v>0</v>
      </c>
      <c r="M56" s="48">
        <f ca="1">IFERROR(IF(IF(MID($A56,3,3)=".00",MID(A56,1,2),"")&lt;&gt;"",MAX($M$2:M55)+1,0),"")</f>
        <v>0</v>
      </c>
      <c r="N56" s="48" t="str">
        <f t="shared" ca="1" si="27"/>
        <v/>
      </c>
      <c r="O56" s="48">
        <v>6</v>
      </c>
      <c r="P56" s="48" t="str">
        <f t="shared" ca="1" si="117"/>
        <v/>
      </c>
      <c r="Q56" s="48">
        <f ca="1">IF(M56&gt;=1,0,MAX($Q$2:Q55)+1)</f>
        <v>49</v>
      </c>
      <c r="R56" s="48">
        <f ca="1">IF(AND($U$2=2,S56&lt;&gt;""),MAX($R$2:R55)+1,0)</f>
        <v>38</v>
      </c>
      <c r="S56" s="48" t="str">
        <f t="shared" ca="1" si="81"/>
        <v>CONTI DI RISULTATO</v>
      </c>
      <c r="T56" s="48" t="str">
        <f ca="1">IFERROR(INDEX($R$3:$S$64,MATCH(ROWS($T$2:T55),$R$3:$R$64,0),2),"")</f>
        <v/>
      </c>
      <c r="U56" s="48" t="str">
        <f ca="1">IFERROR(INDEX(PDC,MATCH(ROWS(U$3:U56),$V$3:$V$400,0),2),"")</f>
        <v>CREDITI V/CLIENTI</v>
      </c>
      <c r="V56" s="48">
        <f ca="1">IF(AND($T$1="VISUALIZZA TUTTI I CONTI",AA56&lt;&gt;""),MAX($V$2:V55)+1,IF(AND($U$2=2,AI56=$T$1),MAX($V$2:V55)+1,IF(AND($U$2=1,$T$1=AF56),MAX($V$2:V55)+1,0)))</f>
        <v>54</v>
      </c>
      <c r="Z56" s="246"/>
      <c r="AA56" s="48" t="str">
        <f t="shared" ca="1" si="29"/>
        <v>05.00</v>
      </c>
      <c r="AB56" s="48" t="str">
        <f ca="1">IFERROR(INDEX($A$3:$G$400,MATCH(ROWS(AB$3:AB56),$Q$3:$Q$400,0),1),"")</f>
        <v>05.01</v>
      </c>
      <c r="AC56" s="48" t="str">
        <f ca="1">IFERROR(INDEX($A$3:$G$400,MATCH(ROWS($AC$3:AC56),$Q$3:$Q$400,0),2),"")</f>
        <v>CREDITI V/CLIENTI</v>
      </c>
      <c r="AD56" s="48" t="str">
        <f ca="1">IFERROR(INDEX($A$3:$G$400,MATCH(ROWS(AD$3:AD56),$Q$3:$Q$400,0),3),"")</f>
        <v>F</v>
      </c>
      <c r="AE56" s="48" t="str">
        <f ca="1">IFERROR(INDEX($A$3:$G$400,MATCH(ROWS(AE$3:AE56),$Q$3:$Q$400,0),4),"")</f>
        <v>D</v>
      </c>
      <c r="AF56" s="48" t="str">
        <f ca="1">IFERROR(INDEX($A$3:$G$400,MATCH(ROWS(AF$3:AF56),$Q$3:$Q$400,0),5),"")</f>
        <v>CREDITI</v>
      </c>
      <c r="AG56" s="48" t="str">
        <f ca="1">IFERROR(INDEX($A$3:$G$400,MATCH(ROWS(AG$3:AG56),$Q$3:$Q$400,0),6),"")</f>
        <v>SP DARE</v>
      </c>
      <c r="AH56" s="48" t="str">
        <f ca="1">IFERROR(INDEX($A$3:$G$400,MATCH(ROWS(AH$3:AH56),$Q$3:$Q$400,0),7),"")</f>
        <v>SP</v>
      </c>
      <c r="AI56" s="48" t="str">
        <f t="shared" ca="1" si="1"/>
        <v>CREDITI COMMERCIALI</v>
      </c>
      <c r="AJ56" s="48" t="str">
        <f ca="1">IFERROR(INDEX($A$3:$H$400,MATCH(ROWS(AJ$3:AJ56),$Q$3:$Q$400,0),8),"")</f>
        <v>pac2</v>
      </c>
      <c r="AK56" s="48">
        <f t="shared" ca="1" si="2"/>
        <v>0</v>
      </c>
      <c r="AL56" s="48">
        <f t="shared" ca="1" si="95"/>
        <v>0</v>
      </c>
      <c r="AM56" s="48">
        <f t="shared" ca="1" si="30"/>
        <v>0</v>
      </c>
      <c r="AN56" s="48" t="str">
        <f t="shared" ca="1" si="31"/>
        <v/>
      </c>
      <c r="AO56" s="48">
        <f t="shared" ca="1" si="32"/>
        <v>0</v>
      </c>
      <c r="AP56" s="48">
        <f t="shared" ca="1" si="32"/>
        <v>0</v>
      </c>
      <c r="AQ56" s="48" t="str">
        <f t="shared" ca="1" si="4"/>
        <v>CREDITI V/CLIENTI</v>
      </c>
      <c r="AR56" s="48">
        <f t="shared" ca="1" si="5"/>
        <v>0</v>
      </c>
      <c r="AS56" s="48">
        <f t="shared" ca="1" si="6"/>
        <v>0</v>
      </c>
      <c r="AT56" s="48">
        <f t="shared" ca="1" si="33"/>
        <v>0</v>
      </c>
      <c r="AU56" s="48">
        <f t="shared" ca="1" si="34"/>
        <v>0</v>
      </c>
      <c r="AV56" s="48">
        <f ca="1">IF(OR(AT56&gt;0,AU56&gt;0),MAX($AV$2:AV55)+1,0)</f>
        <v>0</v>
      </c>
      <c r="AZ56" s="241" t="str">
        <f t="shared" ca="1" si="35"/>
        <v/>
      </c>
      <c r="BA56" s="48">
        <f t="shared" ca="1" si="96"/>
        <v>0</v>
      </c>
      <c r="BB56" s="48">
        <f ca="1">IFERROR(INDEX($AQ$3:$AV$220,MATCH(ROWS($BB$3:BB56),$AV$3:$AV$220,0),1),0)</f>
        <v>0</v>
      </c>
      <c r="BC56" s="48" t="str">
        <f t="shared" ca="1" si="36"/>
        <v/>
      </c>
      <c r="BD56" s="48">
        <f ca="1">IFERROR(INDEX($AQ$3:$AV$220,MATCH(ROWS($BB$3:BD56),$AV$3:$AV$220,0),4),0)</f>
        <v>0</v>
      </c>
      <c r="BE56" s="48">
        <f ca="1">IFERROR(INDEX($AQ$3:$AV$220,MATCH(ROWS($BB$3:BE56),$AV$3:$AV$220,0),5),0)</f>
        <v>0</v>
      </c>
      <c r="BG56" s="48">
        <f ca="1">IF(IF(AND(OR(INDEX(PDC,MATCH($AC56,DEN_PDC,0),6)="SP DARE",INDEX(PDC,MATCH($AC56,DEN_PDC,0),6)="SP DARE/AVERE"),SUMIFS(DARE,DEN_G,$AC56)&gt;=SUMIFS(AVERE,DEN_G,$AC56)),SUMIFS(DARE,DEN_G,$AC56)-SUMIFS(AVERE,DEN_G,$AC56),0)&gt;0,MAX($BG$2:BG55)+1,0)</f>
        <v>0</v>
      </c>
      <c r="BH56" s="48">
        <f ca="1">IF(IF(AND(OR(INDEX(PDC,MATCH($AC56,DEN_PDC,0),6)="SP AVERE",INDEX(PDC,MATCH($AC56,DEN_PDC,0),6)="SP DARE/AVERE"),SUMIFS(AVERE,DEN_G,$AC56)&gt;=SUMIFS(DARE,DEN_G,$AC56)),SUMIFS(AVERE,DEN_G,$AC56)-SUMIFS(DARE,DEN_G,$AC56),0)&gt;0,MAX(BH$2:BH55)+1,0)</f>
        <v>0</v>
      </c>
      <c r="BI56" s="48">
        <f ca="1">IF(IF(AND(OR(INDEX(PDC,MATCH($AC56,DEN_PDC,0),6)="SE DARE",INDEX(PDC,MATCH($AC56,DEN_PDC,0),6)="SE DARE/AVERE"),SUMIFS(DARE,DEN_G,$AC56)&gt;=SUMIFS(AVERE,DEN_G,$AC56)),SUMIFS(DARE,DEN_G,$AC56)-SUMIFS(AVERE,DEN_G,$AC56),0)&gt;0,MAX(BI$2:BI55)+1,0)</f>
        <v>0</v>
      </c>
      <c r="BJ56" s="48">
        <f ca="1">IF(IF(AND(OR(INDEX(PDC,MATCH($AC56,DEN_PDC,0),6)="SE AVERE",INDEX(PDC,MATCH($AC56,DEN_PDC,0),6)="SE DARE/AVERE"),SUMIFS(AVERE,DEN_G,$AC56)&gt;=SUMIFS(DARE,DEN_G,$AC56)),SUMIFS(AVERE,DEN_G,$AC56)-SUMIFS(DARE,DEN_G,$AC56),0)&gt;0,MAX(BJ$2:BJ55)+1,0)</f>
        <v>0</v>
      </c>
      <c r="BK56" s="48" t="str">
        <f ca="1">IF(AND(AND($DY$2=0,$DY$1=0),$I$1=2,ROW()&gt;$BG$1+2,ROW()&lt;=$BG$1+4),"………………..",IF(AND(OR($DY$2&gt;0,$DY$1&gt;0),$I$1=2,ROW()&gt;$BG$1+2,ROW()&lt;=$BG$1+4),"………………..",IFERROR(INDEX($AC$3:$AC$398,MATCH(ROWS(BK$3:BK56),BG$3:BG$398,0),1),"")))</f>
        <v/>
      </c>
      <c r="BL56" s="48">
        <f t="shared" ca="1" si="69"/>
        <v>0</v>
      </c>
      <c r="BM56" s="48" t="str">
        <f ca="1">IF(AND(OR($DY$2=0,$DY$1=0),$I$1=2,ROW()&gt;$BH$1+2,ROW()&lt;=$BH$1+4),"………………..",IF(AND(OR($DY$2&gt;0,$DY$1&gt;0),$I$1=2,ROW()&gt;$BH$1+2,ROW()&lt;=$BH$1+4),"………………..",IFERROR(INDEX($AC$3:$AC$400,MATCH(ROWS(BM$3:BM56),BH$3:BH$400,0),1),"")))</f>
        <v/>
      </c>
      <c r="BN56" s="48">
        <f t="shared" ca="1" si="9"/>
        <v>0</v>
      </c>
      <c r="BO56" s="48" t="str">
        <f ca="1">IF(AND(OR($DY$2=0,$DY$1=0),$I$1=2,ROW()&gt;$BI$1+2,ROW()&lt;=$BI$1+4),"………………..",IF(AND(OR($DY$2&gt;0,$DY$1&gt;0),$I$1=2,ROW()&gt;$BI$1+2,ROW()&lt;=$BI$1+4),"………………..",IFERROR(INDEX($AC$3:$AC$400,MATCH(ROWS(BO$3:BO56),BI$3:BI$400,0),1),"")))</f>
        <v/>
      </c>
      <c r="BP56" s="48">
        <f t="shared" ca="1" si="10"/>
        <v>0</v>
      </c>
      <c r="BQ56" s="48" t="str">
        <f ca="1">IF(AND(OR($DY$2=0,$DY$1=0),$I$1=2,ROW()&gt;$BJ$1+2,ROW()&lt;=$BJ$1+4),"………………..",IF(AND(OR($DY$2&gt;0,$DY$1&gt;0),$I$1=2,ROW()&gt;$BJ$1+2,ROW()&lt;=$BJ$1+4),"………………..",IFERROR(INDEX($AC$3:$AC$400,MATCH(ROWS(BQ$3:BQ56),BJ$3:BJ$400,0),1),"")))</f>
        <v/>
      </c>
      <c r="BR56" s="48">
        <f t="shared" ca="1" si="11"/>
        <v>0</v>
      </c>
      <c r="BS56" s="48">
        <f ca="1">IF(IF(AND(OR(INDEX(PDC,MATCH($AC56,DEN_PDC,0),4)="D",INDEX(PDC,MATCH($AC56,DEN_PDC,0),4)="D/A"),SUMIFS(DARE,DEN_G,$AC56)&gt;=SUMIFS(AVERE,DEN_G,$AC56)),SUMIFS(DARE,DEN_G,$AC56),IF(AND(OR(INDEX(PDC,MATCH($AC56,DEN_PDC,0),4)="A",INDEX(PDC,MATCH($AC56,DEN_PDC,0),4)="D/A"),SUMIFS(AVERE,DEN_G,$AC56)&gt;=SUMIFS(DARE,DEN_G,$AC56)),SUMIFS(AVERE,DEN_G,$AC56),))&gt;0,MAX($BS$2:BS55)+1,0)</f>
        <v>0</v>
      </c>
      <c r="BT56" s="48" t="str">
        <f ca="1">IF($CO$1=0,"",IF(AND($I$1=2,ROW()&gt;$BR$1,ROW()&lt;=$BS$1)," …………….",IF(AND($E$1=1,$BX$1=1,$I$1=2,ROW()=$BQ$1),"TOTALI",IFERROR(INDEX(PDC,MATCH(ROWS(BT$3:BT56),BS$3:BS453,0),2),""))))</f>
        <v/>
      </c>
      <c r="BU56" s="48">
        <f t="shared" ca="1" si="12"/>
        <v>0</v>
      </c>
      <c r="BV56" s="48">
        <f t="shared" ca="1" si="13"/>
        <v>0</v>
      </c>
      <c r="BW56" s="48">
        <f t="shared" ca="1" si="14"/>
        <v>0</v>
      </c>
      <c r="BX56" s="48">
        <f t="shared" ca="1" si="15"/>
        <v>0</v>
      </c>
      <c r="BY56" s="48">
        <f ca="1">IF(OR(BW56&gt;0,BX56&gt;0),MAX($BY$2:BY55)+1,0)</f>
        <v>0</v>
      </c>
      <c r="BZ56" s="48" t="str">
        <f ca="1">IFERROR(INDEX($BT$3:$BY$400,MATCH(ROWS(BZ$3:BZ56),$BY$3:$BY$400,0),1),"")</f>
        <v/>
      </c>
      <c r="CA56" s="48" t="str">
        <f ca="1">IFERROR(INDEX($BT$3:$BY$400,MATCH(ROWS(CA$3:CA56),$BY$3:$BY$400,0),4),"")</f>
        <v/>
      </c>
      <c r="CB56" s="48" t="str">
        <f ca="1">IFERROR(INDEX($BT$3:$BY$400,MATCH(ROWS(CB$3:CB56),$BY$3:$BY$400,0),5),"")</f>
        <v/>
      </c>
      <c r="CC56" s="48" t="str">
        <f t="shared" ca="1" si="16"/>
        <v/>
      </c>
      <c r="CD56" s="48">
        <f ca="1">IF(AND($BF$9=1,CE56&lt;&gt;0),MAX($CD$2:CD55)+1,0)</f>
        <v>0</v>
      </c>
      <c r="CE56" s="48">
        <f ca="1">ROUND(IFERROR(INDEX(BILANCIO!$I$13:$J$59,MATCH(CF56,BILANCIO!$J$13:$J$59,0),1),0),0)</f>
        <v>0</v>
      </c>
      <c r="CF56" s="48" t="s">
        <v>689</v>
      </c>
      <c r="CG56" s="242" t="s">
        <v>571</v>
      </c>
      <c r="CH56" s="242"/>
      <c r="CI56" s="242">
        <f ca="1">CE56</f>
        <v>0</v>
      </c>
      <c r="CJ56" s="242">
        <f ca="1">SUMIFS(COPIA!$CA$3:$CA$400,COPIA!$CC$3:$CC$400,CF56)-SUMIFS(COPIA!$CB$3:$CB$400,COPIA!$CC$3:$CC$400,CF56)</f>
        <v>0</v>
      </c>
      <c r="CK56" s="48">
        <f ca="1">IF($CF$2=FALSE,0,IF(AND($BF$9=1,CJ56&lt;&gt;0),MAX($CK$21:CK55)+1,0))</f>
        <v>0</v>
      </c>
      <c r="CM56" s="242" t="str">
        <f t="shared" ca="1" si="37"/>
        <v/>
      </c>
      <c r="CN56" s="243">
        <f t="shared" ca="1" si="38"/>
        <v>0</v>
      </c>
      <c r="CO56" s="48" t="str">
        <f t="shared" ca="1" si="39"/>
        <v/>
      </c>
      <c r="CQ56" s="242"/>
      <c r="CR56" s="242"/>
      <c r="CU56" s="48">
        <f ca="1">IF(SUMIFS(AVERE,DEN_G,AC56,AVERE,"&gt;"&amp;0)+SUMIFS(DARE,DEN_G,AC56,DARE,"&gt;"&amp;0)&gt;0,MAX($CU$2:CU55)+1,0)</f>
        <v>0</v>
      </c>
      <c r="CV56" s="48" t="str">
        <f ca="1">IF(IFERROR(INDEX(PDC,MATCH(ROWS($CV$3:CV56),$CU$3:$CU$400,0),2),"")="CONTO DI RISULTATO ECONOMICO","",IFERROR(INDEX(PDC,MATCH(ROWS($CV$3:CV56),$CU$3:$CU$400,0),2),""))</f>
        <v/>
      </c>
      <c r="CW56" s="48">
        <f ca="1">IFERROR(IF(CV56&lt;&gt;"",MAX($CW$2:CW55)+1,0),0)</f>
        <v>0</v>
      </c>
      <c r="CX56" s="48">
        <f t="shared" ref="CX56:CX66" ca="1" si="121">$FF$7</f>
        <v>5</v>
      </c>
      <c r="CY56" s="48" t="str">
        <f t="shared" ca="1" si="119"/>
        <v>MASTRO</v>
      </c>
      <c r="DA56" s="48" t="str">
        <f ca="1">IF(DB55="","","Num. riga")</f>
        <v/>
      </c>
      <c r="DB56" s="48" t="str">
        <f t="shared" ref="DB56" ca="1" si="122">IF(DB55="","","Data")</f>
        <v/>
      </c>
      <c r="DC56" s="48" t="str">
        <f ca="1">IF(DB55="","","Operazioni")</f>
        <v/>
      </c>
      <c r="DD56" s="48" t="str">
        <f ca="1">IF(DB55="","","Dare        ")</f>
        <v/>
      </c>
      <c r="DE56" s="48" t="str">
        <f ca="1">IF(DB55="","","Avere        ")</f>
        <v/>
      </c>
      <c r="DF56" s="48">
        <f ca="1">IF(AND(CX56=$DF$1,CX56&lt;&gt;""),0,IF(AND(DB56&lt;&gt;"",OR(DB55&lt;&gt;"",DB57&lt;&gt;"")),MAX($DF$2:DF55)+1,0))</f>
        <v>0</v>
      </c>
      <c r="DH56" s="244" t="s">
        <v>343</v>
      </c>
      <c r="DI56" s="48" t="s">
        <v>479</v>
      </c>
      <c r="DJ56" s="48" t="s">
        <v>311</v>
      </c>
      <c r="DK56" s="48" t="s">
        <v>275</v>
      </c>
      <c r="DL56" s="48" t="s">
        <v>9</v>
      </c>
      <c r="DM56" s="48" t="s">
        <v>270</v>
      </c>
      <c r="DN56" s="48">
        <f ca="1">IF(DI56&lt;&gt;"",MAX($DN$2:DN55)+1,0)</f>
        <v>39</v>
      </c>
      <c r="DO56" s="48" t="str">
        <f ca="1">IF($BF$9=1,"pab25","pab2")</f>
        <v>pab2</v>
      </c>
      <c r="DQ56" s="227" t="s">
        <v>32</v>
      </c>
      <c r="DR56" s="48" t="s">
        <v>24</v>
      </c>
      <c r="DS56" s="48" t="s">
        <v>311</v>
      </c>
      <c r="DT56" s="48" t="s">
        <v>275</v>
      </c>
      <c r="DU56" s="48" t="s">
        <v>9</v>
      </c>
      <c r="DV56" s="48" t="s">
        <v>270</v>
      </c>
      <c r="DW56" s="48">
        <f ca="1">IF(DR56&lt;&gt;"",MAX($DW$2:DW55)+1,0)</f>
        <v>22</v>
      </c>
      <c r="DX56" s="48" t="str">
        <f t="shared" ca="1" si="120"/>
        <v>pab2</v>
      </c>
      <c r="DY56" s="48" t="str">
        <f t="shared" ca="1" si="19"/>
        <v/>
      </c>
      <c r="DZ56" s="48" t="str">
        <f t="shared" ca="1" si="40"/>
        <v/>
      </c>
      <c r="EA56" s="48" t="str">
        <f t="shared" ca="1" si="41"/>
        <v/>
      </c>
      <c r="EB56" s="48">
        <f t="shared" ca="1" si="42"/>
        <v>0</v>
      </c>
      <c r="EC56" s="48">
        <f t="shared" ca="1" si="43"/>
        <v>0</v>
      </c>
      <c r="ED56" s="48" t="str">
        <f t="shared" ca="1" si="44"/>
        <v/>
      </c>
      <c r="EE56" s="48">
        <f t="shared" ca="1" si="45"/>
        <v>0</v>
      </c>
      <c r="EF56" s="48" t="str">
        <f t="shared" ca="1" si="46"/>
        <v/>
      </c>
      <c r="EG56" s="48">
        <f t="shared" ca="1" si="47"/>
        <v>0</v>
      </c>
      <c r="EH56" s="48" t="str">
        <f t="shared" ca="1" si="48"/>
        <v/>
      </c>
      <c r="EI56" s="48">
        <f t="shared" ca="1" si="49"/>
        <v>0</v>
      </c>
      <c r="EJ56" s="48" t="str">
        <f t="shared" ca="1" si="50"/>
        <v/>
      </c>
      <c r="EK56" s="48">
        <f t="shared" ca="1" si="51"/>
        <v>0</v>
      </c>
      <c r="EL56" s="48">
        <f t="shared" ca="1" si="20"/>
        <v>0</v>
      </c>
      <c r="EM56" s="48">
        <f ca="1">IF(EL56&gt;=0,0,MAX($EM$2:EM55)+1)</f>
        <v>0</v>
      </c>
      <c r="EN56" s="48" t="str">
        <f t="shared" ca="1" si="21"/>
        <v/>
      </c>
      <c r="EO56" s="48" t="str">
        <f ca="1">IFERROR(INDEX($EM$3:$EN$400,MATCH(ROWS($EO$3:EO56),$EM$3:$EM$400,0),2),"")</f>
        <v/>
      </c>
      <c r="EP56" s="48">
        <f>ROW()</f>
        <v>56</v>
      </c>
      <c r="EQ56" s="48">
        <f t="shared" ca="1" si="22"/>
        <v>0</v>
      </c>
      <c r="ER56" s="48">
        <f ca="1">IF(ISNA(EQ56)=TRUE,MAX($ER$2:ER55)+1,0)</f>
        <v>0</v>
      </c>
      <c r="ES56" s="48" t="str">
        <f t="shared" ca="1" si="52"/>
        <v/>
      </c>
      <c r="ET56" s="48" t="str">
        <f ca="1">IFERROR(INDEX($ER$3:$ES$400,MATCH(ROWS($ET$3:ET56),$ER$3:$ER$400,0),2),"")</f>
        <v/>
      </c>
      <c r="EV56" s="48">
        <f ca="1">IFERROR(INDEX(LIBRO_GIORNALE!$O$11:$P$408,MATCH(ROWS($EV$2:EV55),LIBRO_GIORNALE!$P$11:$P$408,0),1),0)</f>
        <v>0</v>
      </c>
      <c r="EW56" s="48" t="str">
        <f t="shared" ca="1" si="53"/>
        <v>0</v>
      </c>
      <c r="EX56" s="48">
        <f t="shared" ca="1" si="54"/>
        <v>0</v>
      </c>
      <c r="EY56" s="48">
        <f ca="1">IF(EX56&gt;0,MAX($EY$2:EY55)+1,0)</f>
        <v>0</v>
      </c>
      <c r="EZ56" s="48">
        <f ca="1">IFERROR(INDEX($EX$3:$EX$400,MATCH(ROWS($EZ$3:EZ56),$EY$3:$EY$400,0),1),0)</f>
        <v>0</v>
      </c>
      <c r="FA56" s="48">
        <f ca="1">IF(EZ56&gt;0,0,MAX($FA$2:FA55)+1)</f>
        <v>54</v>
      </c>
      <c r="FB56" s="48">
        <f t="shared" ca="1" si="55"/>
        <v>0</v>
      </c>
      <c r="FC56" s="48">
        <f t="shared" ca="1" si="56"/>
        <v>54</v>
      </c>
      <c r="FD56" s="48">
        <f t="shared" ca="1" si="57"/>
        <v>54</v>
      </c>
      <c r="FE56" s="48">
        <f ca="1">IF(FD56=0,0,MAX($FE$2:FE55)+1)</f>
        <v>54</v>
      </c>
      <c r="FF56" s="48">
        <f ca="1">IFERROR(INDEX($FD$3:$FE$400,MATCH(ROWS($FF$3:FF56),$FE$3:$FE$400,0),1),"")</f>
        <v>54</v>
      </c>
      <c r="FH56" s="48">
        <f t="shared" ca="1" si="58"/>
        <v>0</v>
      </c>
      <c r="FI56" s="48">
        <f ca="1">IF(FH56&lt;&gt;0,MAX($FI$2:FI55)+1,0)</f>
        <v>0</v>
      </c>
      <c r="FJ56" s="48" t="str">
        <f ca="1">IFERROR(INDEX($FH$3:$FI$400,MATCH(ROWS($FJ$3:FJ56),$FI$3:$FI$400,0),1),"")</f>
        <v/>
      </c>
      <c r="FK56" s="48">
        <f ca="1">IF(ABS(SUMIFS(DARE,DEN_G,"="&amp;FJ56,DATA,"&lt;="&amp;FINE_AC,DATA,"&gt;="&amp;INIZIO_A_PC)-SUMIFS(AVERE,DEN_G,"="&amp;FJ56,DATA,"&lt;="&amp;FINE_AC,DATA,"&gt;="&amp;INIZIO_A_PC))&gt;0,MAX($FK$2:FK55)+1,0)</f>
        <v>0</v>
      </c>
      <c r="FL56" s="48" t="str">
        <f ca="1">IF(AND(ROW()-2&lt;&gt;1,ROW()-2&lt;=$FK$1),CONCATENATE(" - ",IFERROR(INDEX($FJ$3:$FK$400,MATCH(ROWS($FL$3:FL56),$FK$3:$FK$400,0),1),"")),IFERROR(INDEX($FJ$3:$FK$400,MATCH(ROWS($FL$3:FL56),$FK$3:$FK$400,0),1),""))</f>
        <v/>
      </c>
      <c r="FM56" s="48">
        <f ca="1">IF(OR(B56="IVA ns/credito",B56="IVA NS/DEBITO",B56="IVA C/ACCONTO",B56="IMPOSTE C/ACCONTO",B56="CREDITI PER RITENUTE SUBITE",B56="CREDITI D'IMPOSTA"),MAX($FM$2:FM55)+1,0)</f>
        <v>0</v>
      </c>
      <c r="FN56" s="48" t="str">
        <f t="shared" ca="1" si="59"/>
        <v/>
      </c>
      <c r="FO56" s="48" t="str">
        <f ca="1">IFERROR(INDEX($FM$3:$FN$400,MATCH(ROWS($FO$3:FO56),$FM$3:$FM$400,0),2),"")</f>
        <v/>
      </c>
      <c r="FP56" s="48">
        <f ca="1">IF(ABS(SUMIFS(DARE,DEN_G,"="&amp;FO56,DATA,"&lt;="&amp;FINE_AC,DATA,"&gt;="&amp;INIZIO_A_PC)-SUMIFS(AVERE,DEN_G,"="&amp;FO56,DATA,"&lt;="&amp;FINE_AC,DATA,"&gt;="&amp;INIZIO_A_PC))&gt;0,MAX($FP$2:FP55)+1,0)</f>
        <v>0</v>
      </c>
      <c r="FQ56" s="48" t="str">
        <f ca="1">IF(AND(ROW()-2&lt;&gt;1,ROW()-2&lt;=$FP$1),CONCATENATE(" - ",IFERROR(INDEX($FO$3:$FP$400,MATCH(ROWS($FQ$3:FQ56),$FP$3:$FP$400,0),1),"")),IFERROR(INDEX($FO$3:$FP$400,MATCH(ROWS($FQ$3:FQ56),$FP$3:$FP$400,0),1),""))</f>
        <v/>
      </c>
    </row>
    <row r="57" spans="1:173" x14ac:dyDescent="0.3">
      <c r="A57" s="48" t="str">
        <f ca="1">IFERROR(IF($A$1=2,INDEX($DH$3:$DN$401,MATCH(ROWS(A$3:A57),$DN$3:$DN$401,0),COLUMN()),IF($A$1=1,INDEX($DQ$3:$DW$401,MATCH(ROWS(A$3:A57),$DW$3:$DW$401,0),COLUMN()),"")),"")</f>
        <v>04.04</v>
      </c>
      <c r="B57" s="48" t="str">
        <f ca="1">IFERROR(IF($A$1=2,INDEX($DH$3:$DN$401,MATCH(ROWS(B$3:B57),$DN$3:$DN$401,0),COLUMN()),IF($A$1=1,INDEX($DQ$3:$DW$400,MATCH(ROWS(B$3:B57),$DW$3:$DW$401,0),COLUMN()),"")),"")</f>
        <v>PRODOTTI IN LAVORAZIONE</v>
      </c>
      <c r="C57" s="48" t="str">
        <f ca="1">IFERROR(IF($A$1=2,INDEX($DH$3:$DN$401,MATCH(ROWS(C$3:C57),$DN$3:$DN$401,0),COLUMN()),IF($A$1=1,INDEX($DQ$3:$DW$401,MATCH(ROWS(C$3:C57),$DW$3:$DW$401,0),COLUMN()),"")),"")</f>
        <v>E</v>
      </c>
      <c r="D57" s="48" t="str">
        <f ca="1">IFERROR(IF($A$1=2,INDEX($DH$3:$DN$401,MATCH(ROWS(D$3:D57),$DN$3:$DN$401,0),COLUMN()),IF($A$1=1,INDEX($DQ$3:$DW$401,MATCH(ROWS(D$3:D57),$DW$3:$DW$401,0),COLUMN()),"")),"")</f>
        <v>D</v>
      </c>
      <c r="E57" s="48" t="str">
        <f ca="1">IFERROR(IF($A$1=2,INDEX($DH$3:$DN$401,MATCH(ROWS(E$3:E57),$DN$3:$DN$401,0),COLUMN()),IF($A$1=1,INDEX($DQ$3:$DW$401,MATCH(ROWS(E$3:E57),$DW$3:$DW$401,0),COLUMN()),"")),"")</f>
        <v>COSTI SOSPESI</v>
      </c>
      <c r="F57" s="48" t="str">
        <f ca="1">IFERROR(IF($A$1=2,INDEX($DH$3:$DN$401,MATCH(ROWS(F$3:F57),$DN$3:$DN$401,0),COLUMN()),IF($A$1=1,INDEX($DQ$3:$DX$401,MATCH(ROWS(F$3:F57),$DW$3:$DW$401,0),COLUMN()),"")),"")</f>
        <v>SP DARE</v>
      </c>
      <c r="G57" s="48" t="str">
        <f t="shared" ca="1" si="23"/>
        <v>SP</v>
      </c>
      <c r="H57" s="48" t="str">
        <f ca="1">IFERROR(IF($A$1=2,INDEX($DH$3:$DO$400,MATCH(ROWS(H$3:H57),$DN$3:$DN$400,0),COLUMN()),IF($A$1=1,INDEX($DQ$3:$DX$400,MATCH(ROWS(H$3:H57),$DW$3:$DW$400,0),COLUMN()),"")),"")</f>
        <v>pac1</v>
      </c>
      <c r="I57" s="48" t="str">
        <f t="shared" ca="1" si="0"/>
        <v/>
      </c>
      <c r="J57" s="48" t="str">
        <f t="shared" ca="1" si="24"/>
        <v/>
      </c>
      <c r="K57" s="48">
        <f t="shared" ca="1" si="25"/>
        <v>0</v>
      </c>
      <c r="L57" s="48">
        <f t="shared" ca="1" si="26"/>
        <v>0</v>
      </c>
      <c r="M57" s="48">
        <f ca="1">IFERROR(IF(IF(MID($A57,3,3)=".00",MID(A57,1,2),"")&lt;&gt;"",MAX($M$2:M56)+1,0),"")</f>
        <v>0</v>
      </c>
      <c r="N57" s="48" t="str">
        <f t="shared" ca="1" si="27"/>
        <v/>
      </c>
      <c r="O57" s="48">
        <v>7</v>
      </c>
      <c r="P57" s="48" t="str">
        <f t="shared" ca="1" si="117"/>
        <v/>
      </c>
      <c r="Q57" s="48">
        <f ca="1">IF(M57&gt;=1,0,MAX($Q$2:Q56)+1)</f>
        <v>50</v>
      </c>
      <c r="R57" s="48">
        <f ca="1">IF(AND($U$2=2,S57&lt;&gt;""),MAX($R$2:R56)+1,0)</f>
        <v>0</v>
      </c>
      <c r="S57" s="48" t="str">
        <f t="shared" ca="1" si="81"/>
        <v/>
      </c>
      <c r="T57" s="48" t="str">
        <f ca="1">IFERROR(INDEX($R$3:$S$64,MATCH(ROWS($T$2:T56),$R$3:$R$64,0),2),"")</f>
        <v/>
      </c>
      <c r="U57" s="48" t="str">
        <f ca="1">IFERROR(INDEX(PDC,MATCH(ROWS(U$3:U57),$V$3:$V$400,0),2),"")</f>
        <v>FATTURE DA EMETTERE</v>
      </c>
      <c r="V57" s="48">
        <f ca="1">IF(AND($T$1="VISUALIZZA TUTTI I CONTI",AA57&lt;&gt;""),MAX($V$2:V56)+1,IF(AND($U$2=2,AI57=$T$1),MAX($V$2:V56)+1,IF(AND($U$2=1,$T$1=AF57),MAX($V$2:V56)+1,0)))</f>
        <v>55</v>
      </c>
      <c r="Z57" s="246"/>
      <c r="AA57" s="48" t="str">
        <f t="shared" ca="1" si="29"/>
        <v>05.00</v>
      </c>
      <c r="AB57" s="48" t="str">
        <f ca="1">IFERROR(INDEX($A$3:$G$400,MATCH(ROWS(AB$3:AB57),$Q$3:$Q$400,0),1),"")</f>
        <v>05.02</v>
      </c>
      <c r="AC57" s="48" t="str">
        <f ca="1">IFERROR(INDEX($A$3:$G$400,MATCH(ROWS($AC$3:AC57),$Q$3:$Q$400,0),2),"")</f>
        <v>FATTURE DA EMETTERE</v>
      </c>
      <c r="AD57" s="48" t="str">
        <f ca="1">IFERROR(INDEX($A$3:$G$400,MATCH(ROWS(AD$3:AD57),$Q$3:$Q$400,0),3),"")</f>
        <v>F</v>
      </c>
      <c r="AE57" s="48" t="str">
        <f ca="1">IFERROR(INDEX($A$3:$G$400,MATCH(ROWS(AE$3:AE57),$Q$3:$Q$400,0),4),"")</f>
        <v>D</v>
      </c>
      <c r="AF57" s="48" t="str">
        <f ca="1">IFERROR(INDEX($A$3:$G$400,MATCH(ROWS(AF$3:AF57),$Q$3:$Q$400,0),5),"")</f>
        <v>CREDITI</v>
      </c>
      <c r="AG57" s="48" t="str">
        <f ca="1">IFERROR(INDEX($A$3:$G$400,MATCH(ROWS(AG$3:AG57),$Q$3:$Q$400,0),6),"")</f>
        <v>SP DARE</v>
      </c>
      <c r="AH57" s="48" t="str">
        <f ca="1">IFERROR(INDEX($A$3:$G$400,MATCH(ROWS(AH$3:AH57),$Q$3:$Q$400,0),7),"")</f>
        <v>SP</v>
      </c>
      <c r="AI57" s="48" t="str">
        <f t="shared" ca="1" si="1"/>
        <v>CREDITI COMMERCIALI</v>
      </c>
      <c r="AJ57" s="48" t="str">
        <f ca="1">IFERROR(INDEX($A$3:$H$400,MATCH(ROWS(AJ$3:AJ57),$Q$3:$Q$400,0),8),"")</f>
        <v>pac2</v>
      </c>
      <c r="AK57" s="48">
        <f t="shared" ca="1" si="2"/>
        <v>0</v>
      </c>
      <c r="AL57" s="48">
        <f t="shared" ca="1" si="95"/>
        <v>0</v>
      </c>
      <c r="AM57" s="48">
        <f t="shared" ca="1" si="30"/>
        <v>0</v>
      </c>
      <c r="AN57" s="48" t="str">
        <f t="shared" ca="1" si="31"/>
        <v/>
      </c>
      <c r="AO57" s="48">
        <f t="shared" ca="1" si="32"/>
        <v>0</v>
      </c>
      <c r="AP57" s="48">
        <f t="shared" ca="1" si="32"/>
        <v>0</v>
      </c>
      <c r="AQ57" s="48" t="str">
        <f t="shared" ca="1" si="4"/>
        <v>FATTURE DA EMETTERE</v>
      </c>
      <c r="AR57" s="48">
        <f t="shared" ca="1" si="5"/>
        <v>0</v>
      </c>
      <c r="AS57" s="48">
        <f t="shared" ca="1" si="6"/>
        <v>0</v>
      </c>
      <c r="AT57" s="48">
        <f t="shared" ca="1" si="33"/>
        <v>0</v>
      </c>
      <c r="AU57" s="48">
        <f t="shared" ca="1" si="34"/>
        <v>0</v>
      </c>
      <c r="AV57" s="48">
        <f ca="1">IF(OR(AT57&gt;0,AU57&gt;0),MAX($AV$2:AV56)+1,0)</f>
        <v>0</v>
      </c>
      <c r="AZ57" s="241" t="str">
        <f t="shared" ca="1" si="35"/>
        <v/>
      </c>
      <c r="BA57" s="48">
        <f t="shared" ca="1" si="96"/>
        <v>0</v>
      </c>
      <c r="BB57" s="48">
        <f ca="1">IFERROR(INDEX($AQ$3:$AV$220,MATCH(ROWS($BB$3:BB57),$AV$3:$AV$220,0),1),0)</f>
        <v>0</v>
      </c>
      <c r="BC57" s="48" t="str">
        <f t="shared" ca="1" si="36"/>
        <v/>
      </c>
      <c r="BD57" s="48">
        <f ca="1">IFERROR(INDEX($AQ$3:$AV$220,MATCH(ROWS($BB$3:BD57),$AV$3:$AV$220,0),4),0)</f>
        <v>0</v>
      </c>
      <c r="BE57" s="48">
        <f ca="1">IFERROR(INDEX($AQ$3:$AV$220,MATCH(ROWS($BB$3:BE57),$AV$3:$AV$220,0),5),0)</f>
        <v>0</v>
      </c>
      <c r="BG57" s="48">
        <f ca="1">IF(IF(AND(OR(INDEX(PDC,MATCH($AC57,DEN_PDC,0),6)="SP DARE",INDEX(PDC,MATCH($AC57,DEN_PDC,0),6)="SP DARE/AVERE"),SUMIFS(DARE,DEN_G,$AC57)&gt;=SUMIFS(AVERE,DEN_G,$AC57)),SUMIFS(DARE,DEN_G,$AC57)-SUMIFS(AVERE,DEN_G,$AC57),0)&gt;0,MAX($BG$2:BG56)+1,0)</f>
        <v>0</v>
      </c>
      <c r="BH57" s="48">
        <f ca="1">IF(IF(AND(OR(INDEX(PDC,MATCH($AC57,DEN_PDC,0),6)="SP AVERE",INDEX(PDC,MATCH($AC57,DEN_PDC,0),6)="SP DARE/AVERE"),SUMIFS(AVERE,DEN_G,$AC57)&gt;=SUMIFS(DARE,DEN_G,$AC57)),SUMIFS(AVERE,DEN_G,$AC57)-SUMIFS(DARE,DEN_G,$AC57),0)&gt;0,MAX(BH$2:BH56)+1,0)</f>
        <v>0</v>
      </c>
      <c r="BI57" s="48">
        <f ca="1">IF(IF(AND(OR(INDEX(PDC,MATCH($AC57,DEN_PDC,0),6)="SE DARE",INDEX(PDC,MATCH($AC57,DEN_PDC,0),6)="SE DARE/AVERE"),SUMIFS(DARE,DEN_G,$AC57)&gt;=SUMIFS(AVERE,DEN_G,$AC57)),SUMIFS(DARE,DEN_G,$AC57)-SUMIFS(AVERE,DEN_G,$AC57),0)&gt;0,MAX(BI$2:BI56)+1,0)</f>
        <v>0</v>
      </c>
      <c r="BJ57" s="48">
        <f ca="1">IF(IF(AND(OR(INDEX(PDC,MATCH($AC57,DEN_PDC,0),6)="SE AVERE",INDEX(PDC,MATCH($AC57,DEN_PDC,0),6)="SE DARE/AVERE"),SUMIFS(AVERE,DEN_G,$AC57)&gt;=SUMIFS(DARE,DEN_G,$AC57)),SUMIFS(AVERE,DEN_G,$AC57)-SUMIFS(DARE,DEN_G,$AC57),0)&gt;0,MAX(BJ$2:BJ56)+1,0)</f>
        <v>0</v>
      </c>
      <c r="BK57" s="48" t="str">
        <f ca="1">IF(AND(AND($DY$2=0,$DY$1=0),$I$1=2,ROW()&gt;$BG$1+2,ROW()&lt;=$BG$1+4),"………………..",IF(AND(OR($DY$2&gt;0,$DY$1&gt;0),$I$1=2,ROW()&gt;$BG$1+2,ROW()&lt;=$BG$1+4),"………………..",IFERROR(INDEX($AC$3:$AC$398,MATCH(ROWS(BK$3:BK57),BG$3:BG$398,0),1),"")))</f>
        <v/>
      </c>
      <c r="BL57" s="48">
        <f t="shared" ca="1" si="69"/>
        <v>0</v>
      </c>
      <c r="BM57" s="48" t="str">
        <f ca="1">IF(AND(OR($DY$2=0,$DY$1=0),$I$1=2,ROW()&gt;$BH$1+2,ROW()&lt;=$BH$1+4),"………………..",IF(AND(OR($DY$2&gt;0,$DY$1&gt;0),$I$1=2,ROW()&gt;$BH$1+2,ROW()&lt;=$BH$1+4),"………………..",IFERROR(INDEX($AC$3:$AC$400,MATCH(ROWS(BM$3:BM57),BH$3:BH$400,0),1),"")))</f>
        <v/>
      </c>
      <c r="BN57" s="48">
        <f t="shared" ca="1" si="9"/>
        <v>0</v>
      </c>
      <c r="BO57" s="48" t="str">
        <f ca="1">IF(AND(OR($DY$2=0,$DY$1=0),$I$1=2,ROW()&gt;$BI$1+2,ROW()&lt;=$BI$1+4),"………………..",IF(AND(OR($DY$2&gt;0,$DY$1&gt;0),$I$1=2,ROW()&gt;$BI$1+2,ROW()&lt;=$BI$1+4),"………………..",IFERROR(INDEX($AC$3:$AC$400,MATCH(ROWS(BO$3:BO57),BI$3:BI$400,0),1),"")))</f>
        <v/>
      </c>
      <c r="BP57" s="48">
        <f t="shared" ca="1" si="10"/>
        <v>0</v>
      </c>
      <c r="BQ57" s="48" t="str">
        <f ca="1">IF(AND(OR($DY$2=0,$DY$1=0),$I$1=2,ROW()&gt;$BJ$1+2,ROW()&lt;=$BJ$1+4),"………………..",IF(AND(OR($DY$2&gt;0,$DY$1&gt;0),$I$1=2,ROW()&gt;$BJ$1+2,ROW()&lt;=$BJ$1+4),"………………..",IFERROR(INDEX($AC$3:$AC$400,MATCH(ROWS(BQ$3:BQ57),BJ$3:BJ$400,0),1),"")))</f>
        <v/>
      </c>
      <c r="BR57" s="48">
        <f t="shared" ca="1" si="11"/>
        <v>0</v>
      </c>
      <c r="BS57" s="48">
        <f ca="1">IF(IF(AND(OR(INDEX(PDC,MATCH($AC57,DEN_PDC,0),4)="D",INDEX(PDC,MATCH($AC57,DEN_PDC,0),4)="D/A"),SUMIFS(DARE,DEN_G,$AC57)&gt;=SUMIFS(AVERE,DEN_G,$AC57)),SUMIFS(DARE,DEN_G,$AC57),IF(AND(OR(INDEX(PDC,MATCH($AC57,DEN_PDC,0),4)="A",INDEX(PDC,MATCH($AC57,DEN_PDC,0),4)="D/A"),SUMIFS(AVERE,DEN_G,$AC57)&gt;=SUMIFS(DARE,DEN_G,$AC57)),SUMIFS(AVERE,DEN_G,$AC57),))&gt;0,MAX($BS$2:BS56)+1,0)</f>
        <v>0</v>
      </c>
      <c r="BT57" s="48" t="str">
        <f ca="1">IF($CO$1=0,"",IF(AND($I$1=2,ROW()&gt;$BR$1,ROW()&lt;=$BS$1)," …………….",IF(AND($E$1=1,$BX$1=1,$I$1=2,ROW()=$BQ$1),"TOTALI",IFERROR(INDEX(PDC,MATCH(ROWS(BT$3:BT57),BS$3:BS454,0),2),""))))</f>
        <v/>
      </c>
      <c r="BU57" s="48">
        <f t="shared" ca="1" si="12"/>
        <v>0</v>
      </c>
      <c r="BV57" s="48">
        <f t="shared" ca="1" si="13"/>
        <v>0</v>
      </c>
      <c r="BW57" s="48">
        <f t="shared" ca="1" si="14"/>
        <v>0</v>
      </c>
      <c r="BX57" s="48">
        <f t="shared" ca="1" si="15"/>
        <v>0</v>
      </c>
      <c r="BY57" s="48">
        <f ca="1">IF(OR(BW57&gt;0,BX57&gt;0),MAX($BY$2:BY56)+1,0)</f>
        <v>0</v>
      </c>
      <c r="BZ57" s="48" t="str">
        <f ca="1">IFERROR(INDEX($BT$3:$BY$400,MATCH(ROWS(BZ$3:BZ57),$BY$3:$BY$400,0),1),"")</f>
        <v/>
      </c>
      <c r="CA57" s="48" t="str">
        <f ca="1">IFERROR(INDEX($BT$3:$BY$400,MATCH(ROWS(CA$3:CA57),$BY$3:$BY$400,0),4),"")</f>
        <v/>
      </c>
      <c r="CB57" s="48" t="str">
        <f ca="1">IFERROR(INDEX($BT$3:$BY$400,MATCH(ROWS(CB$3:CB57),$BY$3:$BY$400,0),5),"")</f>
        <v/>
      </c>
      <c r="CC57" s="48" t="str">
        <f t="shared" ca="1" si="16"/>
        <v/>
      </c>
      <c r="CD57" s="48">
        <f ca="1">IF(AND($BF$9=1,CE57&lt;&gt;0),MAX($CD$2:CD56)+1,0)</f>
        <v>0</v>
      </c>
      <c r="CE57" s="48">
        <f ca="1">IF(ROUND(SUMIFS(COPIA!$CA$3:$CA$400,COPIA!$CC$3:$CC$400,CF57)-SUMIFS(COPIA!$CB$3:$CB$400,COPIA!$CC$3:$CC$400,CF57),0)&lt;0,0,ROUND(SUMIFS(COPIA!$CA$3:$CA$400,COPIA!$CC$3:$CC$400,CF57)-SUMIFS(COPIA!$CB$3:$CB$400,COPIA!$CC$3:$CC$400,CF57),0))</f>
        <v>0</v>
      </c>
      <c r="CF57" s="48" t="s">
        <v>632</v>
      </c>
      <c r="CG57" s="242" t="s">
        <v>523</v>
      </c>
      <c r="CH57" s="242">
        <f t="shared" ca="1" si="112"/>
        <v>0</v>
      </c>
      <c r="CI57" s="242"/>
      <c r="CJ57" s="242">
        <f ca="1">SUMIFS(COPIA!$CA$3:$CA$400,COPIA!$CC$3:$CC$400,CF57)-SUMIFS(COPIA!$CB$3:$CB$400,COPIA!$CC$3:$CC$400,CF57)</f>
        <v>0</v>
      </c>
      <c r="CK57" s="48">
        <f ca="1">IF($CF$2=FALSE,0,IF(AND($BF$9=1,CJ57&lt;&gt;0),MAX($CK$21:CK56)+1,0))</f>
        <v>0</v>
      </c>
      <c r="CL57" s="48" t="s">
        <v>690</v>
      </c>
      <c r="CM57" s="242" t="str">
        <f t="shared" ca="1" si="37"/>
        <v/>
      </c>
      <c r="CN57" s="243">
        <f t="shared" ca="1" si="38"/>
        <v>0</v>
      </c>
      <c r="CO57" s="48" t="str">
        <f t="shared" ca="1" si="39"/>
        <v/>
      </c>
      <c r="CQ57" s="242" t="str">
        <f ca="1">IF(AND($CO$1=1,$BP$2=$BR$2),"Nessun risultato economico da visualizzare.",IF(AND($CO$1=1,$BP$2=0,$BR$2=0),"Nessun risultato economico da visualizzare.",IF(AND($CO$1=1,CT50=0),CONCATENATE("È possibile che il valore visualizzato non coincida con il risultato economico: non ci sono rilevazioni in data 31/12/",CT60," o non sono state rilevate le imposte di competenza."),IF($CO$1=0,"","Il valore del risultato economico visualizzato è calcolato in funzione delle scritture di assestamento effettuate."))))</f>
        <v/>
      </c>
      <c r="CR57" s="242"/>
      <c r="CU57" s="48">
        <f ca="1">IF(SUMIFS(AVERE,DEN_G,AC57,AVERE,"&gt;"&amp;0)+SUMIFS(DARE,DEN_G,AC57,DARE,"&gt;"&amp;0)&gt;0,MAX($CU$2:CU56)+1,0)</f>
        <v>0</v>
      </c>
      <c r="CV57" s="48" t="str">
        <f ca="1">IF(IFERROR(INDEX(PDC,MATCH(ROWS($CV$3:CV57),$CU$3:$CU$400,0),2),"")="CONTO DI RISULTATO ECONOMICO","",IFERROR(INDEX(PDC,MATCH(ROWS($CV$3:CV57),$CU$3:$CU$400,0),2),""))</f>
        <v/>
      </c>
      <c r="CW57" s="48">
        <f ca="1">IFERROR(IF(CV57&lt;&gt;"",MAX($CW$2:CW56)+1,0),0)</f>
        <v>0</v>
      </c>
      <c r="CX57" s="48">
        <f t="shared" ca="1" si="121"/>
        <v>5</v>
      </c>
      <c r="CY57" s="48" t="str">
        <f t="shared" ca="1" si="119"/>
        <v>MASTRO</v>
      </c>
      <c r="CZ57" s="48" t="e">
        <f t="shared" ref="CZ57:CZ66" ca="1" si="123">SUM(MATCH($CY57,INDIRECT(ADDRESS(SUM(CZ56)+3,54)&amp;":"&amp;ADDRESS(400,54)),0),CZ56)</f>
        <v>#N/A</v>
      </c>
      <c r="DA57" s="48" t="str">
        <f ca="1">IFERROR(INDEX(LIBRO_GIORNALE,CZ57,1),"")</f>
        <v/>
      </c>
      <c r="DB57" s="48" t="str">
        <f t="shared" ca="1" si="76"/>
        <v/>
      </c>
      <c r="DC57" s="48" t="str">
        <f t="shared" ref="DC57:DC66" ca="1" si="124">IF(IFERROR(INDEX(LIBRO_GIORNALE,CZ57,4),"")=0,"manca la descrizione dell'operazione",IFERROR(INDEX(LIBRO_GIORNALE,CZ57,4),""))</f>
        <v/>
      </c>
      <c r="DD57" s="48" t="str">
        <f t="shared" ref="DD57:DD66" ca="1" si="125">IFERROR(IF(INDEX(LIBRO_GIORNALE,CZ57,5)&gt;0,INDEX(LIBRO_GIORNALE,CZ57,5),""),"")</f>
        <v/>
      </c>
      <c r="DE57" s="48" t="str">
        <f t="shared" ref="DE57:DE66" ca="1" si="126">IFERROR(IF(INDEX(LIBRO_GIORNALE,CZ57,6)&gt;0,INDEX(LIBRO_GIORNALE,CZ57,6),""),"")</f>
        <v/>
      </c>
      <c r="DF57" s="48">
        <f ca="1">IF(AND(CX57=$DF$1,CX57&lt;&gt;""),0,IF(AND(DB57&lt;&gt;"",OR(DB56&lt;&gt;"",DB58&lt;&gt;"")),MAX($DF$2:DF56)+1,0))</f>
        <v>0</v>
      </c>
      <c r="DH57" s="244" t="s">
        <v>344</v>
      </c>
      <c r="DI57" s="48" t="s">
        <v>838</v>
      </c>
      <c r="DJ57" s="48" t="s">
        <v>312</v>
      </c>
      <c r="DK57" s="48" t="s">
        <v>275</v>
      </c>
      <c r="DL57" s="48" t="s">
        <v>6</v>
      </c>
      <c r="DM57" s="48" t="s">
        <v>270</v>
      </c>
      <c r="DN57" s="48">
        <f ca="1">IF(DI57&lt;&gt;"",MAX($DN$2:DN56)+1,0)</f>
        <v>40</v>
      </c>
      <c r="DO57" s="48" t="str">
        <f ca="1">IF($BF$9=1,"pab25","pab2")</f>
        <v>pab2</v>
      </c>
      <c r="DQ57" s="227" t="s">
        <v>33</v>
      </c>
      <c r="DR57" s="48" t="s">
        <v>25</v>
      </c>
      <c r="DS57" s="48" t="s">
        <v>311</v>
      </c>
      <c r="DT57" s="48" t="s">
        <v>275</v>
      </c>
      <c r="DU57" s="48" t="s">
        <v>9</v>
      </c>
      <c r="DV57" s="48" t="s">
        <v>270</v>
      </c>
      <c r="DW57" s="48">
        <f ca="1">IF(DR57&lt;&gt;"",MAX($DW$2:DW56)+1,0)</f>
        <v>23</v>
      </c>
      <c r="DX57" s="48" t="str">
        <f t="shared" ca="1" si="120"/>
        <v>pab2</v>
      </c>
      <c r="DY57" s="48" t="str">
        <f t="shared" ca="1" si="19"/>
        <v/>
      </c>
      <c r="DZ57" s="48" t="str">
        <f t="shared" ca="1" si="40"/>
        <v/>
      </c>
      <c r="EA57" s="48" t="str">
        <f t="shared" ca="1" si="41"/>
        <v/>
      </c>
      <c r="EB57" s="48">
        <f t="shared" ca="1" si="42"/>
        <v>0</v>
      </c>
      <c r="EC57" s="48">
        <f t="shared" ca="1" si="43"/>
        <v>0</v>
      </c>
      <c r="ED57" s="48" t="str">
        <f t="shared" ca="1" si="44"/>
        <v/>
      </c>
      <c r="EE57" s="48">
        <f t="shared" ca="1" si="45"/>
        <v>0</v>
      </c>
      <c r="EF57" s="48" t="str">
        <f t="shared" ca="1" si="46"/>
        <v/>
      </c>
      <c r="EG57" s="48">
        <f t="shared" ca="1" si="47"/>
        <v>0</v>
      </c>
      <c r="EH57" s="48" t="str">
        <f t="shared" ca="1" si="48"/>
        <v/>
      </c>
      <c r="EI57" s="48">
        <f t="shared" ca="1" si="49"/>
        <v>0</v>
      </c>
      <c r="EJ57" s="48" t="str">
        <f t="shared" ca="1" si="50"/>
        <v/>
      </c>
      <c r="EK57" s="48">
        <f t="shared" ca="1" si="51"/>
        <v>0</v>
      </c>
      <c r="EL57" s="48">
        <f t="shared" ca="1" si="20"/>
        <v>0</v>
      </c>
      <c r="EM57" s="48">
        <f ca="1">IF(EL57&gt;=0,0,MAX($EM$2:EM56)+1)</f>
        <v>0</v>
      </c>
      <c r="EN57" s="48" t="str">
        <f t="shared" ca="1" si="21"/>
        <v/>
      </c>
      <c r="EO57" s="48" t="str">
        <f ca="1">IFERROR(INDEX($EM$3:$EN$400,MATCH(ROWS($EO$3:EO57),$EM$3:$EM$400,0),2),"")</f>
        <v/>
      </c>
      <c r="EP57" s="48">
        <f>ROW()</f>
        <v>57</v>
      </c>
      <c r="EQ57" s="48">
        <f t="shared" ca="1" si="22"/>
        <v>0</v>
      </c>
      <c r="ER57" s="48">
        <f ca="1">IF(ISNA(EQ57)=TRUE,MAX($ER$2:ER56)+1,0)</f>
        <v>0</v>
      </c>
      <c r="ES57" s="48" t="str">
        <f t="shared" ca="1" si="52"/>
        <v/>
      </c>
      <c r="ET57" s="48" t="str">
        <f ca="1">IFERROR(INDEX($ER$3:$ES$400,MATCH(ROWS($ET$3:ET57),$ER$3:$ER$400,0),2),"")</f>
        <v/>
      </c>
      <c r="EV57" s="48">
        <f ca="1">IFERROR(INDEX(LIBRO_GIORNALE!$O$11:$P$408,MATCH(ROWS($EV$2:EV56),LIBRO_GIORNALE!$P$11:$P$408,0),1),0)</f>
        <v>0</v>
      </c>
      <c r="EW57" s="48" t="str">
        <f t="shared" ca="1" si="53"/>
        <v>0</v>
      </c>
      <c r="EX57" s="48">
        <f t="shared" ca="1" si="54"/>
        <v>0</v>
      </c>
      <c r="EY57" s="48">
        <f ca="1">IF(EX57&gt;0,MAX($EY$2:EY56)+1,0)</f>
        <v>0</v>
      </c>
      <c r="EZ57" s="48">
        <f ca="1">IFERROR(INDEX($EX$3:$EX$400,MATCH(ROWS($EZ$3:EZ57),$EY$3:$EY$400,0),1),0)</f>
        <v>0</v>
      </c>
      <c r="FA57" s="48">
        <f ca="1">IF(EZ57&gt;0,0,MAX($FA$2:FA56)+1)</f>
        <v>55</v>
      </c>
      <c r="FB57" s="48">
        <f t="shared" ca="1" si="55"/>
        <v>0</v>
      </c>
      <c r="FC57" s="48">
        <f t="shared" ca="1" si="56"/>
        <v>55</v>
      </c>
      <c r="FD57" s="48">
        <f t="shared" ca="1" si="57"/>
        <v>55</v>
      </c>
      <c r="FE57" s="48">
        <f ca="1">IF(FD57=0,0,MAX($FE$2:FE56)+1)</f>
        <v>55</v>
      </c>
      <c r="FF57" s="48">
        <f ca="1">IFERROR(INDEX($FD$3:$FE$400,MATCH(ROWS($FF$3:FF57),$FE$3:$FE$400,0),1),"")</f>
        <v>55</v>
      </c>
      <c r="FH57" s="48">
        <f t="shared" ca="1" si="58"/>
        <v>0</v>
      </c>
      <c r="FI57" s="48">
        <f ca="1">IF(FH57&lt;&gt;0,MAX($FI$2:FI56)+1,0)</f>
        <v>0</v>
      </c>
      <c r="FJ57" s="48" t="str">
        <f ca="1">IFERROR(INDEX($FH$3:$FI$400,MATCH(ROWS($FJ$3:FJ57),$FI$3:$FI$400,0),1),"")</f>
        <v/>
      </c>
      <c r="FK57" s="48">
        <f ca="1">IF(ABS(SUMIFS(DARE,DEN_G,"="&amp;FJ57,DATA,"&lt;="&amp;FINE_AC,DATA,"&gt;="&amp;INIZIO_A_PC)-SUMIFS(AVERE,DEN_G,"="&amp;FJ57,DATA,"&lt;="&amp;FINE_AC,DATA,"&gt;="&amp;INIZIO_A_PC))&gt;0,MAX($FK$2:FK56)+1,0)</f>
        <v>0</v>
      </c>
      <c r="FL57" s="48" t="str">
        <f ca="1">IF(AND(ROW()-2&lt;&gt;1,ROW()-2&lt;=$FK$1),CONCATENATE(" - ",IFERROR(INDEX($FJ$3:$FK$400,MATCH(ROWS($FL$3:FL57),$FK$3:$FK$400,0),1),"")),IFERROR(INDEX($FJ$3:$FK$400,MATCH(ROWS($FL$3:FL57),$FK$3:$FK$400,0),1),""))</f>
        <v/>
      </c>
      <c r="FM57" s="48">
        <f ca="1">IF(OR(B57="IVA ns/credito",B57="IVA NS/DEBITO",B57="IVA C/ACCONTO",B57="IMPOSTE C/ACCONTO",B57="CREDITI PER RITENUTE SUBITE",B57="CREDITI D'IMPOSTA"),MAX($FM$2:FM56)+1,0)</f>
        <v>0</v>
      </c>
      <c r="FN57" s="48" t="str">
        <f t="shared" ca="1" si="59"/>
        <v/>
      </c>
      <c r="FO57" s="48" t="str">
        <f ca="1">IFERROR(INDEX($FM$3:$FN$400,MATCH(ROWS($FO$3:FO57),$FM$3:$FM$400,0),2),"")</f>
        <v/>
      </c>
      <c r="FP57" s="48">
        <f ca="1">IF(ABS(SUMIFS(DARE,DEN_G,"="&amp;FO57,DATA,"&lt;="&amp;FINE_AC,DATA,"&gt;="&amp;INIZIO_A_PC)-SUMIFS(AVERE,DEN_G,"="&amp;FO57,DATA,"&lt;="&amp;FINE_AC,DATA,"&gt;="&amp;INIZIO_A_PC))&gt;0,MAX($FP$2:FP56)+1,0)</f>
        <v>0</v>
      </c>
      <c r="FQ57" s="48" t="str">
        <f ca="1">IF(AND(ROW()-2&lt;&gt;1,ROW()-2&lt;=$FP$1),CONCATENATE(" - ",IFERROR(INDEX($FO$3:$FP$400,MATCH(ROWS($FQ$3:FQ57),$FP$3:$FP$400,0),1),"")),IFERROR(INDEX($FO$3:$FP$400,MATCH(ROWS($FQ$3:FQ57),$FP$3:$FP$400,0),1),""))</f>
        <v/>
      </c>
    </row>
    <row r="58" spans="1:173" x14ac:dyDescent="0.3">
      <c r="A58" s="48" t="str">
        <f ca="1">IFERROR(IF($A$1=2,INDEX($DH$3:$DN$401,MATCH(ROWS(A$3:A58),$DN$3:$DN$401,0),COLUMN()),IF($A$1=1,INDEX($DQ$3:$DW$401,MATCH(ROWS(A$3:A58),$DW$3:$DW$401,0),COLUMN()),"")),"")</f>
        <v>04.05</v>
      </c>
      <c r="B58" s="48" t="str">
        <f ca="1">IFERROR(IF($A$1=2,INDEX($DH$3:$DN$401,MATCH(ROWS(B$3:B58),$DN$3:$DN$401,0),COLUMN()),IF($A$1=1,INDEX($DQ$3:$DW$400,MATCH(ROWS(B$3:B58),$DW$3:$DW$401,0),COLUMN()),"")),"")</f>
        <v>SEMILAVORATI</v>
      </c>
      <c r="C58" s="48" t="str">
        <f ca="1">IFERROR(IF($A$1=2,INDEX($DH$3:$DN$401,MATCH(ROWS(C$3:C58),$DN$3:$DN$401,0),COLUMN()),IF($A$1=1,INDEX($DQ$3:$DW$401,MATCH(ROWS(C$3:C58),$DW$3:$DW$401,0),COLUMN()),"")),"")</f>
        <v>E</v>
      </c>
      <c r="D58" s="48" t="str">
        <f ca="1">IFERROR(IF($A$1=2,INDEX($DH$3:$DN$401,MATCH(ROWS(D$3:D58),$DN$3:$DN$401,0),COLUMN()),IF($A$1=1,INDEX($DQ$3:$DW$401,MATCH(ROWS(D$3:D58),$DW$3:$DW$401,0),COLUMN()),"")),"")</f>
        <v>D</v>
      </c>
      <c r="E58" s="48" t="str">
        <f ca="1">IFERROR(IF($A$1=2,INDEX($DH$3:$DN$401,MATCH(ROWS(E$3:E58),$DN$3:$DN$401,0),COLUMN()),IF($A$1=1,INDEX($DQ$3:$DW$401,MATCH(ROWS(E$3:E58),$DW$3:$DW$401,0),COLUMN()),"")),"")</f>
        <v>COSTI SOSPESI</v>
      </c>
      <c r="F58" s="48" t="str">
        <f ca="1">IFERROR(IF($A$1=2,INDEX($DH$3:$DN$401,MATCH(ROWS(F$3:F58),$DN$3:$DN$401,0),COLUMN()),IF($A$1=1,INDEX($DQ$3:$DX$401,MATCH(ROWS(F$3:F58),$DW$3:$DW$401,0),COLUMN()),"")),"")</f>
        <v>SP DARE</v>
      </c>
      <c r="G58" s="48" t="str">
        <f t="shared" ca="1" si="23"/>
        <v>SP</v>
      </c>
      <c r="H58" s="48" t="str">
        <f ca="1">IFERROR(IF($A$1=2,INDEX($DH$3:$DO$400,MATCH(ROWS(H$3:H58),$DN$3:$DN$400,0),COLUMN()),IF($A$1=1,INDEX($DQ$3:$DX$400,MATCH(ROWS(H$3:H58),$DW$3:$DW$400,0),COLUMN()),"")),"")</f>
        <v>pac1</v>
      </c>
      <c r="I58" s="48" t="str">
        <f t="shared" ca="1" si="0"/>
        <v/>
      </c>
      <c r="J58" s="48" t="str">
        <f t="shared" ca="1" si="24"/>
        <v/>
      </c>
      <c r="K58" s="48">
        <f t="shared" ca="1" si="25"/>
        <v>0</v>
      </c>
      <c r="L58" s="48">
        <f t="shared" ca="1" si="26"/>
        <v>0</v>
      </c>
      <c r="M58" s="48">
        <f ca="1">IFERROR(IF(IF(MID($A58,3,3)=".00",MID(A58,1,2),"")&lt;&gt;"",MAX($M$2:M57)+1,0),"")</f>
        <v>0</v>
      </c>
      <c r="N58" s="48" t="str">
        <f t="shared" ca="1" si="27"/>
        <v/>
      </c>
      <c r="O58" s="48">
        <v>8</v>
      </c>
      <c r="P58" s="48" t="str">
        <f t="shared" ca="1" si="117"/>
        <v/>
      </c>
      <c r="Q58" s="48">
        <f ca="1">IF(M58&gt;=1,0,MAX($Q$2:Q57)+1)</f>
        <v>51</v>
      </c>
      <c r="R58" s="48">
        <f ca="1">IF(AND($U$2=2,S58&lt;&gt;""),MAX($R$2:R57)+1,0)</f>
        <v>0</v>
      </c>
      <c r="S58" s="48" t="str">
        <f t="shared" ca="1" si="81"/>
        <v/>
      </c>
      <c r="T58" s="48" t="str">
        <f ca="1">IFERROR(INDEX($R$3:$S$64,MATCH(ROWS($T$2:T57),$R$3:$R$64,0),2),"")</f>
        <v/>
      </c>
      <c r="U58" s="48" t="str">
        <f ca="1">IFERROR(INDEX(PDC,MATCH(ROWS(U$3:U58),$V$3:$V$400,0),2),"")</f>
        <v>CREDITI COMMERCIALI DIVERSI</v>
      </c>
      <c r="V58" s="48">
        <f ca="1">IF(AND($T$1="VISUALIZZA TUTTI I CONTI",AA58&lt;&gt;""),MAX($V$2:V57)+1,IF(AND($U$2=2,AI58=$T$1),MAX($V$2:V57)+1,IF(AND($U$2=1,$T$1=AF58),MAX($V$2:V57)+1,0)))</f>
        <v>56</v>
      </c>
      <c r="Z58" s="246"/>
      <c r="AA58" s="48" t="str">
        <f t="shared" ca="1" si="29"/>
        <v>05.00</v>
      </c>
      <c r="AB58" s="48" t="str">
        <f ca="1">IFERROR(INDEX($A$3:$G$400,MATCH(ROWS(AB$3:AB58),$Q$3:$Q$400,0),1),"")</f>
        <v>05.03</v>
      </c>
      <c r="AC58" s="48" t="str">
        <f ca="1">IFERROR(INDEX($A$3:$G$400,MATCH(ROWS($AC$3:AC58),$Q$3:$Q$400,0),2),"")</f>
        <v>CREDITI COMMERCIALI DIVERSI</v>
      </c>
      <c r="AD58" s="48" t="str">
        <f ca="1">IFERROR(INDEX($A$3:$G$400,MATCH(ROWS(AD$3:AD58),$Q$3:$Q$400,0),3),"")</f>
        <v>F</v>
      </c>
      <c r="AE58" s="48" t="str">
        <f ca="1">IFERROR(INDEX($A$3:$G$400,MATCH(ROWS(AE$3:AE58),$Q$3:$Q$400,0),4),"")</f>
        <v>D</v>
      </c>
      <c r="AF58" s="48" t="str">
        <f ca="1">IFERROR(INDEX($A$3:$G$400,MATCH(ROWS(AF$3:AF58),$Q$3:$Q$400,0),5),"")</f>
        <v>CREDITI</v>
      </c>
      <c r="AG58" s="48" t="str">
        <f ca="1">IFERROR(INDEX($A$3:$G$400,MATCH(ROWS(AG$3:AG58),$Q$3:$Q$400,0),6),"")</f>
        <v>SP DARE</v>
      </c>
      <c r="AH58" s="48" t="str">
        <f ca="1">IFERROR(INDEX($A$3:$G$400,MATCH(ROWS(AH$3:AH58),$Q$3:$Q$400,0),7),"")</f>
        <v>SP</v>
      </c>
      <c r="AI58" s="48" t="str">
        <f t="shared" ca="1" si="1"/>
        <v>CREDITI COMMERCIALI</v>
      </c>
      <c r="AJ58" s="48" t="str">
        <f ca="1">IFERROR(INDEX($A$3:$H$400,MATCH(ROWS(AJ$3:AJ58),$Q$3:$Q$400,0),8),"")</f>
        <v>pac2</v>
      </c>
      <c r="AK58" s="48">
        <f t="shared" ca="1" si="2"/>
        <v>0</v>
      </c>
      <c r="AL58" s="48">
        <f t="shared" ca="1" si="95"/>
        <v>0</v>
      </c>
      <c r="AM58" s="48">
        <f t="shared" ca="1" si="30"/>
        <v>0</v>
      </c>
      <c r="AN58" s="48" t="str">
        <f t="shared" ca="1" si="31"/>
        <v/>
      </c>
      <c r="AO58" s="48">
        <f t="shared" ca="1" si="32"/>
        <v>0</v>
      </c>
      <c r="AP58" s="48">
        <f t="shared" ca="1" si="32"/>
        <v>0</v>
      </c>
      <c r="AQ58" s="48" t="str">
        <f t="shared" ca="1" si="4"/>
        <v>CREDITI COMMERCIALI DIVERSI</v>
      </c>
      <c r="AR58" s="48">
        <f t="shared" ca="1" si="5"/>
        <v>0</v>
      </c>
      <c r="AS58" s="48">
        <f t="shared" ca="1" si="6"/>
        <v>0</v>
      </c>
      <c r="AT58" s="48">
        <f t="shared" ca="1" si="33"/>
        <v>0</v>
      </c>
      <c r="AU58" s="48">
        <f t="shared" ca="1" si="34"/>
        <v>0</v>
      </c>
      <c r="AV58" s="48">
        <f ca="1">IF(OR(AT58&gt;0,AU58&gt;0),MAX($AV$2:AV57)+1,0)</f>
        <v>0</v>
      </c>
      <c r="AZ58" s="241" t="str">
        <f t="shared" ca="1" si="35"/>
        <v/>
      </c>
      <c r="BA58" s="48">
        <f t="shared" ca="1" si="96"/>
        <v>0</v>
      </c>
      <c r="BB58" s="48">
        <f ca="1">IFERROR(INDEX($AQ$3:$AV$220,MATCH(ROWS($BB$3:BB58),$AV$3:$AV$220,0),1),0)</f>
        <v>0</v>
      </c>
      <c r="BC58" s="48" t="str">
        <f t="shared" ca="1" si="36"/>
        <v/>
      </c>
      <c r="BD58" s="48">
        <f ca="1">IFERROR(INDEX($AQ$3:$AV$220,MATCH(ROWS($BB$3:BD58),$AV$3:$AV$220,0),4),0)</f>
        <v>0</v>
      </c>
      <c r="BE58" s="48">
        <f ca="1">IFERROR(INDEX($AQ$3:$AV$220,MATCH(ROWS($BB$3:BE58),$AV$3:$AV$220,0),5),0)</f>
        <v>0</v>
      </c>
      <c r="BG58" s="48">
        <f ca="1">IF(IF(AND(OR(INDEX(PDC,MATCH($AC58,DEN_PDC,0),6)="SP DARE",INDEX(PDC,MATCH($AC58,DEN_PDC,0),6)="SP DARE/AVERE"),SUMIFS(DARE,DEN_G,$AC58)&gt;=SUMIFS(AVERE,DEN_G,$AC58)),SUMIFS(DARE,DEN_G,$AC58)-SUMIFS(AVERE,DEN_G,$AC58),0)&gt;0,MAX($BG$2:BG57)+1,0)</f>
        <v>0</v>
      </c>
      <c r="BH58" s="48">
        <f ca="1">IF(IF(AND(OR(INDEX(PDC,MATCH($AC58,DEN_PDC,0),6)="SP AVERE",INDEX(PDC,MATCH($AC58,DEN_PDC,0),6)="SP DARE/AVERE"),SUMIFS(AVERE,DEN_G,$AC58)&gt;=SUMIFS(DARE,DEN_G,$AC58)),SUMIFS(AVERE,DEN_G,$AC58)-SUMIFS(DARE,DEN_G,$AC58),0)&gt;0,MAX(BH$2:BH57)+1,0)</f>
        <v>0</v>
      </c>
      <c r="BI58" s="48">
        <f ca="1">IF(IF(AND(OR(INDEX(PDC,MATCH($AC58,DEN_PDC,0),6)="SE DARE",INDEX(PDC,MATCH($AC58,DEN_PDC,0),6)="SE DARE/AVERE"),SUMIFS(DARE,DEN_G,$AC58)&gt;=SUMIFS(AVERE,DEN_G,$AC58)),SUMIFS(DARE,DEN_G,$AC58)-SUMIFS(AVERE,DEN_G,$AC58),0)&gt;0,MAX(BI$2:BI57)+1,0)</f>
        <v>0</v>
      </c>
      <c r="BJ58" s="48">
        <f ca="1">IF(IF(AND(OR(INDEX(PDC,MATCH($AC58,DEN_PDC,0),6)="SE AVERE",INDEX(PDC,MATCH($AC58,DEN_PDC,0),6)="SE DARE/AVERE"),SUMIFS(AVERE,DEN_G,$AC58)&gt;=SUMIFS(DARE,DEN_G,$AC58)),SUMIFS(AVERE,DEN_G,$AC58)-SUMIFS(DARE,DEN_G,$AC58),0)&gt;0,MAX(BJ$2:BJ57)+1,0)</f>
        <v>0</v>
      </c>
      <c r="BK58" s="48" t="str">
        <f ca="1">IF(AND(AND($DY$2=0,$DY$1=0),$I$1=2,ROW()&gt;$BG$1+2,ROW()&lt;=$BG$1+4),"………………..",IF(AND(OR($DY$2&gt;0,$DY$1&gt;0),$I$1=2,ROW()&gt;$BG$1+2,ROW()&lt;=$BG$1+4),"………………..",IFERROR(INDEX($AC$3:$AC$398,MATCH(ROWS(BK$3:BK58),BG$3:BG$398,0),1),"")))</f>
        <v/>
      </c>
      <c r="BL58" s="48">
        <f t="shared" ca="1" si="69"/>
        <v>0</v>
      </c>
      <c r="BM58" s="48" t="str">
        <f ca="1">IF(AND(OR($DY$2=0,$DY$1=0),$I$1=2,ROW()&gt;$BH$1+2,ROW()&lt;=$BH$1+4),"………………..",IF(AND(OR($DY$2&gt;0,$DY$1&gt;0),$I$1=2,ROW()&gt;$BH$1+2,ROW()&lt;=$BH$1+4),"………………..",IFERROR(INDEX($AC$3:$AC$400,MATCH(ROWS(BM$3:BM58),BH$3:BH$400,0),1),"")))</f>
        <v/>
      </c>
      <c r="BN58" s="48">
        <f t="shared" ca="1" si="9"/>
        <v>0</v>
      </c>
      <c r="BO58" s="48" t="str">
        <f ca="1">IF(AND(OR($DY$2=0,$DY$1=0),$I$1=2,ROW()&gt;$BI$1+2,ROW()&lt;=$BI$1+4),"………………..",IF(AND(OR($DY$2&gt;0,$DY$1&gt;0),$I$1=2,ROW()&gt;$BI$1+2,ROW()&lt;=$BI$1+4),"………………..",IFERROR(INDEX($AC$3:$AC$400,MATCH(ROWS(BO$3:BO58),BI$3:BI$400,0),1),"")))</f>
        <v/>
      </c>
      <c r="BP58" s="48">
        <f t="shared" ca="1" si="10"/>
        <v>0</v>
      </c>
      <c r="BQ58" s="48" t="str">
        <f ca="1">IF(AND(OR($DY$2=0,$DY$1=0),$I$1=2,ROW()&gt;$BJ$1+2,ROW()&lt;=$BJ$1+4),"………………..",IF(AND(OR($DY$2&gt;0,$DY$1&gt;0),$I$1=2,ROW()&gt;$BJ$1+2,ROW()&lt;=$BJ$1+4),"………………..",IFERROR(INDEX($AC$3:$AC$400,MATCH(ROWS(BQ$3:BQ58),BJ$3:BJ$400,0),1),"")))</f>
        <v/>
      </c>
      <c r="BR58" s="48">
        <f t="shared" ca="1" si="11"/>
        <v>0</v>
      </c>
      <c r="BS58" s="48">
        <f ca="1">IF(IF(AND(OR(INDEX(PDC,MATCH($AC58,DEN_PDC,0),4)="D",INDEX(PDC,MATCH($AC58,DEN_PDC,0),4)="D/A"),SUMIFS(DARE,DEN_G,$AC58)&gt;=SUMIFS(AVERE,DEN_G,$AC58)),SUMIFS(DARE,DEN_G,$AC58),IF(AND(OR(INDEX(PDC,MATCH($AC58,DEN_PDC,0),4)="A",INDEX(PDC,MATCH($AC58,DEN_PDC,0),4)="D/A"),SUMIFS(AVERE,DEN_G,$AC58)&gt;=SUMIFS(DARE,DEN_G,$AC58)),SUMIFS(AVERE,DEN_G,$AC58),))&gt;0,MAX($BS$2:BS57)+1,0)</f>
        <v>0</v>
      </c>
      <c r="BT58" s="48" t="str">
        <f ca="1">IF($CO$1=0,"",IF(AND($I$1=2,ROW()&gt;$BR$1,ROW()&lt;=$BS$1)," …………….",IF(AND($E$1=1,$BX$1=1,$I$1=2,ROW()=$BQ$1),"TOTALI",IFERROR(INDEX(PDC,MATCH(ROWS(BT$3:BT58),BS$3:BS455,0),2),""))))</f>
        <v/>
      </c>
      <c r="BU58" s="48">
        <f t="shared" ca="1" si="12"/>
        <v>0</v>
      </c>
      <c r="BV58" s="48">
        <f t="shared" ca="1" si="13"/>
        <v>0</v>
      </c>
      <c r="BW58" s="48">
        <f t="shared" ca="1" si="14"/>
        <v>0</v>
      </c>
      <c r="BX58" s="48">
        <f t="shared" ca="1" si="15"/>
        <v>0</v>
      </c>
      <c r="BY58" s="48">
        <f ca="1">IF(OR(BW58&gt;0,BX58&gt;0),MAX($BY$2:BY57)+1,0)</f>
        <v>0</v>
      </c>
      <c r="BZ58" s="48" t="str">
        <f ca="1">IFERROR(INDEX($BT$3:$BY$400,MATCH(ROWS(BZ$3:BZ58),$BY$3:$BY$400,0),1),"")</f>
        <v/>
      </c>
      <c r="CA58" s="48" t="str">
        <f ca="1">IFERROR(INDEX($BT$3:$BY$400,MATCH(ROWS(CA$3:CA58),$BY$3:$BY$400,0),4),"")</f>
        <v/>
      </c>
      <c r="CB58" s="48" t="str">
        <f ca="1">IFERROR(INDEX($BT$3:$BY$400,MATCH(ROWS(CB$3:CB58),$BY$3:$BY$400,0),5),"")</f>
        <v/>
      </c>
      <c r="CC58" s="48" t="str">
        <f t="shared" ca="1" si="16"/>
        <v/>
      </c>
      <c r="CD58" s="48">
        <f ca="1">IF(AND($BF$9=1,CE58&lt;&gt;0),MAX($CD$2:CD57)+1,0)</f>
        <v>0</v>
      </c>
      <c r="CE58" s="48">
        <f ca="1">ROUND(IFERROR(INDEX(BILANCIO!$I$13:$J$59,MATCH(CF58,BILANCIO!$J$13:$J$59,0),1),0),0)</f>
        <v>0</v>
      </c>
      <c r="CF58" s="48" t="s">
        <v>690</v>
      </c>
      <c r="CG58" s="242" t="s">
        <v>571</v>
      </c>
      <c r="CH58" s="242"/>
      <c r="CI58" s="242">
        <f t="shared" ref="CI58:CI68" ca="1" si="127">CE58</f>
        <v>0</v>
      </c>
      <c r="CJ58" s="242">
        <f ca="1">SUMIFS(COPIA!$CA$3:$CA$400,COPIA!$CC$3:$CC$400,CF58)-SUMIFS(COPIA!$CB$3:$CB$400,COPIA!$CC$3:$CC$400,CF58)</f>
        <v>0</v>
      </c>
      <c r="CK58" s="48">
        <f ca="1">IF($CF$2=FALSE,0,IF(AND($BF$9=1,CJ58&lt;&gt;0),MAX($CK$21:CK57)+1,0))</f>
        <v>0</v>
      </c>
      <c r="CM58" s="242" t="str">
        <f t="shared" ca="1" si="37"/>
        <v/>
      </c>
      <c r="CN58" s="243">
        <f t="shared" ca="1" si="38"/>
        <v>0</v>
      </c>
      <c r="CO58" s="48" t="str">
        <f t="shared" ca="1" si="39"/>
        <v/>
      </c>
      <c r="CQ58" s="242" t="str">
        <f ca="1">IF(AND($I$1=1,$CR$1=0,CP1=TRUE),CQ57,IF(AND(OR($I$1=1,$I$1=2),$CR$1&gt;0,CP1=TRUE),CS4,IF(AND($CR$1=0,$CO$1=1,$I$1=2,CP1=TRUE),"Il risultato economico coincide con quello inserito manualmente.",IF(AND($CR$1&gt;1,$CO$1=1,$I$1=2,CP1=TRUE),CS4,""))))</f>
        <v/>
      </c>
      <c r="CR58" s="242"/>
      <c r="CU58" s="48">
        <f ca="1">IF(SUMIFS(AVERE,DEN_G,AC58,AVERE,"&gt;"&amp;0)+SUMIFS(DARE,DEN_G,AC58,DARE,"&gt;"&amp;0)&gt;0,MAX($CU$2:CU57)+1,0)</f>
        <v>0</v>
      </c>
      <c r="CV58" s="48" t="str">
        <f ca="1">IF(IFERROR(INDEX(PDC,MATCH(ROWS($CV$3:CV58),$CU$3:$CU$400,0),2),"")="CONTO DI RISULTATO ECONOMICO","",IFERROR(INDEX(PDC,MATCH(ROWS($CV$3:CV58),$CU$3:$CU$400,0),2),""))</f>
        <v/>
      </c>
      <c r="CW58" s="48">
        <f ca="1">IFERROR(IF(CV58&lt;&gt;"",MAX($CW$2:CW57)+1,0),0)</f>
        <v>0</v>
      </c>
      <c r="CX58" s="48">
        <f t="shared" ca="1" si="121"/>
        <v>5</v>
      </c>
      <c r="CY58" s="48" t="str">
        <f t="shared" ca="1" si="119"/>
        <v>MASTRO</v>
      </c>
      <c r="CZ58" s="48" t="e">
        <f t="shared" ca="1" si="123"/>
        <v>#N/A</v>
      </c>
      <c r="DA58" s="48" t="str">
        <f t="shared" ref="DA58:DA66" ca="1" si="128">IFERROR(INDEX(LIBRO_GIORNALE,CZ58,1),"")</f>
        <v/>
      </c>
      <c r="DB58" s="48" t="str">
        <f t="shared" ca="1" si="76"/>
        <v/>
      </c>
      <c r="DC58" s="48" t="str">
        <f t="shared" ca="1" si="124"/>
        <v/>
      </c>
      <c r="DD58" s="48" t="str">
        <f t="shared" ca="1" si="125"/>
        <v/>
      </c>
      <c r="DE58" s="48" t="str">
        <f t="shared" ca="1" si="126"/>
        <v/>
      </c>
      <c r="DF58" s="48">
        <f ca="1">IF(AND(CX58=$DF$1,CX58&lt;&gt;""),0,IF(AND(DB58&lt;&gt;"",OR(DB57&lt;&gt;"",DB59&lt;&gt;"")),MAX($DF$2:DF57)+1,0))</f>
        <v>0</v>
      </c>
      <c r="DH58" s="244" t="s">
        <v>41</v>
      </c>
      <c r="DI58" s="228" t="s">
        <v>42</v>
      </c>
      <c r="DN58" s="48">
        <f ca="1">IF(DI58&lt;&gt;"",MAX($DN$2:DN57)+1,0)</f>
        <v>41</v>
      </c>
      <c r="DQ58" s="227" t="s">
        <v>34</v>
      </c>
      <c r="DR58" s="48" t="s">
        <v>26</v>
      </c>
      <c r="DS58" s="48" t="s">
        <v>311</v>
      </c>
      <c r="DT58" s="48" t="s">
        <v>298</v>
      </c>
      <c r="DU58" s="48" t="s">
        <v>318</v>
      </c>
      <c r="DV58" s="48" t="s">
        <v>299</v>
      </c>
      <c r="DW58" s="48">
        <f ca="1">IF(DR58&lt;&gt;"",MAX($DW$2:DW57)+1,0)</f>
        <v>24</v>
      </c>
      <c r="DX58" s="48" t="str">
        <f ca="1">IF($BF$9=1,"pab21","pab2")</f>
        <v>pab2</v>
      </c>
      <c r="DY58" s="48" t="str">
        <f t="shared" ca="1" si="19"/>
        <v/>
      </c>
      <c r="DZ58" s="48" t="str">
        <f t="shared" ca="1" si="40"/>
        <v/>
      </c>
      <c r="EA58" s="48" t="str">
        <f t="shared" ca="1" si="41"/>
        <v/>
      </c>
      <c r="EB58" s="48">
        <f t="shared" ca="1" si="42"/>
        <v>0</v>
      </c>
      <c r="EC58" s="48">
        <f t="shared" ca="1" si="43"/>
        <v>0</v>
      </c>
      <c r="ED58" s="48" t="str">
        <f t="shared" ca="1" si="44"/>
        <v/>
      </c>
      <c r="EE58" s="48">
        <f t="shared" ca="1" si="45"/>
        <v>0</v>
      </c>
      <c r="EF58" s="48" t="str">
        <f t="shared" ca="1" si="46"/>
        <v/>
      </c>
      <c r="EG58" s="48">
        <f t="shared" ca="1" si="47"/>
        <v>0</v>
      </c>
      <c r="EH58" s="48" t="str">
        <f t="shared" ca="1" si="48"/>
        <v/>
      </c>
      <c r="EI58" s="48">
        <f t="shared" ca="1" si="49"/>
        <v>0</v>
      </c>
      <c r="EJ58" s="48" t="str">
        <f t="shared" ca="1" si="50"/>
        <v/>
      </c>
      <c r="EK58" s="48">
        <f t="shared" ca="1" si="51"/>
        <v>0</v>
      </c>
      <c r="EL58" s="48">
        <f t="shared" ca="1" si="20"/>
        <v>0</v>
      </c>
      <c r="EM58" s="48">
        <f ca="1">IF(EL58&gt;=0,0,MAX($EM$2:EM57)+1)</f>
        <v>0</v>
      </c>
      <c r="EN58" s="48" t="str">
        <f t="shared" ca="1" si="21"/>
        <v/>
      </c>
      <c r="EO58" s="48" t="str">
        <f ca="1">IFERROR(INDEX($EM$3:$EN$400,MATCH(ROWS($EO$3:EO58),$EM$3:$EM$400,0),2),"")</f>
        <v/>
      </c>
      <c r="EP58" s="48">
        <f>ROW()</f>
        <v>58</v>
      </c>
      <c r="EQ58" s="48">
        <f t="shared" ca="1" si="22"/>
        <v>0</v>
      </c>
      <c r="ER58" s="48">
        <f ca="1">IF(ISNA(EQ58)=TRUE,MAX($ER$2:ER57)+1,0)</f>
        <v>0</v>
      </c>
      <c r="ES58" s="48" t="str">
        <f t="shared" ca="1" si="52"/>
        <v/>
      </c>
      <c r="ET58" s="48" t="str">
        <f ca="1">IFERROR(INDEX($ER$3:$ES$400,MATCH(ROWS($ET$3:ET58),$ER$3:$ER$400,0),2),"")</f>
        <v/>
      </c>
      <c r="EV58" s="48">
        <f ca="1">IFERROR(INDEX(LIBRO_GIORNALE!$O$11:$P$408,MATCH(ROWS($EV$2:EV57),LIBRO_GIORNALE!$P$11:$P$408,0),1),0)</f>
        <v>0</v>
      </c>
      <c r="EW58" s="48" t="str">
        <f t="shared" ca="1" si="53"/>
        <v>0</v>
      </c>
      <c r="EX58" s="48">
        <f t="shared" ca="1" si="54"/>
        <v>0</v>
      </c>
      <c r="EY58" s="48">
        <f ca="1">IF(EX58&gt;0,MAX($EY$2:EY57)+1,0)</f>
        <v>0</v>
      </c>
      <c r="EZ58" s="48">
        <f ca="1">IFERROR(INDEX($EX$3:$EX$400,MATCH(ROWS($EZ$3:EZ58),$EY$3:$EY$400,0),1),0)</f>
        <v>0</v>
      </c>
      <c r="FA58" s="48">
        <f ca="1">IF(EZ58&gt;0,0,MAX($FA$2:FA57)+1)</f>
        <v>56</v>
      </c>
      <c r="FB58" s="48">
        <f t="shared" ca="1" si="55"/>
        <v>0</v>
      </c>
      <c r="FC58" s="48">
        <f t="shared" ca="1" si="56"/>
        <v>56</v>
      </c>
      <c r="FD58" s="48">
        <f t="shared" ca="1" si="57"/>
        <v>56</v>
      </c>
      <c r="FE58" s="48">
        <f ca="1">IF(FD58=0,0,MAX($FE$2:FE57)+1)</f>
        <v>56</v>
      </c>
      <c r="FF58" s="48">
        <f ca="1">IFERROR(INDEX($FD$3:$FE$400,MATCH(ROWS($FF$3:FF58),$FE$3:$FE$400,0),1),"")</f>
        <v>56</v>
      </c>
      <c r="FH58" s="48">
        <f t="shared" ca="1" si="58"/>
        <v>0</v>
      </c>
      <c r="FI58" s="48">
        <f ca="1">IF(FH58&lt;&gt;0,MAX($FI$2:FI57)+1,0)</f>
        <v>0</v>
      </c>
      <c r="FJ58" s="48" t="str">
        <f ca="1">IFERROR(INDEX($FH$3:$FI$400,MATCH(ROWS($FJ$3:FJ58),$FI$3:$FI$400,0),1),"")</f>
        <v/>
      </c>
      <c r="FK58" s="48">
        <f ca="1">IF(ABS(SUMIFS(DARE,DEN_G,"="&amp;FJ58,DATA,"&lt;="&amp;FINE_AC,DATA,"&gt;="&amp;INIZIO_A_PC)-SUMIFS(AVERE,DEN_G,"="&amp;FJ58,DATA,"&lt;="&amp;FINE_AC,DATA,"&gt;="&amp;INIZIO_A_PC))&gt;0,MAX($FK$2:FK57)+1,0)</f>
        <v>0</v>
      </c>
      <c r="FL58" s="48" t="str">
        <f ca="1">IF(AND(ROW()-2&lt;&gt;1,ROW()-2&lt;=$FK$1),CONCATENATE(" - ",IFERROR(INDEX($FJ$3:$FK$400,MATCH(ROWS($FL$3:FL58),$FK$3:$FK$400,0),1),"")),IFERROR(INDEX($FJ$3:$FK$400,MATCH(ROWS($FL$3:FL58),$FK$3:$FK$400,0),1),""))</f>
        <v/>
      </c>
      <c r="FM58" s="48">
        <f ca="1">IF(OR(B58="IVA ns/credito",B58="IVA NS/DEBITO",B58="IVA C/ACCONTO",B58="IMPOSTE C/ACCONTO",B58="CREDITI PER RITENUTE SUBITE",B58="CREDITI D'IMPOSTA"),MAX($FM$2:FM57)+1,0)</f>
        <v>0</v>
      </c>
      <c r="FN58" s="48" t="str">
        <f t="shared" ca="1" si="59"/>
        <v/>
      </c>
      <c r="FO58" s="48" t="str">
        <f ca="1">IFERROR(INDEX($FM$3:$FN$400,MATCH(ROWS($FO$3:FO58),$FM$3:$FM$400,0),2),"")</f>
        <v/>
      </c>
      <c r="FP58" s="48">
        <f ca="1">IF(ABS(SUMIFS(DARE,DEN_G,"="&amp;FO58,DATA,"&lt;="&amp;FINE_AC,DATA,"&gt;="&amp;INIZIO_A_PC)-SUMIFS(AVERE,DEN_G,"="&amp;FO58,DATA,"&lt;="&amp;FINE_AC,DATA,"&gt;="&amp;INIZIO_A_PC))&gt;0,MAX($FP$2:FP57)+1,0)</f>
        <v>0</v>
      </c>
      <c r="FQ58" s="48" t="str">
        <f ca="1">IF(AND(ROW()-2&lt;&gt;1,ROW()-2&lt;=$FP$1),CONCATENATE(" - ",IFERROR(INDEX($FO$3:$FP$400,MATCH(ROWS($FQ$3:FQ58),$FP$3:$FP$400,0),1),"")),IFERROR(INDEX($FO$3:$FP$400,MATCH(ROWS($FQ$3:FQ58),$FP$3:$FP$400,0),1),""))</f>
        <v/>
      </c>
    </row>
    <row r="59" spans="1:173" x14ac:dyDescent="0.3">
      <c r="A59" s="48" t="str">
        <f ca="1">IFERROR(IF($A$1=2,INDEX($DH$3:$DN$401,MATCH(ROWS(A$3:A59),$DN$3:$DN$401,0),COLUMN()),IF($A$1=1,INDEX($DQ$3:$DW$401,MATCH(ROWS(A$3:A59),$DW$3:$DW$401,0),COLUMN()),"")),"")</f>
        <v>04.06</v>
      </c>
      <c r="B59" s="48" t="str">
        <f ca="1">IFERROR(IF($A$1=2,INDEX($DH$3:$DN$401,MATCH(ROWS(B$3:B59),$DN$3:$DN$401,0),COLUMN()),IF($A$1=1,INDEX($DQ$3:$DW$400,MATCH(ROWS(B$3:B59),$DW$3:$DW$401,0),COLUMN()),"")),"")</f>
        <v>PRODOTTI FINITI</v>
      </c>
      <c r="C59" s="48" t="str">
        <f ca="1">IFERROR(IF($A$1=2,INDEX($DH$3:$DN$401,MATCH(ROWS(C$3:C59),$DN$3:$DN$401,0),COLUMN()),IF($A$1=1,INDEX($DQ$3:$DW$401,MATCH(ROWS(C$3:C59),$DW$3:$DW$401,0),COLUMN()),"")),"")</f>
        <v>E</v>
      </c>
      <c r="D59" s="48" t="str">
        <f ca="1">IFERROR(IF($A$1=2,INDEX($DH$3:$DN$401,MATCH(ROWS(D$3:D59),$DN$3:$DN$401,0),COLUMN()),IF($A$1=1,INDEX($DQ$3:$DW$401,MATCH(ROWS(D$3:D59),$DW$3:$DW$401,0),COLUMN()),"")),"")</f>
        <v>D</v>
      </c>
      <c r="E59" s="48" t="str">
        <f ca="1">IFERROR(IF($A$1=2,INDEX($DH$3:$DN$401,MATCH(ROWS(E$3:E59),$DN$3:$DN$401,0),COLUMN()),IF($A$1=1,INDEX($DQ$3:$DW$401,MATCH(ROWS(E$3:E59),$DW$3:$DW$401,0),COLUMN()),"")),"")</f>
        <v>COSTI SOSPESI</v>
      </c>
      <c r="F59" s="48" t="str">
        <f ca="1">IFERROR(IF($A$1=2,INDEX($DH$3:$DN$401,MATCH(ROWS(F$3:F59),$DN$3:$DN$401,0),COLUMN()),IF($A$1=1,INDEX($DQ$3:$DX$401,MATCH(ROWS(F$3:F59),$DW$3:$DW$401,0),COLUMN()),"")),"")</f>
        <v>SP DARE</v>
      </c>
      <c r="G59" s="48" t="str">
        <f t="shared" ca="1" si="23"/>
        <v>SP</v>
      </c>
      <c r="H59" s="48" t="str">
        <f ca="1">IFERROR(IF($A$1=2,INDEX($DH$3:$DO$400,MATCH(ROWS(H$3:H59),$DN$3:$DN$400,0),COLUMN()),IF($A$1=1,INDEX($DQ$3:$DX$400,MATCH(ROWS(H$3:H59),$DW$3:$DW$400,0),COLUMN()),"")),"")</f>
        <v>pac1</v>
      </c>
      <c r="I59" s="48" t="str">
        <f t="shared" ca="1" si="0"/>
        <v/>
      </c>
      <c r="J59" s="48" t="str">
        <f t="shared" ca="1" si="24"/>
        <v/>
      </c>
      <c r="K59" s="48">
        <f t="shared" ca="1" si="25"/>
        <v>0</v>
      </c>
      <c r="L59" s="48">
        <f t="shared" ca="1" si="26"/>
        <v>0</v>
      </c>
      <c r="M59" s="48">
        <f ca="1">IFERROR(IF(IF(MID($A59,3,3)=".00",MID(A59,1,2),"")&lt;&gt;"",MAX($M$2:M58)+1,0),"")</f>
        <v>0</v>
      </c>
      <c r="N59" s="48" t="str">
        <f t="shared" ca="1" si="27"/>
        <v/>
      </c>
      <c r="O59" s="48">
        <v>9</v>
      </c>
      <c r="P59" s="48" t="str">
        <f t="shared" ca="1" si="117"/>
        <v/>
      </c>
      <c r="Q59" s="48">
        <f ca="1">IF(M59&gt;=1,0,MAX($Q$2:Q58)+1)</f>
        <v>52</v>
      </c>
      <c r="R59" s="48">
        <f ca="1">IF(AND($U$2=2,S59&lt;&gt;""),MAX($R$2:R58)+1,0)</f>
        <v>0</v>
      </c>
      <c r="S59" s="48" t="str">
        <f t="shared" ca="1" si="81"/>
        <v/>
      </c>
      <c r="T59" s="48" t="str">
        <f ca="1">IFERROR(INDEX($R$3:$S$64,MATCH(ROWS($T$2:T58),$R$3:$R$64,0),2),"")</f>
        <v/>
      </c>
      <c r="U59" s="48" t="str">
        <f ca="1">IFERROR(INDEX(PDC,MATCH(ROWS(U$3:U59),$V$3:$V$400,0),2),"")</f>
        <v>CREDITI FATTORIZZATI</v>
      </c>
      <c r="V59" s="48">
        <f ca="1">IF(AND($T$1="VISUALIZZA TUTTI I CONTI",AA59&lt;&gt;""),MAX($V$2:V58)+1,IF(AND($U$2=2,AI59=$T$1),MAX($V$2:V58)+1,IF(AND($U$2=1,$T$1=AF59),MAX($V$2:V58)+1,0)))</f>
        <v>57</v>
      </c>
      <c r="Z59" s="246"/>
      <c r="AA59" s="48" t="str">
        <f t="shared" ca="1" si="29"/>
        <v>05.00</v>
      </c>
      <c r="AB59" s="48" t="str">
        <f ca="1">IFERROR(INDEX($A$3:$G$400,MATCH(ROWS(AB$3:AB59),$Q$3:$Q$400,0),1),"")</f>
        <v>05.04</v>
      </c>
      <c r="AC59" s="48" t="str">
        <f ca="1">IFERROR(INDEX($A$3:$G$400,MATCH(ROWS($AC$3:AC59),$Q$3:$Q$400,0),2),"")</f>
        <v>CREDITI FATTORIZZATI</v>
      </c>
      <c r="AD59" s="48" t="str">
        <f ca="1">IFERROR(INDEX($A$3:$G$400,MATCH(ROWS(AD$3:AD59),$Q$3:$Q$400,0),3),"")</f>
        <v>F</v>
      </c>
      <c r="AE59" s="48" t="str">
        <f ca="1">IFERROR(INDEX($A$3:$G$400,MATCH(ROWS(AE$3:AE59),$Q$3:$Q$400,0),4),"")</f>
        <v>D</v>
      </c>
      <c r="AF59" s="48" t="str">
        <f ca="1">IFERROR(INDEX($A$3:$G$400,MATCH(ROWS(AF$3:AF59),$Q$3:$Q$400,0),5),"")</f>
        <v>CREDITI</v>
      </c>
      <c r="AG59" s="48" t="str">
        <f ca="1">IFERROR(INDEX($A$3:$G$400,MATCH(ROWS(AG$3:AG59),$Q$3:$Q$400,0),6),"")</f>
        <v>SP DARE</v>
      </c>
      <c r="AH59" s="48" t="str">
        <f ca="1">IFERROR(INDEX($A$3:$G$400,MATCH(ROWS(AH$3:AH59),$Q$3:$Q$400,0),7),"")</f>
        <v>SP</v>
      </c>
      <c r="AI59" s="48" t="str">
        <f t="shared" ca="1" si="1"/>
        <v>CREDITI COMMERCIALI</v>
      </c>
      <c r="AJ59" s="48" t="str">
        <f ca="1">IFERROR(INDEX($A$3:$H$400,MATCH(ROWS(AJ$3:AJ59),$Q$3:$Q$400,0),8),"")</f>
        <v>pac2</v>
      </c>
      <c r="AK59" s="48">
        <f t="shared" ca="1" si="2"/>
        <v>0</v>
      </c>
      <c r="AL59" s="48">
        <f t="shared" ca="1" si="95"/>
        <v>0</v>
      </c>
      <c r="AM59" s="48">
        <f t="shared" ca="1" si="30"/>
        <v>0</v>
      </c>
      <c r="AN59" s="48" t="str">
        <f t="shared" ca="1" si="31"/>
        <v/>
      </c>
      <c r="AO59" s="48">
        <f t="shared" ca="1" si="32"/>
        <v>0</v>
      </c>
      <c r="AP59" s="48">
        <f t="shared" ca="1" si="32"/>
        <v>0</v>
      </c>
      <c r="AQ59" s="48" t="str">
        <f t="shared" ca="1" si="4"/>
        <v>CREDITI FATTORIZZATI</v>
      </c>
      <c r="AR59" s="48">
        <f t="shared" ca="1" si="5"/>
        <v>0</v>
      </c>
      <c r="AS59" s="48">
        <f t="shared" ca="1" si="6"/>
        <v>0</v>
      </c>
      <c r="AT59" s="48">
        <f t="shared" ca="1" si="33"/>
        <v>0</v>
      </c>
      <c r="AU59" s="48">
        <f t="shared" ca="1" si="34"/>
        <v>0</v>
      </c>
      <c r="AV59" s="48">
        <f ca="1">IF(OR(AT59&gt;0,AU59&gt;0),MAX($AV$2:AV58)+1,0)</f>
        <v>0</v>
      </c>
      <c r="AZ59" s="241" t="str">
        <f t="shared" ca="1" si="35"/>
        <v/>
      </c>
      <c r="BA59" s="48">
        <f t="shared" ca="1" si="96"/>
        <v>0</v>
      </c>
      <c r="BB59" s="48">
        <f ca="1">IFERROR(INDEX($AQ$3:$AV$220,MATCH(ROWS($BB$3:BB59),$AV$3:$AV$220,0),1),0)</f>
        <v>0</v>
      </c>
      <c r="BC59" s="48" t="str">
        <f t="shared" ca="1" si="36"/>
        <v/>
      </c>
      <c r="BD59" s="48">
        <f ca="1">IFERROR(INDEX($AQ$3:$AV$220,MATCH(ROWS($BB$3:BD59),$AV$3:$AV$220,0),4),0)</f>
        <v>0</v>
      </c>
      <c r="BE59" s="48">
        <f ca="1">IFERROR(INDEX($AQ$3:$AV$220,MATCH(ROWS($BB$3:BE59),$AV$3:$AV$220,0),5),0)</f>
        <v>0</v>
      </c>
      <c r="BG59" s="48">
        <f ca="1">IF(IF(AND(OR(INDEX(PDC,MATCH($AC59,DEN_PDC,0),6)="SP DARE",INDEX(PDC,MATCH($AC59,DEN_PDC,0),6)="SP DARE/AVERE"),SUMIFS(DARE,DEN_G,$AC59)&gt;=SUMIFS(AVERE,DEN_G,$AC59)),SUMIFS(DARE,DEN_G,$AC59)-SUMIFS(AVERE,DEN_G,$AC59),0)&gt;0,MAX($BG$2:BG58)+1,0)</f>
        <v>0</v>
      </c>
      <c r="BH59" s="48">
        <f ca="1">IF(IF(AND(OR(INDEX(PDC,MATCH($AC59,DEN_PDC,0),6)="SP AVERE",INDEX(PDC,MATCH($AC59,DEN_PDC,0),6)="SP DARE/AVERE"),SUMIFS(AVERE,DEN_G,$AC59)&gt;=SUMIFS(DARE,DEN_G,$AC59)),SUMIFS(AVERE,DEN_G,$AC59)-SUMIFS(DARE,DEN_G,$AC59),0)&gt;0,MAX(BH$2:BH58)+1,0)</f>
        <v>0</v>
      </c>
      <c r="BI59" s="48">
        <f ca="1">IF(IF(AND(OR(INDEX(PDC,MATCH($AC59,DEN_PDC,0),6)="SE DARE",INDEX(PDC,MATCH($AC59,DEN_PDC,0),6)="SE DARE/AVERE"),SUMIFS(DARE,DEN_G,$AC59)&gt;=SUMIFS(AVERE,DEN_G,$AC59)),SUMIFS(DARE,DEN_G,$AC59)-SUMIFS(AVERE,DEN_G,$AC59),0)&gt;0,MAX(BI$2:BI58)+1,0)</f>
        <v>0</v>
      </c>
      <c r="BJ59" s="48">
        <f ca="1">IF(IF(AND(OR(INDEX(PDC,MATCH($AC59,DEN_PDC,0),6)="SE AVERE",INDEX(PDC,MATCH($AC59,DEN_PDC,0),6)="SE DARE/AVERE"),SUMIFS(AVERE,DEN_G,$AC59)&gt;=SUMIFS(DARE,DEN_G,$AC59)),SUMIFS(AVERE,DEN_G,$AC59)-SUMIFS(DARE,DEN_G,$AC59),0)&gt;0,MAX(BJ$2:BJ58)+1,0)</f>
        <v>0</v>
      </c>
      <c r="BK59" s="48" t="str">
        <f ca="1">IF(AND(AND($DY$2=0,$DY$1=0),$I$1=2,ROW()&gt;$BG$1+2,ROW()&lt;=$BG$1+4),"………………..",IF(AND(OR($DY$2&gt;0,$DY$1&gt;0),$I$1=2,ROW()&gt;$BG$1+2,ROW()&lt;=$BG$1+4),"………………..",IFERROR(INDEX($AC$3:$AC$398,MATCH(ROWS(BK$3:BK59),BG$3:BG$398,0),1),"")))</f>
        <v/>
      </c>
      <c r="BL59" s="48">
        <f t="shared" ca="1" si="69"/>
        <v>0</v>
      </c>
      <c r="BM59" s="48" t="str">
        <f ca="1">IF(AND(OR($DY$2=0,$DY$1=0),$I$1=2,ROW()&gt;$BH$1+2,ROW()&lt;=$BH$1+4),"………………..",IF(AND(OR($DY$2&gt;0,$DY$1&gt;0),$I$1=2,ROW()&gt;$BH$1+2,ROW()&lt;=$BH$1+4),"………………..",IFERROR(INDEX($AC$3:$AC$400,MATCH(ROWS(BM$3:BM59),BH$3:BH$400,0),1),"")))</f>
        <v/>
      </c>
      <c r="BN59" s="48">
        <f t="shared" ca="1" si="9"/>
        <v>0</v>
      </c>
      <c r="BO59" s="48" t="str">
        <f ca="1">IF(AND(OR($DY$2=0,$DY$1=0),$I$1=2,ROW()&gt;$BI$1+2,ROW()&lt;=$BI$1+4),"………………..",IF(AND(OR($DY$2&gt;0,$DY$1&gt;0),$I$1=2,ROW()&gt;$BI$1+2,ROW()&lt;=$BI$1+4),"………………..",IFERROR(INDEX($AC$3:$AC$400,MATCH(ROWS(BO$3:BO59),BI$3:BI$400,0),1),"")))</f>
        <v/>
      </c>
      <c r="BP59" s="48">
        <f t="shared" ca="1" si="10"/>
        <v>0</v>
      </c>
      <c r="BQ59" s="48" t="str">
        <f ca="1">IF(AND(OR($DY$2=0,$DY$1=0),$I$1=2,ROW()&gt;$BJ$1+2,ROW()&lt;=$BJ$1+4),"………………..",IF(AND(OR($DY$2&gt;0,$DY$1&gt;0),$I$1=2,ROW()&gt;$BJ$1+2,ROW()&lt;=$BJ$1+4),"………………..",IFERROR(INDEX($AC$3:$AC$400,MATCH(ROWS(BQ$3:BQ59),BJ$3:BJ$400,0),1),"")))</f>
        <v/>
      </c>
      <c r="BR59" s="48">
        <f t="shared" ca="1" si="11"/>
        <v>0</v>
      </c>
      <c r="BS59" s="48">
        <f ca="1">IF(IF(AND(OR(INDEX(PDC,MATCH($AC59,DEN_PDC,0),4)="D",INDEX(PDC,MATCH($AC59,DEN_PDC,0),4)="D/A"),SUMIFS(DARE,DEN_G,$AC59)&gt;=SUMIFS(AVERE,DEN_G,$AC59)),SUMIFS(DARE,DEN_G,$AC59),IF(AND(OR(INDEX(PDC,MATCH($AC59,DEN_PDC,0),4)="A",INDEX(PDC,MATCH($AC59,DEN_PDC,0),4)="D/A"),SUMIFS(AVERE,DEN_G,$AC59)&gt;=SUMIFS(DARE,DEN_G,$AC59)),SUMIFS(AVERE,DEN_G,$AC59),))&gt;0,MAX($BS$2:BS58)+1,0)</f>
        <v>0</v>
      </c>
      <c r="BT59" s="48" t="str">
        <f ca="1">IF($CO$1=0,"",IF(AND($I$1=2,ROW()&gt;$BR$1,ROW()&lt;=$BS$1)," …………….",IF(AND($E$1=1,$BX$1=1,$I$1=2,ROW()=$BQ$1),"TOTALI",IFERROR(INDEX(PDC,MATCH(ROWS(BT$3:BT59),BS$3:BS456,0),2),""))))</f>
        <v/>
      </c>
      <c r="BU59" s="48">
        <f t="shared" ca="1" si="12"/>
        <v>0</v>
      </c>
      <c r="BV59" s="48">
        <f t="shared" ca="1" si="13"/>
        <v>0</v>
      </c>
      <c r="BW59" s="48">
        <f t="shared" ca="1" si="14"/>
        <v>0</v>
      </c>
      <c r="BX59" s="48">
        <f t="shared" ca="1" si="15"/>
        <v>0</v>
      </c>
      <c r="BY59" s="48">
        <f ca="1">IF(OR(BW59&gt;0,BX59&gt;0),MAX($BY$2:BY58)+1,0)</f>
        <v>0</v>
      </c>
      <c r="BZ59" s="48" t="str">
        <f ca="1">IFERROR(INDEX($BT$3:$BY$400,MATCH(ROWS(BZ$3:BZ59),$BY$3:$BY$400,0),1),"")</f>
        <v/>
      </c>
      <c r="CA59" s="48" t="str">
        <f ca="1">IFERROR(INDEX($BT$3:$BY$400,MATCH(ROWS(CA$3:CA59),$BY$3:$BY$400,0),4),"")</f>
        <v/>
      </c>
      <c r="CB59" s="48" t="str">
        <f ca="1">IFERROR(INDEX($BT$3:$BY$400,MATCH(ROWS(CB$3:CB59),$BY$3:$BY$400,0),5),"")</f>
        <v/>
      </c>
      <c r="CC59" s="48" t="str">
        <f t="shared" ca="1" si="16"/>
        <v/>
      </c>
      <c r="CD59" s="48">
        <f ca="1">IF(AND($BF$9=1,CE59&lt;&gt;0),MAX($CD$2:CD58)+1,0)</f>
        <v>0</v>
      </c>
      <c r="CE59" s="48">
        <f ca="1">IF(ROUND(SUMIFS(COPIA!$CA$3:$CA$400,COPIA!$CC$3:$CC$400,CF59)-SUMIFS(COPIA!$CB$3:$CB$400,COPIA!$CC$3:$CC$400,CF59),0)&lt;0,0,ROUND(SUMIFS(COPIA!$CA$3:$CA$400,COPIA!$CC$3:$CC$400,CF59)-SUMIFS(COPIA!$CB$3:$CB$400,COPIA!$CC$3:$CC$400,CF59),0))</f>
        <v>0</v>
      </c>
      <c r="CF59" s="48" t="s">
        <v>633</v>
      </c>
      <c r="CG59" s="242" t="s">
        <v>524</v>
      </c>
      <c r="CH59" s="242">
        <f t="shared" ca="1" si="112"/>
        <v>0</v>
      </c>
      <c r="CI59" s="242"/>
      <c r="CJ59" s="242">
        <f ca="1">SUMIFS(COPIA!$CA$3:$CA$400,COPIA!$CC$3:$CC$400,CF59)-SUMIFS(COPIA!$CB$3:$CB$400,COPIA!$CC$3:$CC$400,CF59)</f>
        <v>0</v>
      </c>
      <c r="CK59" s="48">
        <f ca="1">IF($CF$2=FALSE,0,IF(AND($BF$9=1,CJ59&lt;&gt;0),MAX($CK$21:CK58)+1,0))</f>
        <v>0</v>
      </c>
      <c r="CL59" s="48" t="s">
        <v>691</v>
      </c>
      <c r="CM59" s="242" t="str">
        <f t="shared" ca="1" si="37"/>
        <v/>
      </c>
      <c r="CN59" s="243">
        <f t="shared" ca="1" si="38"/>
        <v>0</v>
      </c>
      <c r="CO59" s="48" t="str">
        <f t="shared" ca="1" si="39"/>
        <v/>
      </c>
      <c r="CQ59" s="242"/>
      <c r="CR59" s="242"/>
      <c r="CU59" s="48">
        <f ca="1">IF(SUMIFS(AVERE,DEN_G,AC59,AVERE,"&gt;"&amp;0)+SUMIFS(DARE,DEN_G,AC59,DARE,"&gt;"&amp;0)&gt;0,MAX($CU$2:CU58)+1,0)</f>
        <v>0</v>
      </c>
      <c r="CV59" s="48" t="str">
        <f ca="1">IF(IFERROR(INDEX(PDC,MATCH(ROWS($CV$3:CV59),$CU$3:$CU$400,0),2),"")="CONTO DI RISULTATO ECONOMICO","",IFERROR(INDEX(PDC,MATCH(ROWS($CV$3:CV59),$CU$3:$CU$400,0),2),""))</f>
        <v/>
      </c>
      <c r="CW59" s="48">
        <f ca="1">IFERROR(IF(CV59&lt;&gt;"",MAX($CW$2:CW58)+1,0),0)</f>
        <v>0</v>
      </c>
      <c r="CX59" s="48">
        <f t="shared" ca="1" si="121"/>
        <v>5</v>
      </c>
      <c r="CY59" s="48" t="str">
        <f t="shared" ca="1" si="119"/>
        <v>MASTRO</v>
      </c>
      <c r="CZ59" s="48" t="e">
        <f t="shared" ca="1" si="123"/>
        <v>#N/A</v>
      </c>
      <c r="DA59" s="48" t="str">
        <f t="shared" ca="1" si="128"/>
        <v/>
      </c>
      <c r="DB59" s="48" t="str">
        <f t="shared" ca="1" si="76"/>
        <v/>
      </c>
      <c r="DC59" s="48" t="str">
        <f t="shared" ca="1" si="124"/>
        <v/>
      </c>
      <c r="DD59" s="48" t="str">
        <f t="shared" ca="1" si="125"/>
        <v/>
      </c>
      <c r="DE59" s="48" t="str">
        <f t="shared" ca="1" si="126"/>
        <v/>
      </c>
      <c r="DF59" s="48">
        <f ca="1">IF(AND(CX59=$DF$1,CX59&lt;&gt;""),0,IF(AND(DB59&lt;&gt;"",OR(DB58&lt;&gt;"",DB60&lt;&gt;"")),MAX($DF$2:DF58)+1,0))</f>
        <v>0</v>
      </c>
      <c r="DH59" s="244" t="s">
        <v>44</v>
      </c>
      <c r="DI59" s="48" t="s">
        <v>345</v>
      </c>
      <c r="DJ59" s="48" t="s">
        <v>311</v>
      </c>
      <c r="DK59" s="48" t="s">
        <v>275</v>
      </c>
      <c r="DL59" s="48" t="s">
        <v>13</v>
      </c>
      <c r="DM59" s="48" t="s">
        <v>270</v>
      </c>
      <c r="DN59" s="48">
        <f ca="1">IF(DI59&lt;&gt;"",MAX($DN$2:DN58)+1,0)</f>
        <v>42</v>
      </c>
      <c r="DO59" s="48" t="str">
        <f ca="1">IF($BF$9=1,"pab31a","pab3")</f>
        <v>pab3</v>
      </c>
      <c r="DQ59" s="227" t="s">
        <v>35</v>
      </c>
      <c r="DR59" s="48" t="s">
        <v>470</v>
      </c>
      <c r="DS59" s="48" t="s">
        <v>311</v>
      </c>
      <c r="DT59" s="48" t="s">
        <v>298</v>
      </c>
      <c r="DU59" s="48" t="s">
        <v>318</v>
      </c>
      <c r="DV59" s="48" t="s">
        <v>299</v>
      </c>
      <c r="DW59" s="48">
        <f ca="1">IF(DR59&lt;&gt;"",MAX($DW$2:DW58)+1,0)</f>
        <v>25</v>
      </c>
      <c r="DX59" s="48" t="str">
        <f ca="1">IF($BF$9=1,"pab22","pab2")</f>
        <v>pab2</v>
      </c>
      <c r="DY59" s="48" t="str">
        <f t="shared" ca="1" si="19"/>
        <v/>
      </c>
      <c r="DZ59" s="48" t="str">
        <f t="shared" ca="1" si="40"/>
        <v/>
      </c>
      <c r="EA59" s="48" t="str">
        <f t="shared" ca="1" si="41"/>
        <v/>
      </c>
      <c r="EB59" s="48">
        <f t="shared" ca="1" si="42"/>
        <v>0</v>
      </c>
      <c r="EC59" s="48">
        <f t="shared" ca="1" si="43"/>
        <v>0</v>
      </c>
      <c r="ED59" s="48" t="str">
        <f t="shared" ca="1" si="44"/>
        <v/>
      </c>
      <c r="EE59" s="48">
        <f t="shared" ca="1" si="45"/>
        <v>0</v>
      </c>
      <c r="EF59" s="48" t="str">
        <f t="shared" ca="1" si="46"/>
        <v/>
      </c>
      <c r="EG59" s="48">
        <f t="shared" ca="1" si="47"/>
        <v>0</v>
      </c>
      <c r="EH59" s="48" t="str">
        <f t="shared" ca="1" si="48"/>
        <v/>
      </c>
      <c r="EI59" s="48">
        <f t="shared" ca="1" si="49"/>
        <v>0</v>
      </c>
      <c r="EJ59" s="48" t="str">
        <f t="shared" ca="1" si="50"/>
        <v/>
      </c>
      <c r="EK59" s="48">
        <f t="shared" ca="1" si="51"/>
        <v>0</v>
      </c>
      <c r="EL59" s="48">
        <f t="shared" ca="1" si="20"/>
        <v>0</v>
      </c>
      <c r="EM59" s="48">
        <f ca="1">IF(EL59&gt;=0,0,MAX($EM$2:EM58)+1)</f>
        <v>0</v>
      </c>
      <c r="EN59" s="48" t="str">
        <f t="shared" ca="1" si="21"/>
        <v/>
      </c>
      <c r="EO59" s="48" t="str">
        <f ca="1">IFERROR(INDEX($EM$3:$EN$400,MATCH(ROWS($EO$3:EO59),$EM$3:$EM$400,0),2),"")</f>
        <v/>
      </c>
      <c r="EP59" s="48">
        <f>ROW()</f>
        <v>59</v>
      </c>
      <c r="EQ59" s="48">
        <f t="shared" ca="1" si="22"/>
        <v>0</v>
      </c>
      <c r="ER59" s="48">
        <f ca="1">IF(ISNA(EQ59)=TRUE,MAX($ER$2:ER58)+1,0)</f>
        <v>0</v>
      </c>
      <c r="ES59" s="48" t="str">
        <f t="shared" ca="1" si="52"/>
        <v/>
      </c>
      <c r="ET59" s="48" t="str">
        <f ca="1">IFERROR(INDEX($ER$3:$ES$400,MATCH(ROWS($ET$3:ET59),$ER$3:$ER$400,0),2),"")</f>
        <v/>
      </c>
      <c r="EV59" s="48">
        <f ca="1">IFERROR(INDEX(LIBRO_GIORNALE!$O$11:$P$408,MATCH(ROWS($EV$2:EV58),LIBRO_GIORNALE!$P$11:$P$408,0),1),0)</f>
        <v>0</v>
      </c>
      <c r="EW59" s="48" t="str">
        <f t="shared" ca="1" si="53"/>
        <v>0</v>
      </c>
      <c r="EX59" s="48">
        <f t="shared" ca="1" si="54"/>
        <v>0</v>
      </c>
      <c r="EY59" s="48">
        <f ca="1">IF(EX59&gt;0,MAX($EY$2:EY58)+1,0)</f>
        <v>0</v>
      </c>
      <c r="EZ59" s="48">
        <f ca="1">IFERROR(INDEX($EX$3:$EX$400,MATCH(ROWS($EZ$3:EZ59),$EY$3:$EY$400,0),1),0)</f>
        <v>0</v>
      </c>
      <c r="FA59" s="48">
        <f ca="1">IF(EZ59&gt;0,0,MAX($FA$2:FA58)+1)</f>
        <v>57</v>
      </c>
      <c r="FB59" s="48">
        <f t="shared" ca="1" si="55"/>
        <v>0</v>
      </c>
      <c r="FC59" s="48">
        <f t="shared" ca="1" si="56"/>
        <v>57</v>
      </c>
      <c r="FD59" s="48">
        <f t="shared" ca="1" si="57"/>
        <v>57</v>
      </c>
      <c r="FE59" s="48">
        <f ca="1">IF(FD59=0,0,MAX($FE$2:FE58)+1)</f>
        <v>57</v>
      </c>
      <c r="FF59" s="48">
        <f ca="1">IFERROR(INDEX($FD$3:$FE$400,MATCH(ROWS($FF$3:FF59),$FE$3:$FE$400,0),1),"")</f>
        <v>57</v>
      </c>
      <c r="FH59" s="48">
        <f t="shared" ca="1" si="58"/>
        <v>0</v>
      </c>
      <c r="FI59" s="48">
        <f ca="1">IF(FH59&lt;&gt;0,MAX($FI$2:FI58)+1,0)</f>
        <v>0</v>
      </c>
      <c r="FJ59" s="48" t="str">
        <f ca="1">IFERROR(INDEX($FH$3:$FI$400,MATCH(ROWS($FJ$3:FJ59),$FI$3:$FI$400,0),1),"")</f>
        <v/>
      </c>
      <c r="FK59" s="48">
        <f ca="1">IF(ABS(SUMIFS(DARE,DEN_G,"="&amp;FJ59,DATA,"&lt;="&amp;FINE_AC,DATA,"&gt;="&amp;INIZIO_A_PC)-SUMIFS(AVERE,DEN_G,"="&amp;FJ59,DATA,"&lt;="&amp;FINE_AC,DATA,"&gt;="&amp;INIZIO_A_PC))&gt;0,MAX($FK$2:FK58)+1,0)</f>
        <v>0</v>
      </c>
      <c r="FL59" s="48" t="str">
        <f ca="1">IF(AND(ROW()-2&lt;&gt;1,ROW()-2&lt;=$FK$1),CONCATENATE(" - ",IFERROR(INDEX($FJ$3:$FK$400,MATCH(ROWS($FL$3:FL59),$FK$3:$FK$400,0),1),"")),IFERROR(INDEX($FJ$3:$FK$400,MATCH(ROWS($FL$3:FL59),$FK$3:$FK$400,0),1),""))</f>
        <v/>
      </c>
      <c r="FM59" s="48">
        <f ca="1">IF(OR(B59="IVA ns/credito",B59="IVA NS/DEBITO",B59="IVA C/ACCONTO",B59="IMPOSTE C/ACCONTO",B59="CREDITI PER RITENUTE SUBITE",B59="CREDITI D'IMPOSTA"),MAX($FM$2:FM58)+1,0)</f>
        <v>0</v>
      </c>
      <c r="FN59" s="48" t="str">
        <f t="shared" ca="1" si="59"/>
        <v/>
      </c>
      <c r="FO59" s="48" t="str">
        <f ca="1">IFERROR(INDEX($FM$3:$FN$400,MATCH(ROWS($FO$3:FO59),$FM$3:$FM$400,0),2),"")</f>
        <v/>
      </c>
      <c r="FP59" s="48">
        <f ca="1">IF(ABS(SUMIFS(DARE,DEN_G,"="&amp;FO59,DATA,"&lt;="&amp;FINE_AC,DATA,"&gt;="&amp;INIZIO_A_PC)-SUMIFS(AVERE,DEN_G,"="&amp;FO59,DATA,"&lt;="&amp;FINE_AC,DATA,"&gt;="&amp;INIZIO_A_PC))&gt;0,MAX($FP$2:FP58)+1,0)</f>
        <v>0</v>
      </c>
      <c r="FQ59" s="48" t="str">
        <f ca="1">IF(AND(ROW()-2&lt;&gt;1,ROW()-2&lt;=$FP$1),CONCATENATE(" - ",IFERROR(INDEX($FO$3:$FP$400,MATCH(ROWS($FQ$3:FQ59),$FP$3:$FP$400,0),1),"")),IFERROR(INDEX($FO$3:$FP$400,MATCH(ROWS($FQ$3:FQ59),$FP$3:$FP$400,0),1),""))</f>
        <v/>
      </c>
    </row>
    <row r="60" spans="1:173" x14ac:dyDescent="0.3">
      <c r="A60" s="48" t="str">
        <f ca="1">IFERROR(IF($A$1=2,INDEX($DH$3:$DN$401,MATCH(ROWS(A$3:A60),$DN$3:$DN$401,0),COLUMN()),IF($A$1=1,INDEX($DQ$3:$DW$401,MATCH(ROWS(A$3:A60),$DW$3:$DW$401,0),COLUMN()),"")),"")</f>
        <v>04.30</v>
      </c>
      <c r="B60" s="48" t="str">
        <f ca="1">IFERROR(IF($A$1=2,INDEX($DH$3:$DN$401,MATCH(ROWS(B$3:B60),$DN$3:$DN$401,0),COLUMN()),IF($A$1=1,INDEX($DQ$3:$DW$400,MATCH(ROWS(B$3:B60),$DW$3:$DW$401,0),COLUMN()),"")),"")</f>
        <v>FORNITORI C/ACCONTI</v>
      </c>
      <c r="C60" s="48" t="str">
        <f ca="1">IFERROR(IF($A$1=2,INDEX($DH$3:$DN$401,MATCH(ROWS(C$3:C60),$DN$3:$DN$401,0),COLUMN()),IF($A$1=1,INDEX($DQ$3:$DW$401,MATCH(ROWS(C$3:C60),$DW$3:$DW$401,0),COLUMN()),"")),"")</f>
        <v>F</v>
      </c>
      <c r="D60" s="48" t="str">
        <f ca="1">IFERROR(IF($A$1=2,INDEX($DH$3:$DN$401,MATCH(ROWS(D$3:D60),$DN$3:$DN$401,0),COLUMN()),IF($A$1=1,INDEX($DQ$3:$DW$401,MATCH(ROWS(D$3:D60),$DW$3:$DW$401,0),COLUMN()),"")),"")</f>
        <v>D</v>
      </c>
      <c r="E60" s="48" t="str">
        <f ca="1">IFERROR(IF($A$1=2,INDEX($DH$3:$DN$401,MATCH(ROWS(E$3:E60),$DN$3:$DN$401,0),COLUMN()),IF($A$1=1,INDEX($DQ$3:$DW$401,MATCH(ROWS(E$3:E60),$DW$3:$DW$401,0),COLUMN()),"")),"")</f>
        <v>CREDITI</v>
      </c>
      <c r="F60" s="48" t="str">
        <f ca="1">IFERROR(IF($A$1=2,INDEX($DH$3:$DN$401,MATCH(ROWS(F$3:F60),$DN$3:$DN$401,0),COLUMN()),IF($A$1=1,INDEX($DQ$3:$DX$401,MATCH(ROWS(F$3:F60),$DW$3:$DW$401,0),COLUMN()),"")),"")</f>
        <v>SP DARE</v>
      </c>
      <c r="G60" s="48" t="str">
        <f t="shared" ca="1" si="23"/>
        <v>SP</v>
      </c>
      <c r="H60" s="48" t="str">
        <f ca="1">IFERROR(IF($A$1=2,INDEX($DH$3:$DO$400,MATCH(ROWS(H$3:H60),$DN$3:$DN$400,0),COLUMN()),IF($A$1=1,INDEX($DQ$3:$DX$400,MATCH(ROWS(H$3:H60),$DW$3:$DW$400,0),COLUMN()),"")),"")</f>
        <v>pac1</v>
      </c>
      <c r="I60" s="48" t="str">
        <f t="shared" ca="1" si="0"/>
        <v/>
      </c>
      <c r="J60" s="48" t="str">
        <f t="shared" ca="1" si="24"/>
        <v/>
      </c>
      <c r="K60" s="48">
        <f t="shared" ca="1" si="25"/>
        <v>0</v>
      </c>
      <c r="L60" s="48">
        <f t="shared" ca="1" si="26"/>
        <v>0</v>
      </c>
      <c r="M60" s="48">
        <f ca="1">IFERROR(IF(IF(MID($A60,3,3)=".00",MID(A60,1,2),"")&lt;&gt;"",MAX($M$2:M59)+1,0),"")</f>
        <v>0</v>
      </c>
      <c r="N60" s="48" t="str">
        <f t="shared" ca="1" si="27"/>
        <v/>
      </c>
      <c r="O60" s="48">
        <v>10</v>
      </c>
      <c r="P60" s="48" t="str">
        <f t="shared" ca="1" si="117"/>
        <v/>
      </c>
      <c r="Q60" s="48">
        <f ca="1">IF(M60&gt;=1,0,MAX($Q$2:Q59)+1)</f>
        <v>53</v>
      </c>
      <c r="R60" s="48">
        <f ca="1">IF(AND($U$2=2,S60&lt;&gt;""),MAX($R$2:R59)+1,0)</f>
        <v>0</v>
      </c>
      <c r="S60" s="48" t="str">
        <f t="shared" ca="1" si="81"/>
        <v/>
      </c>
      <c r="T60" s="48" t="str">
        <f ca="1">IFERROR(INDEX($R$3:$S$64,MATCH(ROWS($T$2:T59),$R$3:$R$64,0),2),"")</f>
        <v/>
      </c>
      <c r="U60" s="48" t="str">
        <f ca="1">IFERROR(INDEX(PDC,MATCH(ROWS(U$3:U60),$V$3:$V$400,0),2),"")</f>
        <v>CLIENTI C/COSTI ANTICIPATI</v>
      </c>
      <c r="V60" s="48">
        <f ca="1">IF(AND($T$1="VISUALIZZA TUTTI I CONTI",AA60&lt;&gt;""),MAX($V$2:V59)+1,IF(AND($U$2=2,AI60=$T$1),MAX($V$2:V59)+1,IF(AND($U$2=1,$T$1=AF60),MAX($V$2:V59)+1,0)))</f>
        <v>58</v>
      </c>
      <c r="Z60" s="246"/>
      <c r="AA60" s="48" t="str">
        <f t="shared" ca="1" si="29"/>
        <v>05.00</v>
      </c>
      <c r="AB60" s="48" t="str">
        <f ca="1">IFERROR(INDEX($A$3:$G$400,MATCH(ROWS(AB$3:AB60),$Q$3:$Q$400,0),1),"")</f>
        <v>05.05</v>
      </c>
      <c r="AC60" s="48" t="str">
        <f ca="1">IFERROR(INDEX($A$3:$G$400,MATCH(ROWS($AC$3:AC60),$Q$3:$Q$400,0),2),"")</f>
        <v>CLIENTI C/COSTI ANTICIPATI</v>
      </c>
      <c r="AD60" s="48" t="str">
        <f ca="1">IFERROR(INDEX($A$3:$G$400,MATCH(ROWS(AD$3:AD60),$Q$3:$Q$400,0),3),"")</f>
        <v>F</v>
      </c>
      <c r="AE60" s="48" t="str">
        <f ca="1">IFERROR(INDEX($A$3:$G$400,MATCH(ROWS(AE$3:AE60),$Q$3:$Q$400,0),4),"")</f>
        <v>D</v>
      </c>
      <c r="AF60" s="48" t="str">
        <f ca="1">IFERROR(INDEX($A$3:$G$400,MATCH(ROWS(AF$3:AF60),$Q$3:$Q$400,0),5),"")</f>
        <v>CREDITI</v>
      </c>
      <c r="AG60" s="48" t="str">
        <f ca="1">IFERROR(INDEX($A$3:$G$400,MATCH(ROWS(AG$3:AG60),$Q$3:$Q$400,0),6),"")</f>
        <v>SP DARE</v>
      </c>
      <c r="AH60" s="48" t="str">
        <f ca="1">IFERROR(INDEX($A$3:$G$400,MATCH(ROWS(AH$3:AH60),$Q$3:$Q$400,0),7),"")</f>
        <v>SP</v>
      </c>
      <c r="AI60" s="48" t="str">
        <f t="shared" ca="1" si="1"/>
        <v>CREDITI COMMERCIALI</v>
      </c>
      <c r="AJ60" s="48" t="str">
        <f ca="1">IFERROR(INDEX($A$3:$H$400,MATCH(ROWS(AJ$3:AJ60),$Q$3:$Q$400,0),8),"")</f>
        <v>pac2</v>
      </c>
      <c r="AK60" s="48">
        <f t="shared" ca="1" si="2"/>
        <v>0</v>
      </c>
      <c r="AL60" s="48">
        <f t="shared" ca="1" si="95"/>
        <v>0</v>
      </c>
      <c r="AM60" s="48">
        <f t="shared" ca="1" si="30"/>
        <v>0</v>
      </c>
      <c r="AN60" s="48" t="str">
        <f t="shared" ca="1" si="31"/>
        <v/>
      </c>
      <c r="AO60" s="48">
        <f t="shared" ca="1" si="32"/>
        <v>0</v>
      </c>
      <c r="AP60" s="48">
        <f t="shared" ca="1" si="32"/>
        <v>0</v>
      </c>
      <c r="AQ60" s="48" t="str">
        <f t="shared" ca="1" si="4"/>
        <v>CLIENTI C/COSTI ANTICIPATI</v>
      </c>
      <c r="AR60" s="48">
        <f t="shared" ca="1" si="5"/>
        <v>0</v>
      </c>
      <c r="AS60" s="48">
        <f t="shared" ca="1" si="6"/>
        <v>0</v>
      </c>
      <c r="AT60" s="48">
        <f t="shared" ca="1" si="33"/>
        <v>0</v>
      </c>
      <c r="AU60" s="48">
        <f t="shared" ca="1" si="34"/>
        <v>0</v>
      </c>
      <c r="AV60" s="48">
        <f ca="1">IF(OR(AT60&gt;0,AU60&gt;0),MAX($AV$2:AV59)+1,0)</f>
        <v>0</v>
      </c>
      <c r="AZ60" s="241" t="str">
        <f t="shared" ca="1" si="35"/>
        <v/>
      </c>
      <c r="BA60" s="48">
        <f t="shared" ca="1" si="96"/>
        <v>0</v>
      </c>
      <c r="BB60" s="48">
        <f ca="1">IFERROR(INDEX($AQ$3:$AV$220,MATCH(ROWS($BB$3:BB60),$AV$3:$AV$220,0),1),0)</f>
        <v>0</v>
      </c>
      <c r="BC60" s="48" t="str">
        <f t="shared" ca="1" si="36"/>
        <v/>
      </c>
      <c r="BD60" s="48">
        <f ca="1">IFERROR(INDEX($AQ$3:$AV$220,MATCH(ROWS($BB$3:BD60),$AV$3:$AV$220,0),4),0)</f>
        <v>0</v>
      </c>
      <c r="BE60" s="48">
        <f ca="1">IFERROR(INDEX($AQ$3:$AV$220,MATCH(ROWS($BB$3:BE60),$AV$3:$AV$220,0),5),0)</f>
        <v>0</v>
      </c>
      <c r="BG60" s="48">
        <f ca="1">IF(IF(AND(OR(INDEX(PDC,MATCH($AC60,DEN_PDC,0),6)="SP DARE",INDEX(PDC,MATCH($AC60,DEN_PDC,0),6)="SP DARE/AVERE"),SUMIFS(DARE,DEN_G,$AC60)&gt;=SUMIFS(AVERE,DEN_G,$AC60)),SUMIFS(DARE,DEN_G,$AC60)-SUMIFS(AVERE,DEN_G,$AC60),0)&gt;0,MAX($BG$2:BG59)+1,0)</f>
        <v>0</v>
      </c>
      <c r="BH60" s="48">
        <f ca="1">IF(IF(AND(OR(INDEX(PDC,MATCH($AC60,DEN_PDC,0),6)="SP AVERE",INDEX(PDC,MATCH($AC60,DEN_PDC,0),6)="SP DARE/AVERE"),SUMIFS(AVERE,DEN_G,$AC60)&gt;=SUMIFS(DARE,DEN_G,$AC60)),SUMIFS(AVERE,DEN_G,$AC60)-SUMIFS(DARE,DEN_G,$AC60),0)&gt;0,MAX(BH$2:BH59)+1,0)</f>
        <v>0</v>
      </c>
      <c r="BI60" s="48">
        <f ca="1">IF(IF(AND(OR(INDEX(PDC,MATCH($AC60,DEN_PDC,0),6)="SE DARE",INDEX(PDC,MATCH($AC60,DEN_PDC,0),6)="SE DARE/AVERE"),SUMIFS(DARE,DEN_G,$AC60)&gt;=SUMIFS(AVERE,DEN_G,$AC60)),SUMIFS(DARE,DEN_G,$AC60)-SUMIFS(AVERE,DEN_G,$AC60),0)&gt;0,MAX(BI$2:BI59)+1,0)</f>
        <v>0</v>
      </c>
      <c r="BJ60" s="48">
        <f ca="1">IF(IF(AND(OR(INDEX(PDC,MATCH($AC60,DEN_PDC,0),6)="SE AVERE",INDEX(PDC,MATCH($AC60,DEN_PDC,0),6)="SE DARE/AVERE"),SUMIFS(AVERE,DEN_G,$AC60)&gt;=SUMIFS(DARE,DEN_G,$AC60)),SUMIFS(AVERE,DEN_G,$AC60)-SUMIFS(DARE,DEN_G,$AC60),0)&gt;0,MAX(BJ$2:BJ59)+1,0)</f>
        <v>0</v>
      </c>
      <c r="BK60" s="48" t="str">
        <f ca="1">IF(AND(AND($DY$2=0,$DY$1=0),$I$1=2,ROW()&gt;$BG$1+2,ROW()&lt;=$BG$1+4),"………………..",IF(AND(OR($DY$2&gt;0,$DY$1&gt;0),$I$1=2,ROW()&gt;$BG$1+2,ROW()&lt;=$BG$1+4),"………………..",IFERROR(INDEX($AC$3:$AC$398,MATCH(ROWS(BK$3:BK60),BG$3:BG$398,0),1),"")))</f>
        <v/>
      </c>
      <c r="BL60" s="48">
        <f t="shared" ca="1" si="69"/>
        <v>0</v>
      </c>
      <c r="BM60" s="48" t="str">
        <f ca="1">IF(AND(OR($DY$2=0,$DY$1=0),$I$1=2,ROW()&gt;$BH$1+2,ROW()&lt;=$BH$1+4),"………………..",IF(AND(OR($DY$2&gt;0,$DY$1&gt;0),$I$1=2,ROW()&gt;$BH$1+2,ROW()&lt;=$BH$1+4),"………………..",IFERROR(INDEX($AC$3:$AC$400,MATCH(ROWS(BM$3:BM60),BH$3:BH$400,0),1),"")))</f>
        <v/>
      </c>
      <c r="BN60" s="48">
        <f t="shared" ca="1" si="9"/>
        <v>0</v>
      </c>
      <c r="BO60" s="48" t="str">
        <f ca="1">IF(AND(OR($DY$2=0,$DY$1=0),$I$1=2,ROW()&gt;$BI$1+2,ROW()&lt;=$BI$1+4),"………………..",IF(AND(OR($DY$2&gt;0,$DY$1&gt;0),$I$1=2,ROW()&gt;$BI$1+2,ROW()&lt;=$BI$1+4),"………………..",IFERROR(INDEX($AC$3:$AC$400,MATCH(ROWS(BO$3:BO60),BI$3:BI$400,0),1),"")))</f>
        <v/>
      </c>
      <c r="BP60" s="48">
        <f t="shared" ca="1" si="10"/>
        <v>0</v>
      </c>
      <c r="BQ60" s="48" t="str">
        <f ca="1">IF(AND(OR($DY$2=0,$DY$1=0),$I$1=2,ROW()&gt;$BJ$1+2,ROW()&lt;=$BJ$1+4),"………………..",IF(AND(OR($DY$2&gt;0,$DY$1&gt;0),$I$1=2,ROW()&gt;$BJ$1+2,ROW()&lt;=$BJ$1+4),"………………..",IFERROR(INDEX($AC$3:$AC$400,MATCH(ROWS(BQ$3:BQ60),BJ$3:BJ$400,0),1),"")))</f>
        <v/>
      </c>
      <c r="BR60" s="48">
        <f t="shared" ca="1" si="11"/>
        <v>0</v>
      </c>
      <c r="BS60" s="48">
        <f ca="1">IF(IF(AND(OR(INDEX(PDC,MATCH($AC60,DEN_PDC,0),4)="D",INDEX(PDC,MATCH($AC60,DEN_PDC,0),4)="D/A"),SUMIFS(DARE,DEN_G,$AC60)&gt;=SUMIFS(AVERE,DEN_G,$AC60)),SUMIFS(DARE,DEN_G,$AC60),IF(AND(OR(INDEX(PDC,MATCH($AC60,DEN_PDC,0),4)="A",INDEX(PDC,MATCH($AC60,DEN_PDC,0),4)="D/A"),SUMIFS(AVERE,DEN_G,$AC60)&gt;=SUMIFS(DARE,DEN_G,$AC60)),SUMIFS(AVERE,DEN_G,$AC60),))&gt;0,MAX($BS$2:BS59)+1,0)</f>
        <v>0</v>
      </c>
      <c r="BT60" s="48" t="str">
        <f ca="1">IF($CO$1=0,"",IF(AND($I$1=2,ROW()&gt;$BR$1,ROW()&lt;=$BS$1)," …………….",IF(AND($E$1=1,$BX$1=1,$I$1=2,ROW()=$BQ$1),"TOTALI",IFERROR(INDEX(PDC,MATCH(ROWS(BT$3:BT60),BS$3:BS457,0),2),""))))</f>
        <v/>
      </c>
      <c r="BU60" s="48">
        <f t="shared" ca="1" si="12"/>
        <v>0</v>
      </c>
      <c r="BV60" s="48">
        <f t="shared" ca="1" si="13"/>
        <v>0</v>
      </c>
      <c r="BW60" s="48">
        <f t="shared" ca="1" si="14"/>
        <v>0</v>
      </c>
      <c r="BX60" s="48">
        <f t="shared" ca="1" si="15"/>
        <v>0</v>
      </c>
      <c r="BY60" s="48">
        <f ca="1">IF(OR(BW60&gt;0,BX60&gt;0),MAX($BY$2:BY59)+1,0)</f>
        <v>0</v>
      </c>
      <c r="BZ60" s="48" t="str">
        <f ca="1">IFERROR(INDEX($BT$3:$BY$400,MATCH(ROWS(BZ$3:BZ60),$BY$3:$BY$400,0),1),"")</f>
        <v/>
      </c>
      <c r="CA60" s="48" t="str">
        <f ca="1">IFERROR(INDEX($BT$3:$BY$400,MATCH(ROWS(CA$3:CA60),$BY$3:$BY$400,0),4),"")</f>
        <v/>
      </c>
      <c r="CB60" s="48" t="str">
        <f ca="1">IFERROR(INDEX($BT$3:$BY$400,MATCH(ROWS(CB$3:CB60),$BY$3:$BY$400,0),5),"")</f>
        <v/>
      </c>
      <c r="CC60" s="48" t="str">
        <f t="shared" ca="1" si="16"/>
        <v/>
      </c>
      <c r="CD60" s="48">
        <f ca="1">IF(AND($BF$9=1,CE60&lt;&gt;0),MAX($CD$2:CD59)+1,0)</f>
        <v>0</v>
      </c>
      <c r="CE60" s="48">
        <f ca="1">ROUND(IFERROR(INDEX(BILANCIO!$I$13:$J$59,MATCH(CF60,BILANCIO!$J$13:$J$59,0),1),0),0)</f>
        <v>0</v>
      </c>
      <c r="CF60" s="48" t="s">
        <v>691</v>
      </c>
      <c r="CG60" s="242" t="s">
        <v>571</v>
      </c>
      <c r="CH60" s="242"/>
      <c r="CI60" s="242">
        <f t="shared" ca="1" si="127"/>
        <v>0</v>
      </c>
      <c r="CJ60" s="242">
        <f ca="1">SUMIFS(COPIA!$CA$3:$CA$400,COPIA!$CC$3:$CC$400,CF60)-SUMIFS(COPIA!$CB$3:$CB$400,COPIA!$CC$3:$CC$400,CF60)</f>
        <v>0</v>
      </c>
      <c r="CK60" s="48">
        <f ca="1">IF($CF$2=FALSE,0,IF(AND($BF$9=1,CJ60&lt;&gt;0),MAX($CK$21:CK59)+1,0))</f>
        <v>0</v>
      </c>
      <c r="CM60" s="242" t="str">
        <f t="shared" ca="1" si="37"/>
        <v/>
      </c>
      <c r="CN60" s="243">
        <f t="shared" ca="1" si="38"/>
        <v>0</v>
      </c>
      <c r="CO60" s="48" t="str">
        <f t="shared" ca="1" si="39"/>
        <v/>
      </c>
      <c r="CQ60" s="242">
        <f ca="1">CQ50</f>
        <v>2026</v>
      </c>
      <c r="CR60" s="242">
        <f ca="1">CR50</f>
        <v>2026</v>
      </c>
      <c r="CS60" s="48" t="s">
        <v>813</v>
      </c>
      <c r="CT60" s="48" t="str">
        <f ca="1">INDEX(CQ60:CS65,MATCH(CQ60,CR60:CR65,0),3)</f>
        <v>n</v>
      </c>
      <c r="CU60" s="48">
        <f ca="1">IF(SUMIFS(AVERE,DEN_G,AC60,AVERE,"&gt;"&amp;0)+SUMIFS(DARE,DEN_G,AC60,DARE,"&gt;"&amp;0)&gt;0,MAX($CU$2:CU59)+1,0)</f>
        <v>0</v>
      </c>
      <c r="CV60" s="48" t="str">
        <f ca="1">IF(IFERROR(INDEX(PDC,MATCH(ROWS($CV$3:CV60),$CU$3:$CU$400,0),2),"")="CONTO DI RISULTATO ECONOMICO","",IFERROR(INDEX(PDC,MATCH(ROWS($CV$3:CV60),$CU$3:$CU$400,0),2),""))</f>
        <v/>
      </c>
      <c r="CW60" s="48">
        <f ca="1">IFERROR(IF(CV60&lt;&gt;"",MAX($CW$2:CW59)+1,0),0)</f>
        <v>0</v>
      </c>
      <c r="CX60" s="48">
        <f t="shared" ca="1" si="121"/>
        <v>5</v>
      </c>
      <c r="CY60" s="48" t="str">
        <f t="shared" ca="1" si="119"/>
        <v>MASTRO</v>
      </c>
      <c r="CZ60" s="48" t="e">
        <f t="shared" ca="1" si="123"/>
        <v>#N/A</v>
      </c>
      <c r="DA60" s="48" t="str">
        <f t="shared" ca="1" si="128"/>
        <v/>
      </c>
      <c r="DB60" s="48" t="str">
        <f t="shared" ca="1" si="76"/>
        <v/>
      </c>
      <c r="DC60" s="48" t="str">
        <f t="shared" ca="1" si="124"/>
        <v/>
      </c>
      <c r="DD60" s="48" t="str">
        <f t="shared" ca="1" si="125"/>
        <v/>
      </c>
      <c r="DE60" s="48" t="str">
        <f t="shared" ca="1" si="126"/>
        <v/>
      </c>
      <c r="DF60" s="48">
        <f ca="1">IF(AND(CX60=$DF$1,CX60&lt;&gt;""),0,IF(AND(DB60&lt;&gt;"",OR(DB59&lt;&gt;"",DB61&lt;&gt;"")),MAX($DF$2:DF59)+1,0))</f>
        <v>0</v>
      </c>
      <c r="DH60" s="244" t="s">
        <v>346</v>
      </c>
      <c r="DI60" s="48" t="s">
        <v>347</v>
      </c>
      <c r="DJ60" s="48" t="s">
        <v>311</v>
      </c>
      <c r="DK60" s="48" t="s">
        <v>275</v>
      </c>
      <c r="DL60" s="48" t="s">
        <v>13</v>
      </c>
      <c r="DM60" s="48" t="s">
        <v>270</v>
      </c>
      <c r="DN60" s="48">
        <f ca="1">IF(DI60&lt;&gt;"",MAX($DN$2:DN59)+1,0)</f>
        <v>43</v>
      </c>
      <c r="DO60" s="48" t="str">
        <f ca="1">IF($BF$9=1,"pab31b","pab3")</f>
        <v>pab3</v>
      </c>
      <c r="DQ60" s="227" t="s">
        <v>36</v>
      </c>
      <c r="DR60" s="48" t="s">
        <v>836</v>
      </c>
      <c r="DS60" s="48" t="s">
        <v>311</v>
      </c>
      <c r="DT60" s="48" t="s">
        <v>298</v>
      </c>
      <c r="DU60" s="48" t="s">
        <v>318</v>
      </c>
      <c r="DV60" s="48" t="s">
        <v>299</v>
      </c>
      <c r="DW60" s="48">
        <f ca="1">IF(DR60&lt;&gt;"",MAX($DW$2:DW59)+1,0)</f>
        <v>26</v>
      </c>
      <c r="DX60" s="48" t="str">
        <f ca="1">IF($BF$9=1,"pab23","pab2")</f>
        <v>pab2</v>
      </c>
      <c r="DY60" s="48" t="str">
        <f t="shared" ca="1" si="19"/>
        <v/>
      </c>
      <c r="DZ60" s="48" t="str">
        <f t="shared" ca="1" si="40"/>
        <v/>
      </c>
      <c r="EA60" s="48" t="str">
        <f t="shared" ca="1" si="41"/>
        <v/>
      </c>
      <c r="EB60" s="48">
        <f t="shared" ca="1" si="42"/>
        <v>0</v>
      </c>
      <c r="EC60" s="48">
        <f t="shared" ca="1" si="43"/>
        <v>0</v>
      </c>
      <c r="ED60" s="48" t="str">
        <f t="shared" ca="1" si="44"/>
        <v/>
      </c>
      <c r="EE60" s="48">
        <f t="shared" ca="1" si="45"/>
        <v>0</v>
      </c>
      <c r="EF60" s="48" t="str">
        <f t="shared" ca="1" si="46"/>
        <v/>
      </c>
      <c r="EG60" s="48">
        <f t="shared" ca="1" si="47"/>
        <v>0</v>
      </c>
      <c r="EH60" s="48" t="str">
        <f t="shared" ca="1" si="48"/>
        <v/>
      </c>
      <c r="EI60" s="48">
        <f t="shared" ca="1" si="49"/>
        <v>0</v>
      </c>
      <c r="EJ60" s="48" t="str">
        <f t="shared" ca="1" si="50"/>
        <v/>
      </c>
      <c r="EK60" s="48">
        <f t="shared" ca="1" si="51"/>
        <v>0</v>
      </c>
      <c r="EL60" s="48">
        <f t="shared" ca="1" si="20"/>
        <v>0</v>
      </c>
      <c r="EM60" s="48">
        <f ca="1">IF(EL60&gt;=0,0,MAX($EM$2:EM59)+1)</f>
        <v>0</v>
      </c>
      <c r="EN60" s="48" t="str">
        <f t="shared" ca="1" si="21"/>
        <v/>
      </c>
      <c r="EO60" s="48" t="str">
        <f ca="1">IFERROR(INDEX($EM$3:$EN$400,MATCH(ROWS($EO$3:EO60),$EM$3:$EM$400,0),2),"")</f>
        <v/>
      </c>
      <c r="EP60" s="48">
        <f>ROW()</f>
        <v>60</v>
      </c>
      <c r="EQ60" s="48">
        <f t="shared" ca="1" si="22"/>
        <v>0</v>
      </c>
      <c r="ER60" s="48">
        <f ca="1">IF(ISNA(EQ60)=TRUE,MAX($ER$2:ER59)+1,0)</f>
        <v>0</v>
      </c>
      <c r="ES60" s="48" t="str">
        <f t="shared" ca="1" si="52"/>
        <v/>
      </c>
      <c r="ET60" s="48" t="str">
        <f ca="1">IFERROR(INDEX($ER$3:$ES$400,MATCH(ROWS($ET$3:ET60),$ER$3:$ER$400,0),2),"")</f>
        <v/>
      </c>
      <c r="EV60" s="48">
        <f ca="1">IFERROR(INDEX(LIBRO_GIORNALE!$O$11:$P$408,MATCH(ROWS($EV$2:EV59),LIBRO_GIORNALE!$P$11:$P$408,0),1),0)</f>
        <v>0</v>
      </c>
      <c r="EW60" s="48" t="str">
        <f t="shared" ca="1" si="53"/>
        <v>0</v>
      </c>
      <c r="EX60" s="48">
        <f t="shared" ca="1" si="54"/>
        <v>0</v>
      </c>
      <c r="EY60" s="48">
        <f ca="1">IF(EX60&gt;0,MAX($EY$2:EY59)+1,0)</f>
        <v>0</v>
      </c>
      <c r="EZ60" s="48">
        <f ca="1">IFERROR(INDEX($EX$3:$EX$400,MATCH(ROWS($EZ$3:EZ60),$EY$3:$EY$400,0),1),0)</f>
        <v>0</v>
      </c>
      <c r="FA60" s="48">
        <f ca="1">IF(EZ60&gt;0,0,MAX($FA$2:FA59)+1)</f>
        <v>58</v>
      </c>
      <c r="FB60" s="48">
        <f t="shared" ca="1" si="55"/>
        <v>0</v>
      </c>
      <c r="FC60" s="48">
        <f t="shared" ca="1" si="56"/>
        <v>58</v>
      </c>
      <c r="FD60" s="48">
        <f t="shared" ca="1" si="57"/>
        <v>58</v>
      </c>
      <c r="FE60" s="48">
        <f ca="1">IF(FD60=0,0,MAX($FE$2:FE59)+1)</f>
        <v>58</v>
      </c>
      <c r="FF60" s="48">
        <f ca="1">IFERROR(INDEX($FD$3:$FE$400,MATCH(ROWS($FF$3:FF60),$FE$3:$FE$400,0),1),"")</f>
        <v>58</v>
      </c>
      <c r="FH60" s="48">
        <f t="shared" ca="1" si="58"/>
        <v>0</v>
      </c>
      <c r="FI60" s="48">
        <f ca="1">IF(FH60&lt;&gt;0,MAX($FI$2:FI59)+1,0)</f>
        <v>0</v>
      </c>
      <c r="FJ60" s="48" t="str">
        <f ca="1">IFERROR(INDEX($FH$3:$FI$400,MATCH(ROWS($FJ$3:FJ60),$FI$3:$FI$400,0),1),"")</f>
        <v/>
      </c>
      <c r="FK60" s="48">
        <f ca="1">IF(ABS(SUMIFS(DARE,DEN_G,"="&amp;FJ60,DATA,"&lt;="&amp;FINE_AC,DATA,"&gt;="&amp;INIZIO_A_PC)-SUMIFS(AVERE,DEN_G,"="&amp;FJ60,DATA,"&lt;="&amp;FINE_AC,DATA,"&gt;="&amp;INIZIO_A_PC))&gt;0,MAX($FK$2:FK59)+1,0)</f>
        <v>0</v>
      </c>
      <c r="FL60" s="48" t="str">
        <f ca="1">IF(AND(ROW()-2&lt;&gt;1,ROW()-2&lt;=$FK$1),CONCATENATE(" - ",IFERROR(INDEX($FJ$3:$FK$400,MATCH(ROWS($FL$3:FL60),$FK$3:$FK$400,0),1),"")),IFERROR(INDEX($FJ$3:$FK$400,MATCH(ROWS($FL$3:FL60),$FK$3:$FK$400,0),1),""))</f>
        <v/>
      </c>
      <c r="FM60" s="48">
        <f ca="1">IF(OR(B60="IVA ns/credito",B60="IVA NS/DEBITO",B60="IVA C/ACCONTO",B60="IMPOSTE C/ACCONTO",B60="CREDITI PER RITENUTE SUBITE",B60="CREDITI D'IMPOSTA"),MAX($FM$2:FM59)+1,0)</f>
        <v>0</v>
      </c>
      <c r="FN60" s="48" t="str">
        <f t="shared" ca="1" si="59"/>
        <v/>
      </c>
      <c r="FO60" s="48" t="str">
        <f ca="1">IFERROR(INDEX($FM$3:$FN$400,MATCH(ROWS($FO$3:FO60),$FM$3:$FM$400,0),2),"")</f>
        <v/>
      </c>
      <c r="FP60" s="48">
        <f ca="1">IF(ABS(SUMIFS(DARE,DEN_G,"="&amp;FO60,DATA,"&lt;="&amp;FINE_AC,DATA,"&gt;="&amp;INIZIO_A_PC)-SUMIFS(AVERE,DEN_G,"="&amp;FO60,DATA,"&lt;="&amp;FINE_AC,DATA,"&gt;="&amp;INIZIO_A_PC))&gt;0,MAX($FP$2:FP59)+1,0)</f>
        <v>0</v>
      </c>
      <c r="FQ60" s="48" t="str">
        <f ca="1">IF(AND(ROW()-2&lt;&gt;1,ROW()-2&lt;=$FP$1),CONCATENATE(" - ",IFERROR(INDEX($FO$3:$FP$400,MATCH(ROWS($FQ$3:FQ60),$FP$3:$FP$400,0),1),"")),IFERROR(INDEX($FO$3:$FP$400,MATCH(ROWS($FQ$3:FQ60),$FP$3:$FP$400,0),1),""))</f>
        <v/>
      </c>
    </row>
    <row r="61" spans="1:173" x14ac:dyDescent="0.3">
      <c r="A61" s="48" t="str">
        <f ca="1">IFERROR(IF($A$1=2,INDEX($DH$3:$DN$401,MATCH(ROWS(A$3:A61),$DN$3:$DN$401,0),COLUMN()),IF($A$1=1,INDEX($DQ$3:$DW$401,MATCH(ROWS(A$3:A61),$DW$3:$DW$401,0),COLUMN()),"")),"")</f>
        <v>05.00</v>
      </c>
      <c r="B61" s="48" t="str">
        <f ca="1">IFERROR(IF($A$1=2,INDEX($DH$3:$DN$401,MATCH(ROWS(B$3:B61),$DN$3:$DN$401,0),COLUMN()),IF($A$1=1,INDEX($DQ$3:$DW$400,MATCH(ROWS(B$3:B61),$DW$3:$DW$401,0),COLUMN()),"")),"")</f>
        <v>CREDITI COMMERCIALI</v>
      </c>
      <c r="C61" s="48">
        <f ca="1">IFERROR(IF($A$1=2,INDEX($DH$3:$DN$401,MATCH(ROWS(C$3:C61),$DN$3:$DN$401,0),COLUMN()),IF($A$1=1,INDEX($DQ$3:$DW$401,MATCH(ROWS(C$3:C61),$DW$3:$DW$401,0),COLUMN()),"")),"")</f>
        <v>0</v>
      </c>
      <c r="D61" s="48">
        <f ca="1">IFERROR(IF($A$1=2,INDEX($DH$3:$DN$401,MATCH(ROWS(D$3:D61),$DN$3:$DN$401,0),COLUMN()),IF($A$1=1,INDEX($DQ$3:$DW$401,MATCH(ROWS(D$3:D61),$DW$3:$DW$401,0),COLUMN()),"")),"")</f>
        <v>0</v>
      </c>
      <c r="E61" s="48">
        <f ca="1">IFERROR(IF($A$1=2,INDEX($DH$3:$DN$401,MATCH(ROWS(E$3:E61),$DN$3:$DN$401,0),COLUMN()),IF($A$1=1,INDEX($DQ$3:$DW$401,MATCH(ROWS(E$3:E61),$DW$3:$DW$401,0),COLUMN()),"")),"")</f>
        <v>0</v>
      </c>
      <c r="F61" s="48">
        <f ca="1">IFERROR(IF($A$1=2,INDEX($DH$3:$DN$401,MATCH(ROWS(F$3:F61),$DN$3:$DN$401,0),COLUMN()),IF($A$1=1,INDEX($DQ$3:$DX$401,MATCH(ROWS(F$3:F61),$DW$3:$DW$401,0),COLUMN()),"")),"")</f>
        <v>0</v>
      </c>
      <c r="G61" s="48" t="str">
        <f t="shared" ca="1" si="23"/>
        <v>0</v>
      </c>
      <c r="H61" s="48">
        <f ca="1">IFERROR(IF($A$1=2,INDEX($DH$3:$DO$400,MATCH(ROWS(H$3:H61),$DN$3:$DN$400,0),COLUMN()),IF($A$1=1,INDEX($DQ$3:$DX$400,MATCH(ROWS(H$3:H61),$DW$3:$DW$400,0),COLUMN()),"")),"")</f>
        <v>0</v>
      </c>
      <c r="I61" s="48" t="str">
        <f t="shared" ca="1" si="0"/>
        <v/>
      </c>
      <c r="J61" s="48" t="str">
        <f t="shared" ca="1" si="24"/>
        <v/>
      </c>
      <c r="K61" s="48">
        <f t="shared" ca="1" si="25"/>
        <v>0</v>
      </c>
      <c r="L61" s="48">
        <f t="shared" ca="1" si="26"/>
        <v>0</v>
      </c>
      <c r="M61" s="48">
        <f ca="1">IFERROR(IF(IF(MID($A61,3,3)=".00",MID(A61,1,2),"")&lt;&gt;"",MAX($M$2:M60)+1,0),"")</f>
        <v>6</v>
      </c>
      <c r="N61" s="48" t="str">
        <f t="shared" ca="1" si="27"/>
        <v>05</v>
      </c>
      <c r="O61" s="48">
        <v>11</v>
      </c>
      <c r="P61" s="48" t="str">
        <f t="shared" ca="1" si="117"/>
        <v/>
      </c>
      <c r="Q61" s="48">
        <f ca="1">IF(M61&gt;=1,0,MAX($Q$2:Q60)+1)</f>
        <v>0</v>
      </c>
      <c r="R61" s="48">
        <f ca="1">IF(AND($U$2=2,S61&lt;&gt;""),MAX($R$2:R60)+1,0)</f>
        <v>0</v>
      </c>
      <c r="S61" s="48" t="str">
        <f t="shared" ca="1" si="81"/>
        <v/>
      </c>
      <c r="T61" s="48" t="str">
        <f ca="1">IFERROR(INDEX($R$3:$S$64,MATCH(ROWS($T$2:T60),$R$3:$R$64,0),2),"")</f>
        <v/>
      </c>
      <c r="U61" s="48" t="str">
        <f ca="1">IFERROR(INDEX(PDC,MATCH(ROWS(U$3:U61),$V$3:$V$400,0),2),"")</f>
        <v>CAMBIALI ATTIVE</v>
      </c>
      <c r="V61" s="48">
        <f ca="1">IF(AND($T$1="VISUALIZZA TUTTI I CONTI",AA61&lt;&gt;""),MAX($V$2:V60)+1,IF(AND($U$2=2,AI61=$T$1),MAX($V$2:V60)+1,IF(AND($U$2=1,$T$1=AF61),MAX($V$2:V60)+1,0)))</f>
        <v>59</v>
      </c>
      <c r="Z61" s="246"/>
      <c r="AA61" s="48" t="str">
        <f t="shared" ca="1" si="29"/>
        <v>05.00</v>
      </c>
      <c r="AB61" s="48" t="str">
        <f ca="1">IFERROR(INDEX($A$3:$G$400,MATCH(ROWS(AB$3:AB61),$Q$3:$Q$400,0),1),"")</f>
        <v>05.06</v>
      </c>
      <c r="AC61" s="48" t="str">
        <f ca="1">IFERROR(INDEX($A$3:$G$400,MATCH(ROWS($AC$3:AC61),$Q$3:$Q$400,0),2),"")</f>
        <v>CAMBIALI ATTIVE</v>
      </c>
      <c r="AD61" s="48" t="str">
        <f ca="1">IFERROR(INDEX($A$3:$G$400,MATCH(ROWS(AD$3:AD61),$Q$3:$Q$400,0),3),"")</f>
        <v>F</v>
      </c>
      <c r="AE61" s="48" t="str">
        <f ca="1">IFERROR(INDEX($A$3:$G$400,MATCH(ROWS(AE$3:AE61),$Q$3:$Q$400,0),4),"")</f>
        <v>D</v>
      </c>
      <c r="AF61" s="48" t="str">
        <f ca="1">IFERROR(INDEX($A$3:$G$400,MATCH(ROWS(AF$3:AF61),$Q$3:$Q$400,0),5),"")</f>
        <v>CREDITI</v>
      </c>
      <c r="AG61" s="48" t="str">
        <f ca="1">IFERROR(INDEX($A$3:$G$400,MATCH(ROWS(AG$3:AG61),$Q$3:$Q$400,0),6),"")</f>
        <v>SP DARE</v>
      </c>
      <c r="AH61" s="48" t="str">
        <f ca="1">IFERROR(INDEX($A$3:$G$400,MATCH(ROWS(AH$3:AH61),$Q$3:$Q$400,0),7),"")</f>
        <v>SP</v>
      </c>
      <c r="AI61" s="48" t="str">
        <f t="shared" ca="1" si="1"/>
        <v>CREDITI COMMERCIALI</v>
      </c>
      <c r="AJ61" s="48" t="str">
        <f ca="1">IFERROR(INDEX($A$3:$H$400,MATCH(ROWS(AJ$3:AJ61),$Q$3:$Q$400,0),8),"")</f>
        <v>pac2</v>
      </c>
      <c r="AK61" s="48">
        <f t="shared" ca="1" si="2"/>
        <v>0</v>
      </c>
      <c r="AL61" s="48">
        <f t="shared" ca="1" si="95"/>
        <v>0</v>
      </c>
      <c r="AM61" s="48">
        <f t="shared" ca="1" si="30"/>
        <v>0</v>
      </c>
      <c r="AN61" s="48" t="str">
        <f t="shared" ca="1" si="31"/>
        <v/>
      </c>
      <c r="AO61" s="48">
        <f t="shared" ca="1" si="32"/>
        <v>0</v>
      </c>
      <c r="AP61" s="48">
        <f t="shared" ca="1" si="32"/>
        <v>0</v>
      </c>
      <c r="AQ61" s="48" t="str">
        <f t="shared" ca="1" si="4"/>
        <v>CAMBIALI ATTIVE</v>
      </c>
      <c r="AR61" s="48">
        <f t="shared" ca="1" si="5"/>
        <v>0</v>
      </c>
      <c r="AS61" s="48">
        <f t="shared" ca="1" si="6"/>
        <v>0</v>
      </c>
      <c r="AT61" s="48">
        <f t="shared" ca="1" si="33"/>
        <v>0</v>
      </c>
      <c r="AU61" s="48">
        <f t="shared" ca="1" si="34"/>
        <v>0</v>
      </c>
      <c r="AV61" s="48">
        <f ca="1">IF(OR(AT61&gt;0,AU61&gt;0),MAX($AV$2:AV60)+1,0)</f>
        <v>0</v>
      </c>
      <c r="AZ61" s="241" t="str">
        <f t="shared" ca="1" si="35"/>
        <v/>
      </c>
      <c r="BA61" s="48">
        <f t="shared" ca="1" si="96"/>
        <v>0</v>
      </c>
      <c r="BB61" s="48">
        <f ca="1">IFERROR(INDEX($AQ$3:$AV$220,MATCH(ROWS($BB$3:BB61),$AV$3:$AV$220,0),1),0)</f>
        <v>0</v>
      </c>
      <c r="BC61" s="48" t="str">
        <f t="shared" ca="1" si="36"/>
        <v/>
      </c>
      <c r="BD61" s="48">
        <f ca="1">IFERROR(INDEX($AQ$3:$AV$220,MATCH(ROWS($BB$3:BD61),$AV$3:$AV$220,0),4),0)</f>
        <v>0</v>
      </c>
      <c r="BE61" s="48">
        <f ca="1">IFERROR(INDEX($AQ$3:$AV$220,MATCH(ROWS($BB$3:BE61),$AV$3:$AV$220,0),5),0)</f>
        <v>0</v>
      </c>
      <c r="BG61" s="48">
        <f ca="1">IF(IF(AND(OR(INDEX(PDC,MATCH($AC61,DEN_PDC,0),6)="SP DARE",INDEX(PDC,MATCH($AC61,DEN_PDC,0),6)="SP DARE/AVERE"),SUMIFS(DARE,DEN_G,$AC61)&gt;=SUMIFS(AVERE,DEN_G,$AC61)),SUMIFS(DARE,DEN_G,$AC61)-SUMIFS(AVERE,DEN_G,$AC61),0)&gt;0,MAX($BG$2:BG60)+1,0)</f>
        <v>0</v>
      </c>
      <c r="BH61" s="48">
        <f ca="1">IF(IF(AND(OR(INDEX(PDC,MATCH($AC61,DEN_PDC,0),6)="SP AVERE",INDEX(PDC,MATCH($AC61,DEN_PDC,0),6)="SP DARE/AVERE"),SUMIFS(AVERE,DEN_G,$AC61)&gt;=SUMIFS(DARE,DEN_G,$AC61)),SUMIFS(AVERE,DEN_G,$AC61)-SUMIFS(DARE,DEN_G,$AC61),0)&gt;0,MAX(BH$2:BH60)+1,0)</f>
        <v>0</v>
      </c>
      <c r="BI61" s="48">
        <f ca="1">IF(IF(AND(OR(INDEX(PDC,MATCH($AC61,DEN_PDC,0),6)="SE DARE",INDEX(PDC,MATCH($AC61,DEN_PDC,0),6)="SE DARE/AVERE"),SUMIFS(DARE,DEN_G,$AC61)&gt;=SUMIFS(AVERE,DEN_G,$AC61)),SUMIFS(DARE,DEN_G,$AC61)-SUMIFS(AVERE,DEN_G,$AC61),0)&gt;0,MAX(BI$2:BI60)+1,0)</f>
        <v>0</v>
      </c>
      <c r="BJ61" s="48">
        <f ca="1">IF(IF(AND(OR(INDEX(PDC,MATCH($AC61,DEN_PDC,0),6)="SE AVERE",INDEX(PDC,MATCH($AC61,DEN_PDC,0),6)="SE DARE/AVERE"),SUMIFS(AVERE,DEN_G,$AC61)&gt;=SUMIFS(DARE,DEN_G,$AC61)),SUMIFS(AVERE,DEN_G,$AC61)-SUMIFS(DARE,DEN_G,$AC61),0)&gt;0,MAX(BJ$2:BJ60)+1,0)</f>
        <v>0</v>
      </c>
      <c r="BK61" s="48" t="str">
        <f ca="1">IF(AND(AND($DY$2=0,$DY$1=0),$I$1=2,ROW()&gt;$BG$1+2,ROW()&lt;=$BG$1+4),"………………..",IF(AND(OR($DY$2&gt;0,$DY$1&gt;0),$I$1=2,ROW()&gt;$BG$1+2,ROW()&lt;=$BG$1+4),"………………..",IFERROR(INDEX($AC$3:$AC$398,MATCH(ROWS(BK$3:BK61),BG$3:BG$398,0),1),"")))</f>
        <v/>
      </c>
      <c r="BL61" s="48">
        <f t="shared" ca="1" si="69"/>
        <v>0</v>
      </c>
      <c r="BM61" s="48" t="str">
        <f ca="1">IF(AND(OR($DY$2=0,$DY$1=0),$I$1=2,ROW()&gt;$BH$1+2,ROW()&lt;=$BH$1+4),"………………..",IF(AND(OR($DY$2&gt;0,$DY$1&gt;0),$I$1=2,ROW()&gt;$BH$1+2,ROW()&lt;=$BH$1+4),"………………..",IFERROR(INDEX($AC$3:$AC$400,MATCH(ROWS(BM$3:BM61),BH$3:BH$400,0),1),"")))</f>
        <v/>
      </c>
      <c r="BN61" s="48">
        <f t="shared" ca="1" si="9"/>
        <v>0</v>
      </c>
      <c r="BO61" s="48" t="str">
        <f ca="1">IF(AND(OR($DY$2=0,$DY$1=0),$I$1=2,ROW()&gt;$BI$1+2,ROW()&lt;=$BI$1+4),"………………..",IF(AND(OR($DY$2&gt;0,$DY$1&gt;0),$I$1=2,ROW()&gt;$BI$1+2,ROW()&lt;=$BI$1+4),"………………..",IFERROR(INDEX($AC$3:$AC$400,MATCH(ROWS(BO$3:BO61),BI$3:BI$400,0),1),"")))</f>
        <v/>
      </c>
      <c r="BP61" s="48">
        <f t="shared" ca="1" si="10"/>
        <v>0</v>
      </c>
      <c r="BQ61" s="48" t="str">
        <f ca="1">IF(AND(OR($DY$2=0,$DY$1=0),$I$1=2,ROW()&gt;$BJ$1+2,ROW()&lt;=$BJ$1+4),"………………..",IF(AND(OR($DY$2&gt;0,$DY$1&gt;0),$I$1=2,ROW()&gt;$BJ$1+2,ROW()&lt;=$BJ$1+4),"………………..",IFERROR(INDEX($AC$3:$AC$400,MATCH(ROWS(BQ$3:BQ61),BJ$3:BJ$400,0),1),"")))</f>
        <v/>
      </c>
      <c r="BR61" s="48">
        <f t="shared" ca="1" si="11"/>
        <v>0</v>
      </c>
      <c r="BS61" s="48">
        <f ca="1">IF(IF(AND(OR(INDEX(PDC,MATCH($AC61,DEN_PDC,0),4)="D",INDEX(PDC,MATCH($AC61,DEN_PDC,0),4)="D/A"),SUMIFS(DARE,DEN_G,$AC61)&gt;=SUMIFS(AVERE,DEN_G,$AC61)),SUMIFS(DARE,DEN_G,$AC61),IF(AND(OR(INDEX(PDC,MATCH($AC61,DEN_PDC,0),4)="A",INDEX(PDC,MATCH($AC61,DEN_PDC,0),4)="D/A"),SUMIFS(AVERE,DEN_G,$AC61)&gt;=SUMIFS(DARE,DEN_G,$AC61)),SUMIFS(AVERE,DEN_G,$AC61),))&gt;0,MAX($BS$2:BS60)+1,0)</f>
        <v>0</v>
      </c>
      <c r="BT61" s="48" t="str">
        <f ca="1">IF($CO$1=0,"",IF(AND($I$1=2,ROW()&gt;$BR$1,ROW()&lt;=$BS$1)," …………….",IF(AND($E$1=1,$BX$1=1,$I$1=2,ROW()=$BQ$1),"TOTALI",IFERROR(INDEX(PDC,MATCH(ROWS(BT$3:BT61),BS$3:BS458,0),2),""))))</f>
        <v/>
      </c>
      <c r="BU61" s="48">
        <f t="shared" ca="1" si="12"/>
        <v>0</v>
      </c>
      <c r="BV61" s="48">
        <f t="shared" ca="1" si="13"/>
        <v>0</v>
      </c>
      <c r="BW61" s="48">
        <f t="shared" ca="1" si="14"/>
        <v>0</v>
      </c>
      <c r="BX61" s="48">
        <f t="shared" ca="1" si="15"/>
        <v>0</v>
      </c>
      <c r="BY61" s="48">
        <f ca="1">IF(OR(BW61&gt;0,BX61&gt;0),MAX($BY$2:BY60)+1,0)</f>
        <v>0</v>
      </c>
      <c r="BZ61" s="48" t="str">
        <f ca="1">IFERROR(INDEX($BT$3:$BY$400,MATCH(ROWS(BZ$3:BZ61),$BY$3:$BY$400,0),1),"")</f>
        <v/>
      </c>
      <c r="CA61" s="48" t="str">
        <f ca="1">IFERROR(INDEX($BT$3:$BY$400,MATCH(ROWS(CA$3:CA61),$BY$3:$BY$400,0),4),"")</f>
        <v/>
      </c>
      <c r="CB61" s="48" t="str">
        <f ca="1">IFERROR(INDEX($BT$3:$BY$400,MATCH(ROWS(CB$3:CB61),$BY$3:$BY$400,0),5),"")</f>
        <v/>
      </c>
      <c r="CC61" s="48" t="str">
        <f t="shared" ca="1" si="16"/>
        <v/>
      </c>
      <c r="CD61" s="48">
        <f ca="1">IF(AND($BF$9=1,CE61&lt;&gt;0),MAX($CD$2:CD60)+1,0)</f>
        <v>0</v>
      </c>
      <c r="CE61" s="48">
        <f ca="1">IF(ROUND(SUMIFS(COPIA!$CA$3:$CA$400,COPIA!$CC$3:$CC$400,CF61)-SUMIFS(COPIA!$CB$3:$CB$400,COPIA!$CC$3:$CC$400,CF61),0)&lt;0,0,ROUND(SUMIFS(COPIA!$CA$3:$CA$400,COPIA!$CC$3:$CC$400,CF61)-SUMIFS(COPIA!$CB$3:$CB$400,COPIA!$CC$3:$CC$400,CF61),0))</f>
        <v>0</v>
      </c>
      <c r="CF61" s="48" t="s">
        <v>634</v>
      </c>
      <c r="CG61" s="242" t="s">
        <v>525</v>
      </c>
      <c r="CH61" s="242">
        <f t="shared" ca="1" si="112"/>
        <v>0</v>
      </c>
      <c r="CI61" s="242"/>
      <c r="CJ61" s="242">
        <f ca="1">SUMIFS(COPIA!$CA$3:$CA$400,COPIA!$CC$3:$CC$400,CF61)-SUMIFS(COPIA!$CB$3:$CB$400,COPIA!$CC$3:$CC$400,CF61)</f>
        <v>0</v>
      </c>
      <c r="CK61" s="48">
        <f ca="1">IF($CF$2=FALSE,0,IF(AND($BF$9=1,CJ61&lt;&gt;0),MAX($CK$21:CK60)+1,0))</f>
        <v>0</v>
      </c>
      <c r="CL61" s="48" t="s">
        <v>692</v>
      </c>
      <c r="CM61" s="242" t="str">
        <f t="shared" ca="1" si="37"/>
        <v/>
      </c>
      <c r="CN61" s="243">
        <f t="shared" ca="1" si="38"/>
        <v>0</v>
      </c>
      <c r="CO61" s="48" t="str">
        <f t="shared" ca="1" si="39"/>
        <v/>
      </c>
      <c r="CQ61" s="242"/>
      <c r="CR61" s="242">
        <f ca="1">CR51</f>
        <v>2027</v>
      </c>
      <c r="CS61" s="48" t="s">
        <v>820</v>
      </c>
      <c r="CU61" s="48">
        <f ca="1">IF(SUMIFS(AVERE,DEN_G,AC61,AVERE,"&gt;"&amp;0)+SUMIFS(DARE,DEN_G,AC61,DARE,"&gt;"&amp;0)&gt;0,MAX($CU$2:CU60)+1,0)</f>
        <v>0</v>
      </c>
      <c r="CV61" s="48" t="str">
        <f ca="1">IF(IFERROR(INDEX(PDC,MATCH(ROWS($CV$3:CV61),$CU$3:$CU$400,0),2),"")="CONTO DI RISULTATO ECONOMICO","",IFERROR(INDEX(PDC,MATCH(ROWS($CV$3:CV61),$CU$3:$CU$400,0),2),""))</f>
        <v/>
      </c>
      <c r="CW61" s="48">
        <f ca="1">IFERROR(IF(CV61&lt;&gt;"",MAX($CW$2:CW60)+1,0),0)</f>
        <v>0</v>
      </c>
      <c r="CX61" s="48">
        <f t="shared" ca="1" si="121"/>
        <v>5</v>
      </c>
      <c r="CY61" s="48" t="str">
        <f t="shared" ca="1" si="119"/>
        <v>MASTRO</v>
      </c>
      <c r="CZ61" s="48" t="e">
        <f t="shared" ca="1" si="123"/>
        <v>#N/A</v>
      </c>
      <c r="DA61" s="48" t="str">
        <f t="shared" ca="1" si="128"/>
        <v/>
      </c>
      <c r="DB61" s="48" t="str">
        <f t="shared" ca="1" si="76"/>
        <v/>
      </c>
      <c r="DC61" s="48" t="str">
        <f t="shared" ca="1" si="124"/>
        <v/>
      </c>
      <c r="DD61" s="48" t="str">
        <f t="shared" ca="1" si="125"/>
        <v/>
      </c>
      <c r="DE61" s="48" t="str">
        <f t="shared" ca="1" si="126"/>
        <v/>
      </c>
      <c r="DF61" s="48">
        <f ca="1">IF(AND(CX61=$DF$1,CX61&lt;&gt;""),0,IF(AND(DB61&lt;&gt;"",OR(DB60&lt;&gt;"",DB62&lt;&gt;"")),MAX($DF$2:DF60)+1,0))</f>
        <v>0</v>
      </c>
      <c r="DH61" s="244" t="s">
        <v>348</v>
      </c>
      <c r="DI61" s="48" t="s">
        <v>1082</v>
      </c>
      <c r="DJ61" s="48" t="s">
        <v>311</v>
      </c>
      <c r="DK61" s="48" t="s">
        <v>275</v>
      </c>
      <c r="DL61" s="48" t="s">
        <v>13</v>
      </c>
      <c r="DM61" s="48" t="s">
        <v>270</v>
      </c>
      <c r="DN61" s="48">
        <f ca="1">IF(DI61&lt;&gt;"",MAX($DN$2:DN60)+1,0)</f>
        <v>44</v>
      </c>
      <c r="DO61" s="48" t="str">
        <f ca="1">IF($BF$9=1,"pab31c","pab3")</f>
        <v>pab3</v>
      </c>
      <c r="DQ61" s="227" t="s">
        <v>37</v>
      </c>
      <c r="DR61" s="48" t="s">
        <v>823</v>
      </c>
      <c r="DS61" s="48" t="s">
        <v>311</v>
      </c>
      <c r="DT61" s="48" t="s">
        <v>298</v>
      </c>
      <c r="DU61" s="48" t="s">
        <v>318</v>
      </c>
      <c r="DV61" s="48" t="s">
        <v>299</v>
      </c>
      <c r="DW61" s="48">
        <f ca="1">IF(DR61&lt;&gt;"",MAX($DW$2:DW60)+1,0)</f>
        <v>27</v>
      </c>
      <c r="DX61" s="48" t="str">
        <f ca="1">IF($BF$9=1,"pab24","pab2")</f>
        <v>pab2</v>
      </c>
      <c r="DY61" s="48" t="str">
        <f t="shared" ca="1" si="19"/>
        <v/>
      </c>
      <c r="DZ61" s="48" t="str">
        <f t="shared" ca="1" si="40"/>
        <v/>
      </c>
      <c r="EA61" s="48" t="str">
        <f t="shared" ca="1" si="41"/>
        <v/>
      </c>
      <c r="EB61" s="48">
        <f t="shared" ca="1" si="42"/>
        <v>0</v>
      </c>
      <c r="EC61" s="48">
        <f t="shared" ca="1" si="43"/>
        <v>0</v>
      </c>
      <c r="ED61" s="48" t="str">
        <f t="shared" ca="1" si="44"/>
        <v/>
      </c>
      <c r="EE61" s="48">
        <f t="shared" ca="1" si="45"/>
        <v>0</v>
      </c>
      <c r="EF61" s="48" t="str">
        <f t="shared" ca="1" si="46"/>
        <v/>
      </c>
      <c r="EG61" s="48">
        <f t="shared" ca="1" si="47"/>
        <v>0</v>
      </c>
      <c r="EH61" s="48" t="str">
        <f t="shared" ca="1" si="48"/>
        <v/>
      </c>
      <c r="EI61" s="48">
        <f t="shared" ca="1" si="49"/>
        <v>0</v>
      </c>
      <c r="EJ61" s="48" t="str">
        <f t="shared" ca="1" si="50"/>
        <v/>
      </c>
      <c r="EK61" s="48">
        <f t="shared" ca="1" si="51"/>
        <v>0</v>
      </c>
      <c r="EL61" s="48">
        <f t="shared" ca="1" si="20"/>
        <v>0</v>
      </c>
      <c r="EM61" s="48">
        <f ca="1">IF(EL61&gt;=0,0,MAX($EM$2:EM60)+1)</f>
        <v>0</v>
      </c>
      <c r="EN61" s="48" t="str">
        <f t="shared" ca="1" si="21"/>
        <v/>
      </c>
      <c r="EO61" s="48" t="str">
        <f ca="1">IFERROR(INDEX($EM$3:$EN$400,MATCH(ROWS($EO$3:EO61),$EM$3:$EM$400,0),2),"")</f>
        <v/>
      </c>
      <c r="EP61" s="48">
        <f>ROW()</f>
        <v>61</v>
      </c>
      <c r="EQ61" s="48">
        <f t="shared" ca="1" si="22"/>
        <v>0</v>
      </c>
      <c r="ER61" s="48">
        <f ca="1">IF(ISNA(EQ61)=TRUE,MAX($ER$2:ER60)+1,0)</f>
        <v>0</v>
      </c>
      <c r="ES61" s="48" t="str">
        <f t="shared" ca="1" si="52"/>
        <v/>
      </c>
      <c r="ET61" s="48" t="str">
        <f ca="1">IFERROR(INDEX($ER$3:$ES$400,MATCH(ROWS($ET$3:ET61),$ER$3:$ER$400,0),2),"")</f>
        <v/>
      </c>
      <c r="EV61" s="48">
        <f ca="1">IFERROR(INDEX(LIBRO_GIORNALE!$O$11:$P$408,MATCH(ROWS($EV$2:EV60),LIBRO_GIORNALE!$P$11:$P$408,0),1),0)</f>
        <v>0</v>
      </c>
      <c r="EW61" s="48" t="str">
        <f t="shared" ca="1" si="53"/>
        <v>0</v>
      </c>
      <c r="EX61" s="48">
        <f t="shared" ca="1" si="54"/>
        <v>0</v>
      </c>
      <c r="EY61" s="48">
        <f ca="1">IF(EX61&gt;0,MAX($EY$2:EY60)+1,0)</f>
        <v>0</v>
      </c>
      <c r="EZ61" s="48">
        <f ca="1">IFERROR(INDEX($EX$3:$EX$400,MATCH(ROWS($EZ$3:EZ61),$EY$3:$EY$400,0),1),0)</f>
        <v>0</v>
      </c>
      <c r="FA61" s="48">
        <f ca="1">IF(EZ61&gt;0,0,MAX($FA$2:FA60)+1)</f>
        <v>59</v>
      </c>
      <c r="FB61" s="48">
        <f t="shared" ca="1" si="55"/>
        <v>0</v>
      </c>
      <c r="FC61" s="48">
        <f t="shared" ca="1" si="56"/>
        <v>59</v>
      </c>
      <c r="FD61" s="48">
        <f t="shared" ca="1" si="57"/>
        <v>59</v>
      </c>
      <c r="FE61" s="48">
        <f ca="1">IF(FD61=0,0,MAX($FE$2:FE60)+1)</f>
        <v>59</v>
      </c>
      <c r="FF61" s="48">
        <f ca="1">IFERROR(INDEX($FD$3:$FE$400,MATCH(ROWS($FF$3:FF61),$FE$3:$FE$400,0),1),"")</f>
        <v>59</v>
      </c>
      <c r="FH61" s="48">
        <f t="shared" ca="1" si="58"/>
        <v>0</v>
      </c>
      <c r="FI61" s="48">
        <f ca="1">IF(FH61&lt;&gt;0,MAX($FI$2:FI60)+1,0)</f>
        <v>0</v>
      </c>
      <c r="FJ61" s="48" t="str">
        <f ca="1">IFERROR(INDEX($FH$3:$FI$400,MATCH(ROWS($FJ$3:FJ61),$FI$3:$FI$400,0),1),"")</f>
        <v/>
      </c>
      <c r="FK61" s="48">
        <f ca="1">IF(ABS(SUMIFS(DARE,DEN_G,"="&amp;FJ61,DATA,"&lt;="&amp;FINE_AC,DATA,"&gt;="&amp;INIZIO_A_PC)-SUMIFS(AVERE,DEN_G,"="&amp;FJ61,DATA,"&lt;="&amp;FINE_AC,DATA,"&gt;="&amp;INIZIO_A_PC))&gt;0,MAX($FK$2:FK60)+1,0)</f>
        <v>0</v>
      </c>
      <c r="FL61" s="48" t="str">
        <f ca="1">IF(AND(ROW()-2&lt;&gt;1,ROW()-2&lt;=$FK$1),CONCATENATE(" - ",IFERROR(INDEX($FJ$3:$FK$400,MATCH(ROWS($FL$3:FL61),$FK$3:$FK$400,0),1),"")),IFERROR(INDEX($FJ$3:$FK$400,MATCH(ROWS($FL$3:FL61),$FK$3:$FK$400,0),1),""))</f>
        <v/>
      </c>
      <c r="FM61" s="48">
        <f ca="1">IF(OR(B61="IVA ns/credito",B61="IVA NS/DEBITO",B61="IVA C/ACCONTO",B61="IMPOSTE C/ACCONTO",B61="CREDITI PER RITENUTE SUBITE",B61="CREDITI D'IMPOSTA"),MAX($FM$2:FM60)+1,0)</f>
        <v>0</v>
      </c>
      <c r="FN61" s="48" t="str">
        <f t="shared" ca="1" si="59"/>
        <v/>
      </c>
      <c r="FO61" s="48" t="str">
        <f ca="1">IFERROR(INDEX($FM$3:$FN$400,MATCH(ROWS($FO$3:FO61),$FM$3:$FM$400,0),2),"")</f>
        <v/>
      </c>
      <c r="FP61" s="48">
        <f ca="1">IF(ABS(SUMIFS(DARE,DEN_G,"="&amp;FO61,DATA,"&lt;="&amp;FINE_AC,DATA,"&gt;="&amp;INIZIO_A_PC)-SUMIFS(AVERE,DEN_G,"="&amp;FO61,DATA,"&lt;="&amp;FINE_AC,DATA,"&gt;="&amp;INIZIO_A_PC))&gt;0,MAX($FP$2:FP60)+1,0)</f>
        <v>0</v>
      </c>
      <c r="FQ61" s="48" t="str">
        <f ca="1">IF(AND(ROW()-2&lt;&gt;1,ROW()-2&lt;=$FP$1),CONCATENATE(" - ",IFERROR(INDEX($FO$3:$FP$400,MATCH(ROWS($FQ$3:FQ61),$FP$3:$FP$400,0),1),"")),IFERROR(INDEX($FO$3:$FP$400,MATCH(ROWS($FQ$3:FQ61),$FP$3:$FP$400,0),1),""))</f>
        <v/>
      </c>
    </row>
    <row r="62" spans="1:173" x14ac:dyDescent="0.3">
      <c r="A62" s="48" t="str">
        <f ca="1">IFERROR(IF($A$1=2,INDEX($DH$3:$DN$401,MATCH(ROWS(A$3:A62),$DN$3:$DN$401,0),COLUMN()),IF($A$1=1,INDEX($DQ$3:$DW$401,MATCH(ROWS(A$3:A62),$DW$3:$DW$401,0),COLUMN()),"")),"")</f>
        <v>05.01</v>
      </c>
      <c r="B62" s="48" t="str">
        <f ca="1">IFERROR(IF($A$1=2,INDEX($DH$3:$DN$401,MATCH(ROWS(B$3:B62),$DN$3:$DN$401,0),COLUMN()),IF($A$1=1,INDEX($DQ$3:$DW$400,MATCH(ROWS(B$3:B62),$DW$3:$DW$401,0),COLUMN()),"")),"")</f>
        <v>CREDITI V/CLIENTI</v>
      </c>
      <c r="C62" s="48" t="str">
        <f ca="1">IFERROR(IF($A$1=2,INDEX($DH$3:$DN$401,MATCH(ROWS(C$3:C62),$DN$3:$DN$401,0),COLUMN()),IF($A$1=1,INDEX($DQ$3:$DW$401,MATCH(ROWS(C$3:C62),$DW$3:$DW$401,0),COLUMN()),"")),"")</f>
        <v>F</v>
      </c>
      <c r="D62" s="48" t="str">
        <f ca="1">IFERROR(IF($A$1=2,INDEX($DH$3:$DN$401,MATCH(ROWS(D$3:D62),$DN$3:$DN$401,0),COLUMN()),IF($A$1=1,INDEX($DQ$3:$DW$401,MATCH(ROWS(D$3:D62),$DW$3:$DW$401,0),COLUMN()),"")),"")</f>
        <v>D</v>
      </c>
      <c r="E62" s="48" t="str">
        <f ca="1">IFERROR(IF($A$1=2,INDEX($DH$3:$DN$401,MATCH(ROWS(E$3:E62),$DN$3:$DN$401,0),COLUMN()),IF($A$1=1,INDEX($DQ$3:$DW$401,MATCH(ROWS(E$3:E62),$DW$3:$DW$401,0),COLUMN()),"")),"")</f>
        <v>CREDITI</v>
      </c>
      <c r="F62" s="48" t="str">
        <f ca="1">IFERROR(IF($A$1=2,INDEX($DH$3:$DN$401,MATCH(ROWS(F$3:F62),$DN$3:$DN$401,0),COLUMN()),IF($A$1=1,INDEX($DQ$3:$DX$401,MATCH(ROWS(F$3:F62),$DW$3:$DW$401,0),COLUMN()),"")),"")</f>
        <v>SP DARE</v>
      </c>
      <c r="G62" s="48" t="str">
        <f t="shared" ca="1" si="23"/>
        <v>SP</v>
      </c>
      <c r="H62" s="48" t="str">
        <f ca="1">IFERROR(IF($A$1=2,INDEX($DH$3:$DO$400,MATCH(ROWS(H$3:H62),$DN$3:$DN$400,0),COLUMN()),IF($A$1=1,INDEX($DQ$3:$DX$400,MATCH(ROWS(H$3:H62),$DW$3:$DW$400,0),COLUMN()),"")),"")</f>
        <v>pac2</v>
      </c>
      <c r="I62" s="48" t="str">
        <f t="shared" ca="1" si="0"/>
        <v/>
      </c>
      <c r="J62" s="48" t="str">
        <f t="shared" ca="1" si="24"/>
        <v/>
      </c>
      <c r="K62" s="48">
        <f t="shared" ca="1" si="25"/>
        <v>0</v>
      </c>
      <c r="L62" s="48">
        <f t="shared" ca="1" si="26"/>
        <v>0</v>
      </c>
      <c r="M62" s="48">
        <f ca="1">IFERROR(IF(IF(MID($A62,3,3)=".00",MID(A62,1,2),"")&lt;&gt;"",MAX($M$2:M61)+1,0),"")</f>
        <v>0</v>
      </c>
      <c r="N62" s="48" t="str">
        <f t="shared" ca="1" si="27"/>
        <v/>
      </c>
      <c r="O62" s="48">
        <v>12</v>
      </c>
      <c r="P62" s="48" t="str">
        <f t="shared" ca="1" si="117"/>
        <v/>
      </c>
      <c r="Q62" s="48">
        <f ca="1">IF(M62&gt;=1,0,MAX($Q$2:Q61)+1)</f>
        <v>54</v>
      </c>
      <c r="R62" s="48">
        <f ca="1">IF(AND($U$2=2,S62&lt;&gt;""),MAX($R$2:R61)+1,0)</f>
        <v>0</v>
      </c>
      <c r="S62" s="48" t="str">
        <f t="shared" ca="1" si="81"/>
        <v/>
      </c>
      <c r="T62" s="48" t="str">
        <f ca="1">IFERROR(INDEX($R$3:$S$64,MATCH(ROWS($T$2:T61),$R$3:$R$64,0),2),"")</f>
        <v/>
      </c>
      <c r="U62" s="48" t="str">
        <f ca="1">IFERROR(INDEX(PDC,MATCH(ROWS(U$3:U62),$V$3:$V$400,0),2),"")</f>
        <v>CAMBIALI ALLO SCONTO</v>
      </c>
      <c r="V62" s="48">
        <f ca="1">IF(AND($T$1="VISUALIZZA TUTTI I CONTI",AA62&lt;&gt;""),MAX($V$2:V61)+1,IF(AND($U$2=2,AI62=$T$1),MAX($V$2:V61)+1,IF(AND($U$2=1,$T$1=AF62),MAX($V$2:V61)+1,0)))</f>
        <v>60</v>
      </c>
      <c r="Z62" s="246"/>
      <c r="AA62" s="48" t="str">
        <f t="shared" ca="1" si="29"/>
        <v>05.00</v>
      </c>
      <c r="AB62" s="48" t="str">
        <f ca="1">IFERROR(INDEX($A$3:$G$400,MATCH(ROWS(AB$3:AB62),$Q$3:$Q$400,0),1),"")</f>
        <v>05.07</v>
      </c>
      <c r="AC62" s="48" t="str">
        <f ca="1">IFERROR(INDEX($A$3:$G$400,MATCH(ROWS($AC$3:AC62),$Q$3:$Q$400,0),2),"")</f>
        <v>CAMBIALI ALLO SCONTO</v>
      </c>
      <c r="AD62" s="48" t="str">
        <f ca="1">IFERROR(INDEX($A$3:$G$400,MATCH(ROWS(AD$3:AD62),$Q$3:$Q$400,0),3),"")</f>
        <v>F</v>
      </c>
      <c r="AE62" s="48" t="str">
        <f ca="1">IFERROR(INDEX($A$3:$G$400,MATCH(ROWS(AE$3:AE62),$Q$3:$Q$400,0),4),"")</f>
        <v>D</v>
      </c>
      <c r="AF62" s="48" t="str">
        <f ca="1">IFERROR(INDEX($A$3:$G$400,MATCH(ROWS(AF$3:AF62),$Q$3:$Q$400,0),5),"")</f>
        <v>CREDITI</v>
      </c>
      <c r="AG62" s="48" t="str">
        <f ca="1">IFERROR(INDEX($A$3:$G$400,MATCH(ROWS(AG$3:AG62),$Q$3:$Q$400,0),6),"")</f>
        <v>SP DARE</v>
      </c>
      <c r="AH62" s="48" t="str">
        <f ca="1">IFERROR(INDEX($A$3:$G$400,MATCH(ROWS(AH$3:AH62),$Q$3:$Q$400,0),7),"")</f>
        <v>SP</v>
      </c>
      <c r="AI62" s="48" t="str">
        <f t="shared" ca="1" si="1"/>
        <v>CREDITI COMMERCIALI</v>
      </c>
      <c r="AJ62" s="48" t="str">
        <f ca="1">IFERROR(INDEX($A$3:$H$400,MATCH(ROWS(AJ$3:AJ62),$Q$3:$Q$400,0),8),"")</f>
        <v>pac2</v>
      </c>
      <c r="AK62" s="48">
        <f t="shared" ca="1" si="2"/>
        <v>0</v>
      </c>
      <c r="AL62" s="48">
        <f t="shared" ca="1" si="95"/>
        <v>0</v>
      </c>
      <c r="AM62" s="48">
        <f t="shared" ca="1" si="30"/>
        <v>0</v>
      </c>
      <c r="AN62" s="48" t="str">
        <f t="shared" ca="1" si="31"/>
        <v/>
      </c>
      <c r="AO62" s="48">
        <f t="shared" ca="1" si="32"/>
        <v>0</v>
      </c>
      <c r="AP62" s="48">
        <f t="shared" ca="1" si="32"/>
        <v>0</v>
      </c>
      <c r="AQ62" s="48" t="str">
        <f t="shared" ca="1" si="4"/>
        <v>CAMBIALI ALLO SCONTO</v>
      </c>
      <c r="AR62" s="48">
        <f t="shared" ca="1" si="5"/>
        <v>0</v>
      </c>
      <c r="AS62" s="48">
        <f t="shared" ca="1" si="6"/>
        <v>0</v>
      </c>
      <c r="AT62" s="48">
        <f t="shared" ca="1" si="33"/>
        <v>0</v>
      </c>
      <c r="AU62" s="48">
        <f t="shared" ca="1" si="34"/>
        <v>0</v>
      </c>
      <c r="AV62" s="48">
        <f ca="1">IF(OR(AT62&gt;0,AU62&gt;0),MAX($AV$2:AV61)+1,0)</f>
        <v>0</v>
      </c>
      <c r="AZ62" s="241" t="str">
        <f t="shared" ca="1" si="35"/>
        <v/>
      </c>
      <c r="BA62" s="48">
        <f t="shared" ca="1" si="96"/>
        <v>0</v>
      </c>
      <c r="BB62" s="48">
        <f ca="1">IFERROR(INDEX($AQ$3:$AV$220,MATCH(ROWS($BB$3:BB62),$AV$3:$AV$220,0),1),0)</f>
        <v>0</v>
      </c>
      <c r="BC62" s="48" t="str">
        <f t="shared" ca="1" si="36"/>
        <v/>
      </c>
      <c r="BD62" s="48">
        <f ca="1">IFERROR(INDEX($AQ$3:$AV$220,MATCH(ROWS($BB$3:BD62),$AV$3:$AV$220,0),4),0)</f>
        <v>0</v>
      </c>
      <c r="BE62" s="48">
        <f ca="1">IFERROR(INDEX($AQ$3:$AV$220,MATCH(ROWS($BB$3:BE62),$AV$3:$AV$220,0),5),0)</f>
        <v>0</v>
      </c>
      <c r="BG62" s="48">
        <f ca="1">IF(IF(AND(OR(INDEX(PDC,MATCH($AC62,DEN_PDC,0),6)="SP DARE",INDEX(PDC,MATCH($AC62,DEN_PDC,0),6)="SP DARE/AVERE"),SUMIFS(DARE,DEN_G,$AC62)&gt;=SUMIFS(AVERE,DEN_G,$AC62)),SUMIFS(DARE,DEN_G,$AC62)-SUMIFS(AVERE,DEN_G,$AC62),0)&gt;0,MAX($BG$2:BG61)+1,0)</f>
        <v>0</v>
      </c>
      <c r="BH62" s="48">
        <f ca="1">IF(IF(AND(OR(INDEX(PDC,MATCH($AC62,DEN_PDC,0),6)="SP AVERE",INDEX(PDC,MATCH($AC62,DEN_PDC,0),6)="SP DARE/AVERE"),SUMIFS(AVERE,DEN_G,$AC62)&gt;=SUMIFS(DARE,DEN_G,$AC62)),SUMIFS(AVERE,DEN_G,$AC62)-SUMIFS(DARE,DEN_G,$AC62),0)&gt;0,MAX(BH$2:BH61)+1,0)</f>
        <v>0</v>
      </c>
      <c r="BI62" s="48">
        <f ca="1">IF(IF(AND(OR(INDEX(PDC,MATCH($AC62,DEN_PDC,0),6)="SE DARE",INDEX(PDC,MATCH($AC62,DEN_PDC,0),6)="SE DARE/AVERE"),SUMIFS(DARE,DEN_G,$AC62)&gt;=SUMIFS(AVERE,DEN_G,$AC62)),SUMIFS(DARE,DEN_G,$AC62)-SUMIFS(AVERE,DEN_G,$AC62),0)&gt;0,MAX(BI$2:BI61)+1,0)</f>
        <v>0</v>
      </c>
      <c r="BJ62" s="48">
        <f ca="1">IF(IF(AND(OR(INDEX(PDC,MATCH($AC62,DEN_PDC,0),6)="SE AVERE",INDEX(PDC,MATCH($AC62,DEN_PDC,0),6)="SE DARE/AVERE"),SUMIFS(AVERE,DEN_G,$AC62)&gt;=SUMIFS(DARE,DEN_G,$AC62)),SUMIFS(AVERE,DEN_G,$AC62)-SUMIFS(DARE,DEN_G,$AC62),0)&gt;0,MAX(BJ$2:BJ61)+1,0)</f>
        <v>0</v>
      </c>
      <c r="BK62" s="48" t="str">
        <f ca="1">IF(AND(AND($DY$2=0,$DY$1=0),$I$1=2,ROW()&gt;$BG$1+2,ROW()&lt;=$BG$1+4),"………………..",IF(AND(OR($DY$2&gt;0,$DY$1&gt;0),$I$1=2,ROW()&gt;$BG$1+2,ROW()&lt;=$BG$1+4),"………………..",IFERROR(INDEX($AC$3:$AC$398,MATCH(ROWS(BK$3:BK62),BG$3:BG$398,0),1),"")))</f>
        <v/>
      </c>
      <c r="BL62" s="48">
        <f t="shared" ca="1" si="69"/>
        <v>0</v>
      </c>
      <c r="BM62" s="48" t="str">
        <f ca="1">IF(AND(OR($DY$2=0,$DY$1=0),$I$1=2,ROW()&gt;$BH$1+2,ROW()&lt;=$BH$1+4),"………………..",IF(AND(OR($DY$2&gt;0,$DY$1&gt;0),$I$1=2,ROW()&gt;$BH$1+2,ROW()&lt;=$BH$1+4),"………………..",IFERROR(INDEX($AC$3:$AC$400,MATCH(ROWS(BM$3:BM62),BH$3:BH$400,0),1),"")))</f>
        <v/>
      </c>
      <c r="BN62" s="48">
        <f t="shared" ca="1" si="9"/>
        <v>0</v>
      </c>
      <c r="BO62" s="48" t="str">
        <f ca="1">IF(AND(OR($DY$2=0,$DY$1=0),$I$1=2,ROW()&gt;$BI$1+2,ROW()&lt;=$BI$1+4),"………………..",IF(AND(OR($DY$2&gt;0,$DY$1&gt;0),$I$1=2,ROW()&gt;$BI$1+2,ROW()&lt;=$BI$1+4),"………………..",IFERROR(INDEX($AC$3:$AC$400,MATCH(ROWS(BO$3:BO62),BI$3:BI$400,0),1),"")))</f>
        <v/>
      </c>
      <c r="BP62" s="48">
        <f t="shared" ca="1" si="10"/>
        <v>0</v>
      </c>
      <c r="BQ62" s="48" t="str">
        <f ca="1">IF(AND(OR($DY$2=0,$DY$1=0),$I$1=2,ROW()&gt;$BJ$1+2,ROW()&lt;=$BJ$1+4),"………………..",IF(AND(OR($DY$2&gt;0,$DY$1&gt;0),$I$1=2,ROW()&gt;$BJ$1+2,ROW()&lt;=$BJ$1+4),"………………..",IFERROR(INDEX($AC$3:$AC$400,MATCH(ROWS(BQ$3:BQ62),BJ$3:BJ$400,0),1),"")))</f>
        <v/>
      </c>
      <c r="BR62" s="48">
        <f t="shared" ca="1" si="11"/>
        <v>0</v>
      </c>
      <c r="BS62" s="48">
        <f ca="1">IF(IF(AND(OR(INDEX(PDC,MATCH($AC62,DEN_PDC,0),4)="D",INDEX(PDC,MATCH($AC62,DEN_PDC,0),4)="D/A"),SUMIFS(DARE,DEN_G,$AC62)&gt;=SUMIFS(AVERE,DEN_G,$AC62)),SUMIFS(DARE,DEN_G,$AC62),IF(AND(OR(INDEX(PDC,MATCH($AC62,DEN_PDC,0),4)="A",INDEX(PDC,MATCH($AC62,DEN_PDC,0),4)="D/A"),SUMIFS(AVERE,DEN_G,$AC62)&gt;=SUMIFS(DARE,DEN_G,$AC62)),SUMIFS(AVERE,DEN_G,$AC62),))&gt;0,MAX($BS$2:BS61)+1,0)</f>
        <v>0</v>
      </c>
      <c r="BT62" s="48" t="str">
        <f ca="1">IF($CO$1=0,"",IF(AND($I$1=2,ROW()&gt;$BR$1,ROW()&lt;=$BS$1)," …………….",IF(AND($E$1=1,$BX$1=1,$I$1=2,ROW()=$BQ$1),"TOTALI",IFERROR(INDEX(PDC,MATCH(ROWS(BT$3:BT62),BS$3:BS459,0),2),""))))</f>
        <v/>
      </c>
      <c r="BU62" s="48">
        <f t="shared" ca="1" si="12"/>
        <v>0</v>
      </c>
      <c r="BV62" s="48">
        <f t="shared" ca="1" si="13"/>
        <v>0</v>
      </c>
      <c r="BW62" s="48">
        <f t="shared" ca="1" si="14"/>
        <v>0</v>
      </c>
      <c r="BX62" s="48">
        <f t="shared" ca="1" si="15"/>
        <v>0</v>
      </c>
      <c r="BY62" s="48">
        <f ca="1">IF(OR(BW62&gt;0,BX62&gt;0),MAX($BY$2:BY61)+1,0)</f>
        <v>0</v>
      </c>
      <c r="BZ62" s="48" t="str">
        <f ca="1">IFERROR(INDEX($BT$3:$BY$400,MATCH(ROWS(BZ$3:BZ62),$BY$3:$BY$400,0),1),"")</f>
        <v/>
      </c>
      <c r="CA62" s="48" t="str">
        <f ca="1">IFERROR(INDEX($BT$3:$BY$400,MATCH(ROWS(CA$3:CA62),$BY$3:$BY$400,0),4),"")</f>
        <v/>
      </c>
      <c r="CB62" s="48" t="str">
        <f ca="1">IFERROR(INDEX($BT$3:$BY$400,MATCH(ROWS(CB$3:CB62),$BY$3:$BY$400,0),5),"")</f>
        <v/>
      </c>
      <c r="CC62" s="48" t="str">
        <f t="shared" ca="1" si="16"/>
        <v/>
      </c>
      <c r="CD62" s="48">
        <f ca="1">IF(AND($BF$9=1,CE62&lt;&gt;0),MAX($CD$2:CD61)+1,0)</f>
        <v>0</v>
      </c>
      <c r="CE62" s="48">
        <f ca="1">ROUND(IFERROR(INDEX(BILANCIO!$I$13:$J$59,MATCH(CF62,BILANCIO!$J$13:$J$59,0),1),0),0)</f>
        <v>0</v>
      </c>
      <c r="CF62" s="48" t="s">
        <v>692</v>
      </c>
      <c r="CG62" s="242" t="s">
        <v>571</v>
      </c>
      <c r="CH62" s="242"/>
      <c r="CI62" s="242">
        <f t="shared" ca="1" si="127"/>
        <v>0</v>
      </c>
      <c r="CJ62" s="242">
        <f ca="1">SUMIFS(COPIA!$CA$3:$CA$400,COPIA!$CC$3:$CC$400,CF62)-SUMIFS(COPIA!$CB$3:$CB$400,COPIA!$CC$3:$CC$400,CF62)</f>
        <v>0</v>
      </c>
      <c r="CK62" s="48">
        <f ca="1">IF($CF$2=FALSE,0,IF(AND($BF$9=1,CJ62&lt;&gt;0),MAX($CK$21:CK61)+1,0))</f>
        <v>0</v>
      </c>
      <c r="CM62" s="242" t="str">
        <f t="shared" ca="1" si="37"/>
        <v/>
      </c>
      <c r="CN62" s="243">
        <f t="shared" ca="1" si="38"/>
        <v>0</v>
      </c>
      <c r="CO62" s="48" t="str">
        <f t="shared" ca="1" si="39"/>
        <v/>
      </c>
      <c r="CQ62" s="242"/>
      <c r="CR62" s="242">
        <f ca="1">CR52</f>
        <v>2028</v>
      </c>
      <c r="CS62" s="48" t="s">
        <v>816</v>
      </c>
      <c r="CU62" s="48">
        <f ca="1">IF(SUMIFS(AVERE,DEN_G,AC62,AVERE,"&gt;"&amp;0)+SUMIFS(DARE,DEN_G,AC62,DARE,"&gt;"&amp;0)&gt;0,MAX($CU$2:CU61)+1,0)</f>
        <v>0</v>
      </c>
      <c r="CV62" s="48" t="str">
        <f ca="1">IF(IFERROR(INDEX(PDC,MATCH(ROWS($CV$3:CV62),$CU$3:$CU$400,0),2),"")="CONTO DI RISULTATO ECONOMICO","",IFERROR(INDEX(PDC,MATCH(ROWS($CV$3:CV62),$CU$3:$CU$400,0),2),""))</f>
        <v/>
      </c>
      <c r="CW62" s="48">
        <f ca="1">IFERROR(IF(CV62&lt;&gt;"",MAX($CW$2:CW61)+1,0),0)</f>
        <v>0</v>
      </c>
      <c r="CX62" s="48">
        <f t="shared" ca="1" si="121"/>
        <v>5</v>
      </c>
      <c r="CY62" s="48" t="str">
        <f t="shared" ca="1" si="119"/>
        <v>MASTRO</v>
      </c>
      <c r="CZ62" s="48" t="e">
        <f t="shared" ca="1" si="123"/>
        <v>#N/A</v>
      </c>
      <c r="DA62" s="48" t="str">
        <f t="shared" ca="1" si="128"/>
        <v/>
      </c>
      <c r="DB62" s="48" t="str">
        <f t="shared" ca="1" si="76"/>
        <v/>
      </c>
      <c r="DC62" s="48" t="str">
        <f t="shared" ca="1" si="124"/>
        <v/>
      </c>
      <c r="DD62" s="48" t="str">
        <f t="shared" ca="1" si="125"/>
        <v/>
      </c>
      <c r="DE62" s="48" t="str">
        <f t="shared" ca="1" si="126"/>
        <v/>
      </c>
      <c r="DF62" s="48">
        <f ca="1">IF(AND(CX62=$DF$1,CX62&lt;&gt;""),0,IF(AND(DB62&lt;&gt;"",OR(DB61&lt;&gt;"",DB63&lt;&gt;"")),MAX($DF$2:DF61)+1,0))</f>
        <v>0</v>
      </c>
      <c r="DH62" s="244" t="s">
        <v>349</v>
      </c>
      <c r="DI62" s="48" t="s">
        <v>350</v>
      </c>
      <c r="DJ62" s="48" t="s">
        <v>311</v>
      </c>
      <c r="DK62" s="48" t="s">
        <v>275</v>
      </c>
      <c r="DL62" s="48" t="s">
        <v>13</v>
      </c>
      <c r="DM62" s="48" t="s">
        <v>270</v>
      </c>
      <c r="DN62" s="48">
        <f ca="1">IF(DI62&lt;&gt;"",MAX($DN$2:DN61)+1,0)</f>
        <v>45</v>
      </c>
      <c r="DO62" s="48" t="str">
        <f ca="1">IF($BF$9=1,"pab31db","pab3")</f>
        <v>pab3</v>
      </c>
      <c r="DQ62" s="227" t="s">
        <v>38</v>
      </c>
      <c r="DR62" s="48" t="s">
        <v>471</v>
      </c>
      <c r="DS62" s="48" t="s">
        <v>311</v>
      </c>
      <c r="DT62" s="48" t="s">
        <v>298</v>
      </c>
      <c r="DU62" s="48" t="s">
        <v>318</v>
      </c>
      <c r="DV62" s="48" t="s">
        <v>299</v>
      </c>
      <c r="DW62" s="48">
        <f ca="1">IF(DR62&lt;&gt;"",MAX($DW$2:DW61)+1,0)</f>
        <v>28</v>
      </c>
      <c r="DX62" s="48" t="str">
        <f t="shared" ref="DX62:DX64" ca="1" si="129">IF($BF$9=1,"pab24","pab2")</f>
        <v>pab2</v>
      </c>
      <c r="DY62" s="48" t="str">
        <f t="shared" ca="1" si="19"/>
        <v/>
      </c>
      <c r="DZ62" s="48" t="str">
        <f t="shared" ca="1" si="40"/>
        <v/>
      </c>
      <c r="EA62" s="48" t="str">
        <f t="shared" ca="1" si="41"/>
        <v/>
      </c>
      <c r="EB62" s="48">
        <f t="shared" ca="1" si="42"/>
        <v>0</v>
      </c>
      <c r="EC62" s="48">
        <f t="shared" ca="1" si="43"/>
        <v>0</v>
      </c>
      <c r="ED62" s="48" t="str">
        <f t="shared" ca="1" si="44"/>
        <v/>
      </c>
      <c r="EE62" s="48">
        <f t="shared" ca="1" si="45"/>
        <v>0</v>
      </c>
      <c r="EF62" s="48" t="str">
        <f t="shared" ca="1" si="46"/>
        <v/>
      </c>
      <c r="EG62" s="48">
        <f t="shared" ca="1" si="47"/>
        <v>0</v>
      </c>
      <c r="EH62" s="48" t="str">
        <f t="shared" ca="1" si="48"/>
        <v/>
      </c>
      <c r="EI62" s="48">
        <f t="shared" ca="1" si="49"/>
        <v>0</v>
      </c>
      <c r="EJ62" s="48" t="str">
        <f t="shared" ca="1" si="50"/>
        <v/>
      </c>
      <c r="EK62" s="48">
        <f t="shared" ca="1" si="51"/>
        <v>0</v>
      </c>
      <c r="EL62" s="48">
        <f t="shared" ca="1" si="20"/>
        <v>0</v>
      </c>
      <c r="EM62" s="48">
        <f ca="1">IF(EL62&gt;=0,0,MAX($EM$2:EM61)+1)</f>
        <v>0</v>
      </c>
      <c r="EN62" s="48" t="str">
        <f t="shared" ca="1" si="21"/>
        <v/>
      </c>
      <c r="EO62" s="48" t="str">
        <f ca="1">IFERROR(INDEX($EM$3:$EN$400,MATCH(ROWS($EO$3:EO62),$EM$3:$EM$400,0),2),"")</f>
        <v/>
      </c>
      <c r="EP62" s="48">
        <f>ROW()</f>
        <v>62</v>
      </c>
      <c r="EQ62" s="48">
        <f t="shared" ca="1" si="22"/>
        <v>0</v>
      </c>
      <c r="ER62" s="48">
        <f ca="1">IF(ISNA(EQ62)=TRUE,MAX($ER$2:ER61)+1,0)</f>
        <v>0</v>
      </c>
      <c r="ES62" s="48" t="str">
        <f t="shared" ca="1" si="52"/>
        <v/>
      </c>
      <c r="ET62" s="48" t="str">
        <f ca="1">IFERROR(INDEX($ER$3:$ES$400,MATCH(ROWS($ET$3:ET62),$ER$3:$ER$400,0),2),"")</f>
        <v/>
      </c>
      <c r="EV62" s="48">
        <f ca="1">IFERROR(INDEX(LIBRO_GIORNALE!$O$11:$P$408,MATCH(ROWS($EV$2:EV61),LIBRO_GIORNALE!$P$11:$P$408,0),1),0)</f>
        <v>0</v>
      </c>
      <c r="EW62" s="48" t="str">
        <f t="shared" ca="1" si="53"/>
        <v>0</v>
      </c>
      <c r="EX62" s="48">
        <f t="shared" ca="1" si="54"/>
        <v>0</v>
      </c>
      <c r="EY62" s="48">
        <f ca="1">IF(EX62&gt;0,MAX($EY$2:EY61)+1,0)</f>
        <v>0</v>
      </c>
      <c r="EZ62" s="48">
        <f ca="1">IFERROR(INDEX($EX$3:$EX$400,MATCH(ROWS($EZ$3:EZ62),$EY$3:$EY$400,0),1),0)</f>
        <v>0</v>
      </c>
      <c r="FA62" s="48">
        <f ca="1">IF(EZ62&gt;0,0,MAX($FA$2:FA61)+1)</f>
        <v>60</v>
      </c>
      <c r="FB62" s="48">
        <f t="shared" ca="1" si="55"/>
        <v>0</v>
      </c>
      <c r="FC62" s="48">
        <f t="shared" ca="1" si="56"/>
        <v>60</v>
      </c>
      <c r="FD62" s="48">
        <f t="shared" ca="1" si="57"/>
        <v>60</v>
      </c>
      <c r="FE62" s="48">
        <f ca="1">IF(FD62=0,0,MAX($FE$2:FE61)+1)</f>
        <v>60</v>
      </c>
      <c r="FF62" s="48">
        <f ca="1">IFERROR(INDEX($FD$3:$FE$400,MATCH(ROWS($FF$3:FF62),$FE$3:$FE$400,0),1),"")</f>
        <v>60</v>
      </c>
      <c r="FH62" s="48">
        <f t="shared" ca="1" si="58"/>
        <v>0</v>
      </c>
      <c r="FI62" s="48">
        <f ca="1">IF(FH62&lt;&gt;0,MAX($FI$2:FI61)+1,0)</f>
        <v>0</v>
      </c>
      <c r="FJ62" s="48" t="str">
        <f ca="1">IFERROR(INDEX($FH$3:$FI$400,MATCH(ROWS($FJ$3:FJ62),$FI$3:$FI$400,0),1),"")</f>
        <v/>
      </c>
      <c r="FK62" s="48">
        <f ca="1">IF(ABS(SUMIFS(DARE,DEN_G,"="&amp;FJ62,DATA,"&lt;="&amp;FINE_AC,DATA,"&gt;="&amp;INIZIO_A_PC)-SUMIFS(AVERE,DEN_G,"="&amp;FJ62,DATA,"&lt;="&amp;FINE_AC,DATA,"&gt;="&amp;INIZIO_A_PC))&gt;0,MAX($FK$2:FK61)+1,0)</f>
        <v>0</v>
      </c>
      <c r="FL62" s="48" t="str">
        <f ca="1">IF(AND(ROW()-2&lt;&gt;1,ROW()-2&lt;=$FK$1),CONCATENATE(" - ",IFERROR(INDEX($FJ$3:$FK$400,MATCH(ROWS($FL$3:FL62),$FK$3:$FK$400,0),1),"")),IFERROR(INDEX($FJ$3:$FK$400,MATCH(ROWS($FL$3:FL62),$FK$3:$FK$400,0),1),""))</f>
        <v/>
      </c>
      <c r="FM62" s="48">
        <f ca="1">IF(OR(B62="IVA ns/credito",B62="IVA NS/DEBITO",B62="IVA C/ACCONTO",B62="IMPOSTE C/ACCONTO",B62="CREDITI PER RITENUTE SUBITE",B62="CREDITI D'IMPOSTA"),MAX($FM$2:FM61)+1,0)</f>
        <v>0</v>
      </c>
      <c r="FN62" s="48" t="str">
        <f t="shared" ca="1" si="59"/>
        <v/>
      </c>
      <c r="FO62" s="48" t="str">
        <f ca="1">IFERROR(INDEX($FM$3:$FN$400,MATCH(ROWS($FO$3:FO62),$FM$3:$FM$400,0),2),"")</f>
        <v/>
      </c>
      <c r="FP62" s="48">
        <f ca="1">IF(ABS(SUMIFS(DARE,DEN_G,"="&amp;FO62,DATA,"&lt;="&amp;FINE_AC,DATA,"&gt;="&amp;INIZIO_A_PC)-SUMIFS(AVERE,DEN_G,"="&amp;FO62,DATA,"&lt;="&amp;FINE_AC,DATA,"&gt;="&amp;INIZIO_A_PC))&gt;0,MAX($FP$2:FP61)+1,0)</f>
        <v>0</v>
      </c>
      <c r="FQ62" s="48" t="str">
        <f ca="1">IF(AND(ROW()-2&lt;&gt;1,ROW()-2&lt;=$FP$1),CONCATENATE(" - ",IFERROR(INDEX($FO$3:$FP$400,MATCH(ROWS($FQ$3:FQ62),$FP$3:$FP$400,0),1),"")),IFERROR(INDEX($FO$3:$FP$400,MATCH(ROWS($FQ$3:FQ62),$FP$3:$FP$400,0),1),""))</f>
        <v/>
      </c>
    </row>
    <row r="63" spans="1:173" x14ac:dyDescent="0.3">
      <c r="A63" s="48" t="str">
        <f ca="1">IFERROR(IF($A$1=2,INDEX($DH$3:$DN$401,MATCH(ROWS(A$3:A63),$DN$3:$DN$401,0),COLUMN()),IF($A$1=1,INDEX($DQ$3:$DW$401,MATCH(ROWS(A$3:A63),$DW$3:$DW$401,0),COLUMN()),"")),"")</f>
        <v>05.02</v>
      </c>
      <c r="B63" s="48" t="str">
        <f ca="1">IFERROR(IF($A$1=2,INDEX($DH$3:$DN$401,MATCH(ROWS(B$3:B63),$DN$3:$DN$401,0),COLUMN()),IF($A$1=1,INDEX($DQ$3:$DW$400,MATCH(ROWS(B$3:B63),$DW$3:$DW$401,0),COLUMN()),"")),"")</f>
        <v>FATTURE DA EMETTERE</v>
      </c>
      <c r="C63" s="48" t="str">
        <f ca="1">IFERROR(IF($A$1=2,INDEX($DH$3:$DN$401,MATCH(ROWS(C$3:C63),$DN$3:$DN$401,0),COLUMN()),IF($A$1=1,INDEX($DQ$3:$DW$401,MATCH(ROWS(C$3:C63),$DW$3:$DW$401,0),COLUMN()),"")),"")</f>
        <v>F</v>
      </c>
      <c r="D63" s="48" t="str">
        <f ca="1">IFERROR(IF($A$1=2,INDEX($DH$3:$DN$401,MATCH(ROWS(D$3:D63),$DN$3:$DN$401,0),COLUMN()),IF($A$1=1,INDEX($DQ$3:$DW$401,MATCH(ROWS(D$3:D63),$DW$3:$DW$401,0),COLUMN()),"")),"")</f>
        <v>D</v>
      </c>
      <c r="E63" s="48" t="str">
        <f ca="1">IFERROR(IF($A$1=2,INDEX($DH$3:$DN$401,MATCH(ROWS(E$3:E63),$DN$3:$DN$401,0),COLUMN()),IF($A$1=1,INDEX($DQ$3:$DW$401,MATCH(ROWS(E$3:E63),$DW$3:$DW$401,0),COLUMN()),"")),"")</f>
        <v>CREDITI</v>
      </c>
      <c r="F63" s="48" t="str">
        <f ca="1">IFERROR(IF($A$1=2,INDEX($DH$3:$DN$401,MATCH(ROWS(F$3:F63),$DN$3:$DN$401,0),COLUMN()),IF($A$1=1,INDEX($DQ$3:$DX$401,MATCH(ROWS(F$3:F63),$DW$3:$DW$401,0),COLUMN()),"")),"")</f>
        <v>SP DARE</v>
      </c>
      <c r="G63" s="48" t="str">
        <f t="shared" ca="1" si="23"/>
        <v>SP</v>
      </c>
      <c r="H63" s="48" t="str">
        <f ca="1">IFERROR(IF($A$1=2,INDEX($DH$3:$DO$400,MATCH(ROWS(H$3:H63),$DN$3:$DN$400,0),COLUMN()),IF($A$1=1,INDEX($DQ$3:$DX$400,MATCH(ROWS(H$3:H63),$DW$3:$DW$400,0),COLUMN()),"")),"")</f>
        <v>pac2</v>
      </c>
      <c r="I63" s="48" t="str">
        <f t="shared" ca="1" si="0"/>
        <v/>
      </c>
      <c r="J63" s="48" t="str">
        <f t="shared" ca="1" si="24"/>
        <v/>
      </c>
      <c r="K63" s="48">
        <f t="shared" ca="1" si="25"/>
        <v>0</v>
      </c>
      <c r="L63" s="48">
        <f t="shared" ca="1" si="26"/>
        <v>0</v>
      </c>
      <c r="M63" s="48">
        <f ca="1">IFERROR(IF(IF(MID($A63,3,3)=".00",MID(A63,1,2),"")&lt;&gt;"",MAX($M$2:M62)+1,0),"")</f>
        <v>0</v>
      </c>
      <c r="N63" s="48" t="str">
        <f t="shared" ca="1" si="27"/>
        <v/>
      </c>
      <c r="O63" s="48">
        <v>13</v>
      </c>
      <c r="P63" s="48" t="str">
        <f t="shared" ca="1" si="117"/>
        <v/>
      </c>
      <c r="Q63" s="48">
        <f ca="1">IF(M63&gt;=1,0,MAX($Q$2:Q62)+1)</f>
        <v>55</v>
      </c>
      <c r="R63" s="48">
        <f ca="1">IF(AND($U$2=2,S63&lt;&gt;""),MAX($R$2:R62)+1,0)</f>
        <v>0</v>
      </c>
      <c r="S63" s="48" t="str">
        <f t="shared" ca="1" si="81"/>
        <v/>
      </c>
      <c r="T63" s="48" t="str">
        <f ca="1">IFERROR(INDEX($R$3:$S$64,MATCH(ROWS($T$2:T62),$R$3:$R$64,0),2),"")</f>
        <v/>
      </c>
      <c r="U63" s="48" t="str">
        <f ca="1">IFERROR(INDEX(PDC,MATCH(ROWS(U$3:U63),$V$3:$V$400,0),2),"")</f>
        <v>CAMBIALI ALL'INCASSO</v>
      </c>
      <c r="V63" s="48">
        <f ca="1">IF(AND($T$1="VISUALIZZA TUTTI I CONTI",AA63&lt;&gt;""),MAX($V$2:V62)+1,IF(AND($U$2=2,AI63=$T$1),MAX($V$2:V62)+1,IF(AND($U$2=1,$T$1=AF63),MAX($V$2:V62)+1,0)))</f>
        <v>61</v>
      </c>
      <c r="Z63" s="246"/>
      <c r="AA63" s="48" t="str">
        <f t="shared" ca="1" si="29"/>
        <v>05.00</v>
      </c>
      <c r="AB63" s="48" t="str">
        <f ca="1">IFERROR(INDEX($A$3:$G$400,MATCH(ROWS(AB$3:AB63),$Q$3:$Q$400,0),1),"")</f>
        <v>05.08</v>
      </c>
      <c r="AC63" s="48" t="str">
        <f ca="1">IFERROR(INDEX($A$3:$G$400,MATCH(ROWS($AC$3:AC63),$Q$3:$Q$400,0),2),"")</f>
        <v>CAMBIALI ALL'INCASSO</v>
      </c>
      <c r="AD63" s="48" t="str">
        <f ca="1">IFERROR(INDEX($A$3:$G$400,MATCH(ROWS(AD$3:AD63),$Q$3:$Q$400,0),3),"")</f>
        <v>F</v>
      </c>
      <c r="AE63" s="48" t="str">
        <f ca="1">IFERROR(INDEX($A$3:$G$400,MATCH(ROWS(AE$3:AE63),$Q$3:$Q$400,0),4),"")</f>
        <v>D</v>
      </c>
      <c r="AF63" s="48" t="str">
        <f ca="1">IFERROR(INDEX($A$3:$G$400,MATCH(ROWS(AF$3:AF63),$Q$3:$Q$400,0),5),"")</f>
        <v>CREDITI</v>
      </c>
      <c r="AG63" s="48" t="str">
        <f ca="1">IFERROR(INDEX($A$3:$G$400,MATCH(ROWS(AG$3:AG63),$Q$3:$Q$400,0),6),"")</f>
        <v>SP DARE</v>
      </c>
      <c r="AH63" s="48" t="str">
        <f ca="1">IFERROR(INDEX($A$3:$G$400,MATCH(ROWS(AH$3:AH63),$Q$3:$Q$400,0),7),"")</f>
        <v>SP</v>
      </c>
      <c r="AI63" s="48" t="str">
        <f t="shared" ca="1" si="1"/>
        <v>CREDITI COMMERCIALI</v>
      </c>
      <c r="AJ63" s="48" t="str">
        <f ca="1">IFERROR(INDEX($A$3:$H$400,MATCH(ROWS(AJ$3:AJ63),$Q$3:$Q$400,0),8),"")</f>
        <v>pac2</v>
      </c>
      <c r="AK63" s="48">
        <f t="shared" ca="1" si="2"/>
        <v>0</v>
      </c>
      <c r="AL63" s="48">
        <f t="shared" ca="1" si="95"/>
        <v>0</v>
      </c>
      <c r="AM63" s="48">
        <f t="shared" ca="1" si="30"/>
        <v>0</v>
      </c>
      <c r="AN63" s="48" t="str">
        <f t="shared" ca="1" si="31"/>
        <v/>
      </c>
      <c r="AO63" s="48">
        <f t="shared" ca="1" si="32"/>
        <v>0</v>
      </c>
      <c r="AP63" s="48">
        <f t="shared" ca="1" si="32"/>
        <v>0</v>
      </c>
      <c r="AQ63" s="48" t="str">
        <f t="shared" ca="1" si="4"/>
        <v>CAMBIALI ALL'INCASSO</v>
      </c>
      <c r="AR63" s="48">
        <f t="shared" ca="1" si="5"/>
        <v>0</v>
      </c>
      <c r="AS63" s="48">
        <f t="shared" ca="1" si="6"/>
        <v>0</v>
      </c>
      <c r="AT63" s="48">
        <f t="shared" ca="1" si="33"/>
        <v>0</v>
      </c>
      <c r="AU63" s="48">
        <f t="shared" ca="1" si="34"/>
        <v>0</v>
      </c>
      <c r="AV63" s="48">
        <f ca="1">IF(OR(AT63&gt;0,AU63&gt;0),MAX($AV$2:AV62)+1,0)</f>
        <v>0</v>
      </c>
      <c r="AZ63" s="241" t="str">
        <f t="shared" ca="1" si="35"/>
        <v/>
      </c>
      <c r="BA63" s="48">
        <f t="shared" ca="1" si="96"/>
        <v>0</v>
      </c>
      <c r="BB63" s="48">
        <f ca="1">IFERROR(INDEX($AQ$3:$AV$220,MATCH(ROWS($BB$3:BB63),$AV$3:$AV$220,0),1),0)</f>
        <v>0</v>
      </c>
      <c r="BC63" s="48" t="str">
        <f t="shared" ca="1" si="36"/>
        <v/>
      </c>
      <c r="BD63" s="48">
        <f ca="1">IFERROR(INDEX($AQ$3:$AV$220,MATCH(ROWS($BB$3:BD63),$AV$3:$AV$220,0),4),0)</f>
        <v>0</v>
      </c>
      <c r="BE63" s="48">
        <f ca="1">IFERROR(INDEX($AQ$3:$AV$220,MATCH(ROWS($BB$3:BE63),$AV$3:$AV$220,0),5),0)</f>
        <v>0</v>
      </c>
      <c r="BG63" s="48">
        <f ca="1">IF(IF(AND(OR(INDEX(PDC,MATCH($AC63,DEN_PDC,0),6)="SP DARE",INDEX(PDC,MATCH($AC63,DEN_PDC,0),6)="SP DARE/AVERE"),SUMIFS(DARE,DEN_G,$AC63)&gt;=SUMIFS(AVERE,DEN_G,$AC63)),SUMIFS(DARE,DEN_G,$AC63)-SUMIFS(AVERE,DEN_G,$AC63),0)&gt;0,MAX($BG$2:BG62)+1,0)</f>
        <v>0</v>
      </c>
      <c r="BH63" s="48">
        <f ca="1">IF(IF(AND(OR(INDEX(PDC,MATCH($AC63,DEN_PDC,0),6)="SP AVERE",INDEX(PDC,MATCH($AC63,DEN_PDC,0),6)="SP DARE/AVERE"),SUMIFS(AVERE,DEN_G,$AC63)&gt;=SUMIFS(DARE,DEN_G,$AC63)),SUMIFS(AVERE,DEN_G,$AC63)-SUMIFS(DARE,DEN_G,$AC63),0)&gt;0,MAX(BH$2:BH62)+1,0)</f>
        <v>0</v>
      </c>
      <c r="BI63" s="48">
        <f ca="1">IF(IF(AND(OR(INDEX(PDC,MATCH($AC63,DEN_PDC,0),6)="SE DARE",INDEX(PDC,MATCH($AC63,DEN_PDC,0),6)="SE DARE/AVERE"),SUMIFS(DARE,DEN_G,$AC63)&gt;=SUMIFS(AVERE,DEN_G,$AC63)),SUMIFS(DARE,DEN_G,$AC63)-SUMIFS(AVERE,DEN_G,$AC63),0)&gt;0,MAX(BI$2:BI62)+1,0)</f>
        <v>0</v>
      </c>
      <c r="BJ63" s="48">
        <f ca="1">IF(IF(AND(OR(INDEX(PDC,MATCH($AC63,DEN_PDC,0),6)="SE AVERE",INDEX(PDC,MATCH($AC63,DEN_PDC,0),6)="SE DARE/AVERE"),SUMIFS(AVERE,DEN_G,$AC63)&gt;=SUMIFS(DARE,DEN_G,$AC63)),SUMIFS(AVERE,DEN_G,$AC63)-SUMIFS(DARE,DEN_G,$AC63),0)&gt;0,MAX(BJ$2:BJ62)+1,0)</f>
        <v>0</v>
      </c>
      <c r="BK63" s="48" t="str">
        <f ca="1">IF(AND(AND($DY$2=0,$DY$1=0),$I$1=2,ROW()&gt;$BG$1+2,ROW()&lt;=$BG$1+4),"………………..",IF(AND(OR($DY$2&gt;0,$DY$1&gt;0),$I$1=2,ROW()&gt;$BG$1+2,ROW()&lt;=$BG$1+4),"………………..",IFERROR(INDEX($AC$3:$AC$398,MATCH(ROWS(BK$3:BK63),BG$3:BG$398,0),1),"")))</f>
        <v/>
      </c>
      <c r="BL63" s="48">
        <f t="shared" ca="1" si="69"/>
        <v>0</v>
      </c>
      <c r="BM63" s="48" t="str">
        <f ca="1">IF(AND(OR($DY$2=0,$DY$1=0),$I$1=2,ROW()&gt;$BH$1+2,ROW()&lt;=$BH$1+4),"………………..",IF(AND(OR($DY$2&gt;0,$DY$1&gt;0),$I$1=2,ROW()&gt;$BH$1+2,ROW()&lt;=$BH$1+4),"………………..",IFERROR(INDEX($AC$3:$AC$400,MATCH(ROWS(BM$3:BM63),BH$3:BH$400,0),1),"")))</f>
        <v/>
      </c>
      <c r="BN63" s="48">
        <f t="shared" ca="1" si="9"/>
        <v>0</v>
      </c>
      <c r="BO63" s="48" t="str">
        <f ca="1">IF(AND(OR($DY$2=0,$DY$1=0),$I$1=2,ROW()&gt;$BI$1+2,ROW()&lt;=$BI$1+4),"………………..",IF(AND(OR($DY$2&gt;0,$DY$1&gt;0),$I$1=2,ROW()&gt;$BI$1+2,ROW()&lt;=$BI$1+4),"………………..",IFERROR(INDEX($AC$3:$AC$400,MATCH(ROWS(BO$3:BO63),BI$3:BI$400,0),1),"")))</f>
        <v/>
      </c>
      <c r="BP63" s="48">
        <f t="shared" ca="1" si="10"/>
        <v>0</v>
      </c>
      <c r="BQ63" s="48" t="str">
        <f ca="1">IF(AND(OR($DY$2=0,$DY$1=0),$I$1=2,ROW()&gt;$BJ$1+2,ROW()&lt;=$BJ$1+4),"………………..",IF(AND(OR($DY$2&gt;0,$DY$1&gt;0),$I$1=2,ROW()&gt;$BJ$1+2,ROW()&lt;=$BJ$1+4),"………………..",IFERROR(INDEX($AC$3:$AC$400,MATCH(ROWS(BQ$3:BQ63),BJ$3:BJ$400,0),1),"")))</f>
        <v/>
      </c>
      <c r="BR63" s="48">
        <f t="shared" ca="1" si="11"/>
        <v>0</v>
      </c>
      <c r="BS63" s="48">
        <f ca="1">IF(IF(AND(OR(INDEX(PDC,MATCH($AC63,DEN_PDC,0),4)="D",INDEX(PDC,MATCH($AC63,DEN_PDC,0),4)="D/A"),SUMIFS(DARE,DEN_G,$AC63)&gt;=SUMIFS(AVERE,DEN_G,$AC63)),SUMIFS(DARE,DEN_G,$AC63),IF(AND(OR(INDEX(PDC,MATCH($AC63,DEN_PDC,0),4)="A",INDEX(PDC,MATCH($AC63,DEN_PDC,0),4)="D/A"),SUMIFS(AVERE,DEN_G,$AC63)&gt;=SUMIFS(DARE,DEN_G,$AC63)),SUMIFS(AVERE,DEN_G,$AC63),))&gt;0,MAX($BS$2:BS62)+1,0)</f>
        <v>0</v>
      </c>
      <c r="BT63" s="48" t="str">
        <f ca="1">IF($CO$1=0,"",IF(AND($I$1=2,ROW()&gt;$BR$1,ROW()&lt;=$BS$1)," …………….",IF(AND($E$1=1,$BX$1=1,$I$1=2,ROW()=$BQ$1),"TOTALI",IFERROR(INDEX(PDC,MATCH(ROWS(BT$3:BT63),BS$3:BS460,0),2),""))))</f>
        <v/>
      </c>
      <c r="BU63" s="48">
        <f t="shared" ca="1" si="12"/>
        <v>0</v>
      </c>
      <c r="BV63" s="48">
        <f t="shared" ca="1" si="13"/>
        <v>0</v>
      </c>
      <c r="BW63" s="48">
        <f t="shared" ca="1" si="14"/>
        <v>0</v>
      </c>
      <c r="BX63" s="48">
        <f t="shared" ca="1" si="15"/>
        <v>0</v>
      </c>
      <c r="BY63" s="48">
        <f ca="1">IF(OR(BW63&gt;0,BX63&gt;0),MAX($BY$2:BY62)+1,0)</f>
        <v>0</v>
      </c>
      <c r="BZ63" s="48" t="str">
        <f ca="1">IFERROR(INDEX($BT$3:$BY$400,MATCH(ROWS(BZ$3:BZ63),$BY$3:$BY$400,0),1),"")</f>
        <v/>
      </c>
      <c r="CA63" s="48" t="str">
        <f ca="1">IFERROR(INDEX($BT$3:$BY$400,MATCH(ROWS(CA$3:CA63),$BY$3:$BY$400,0),4),"")</f>
        <v/>
      </c>
      <c r="CB63" s="48" t="str">
        <f ca="1">IFERROR(INDEX($BT$3:$BY$400,MATCH(ROWS(CB$3:CB63),$BY$3:$BY$400,0),5),"")</f>
        <v/>
      </c>
      <c r="CC63" s="48" t="str">
        <f t="shared" ca="1" si="16"/>
        <v/>
      </c>
      <c r="CD63" s="48">
        <f ca="1">IF(AND($BF$9=1,CE63&lt;&gt;0),MAX($CD$2:CD62)+1,0)</f>
        <v>0</v>
      </c>
      <c r="CE63" s="48">
        <f ca="1">IF(ROUND(SUMIFS(COPIA!$CA$3:$CA$400,COPIA!$CC$3:$CC$400,CF63)-SUMIFS(COPIA!$CB$3:$CB$400,COPIA!$CC$3:$CC$400,CF63),0)&lt;0,0,ROUND(SUMIFS(COPIA!$CA$3:$CA$400,COPIA!$CC$3:$CC$400,CF63)-SUMIFS(COPIA!$CB$3:$CB$400,COPIA!$CC$3:$CC$400,CF63),0))</f>
        <v>0</v>
      </c>
      <c r="CF63" s="48" t="s">
        <v>636</v>
      </c>
      <c r="CG63" s="242" t="s">
        <v>526</v>
      </c>
      <c r="CH63" s="242">
        <f t="shared" ca="1" si="112"/>
        <v>0</v>
      </c>
      <c r="CI63" s="242"/>
      <c r="CJ63" s="242">
        <f ca="1">SUMIFS(COPIA!$CA$3:$CA$400,COPIA!$CC$3:$CC$400,CF63)-SUMIFS(COPIA!$CB$3:$CB$400,COPIA!$CC$3:$CC$400,CF63)</f>
        <v>0</v>
      </c>
      <c r="CK63" s="48">
        <f ca="1">IF($CF$2=FALSE,0,IF(AND($BF$9=1,CJ63&lt;&gt;0),MAX($CK$21:CK62)+1,0))</f>
        <v>0</v>
      </c>
      <c r="CL63" s="48" t="s">
        <v>693</v>
      </c>
      <c r="CM63" s="242" t="str">
        <f t="shared" ca="1" si="37"/>
        <v/>
      </c>
      <c r="CN63" s="243">
        <f t="shared" ca="1" si="38"/>
        <v>0</v>
      </c>
      <c r="CO63" s="48" t="str">
        <f t="shared" ca="1" si="39"/>
        <v/>
      </c>
      <c r="CQ63" s="242"/>
      <c r="CR63" s="242">
        <f ca="1">CR53</f>
        <v>2029</v>
      </c>
      <c r="CS63" s="48" t="s">
        <v>817</v>
      </c>
      <c r="CU63" s="48">
        <f ca="1">IF(SUMIFS(AVERE,DEN_G,AC63,AVERE,"&gt;"&amp;0)+SUMIFS(DARE,DEN_G,AC63,DARE,"&gt;"&amp;0)&gt;0,MAX($CU$2:CU62)+1,0)</f>
        <v>0</v>
      </c>
      <c r="CV63" s="48" t="str">
        <f ca="1">IF(IFERROR(INDEX(PDC,MATCH(ROWS($CV$3:CV63),$CU$3:$CU$400,0),2),"")="CONTO DI RISULTATO ECONOMICO","",IFERROR(INDEX(PDC,MATCH(ROWS($CV$3:CV63),$CU$3:$CU$400,0),2),""))</f>
        <v/>
      </c>
      <c r="CW63" s="48">
        <f ca="1">IFERROR(IF(CV63&lt;&gt;"",MAX($CW$2:CW62)+1,0),0)</f>
        <v>0</v>
      </c>
      <c r="CX63" s="48">
        <f t="shared" ca="1" si="121"/>
        <v>5</v>
      </c>
      <c r="CY63" s="48" t="str">
        <f t="shared" ca="1" si="119"/>
        <v>MASTRO</v>
      </c>
      <c r="CZ63" s="48" t="e">
        <f t="shared" ca="1" si="123"/>
        <v>#N/A</v>
      </c>
      <c r="DA63" s="48" t="str">
        <f t="shared" ca="1" si="128"/>
        <v/>
      </c>
      <c r="DB63" s="48" t="str">
        <f t="shared" ca="1" si="76"/>
        <v/>
      </c>
      <c r="DC63" s="48" t="str">
        <f t="shared" ca="1" si="124"/>
        <v/>
      </c>
      <c r="DD63" s="48" t="str">
        <f t="shared" ca="1" si="125"/>
        <v/>
      </c>
      <c r="DE63" s="48" t="str">
        <f t="shared" ca="1" si="126"/>
        <v/>
      </c>
      <c r="DF63" s="48">
        <f ca="1">IF(AND(CX63=$DF$1,CX63&lt;&gt;""),0,IF(AND(DB63&lt;&gt;"",OR(DB62&lt;&gt;"",DB64&lt;&gt;"")),MAX($DF$2:DF62)+1,0))</f>
        <v>0</v>
      </c>
      <c r="DH63" s="244" t="s">
        <v>351</v>
      </c>
      <c r="DI63" s="48" t="s">
        <v>352</v>
      </c>
      <c r="DJ63" s="48" t="s">
        <v>312</v>
      </c>
      <c r="DK63" s="48" t="s">
        <v>275</v>
      </c>
      <c r="DL63" s="48" t="s">
        <v>6</v>
      </c>
      <c r="DM63" s="48" t="s">
        <v>270</v>
      </c>
      <c r="DN63" s="48">
        <f ca="1">IF(DI63&lt;&gt;"",MAX($DN$2:DN62)+1,0)</f>
        <v>46</v>
      </c>
      <c r="DO63" s="48" t="str">
        <f ca="1">IF($BF$9=1,"pab32a","pab3")</f>
        <v>pab3</v>
      </c>
      <c r="DQ63" s="227" t="s">
        <v>39</v>
      </c>
      <c r="DR63" s="48" t="s">
        <v>472</v>
      </c>
      <c r="DS63" s="48" t="s">
        <v>311</v>
      </c>
      <c r="DT63" s="48" t="s">
        <v>298</v>
      </c>
      <c r="DU63" s="48" t="s">
        <v>318</v>
      </c>
      <c r="DV63" s="48" t="s">
        <v>299</v>
      </c>
      <c r="DW63" s="48">
        <f ca="1">IF(DR63&lt;&gt;"",MAX($DW$2:DW62)+1,0)</f>
        <v>29</v>
      </c>
      <c r="DX63" s="48" t="str">
        <f t="shared" ca="1" si="129"/>
        <v>pab2</v>
      </c>
      <c r="DY63" s="48" t="str">
        <f t="shared" ca="1" si="19"/>
        <v/>
      </c>
      <c r="DZ63" s="48" t="str">
        <f t="shared" ca="1" si="40"/>
        <v/>
      </c>
      <c r="EA63" s="48" t="str">
        <f t="shared" ca="1" si="41"/>
        <v/>
      </c>
      <c r="EB63" s="48">
        <f t="shared" ca="1" si="42"/>
        <v>0</v>
      </c>
      <c r="EC63" s="48">
        <f t="shared" ca="1" si="43"/>
        <v>0</v>
      </c>
      <c r="ED63" s="48" t="str">
        <f t="shared" ca="1" si="44"/>
        <v/>
      </c>
      <c r="EE63" s="48">
        <f t="shared" ca="1" si="45"/>
        <v>0</v>
      </c>
      <c r="EF63" s="48" t="str">
        <f t="shared" ca="1" si="46"/>
        <v/>
      </c>
      <c r="EG63" s="48">
        <f t="shared" ca="1" si="47"/>
        <v>0</v>
      </c>
      <c r="EH63" s="48" t="str">
        <f t="shared" ca="1" si="48"/>
        <v/>
      </c>
      <c r="EI63" s="48">
        <f t="shared" ca="1" si="49"/>
        <v>0</v>
      </c>
      <c r="EJ63" s="48" t="str">
        <f t="shared" ca="1" si="50"/>
        <v/>
      </c>
      <c r="EK63" s="48">
        <f t="shared" ca="1" si="51"/>
        <v>0</v>
      </c>
      <c r="EL63" s="48">
        <f t="shared" ca="1" si="20"/>
        <v>0</v>
      </c>
      <c r="EM63" s="48">
        <f ca="1">IF(EL63&gt;=0,0,MAX($EM$2:EM62)+1)</f>
        <v>0</v>
      </c>
      <c r="EN63" s="48" t="str">
        <f t="shared" ca="1" si="21"/>
        <v/>
      </c>
      <c r="EO63" s="48" t="str">
        <f ca="1">IFERROR(INDEX($EM$3:$EN$400,MATCH(ROWS($EO$3:EO63),$EM$3:$EM$400,0),2),"")</f>
        <v/>
      </c>
      <c r="EP63" s="48">
        <f>ROW()</f>
        <v>63</v>
      </c>
      <c r="EQ63" s="48">
        <f t="shared" ca="1" si="22"/>
        <v>0</v>
      </c>
      <c r="ER63" s="48">
        <f ca="1">IF(ISNA(EQ63)=TRUE,MAX($ER$2:ER62)+1,0)</f>
        <v>0</v>
      </c>
      <c r="ES63" s="48" t="str">
        <f t="shared" ca="1" si="52"/>
        <v/>
      </c>
      <c r="ET63" s="48" t="str">
        <f ca="1">IFERROR(INDEX($ER$3:$ES$400,MATCH(ROWS($ET$3:ET63),$ER$3:$ER$400,0),2),"")</f>
        <v/>
      </c>
      <c r="EV63" s="48">
        <f ca="1">IFERROR(INDEX(LIBRO_GIORNALE!$O$11:$P$408,MATCH(ROWS($EV$2:EV62),LIBRO_GIORNALE!$P$11:$P$408,0),1),0)</f>
        <v>0</v>
      </c>
      <c r="EW63" s="48" t="str">
        <f t="shared" ca="1" si="53"/>
        <v>0</v>
      </c>
      <c r="EX63" s="48">
        <f t="shared" ca="1" si="54"/>
        <v>0</v>
      </c>
      <c r="EY63" s="48">
        <f ca="1">IF(EX63&gt;0,MAX($EY$2:EY62)+1,0)</f>
        <v>0</v>
      </c>
      <c r="EZ63" s="48">
        <f ca="1">IFERROR(INDEX($EX$3:$EX$400,MATCH(ROWS($EZ$3:EZ63),$EY$3:$EY$400,0),1),0)</f>
        <v>0</v>
      </c>
      <c r="FA63" s="48">
        <f ca="1">IF(EZ63&gt;0,0,MAX($FA$2:FA62)+1)</f>
        <v>61</v>
      </c>
      <c r="FB63" s="48">
        <f t="shared" ca="1" si="55"/>
        <v>0</v>
      </c>
      <c r="FC63" s="48">
        <f t="shared" ca="1" si="56"/>
        <v>61</v>
      </c>
      <c r="FD63" s="48">
        <f t="shared" ca="1" si="57"/>
        <v>61</v>
      </c>
      <c r="FE63" s="48">
        <f ca="1">IF(FD63=0,0,MAX($FE$2:FE62)+1)</f>
        <v>61</v>
      </c>
      <c r="FF63" s="48">
        <f ca="1">IFERROR(INDEX($FD$3:$FE$400,MATCH(ROWS($FF$3:FF63),$FE$3:$FE$400,0),1),"")</f>
        <v>61</v>
      </c>
      <c r="FH63" s="48">
        <f t="shared" ca="1" si="58"/>
        <v>0</v>
      </c>
      <c r="FI63" s="48">
        <f ca="1">IF(FH63&lt;&gt;0,MAX($FI$2:FI62)+1,0)</f>
        <v>0</v>
      </c>
      <c r="FJ63" s="48" t="str">
        <f ca="1">IFERROR(INDEX($FH$3:$FI$400,MATCH(ROWS($FJ$3:FJ63),$FI$3:$FI$400,0),1),"")</f>
        <v/>
      </c>
      <c r="FK63" s="48">
        <f ca="1">IF(ABS(SUMIFS(DARE,DEN_G,"="&amp;FJ63,DATA,"&lt;="&amp;FINE_AC,DATA,"&gt;="&amp;INIZIO_A_PC)-SUMIFS(AVERE,DEN_G,"="&amp;FJ63,DATA,"&lt;="&amp;FINE_AC,DATA,"&gt;="&amp;INIZIO_A_PC))&gt;0,MAX($FK$2:FK62)+1,0)</f>
        <v>0</v>
      </c>
      <c r="FL63" s="48" t="str">
        <f ca="1">IF(AND(ROW()-2&lt;&gt;1,ROW()-2&lt;=$FK$1),CONCATENATE(" - ",IFERROR(INDEX($FJ$3:$FK$400,MATCH(ROWS($FL$3:FL63),$FK$3:$FK$400,0),1),"")),IFERROR(INDEX($FJ$3:$FK$400,MATCH(ROWS($FL$3:FL63),$FK$3:$FK$400,0),1),""))</f>
        <v/>
      </c>
      <c r="FM63" s="48">
        <f ca="1">IF(OR(B63="IVA ns/credito",B63="IVA NS/DEBITO",B63="IVA C/ACCONTO",B63="IMPOSTE C/ACCONTO",B63="CREDITI PER RITENUTE SUBITE",B63="CREDITI D'IMPOSTA"),MAX($FM$2:FM62)+1,0)</f>
        <v>0</v>
      </c>
      <c r="FN63" s="48" t="str">
        <f t="shared" ca="1" si="59"/>
        <v/>
      </c>
      <c r="FO63" s="48" t="str">
        <f ca="1">IFERROR(INDEX($FM$3:$FN$400,MATCH(ROWS($FO$3:FO63),$FM$3:$FM$400,0),2),"")</f>
        <v/>
      </c>
      <c r="FP63" s="48">
        <f ca="1">IF(ABS(SUMIFS(DARE,DEN_G,"="&amp;FO63,DATA,"&lt;="&amp;FINE_AC,DATA,"&gt;="&amp;INIZIO_A_PC)-SUMIFS(AVERE,DEN_G,"="&amp;FO63,DATA,"&lt;="&amp;FINE_AC,DATA,"&gt;="&amp;INIZIO_A_PC))&gt;0,MAX($FP$2:FP62)+1,0)</f>
        <v>0</v>
      </c>
      <c r="FQ63" s="48" t="str">
        <f ca="1">IF(AND(ROW()-2&lt;&gt;1,ROW()-2&lt;=$FP$1),CONCATENATE(" - ",IFERROR(INDEX($FO$3:$FP$400,MATCH(ROWS($FQ$3:FQ63),$FP$3:$FP$400,0),1),"")),IFERROR(INDEX($FO$3:$FP$400,MATCH(ROWS($FQ$3:FQ63),$FP$3:$FP$400,0),1),""))</f>
        <v/>
      </c>
    </row>
    <row r="64" spans="1:173" x14ac:dyDescent="0.3">
      <c r="A64" s="48" t="str">
        <f ca="1">IFERROR(IF($A$1=2,INDEX($DH$3:$DN$401,MATCH(ROWS(A$3:A64),$DN$3:$DN$401,0),COLUMN()),IF($A$1=1,INDEX($DQ$3:$DW$401,MATCH(ROWS(A$3:A64),$DW$3:$DW$401,0),COLUMN()),"")),"")</f>
        <v>05.03</v>
      </c>
      <c r="B64" s="48" t="str">
        <f ca="1">IFERROR(IF($A$1=2,INDEX($DH$3:$DN$401,MATCH(ROWS(B$3:B64),$DN$3:$DN$401,0),COLUMN()),IF($A$1=1,INDEX($DQ$3:$DW$400,MATCH(ROWS(B$3:B64),$DW$3:$DW$401,0),COLUMN()),"")),"")</f>
        <v>CREDITI COMMERCIALI DIVERSI</v>
      </c>
      <c r="C64" s="48" t="str">
        <f ca="1">IFERROR(IF($A$1=2,INDEX($DH$3:$DN$401,MATCH(ROWS(C$3:C64),$DN$3:$DN$401,0),COLUMN()),IF($A$1=1,INDEX($DQ$3:$DW$401,MATCH(ROWS(C$3:C64),$DW$3:$DW$401,0),COLUMN()),"")),"")</f>
        <v>F</v>
      </c>
      <c r="D64" s="48" t="str">
        <f ca="1">IFERROR(IF($A$1=2,INDEX($DH$3:$DN$401,MATCH(ROWS(D$3:D64),$DN$3:$DN$401,0),COLUMN()),IF($A$1=1,INDEX($DQ$3:$DW$401,MATCH(ROWS(D$3:D64),$DW$3:$DW$401,0),COLUMN()),"")),"")</f>
        <v>D</v>
      </c>
      <c r="E64" s="48" t="str">
        <f ca="1">IFERROR(IF($A$1=2,INDEX($DH$3:$DN$401,MATCH(ROWS(E$3:E64),$DN$3:$DN$401,0),COLUMN()),IF($A$1=1,INDEX($DQ$3:$DW$401,MATCH(ROWS(E$3:E64),$DW$3:$DW$401,0),COLUMN()),"")),"")</f>
        <v>CREDITI</v>
      </c>
      <c r="F64" s="48" t="str">
        <f ca="1">IFERROR(IF($A$1=2,INDEX($DH$3:$DN$401,MATCH(ROWS(F$3:F64),$DN$3:$DN$401,0),COLUMN()),IF($A$1=1,INDEX($DQ$3:$DX$401,MATCH(ROWS(F$3:F64),$DW$3:$DW$401,0),COLUMN()),"")),"")</f>
        <v>SP DARE</v>
      </c>
      <c r="G64" s="48" t="str">
        <f t="shared" ca="1" si="23"/>
        <v>SP</v>
      </c>
      <c r="H64" s="48" t="str">
        <f ca="1">IFERROR(IF($A$1=2,INDEX($DH$3:$DO$400,MATCH(ROWS(H$3:H64),$DN$3:$DN$400,0),COLUMN()),IF($A$1=1,INDEX($DQ$3:$DX$400,MATCH(ROWS(H$3:H64),$DW$3:$DW$400,0),COLUMN()),"")),"")</f>
        <v>pac2</v>
      </c>
      <c r="I64" s="48" t="str">
        <f t="shared" ca="1" si="0"/>
        <v/>
      </c>
      <c r="J64" s="48" t="str">
        <f t="shared" ca="1" si="24"/>
        <v/>
      </c>
      <c r="K64" s="48">
        <f t="shared" ca="1" si="25"/>
        <v>0</v>
      </c>
      <c r="L64" s="48">
        <f t="shared" ca="1" si="26"/>
        <v>0</v>
      </c>
      <c r="M64" s="48">
        <f ca="1">IFERROR(IF(IF(MID($A64,3,3)=".00",MID(A64,1,2),"")&lt;&gt;"",MAX($M$2:M63)+1,0),"")</f>
        <v>0</v>
      </c>
      <c r="N64" s="48" t="str">
        <f t="shared" ca="1" si="27"/>
        <v/>
      </c>
      <c r="O64" s="48">
        <v>14</v>
      </c>
      <c r="P64" s="48" t="str">
        <f t="shared" ca="1" si="117"/>
        <v/>
      </c>
      <c r="Q64" s="48">
        <f ca="1">IF(M64&gt;=1,0,MAX($Q$2:Q63)+1)</f>
        <v>56</v>
      </c>
      <c r="R64" s="48">
        <f ca="1">IF(AND($U$2=2,S64&lt;&gt;""),MAX($R$2:R63)+1,0)</f>
        <v>0</v>
      </c>
      <c r="S64" s="48" t="str">
        <f t="shared" ca="1" si="81"/>
        <v/>
      </c>
      <c r="T64" s="48" t="str">
        <f ca="1">IFERROR(INDEX($R$3:$S$64,MATCH(ROWS($T$2:T63),$R$3:$R$64,0),2),"")</f>
        <v/>
      </c>
      <c r="U64" s="48" t="str">
        <f ca="1">IFERROR(INDEX(PDC,MATCH(ROWS(U$3:U64),$V$3:$V$400,0),2),"")</f>
        <v>CREDITI DA LIQUIDARE</v>
      </c>
      <c r="V64" s="48">
        <f ca="1">IF(AND($T$1="VISUALIZZA TUTTI I CONTI",AA64&lt;&gt;""),MAX($V$2:V63)+1,IF(AND($U$2=2,AI64=$T$1),MAX($V$2:V63)+1,IF(AND($U$2=1,$T$1=AF64),MAX($V$2:V63)+1,0)))</f>
        <v>62</v>
      </c>
      <c r="Z64" s="246"/>
      <c r="AA64" s="48" t="str">
        <f t="shared" ca="1" si="29"/>
        <v>05.00</v>
      </c>
      <c r="AB64" s="48" t="str">
        <f ca="1">IFERROR(INDEX($A$3:$G$400,MATCH(ROWS(AB$3:AB64),$Q$3:$Q$400,0),1),"")</f>
        <v>05.09</v>
      </c>
      <c r="AC64" s="48" t="str">
        <f ca="1">IFERROR(INDEX($A$3:$G$400,MATCH(ROWS($AC$3:AC64),$Q$3:$Q$400,0),2),"")</f>
        <v>CREDITI DA LIQUIDARE</v>
      </c>
      <c r="AD64" s="48" t="str">
        <f ca="1">IFERROR(INDEX($A$3:$G$400,MATCH(ROWS(AD$3:AD64),$Q$3:$Q$400,0),3),"")</f>
        <v>F</v>
      </c>
      <c r="AE64" s="48" t="str">
        <f ca="1">IFERROR(INDEX($A$3:$G$400,MATCH(ROWS(AE$3:AE64),$Q$3:$Q$400,0),4),"")</f>
        <v>D</v>
      </c>
      <c r="AF64" s="48" t="str">
        <f ca="1">IFERROR(INDEX($A$3:$G$400,MATCH(ROWS(AF$3:AF64),$Q$3:$Q$400,0),5),"")</f>
        <v>CREDITI</v>
      </c>
      <c r="AG64" s="48" t="str">
        <f ca="1">IFERROR(INDEX($A$3:$G$400,MATCH(ROWS(AG$3:AG64),$Q$3:$Q$400,0),6),"")</f>
        <v>SP DARE</v>
      </c>
      <c r="AH64" s="48" t="str">
        <f ca="1">IFERROR(INDEX($A$3:$G$400,MATCH(ROWS(AH$3:AH64),$Q$3:$Q$400,0),7),"")</f>
        <v>SP</v>
      </c>
      <c r="AI64" s="48" t="str">
        <f t="shared" ca="1" si="1"/>
        <v>CREDITI COMMERCIALI</v>
      </c>
      <c r="AJ64" s="48" t="str">
        <f ca="1">IFERROR(INDEX($A$3:$H$400,MATCH(ROWS(AJ$3:AJ64),$Q$3:$Q$400,0),8),"")</f>
        <v>pac2</v>
      </c>
      <c r="AK64" s="48">
        <f t="shared" ca="1" si="2"/>
        <v>0</v>
      </c>
      <c r="AL64" s="48">
        <f t="shared" ca="1" si="95"/>
        <v>0</v>
      </c>
      <c r="AM64" s="48">
        <f t="shared" ca="1" si="30"/>
        <v>0</v>
      </c>
      <c r="AN64" s="48" t="str">
        <f t="shared" ca="1" si="31"/>
        <v/>
      </c>
      <c r="AO64" s="48">
        <f t="shared" ca="1" si="32"/>
        <v>0</v>
      </c>
      <c r="AP64" s="48">
        <f t="shared" ca="1" si="32"/>
        <v>0</v>
      </c>
      <c r="AQ64" s="48" t="str">
        <f t="shared" ca="1" si="4"/>
        <v>CREDITI DA LIQUIDARE</v>
      </c>
      <c r="AR64" s="48">
        <f t="shared" ca="1" si="5"/>
        <v>0</v>
      </c>
      <c r="AS64" s="48">
        <f t="shared" ca="1" si="6"/>
        <v>0</v>
      </c>
      <c r="AT64" s="48">
        <f t="shared" ca="1" si="33"/>
        <v>0</v>
      </c>
      <c r="AU64" s="48">
        <f t="shared" ca="1" si="34"/>
        <v>0</v>
      </c>
      <c r="AV64" s="48">
        <f ca="1">IF(OR(AT64&gt;0,AU64&gt;0),MAX($AV$2:AV63)+1,0)</f>
        <v>0</v>
      </c>
      <c r="AZ64" s="241" t="str">
        <f t="shared" ca="1" si="35"/>
        <v/>
      </c>
      <c r="BA64" s="48">
        <f t="shared" ca="1" si="96"/>
        <v>0</v>
      </c>
      <c r="BB64" s="48">
        <f ca="1">IFERROR(INDEX($AQ$3:$AV$220,MATCH(ROWS($BB$3:BB64),$AV$3:$AV$220,0),1),0)</f>
        <v>0</v>
      </c>
      <c r="BC64" s="48" t="str">
        <f t="shared" ca="1" si="36"/>
        <v/>
      </c>
      <c r="BD64" s="48">
        <f ca="1">IFERROR(INDEX($AQ$3:$AV$220,MATCH(ROWS($BB$3:BD64),$AV$3:$AV$220,0),4),0)</f>
        <v>0</v>
      </c>
      <c r="BE64" s="48">
        <f ca="1">IFERROR(INDEX($AQ$3:$AV$220,MATCH(ROWS($BB$3:BE64),$AV$3:$AV$220,0),5),0)</f>
        <v>0</v>
      </c>
      <c r="BG64" s="48">
        <f ca="1">IF(IF(AND(OR(INDEX(PDC,MATCH($AC64,DEN_PDC,0),6)="SP DARE",INDEX(PDC,MATCH($AC64,DEN_PDC,0),6)="SP DARE/AVERE"),SUMIFS(DARE,DEN_G,$AC64)&gt;=SUMIFS(AVERE,DEN_G,$AC64)),SUMIFS(DARE,DEN_G,$AC64)-SUMIFS(AVERE,DEN_G,$AC64),0)&gt;0,MAX($BG$2:BG63)+1,0)</f>
        <v>0</v>
      </c>
      <c r="BH64" s="48">
        <f ca="1">IF(IF(AND(OR(INDEX(PDC,MATCH($AC64,DEN_PDC,0),6)="SP AVERE",INDEX(PDC,MATCH($AC64,DEN_PDC,0),6)="SP DARE/AVERE"),SUMIFS(AVERE,DEN_G,$AC64)&gt;=SUMIFS(DARE,DEN_G,$AC64)),SUMIFS(AVERE,DEN_G,$AC64)-SUMIFS(DARE,DEN_G,$AC64),0)&gt;0,MAX(BH$2:BH63)+1,0)</f>
        <v>0</v>
      </c>
      <c r="BI64" s="48">
        <f ca="1">IF(IF(AND(OR(INDEX(PDC,MATCH($AC64,DEN_PDC,0),6)="SE DARE",INDEX(PDC,MATCH($AC64,DEN_PDC,0),6)="SE DARE/AVERE"),SUMIFS(DARE,DEN_G,$AC64)&gt;=SUMIFS(AVERE,DEN_G,$AC64)),SUMIFS(DARE,DEN_G,$AC64)-SUMIFS(AVERE,DEN_G,$AC64),0)&gt;0,MAX(BI$2:BI63)+1,0)</f>
        <v>0</v>
      </c>
      <c r="BJ64" s="48">
        <f ca="1">IF(IF(AND(OR(INDEX(PDC,MATCH($AC64,DEN_PDC,0),6)="SE AVERE",INDEX(PDC,MATCH($AC64,DEN_PDC,0),6)="SE DARE/AVERE"),SUMIFS(AVERE,DEN_G,$AC64)&gt;=SUMIFS(DARE,DEN_G,$AC64)),SUMIFS(AVERE,DEN_G,$AC64)-SUMIFS(DARE,DEN_G,$AC64),0)&gt;0,MAX(BJ$2:BJ63)+1,0)</f>
        <v>0</v>
      </c>
      <c r="BK64" s="48" t="str">
        <f ca="1">IF(AND(AND($DY$2=0,$DY$1=0),$I$1=2,ROW()&gt;$BG$1+2,ROW()&lt;=$BG$1+4),"………………..",IF(AND(OR($DY$2&gt;0,$DY$1&gt;0),$I$1=2,ROW()&gt;$BG$1+2,ROW()&lt;=$BG$1+4),"………………..",IFERROR(INDEX($AC$3:$AC$398,MATCH(ROWS(BK$3:BK64),BG$3:BG$398,0),1),"")))</f>
        <v/>
      </c>
      <c r="BL64" s="48">
        <f t="shared" ca="1" si="69"/>
        <v>0</v>
      </c>
      <c r="BM64" s="48" t="str">
        <f ca="1">IF(AND(OR($DY$2=0,$DY$1=0),$I$1=2,ROW()&gt;$BH$1+2,ROW()&lt;=$BH$1+4),"………………..",IF(AND(OR($DY$2&gt;0,$DY$1&gt;0),$I$1=2,ROW()&gt;$BH$1+2,ROW()&lt;=$BH$1+4),"………………..",IFERROR(INDEX($AC$3:$AC$400,MATCH(ROWS(BM$3:BM64),BH$3:BH$400,0),1),"")))</f>
        <v/>
      </c>
      <c r="BN64" s="48">
        <f t="shared" ca="1" si="9"/>
        <v>0</v>
      </c>
      <c r="BO64" s="48" t="str">
        <f ca="1">IF(AND(OR($DY$2=0,$DY$1=0),$I$1=2,ROW()&gt;$BI$1+2,ROW()&lt;=$BI$1+4),"………………..",IF(AND(OR($DY$2&gt;0,$DY$1&gt;0),$I$1=2,ROW()&gt;$BI$1+2,ROW()&lt;=$BI$1+4),"………………..",IFERROR(INDEX($AC$3:$AC$400,MATCH(ROWS(BO$3:BO64),BI$3:BI$400,0),1),"")))</f>
        <v/>
      </c>
      <c r="BP64" s="48">
        <f t="shared" ca="1" si="10"/>
        <v>0</v>
      </c>
      <c r="BQ64" s="48" t="str">
        <f ca="1">IF(AND(OR($DY$2=0,$DY$1=0),$I$1=2,ROW()&gt;$BJ$1+2,ROW()&lt;=$BJ$1+4),"………………..",IF(AND(OR($DY$2&gt;0,$DY$1&gt;0),$I$1=2,ROW()&gt;$BJ$1+2,ROW()&lt;=$BJ$1+4),"………………..",IFERROR(INDEX($AC$3:$AC$400,MATCH(ROWS(BQ$3:BQ64),BJ$3:BJ$400,0),1),"")))</f>
        <v/>
      </c>
      <c r="BR64" s="48">
        <f t="shared" ca="1" si="11"/>
        <v>0</v>
      </c>
      <c r="BS64" s="48">
        <f ca="1">IF(IF(AND(OR(INDEX(PDC,MATCH($AC64,DEN_PDC,0),4)="D",INDEX(PDC,MATCH($AC64,DEN_PDC,0),4)="D/A"),SUMIFS(DARE,DEN_G,$AC64)&gt;=SUMIFS(AVERE,DEN_G,$AC64)),SUMIFS(DARE,DEN_G,$AC64),IF(AND(OR(INDEX(PDC,MATCH($AC64,DEN_PDC,0),4)="A",INDEX(PDC,MATCH($AC64,DEN_PDC,0),4)="D/A"),SUMIFS(AVERE,DEN_G,$AC64)&gt;=SUMIFS(DARE,DEN_G,$AC64)),SUMIFS(AVERE,DEN_G,$AC64),))&gt;0,MAX($BS$2:BS63)+1,0)</f>
        <v>0</v>
      </c>
      <c r="BT64" s="48" t="str">
        <f ca="1">IF($CO$1=0,"",IF(AND($I$1=2,ROW()&gt;$BR$1,ROW()&lt;=$BS$1)," …………….",IF(AND($E$1=1,$BX$1=1,$I$1=2,ROW()=$BQ$1),"TOTALI",IFERROR(INDEX(PDC,MATCH(ROWS(BT$3:BT64),BS$3:BS461,0),2),""))))</f>
        <v/>
      </c>
      <c r="BU64" s="48">
        <f t="shared" ca="1" si="12"/>
        <v>0</v>
      </c>
      <c r="BV64" s="48">
        <f t="shared" ca="1" si="13"/>
        <v>0</v>
      </c>
      <c r="BW64" s="48">
        <f t="shared" ca="1" si="14"/>
        <v>0</v>
      </c>
      <c r="BX64" s="48">
        <f t="shared" ca="1" si="15"/>
        <v>0</v>
      </c>
      <c r="BY64" s="48">
        <f ca="1">IF(OR(BW64&gt;0,BX64&gt;0),MAX($BY$2:BY63)+1,0)</f>
        <v>0</v>
      </c>
      <c r="BZ64" s="48" t="str">
        <f ca="1">IFERROR(INDEX($BT$3:$BY$400,MATCH(ROWS(BZ$3:BZ64),$BY$3:$BY$400,0),1),"")</f>
        <v/>
      </c>
      <c r="CA64" s="48" t="str">
        <f ca="1">IFERROR(INDEX($BT$3:$BY$400,MATCH(ROWS(CA$3:CA64),$BY$3:$BY$400,0),4),"")</f>
        <v/>
      </c>
      <c r="CB64" s="48" t="str">
        <f ca="1">IFERROR(INDEX($BT$3:$BY$400,MATCH(ROWS(CB$3:CB64),$BY$3:$BY$400,0),5),"")</f>
        <v/>
      </c>
      <c r="CC64" s="48" t="str">
        <f t="shared" ca="1" si="16"/>
        <v/>
      </c>
      <c r="CD64" s="48">
        <f ca="1">IF(AND($BF$9=1,CE64&lt;&gt;0),MAX($CD$2:CD63)+1,0)</f>
        <v>0</v>
      </c>
      <c r="CE64" s="48">
        <f ca="1">ROUND(IFERROR(INDEX(BILANCIO!$I$13:$J$59,MATCH(CF64,BILANCIO!$J$13:$J$59,0),1),0),0)</f>
        <v>0</v>
      </c>
      <c r="CF64" s="48" t="s">
        <v>693</v>
      </c>
      <c r="CG64" s="242" t="s">
        <v>571</v>
      </c>
      <c r="CH64" s="242"/>
      <c r="CI64" s="242">
        <f t="shared" ca="1" si="127"/>
        <v>0</v>
      </c>
      <c r="CJ64" s="242">
        <f ca="1">SUMIFS(COPIA!$CA$3:$CA$400,COPIA!$CC$3:$CC$400,CF64)-SUMIFS(COPIA!$CB$3:$CB$400,COPIA!$CC$3:$CC$400,CF64)</f>
        <v>0</v>
      </c>
      <c r="CK64" s="48">
        <f ca="1">IF($CF$2=FALSE,0,IF(AND($BF$9=1,CJ64&lt;&gt;0),MAX($CK$21:CK63)+1,0))</f>
        <v>0</v>
      </c>
      <c r="CM64" s="242" t="str">
        <f t="shared" ca="1" si="37"/>
        <v/>
      </c>
      <c r="CN64" s="243">
        <f t="shared" ca="1" si="38"/>
        <v>0</v>
      </c>
      <c r="CO64" s="48" t="str">
        <f t="shared" ca="1" si="39"/>
        <v/>
      </c>
      <c r="CQ64" s="242"/>
      <c r="CR64" s="242">
        <f ca="1">CR54</f>
        <v>2030</v>
      </c>
      <c r="CS64" s="48" t="s">
        <v>818</v>
      </c>
      <c r="CU64" s="48">
        <f ca="1">IF(SUMIFS(AVERE,DEN_G,AC64,AVERE,"&gt;"&amp;0)+SUMIFS(DARE,DEN_G,AC64,DARE,"&gt;"&amp;0)&gt;0,MAX($CU$2:CU63)+1,0)</f>
        <v>0</v>
      </c>
      <c r="CV64" s="48" t="str">
        <f ca="1">IF(IFERROR(INDEX(PDC,MATCH(ROWS($CV$3:CV64),$CU$3:$CU$400,0),2),"")="CONTO DI RISULTATO ECONOMICO","",IFERROR(INDEX(PDC,MATCH(ROWS($CV$3:CV64),$CU$3:$CU$400,0),2),""))</f>
        <v/>
      </c>
      <c r="CW64" s="48">
        <f ca="1">IFERROR(IF(CV64&lt;&gt;"",MAX($CW$2:CW63)+1,0),0)</f>
        <v>0</v>
      </c>
      <c r="CX64" s="48">
        <f t="shared" ca="1" si="121"/>
        <v>5</v>
      </c>
      <c r="CY64" s="48" t="str">
        <f t="shared" ca="1" si="119"/>
        <v>MASTRO</v>
      </c>
      <c r="CZ64" s="48" t="e">
        <f t="shared" ca="1" si="123"/>
        <v>#N/A</v>
      </c>
      <c r="DA64" s="48" t="str">
        <f t="shared" ca="1" si="128"/>
        <v/>
      </c>
      <c r="DB64" s="48" t="str">
        <f t="shared" ca="1" si="76"/>
        <v/>
      </c>
      <c r="DC64" s="48" t="str">
        <f t="shared" ca="1" si="124"/>
        <v/>
      </c>
      <c r="DD64" s="48" t="str">
        <f t="shared" ca="1" si="125"/>
        <v/>
      </c>
      <c r="DE64" s="48" t="str">
        <f t="shared" ca="1" si="126"/>
        <v/>
      </c>
      <c r="DF64" s="48">
        <f ca="1">IF(AND(CX64=$DF$1,CX64&lt;&gt;""),0,IF(AND(DB64&lt;&gt;"",OR(DB63&lt;&gt;"",DB65&lt;&gt;"")),MAX($DF$2:DF63)+1,0))</f>
        <v>0</v>
      </c>
      <c r="DH64" s="244" t="s">
        <v>353</v>
      </c>
      <c r="DI64" s="48" t="s">
        <v>354</v>
      </c>
      <c r="DJ64" s="48" t="s">
        <v>312</v>
      </c>
      <c r="DK64" s="48" t="s">
        <v>275</v>
      </c>
      <c r="DL64" s="48" t="s">
        <v>6</v>
      </c>
      <c r="DM64" s="48" t="s">
        <v>270</v>
      </c>
      <c r="DN64" s="48">
        <f ca="1">IF(DI64&lt;&gt;"",MAX($DN$2:DN63)+1,0)</f>
        <v>47</v>
      </c>
      <c r="DO64" s="48" t="str">
        <f ca="1">IF($BF$9=1,"pab32b","pab3")</f>
        <v>pab3</v>
      </c>
      <c r="DQ64" s="227" t="s">
        <v>40</v>
      </c>
      <c r="DR64" s="48" t="s">
        <v>473</v>
      </c>
      <c r="DS64" s="48" t="s">
        <v>311</v>
      </c>
      <c r="DT64" s="48" t="s">
        <v>298</v>
      </c>
      <c r="DU64" s="48" t="s">
        <v>318</v>
      </c>
      <c r="DV64" s="48" t="s">
        <v>299</v>
      </c>
      <c r="DW64" s="48">
        <f ca="1">IF(DR64&lt;&gt;"",MAX($DW$2:DW63)+1,0)</f>
        <v>30</v>
      </c>
      <c r="DX64" s="48" t="str">
        <f t="shared" ca="1" si="129"/>
        <v>pab2</v>
      </c>
      <c r="DY64" s="48" t="str">
        <f t="shared" ca="1" si="19"/>
        <v/>
      </c>
      <c r="DZ64" s="48" t="str">
        <f t="shared" ca="1" si="40"/>
        <v/>
      </c>
      <c r="EA64" s="48" t="str">
        <f t="shared" ca="1" si="41"/>
        <v/>
      </c>
      <c r="EB64" s="48">
        <f t="shared" ca="1" si="42"/>
        <v>0</v>
      </c>
      <c r="EC64" s="48">
        <f t="shared" ca="1" si="43"/>
        <v>0</v>
      </c>
      <c r="ED64" s="48" t="str">
        <f t="shared" ca="1" si="44"/>
        <v/>
      </c>
      <c r="EE64" s="48">
        <f t="shared" ca="1" si="45"/>
        <v>0</v>
      </c>
      <c r="EF64" s="48" t="str">
        <f t="shared" ca="1" si="46"/>
        <v/>
      </c>
      <c r="EG64" s="48">
        <f t="shared" ca="1" si="47"/>
        <v>0</v>
      </c>
      <c r="EH64" s="48" t="str">
        <f t="shared" ca="1" si="48"/>
        <v/>
      </c>
      <c r="EI64" s="48">
        <f t="shared" ca="1" si="49"/>
        <v>0</v>
      </c>
      <c r="EJ64" s="48" t="str">
        <f t="shared" ca="1" si="50"/>
        <v/>
      </c>
      <c r="EK64" s="48">
        <f t="shared" ca="1" si="51"/>
        <v>0</v>
      </c>
      <c r="EL64" s="48">
        <f t="shared" ca="1" si="20"/>
        <v>0</v>
      </c>
      <c r="EM64" s="48">
        <f ca="1">IF(EL64&gt;=0,0,MAX($EM$2:EM63)+1)</f>
        <v>0</v>
      </c>
      <c r="EN64" s="48" t="str">
        <f t="shared" ca="1" si="21"/>
        <v/>
      </c>
      <c r="EO64" s="48" t="str">
        <f ca="1">IFERROR(INDEX($EM$3:$EN$400,MATCH(ROWS($EO$3:EO64),$EM$3:$EM$400,0),2),"")</f>
        <v/>
      </c>
      <c r="EP64" s="48">
        <f>ROW()</f>
        <v>64</v>
      </c>
      <c r="EQ64" s="48">
        <f t="shared" ca="1" si="22"/>
        <v>0</v>
      </c>
      <c r="ER64" s="48">
        <f ca="1">IF(ISNA(EQ64)=TRUE,MAX($ER$2:ER63)+1,0)</f>
        <v>0</v>
      </c>
      <c r="ES64" s="48" t="str">
        <f t="shared" ca="1" si="52"/>
        <v/>
      </c>
      <c r="ET64" s="48" t="str">
        <f ca="1">IFERROR(INDEX($ER$3:$ES$400,MATCH(ROWS($ET$3:ET64),$ER$3:$ER$400,0),2),"")</f>
        <v/>
      </c>
      <c r="EV64" s="48">
        <f ca="1">IFERROR(INDEX(LIBRO_GIORNALE!$O$11:$P$408,MATCH(ROWS($EV$2:EV63),LIBRO_GIORNALE!$P$11:$P$408,0),1),0)</f>
        <v>0</v>
      </c>
      <c r="EW64" s="48" t="str">
        <f t="shared" ca="1" si="53"/>
        <v>0</v>
      </c>
      <c r="EX64" s="48">
        <f t="shared" ca="1" si="54"/>
        <v>0</v>
      </c>
      <c r="EY64" s="48">
        <f ca="1">IF(EX64&gt;0,MAX($EY$2:EY63)+1,0)</f>
        <v>0</v>
      </c>
      <c r="EZ64" s="48">
        <f ca="1">IFERROR(INDEX($EX$3:$EX$400,MATCH(ROWS($EZ$3:EZ64),$EY$3:$EY$400,0),1),0)</f>
        <v>0</v>
      </c>
      <c r="FA64" s="48">
        <f ca="1">IF(EZ64&gt;0,0,MAX($FA$2:FA63)+1)</f>
        <v>62</v>
      </c>
      <c r="FB64" s="48">
        <f t="shared" ca="1" si="55"/>
        <v>0</v>
      </c>
      <c r="FC64" s="48">
        <f t="shared" ca="1" si="56"/>
        <v>62</v>
      </c>
      <c r="FD64" s="48">
        <f t="shared" ca="1" si="57"/>
        <v>62</v>
      </c>
      <c r="FE64" s="48">
        <f ca="1">IF(FD64=0,0,MAX($FE$2:FE63)+1)</f>
        <v>62</v>
      </c>
      <c r="FF64" s="48">
        <f ca="1">IFERROR(INDEX($FD$3:$FE$400,MATCH(ROWS($FF$3:FF64),$FE$3:$FE$400,0),1),"")</f>
        <v>62</v>
      </c>
      <c r="FH64" s="48">
        <f t="shared" ca="1" si="58"/>
        <v>0</v>
      </c>
      <c r="FI64" s="48">
        <f ca="1">IF(FH64&lt;&gt;0,MAX($FI$2:FI63)+1,0)</f>
        <v>0</v>
      </c>
      <c r="FJ64" s="48" t="str">
        <f ca="1">IFERROR(INDEX($FH$3:$FI$400,MATCH(ROWS($FJ$3:FJ64),$FI$3:$FI$400,0),1),"")</f>
        <v/>
      </c>
      <c r="FK64" s="48">
        <f ca="1">IF(ABS(SUMIFS(DARE,DEN_G,"="&amp;FJ64,DATA,"&lt;="&amp;FINE_AC,DATA,"&gt;="&amp;INIZIO_A_PC)-SUMIFS(AVERE,DEN_G,"="&amp;FJ64,DATA,"&lt;="&amp;FINE_AC,DATA,"&gt;="&amp;INIZIO_A_PC))&gt;0,MAX($FK$2:FK63)+1,0)</f>
        <v>0</v>
      </c>
      <c r="FL64" s="48" t="str">
        <f ca="1">IF(AND(ROW()-2&lt;&gt;1,ROW()-2&lt;=$FK$1),CONCATENATE(" - ",IFERROR(INDEX($FJ$3:$FK$400,MATCH(ROWS($FL$3:FL64),$FK$3:$FK$400,0),1),"")),IFERROR(INDEX($FJ$3:$FK$400,MATCH(ROWS($FL$3:FL64),$FK$3:$FK$400,0),1),""))</f>
        <v/>
      </c>
      <c r="FM64" s="48">
        <f ca="1">IF(OR(B64="IVA ns/credito",B64="IVA NS/DEBITO",B64="IVA C/ACCONTO",B64="IMPOSTE C/ACCONTO",B64="CREDITI PER RITENUTE SUBITE",B64="CREDITI D'IMPOSTA"),MAX($FM$2:FM63)+1,0)</f>
        <v>0</v>
      </c>
      <c r="FN64" s="48" t="str">
        <f t="shared" ca="1" si="59"/>
        <v/>
      </c>
      <c r="FO64" s="48" t="str">
        <f ca="1">IFERROR(INDEX($FM$3:$FN$400,MATCH(ROWS($FO$3:FO64),$FM$3:$FM$400,0),2),"")</f>
        <v/>
      </c>
      <c r="FP64" s="48">
        <f ca="1">IF(ABS(SUMIFS(DARE,DEN_G,"="&amp;FO64,DATA,"&lt;="&amp;FINE_AC,DATA,"&gt;="&amp;INIZIO_A_PC)-SUMIFS(AVERE,DEN_G,"="&amp;FO64,DATA,"&lt;="&amp;FINE_AC,DATA,"&gt;="&amp;INIZIO_A_PC))&gt;0,MAX($FP$2:FP63)+1,0)</f>
        <v>0</v>
      </c>
      <c r="FQ64" s="48" t="str">
        <f ca="1">IF(AND(ROW()-2&lt;&gt;1,ROW()-2&lt;=$FP$1),CONCATENATE(" - ",IFERROR(INDEX($FO$3:$FP$400,MATCH(ROWS($FQ$3:FQ64),$FP$3:$FP$400,0),1),"")),IFERROR(INDEX($FO$3:$FP$400,MATCH(ROWS($FQ$3:FQ64),$FP$3:$FP$400,0),1),""))</f>
        <v/>
      </c>
    </row>
    <row r="65" spans="1:173" x14ac:dyDescent="0.3">
      <c r="A65" s="48" t="str">
        <f ca="1">IFERROR(IF($A$1=2,INDEX($DH$3:$DN$401,MATCH(ROWS(A$3:A65),$DN$3:$DN$401,0),COLUMN()),IF($A$1=1,INDEX($DQ$3:$DW$401,MATCH(ROWS(A$3:A65),$DW$3:$DW$401,0),COLUMN()),"")),"")</f>
        <v>05.04</v>
      </c>
      <c r="B65" s="48" t="str">
        <f ca="1">IFERROR(IF($A$1=2,INDEX($DH$3:$DN$401,MATCH(ROWS(B$3:B65),$DN$3:$DN$401,0),COLUMN()),IF($A$1=1,INDEX($DQ$3:$DW$400,MATCH(ROWS(B$3:B65),$DW$3:$DW$401,0),COLUMN()),"")),"")</f>
        <v>CREDITI FATTORIZZATI</v>
      </c>
      <c r="C65" s="48" t="str">
        <f ca="1">IFERROR(IF($A$1=2,INDEX($DH$3:$DN$401,MATCH(ROWS(C$3:C65),$DN$3:$DN$401,0),COLUMN()),IF($A$1=1,INDEX($DQ$3:$DW$401,MATCH(ROWS(C$3:C65),$DW$3:$DW$401,0),COLUMN()),"")),"")</f>
        <v>F</v>
      </c>
      <c r="D65" s="48" t="str">
        <f ca="1">IFERROR(IF($A$1=2,INDEX($DH$3:$DN$401,MATCH(ROWS(D$3:D65),$DN$3:$DN$401,0),COLUMN()),IF($A$1=1,INDEX($DQ$3:$DW$401,MATCH(ROWS(D$3:D65),$DW$3:$DW$401,0),COLUMN()),"")),"")</f>
        <v>D</v>
      </c>
      <c r="E65" s="48" t="str">
        <f ca="1">IFERROR(IF($A$1=2,INDEX($DH$3:$DN$401,MATCH(ROWS(E$3:E65),$DN$3:$DN$401,0),COLUMN()),IF($A$1=1,INDEX($DQ$3:$DW$401,MATCH(ROWS(E$3:E65),$DW$3:$DW$401,0),COLUMN()),"")),"")</f>
        <v>CREDITI</v>
      </c>
      <c r="F65" s="48" t="str">
        <f ca="1">IFERROR(IF($A$1=2,INDEX($DH$3:$DN$401,MATCH(ROWS(F$3:F65),$DN$3:$DN$401,0),COLUMN()),IF($A$1=1,INDEX($DQ$3:$DX$401,MATCH(ROWS(F$3:F65),$DW$3:$DW$401,0),COLUMN()),"")),"")</f>
        <v>SP DARE</v>
      </c>
      <c r="G65" s="48" t="str">
        <f t="shared" ca="1" si="23"/>
        <v>SP</v>
      </c>
      <c r="H65" s="48" t="str">
        <f ca="1">IFERROR(IF($A$1=2,INDEX($DH$3:$DO$400,MATCH(ROWS(H$3:H65),$DN$3:$DN$400,0),COLUMN()),IF($A$1=1,INDEX($DQ$3:$DX$400,MATCH(ROWS(H$3:H65),$DW$3:$DW$400,0),COLUMN()),"")),"")</f>
        <v>pac2</v>
      </c>
      <c r="I65" s="48" t="str">
        <f t="shared" ca="1" si="0"/>
        <v/>
      </c>
      <c r="J65" s="48" t="str">
        <f t="shared" ca="1" si="24"/>
        <v/>
      </c>
      <c r="K65" s="48">
        <f t="shared" ca="1" si="25"/>
        <v>0</v>
      </c>
      <c r="L65" s="48">
        <f t="shared" ca="1" si="26"/>
        <v>0</v>
      </c>
      <c r="M65" s="48">
        <f ca="1">IFERROR(IF(IF(MID($A65,3,3)=".00",MID(A65,1,2),"")&lt;&gt;"",MAX($M$2:M64)+1,0),"")</f>
        <v>0</v>
      </c>
      <c r="N65" s="48" t="str">
        <f t="shared" ca="1" si="27"/>
        <v/>
      </c>
      <c r="O65" s="48">
        <v>15</v>
      </c>
      <c r="P65" s="48" t="str">
        <f t="shared" ca="1" si="117"/>
        <v/>
      </c>
      <c r="Q65" s="48">
        <f ca="1">IF(M65&gt;=1,0,MAX($Q$2:Q64)+1)</f>
        <v>57</v>
      </c>
      <c r="U65" s="48" t="str">
        <f ca="1">IFERROR(INDEX(PDC,MATCH(ROWS(U$3:U65),$V$3:$V$400,0),2),"")</f>
        <v>CREDITI INSOLUTI</v>
      </c>
      <c r="V65" s="48">
        <f ca="1">IF(AND($T$1="VISUALIZZA TUTTI I CONTI",AA65&lt;&gt;""),MAX($V$2:V64)+1,IF(AND($U$2=2,AI65=$T$1),MAX($V$2:V64)+1,IF(AND($U$2=1,$T$1=AF65),MAX($V$2:V64)+1,0)))</f>
        <v>63</v>
      </c>
      <c r="Z65" s="246"/>
      <c r="AA65" s="48" t="str">
        <f t="shared" ca="1" si="29"/>
        <v>05.00</v>
      </c>
      <c r="AB65" s="48" t="str">
        <f ca="1">IFERROR(INDEX($A$3:$G$400,MATCH(ROWS(AB$3:AB65),$Q$3:$Q$400,0),1),"")</f>
        <v>05.10</v>
      </c>
      <c r="AC65" s="48" t="str">
        <f ca="1">IFERROR(INDEX($A$3:$G$400,MATCH(ROWS($AC$3:AC65),$Q$3:$Q$400,0),2),"")</f>
        <v>CREDITI INSOLUTI</v>
      </c>
      <c r="AD65" s="48" t="str">
        <f ca="1">IFERROR(INDEX($A$3:$G$400,MATCH(ROWS(AD$3:AD65),$Q$3:$Q$400,0),3),"")</f>
        <v>F</v>
      </c>
      <c r="AE65" s="48" t="str">
        <f ca="1">IFERROR(INDEX($A$3:$G$400,MATCH(ROWS(AE$3:AE65),$Q$3:$Q$400,0),4),"")</f>
        <v>D</v>
      </c>
      <c r="AF65" s="48" t="str">
        <f ca="1">IFERROR(INDEX($A$3:$G$400,MATCH(ROWS(AF$3:AF65),$Q$3:$Q$400,0),5),"")</f>
        <v>CREDITI</v>
      </c>
      <c r="AG65" s="48" t="str">
        <f ca="1">IFERROR(INDEX($A$3:$G$400,MATCH(ROWS(AG$3:AG65),$Q$3:$Q$400,0),6),"")</f>
        <v>SP DARE</v>
      </c>
      <c r="AH65" s="48" t="str">
        <f ca="1">IFERROR(INDEX($A$3:$G$400,MATCH(ROWS(AH$3:AH65),$Q$3:$Q$400,0),7),"")</f>
        <v>SP</v>
      </c>
      <c r="AI65" s="48" t="str">
        <f t="shared" ca="1" si="1"/>
        <v>CREDITI COMMERCIALI</v>
      </c>
      <c r="AJ65" s="48" t="str">
        <f ca="1">IFERROR(INDEX($A$3:$H$400,MATCH(ROWS(AJ$3:AJ65),$Q$3:$Q$400,0),8),"")</f>
        <v>pac2</v>
      </c>
      <c r="AK65" s="48">
        <f t="shared" ca="1" si="2"/>
        <v>0</v>
      </c>
      <c r="AL65" s="48">
        <f t="shared" ca="1" si="95"/>
        <v>0</v>
      </c>
      <c r="AM65" s="48">
        <f t="shared" ca="1" si="30"/>
        <v>0</v>
      </c>
      <c r="AN65" s="48" t="str">
        <f t="shared" ca="1" si="31"/>
        <v/>
      </c>
      <c r="AO65" s="48">
        <f t="shared" ca="1" si="32"/>
        <v>0</v>
      </c>
      <c r="AP65" s="48">
        <f t="shared" ca="1" si="32"/>
        <v>0</v>
      </c>
      <c r="AQ65" s="48" t="str">
        <f t="shared" ca="1" si="4"/>
        <v>CREDITI INSOLUTI</v>
      </c>
      <c r="AR65" s="48">
        <f t="shared" ca="1" si="5"/>
        <v>0</v>
      </c>
      <c r="AS65" s="48">
        <f t="shared" ca="1" si="6"/>
        <v>0</v>
      </c>
      <c r="AT65" s="48">
        <f t="shared" ca="1" si="33"/>
        <v>0</v>
      </c>
      <c r="AU65" s="48">
        <f t="shared" ca="1" si="34"/>
        <v>0</v>
      </c>
      <c r="AV65" s="48">
        <f ca="1">IF(OR(AT65&gt;0,AU65&gt;0),MAX($AV$2:AV64)+1,0)</f>
        <v>0</v>
      </c>
      <c r="AZ65" s="241" t="str">
        <f t="shared" ca="1" si="35"/>
        <v/>
      </c>
      <c r="BA65" s="48">
        <f t="shared" ca="1" si="96"/>
        <v>0</v>
      </c>
      <c r="BB65" s="48">
        <f ca="1">IFERROR(INDEX($AQ$3:$AV$220,MATCH(ROWS($BB$3:BB65),$AV$3:$AV$220,0),1),0)</f>
        <v>0</v>
      </c>
      <c r="BC65" s="48" t="str">
        <f t="shared" ca="1" si="36"/>
        <v/>
      </c>
      <c r="BD65" s="48">
        <f ca="1">IFERROR(INDEX($AQ$3:$AV$220,MATCH(ROWS($BB$3:BD65),$AV$3:$AV$220,0),4),0)</f>
        <v>0</v>
      </c>
      <c r="BE65" s="48">
        <f ca="1">IFERROR(INDEX($AQ$3:$AV$220,MATCH(ROWS($BB$3:BE65),$AV$3:$AV$220,0),5),0)</f>
        <v>0</v>
      </c>
      <c r="BG65" s="48">
        <f ca="1">IF(IF(AND(OR(INDEX(PDC,MATCH($AC65,DEN_PDC,0),6)="SP DARE",INDEX(PDC,MATCH($AC65,DEN_PDC,0),6)="SP DARE/AVERE"),SUMIFS(DARE,DEN_G,$AC65)&gt;=SUMIFS(AVERE,DEN_G,$AC65)),SUMIFS(DARE,DEN_G,$AC65)-SUMIFS(AVERE,DEN_G,$AC65),0)&gt;0,MAX($BG$2:BG64)+1,0)</f>
        <v>0</v>
      </c>
      <c r="BH65" s="48">
        <f ca="1">IF(IF(AND(OR(INDEX(PDC,MATCH($AC65,DEN_PDC,0),6)="SP AVERE",INDEX(PDC,MATCH($AC65,DEN_PDC,0),6)="SP DARE/AVERE"),SUMIFS(AVERE,DEN_G,$AC65)&gt;=SUMIFS(DARE,DEN_G,$AC65)),SUMIFS(AVERE,DEN_G,$AC65)-SUMIFS(DARE,DEN_G,$AC65),0)&gt;0,MAX(BH$2:BH64)+1,0)</f>
        <v>0</v>
      </c>
      <c r="BI65" s="48">
        <f ca="1">IF(IF(AND(OR(INDEX(PDC,MATCH($AC65,DEN_PDC,0),6)="SE DARE",INDEX(PDC,MATCH($AC65,DEN_PDC,0),6)="SE DARE/AVERE"),SUMIFS(DARE,DEN_G,$AC65)&gt;=SUMIFS(AVERE,DEN_G,$AC65)),SUMIFS(DARE,DEN_G,$AC65)-SUMIFS(AVERE,DEN_G,$AC65),0)&gt;0,MAX(BI$2:BI64)+1,0)</f>
        <v>0</v>
      </c>
      <c r="BJ65" s="48">
        <f ca="1">IF(IF(AND(OR(INDEX(PDC,MATCH($AC65,DEN_PDC,0),6)="SE AVERE",INDEX(PDC,MATCH($AC65,DEN_PDC,0),6)="SE DARE/AVERE"),SUMIFS(AVERE,DEN_G,$AC65)&gt;=SUMIFS(DARE,DEN_G,$AC65)),SUMIFS(AVERE,DEN_G,$AC65)-SUMIFS(DARE,DEN_G,$AC65),0)&gt;0,MAX(BJ$2:BJ64)+1,0)</f>
        <v>0</v>
      </c>
      <c r="BK65" s="48" t="str">
        <f ca="1">IF(AND(AND($DY$2=0,$DY$1=0),$I$1=2,ROW()&gt;$BG$1+2,ROW()&lt;=$BG$1+4),"………………..",IF(AND(OR($DY$2&gt;0,$DY$1&gt;0),$I$1=2,ROW()&gt;$BG$1+2,ROW()&lt;=$BG$1+4),"………………..",IFERROR(INDEX($AC$3:$AC$398,MATCH(ROWS(BK$3:BK65),BG$3:BG$398,0),1),"")))</f>
        <v/>
      </c>
      <c r="BL65" s="48">
        <f t="shared" ca="1" si="69"/>
        <v>0</v>
      </c>
      <c r="BM65" s="48" t="str">
        <f ca="1">IF(AND(OR($DY$2=0,$DY$1=0),$I$1=2,ROW()&gt;$BH$1+2,ROW()&lt;=$BH$1+4),"………………..",IF(AND(OR($DY$2&gt;0,$DY$1&gt;0),$I$1=2,ROW()&gt;$BH$1+2,ROW()&lt;=$BH$1+4),"………………..",IFERROR(INDEX($AC$3:$AC$400,MATCH(ROWS(BM$3:BM65),BH$3:BH$400,0),1),"")))</f>
        <v/>
      </c>
      <c r="BN65" s="48">
        <f t="shared" ca="1" si="9"/>
        <v>0</v>
      </c>
      <c r="BO65" s="48" t="str">
        <f ca="1">IF(AND(OR($DY$2=0,$DY$1=0),$I$1=2,ROW()&gt;$BI$1+2,ROW()&lt;=$BI$1+4),"………………..",IF(AND(OR($DY$2&gt;0,$DY$1&gt;0),$I$1=2,ROW()&gt;$BI$1+2,ROW()&lt;=$BI$1+4),"………………..",IFERROR(INDEX($AC$3:$AC$400,MATCH(ROWS(BO$3:BO65),BI$3:BI$400,0),1),"")))</f>
        <v/>
      </c>
      <c r="BP65" s="48">
        <f t="shared" ca="1" si="10"/>
        <v>0</v>
      </c>
      <c r="BQ65" s="48" t="str">
        <f ca="1">IF(AND(OR($DY$2=0,$DY$1=0),$I$1=2,ROW()&gt;$BJ$1+2,ROW()&lt;=$BJ$1+4),"………………..",IF(AND(OR($DY$2&gt;0,$DY$1&gt;0),$I$1=2,ROW()&gt;$BJ$1+2,ROW()&lt;=$BJ$1+4),"………………..",IFERROR(INDEX($AC$3:$AC$400,MATCH(ROWS(BQ$3:BQ65),BJ$3:BJ$400,0),1),"")))</f>
        <v/>
      </c>
      <c r="BR65" s="48">
        <f t="shared" ca="1" si="11"/>
        <v>0</v>
      </c>
      <c r="BS65" s="48">
        <f ca="1">IF(IF(AND(OR(INDEX(PDC,MATCH($AC65,DEN_PDC,0),4)="D",INDEX(PDC,MATCH($AC65,DEN_PDC,0),4)="D/A"),SUMIFS(DARE,DEN_G,$AC65)&gt;=SUMIFS(AVERE,DEN_G,$AC65)),SUMIFS(DARE,DEN_G,$AC65),IF(AND(OR(INDEX(PDC,MATCH($AC65,DEN_PDC,0),4)="A",INDEX(PDC,MATCH($AC65,DEN_PDC,0),4)="D/A"),SUMIFS(AVERE,DEN_G,$AC65)&gt;=SUMIFS(DARE,DEN_G,$AC65)),SUMIFS(AVERE,DEN_G,$AC65),))&gt;0,MAX($BS$2:BS64)+1,0)</f>
        <v>0</v>
      </c>
      <c r="BT65" s="48" t="str">
        <f ca="1">IF($CO$1=0,"",IF(AND($I$1=2,ROW()&gt;$BR$1,ROW()&lt;=$BS$1)," …………….",IF(AND($E$1=1,$BX$1=1,$I$1=2,ROW()=$BQ$1),"TOTALI",IFERROR(INDEX(PDC,MATCH(ROWS(BT$3:BT65),BS$3:BS462,0),2),""))))</f>
        <v/>
      </c>
      <c r="BU65" s="48">
        <f t="shared" ca="1" si="12"/>
        <v>0</v>
      </c>
      <c r="BV65" s="48">
        <f t="shared" ca="1" si="13"/>
        <v>0</v>
      </c>
      <c r="BW65" s="48">
        <f t="shared" ca="1" si="14"/>
        <v>0</v>
      </c>
      <c r="BX65" s="48">
        <f t="shared" ca="1" si="15"/>
        <v>0</v>
      </c>
      <c r="BY65" s="48">
        <f ca="1">IF(OR(BW65&gt;0,BX65&gt;0),MAX($BY$2:BY64)+1,0)</f>
        <v>0</v>
      </c>
      <c r="BZ65" s="48" t="str">
        <f ca="1">IFERROR(INDEX($BT$3:$BY$400,MATCH(ROWS(BZ$3:BZ65),$BY$3:$BY$400,0),1),"")</f>
        <v/>
      </c>
      <c r="CA65" s="48" t="str">
        <f ca="1">IFERROR(INDEX($BT$3:$BY$400,MATCH(ROWS(CA$3:CA65),$BY$3:$BY$400,0),4),"")</f>
        <v/>
      </c>
      <c r="CB65" s="48" t="str">
        <f ca="1">IFERROR(INDEX($BT$3:$BY$400,MATCH(ROWS(CB$3:CB65),$BY$3:$BY$400,0),5),"")</f>
        <v/>
      </c>
      <c r="CC65" s="48" t="str">
        <f t="shared" ca="1" si="16"/>
        <v/>
      </c>
      <c r="CD65" s="48">
        <f ca="1">IF(AND($BF$9=1,CE65&lt;&gt;0),MAX($CD$2:CD64)+1,0)</f>
        <v>0</v>
      </c>
      <c r="CE65" s="48">
        <f ca="1">IF(ROUND(SUMIFS(COPIA!$CA$3:$CA$400,COPIA!$CC$3:$CC$400,CF65)-SUMIFS(COPIA!$CB$3:$CB$400,COPIA!$CC$3:$CC$400,CF65),0)&lt;0,0,ROUND(SUMIFS(COPIA!$CA$3:$CA$400,COPIA!$CC$3:$CC$400,CF65)-SUMIFS(COPIA!$CB$3:$CB$400,COPIA!$CC$3:$CC$400,CF65),0))</f>
        <v>0</v>
      </c>
      <c r="CF65" s="48" t="s">
        <v>637</v>
      </c>
      <c r="CG65" s="242" t="s">
        <v>527</v>
      </c>
      <c r="CH65" s="242">
        <f t="shared" ca="1" si="112"/>
        <v>0</v>
      </c>
      <c r="CI65" s="242"/>
      <c r="CJ65" s="242">
        <f ca="1">SUMIFS(COPIA!$CA$3:$CA$400,COPIA!$CC$3:$CC$400,CF65)-SUMIFS(COPIA!$CB$3:$CB$400,COPIA!$CC$3:$CC$400,CF65)</f>
        <v>0</v>
      </c>
      <c r="CK65" s="48">
        <f ca="1">IF($CF$2=FALSE,0,IF(AND($BF$9=1,CJ65&lt;&gt;0),MAX($CK$21:CK64)+1,0))</f>
        <v>0</v>
      </c>
      <c r="CL65" s="48" t="s">
        <v>694</v>
      </c>
      <c r="CM65" s="242" t="str">
        <f t="shared" ca="1" si="37"/>
        <v/>
      </c>
      <c r="CN65" s="243">
        <f t="shared" ca="1" si="38"/>
        <v>0</v>
      </c>
      <c r="CO65" s="48" t="str">
        <f t="shared" ca="1" si="39"/>
        <v/>
      </c>
      <c r="CQ65" s="242"/>
      <c r="CR65" s="242">
        <f ca="1">CR55</f>
        <v>2031</v>
      </c>
      <c r="CS65" s="48" t="s">
        <v>819</v>
      </c>
      <c r="CU65" s="48">
        <f ca="1">IF(SUMIFS(AVERE,DEN_G,AC65,AVERE,"&gt;"&amp;0)+SUMIFS(DARE,DEN_G,AC65,DARE,"&gt;"&amp;0)&gt;0,MAX($CU$2:CU64)+1,0)</f>
        <v>0</v>
      </c>
      <c r="CV65" s="48" t="str">
        <f ca="1">IF(IFERROR(INDEX(PDC,MATCH(ROWS($CV$3:CV65),$CU$3:$CU$400,0),2),"")="CONTO DI RISULTATO ECONOMICO","",IFERROR(INDEX(PDC,MATCH(ROWS($CV$3:CV65),$CU$3:$CU$400,0),2),""))</f>
        <v/>
      </c>
      <c r="CW65" s="48">
        <f ca="1">IFERROR(IF(CV65&lt;&gt;"",MAX($CW$2:CW64)+1,0),0)</f>
        <v>0</v>
      </c>
      <c r="CX65" s="48">
        <f t="shared" ca="1" si="121"/>
        <v>5</v>
      </c>
      <c r="CY65" s="48" t="str">
        <f t="shared" ca="1" si="119"/>
        <v>MASTRO</v>
      </c>
      <c r="CZ65" s="48" t="e">
        <f t="shared" ca="1" si="123"/>
        <v>#N/A</v>
      </c>
      <c r="DA65" s="48" t="str">
        <f t="shared" ca="1" si="128"/>
        <v/>
      </c>
      <c r="DB65" s="48" t="str">
        <f t="shared" ca="1" si="76"/>
        <v/>
      </c>
      <c r="DC65" s="48" t="str">
        <f t="shared" ca="1" si="124"/>
        <v/>
      </c>
      <c r="DD65" s="48" t="str">
        <f t="shared" ca="1" si="125"/>
        <v/>
      </c>
      <c r="DE65" s="48" t="str">
        <f t="shared" ca="1" si="126"/>
        <v/>
      </c>
      <c r="DF65" s="48">
        <f ca="1">IF(AND(CX65=$DF$1,CX65&lt;&gt;""),0,IF(AND(DB65&lt;&gt;"",OR(DB64&lt;&gt;"",DB66&lt;&gt;"")),MAX($DF$2:DF64)+1,0))</f>
        <v>0</v>
      </c>
      <c r="DH65" s="244" t="s">
        <v>355</v>
      </c>
      <c r="DI65" s="48" t="s">
        <v>1083</v>
      </c>
      <c r="DJ65" s="48" t="s">
        <v>312</v>
      </c>
      <c r="DK65" s="48" t="s">
        <v>275</v>
      </c>
      <c r="DL65" s="48" t="s">
        <v>6</v>
      </c>
      <c r="DM65" s="48" t="s">
        <v>270</v>
      </c>
      <c r="DN65" s="48">
        <f ca="1">IF(DI65&lt;&gt;"",MAX($DN$2:DN64)+1,0)</f>
        <v>48</v>
      </c>
      <c r="DO65" s="48" t="str">
        <f ca="1">IF($BF$9=1,"pab32c","pab3")</f>
        <v>pab3</v>
      </c>
      <c r="DQ65" s="227" t="s">
        <v>474</v>
      </c>
      <c r="DR65" s="48" t="s">
        <v>342</v>
      </c>
      <c r="DS65" s="48" t="s">
        <v>311</v>
      </c>
      <c r="DT65" s="48" t="s">
        <v>298</v>
      </c>
      <c r="DU65" s="48" t="s">
        <v>318</v>
      </c>
      <c r="DV65" s="48" t="s">
        <v>299</v>
      </c>
      <c r="DW65" s="48">
        <f ca="1">IF(DR65&lt;&gt;"",MAX($DW$2:DW64)+1,0)</f>
        <v>31</v>
      </c>
      <c r="DX65" s="48" t="str">
        <f ca="1">IF($BF$9=1,"pab21","pab2")</f>
        <v>pab2</v>
      </c>
      <c r="DY65" s="48" t="str">
        <f t="shared" ca="1" si="19"/>
        <v/>
      </c>
      <c r="DZ65" s="48" t="str">
        <f t="shared" ca="1" si="40"/>
        <v/>
      </c>
      <c r="EA65" s="48" t="str">
        <f t="shared" ca="1" si="41"/>
        <v/>
      </c>
      <c r="EB65" s="48">
        <f t="shared" ca="1" si="42"/>
        <v>0</v>
      </c>
      <c r="EC65" s="48">
        <f t="shared" ca="1" si="43"/>
        <v>0</v>
      </c>
      <c r="ED65" s="48" t="str">
        <f t="shared" ca="1" si="44"/>
        <v/>
      </c>
      <c r="EE65" s="48">
        <f t="shared" ca="1" si="45"/>
        <v>0</v>
      </c>
      <c r="EF65" s="48" t="str">
        <f t="shared" ca="1" si="46"/>
        <v/>
      </c>
      <c r="EG65" s="48">
        <f t="shared" ca="1" si="47"/>
        <v>0</v>
      </c>
      <c r="EH65" s="48" t="str">
        <f t="shared" ca="1" si="48"/>
        <v/>
      </c>
      <c r="EI65" s="48">
        <f t="shared" ca="1" si="49"/>
        <v>0</v>
      </c>
      <c r="EJ65" s="48" t="str">
        <f t="shared" ca="1" si="50"/>
        <v/>
      </c>
      <c r="EK65" s="48">
        <f t="shared" ca="1" si="51"/>
        <v>0</v>
      </c>
      <c r="EL65" s="48">
        <f t="shared" ca="1" si="20"/>
        <v>0</v>
      </c>
      <c r="EM65" s="48">
        <f ca="1">IF(EL65&gt;=0,0,MAX($EM$2:EM64)+1)</f>
        <v>0</v>
      </c>
      <c r="EN65" s="48" t="str">
        <f t="shared" ca="1" si="21"/>
        <v/>
      </c>
      <c r="EO65" s="48" t="str">
        <f ca="1">IFERROR(INDEX($EM$3:$EN$400,MATCH(ROWS($EO$3:EO65),$EM$3:$EM$400,0),2),"")</f>
        <v/>
      </c>
      <c r="EP65" s="48">
        <f>ROW()</f>
        <v>65</v>
      </c>
      <c r="EQ65" s="48">
        <f t="shared" ca="1" si="22"/>
        <v>0</v>
      </c>
      <c r="ER65" s="48">
        <f ca="1">IF(ISNA(EQ65)=TRUE,MAX($ER$2:ER64)+1,0)</f>
        <v>0</v>
      </c>
      <c r="ES65" s="48" t="str">
        <f t="shared" ca="1" si="52"/>
        <v/>
      </c>
      <c r="ET65" s="48" t="str">
        <f ca="1">IFERROR(INDEX($ER$3:$ES$400,MATCH(ROWS($ET$3:ET65),$ER$3:$ER$400,0),2),"")</f>
        <v/>
      </c>
      <c r="EV65" s="48">
        <f ca="1">IFERROR(INDEX(LIBRO_GIORNALE!$O$11:$P$408,MATCH(ROWS($EV$2:EV64),LIBRO_GIORNALE!$P$11:$P$408,0),1),0)</f>
        <v>0</v>
      </c>
      <c r="EW65" s="48" t="str">
        <f t="shared" ca="1" si="53"/>
        <v>0</v>
      </c>
      <c r="EX65" s="48">
        <f t="shared" ca="1" si="54"/>
        <v>0</v>
      </c>
      <c r="EY65" s="48">
        <f ca="1">IF(EX65&gt;0,MAX($EY$2:EY64)+1,0)</f>
        <v>0</v>
      </c>
      <c r="EZ65" s="48">
        <f ca="1">IFERROR(INDEX($EX$3:$EX$400,MATCH(ROWS($EZ$3:EZ65),$EY$3:$EY$400,0),1),0)</f>
        <v>0</v>
      </c>
      <c r="FA65" s="48">
        <f ca="1">IF(EZ65&gt;0,0,MAX($FA$2:FA64)+1)</f>
        <v>63</v>
      </c>
      <c r="FB65" s="48">
        <f t="shared" ca="1" si="55"/>
        <v>0</v>
      </c>
      <c r="FC65" s="48">
        <f t="shared" ca="1" si="56"/>
        <v>63</v>
      </c>
      <c r="FD65" s="48">
        <f t="shared" ca="1" si="57"/>
        <v>63</v>
      </c>
      <c r="FE65" s="48">
        <f ca="1">IF(FD65=0,0,MAX($FE$2:FE64)+1)</f>
        <v>63</v>
      </c>
      <c r="FF65" s="48">
        <f ca="1">IFERROR(INDEX($FD$3:$FE$400,MATCH(ROWS($FF$3:FF65),$FE$3:$FE$400,0),1),"")</f>
        <v>63</v>
      </c>
      <c r="FH65" s="48">
        <f t="shared" ca="1" si="58"/>
        <v>0</v>
      </c>
      <c r="FI65" s="48">
        <f ca="1">IF(FH65&lt;&gt;0,MAX($FI$2:FI64)+1,0)</f>
        <v>0</v>
      </c>
      <c r="FJ65" s="48" t="str">
        <f ca="1">IFERROR(INDEX($FH$3:$FI$400,MATCH(ROWS($FJ$3:FJ65),$FI$3:$FI$400,0),1),"")</f>
        <v/>
      </c>
      <c r="FK65" s="48">
        <f ca="1">IF(ABS(SUMIFS(DARE,DEN_G,"="&amp;FJ65,DATA,"&lt;="&amp;FINE_AC,DATA,"&gt;="&amp;INIZIO_A_PC)-SUMIFS(AVERE,DEN_G,"="&amp;FJ65,DATA,"&lt;="&amp;FINE_AC,DATA,"&gt;="&amp;INIZIO_A_PC))&gt;0,MAX($FK$2:FK64)+1,0)</f>
        <v>0</v>
      </c>
      <c r="FL65" s="48" t="str">
        <f ca="1">IF(AND(ROW()-2&lt;&gt;1,ROW()-2&lt;=$FK$1),CONCATENATE(" - ",IFERROR(INDEX($FJ$3:$FK$400,MATCH(ROWS($FL$3:FL65),$FK$3:$FK$400,0),1),"")),IFERROR(INDEX($FJ$3:$FK$400,MATCH(ROWS($FL$3:FL65),$FK$3:$FK$400,0),1),""))</f>
        <v/>
      </c>
      <c r="FM65" s="48">
        <f ca="1">IF(OR(B65="IVA ns/credito",B65="IVA NS/DEBITO",B65="IVA C/ACCONTO",B65="IMPOSTE C/ACCONTO",B65="CREDITI PER RITENUTE SUBITE",B65="CREDITI D'IMPOSTA"),MAX($FM$2:FM64)+1,0)</f>
        <v>0</v>
      </c>
      <c r="FN65" s="48" t="str">
        <f t="shared" ca="1" si="59"/>
        <v/>
      </c>
      <c r="FO65" s="48" t="str">
        <f ca="1">IFERROR(INDEX($FM$3:$FN$400,MATCH(ROWS($FO$3:FO65),$FM$3:$FM$400,0),2),"")</f>
        <v/>
      </c>
      <c r="FP65" s="48">
        <f ca="1">IF(ABS(SUMIFS(DARE,DEN_G,"="&amp;FO65,DATA,"&lt;="&amp;FINE_AC,DATA,"&gt;="&amp;INIZIO_A_PC)-SUMIFS(AVERE,DEN_G,"="&amp;FO65,DATA,"&lt;="&amp;FINE_AC,DATA,"&gt;="&amp;INIZIO_A_PC))&gt;0,MAX($FP$2:FP64)+1,0)</f>
        <v>0</v>
      </c>
      <c r="FQ65" s="48" t="str">
        <f ca="1">IF(AND(ROW()-2&lt;&gt;1,ROW()-2&lt;=$FP$1),CONCATENATE(" - ",IFERROR(INDEX($FO$3:$FP$400,MATCH(ROWS($FQ$3:FQ65),$FP$3:$FP$400,0),1),"")),IFERROR(INDEX($FO$3:$FP$400,MATCH(ROWS($FQ$3:FQ65),$FP$3:$FP$400,0),1),""))</f>
        <v/>
      </c>
    </row>
    <row r="66" spans="1:173" x14ac:dyDescent="0.3">
      <c r="A66" s="48" t="str">
        <f ca="1">IFERROR(IF($A$1=2,INDEX($DH$3:$DN$401,MATCH(ROWS(A$3:A66),$DN$3:$DN$401,0),COLUMN()),IF($A$1=1,INDEX($DQ$3:$DW$401,MATCH(ROWS(A$3:A66),$DW$3:$DW$401,0),COLUMN()),"")),"")</f>
        <v>05.05</v>
      </c>
      <c r="B66" s="48" t="str">
        <f ca="1">IFERROR(IF($A$1=2,INDEX($DH$3:$DN$401,MATCH(ROWS(B$3:B66),$DN$3:$DN$401,0),COLUMN()),IF($A$1=1,INDEX($DQ$3:$DW$400,MATCH(ROWS(B$3:B66),$DW$3:$DW$401,0),COLUMN()),"")),"")</f>
        <v>CLIENTI C/COSTI ANTICIPATI</v>
      </c>
      <c r="C66" s="48" t="str">
        <f ca="1">IFERROR(IF($A$1=2,INDEX($DH$3:$DN$401,MATCH(ROWS(C$3:C66),$DN$3:$DN$401,0),COLUMN()),IF($A$1=1,INDEX($DQ$3:$DW$401,MATCH(ROWS(C$3:C66),$DW$3:$DW$401,0),COLUMN()),"")),"")</f>
        <v>F</v>
      </c>
      <c r="D66" s="48" t="str">
        <f ca="1">IFERROR(IF($A$1=2,INDEX($DH$3:$DN$401,MATCH(ROWS(D$3:D66),$DN$3:$DN$401,0),COLUMN()),IF($A$1=1,INDEX($DQ$3:$DW$401,MATCH(ROWS(D$3:D66),$DW$3:$DW$401,0),COLUMN()),"")),"")</f>
        <v>D</v>
      </c>
      <c r="E66" s="48" t="str">
        <f ca="1">IFERROR(IF($A$1=2,INDEX($DH$3:$DN$401,MATCH(ROWS(E$3:E66),$DN$3:$DN$401,0),COLUMN()),IF($A$1=1,INDEX($DQ$3:$DW$401,MATCH(ROWS(E$3:E66),$DW$3:$DW$401,0),COLUMN()),"")),"")</f>
        <v>CREDITI</v>
      </c>
      <c r="F66" s="48" t="str">
        <f ca="1">IFERROR(IF($A$1=2,INDEX($DH$3:$DN$401,MATCH(ROWS(F$3:F66),$DN$3:$DN$401,0),COLUMN()),IF($A$1=1,INDEX($DQ$3:$DX$401,MATCH(ROWS(F$3:F66),$DW$3:$DW$401,0),COLUMN()),"")),"")</f>
        <v>SP DARE</v>
      </c>
      <c r="G66" s="48" t="str">
        <f t="shared" ca="1" si="23"/>
        <v>SP</v>
      </c>
      <c r="H66" s="48" t="str">
        <f ca="1">IFERROR(IF($A$1=2,INDEX($DH$3:$DO$400,MATCH(ROWS(H$3:H66),$DN$3:$DN$400,0),COLUMN()),IF($A$1=1,INDEX($DQ$3:$DX$400,MATCH(ROWS(H$3:H66),$DW$3:$DW$400,0),COLUMN()),"")),"")</f>
        <v>pac2</v>
      </c>
      <c r="I66" s="48" t="str">
        <f t="shared" ca="1" si="0"/>
        <v/>
      </c>
      <c r="J66" s="48" t="str">
        <f t="shared" ca="1" si="24"/>
        <v/>
      </c>
      <c r="K66" s="48">
        <f t="shared" ca="1" si="25"/>
        <v>0</v>
      </c>
      <c r="L66" s="48">
        <f t="shared" ca="1" si="26"/>
        <v>0</v>
      </c>
      <c r="M66" s="48">
        <f ca="1">IFERROR(IF(IF(MID($A66,3,3)=".00",MID(A66,1,2),"")&lt;&gt;"",MAX($M$2:M65)+1,0),"")</f>
        <v>0</v>
      </c>
      <c r="N66" s="48" t="str">
        <f t="shared" ca="1" si="27"/>
        <v/>
      </c>
      <c r="O66" s="48">
        <v>16</v>
      </c>
      <c r="P66" s="48" t="str">
        <f t="shared" ca="1" si="117"/>
        <v/>
      </c>
      <c r="Q66" s="48">
        <f ca="1">IF(M66&gt;=1,0,MAX($Q$2:Q65)+1)</f>
        <v>58</v>
      </c>
      <c r="U66" s="48" t="str">
        <f ca="1">IFERROR(INDEX(PDC,MATCH(ROWS(U$3:U66),$V$3:$V$400,0),2),"")</f>
        <v>CAMBIALI INSOLUTE</v>
      </c>
      <c r="V66" s="48">
        <f ca="1">IF(AND($T$1="VISUALIZZA TUTTI I CONTI",AA66&lt;&gt;""),MAX($V$2:V65)+1,IF(AND($U$2=2,AI66=$T$1),MAX($V$2:V65)+1,IF(AND($U$2=1,$T$1=AF66),MAX($V$2:V65)+1,0)))</f>
        <v>64</v>
      </c>
      <c r="Z66" s="246"/>
      <c r="AA66" s="48" t="str">
        <f t="shared" ca="1" si="29"/>
        <v>05.00</v>
      </c>
      <c r="AB66" s="48" t="str">
        <f ca="1">IFERROR(INDEX($A$3:$G$400,MATCH(ROWS(AB$3:AB66),$Q$3:$Q$400,0),1),"")</f>
        <v>05.11</v>
      </c>
      <c r="AC66" s="48" t="str">
        <f ca="1">IFERROR(INDEX($A$3:$G$400,MATCH(ROWS($AC$3:AC66),$Q$3:$Q$400,0),2),"")</f>
        <v>CAMBIALI INSOLUTE</v>
      </c>
      <c r="AD66" s="48" t="str">
        <f ca="1">IFERROR(INDEX($A$3:$G$400,MATCH(ROWS(AD$3:AD66),$Q$3:$Q$400,0),3),"")</f>
        <v>F</v>
      </c>
      <c r="AE66" s="48" t="str">
        <f ca="1">IFERROR(INDEX($A$3:$G$400,MATCH(ROWS(AE$3:AE66),$Q$3:$Q$400,0),4),"")</f>
        <v>D</v>
      </c>
      <c r="AF66" s="48" t="str">
        <f ca="1">IFERROR(INDEX($A$3:$G$400,MATCH(ROWS(AF$3:AF66),$Q$3:$Q$400,0),5),"")</f>
        <v>CREDITI</v>
      </c>
      <c r="AG66" s="48" t="str">
        <f ca="1">IFERROR(INDEX($A$3:$G$400,MATCH(ROWS(AG$3:AG66),$Q$3:$Q$400,0),6),"")</f>
        <v>SP DARE</v>
      </c>
      <c r="AH66" s="48" t="str">
        <f ca="1">IFERROR(INDEX($A$3:$G$400,MATCH(ROWS(AH$3:AH66),$Q$3:$Q$400,0),7),"")</f>
        <v>SP</v>
      </c>
      <c r="AI66" s="48" t="str">
        <f t="shared" ca="1" si="1"/>
        <v>CREDITI COMMERCIALI</v>
      </c>
      <c r="AJ66" s="48" t="str">
        <f ca="1">IFERROR(INDEX($A$3:$H$400,MATCH(ROWS(AJ$3:AJ66),$Q$3:$Q$400,0),8),"")</f>
        <v>pac2</v>
      </c>
      <c r="AK66" s="48">
        <f t="shared" ca="1" si="2"/>
        <v>0</v>
      </c>
      <c r="AL66" s="48">
        <f t="shared" ca="1" si="95"/>
        <v>0</v>
      </c>
      <c r="AM66" s="48">
        <f t="shared" ca="1" si="30"/>
        <v>0</v>
      </c>
      <c r="AN66" s="48" t="str">
        <f t="shared" ca="1" si="31"/>
        <v/>
      </c>
      <c r="AO66" s="48">
        <f t="shared" ca="1" si="32"/>
        <v>0</v>
      </c>
      <c r="AP66" s="48">
        <f t="shared" ca="1" si="32"/>
        <v>0</v>
      </c>
      <c r="AQ66" s="48" t="str">
        <f t="shared" ca="1" si="4"/>
        <v>CAMBIALI INSOLUTE</v>
      </c>
      <c r="AR66" s="48">
        <f t="shared" ca="1" si="5"/>
        <v>0</v>
      </c>
      <c r="AS66" s="48">
        <f t="shared" ca="1" si="6"/>
        <v>0</v>
      </c>
      <c r="AT66" s="48">
        <f t="shared" ca="1" si="33"/>
        <v>0</v>
      </c>
      <c r="AU66" s="48">
        <f t="shared" ca="1" si="34"/>
        <v>0</v>
      </c>
      <c r="AV66" s="48">
        <f ca="1">IF(OR(AT66&gt;0,AU66&gt;0),MAX($AV$2:AV65)+1,0)</f>
        <v>0</v>
      </c>
      <c r="AZ66" s="241" t="str">
        <f t="shared" ca="1" si="35"/>
        <v/>
      </c>
      <c r="BA66" s="48">
        <f t="shared" ca="1" si="96"/>
        <v>0</v>
      </c>
      <c r="BB66" s="48">
        <f ca="1">IFERROR(INDEX($AQ$3:$AV$220,MATCH(ROWS($BB$3:BB66),$AV$3:$AV$220,0),1),0)</f>
        <v>0</v>
      </c>
      <c r="BC66" s="48" t="str">
        <f t="shared" ca="1" si="36"/>
        <v/>
      </c>
      <c r="BD66" s="48">
        <f ca="1">IFERROR(INDEX($AQ$3:$AV$220,MATCH(ROWS($BB$3:BD66),$AV$3:$AV$220,0),4),0)</f>
        <v>0</v>
      </c>
      <c r="BE66" s="48">
        <f ca="1">IFERROR(INDEX($AQ$3:$AV$220,MATCH(ROWS($BB$3:BE66),$AV$3:$AV$220,0),5),0)</f>
        <v>0</v>
      </c>
      <c r="BG66" s="48">
        <f ca="1">IF(IF(AND(OR(INDEX(PDC,MATCH($AC66,DEN_PDC,0),6)="SP DARE",INDEX(PDC,MATCH($AC66,DEN_PDC,0),6)="SP DARE/AVERE"),SUMIFS(DARE,DEN_G,$AC66)&gt;=SUMIFS(AVERE,DEN_G,$AC66)),SUMIFS(DARE,DEN_G,$AC66)-SUMIFS(AVERE,DEN_G,$AC66),0)&gt;0,MAX($BG$2:BG65)+1,0)</f>
        <v>0</v>
      </c>
      <c r="BH66" s="48">
        <f ca="1">IF(IF(AND(OR(INDEX(PDC,MATCH($AC66,DEN_PDC,0),6)="SP AVERE",INDEX(PDC,MATCH($AC66,DEN_PDC,0),6)="SP DARE/AVERE"),SUMIFS(AVERE,DEN_G,$AC66)&gt;=SUMIFS(DARE,DEN_G,$AC66)),SUMIFS(AVERE,DEN_G,$AC66)-SUMIFS(DARE,DEN_G,$AC66),0)&gt;0,MAX(BH$2:BH65)+1,0)</f>
        <v>0</v>
      </c>
      <c r="BI66" s="48">
        <f ca="1">IF(IF(AND(OR(INDEX(PDC,MATCH($AC66,DEN_PDC,0),6)="SE DARE",INDEX(PDC,MATCH($AC66,DEN_PDC,0),6)="SE DARE/AVERE"),SUMIFS(DARE,DEN_G,$AC66)&gt;=SUMIFS(AVERE,DEN_G,$AC66)),SUMIFS(DARE,DEN_G,$AC66)-SUMIFS(AVERE,DEN_G,$AC66),0)&gt;0,MAX(BI$2:BI65)+1,0)</f>
        <v>0</v>
      </c>
      <c r="BJ66" s="48">
        <f ca="1">IF(IF(AND(OR(INDEX(PDC,MATCH($AC66,DEN_PDC,0),6)="SE AVERE",INDEX(PDC,MATCH($AC66,DEN_PDC,0),6)="SE DARE/AVERE"),SUMIFS(AVERE,DEN_G,$AC66)&gt;=SUMIFS(DARE,DEN_G,$AC66)),SUMIFS(AVERE,DEN_G,$AC66)-SUMIFS(DARE,DEN_G,$AC66),0)&gt;0,MAX(BJ$2:BJ65)+1,0)</f>
        <v>0</v>
      </c>
      <c r="BK66" s="48" t="str">
        <f ca="1">IF(AND(AND($DY$2=0,$DY$1=0),$I$1=2,ROW()&gt;$BG$1+2,ROW()&lt;=$BG$1+4),"………………..",IF(AND(OR($DY$2&gt;0,$DY$1&gt;0),$I$1=2,ROW()&gt;$BG$1+2,ROW()&lt;=$BG$1+4),"………………..",IFERROR(INDEX($AC$3:$AC$398,MATCH(ROWS(BK$3:BK66),BG$3:BG$398,0),1),"")))</f>
        <v/>
      </c>
      <c r="BL66" s="48">
        <f t="shared" ca="1" si="69"/>
        <v>0</v>
      </c>
      <c r="BM66" s="48" t="str">
        <f ca="1">IF(AND(OR($DY$2=0,$DY$1=0),$I$1=2,ROW()&gt;$BH$1+2,ROW()&lt;=$BH$1+4),"………………..",IF(AND(OR($DY$2&gt;0,$DY$1&gt;0),$I$1=2,ROW()&gt;$BH$1+2,ROW()&lt;=$BH$1+4),"………………..",IFERROR(INDEX($AC$3:$AC$400,MATCH(ROWS(BM$3:BM66),BH$3:BH$400,0),1),"")))</f>
        <v/>
      </c>
      <c r="BN66" s="48">
        <f t="shared" ca="1" si="9"/>
        <v>0</v>
      </c>
      <c r="BO66" s="48" t="str">
        <f ca="1">IF(AND(OR($DY$2=0,$DY$1=0),$I$1=2,ROW()&gt;$BI$1+2,ROW()&lt;=$BI$1+4),"………………..",IF(AND(OR($DY$2&gt;0,$DY$1&gt;0),$I$1=2,ROW()&gt;$BI$1+2,ROW()&lt;=$BI$1+4),"………………..",IFERROR(INDEX($AC$3:$AC$400,MATCH(ROWS(BO$3:BO66),BI$3:BI$400,0),1),"")))</f>
        <v/>
      </c>
      <c r="BP66" s="48">
        <f t="shared" ca="1" si="10"/>
        <v>0</v>
      </c>
      <c r="BQ66" s="48" t="str">
        <f ca="1">IF(AND(OR($DY$2=0,$DY$1=0),$I$1=2,ROW()&gt;$BJ$1+2,ROW()&lt;=$BJ$1+4),"………………..",IF(AND(OR($DY$2&gt;0,$DY$1&gt;0),$I$1=2,ROW()&gt;$BJ$1+2,ROW()&lt;=$BJ$1+4),"………………..",IFERROR(INDEX($AC$3:$AC$400,MATCH(ROWS(BQ$3:BQ66),BJ$3:BJ$400,0),1),"")))</f>
        <v/>
      </c>
      <c r="BR66" s="48">
        <f t="shared" ca="1" si="11"/>
        <v>0</v>
      </c>
      <c r="BS66" s="48">
        <f ca="1">IF(IF(AND(OR(INDEX(PDC,MATCH($AC66,DEN_PDC,0),4)="D",INDEX(PDC,MATCH($AC66,DEN_PDC,0),4)="D/A"),SUMIFS(DARE,DEN_G,$AC66)&gt;=SUMIFS(AVERE,DEN_G,$AC66)),SUMIFS(DARE,DEN_G,$AC66),IF(AND(OR(INDEX(PDC,MATCH($AC66,DEN_PDC,0),4)="A",INDEX(PDC,MATCH($AC66,DEN_PDC,0),4)="D/A"),SUMIFS(AVERE,DEN_G,$AC66)&gt;=SUMIFS(DARE,DEN_G,$AC66)),SUMIFS(AVERE,DEN_G,$AC66),))&gt;0,MAX($BS$2:BS65)+1,0)</f>
        <v>0</v>
      </c>
      <c r="BT66" s="48" t="str">
        <f ca="1">IF($CO$1=0,"",IF(AND($I$1=2,ROW()&gt;$BR$1,ROW()&lt;=$BS$1)," …………….",IF(AND($E$1=1,$BX$1=1,$I$1=2,ROW()=$BQ$1),"TOTALI",IFERROR(INDEX(PDC,MATCH(ROWS(BT$3:BT66),BS$3:BS463,0),2),""))))</f>
        <v/>
      </c>
      <c r="BU66" s="48">
        <f t="shared" ca="1" si="12"/>
        <v>0</v>
      </c>
      <c r="BV66" s="48">
        <f t="shared" ca="1" si="13"/>
        <v>0</v>
      </c>
      <c r="BW66" s="48">
        <f t="shared" ca="1" si="14"/>
        <v>0</v>
      </c>
      <c r="BX66" s="48">
        <f t="shared" ca="1" si="15"/>
        <v>0</v>
      </c>
      <c r="BY66" s="48">
        <f ca="1">IF(OR(BW66&gt;0,BX66&gt;0),MAX($BY$2:BY65)+1,0)</f>
        <v>0</v>
      </c>
      <c r="BZ66" s="48" t="str">
        <f ca="1">IFERROR(INDEX($BT$3:$BY$400,MATCH(ROWS(BZ$3:BZ66),$BY$3:$BY$400,0),1),"")</f>
        <v/>
      </c>
      <c r="CA66" s="48" t="str">
        <f ca="1">IFERROR(INDEX($BT$3:$BY$400,MATCH(ROWS(CA$3:CA66),$BY$3:$BY$400,0),4),"")</f>
        <v/>
      </c>
      <c r="CB66" s="48" t="str">
        <f ca="1">IFERROR(INDEX($BT$3:$BY$400,MATCH(ROWS(CB$3:CB66),$BY$3:$BY$400,0),5),"")</f>
        <v/>
      </c>
      <c r="CC66" s="48" t="str">
        <f t="shared" ca="1" si="16"/>
        <v/>
      </c>
      <c r="CD66" s="48">
        <f ca="1">IF(AND($BF$9=1,CE66&lt;&gt;0),MAX($CD$2:CD65)+1,0)</f>
        <v>0</v>
      </c>
      <c r="CE66" s="48">
        <f ca="1">ROUND(IFERROR(INDEX(BILANCIO!$I$13:$J$59,MATCH(CF66,BILANCIO!$J$13:$J$59,0),1),0),0)</f>
        <v>0</v>
      </c>
      <c r="CF66" s="48" t="s">
        <v>694</v>
      </c>
      <c r="CG66" s="242" t="s">
        <v>571</v>
      </c>
      <c r="CH66" s="242"/>
      <c r="CI66" s="242">
        <f t="shared" ca="1" si="127"/>
        <v>0</v>
      </c>
      <c r="CJ66" s="242">
        <f ca="1">SUMIFS(COPIA!$CA$3:$CA$400,COPIA!$CC$3:$CC$400,CF66)-SUMIFS(COPIA!$CB$3:$CB$400,COPIA!$CC$3:$CC$400,CF66)</f>
        <v>0</v>
      </c>
      <c r="CK66" s="48">
        <f ca="1">IF($CF$2=FALSE,0,IF(AND($BF$9=1,CJ66&lt;&gt;0),MAX($CK$21:CK65)+1,0))</f>
        <v>0</v>
      </c>
      <c r="CM66" s="242" t="str">
        <f t="shared" ca="1" si="37"/>
        <v/>
      </c>
      <c r="CN66" s="243">
        <f t="shared" ca="1" si="38"/>
        <v>0</v>
      </c>
      <c r="CO66" s="48" t="str">
        <f t="shared" ca="1" si="39"/>
        <v/>
      </c>
      <c r="CQ66" s="242" t="s">
        <v>824</v>
      </c>
      <c r="CR66" s="242"/>
      <c r="CU66" s="48">
        <f ca="1">IF(SUMIFS(AVERE,DEN_G,AC66,AVERE,"&gt;"&amp;0)+SUMIFS(DARE,DEN_G,AC66,DARE,"&gt;"&amp;0)&gt;0,MAX($CU$2:CU65)+1,0)</f>
        <v>0</v>
      </c>
      <c r="CV66" s="48" t="str">
        <f ca="1">IF(IFERROR(INDEX(PDC,MATCH(ROWS($CV$3:CV66),$CU$3:$CU$400,0),2),"")="CONTO DI RISULTATO ECONOMICO","",IFERROR(INDEX(PDC,MATCH(ROWS($CV$3:CV66),$CU$3:$CU$400,0),2),""))</f>
        <v/>
      </c>
      <c r="CW66" s="48">
        <f ca="1">IFERROR(IF(CV66&lt;&gt;"",MAX($CW$2:CW65)+1,0),0)</f>
        <v>0</v>
      </c>
      <c r="CX66" s="48">
        <f t="shared" ca="1" si="121"/>
        <v>5</v>
      </c>
      <c r="CY66" s="48" t="str">
        <f t="shared" ca="1" si="119"/>
        <v>MASTRO</v>
      </c>
      <c r="CZ66" s="48" t="e">
        <f t="shared" ca="1" si="123"/>
        <v>#N/A</v>
      </c>
      <c r="DA66" s="48" t="str">
        <f t="shared" ca="1" si="128"/>
        <v/>
      </c>
      <c r="DB66" s="48" t="str">
        <f t="shared" ca="1" si="76"/>
        <v/>
      </c>
      <c r="DC66" s="48" t="str">
        <f t="shared" ca="1" si="124"/>
        <v/>
      </c>
      <c r="DD66" s="48" t="str">
        <f t="shared" ca="1" si="125"/>
        <v/>
      </c>
      <c r="DE66" s="48" t="str">
        <f t="shared" ca="1" si="126"/>
        <v/>
      </c>
      <c r="DF66" s="48">
        <f ca="1">IF(AND(CX66=$DF$1,CX66&lt;&gt;""),0,IF(AND(DB66&lt;&gt;"",OR(DB65&lt;&gt;"",DB67&lt;&gt;"")),MAX($DF$2:DF65)+1,0))</f>
        <v>0</v>
      </c>
      <c r="DH66" s="244" t="s">
        <v>1084</v>
      </c>
      <c r="DI66" s="48" t="s">
        <v>43</v>
      </c>
      <c r="DJ66" s="48" t="s">
        <v>312</v>
      </c>
      <c r="DK66" s="48" t="s">
        <v>275</v>
      </c>
      <c r="DL66" s="48" t="s">
        <v>6</v>
      </c>
      <c r="DM66" s="48" t="s">
        <v>270</v>
      </c>
      <c r="DN66" s="48">
        <f ca="1">IF(DI66&lt;&gt;"",MAX($DN$2:DN65)+1,0)</f>
        <v>49</v>
      </c>
      <c r="DO66" s="48" t="str">
        <f ca="1">IF($BF$9=1,"pab32db","pab3")</f>
        <v>pab3</v>
      </c>
      <c r="DQ66" s="227" t="s">
        <v>278</v>
      </c>
      <c r="DR66" s="48" t="s">
        <v>475</v>
      </c>
      <c r="DS66" s="48" t="s">
        <v>311</v>
      </c>
      <c r="DT66" s="48" t="s">
        <v>298</v>
      </c>
      <c r="DU66" s="48" t="s">
        <v>318</v>
      </c>
      <c r="DV66" s="48" t="s">
        <v>299</v>
      </c>
      <c r="DW66" s="48">
        <f ca="1">IF(DR66&lt;&gt;"",MAX($DW$2:DW65)+1,0)</f>
        <v>32</v>
      </c>
      <c r="DX66" s="48" t="str">
        <f ca="1">IF($BF$9=1,"pab22","pab2")</f>
        <v>pab2</v>
      </c>
      <c r="DY66" s="48" t="str">
        <f t="shared" ca="1" si="19"/>
        <v/>
      </c>
      <c r="DZ66" s="48" t="str">
        <f t="shared" ca="1" si="40"/>
        <v/>
      </c>
      <c r="EA66" s="48" t="str">
        <f t="shared" ca="1" si="41"/>
        <v/>
      </c>
      <c r="EB66" s="48">
        <f t="shared" ca="1" si="42"/>
        <v>0</v>
      </c>
      <c r="EC66" s="48">
        <f t="shared" ca="1" si="43"/>
        <v>0</v>
      </c>
      <c r="ED66" s="48" t="str">
        <f t="shared" ca="1" si="44"/>
        <v/>
      </c>
      <c r="EE66" s="48">
        <f t="shared" ca="1" si="45"/>
        <v>0</v>
      </c>
      <c r="EF66" s="48" t="str">
        <f t="shared" ca="1" si="46"/>
        <v/>
      </c>
      <c r="EG66" s="48">
        <f t="shared" ca="1" si="47"/>
        <v>0</v>
      </c>
      <c r="EH66" s="48" t="str">
        <f t="shared" ca="1" si="48"/>
        <v/>
      </c>
      <c r="EI66" s="48">
        <f t="shared" ca="1" si="49"/>
        <v>0</v>
      </c>
      <c r="EJ66" s="48" t="str">
        <f t="shared" ca="1" si="50"/>
        <v/>
      </c>
      <c r="EK66" s="48">
        <f t="shared" ca="1" si="51"/>
        <v>0</v>
      </c>
      <c r="EL66" s="48">
        <f t="shared" ca="1" si="20"/>
        <v>0</v>
      </c>
      <c r="EM66" s="48">
        <f ca="1">IF(EL66&gt;=0,0,MAX($EM$2:EM65)+1)</f>
        <v>0</v>
      </c>
      <c r="EN66" s="48" t="str">
        <f t="shared" ca="1" si="21"/>
        <v/>
      </c>
      <c r="EO66" s="48" t="str">
        <f ca="1">IFERROR(INDEX($EM$3:$EN$400,MATCH(ROWS($EO$3:EO66),$EM$3:$EM$400,0),2),"")</f>
        <v/>
      </c>
      <c r="EP66" s="48">
        <f>ROW()</f>
        <v>66</v>
      </c>
      <c r="EQ66" s="48">
        <f t="shared" ca="1" si="22"/>
        <v>0</v>
      </c>
      <c r="ER66" s="48">
        <f ca="1">IF(ISNA(EQ66)=TRUE,MAX($ER$2:ER65)+1,0)</f>
        <v>0</v>
      </c>
      <c r="ES66" s="48" t="str">
        <f t="shared" ca="1" si="52"/>
        <v/>
      </c>
      <c r="ET66" s="48" t="str">
        <f ca="1">IFERROR(INDEX($ER$3:$ES$400,MATCH(ROWS($ET$3:ET66),$ER$3:$ER$400,0),2),"")</f>
        <v/>
      </c>
      <c r="EV66" s="48">
        <f ca="1">IFERROR(INDEX(LIBRO_GIORNALE!$O$11:$P$408,MATCH(ROWS($EV$2:EV65),LIBRO_GIORNALE!$P$11:$P$408,0),1),0)</f>
        <v>0</v>
      </c>
      <c r="EW66" s="48" t="str">
        <f t="shared" ca="1" si="53"/>
        <v>0</v>
      </c>
      <c r="EX66" s="48">
        <f t="shared" ca="1" si="54"/>
        <v>0</v>
      </c>
      <c r="EY66" s="48">
        <f ca="1">IF(EX66&gt;0,MAX($EY$2:EY65)+1,0)</f>
        <v>0</v>
      </c>
      <c r="EZ66" s="48">
        <f ca="1">IFERROR(INDEX($EX$3:$EX$400,MATCH(ROWS($EZ$3:EZ66),$EY$3:$EY$400,0),1),0)</f>
        <v>0</v>
      </c>
      <c r="FA66" s="48">
        <f ca="1">IF(EZ66&gt;0,0,MAX($FA$2:FA65)+1)</f>
        <v>64</v>
      </c>
      <c r="FB66" s="48">
        <f t="shared" ca="1" si="55"/>
        <v>0</v>
      </c>
      <c r="FC66" s="48">
        <f t="shared" ca="1" si="56"/>
        <v>64</v>
      </c>
      <c r="FD66" s="48">
        <f t="shared" ca="1" si="57"/>
        <v>64</v>
      </c>
      <c r="FE66" s="48">
        <f ca="1">IF(FD66=0,0,MAX($FE$2:FE65)+1)</f>
        <v>64</v>
      </c>
      <c r="FF66" s="48">
        <f ca="1">IFERROR(INDEX($FD$3:$FE$400,MATCH(ROWS($FF$3:FF66),$FE$3:$FE$400,0),1),"")</f>
        <v>64</v>
      </c>
      <c r="FH66" s="48">
        <f t="shared" ca="1" si="58"/>
        <v>0</v>
      </c>
      <c r="FI66" s="48">
        <f ca="1">IF(FH66&lt;&gt;0,MAX($FI$2:FI65)+1,0)</f>
        <v>0</v>
      </c>
      <c r="FJ66" s="48" t="str">
        <f ca="1">IFERROR(INDEX($FH$3:$FI$400,MATCH(ROWS($FJ$3:FJ66),$FI$3:$FI$400,0),1),"")</f>
        <v/>
      </c>
      <c r="FK66" s="48">
        <f ca="1">IF(ABS(SUMIFS(DARE,DEN_G,"="&amp;FJ66,DATA,"&lt;="&amp;FINE_AC,DATA,"&gt;="&amp;INIZIO_A_PC)-SUMIFS(AVERE,DEN_G,"="&amp;FJ66,DATA,"&lt;="&amp;FINE_AC,DATA,"&gt;="&amp;INIZIO_A_PC))&gt;0,MAX($FK$2:FK65)+1,0)</f>
        <v>0</v>
      </c>
      <c r="FL66" s="48" t="str">
        <f ca="1">IF(AND(ROW()-2&lt;&gt;1,ROW()-2&lt;=$FK$1),CONCATENATE(" - ",IFERROR(INDEX($FJ$3:$FK$400,MATCH(ROWS($FL$3:FL66),$FK$3:$FK$400,0),1),"")),IFERROR(INDEX($FJ$3:$FK$400,MATCH(ROWS($FL$3:FL66),$FK$3:$FK$400,0),1),""))</f>
        <v/>
      </c>
      <c r="FM66" s="48">
        <f ca="1">IF(OR(B66="IVA ns/credito",B66="IVA NS/DEBITO",B66="IVA C/ACCONTO",B66="IMPOSTE C/ACCONTO",B66="CREDITI PER RITENUTE SUBITE",B66="CREDITI D'IMPOSTA"),MAX($FM$2:FM65)+1,0)</f>
        <v>0</v>
      </c>
      <c r="FN66" s="48" t="str">
        <f t="shared" ca="1" si="59"/>
        <v/>
      </c>
      <c r="FO66" s="48" t="str">
        <f ca="1">IFERROR(INDEX($FM$3:$FN$400,MATCH(ROWS($FO$3:FO66),$FM$3:$FM$400,0),2),"")</f>
        <v/>
      </c>
      <c r="FP66" s="48">
        <f ca="1">IF(ABS(SUMIFS(DARE,DEN_G,"="&amp;FO66,DATA,"&lt;="&amp;FINE_AC,DATA,"&gt;="&amp;INIZIO_A_PC)-SUMIFS(AVERE,DEN_G,"="&amp;FO66,DATA,"&lt;="&amp;FINE_AC,DATA,"&gt;="&amp;INIZIO_A_PC))&gt;0,MAX($FP$2:FP65)+1,0)</f>
        <v>0</v>
      </c>
      <c r="FQ66" s="48" t="str">
        <f ca="1">IF(AND(ROW()-2&lt;&gt;1,ROW()-2&lt;=$FP$1),CONCATENATE(" - ",IFERROR(INDEX($FO$3:$FP$400,MATCH(ROWS($FQ$3:FQ66),$FP$3:$FP$400,0),1),"")),IFERROR(INDEX($FO$3:$FP$400,MATCH(ROWS($FQ$3:FQ66),$FP$3:$FP$400,0),1),""))</f>
        <v/>
      </c>
    </row>
    <row r="67" spans="1:173" x14ac:dyDescent="0.3">
      <c r="A67" s="48" t="str">
        <f ca="1">IFERROR(IF($A$1=2,INDEX($DH$3:$DN$401,MATCH(ROWS(A$3:A67),$DN$3:$DN$401,0),COLUMN()),IF($A$1=1,INDEX($DQ$3:$DW$401,MATCH(ROWS(A$3:A67),$DW$3:$DW$401,0),COLUMN()),"")),"")</f>
        <v>05.06</v>
      </c>
      <c r="B67" s="48" t="str">
        <f ca="1">IFERROR(IF($A$1=2,INDEX($DH$3:$DN$401,MATCH(ROWS(B$3:B67),$DN$3:$DN$401,0),COLUMN()),IF($A$1=1,INDEX($DQ$3:$DW$400,MATCH(ROWS(B$3:B67),$DW$3:$DW$401,0),COLUMN()),"")),"")</f>
        <v>CAMBIALI ATTIVE</v>
      </c>
      <c r="C67" s="48" t="str">
        <f ca="1">IFERROR(IF($A$1=2,INDEX($DH$3:$DN$401,MATCH(ROWS(C$3:C67),$DN$3:$DN$401,0),COLUMN()),IF($A$1=1,INDEX($DQ$3:$DW$401,MATCH(ROWS(C$3:C67),$DW$3:$DW$401,0),COLUMN()),"")),"")</f>
        <v>F</v>
      </c>
      <c r="D67" s="48" t="str">
        <f ca="1">IFERROR(IF($A$1=2,INDEX($DH$3:$DN$401,MATCH(ROWS(D$3:D67),$DN$3:$DN$401,0),COLUMN()),IF($A$1=1,INDEX($DQ$3:$DW$401,MATCH(ROWS(D$3:D67),$DW$3:$DW$401,0),COLUMN()),"")),"")</f>
        <v>D</v>
      </c>
      <c r="E67" s="48" t="str">
        <f ca="1">IFERROR(IF($A$1=2,INDEX($DH$3:$DN$401,MATCH(ROWS(E$3:E67),$DN$3:$DN$401,0),COLUMN()),IF($A$1=1,INDEX($DQ$3:$DW$401,MATCH(ROWS(E$3:E67),$DW$3:$DW$401,0),COLUMN()),"")),"")</f>
        <v>CREDITI</v>
      </c>
      <c r="F67" s="48" t="str">
        <f ca="1">IFERROR(IF($A$1=2,INDEX($DH$3:$DN$401,MATCH(ROWS(F$3:F67),$DN$3:$DN$401,0),COLUMN()),IF($A$1=1,INDEX($DQ$3:$DX$401,MATCH(ROWS(F$3:F67),$DW$3:$DW$401,0),COLUMN()),"")),"")</f>
        <v>SP DARE</v>
      </c>
      <c r="G67" s="48" t="str">
        <f t="shared" ca="1" si="23"/>
        <v>SP</v>
      </c>
      <c r="H67" s="48" t="str">
        <f ca="1">IFERROR(IF($A$1=2,INDEX($DH$3:$DO$400,MATCH(ROWS(H$3:H67),$DN$3:$DN$400,0),COLUMN()),IF($A$1=1,INDEX($DQ$3:$DX$400,MATCH(ROWS(H$3:H67),$DW$3:$DW$400,0),COLUMN()),"")),"")</f>
        <v>pac2</v>
      </c>
      <c r="I67" s="48" t="str">
        <f t="shared" ca="1" si="0"/>
        <v/>
      </c>
      <c r="J67" s="48" t="str">
        <f t="shared" ca="1" si="24"/>
        <v/>
      </c>
      <c r="K67" s="48">
        <f t="shared" ca="1" si="25"/>
        <v>0</v>
      </c>
      <c r="L67" s="48">
        <f t="shared" ca="1" si="26"/>
        <v>0</v>
      </c>
      <c r="M67" s="48">
        <f ca="1">IFERROR(IF(IF(MID($A67,3,3)=".00",MID(A67,1,2),"")&lt;&gt;"",MAX($M$2:M66)+1,0),"")</f>
        <v>0</v>
      </c>
      <c r="N67" s="48" t="str">
        <f t="shared" ca="1" si="27"/>
        <v/>
      </c>
      <c r="O67" s="48">
        <v>17</v>
      </c>
      <c r="P67" s="48" t="str">
        <f t="shared" ca="1" si="117"/>
        <v/>
      </c>
      <c r="Q67" s="48">
        <f ca="1">IF(M67&gt;=1,0,MAX($Q$2:Q66)+1)</f>
        <v>59</v>
      </c>
      <c r="U67" s="48" t="str">
        <f ca="1">IFERROR(INDEX(PDC,MATCH(ROWS(U$3:U67),$V$3:$V$400,0),2),"")</f>
        <v>CREDITI PER ACCONTI DA CLIENTI</v>
      </c>
      <c r="V67" s="48">
        <f ca="1">IF(AND($T$1="VISUALIZZA TUTTI I CONTI",AA67&lt;&gt;""),MAX($V$2:V66)+1,IF(AND($U$2=2,AI67=$T$1),MAX($V$2:V66)+1,IF(AND($U$2=1,$T$1=AF67),MAX($V$2:V66)+1,0)))</f>
        <v>65</v>
      </c>
      <c r="Z67" s="246"/>
      <c r="AA67" s="48" t="str">
        <f t="shared" ca="1" si="29"/>
        <v>05.00</v>
      </c>
      <c r="AB67" s="48" t="str">
        <f ca="1">IFERROR(INDEX($A$3:$G$400,MATCH(ROWS(AB$3:AB67),$Q$3:$Q$400,0),1),"")</f>
        <v>05.15</v>
      </c>
      <c r="AC67" s="48" t="str">
        <f ca="1">IFERROR(INDEX($A$3:$G$400,MATCH(ROWS($AC$3:AC67),$Q$3:$Q$400,0),2),"")</f>
        <v>CREDITI PER ACCONTI DA CLIENTI</v>
      </c>
      <c r="AD67" s="48" t="str">
        <f ca="1">IFERROR(INDEX($A$3:$G$400,MATCH(ROWS(AD$3:AD67),$Q$3:$Q$400,0),3),"")</f>
        <v>F</v>
      </c>
      <c r="AE67" s="48" t="str">
        <f ca="1">IFERROR(INDEX($A$3:$G$400,MATCH(ROWS(AE$3:AE67),$Q$3:$Q$400,0),4),"")</f>
        <v>D</v>
      </c>
      <c r="AF67" s="48" t="str">
        <f ca="1">IFERROR(INDEX($A$3:$G$400,MATCH(ROWS(AF$3:AF67),$Q$3:$Q$400,0),5),"")</f>
        <v>CREDITI</v>
      </c>
      <c r="AG67" s="48" t="str">
        <f ca="1">IFERROR(INDEX($A$3:$G$400,MATCH(ROWS(AG$3:AG67),$Q$3:$Q$400,0),6),"")</f>
        <v>SP DARE</v>
      </c>
      <c r="AH67" s="48" t="str">
        <f ca="1">IFERROR(INDEX($A$3:$G$400,MATCH(ROWS(AH$3:AH67),$Q$3:$Q$400,0),7),"")</f>
        <v>SP</v>
      </c>
      <c r="AI67" s="48" t="str">
        <f t="shared" ca="1" si="1"/>
        <v>CREDITI COMMERCIALI</v>
      </c>
      <c r="AJ67" s="48" t="str">
        <f ca="1">IFERROR(INDEX($A$3:$H$400,MATCH(ROWS(AJ$3:AJ67),$Q$3:$Q$400,0),8),"")</f>
        <v>pac2</v>
      </c>
      <c r="AK67" s="48">
        <f t="shared" ref="AK67:AK130" ca="1" si="130">IFERROR(INDEX(PDC,MATCH(AM67,DEN_PDC,0),6),0)</f>
        <v>0</v>
      </c>
      <c r="AL67" s="48">
        <f t="shared" ref="AL67:AL102" ca="1" si="131">IF(OR(INDIRECT(ADDRESS(ROW()+6,COLUMN()-34,,,"VALORI_INIZIALI"))&lt;INIZIO_A_PC,INDIRECT(ADDRESS(ROW()+6,COLUMN()-34,,,"VALORI_INIZIALI"))&gt;FINE_PERIODO),0,INDIRECT(ADDRESS(ROW()+6,COLUMN()-34,,,"VALORI_INIZIALI")))</f>
        <v>0</v>
      </c>
      <c r="AM67" s="48">
        <f t="shared" ca="1" si="30"/>
        <v>0</v>
      </c>
      <c r="AN67" s="48" t="str">
        <f t="shared" ca="1" si="31"/>
        <v/>
      </c>
      <c r="AO67" s="48">
        <f t="shared" ca="1" si="32"/>
        <v>0</v>
      </c>
      <c r="AP67" s="48">
        <f t="shared" ca="1" si="32"/>
        <v>0</v>
      </c>
      <c r="AQ67" s="48" t="str">
        <f t="shared" ref="AQ67:AQ130" ca="1" si="132">IF(INDEX(PDC,MATCH(AC67,DEN_PDC,0),7)="SP",AC67,"")</f>
        <v>CREDITI PER ACCONTI DA CLIENTI</v>
      </c>
      <c r="AR67" s="48">
        <f t="shared" ref="AR67:AR130" ca="1" si="133">IFERROR(IF(AND(INDEX(PDC,MATCH($AQ67,DEN_PDC,0),4)="D",SUMIFS(dare_grezzo,den_grezzo,$AQ67,data_grezzo,"&lt;"&amp;INIZIO_AC,data_grezzo,"&gt;="&amp;INIZIO_A_PC)&gt;=SUMIFS(avere_grezzo,den_grezzo,$AQ67,data_grezzo,"&lt;"&amp;INIZIO_AC,data_grezzo,"&gt;="&amp;INIZIO_A_PC)),SUMIFS(dare_grezzo,den_grezzo,$AQ67,data_grezzo,"&lt;"&amp;INIZIO_AC,data_grezzo,"&gt;="&amp;INIZIO_A_PC),IF(AND(INDEX(PDC,MATCH($AQ67,DEN_PDC,0),4)="A",SUMIFS(avere_grezzo,den_grezzo,$AQ67,data_grezzo,"&lt;"&amp;INIZIO_AC,data_grezzo,"&gt;="&amp;INIZIO_A_PC)&gt;=SUMIFS(dare_grezzo,den_grezzo,$AQ67,data_grezzo,"&lt;"&amp;INIZIO_AC,data_grezzo,"&gt;="&amp;INIZIO_A_PC)),SUMIFS(dare_grezzo,den_grezzo,$AQ67,data_grezzo,"&lt;"&amp;INIZIO_AC,data_grezzo,"&gt;="&amp;INIZIO_A_PC),IF(INDEX(PDC,MATCH($AQ67,DEN_PDC,0),4)="D/A",SUMIFS(dare_grezzo,den_grezzo,$AQ67,data_grezzo,"&lt;"&amp;INIZIO_AC,data_grezzo,"&gt;="&amp;INIZIO_A_PC),0))),0)</f>
        <v>0</v>
      </c>
      <c r="AS67" s="48">
        <f t="shared" ref="AS67:AS130" ca="1" si="134">IFERROR(IF(AND(INDEX(PDC,MATCH($AQ67,DEN_PDC,0),4)="D",SUMIFS(dare_grezzo,den_grezzo,$AQ67,data_grezzo,"&lt;"&amp;INIZIO_AC,data_grezzo,"&gt;="&amp;INIZIO_A_PC)&gt;=SUMIFS(avere_grezzo,den_grezzo,$AQ67,data_grezzo,"&lt;"&amp;INIZIO_AC,data_grezzo,"&gt;="&amp;INIZIO_A_PC)),SUMIFS(avere_grezzo,den_grezzo,$AQ67,data_grezzo,"&lt;"&amp;INIZIO_AC,data_grezzo,"&gt;="&amp;INIZIO_A_PC),IF(AND(INDEX(PDC,MATCH($AQ67,DEN_PDC,0),4)="A",SUMIFS(avere_grezzo,den_grezzo,$AQ67,data_grezzo,"&lt;"&amp;INIZIO_AC,data_grezzo,"&gt;="&amp;INIZIO_A_PC)&gt;=SUMIFS(dare_grezzo,den_grezzo,$AQ67,data_grezzo,"&lt;"&amp;INIZIO_AC,data_grezzo,"&gt;="&amp;INIZIO_A_PC)),SUMIFS(avere_grezzo,den_grezzo,$AQ67,data_grezzo,"&lt;"&amp;INIZIO_AC,data_grezzo,"&gt;="&amp;INIZIO_A_PC),IF(INDEX(PDC,MATCH($AQ67,DEN_PDC,0),4)="D/A",SUMIFS(avere_grezzo,den_grezzo,$AQ67,data_grezzo,"&lt;"&amp;INIZIO_AC,data_grezzo,"&gt;="&amp;INIZIO_A_PC),0))),0)</f>
        <v>0</v>
      </c>
      <c r="AT67" s="48">
        <f t="shared" ca="1" si="33"/>
        <v>0</v>
      </c>
      <c r="AU67" s="48">
        <f t="shared" ca="1" si="34"/>
        <v>0</v>
      </c>
      <c r="AV67" s="48">
        <f ca="1">IF(OR(AT67&gt;0,AU67&gt;0),MAX($AV$2:AV66)+1,0)</f>
        <v>0</v>
      </c>
      <c r="AZ67" s="241" t="str">
        <f t="shared" ca="1" si="35"/>
        <v/>
      </c>
      <c r="BA67" s="48">
        <f t="shared" ref="BA67:BA96" ca="1" si="135">IF(BB67&lt;&gt;0,INIZIO_AC,0)</f>
        <v>0</v>
      </c>
      <c r="BB67" s="48">
        <f ca="1">IFERROR(INDEX($AQ$3:$AV$220,MATCH(ROWS($BB$3:BB67),$AV$3:$AV$220,0),1),0)</f>
        <v>0</v>
      </c>
      <c r="BC67" s="48" t="str">
        <f t="shared" ca="1" si="36"/>
        <v/>
      </c>
      <c r="BD67" s="48">
        <f ca="1">IFERROR(INDEX($AQ$3:$AV$220,MATCH(ROWS($BB$3:BD67),$AV$3:$AV$220,0),4),0)</f>
        <v>0</v>
      </c>
      <c r="BE67" s="48">
        <f ca="1">IFERROR(INDEX($AQ$3:$AV$220,MATCH(ROWS($BB$3:BE67),$AV$3:$AV$220,0),5),0)</f>
        <v>0</v>
      </c>
      <c r="BG67" s="48">
        <f ca="1">IF(IF(AND(OR(INDEX(PDC,MATCH($AC67,DEN_PDC,0),6)="SP DARE",INDEX(PDC,MATCH($AC67,DEN_PDC,0),6)="SP DARE/AVERE"),SUMIFS(DARE,DEN_G,$AC67)&gt;=SUMIFS(AVERE,DEN_G,$AC67)),SUMIFS(DARE,DEN_G,$AC67)-SUMIFS(AVERE,DEN_G,$AC67),0)&gt;0,MAX($BG$2:BG66)+1,0)</f>
        <v>0</v>
      </c>
      <c r="BH67" s="48">
        <f ca="1">IF(IF(AND(OR(INDEX(PDC,MATCH($AC67,DEN_PDC,0),6)="SP AVERE",INDEX(PDC,MATCH($AC67,DEN_PDC,0),6)="SP DARE/AVERE"),SUMIFS(AVERE,DEN_G,$AC67)&gt;=SUMIFS(DARE,DEN_G,$AC67)),SUMIFS(AVERE,DEN_G,$AC67)-SUMIFS(DARE,DEN_G,$AC67),0)&gt;0,MAX(BH$2:BH66)+1,0)</f>
        <v>0</v>
      </c>
      <c r="BI67" s="48">
        <f ca="1">IF(IF(AND(OR(INDEX(PDC,MATCH($AC67,DEN_PDC,0),6)="SE DARE",INDEX(PDC,MATCH($AC67,DEN_PDC,0),6)="SE DARE/AVERE"),SUMIFS(DARE,DEN_G,$AC67)&gt;=SUMIFS(AVERE,DEN_G,$AC67)),SUMIFS(DARE,DEN_G,$AC67)-SUMIFS(AVERE,DEN_G,$AC67),0)&gt;0,MAX(BI$2:BI66)+1,0)</f>
        <v>0</v>
      </c>
      <c r="BJ67" s="48">
        <f ca="1">IF(IF(AND(OR(INDEX(PDC,MATCH($AC67,DEN_PDC,0),6)="SE AVERE",INDEX(PDC,MATCH($AC67,DEN_PDC,0),6)="SE DARE/AVERE"),SUMIFS(AVERE,DEN_G,$AC67)&gt;=SUMIFS(DARE,DEN_G,$AC67)),SUMIFS(AVERE,DEN_G,$AC67)-SUMIFS(DARE,DEN_G,$AC67),0)&gt;0,MAX(BJ$2:BJ66)+1,0)</f>
        <v>0</v>
      </c>
      <c r="BK67" s="48" t="str">
        <f ca="1">IF(AND(AND($DY$2=0,$DY$1=0),$I$1=2,ROW()&gt;$BG$1+2,ROW()&lt;=$BG$1+4),"………………..",IF(AND(OR($DY$2&gt;0,$DY$1&gt;0),$I$1=2,ROW()&gt;$BG$1+2,ROW()&lt;=$BG$1+4),"………………..",IFERROR(INDEX($AC$3:$AC$398,MATCH(ROWS(BK$3:BK67),BG$3:BG$398,0),1),"")))</f>
        <v/>
      </c>
      <c r="BL67" s="48">
        <f t="shared" ref="BL67:BL130" ca="1" si="136">IF(BK67&lt;&gt;0,SUMIFS(DARE,DEN_G,$BK67)-SUMIFS(AVERE,DEN_G,$BK67),0)</f>
        <v>0</v>
      </c>
      <c r="BM67" s="48" t="str">
        <f ca="1">IF(AND(OR($DY$2=0,$DY$1=0),$I$1=2,ROW()&gt;$BH$1+2,ROW()&lt;=$BH$1+4),"………………..",IF(AND(OR($DY$2&gt;0,$DY$1&gt;0),$I$1=2,ROW()&gt;$BH$1+2,ROW()&lt;=$BH$1+4),"………………..",IFERROR(INDEX($AC$3:$AC$400,MATCH(ROWS(BM$3:BM67),BH$3:BH$400,0),1),"")))</f>
        <v/>
      </c>
      <c r="BN67" s="48">
        <f t="shared" ref="BN67:BN130" ca="1" si="137">IF(AND($I$1=2,BM67="……………….."),"_ _ _",IF(BM67&lt;&gt;0,SUMIFS(AVERE,DEN_G,$BM67)-SUMIFS(DARE,DEN_G,$BM67),0))</f>
        <v>0</v>
      </c>
      <c r="BO67" s="48" t="str">
        <f ca="1">IF(AND(OR($DY$2=0,$DY$1=0),$I$1=2,ROW()&gt;$BI$1+2,ROW()&lt;=$BI$1+4),"………………..",IF(AND(OR($DY$2&gt;0,$DY$1&gt;0),$I$1=2,ROW()&gt;$BI$1+2,ROW()&lt;=$BI$1+4),"………………..",IFERROR(INDEX($AC$3:$AC$400,MATCH(ROWS(BO$3:BO67),BI$3:BI$400,0),1),"")))</f>
        <v/>
      </c>
      <c r="BP67" s="48">
        <f t="shared" ref="BP67:BP130" ca="1" si="138">IF(AND($I$1=2,BO67="……………….."),"_ _ _",IF(BO67&lt;&gt;0,(SUMIFS(DARE,DEN_G,$BO67)-SUMIFS(AVERE,DEN_G,$BO67)),0))</f>
        <v>0</v>
      </c>
      <c r="BQ67" s="48" t="str">
        <f ca="1">IF(AND(OR($DY$2=0,$DY$1=0),$I$1=2,ROW()&gt;$BJ$1+2,ROW()&lt;=$BJ$1+4),"………………..",IF(AND(OR($DY$2&gt;0,$DY$1&gt;0),$I$1=2,ROW()&gt;$BJ$1+2,ROW()&lt;=$BJ$1+4),"………………..",IFERROR(INDEX($AC$3:$AC$400,MATCH(ROWS(BQ$3:BQ67),BJ$3:BJ$400,0),1),"")))</f>
        <v/>
      </c>
      <c r="BR67" s="48">
        <f t="shared" ref="BR67:BR130" ca="1" si="139">IF(AND($I$1=2,BQ67="……………….."),"_ _ _",IF(BQ67&lt;&gt;0,SUMIFS(AVERE,DEN_G,$BQ67)-SUMIFS(DARE,DEN_G,$BQ67),0))</f>
        <v>0</v>
      </c>
      <c r="BS67" s="48">
        <f ca="1">IF(IF(AND(OR(INDEX(PDC,MATCH($AC67,DEN_PDC,0),4)="D",INDEX(PDC,MATCH($AC67,DEN_PDC,0),4)="D/A"),SUMIFS(DARE,DEN_G,$AC67)&gt;=SUMIFS(AVERE,DEN_G,$AC67)),SUMIFS(DARE,DEN_G,$AC67),IF(AND(OR(INDEX(PDC,MATCH($AC67,DEN_PDC,0),4)="A",INDEX(PDC,MATCH($AC67,DEN_PDC,0),4)="D/A"),SUMIFS(AVERE,DEN_G,$AC67)&gt;=SUMIFS(DARE,DEN_G,$AC67)),SUMIFS(AVERE,DEN_G,$AC67),))&gt;0,MAX($BS$2:BS66)+1,0)</f>
        <v>0</v>
      </c>
      <c r="BT67" s="48" t="str">
        <f ca="1">IF($CO$1=0,"",IF(AND($I$1=2,ROW()&gt;$BR$1,ROW()&lt;=$BS$1)," …………….",IF(AND($E$1=1,$BX$1=1,$I$1=2,ROW()=$BQ$1),"TOTALI",IFERROR(INDEX(PDC,MATCH(ROWS(BT$3:BT67),BS$3:BS464,0),2),""))))</f>
        <v/>
      </c>
      <c r="BU67" s="48">
        <f t="shared" ref="BU67:BU130" ca="1" si="140">IF(BT67="",0,IF(BT67=" …………….","_ _ _    ",IF(BT67="",0,IF(AND($I$1=2,BT67="TOTALI"),"_ _ _    ",SUMIFS(DARE,DEN_G,$BT67)))))</f>
        <v>0</v>
      </c>
      <c r="BV67" s="48">
        <f t="shared" ref="BV67:BV130" ca="1" si="141">IF(BT67="",0,IF(BT67=" …………….","_ _ _    ",IF(BT67="",0,IF(AND($I$1=2,BT67="TOTALI"),"_ _ _    ",SUMIFS(AVERE,DEN_G,$BT67)))))</f>
        <v>0</v>
      </c>
      <c r="BW67" s="48">
        <f t="shared" ref="BW67:BW130" ca="1" si="142">IF(BU67&gt;BV67,BU67-BV67,IF(BU67="_ _ _    ","_ _ _    ",0))</f>
        <v>0</v>
      </c>
      <c r="BX67" s="48">
        <f t="shared" ref="BX67:BX130" ca="1" si="143">IF(BV67&gt;BU67,BV67-BU67,IF(BU67="_ _ _    ","_ _ _    ",0))</f>
        <v>0</v>
      </c>
      <c r="BY67" s="48">
        <f ca="1">IF(OR(BW67&gt;0,BX67&gt;0),MAX($BY$2:BY66)+1,0)</f>
        <v>0</v>
      </c>
      <c r="BZ67" s="48" t="str">
        <f ca="1">IFERROR(INDEX($BT$3:$BY$400,MATCH(ROWS(BZ$3:BZ67),$BY$3:$BY$400,0),1),"")</f>
        <v/>
      </c>
      <c r="CA67" s="48" t="str">
        <f ca="1">IFERROR(INDEX($BT$3:$BY$400,MATCH(ROWS(CA$3:CA67),$BY$3:$BY$400,0),4),"")</f>
        <v/>
      </c>
      <c r="CB67" s="48" t="str">
        <f ca="1">IFERROR(INDEX($BT$3:$BY$400,MATCH(ROWS(CB$3:CB67),$BY$3:$BY$400,0),5),"")</f>
        <v/>
      </c>
      <c r="CC67" s="48" t="str">
        <f t="shared" ref="CC67:CC130" ca="1" si="144">IFERROR(INDEX(PDC,MATCH(BZ67,DEN_PDC,0),9),"")</f>
        <v/>
      </c>
      <c r="CD67" s="48">
        <f ca="1">IF(AND($BF$9=1,CE67&lt;&gt;0),MAX($CD$2:CD66)+1,0)</f>
        <v>0</v>
      </c>
      <c r="CE67" s="48">
        <f ca="1">IF(ROUND(SUMIFS(COPIA!$CA$3:$CA$400,COPIA!$CC$3:$CC$400,CF67)-SUMIFS(COPIA!$CB$3:$CB$400,COPIA!$CC$3:$CC$400,CF67),0)&lt;0,0,ROUND(SUMIFS(COPIA!$CA$3:$CA$400,COPIA!$CC$3:$CC$400,CF67)-SUMIFS(COPIA!$CB$3:$CB$400,COPIA!$CC$3:$CC$400,CF67),0))</f>
        <v>0</v>
      </c>
      <c r="CF67" s="48" t="s">
        <v>638</v>
      </c>
      <c r="CG67" s="242" t="s">
        <v>528</v>
      </c>
      <c r="CH67" s="242">
        <f t="shared" ca="1" si="112"/>
        <v>0</v>
      </c>
      <c r="CI67" s="242"/>
      <c r="CJ67" s="242">
        <f ca="1">SUMIFS(COPIA!$CA$3:$CA$400,COPIA!$CC$3:$CC$400,CF67)-SUMIFS(COPIA!$CB$3:$CB$400,COPIA!$CC$3:$CC$400,CF67)</f>
        <v>0</v>
      </c>
      <c r="CK67" s="48">
        <f ca="1">IF($CF$2=FALSE,0,IF(AND($BF$9=1,CJ67&lt;&gt;0),MAX($CK$21:CK66)+1,0))</f>
        <v>0</v>
      </c>
      <c r="CL67" s="48" t="s">
        <v>695</v>
      </c>
      <c r="CM67" s="242" t="str">
        <f t="shared" ca="1" si="37"/>
        <v/>
      </c>
      <c r="CN67" s="243">
        <f t="shared" ca="1" si="38"/>
        <v>0</v>
      </c>
      <c r="CO67" s="48" t="str">
        <f t="shared" ca="1" si="39"/>
        <v/>
      </c>
      <c r="CQ67" s="242">
        <f ca="1">CQ60-2</f>
        <v>2024</v>
      </c>
      <c r="CR67" s="242"/>
      <c r="CT67" s="48" t="str">
        <f ca="1">IFERROR(INDEX(CR60:CS65,MATCH(CQ67,CR60:CR65,0),2),"n-1")</f>
        <v>n-1</v>
      </c>
      <c r="CU67" s="48">
        <f ca="1">IF(SUMIFS(AVERE,DEN_G,AC67,AVERE,"&gt;"&amp;0)+SUMIFS(DARE,DEN_G,AC67,DARE,"&gt;"&amp;0)&gt;0,MAX($CU$2:CU66)+1,0)</f>
        <v>0</v>
      </c>
      <c r="CV67" s="48" t="str">
        <f ca="1">IF(IFERROR(INDEX(PDC,MATCH(ROWS($CV$3:CV67),$CU$3:$CU$400,0),2),"")="CONTO DI RISULTATO ECONOMICO","",IFERROR(INDEX(PDC,MATCH(ROWS($CV$3:CV67),$CU$3:$CU$400,0),2),""))</f>
        <v/>
      </c>
      <c r="CW67" s="48">
        <f ca="1">IFERROR(IF(CV67&lt;&gt;"",MAX($CW$2:CW66)+1,0),0)</f>
        <v>0</v>
      </c>
      <c r="CY67" s="48" t="s">
        <v>500</v>
      </c>
      <c r="DB67" s="48" t="str">
        <f t="shared" ref="DB67" ca="1" si="145">IF(CX66=$DF$1,"","MASTRO")</f>
        <v>MASTRO</v>
      </c>
      <c r="DF67" s="48">
        <f ca="1">IF(AND(CX67=$DF$1,CX67&lt;&gt;""),0,IF(AND(DB67&lt;&gt;"",OR(DB66&lt;&gt;"",DB68&lt;&gt;"")),MAX($DF$2:DF66)+1,0))</f>
        <v>0</v>
      </c>
      <c r="DH67" s="244" t="s">
        <v>1085</v>
      </c>
      <c r="DI67" s="48" t="s">
        <v>356</v>
      </c>
      <c r="DJ67" s="48" t="s">
        <v>311</v>
      </c>
      <c r="DK67" s="48" t="s">
        <v>275</v>
      </c>
      <c r="DL67" s="48" t="s">
        <v>13</v>
      </c>
      <c r="DM67" s="48" t="s">
        <v>270</v>
      </c>
      <c r="DN67" s="48">
        <f ca="1">IF(DI67&lt;&gt;"",MAX($DN$2:DN66)+1,0)</f>
        <v>50</v>
      </c>
      <c r="DO67" s="48" t="str">
        <f ca="1">IF($BF$9=1,"pab33","pab3")</f>
        <v>pab3</v>
      </c>
      <c r="DQ67" s="227" t="s">
        <v>343</v>
      </c>
      <c r="DR67" s="48" t="s">
        <v>479</v>
      </c>
      <c r="DS67" s="48" t="s">
        <v>311</v>
      </c>
      <c r="DT67" s="48" t="s">
        <v>275</v>
      </c>
      <c r="DU67" s="48" t="s">
        <v>9</v>
      </c>
      <c r="DV67" s="48" t="s">
        <v>270</v>
      </c>
      <c r="DW67" s="48">
        <f ca="1">IF(DR67&lt;&gt;"",MAX($DW$2:DW66)+1,0)</f>
        <v>33</v>
      </c>
      <c r="DX67" s="48" t="str">
        <f t="shared" ref="DX67:DX68" ca="1" si="146">IF($BF$9=1,"pab25","pab2")</f>
        <v>pab2</v>
      </c>
      <c r="DY67" s="48" t="str">
        <f t="shared" ref="DY67:DY130" ca="1" si="147">IF(BB67=0,"",INDEX(PDC,MATCH(BB67,DEN_PDC,0),1))</f>
        <v/>
      </c>
      <c r="DZ67" s="48" t="str">
        <f t="shared" ca="1" si="40"/>
        <v/>
      </c>
      <c r="EA67" s="48" t="str">
        <f t="shared" ca="1" si="41"/>
        <v/>
      </c>
      <c r="EB67" s="48">
        <f t="shared" ca="1" si="42"/>
        <v>0</v>
      </c>
      <c r="EC67" s="48">
        <f t="shared" ca="1" si="43"/>
        <v>0</v>
      </c>
      <c r="ED67" s="48" t="str">
        <f t="shared" ca="1" si="44"/>
        <v/>
      </c>
      <c r="EE67" s="48">
        <f t="shared" ca="1" si="45"/>
        <v>0</v>
      </c>
      <c r="EF67" s="48" t="str">
        <f t="shared" ca="1" si="46"/>
        <v/>
      </c>
      <c r="EG67" s="48">
        <f t="shared" ca="1" si="47"/>
        <v>0</v>
      </c>
      <c r="EH67" s="48" t="str">
        <f t="shared" ca="1" si="48"/>
        <v/>
      </c>
      <c r="EI67" s="48">
        <f t="shared" ca="1" si="49"/>
        <v>0</v>
      </c>
      <c r="EJ67" s="48" t="str">
        <f t="shared" ca="1" si="50"/>
        <v/>
      </c>
      <c r="EK67" s="48">
        <f t="shared" ca="1" si="51"/>
        <v>0</v>
      </c>
      <c r="EL67" s="48">
        <f t="shared" ref="EL67:EL130" ca="1" si="148">IF(OR(AND($I$1=1,AC67="perdita d'esercizio"),AND($I$1=1,AC67="utile d'esercizio")),0,IF(AND(AE67="d",AG67="SP DARE"),SUMIFS(dare_grezzo,den_grezzo,AC67,data_grezzo,"&lt;="&amp;FINE_AC,data_grezzo,"&gt;="&amp;INIZIO_A_PC)-SUMIFS(avere_grezzo,den_grezzo,AC67,data_grezzo,"&lt;="&amp;FINE_AC,data_grezzo,"&gt;="&amp;INIZIO_A_PC),IF(AND(AE67="a",AG67="SP AVERE"),SUMIFS(avere_grezzo,den_grezzo,AC67,data_grezzo,"&lt;="&amp;FINE_AC,data_grezzo,"&gt;="&amp;INIZIO_A_PC)-SUMIFS(dare_grezzo,den_grezzo,AC67,data_grezzo,"&lt;="&amp;FINE_AC,data_grezzo,"&gt;="&amp;INIZIO_A_PC),IF(AND(AE67="d",AG67="SE DARE"),SUMIFS(dare_grezzo,den_grezzo,AC67,data_grezzo,"&lt;="&amp;FINE_AC,data_grezzo,"&gt;="&amp;INIZIO_A_PC,data_grezzo,"&gt;="&amp;INIZIO_AC)-SUMIFS(avere_grezzo,den_grezzo,AC67,data_grezzo,"&lt;="&amp;FINE_AC,data_grezzo,"&gt;="&amp;INIZIO_A_PC,data_grezzo,"&gt;="&amp;INIZIO_AC),IF(AND(AE67="a",AG67="SE AVERE"),SUMIFS(avere_grezzo,den_grezzo,AC67,data_grezzo,"&lt;="&amp;FINE_AC,data_grezzo,"&gt;="&amp;INIZIO_A_PC,data_grezzo,"&gt;="&amp;INIZIO_AC)-SUMIFS(dare_grezzo,den_grezzo,AC67,data_grezzo,"&lt;="&amp;FINE_AC,data_grezzo,"&gt;="&amp;INIZIO_A_PC,data_grezzo,"&gt;="&amp;INIZIO_AC),0)))))</f>
        <v>0</v>
      </c>
      <c r="EM67" s="48">
        <f ca="1">IF(EL67&gt;=0,0,MAX($EM$2:EM66)+1)</f>
        <v>0</v>
      </c>
      <c r="EN67" s="48" t="str">
        <f t="shared" ca="1" si="21"/>
        <v/>
      </c>
      <c r="EO67" s="48" t="str">
        <f ca="1">IFERROR(INDEX($EM$3:$EN$400,MATCH(ROWS($EO$3:EO67),$EM$3:$EM$400,0),2),"")</f>
        <v/>
      </c>
      <c r="EP67" s="48">
        <f>ROW()</f>
        <v>67</v>
      </c>
      <c r="EQ67" s="48">
        <f t="shared" ref="EQ67:EQ130" ca="1" si="149">IF(AND(AM67&lt;&gt;0,AL67&lt;=FINE_AC),INDEX(PDC,MATCH(SUBSTITUTE(AM67,"[",""),DEN_PDC,0),1),0)</f>
        <v>0</v>
      </c>
      <c r="ER67" s="48">
        <f ca="1">IF(ISNA(EQ67)=TRUE,MAX($ER$2:ER66)+1,0)</f>
        <v>0</v>
      </c>
      <c r="ES67" s="48" t="str">
        <f t="shared" ca="1" si="52"/>
        <v/>
      </c>
      <c r="ET67" s="48" t="str">
        <f ca="1">IFERROR(INDEX($ER$3:$ES$400,MATCH(ROWS($ET$3:ET67),$ER$3:$ER$400,0),2),"")</f>
        <v/>
      </c>
      <c r="EV67" s="48">
        <f ca="1">IFERROR(INDEX(LIBRO_GIORNALE!$O$11:$P$408,MATCH(ROWS($EV$2:EV66),LIBRO_GIORNALE!$P$11:$P$408,0),1),0)</f>
        <v>0</v>
      </c>
      <c r="EW67" s="48" t="str">
        <f t="shared" ca="1" si="53"/>
        <v>0</v>
      </c>
      <c r="EX67" s="48">
        <f t="shared" ca="1" si="54"/>
        <v>0</v>
      </c>
      <c r="EY67" s="48">
        <f ca="1">IF(EX67&gt;0,MAX($EY$2:EY66)+1,0)</f>
        <v>0</v>
      </c>
      <c r="EZ67" s="48">
        <f ca="1">IFERROR(INDEX($EX$3:$EX$400,MATCH(ROWS($EZ$3:EZ67),$EY$3:$EY$400,0),1),0)</f>
        <v>0</v>
      </c>
      <c r="FA67" s="48">
        <f ca="1">IF(EZ67&gt;0,0,MAX($FA$2:FA66)+1)</f>
        <v>65</v>
      </c>
      <c r="FB67" s="48">
        <f t="shared" ca="1" si="55"/>
        <v>0</v>
      </c>
      <c r="FC67" s="48">
        <f t="shared" ca="1" si="56"/>
        <v>65</v>
      </c>
      <c r="FD67" s="48">
        <f t="shared" ca="1" si="57"/>
        <v>65</v>
      </c>
      <c r="FE67" s="48">
        <f ca="1">IF(FD67=0,0,MAX($FE$2:FE66)+1)</f>
        <v>65</v>
      </c>
      <c r="FF67" s="48">
        <f ca="1">IFERROR(INDEX($FD$3:$FE$400,MATCH(ROWS($FF$3:FF67),$FE$3:$FE$400,0),1),"")</f>
        <v>65</v>
      </c>
      <c r="FH67" s="48">
        <f t="shared" ca="1" si="58"/>
        <v>0</v>
      </c>
      <c r="FI67" s="48">
        <f ca="1">IF(FH67&lt;&gt;0,MAX($FI$2:FI66)+1,0)</f>
        <v>0</v>
      </c>
      <c r="FJ67" s="48" t="str">
        <f ca="1">IFERROR(INDEX($FH$3:$FI$400,MATCH(ROWS($FJ$3:FJ67),$FI$3:$FI$400,0),1),"")</f>
        <v/>
      </c>
      <c r="FK67" s="48">
        <f ca="1">IF(ABS(SUMIFS(DARE,DEN_G,"="&amp;FJ67,DATA,"&lt;="&amp;FINE_AC,DATA,"&gt;="&amp;INIZIO_A_PC)-SUMIFS(AVERE,DEN_G,"="&amp;FJ67,DATA,"&lt;="&amp;FINE_AC,DATA,"&gt;="&amp;INIZIO_A_PC))&gt;0,MAX($FK$2:FK66)+1,0)</f>
        <v>0</v>
      </c>
      <c r="FL67" s="48" t="str">
        <f ca="1">IF(AND(ROW()-2&lt;&gt;1,ROW()-2&lt;=$FK$1),CONCATENATE(" - ",IFERROR(INDEX($FJ$3:$FK$400,MATCH(ROWS($FL$3:FL67),$FK$3:$FK$400,0),1),"")),IFERROR(INDEX($FJ$3:$FK$400,MATCH(ROWS($FL$3:FL67),$FK$3:$FK$400,0),1),""))</f>
        <v/>
      </c>
      <c r="FM67" s="48">
        <f ca="1">IF(OR(B67="IVA ns/credito",B67="IVA NS/DEBITO",B67="IVA C/ACCONTO",B67="IMPOSTE C/ACCONTO",B67="CREDITI PER RITENUTE SUBITE",B67="CREDITI D'IMPOSTA"),MAX($FM$2:FM66)+1,0)</f>
        <v>0</v>
      </c>
      <c r="FN67" s="48" t="str">
        <f t="shared" ca="1" si="59"/>
        <v/>
      </c>
      <c r="FO67" s="48" t="str">
        <f ca="1">IFERROR(INDEX($FM$3:$FN$400,MATCH(ROWS($FO$3:FO67),$FM$3:$FM$400,0),2),"")</f>
        <v/>
      </c>
      <c r="FP67" s="48">
        <f ca="1">IF(ABS(SUMIFS(DARE,DEN_G,"="&amp;FO67,DATA,"&lt;="&amp;FINE_AC,DATA,"&gt;="&amp;INIZIO_A_PC)-SUMIFS(AVERE,DEN_G,"="&amp;FO67,DATA,"&lt;="&amp;FINE_AC,DATA,"&gt;="&amp;INIZIO_A_PC))&gt;0,MAX($FP$2:FP66)+1,0)</f>
        <v>0</v>
      </c>
      <c r="FQ67" s="48" t="str">
        <f ca="1">IF(AND(ROW()-2&lt;&gt;1,ROW()-2&lt;=$FP$1),CONCATENATE(" - ",IFERROR(INDEX($FO$3:$FP$400,MATCH(ROWS($FQ$3:FQ67),$FP$3:$FP$400,0),1),"")),IFERROR(INDEX($FO$3:$FP$400,MATCH(ROWS($FQ$3:FQ67),$FP$3:$FP$400,0),1),""))</f>
        <v/>
      </c>
    </row>
    <row r="68" spans="1:173" x14ac:dyDescent="0.3">
      <c r="A68" s="48" t="str">
        <f ca="1">IFERROR(IF($A$1=2,INDEX($DH$3:$DN$401,MATCH(ROWS(A$3:A68),$DN$3:$DN$401,0),COLUMN()),IF($A$1=1,INDEX($DQ$3:$DW$401,MATCH(ROWS(A$3:A68),$DW$3:$DW$401,0),COLUMN()),"")),"")</f>
        <v>05.07</v>
      </c>
      <c r="B68" s="48" t="str">
        <f ca="1">IFERROR(IF($A$1=2,INDEX($DH$3:$DN$401,MATCH(ROWS(B$3:B68),$DN$3:$DN$401,0),COLUMN()),IF($A$1=1,INDEX($DQ$3:$DW$400,MATCH(ROWS(B$3:B68),$DW$3:$DW$401,0),COLUMN()),"")),"")</f>
        <v>CAMBIALI ALLO SCONTO</v>
      </c>
      <c r="C68" s="48" t="str">
        <f ca="1">IFERROR(IF($A$1=2,INDEX($DH$3:$DN$401,MATCH(ROWS(C$3:C68),$DN$3:$DN$401,0),COLUMN()),IF($A$1=1,INDEX($DQ$3:$DW$401,MATCH(ROWS(C$3:C68),$DW$3:$DW$401,0),COLUMN()),"")),"")</f>
        <v>F</v>
      </c>
      <c r="D68" s="48" t="str">
        <f ca="1">IFERROR(IF($A$1=2,INDEX($DH$3:$DN$401,MATCH(ROWS(D$3:D68),$DN$3:$DN$401,0),COLUMN()),IF($A$1=1,INDEX($DQ$3:$DW$401,MATCH(ROWS(D$3:D68),$DW$3:$DW$401,0),COLUMN()),"")),"")</f>
        <v>D</v>
      </c>
      <c r="E68" s="48" t="str">
        <f ca="1">IFERROR(IF($A$1=2,INDEX($DH$3:$DN$401,MATCH(ROWS(E$3:E68),$DN$3:$DN$401,0),COLUMN()),IF($A$1=1,INDEX($DQ$3:$DW$401,MATCH(ROWS(E$3:E68),$DW$3:$DW$401,0),COLUMN()),"")),"")</f>
        <v>CREDITI</v>
      </c>
      <c r="F68" s="48" t="str">
        <f ca="1">IFERROR(IF($A$1=2,INDEX($DH$3:$DN$401,MATCH(ROWS(F$3:F68),$DN$3:$DN$401,0),COLUMN()),IF($A$1=1,INDEX($DQ$3:$DX$401,MATCH(ROWS(F$3:F68),$DW$3:$DW$401,0),COLUMN()),"")),"")</f>
        <v>SP DARE</v>
      </c>
      <c r="G68" s="48" t="str">
        <f t="shared" ref="G68:G131" ca="1" si="150">IFERROR(MID(F68,1,2),"")</f>
        <v>SP</v>
      </c>
      <c r="H68" s="48" t="str">
        <f ca="1">IFERROR(IF($A$1=2,INDEX($DH$3:$DO$400,MATCH(ROWS(H$3:H68),$DN$3:$DN$400,0),COLUMN()),IF($A$1=1,INDEX($DQ$3:$DX$400,MATCH(ROWS(H$3:H68),$DW$3:$DW$400,0),COLUMN()),"")),"")</f>
        <v>pac2</v>
      </c>
      <c r="I68" s="48" t="str">
        <f t="shared" ref="I68:I131" ca="1" si="151">IF(OR($ES$1&gt;0,$DW$1=0,$BX$1=0,$AY$1&lt;&gt;0),"",IF(AND($F$1=1,$BI$1&gt;=$BJ$1,$BP$2&gt;$BR$2,ROW()=$BI$1+5),"TOTALE COSTI",IF(AND($F$1=1,$BI$1&lt;=$BJ$1,$BP$2&gt;$BR$2,ROW()=$BJ$1+5),"TOTALE COSTI",IF(AND($F$1=1,$BI$1&gt;=$BJ$1,$BP$2&lt;$BR$2,ROW()=$BI$1+3),"TOTALE COSTI",IF(AND($F$1=1,$BI$1&gt;=$BJ$1,$BP$2&lt;$BR$2,ROW()=$BI$1+4),"SALDO ECONOMICO POSITIVO",IF(AND($F$1=1,$BI$1&gt;=$BJ$1,$BP$2&lt;$BR$2,ROW()=$BI$1+5),"TOTALE A PAREGGIO",IF(AND($F$1=1,$BI$1&lt;=$BJ$1,$BP$2&lt;$BR$2,ROW()=$BJ$1+3),"TOTALE COSTI",IF(AND($F$1=1,$BI$1&lt;=$BJ$1,$BP$2&lt;$BR$2,ROW()=$BJ$1+4),"SALDO ECONOMICO POSITIVO",IF(AND($F$1=1,$BI$1&lt;=$BJ$1,$BP$2&lt;$BR$2,ROW()=$BJ$1+5),"TOTALE A PAREGGIO",IF(AND($F$1=1,$BI$1&gt;$BJ$1,$BP$2&lt;&gt;0,$BP$2=$BR$2,ROW()=$BI$1+3),"TOTALE COSTI",IF(AND($BP$2&lt;&gt;0,$F$1=1,$BI$1&lt;$BJ$1,$BP$2=$BR$2,ROW()=$BJ$1+3),"TOTALE COSTI",IF(AND($BP$2&lt;&gt;0,$F$1=1,$BI$1=$BJ$1,$BP$2=$BR$2,ROW()=$BI$1+3),"TOTALE COSTI",IF(AND($I$1=2,$E$1=1,$BI$1&gt;=$BJ$1,$DY$1&gt;0,ROW()=$BI$1+7),"TOTALE COSTI",IF(AND($I$1=2,$E$1=1,$BI$1&lt;=$BJ$1,$DY$1&gt;0,ROW()=$BJ$1+7),"TOTALE COSTI",IF(AND($I$1=2,$E$1=1,$BI$1&gt;=$BJ$1,$DY$2&gt;0,ROW()=$BI$1+5),"TOTALE COSTI",IF(AND($I$1=2,$E$1=1,$BI$1&lt;=$BJ$1,$DY$2&gt;0,ROW()=$BJ$1+5),"TOTALE COSTI",IF(AND($I$1=2,$E$1=1,$BI$1&lt;=$BJ$1,$DY$2&gt;0,ROW()=$BJ$1+6),"UTILE D'ESERCIZIO",IF(AND($I$1=2,$E$1=1,$BI$1&gt;=$BJ$1,$DY$2&gt;0,ROW()=$BI$1+6),"UTILE D'ESERCIZIO",IF(AND($I$1=2,$E$1=1,$BI$1&lt;=$BJ$1,$DY$2&gt;0,ROW()=$BJ$1+7),"TOTALE A PAREGGIO",IF(AND($I$1=2,$E$1=1,$BI$1&gt;=$BJ$1,$DY$2&gt;0,ROW()=$BI$1+7),"TOTALE A PAREGGIO",IF(AND($I$1=2,$E$1=1,$BI$1&gt;=$BJ$1,$DY$2=0,$DY$1=0,ROW()=$BI$1+5),"TOTALE",IF(AND($I$1=2,$E$1=1,$BI$1&lt;=$BJ$1,$DY$2=0,$DY$1=0,ROW()=$BJ$1+5),"TOTALE",""))))))))))))))))))))))</f>
        <v/>
      </c>
      <c r="J68" s="48" t="str">
        <f t="shared" ref="J68:J131" ca="1" si="152">IF($CO$1=0,"",IF(AND($CP$1=TRUE,CONCATENATE(I68,BO68)="SALDO ECONOMICO POSITIVO"),REPLACE(CONCATENATE(I68,BO68),1,30,"UTILE D'ESERCIZIO"),CONCATENATE(I68,BO68)))</f>
        <v/>
      </c>
      <c r="K68" s="48">
        <f t="shared" ref="K68:K131" ca="1" si="153">IF(AND($I$1=2,J68="……………….."),"_ _ _",IF(AND(J68="TOTALE",$I$1=2),"_ _ _",IF(AND(J68="TOTALE COSTI",$I$1=2),"_ _ _",IF(AND(J68="TOTALE A PAREGGIO",$I$1=2),"_ _ _",IF(AND(J68="UTILE D'ESERCIZIO",$I$1=2),$DY$2,IF(J68="TOTALE COSTI",$BP$2,IF(OR(J68="SALDO ECONOMICO POSITIVO",J68="UTILE D'ESERCIZIO"),$BR$2-$BP$2,IF(J68="TOTALE A PAREGGIO",$BR$2,0))))))))</f>
        <v>0</v>
      </c>
      <c r="L68" s="48">
        <f t="shared" ref="L68:L131" ca="1" si="154">IF(AND($I$1=2,K68&lt;&gt;0),K68,SUM(K68,BP68))</f>
        <v>0</v>
      </c>
      <c r="M68" s="48">
        <f ca="1">IFERROR(IF(IF(MID($A68,3,3)=".00",MID(A68,1,2),"")&lt;&gt;"",MAX($M$2:M67)+1,0),"")</f>
        <v>0</v>
      </c>
      <c r="N68" s="48" t="str">
        <f t="shared" ref="N68:N131" ca="1" si="155">IFERROR(IF(MID($A68,3,3)=".00",MID(A68,1,2),""),"")</f>
        <v/>
      </c>
      <c r="O68" s="48">
        <v>18</v>
      </c>
      <c r="P68" s="48" t="str">
        <f t="shared" ref="P68:P131" ca="1" si="156">IFERROR(INDEX($A$3:$B$400,MATCH(O68,$A$3:$A$400,0),2),"")</f>
        <v/>
      </c>
      <c r="Q68" s="48">
        <f ca="1">IF(M68&gt;=1,0,MAX($Q$2:Q67)+1)</f>
        <v>60</v>
      </c>
      <c r="U68" s="48" t="str">
        <f ca="1">IFERROR(INDEX(PDC,MATCH(ROWS(U$3:U68),$V$3:$V$400,0),2),"")</f>
        <v>FONDO SVALUTAZIONE CREDITI</v>
      </c>
      <c r="V68" s="48">
        <f ca="1">IF(AND($T$1="VISUALIZZA TUTTI I CONTI",AA68&lt;&gt;""),MAX($V$2:V67)+1,IF(AND($U$2=2,AI68=$T$1),MAX($V$2:V67)+1,IF(AND($U$2=1,$T$1=AF68),MAX($V$2:V67)+1,0)))</f>
        <v>66</v>
      </c>
      <c r="Z68" s="246"/>
      <c r="AA68" s="48" t="str">
        <f t="shared" ref="AA68:AA131" ca="1" si="157">IF(AC68&lt;&gt;"",CONCATENATE(MID(AB68,1,2),".00"),"")</f>
        <v>05.00</v>
      </c>
      <c r="AB68" s="48" t="str">
        <f ca="1">IFERROR(INDEX($A$3:$G$400,MATCH(ROWS(AB$3:AB68),$Q$3:$Q$400,0),1),"")</f>
        <v>05.20</v>
      </c>
      <c r="AC68" s="48" t="str">
        <f ca="1">IFERROR(INDEX($A$3:$G$400,MATCH(ROWS($AC$3:AC68),$Q$3:$Q$400,0),2),"")</f>
        <v>FONDO SVALUTAZIONE CREDITI</v>
      </c>
      <c r="AD68" s="48" t="str">
        <f ca="1">IFERROR(INDEX($A$3:$G$400,MATCH(ROWS(AD$3:AD68),$Q$3:$Q$400,0),3),"")</f>
        <v>F</v>
      </c>
      <c r="AE68" s="48" t="str">
        <f ca="1">IFERROR(INDEX($A$3:$G$400,MATCH(ROWS(AE$3:AE68),$Q$3:$Q$400,0),4),"")</f>
        <v>A</v>
      </c>
      <c r="AF68" s="48" t="str">
        <f ca="1">IFERROR(INDEX($A$3:$G$400,MATCH(ROWS(AF$3:AF68),$Q$3:$Q$400,0),5),"")</f>
        <v>CREDITI</v>
      </c>
      <c r="AG68" s="48" t="str">
        <f ca="1">IFERROR(INDEX($A$3:$G$400,MATCH(ROWS(AG$3:AG68),$Q$3:$Q$400,0),6),"")</f>
        <v>SP AVERE</v>
      </c>
      <c r="AH68" s="48" t="str">
        <f ca="1">IFERROR(INDEX($A$3:$G$400,MATCH(ROWS(AH$3:AH68),$Q$3:$Q$400,0),7),"")</f>
        <v>SP</v>
      </c>
      <c r="AI68" s="48" t="str">
        <f t="shared" ref="AI68:AI131" ca="1" si="158">INDEX($O$3:$P$50,MATCH(AA68,$O$3:$O$50,0),2)</f>
        <v>CREDITI COMMERCIALI</v>
      </c>
      <c r="AJ68" s="48" t="str">
        <f ca="1">IFERROR(INDEX($A$3:$H$400,MATCH(ROWS(AJ$3:AJ68),$Q$3:$Q$400,0),8),"")</f>
        <v>pac2</v>
      </c>
      <c r="AK68" s="48">
        <f t="shared" ca="1" si="130"/>
        <v>0</v>
      </c>
      <c r="AL68" s="48">
        <f t="shared" ca="1" si="131"/>
        <v>0</v>
      </c>
      <c r="AM68" s="48">
        <f t="shared" ref="AM68:AM102" ca="1" si="159">IF(AL68=0,0,INDIRECT(ADDRESS(ROW()+6,COLUMN()-34,,,"VALORI_INIZIALI")))</f>
        <v>0</v>
      </c>
      <c r="AN68" s="48" t="str">
        <f t="shared" ref="AN68:AN102" ca="1" si="160">IF(AND(CONCATENATE(INDIRECT(ADDRESS(ROW()+6,6,,,"VALORI_INIZIALI")),INDIRECT(ADDRESS(ROW()+6,7,,,"VALORI_INIZIALI")))="",AM68&lt;&gt;0),"manca la descrizione dell'operazione",CONCATENATE(INDIRECT(ADDRESS(ROW()+6,6,,,"VALORI_INIZIALI")),INDIRECT(ADDRESS(ROW()+6,7,,,"VALORI_INIZIALI"))))</f>
        <v/>
      </c>
      <c r="AO68" s="48">
        <f t="shared" ref="AO68:AP102" ca="1" si="161">IFERROR(ROUND(INDIRECT(ADDRESS(ROW()+6,COLUMN()-33,,,"VALORI_INIZIALI")),2),0)</f>
        <v>0</v>
      </c>
      <c r="AP68" s="48">
        <f t="shared" ca="1" si="161"/>
        <v>0</v>
      </c>
      <c r="AQ68" s="48" t="str">
        <f t="shared" ca="1" si="132"/>
        <v>FONDO SVALUTAZIONE CREDITI</v>
      </c>
      <c r="AR68" s="48">
        <f t="shared" ca="1" si="133"/>
        <v>0</v>
      </c>
      <c r="AS68" s="48">
        <f t="shared" ca="1" si="134"/>
        <v>0</v>
      </c>
      <c r="AT68" s="48">
        <f t="shared" ref="AT68:AT131" ca="1" si="162">IF(AND(AQ68&lt;&gt;"",$AR68&gt;$AS68,OR($AR68&gt;0,$AS68&gt;0)),$AR68-$AS68,0)</f>
        <v>0</v>
      </c>
      <c r="AU68" s="48">
        <f t="shared" ref="AU68:AU131" ca="1" si="163">IF(AND(AQ68&lt;&gt;"",$AR68&lt;$AS68,OR($AR68&gt;0,$AS68&gt;0)),$AS68-$AR68,0)</f>
        <v>0</v>
      </c>
      <c r="AV68" s="48">
        <f ca="1">IF(OR(AT68&gt;0,AU68&gt;0),MAX($AV$2:AV67)+1,0)</f>
        <v>0</v>
      </c>
      <c r="AZ68" s="241" t="str">
        <f t="shared" ref="AZ68:AZ96" ca="1" si="164">IF(BA68=0,"",CONCATENATE(ROW()-2," A."))</f>
        <v/>
      </c>
      <c r="BA68" s="48">
        <f t="shared" ca="1" si="135"/>
        <v>0</v>
      </c>
      <c r="BB68" s="48">
        <f ca="1">IFERROR(INDEX($AQ$3:$AV$220,MATCH(ROWS($BB$3:BB68),$AV$3:$AV$220,0),1),0)</f>
        <v>0</v>
      </c>
      <c r="BC68" s="48" t="str">
        <f t="shared" ref="BC68:BC96" ca="1" si="165">IF(BB68&lt;&gt;0,"apertura del conto","")</f>
        <v/>
      </c>
      <c r="BD68" s="48">
        <f ca="1">IFERROR(INDEX($AQ$3:$AV$220,MATCH(ROWS($BB$3:BD68),$AV$3:$AV$220,0),4),0)</f>
        <v>0</v>
      </c>
      <c r="BE68" s="48">
        <f ca="1">IFERROR(INDEX($AQ$3:$AV$220,MATCH(ROWS($BB$3:BE68),$AV$3:$AV$220,0),5),0)</f>
        <v>0</v>
      </c>
      <c r="BG68" s="48">
        <f ca="1">IF(IF(AND(OR(INDEX(PDC,MATCH($AC68,DEN_PDC,0),6)="SP DARE",INDEX(PDC,MATCH($AC68,DEN_PDC,0),6)="SP DARE/AVERE"),SUMIFS(DARE,DEN_G,$AC68)&gt;=SUMIFS(AVERE,DEN_G,$AC68)),SUMIFS(DARE,DEN_G,$AC68)-SUMIFS(AVERE,DEN_G,$AC68),0)&gt;0,MAX($BG$2:BG67)+1,0)</f>
        <v>0</v>
      </c>
      <c r="BH68" s="48">
        <f ca="1">IF(IF(AND(OR(INDEX(PDC,MATCH($AC68,DEN_PDC,0),6)="SP AVERE",INDEX(PDC,MATCH($AC68,DEN_PDC,0),6)="SP DARE/AVERE"),SUMIFS(AVERE,DEN_G,$AC68)&gt;=SUMIFS(DARE,DEN_G,$AC68)),SUMIFS(AVERE,DEN_G,$AC68)-SUMIFS(DARE,DEN_G,$AC68),0)&gt;0,MAX(BH$2:BH67)+1,0)</f>
        <v>0</v>
      </c>
      <c r="BI68" s="48">
        <f ca="1">IF(IF(AND(OR(INDEX(PDC,MATCH($AC68,DEN_PDC,0),6)="SE DARE",INDEX(PDC,MATCH($AC68,DEN_PDC,0),6)="SE DARE/AVERE"),SUMIFS(DARE,DEN_G,$AC68)&gt;=SUMIFS(AVERE,DEN_G,$AC68)),SUMIFS(DARE,DEN_G,$AC68)-SUMIFS(AVERE,DEN_G,$AC68),0)&gt;0,MAX(BI$2:BI67)+1,0)</f>
        <v>0</v>
      </c>
      <c r="BJ68" s="48">
        <f ca="1">IF(IF(AND(OR(INDEX(PDC,MATCH($AC68,DEN_PDC,0),6)="SE AVERE",INDEX(PDC,MATCH($AC68,DEN_PDC,0),6)="SE DARE/AVERE"),SUMIFS(AVERE,DEN_G,$AC68)&gt;=SUMIFS(DARE,DEN_G,$AC68)),SUMIFS(AVERE,DEN_G,$AC68)-SUMIFS(DARE,DEN_G,$AC68),0)&gt;0,MAX(BJ$2:BJ67)+1,0)</f>
        <v>0</v>
      </c>
      <c r="BK68" s="48" t="str">
        <f ca="1">IF(AND(AND($DY$2=0,$DY$1=0),$I$1=2,ROW()&gt;$BG$1+2,ROW()&lt;=$BG$1+4),"………………..",IF(AND(OR($DY$2&gt;0,$DY$1&gt;0),$I$1=2,ROW()&gt;$BG$1+2,ROW()&lt;=$BG$1+4),"………………..",IFERROR(INDEX($AC$3:$AC$398,MATCH(ROWS(BK$3:BK68),BG$3:BG$398,0),1),"")))</f>
        <v/>
      </c>
      <c r="BL68" s="48">
        <f t="shared" ca="1" si="136"/>
        <v>0</v>
      </c>
      <c r="BM68" s="48" t="str">
        <f ca="1">IF(AND(OR($DY$2=0,$DY$1=0),$I$1=2,ROW()&gt;$BH$1+2,ROW()&lt;=$BH$1+4),"………………..",IF(AND(OR($DY$2&gt;0,$DY$1&gt;0),$I$1=2,ROW()&gt;$BH$1+2,ROW()&lt;=$BH$1+4),"………………..",IFERROR(INDEX($AC$3:$AC$400,MATCH(ROWS(BM$3:BM68),BH$3:BH$400,0),1),"")))</f>
        <v/>
      </c>
      <c r="BN68" s="48">
        <f t="shared" ca="1" si="137"/>
        <v>0</v>
      </c>
      <c r="BO68" s="48" t="str">
        <f ca="1">IF(AND(OR($DY$2=0,$DY$1=0),$I$1=2,ROW()&gt;$BI$1+2,ROW()&lt;=$BI$1+4),"………………..",IF(AND(OR($DY$2&gt;0,$DY$1&gt;0),$I$1=2,ROW()&gt;$BI$1+2,ROW()&lt;=$BI$1+4),"………………..",IFERROR(INDEX($AC$3:$AC$400,MATCH(ROWS(BO$3:BO68),BI$3:BI$400,0),1),"")))</f>
        <v/>
      </c>
      <c r="BP68" s="48">
        <f t="shared" ca="1" si="138"/>
        <v>0</v>
      </c>
      <c r="BQ68" s="48" t="str">
        <f ca="1">IF(AND(OR($DY$2=0,$DY$1=0),$I$1=2,ROW()&gt;$BJ$1+2,ROW()&lt;=$BJ$1+4),"………………..",IF(AND(OR($DY$2&gt;0,$DY$1&gt;0),$I$1=2,ROW()&gt;$BJ$1+2,ROW()&lt;=$BJ$1+4),"………………..",IFERROR(INDEX($AC$3:$AC$400,MATCH(ROWS(BQ$3:BQ68),BJ$3:BJ$400,0),1),"")))</f>
        <v/>
      </c>
      <c r="BR68" s="48">
        <f t="shared" ca="1" si="139"/>
        <v>0</v>
      </c>
      <c r="BS68" s="48">
        <f ca="1">IF(IF(AND(OR(INDEX(PDC,MATCH($AC68,DEN_PDC,0),4)="D",INDEX(PDC,MATCH($AC68,DEN_PDC,0),4)="D/A"),SUMIFS(DARE,DEN_G,$AC68)&gt;=SUMIFS(AVERE,DEN_G,$AC68)),SUMIFS(DARE,DEN_G,$AC68),IF(AND(OR(INDEX(PDC,MATCH($AC68,DEN_PDC,0),4)="A",INDEX(PDC,MATCH($AC68,DEN_PDC,0),4)="D/A"),SUMIFS(AVERE,DEN_G,$AC68)&gt;=SUMIFS(DARE,DEN_G,$AC68)),SUMIFS(AVERE,DEN_G,$AC68),))&gt;0,MAX($BS$2:BS67)+1,0)</f>
        <v>0</v>
      </c>
      <c r="BT68" s="48" t="str">
        <f ca="1">IF($CO$1=0,"",IF(AND($I$1=2,ROW()&gt;$BR$1,ROW()&lt;=$BS$1)," …………….",IF(AND($E$1=1,$BX$1=1,$I$1=2,ROW()=$BQ$1),"TOTALI",IFERROR(INDEX(PDC,MATCH(ROWS(BT$3:BT68),BS$3:BS465,0),2),""))))</f>
        <v/>
      </c>
      <c r="BU68" s="48">
        <f t="shared" ca="1" si="140"/>
        <v>0</v>
      </c>
      <c r="BV68" s="48">
        <f t="shared" ca="1" si="141"/>
        <v>0</v>
      </c>
      <c r="BW68" s="48">
        <f t="shared" ca="1" si="142"/>
        <v>0</v>
      </c>
      <c r="BX68" s="48">
        <f t="shared" ca="1" si="143"/>
        <v>0</v>
      </c>
      <c r="BY68" s="48">
        <f ca="1">IF(OR(BW68&gt;0,BX68&gt;0),MAX($BY$2:BY67)+1,0)</f>
        <v>0</v>
      </c>
      <c r="BZ68" s="48" t="str">
        <f ca="1">IFERROR(INDEX($BT$3:$BY$400,MATCH(ROWS(BZ$3:BZ68),$BY$3:$BY$400,0),1),"")</f>
        <v/>
      </c>
      <c r="CA68" s="48" t="str">
        <f ca="1">IFERROR(INDEX($BT$3:$BY$400,MATCH(ROWS(CA$3:CA68),$BY$3:$BY$400,0),4),"")</f>
        <v/>
      </c>
      <c r="CB68" s="48" t="str">
        <f ca="1">IFERROR(INDEX($BT$3:$BY$400,MATCH(ROWS(CB$3:CB68),$BY$3:$BY$400,0),5),"")</f>
        <v/>
      </c>
      <c r="CC68" s="48" t="str">
        <f t="shared" ca="1" si="144"/>
        <v/>
      </c>
      <c r="CD68" s="48">
        <f ca="1">IF(AND($BF$9=1,CE68&lt;&gt;0),MAX($CD$2:CD67)+1,0)</f>
        <v>0</v>
      </c>
      <c r="CE68" s="48">
        <f ca="1">ROUND(IFERROR(INDEX(BILANCIO!$I$13:$J$59,MATCH(CF68,BILANCIO!$J$13:$J$59,0),1),0),0)</f>
        <v>0</v>
      </c>
      <c r="CF68" s="48" t="s">
        <v>695</v>
      </c>
      <c r="CG68" s="242" t="s">
        <v>571</v>
      </c>
      <c r="CH68" s="242"/>
      <c r="CI68" s="242">
        <f t="shared" ca="1" si="127"/>
        <v>0</v>
      </c>
      <c r="CJ68" s="242">
        <f ca="1">SUMIFS(COPIA!$CA$3:$CA$400,COPIA!$CC$3:$CC$400,CF68)-SUMIFS(COPIA!$CB$3:$CB$400,COPIA!$CC$3:$CC$400,CF68)</f>
        <v>0</v>
      </c>
      <c r="CK68" s="48">
        <f ca="1">IF($CF$2=FALSE,0,IF(AND($BF$9=1,CJ68&lt;&gt;0),MAX($CK$21:CK67)+1,0))</f>
        <v>0</v>
      </c>
      <c r="CM68" s="242" t="str">
        <f t="shared" ref="CM68:CM131" ca="1" si="166">IF($CO$1=0,"",IF(AND($E$1=1,$I$1=2,OR($BU$1=1,$BU$1=3)),"",IF(AND($E$1=1,$I$1=2,$BW$1=1,ROW()=$BS$1+1,OR($BU$1=1,$BU$1=3,$CL$1=1)),"TOTALI",IF(AND($F$1=1,$BA$1&gt;0,$I$1=1,ROW()=$BT$1+3,$CL$1=1,$BD$1=1,$EL$2=0),"TOTALI",""))))</f>
        <v/>
      </c>
      <c r="CN68" s="243">
        <f t="shared" ref="CN68:CN131" ca="1" si="167">IF(CM68="TOTALI",$BU$401,0)</f>
        <v>0</v>
      </c>
      <c r="CO68" s="48" t="str">
        <f t="shared" ref="CO68:CO131" ca="1" si="168">IF($CO$1=0,"",CONCATENATE(BT68,CM68))</f>
        <v/>
      </c>
      <c r="CQ68" s="242"/>
      <c r="CR68" s="242"/>
      <c r="CU68" s="48">
        <f ca="1">IF(SUMIFS(AVERE,DEN_G,AC68,AVERE,"&gt;"&amp;0)+SUMIFS(DARE,DEN_G,AC68,DARE,"&gt;"&amp;0)&gt;0,MAX($CU$2:CU67)+1,0)</f>
        <v>0</v>
      </c>
      <c r="CV68" s="48" t="str">
        <f ca="1">IF(IFERROR(INDEX(PDC,MATCH(ROWS($CV$3:CV68),$CU$3:$CU$400,0),2),"")="CONTO DI RISULTATO ECONOMICO","",IFERROR(INDEX(PDC,MATCH(ROWS($CV$3:CV68),$CU$3:$CU$400,0),2),""))</f>
        <v/>
      </c>
      <c r="CW68" s="48">
        <f ca="1">IFERROR(IF(CV68&lt;&gt;"",MAX($CW$2:CW67)+1,0),0)</f>
        <v>0</v>
      </c>
      <c r="CX68" s="48">
        <f ca="1">$FF$8</f>
        <v>6</v>
      </c>
      <c r="CY68" s="48" t="str">
        <f t="shared" ref="CY68:CY79" ca="1" si="169">IF(ISERROR(INDEX($CV$3:$CX$1302,MATCH(CX68,$CW$3:$CW$1302,0),1)),"MASTRO",INDEX($CV$3:$CX$1302,MATCH(CX68,$CW$3:$CW$1302,0),1))</f>
        <v>MASTRO</v>
      </c>
      <c r="DA68" s="48" t="str">
        <f>IF(CY67="MASTRO","Conto n.","")</f>
        <v>Conto n.</v>
      </c>
      <c r="DB68" s="48" t="str">
        <f ca="1">IF(CY68=0,"",INDEX(PDC,MATCH(DC68,DEN_PDC,0),1))</f>
        <v/>
      </c>
      <c r="DC68" s="48" t="str">
        <f ca="1">IF(OR(CY68=0,CY68="mastro"),"",CY68)</f>
        <v/>
      </c>
      <c r="DD68" s="48" t="str">
        <f ca="1">IF(AND($DA$2=TRUE,OR(INDEX(PDC,MATCH($DC68,DEN_PDC,0),4)="A",INDEX(PDC,MATCH($DC68,DEN_PDC,0),4)="D/A"),SUMIFS(AVERE,DEN_G,"="&amp;$DC68,DATA,"&lt;="&amp;FINE_AC,DATA,"&gt;="&amp;INIZIO_AC)&gt;SUMIFS(DARE,DEN_G,"="&amp;$DC68,DATA,"&lt;="&amp;FINE_AC,DATA,"&gt;="&amp;INIZIO_AC)),CONCATENATE("s ",FIXED(ABS(SUMIFS(AVERE,DEN_G,"="&amp;$DC68,DATA,"&lt;="&amp;FINE_AC,DATA,"&gt;="&amp;INIZIO_AC)-SUMIFS(DARE,DEN_G,"="&amp;$DC68,DATA,"&lt;="&amp;FINE_AC,DATA,"&gt;="&amp;INIZIO_AC)),2)),"")</f>
        <v/>
      </c>
      <c r="DE68" s="48" t="str">
        <f ca="1">IF(AND($DA$2=TRUE,OR(INDEX(PDC,MATCH($DC68,DEN_PDC,0),4)="D",INDEX(PDC,MATCH($DC68,DEN_PDC,0),4)="D/A"),SUMIFS(DARE,DEN_G,"="&amp;$DC68,DATA,"&lt;="&amp;FINE_AC,DATA,"&gt;="&amp;INIZIO_AC)&gt;SUMIFS(AVERE,DEN_G,"="&amp;$DC68,DATA,"&lt;="&amp;FINE_AC,DATA,"&gt;="&amp;INIZIO_AC)),CONCATENATE("s ",FIXED(ABS(SUMIFS(DARE,DEN_G,"="&amp;$DC68,DATA,"&lt;="&amp;FINE_AC,DATA,"&gt;="&amp;INIZIO_AC)-SUMIFS(AVERE,DEN_G,"="&amp;$DC68,DATA,"&lt;="&amp;FINE_AC,DATA,"&gt;="&amp;INIZIO_AC)),2)),"")</f>
        <v/>
      </c>
      <c r="DF68" s="48">
        <f ca="1">IF(AND(CX68=$DF$1,CX68&lt;&gt;""),0,IF(AND(DB68&lt;&gt;"",OR(DB67&lt;&gt;"",DB69&lt;&gt;"")),MAX($DF$2:DF67)+1,0))</f>
        <v>0</v>
      </c>
      <c r="DH68" s="244" t="s">
        <v>45</v>
      </c>
      <c r="DI68" s="228" t="s">
        <v>46</v>
      </c>
      <c r="DN68" s="48">
        <f ca="1">IF(DI68&lt;&gt;"",MAX($DN$2:DN67)+1,0)</f>
        <v>51</v>
      </c>
      <c r="DQ68" s="227" t="s">
        <v>344</v>
      </c>
      <c r="DR68" s="48" t="s">
        <v>838</v>
      </c>
      <c r="DS68" s="48" t="s">
        <v>312</v>
      </c>
      <c r="DT68" s="48" t="s">
        <v>275</v>
      </c>
      <c r="DU68" s="48" t="s">
        <v>6</v>
      </c>
      <c r="DV68" s="48" t="s">
        <v>270</v>
      </c>
      <c r="DW68" s="48">
        <f ca="1">IF(DR68&lt;&gt;"",MAX($DW$2:DW67)+1,0)</f>
        <v>34</v>
      </c>
      <c r="DX68" s="48" t="str">
        <f t="shared" ca="1" si="146"/>
        <v>pab2</v>
      </c>
      <c r="DY68" s="48" t="str">
        <f t="shared" ca="1" si="147"/>
        <v/>
      </c>
      <c r="DZ68" s="48" t="str">
        <f t="shared" ref="DZ68:DZ131" ca="1" si="170">IF(OR($ES$1&gt;0,$DW$1=0,$BX$1=0,$AY$1&lt;&gt;0),"",IF(AND($F$1=1,$BI$1&gt;=$BJ$1,$BP$2&gt;$BR$2,ROW()=$BI$1+3),"TOTALE RICAVI",IF(AND($F$1=1,$BI$1&gt;=$BJ$1,$BP$2&gt;$BR$2,ROW()=$BI$1+4),"SALDO ECONOMICO NEGATIVO",IF(AND($F$1=1,$BI$1&gt;=$BJ$1,$BP$2&gt;$BR$2,ROW()=$BI$1+5),"TOTALE A PAREGGIO",IF(AND($F$1=1,$BI$1&lt;=$BJ$1,$BP$2&gt;$BR$2,ROW()=$BJ$1+3),"TOTALE RICAVI",IF(AND($F$1=1,$BI$1&lt;=$BJ$1,$BP$2&gt;$BR$2,ROW()=$BJ$1+4),"SALDO ECONOMICO NEGATIVO",IF(AND($F$1=1,$BI$1&lt;=$BJ$1,$BP$2&gt;$BR$2,ROW()=$BJ$1+5),"TOTALE A PAREGGIO",IF(AND($F$1=1,$BI$1&gt;=$BJ$1,$BP$2&lt;$BR$2,ROW()=$BI$1+5),"TOTALE RICAVI",IF(AND($F$1=1,$BI$1&lt;=$BJ$1,$BP$2&lt;$BR$2,ROW()=$BJ$1+5),"TOTALE RICAVI",IF(AND($BP$2&lt;&gt;0,$F$1=1,$BI$1&gt;$BJ$1,$BP$2=$BR$2,ROW()=$BI$1+3),"TOTALE RICAVI",IF(AND($BP$2&lt;&gt;0,$F$1=1,$BI$1&lt;$BJ$1,$BP$2=$BR$2,ROW()=$BJ$1+3),"TOTALE RICAVI",IF(AND($BP$2&lt;&gt;0,$F$1=1,$BI$1=$BJ$1,$BP$2=$BR$2,ROW()=$BI$1+3),"TOTALE RICAVI",IF(AND($I$1=2,$E$1=1,$BI$1&gt;=$BJ$1,$DY$1&gt;0,ROW()=$BI$1+5),"TOTALE RICAVI",IF(AND($I$1=2,$E$1=1,$BI$1&lt;=$BJ$1,$DY$1&gt;0,ROW()=$BJ$1+5),"TOTALE RICAVI",IF(AND($I$1=2,$E$1=1,$BI$1&gt;=$BJ$1,$DY$2&gt;0,ROW()=$BI$1+7),"TOTALE RICAVI",IF(AND($I$1=2,$E$1=1,$BI$1&lt;=$BJ$1,$DY$2&gt;0,ROW()=$BJ$1+7),"TOTALE RICAVI",IF(AND($I$1=2,$E$1=1,$BI$1&lt;=$BJ$1,$DY$1&gt;0,ROW()=$BJ$1+6),"PERDITA D'ESERCIZIO",IF(AND($I$1=2,$E$1=1,$BI$1&gt;=$BJ$1,$DY$1&gt;0,ROW()=$BI$1+6),"PERDITA D'ESERCIZIO",IF(AND($I$1=2,$E$1=1,$BI$1&lt;=$BJ$1,$DY$1&gt;0,ROW()=$BJ$1+7),"TOTALE A PAREGGIO",IF(AND($I$1=2,$E$1=1,$BI$1&gt;=$BJ$1,$DY$1&gt;0,ROW()=$BI$1+7),"TOTALE A PAREGGIO",IF(AND($I$1=2,$E$1=1,$BI$1&gt;=$BJ$1,$DY$2&gt;0,ROW()=$BI$1+7),"TOTALE A PAREGGIO",IF(AND($I$1=2,$E$1=1,$BI$1&gt;=$BJ$1,$DY$2=0,$DY$1=0,ROW()=$BI$1+5),"TOTALE",IF(AND($I$1=2,$E$1=1,$BI$1&lt;=$BJ$1,$DY$2=0,$DY$1=0,ROW()=$BJ$1+5),"TOTALE","")))))))))))))))))))))))</f>
        <v/>
      </c>
      <c r="EA68" s="48" t="str">
        <f t="shared" ref="EA68:EA131" ca="1" si="171">IF($CO$1=0,"",IF(AND($CP$1=TRUE,CONCATENATE(DZ68,BQ68)="SALDO ECONOMICO NEGATIVO"),REPLACE(CONCATENATE(DZ68,BQ68),1,30,"PERDITA D'ESERCIZIO"),CONCATENATE(DZ68,BQ68)))</f>
        <v/>
      </c>
      <c r="EB68" s="48">
        <f t="shared" ref="EB68:EB131" ca="1" si="172">IF(AND($I$1=2,EA68="……………….."),"_ _ _",IF(AND(DZ68="TOTALE",$I$1=2),"_ _ _",IF(AND(DZ68="TOTALE RICAVI",$I$1=2),"_ _ _",IF(AND(DZ68="TOTALE A PAREGGIO",$I$1=2),"_ _ _",IF(AND(DZ68="PERDITA D'ESERCIZIO",$I$1=2),$DY$1,IF(OR(EA68="SALDO ECONOMICO NEGATIVO",EA68="PERDITA D'ESERCIZIO"),$BP$2-$BR$2,IF(DZ68="TOTALE RICAVI",$BR$2,IF(DZ68="TOTALE A PAREGGIO",$BP$2,0))))))))</f>
        <v>0</v>
      </c>
      <c r="EC68" s="48">
        <f t="shared" ref="EC68:EC131" ca="1" si="173">IF(AND($I$1=2,EB68&lt;&gt;0),EB68,SUM(EB68,BR68))</f>
        <v>0</v>
      </c>
      <c r="ED68" s="48" t="str">
        <f t="shared" ref="ED68:ED131" ca="1" si="174">IF(OR($ES$1&gt;0,$DW$1=0,$BX$1=0,$AY$1&lt;&gt;0),"",IF(AND($F$1=1,$BG$1=$BH$1,$BL$2&gt;$BN$2,ROW()=$BG$1+5),"TOTALE",IF(AND($F$1=1,$BG$1=$BH$1,$BL$2=$BN$2,ROW()=$BG$1+3),"TOTALE",IF(AND($F$1=1,$BG$1=$BH$1,$BL$2&lt;$BN$2,ROW()=$BG$1+3),"TOTALE",IF(AND($F$1=1,$BG$1&gt;$BH$1,$BL$2&gt;$BN$2,ROW()=$BG$1+5),"TOTALE",IF(AND($F$1=1,$BG$1&gt;$BH$1,$BL$2=$BN$2,ROW()=$BG$1+3),"TOTALE",IF(AND($F$1=1,$BG$1&gt;$BH$1,$BL$2&lt;$BN$2,ROW()=$BG$1+3),"TOTALE",IF(AND($F$1=1,$BG$1&lt;$BH$1,$BL$2&gt;$BN$2,ROW()=$BH$1+5),"TOTALE",IF(AND($F$1=1,$BG$1&lt;$BH$1,$BL$2&lt;$BN$2,ROW()=$BH$1+3),"TOTALE",IF(AND($F$1=1,$BG$1&lt;$BH$1,$BL$2=$BN$2,ROW()=$BH$1+3),"TOTALE",IF(AND($F$1=1,$BG$1&lt;=$BH$1,$BL$2&lt;$BN$2,ROW()=$BH$1+4),"SALDO ECONOMICO NEGATIVO",IF(AND($F$1=1,$BG$1&gt;$BH$1,$BL$2&lt;$BN$2,ROW()=$BG$1+4),"SALDO ECONOMICO NEGATIVO",IF(AND($F$1=1,$BG$1&lt;$BH$1,$BL$2&lt;$BN$2,ROW()=$BH$1+5),"TOTALE A PAREGGIO",IF(AND($F$1=1,$BG$1&gt;=$BH$1,$BL$2&lt;$BN$2,ROW()=$BG$1+5),"TOTALE A PAREGGIO",IF(AND($I$1=2,$E$1=1,$BG$1&gt;=$BH$1,$DY$1&gt;0,ROW()=$BG$1+7),"TOTALE A PAREGGIO",IF(AND($I$1=2,$E$1=1,$BG$1&gt;=$BH$1,$DY$1&gt;0,ROW()=$BG$1+6),"PERDITA D'ESERCIZIO",IF(AND($I$1=2,$E$1=1,$BG$1&gt;=$BH$1,$DY$1&gt;0,ROW()=$BG$1+5),"TOTALE",IF(AND($I$1=2,$E$1=1,$BG$1&lt;=$BH$1,$DY$1&gt;0,ROW()=$BH$1+7),"TOTALE A PAREGGIO",IF(AND($I$1=2,$E$1=1,$BG$1&lt;=$BH$1,$DY$1&gt;0,ROW()=$BH$1+6),"PERDITA D'ESERCIZIO",IF(AND($I$1=2,$E$1=1,$BG$1&lt;=$BH$1,$DY$1&gt;0,ROW()=$BH$1+5),"TOTALE",IF(AND($I$1=2,$E$1=1,$BG$1&lt;=$BH$1,$DY$2&gt;0,ROW()=$BH$1+7),"TOTALE",IF(AND($I$1=2,$E$1=1,$BG$1&gt;=$BH$1,$DY$2&gt;0,ROW()=$BG$1+7),"TOTALE",IF(AND($I$1=2,$E$1=1,$BG$1&gt;=$BH$1,$DY$2=0,$DY$1=0,ROW()=$BG$1+5),"TOTALE",IF(AND($I$1=2,$E$1=1,$BG$1&lt;=$BH$1,$DY$2=0,$DY$1=0,ROW()=$BH$1+5),"TOTALE",""))))))))))))))))))))))))</f>
        <v/>
      </c>
      <c r="EE68" s="48">
        <f t="shared" ref="EE68:EE131" ca="1" si="175">IF(AND($I$1=2,EF68="……………….."),"_ _ _",IF(AND($I$1=2,ED68="TOTALE"),"_ _ _",IF(AND($I$1=2,ED68="TOTALE A PAREGGIO"),"_ _ _",IF(AND($I$1=2,ED68="PERDITA D'ESERCIZIO"),$DY$1,IF(ED68="totale",$BL$2,IF(ED68="SALDO ECONOMICO NEGATIVO",$BP$2-$BR$2,IF(ED68="TOTALE A PAREGGIO",$BN$2,0)))))))</f>
        <v>0</v>
      </c>
      <c r="EF68" s="48" t="str">
        <f t="shared" ref="EF68:EF131" ca="1" si="176">IF($CO$1=0,"",CONCATENATE(ED68,BK68))</f>
        <v/>
      </c>
      <c r="EG68" s="48">
        <f t="shared" ref="EG68:EG131" ca="1" si="177">IF(AND($I$1=2,EE68&lt;&gt;0),EE68,SUM(BL68,EE68))</f>
        <v>0</v>
      </c>
      <c r="EH68" s="48" t="str">
        <f t="shared" ref="EH68:EH131" ca="1" si="178">IF(OR($ES$1&gt;0,$DW$1=0,$BX$1=0,$AY$1&lt;&gt;0),"",IF(AND($F$1=1,$BG$1=$BH$1,$BL$2&gt;$BN$2,ROW()=$BG$1+3),"TOTALE",IF(AND($F$1=1,$BG$1=$BH$1,$BL$2=$BN$2,ROW()=$BG$1+3),"TOTALE",IF(AND($F$1=1,$BG$1=$BH$1,$BL$2&lt;$BN$2,ROW()=$BG$1+5),"TOTALE",IF(AND($F$1=1,$BG$1&gt;$BH$1,$BL$2&gt;$BN$2,ROW()=$BG$1+3),"TOTALE",IF(AND($F$1=1,$BG$1&gt;$BH$1,$BL$2=$BN$2,ROW()=$BG$1+3),"TOTALE",IF(AND($F$1=1,$BG$1&gt;$BH$1,$BL$2&lt;$BN$2,ROW()=$BG$1+5),"TOTALE",IF(AND($F$1=1,$BG$1&lt;$BH$1,$BL$2&gt;$BN$2,ROW()=$BH$1+3),"TOTALE",IF(AND($F$1=1,$BG$1&lt;$BH$1,$BL$2&lt;$BN$2,ROW()=$BH$1+5),"TOTALE",IF(AND($F$1=1,$BG$1&lt;$BH$1,$BL$2=$BN$2,ROW()=$BH$1+3),"TOTALE",IF(AND($F$1=1,$BG$1&lt;=$BH$1,$BL$2&gt;$BN$2,ROW()=$BH$1+4),"SALDO ECONOMICO POSITIVO",IF(AND($F$1=1,$BG$1&gt;$BH$1,$BL$2&gt;$BN$2,ROW()=$BG$1+4),"SALDO ECONOMICO POSITIVO",IF(AND($F$1=1,$BG$1&lt;$BH$1,$BL$2&gt;$BN$2,ROW()=$BH$1+5),"TOTALE A PAREGGIO",IF(AND($F$1=1,$BG$1&gt;=$BH$1,$BL$2&gt;$BN$2,ROW()=$BG$1+5),"TOTALE A PAREGGIO",IF(AND($I$1=2,$E$1=1,$BG$1&gt;=$BH$1,$DY$2&gt;0,ROW()=$BG$1+7),"TOTALE A PAREGGIO",IF(AND($I$1=2,$E$1=1,$BG$1&gt;=$BH$1,$DY$2&gt;0,ROW()=$BG$1+6),"UTILE D'ESERCIZIO",IF(AND($I$1=2,$E$1=1,$BG$1&gt;=$BH$1,$DY$2&gt;0,ROW()=$BG$1+5),"TOTALE",IF(AND($I$1=2,$E$1=1,$BG$1&lt;=$BH$1,$DY$2&gt;0,ROW()=$BH$1+7),"TOTALE A PAREGGIO",IF(AND($I$1=2,$E$1=1,$BG$1&lt;=$BH$1,$DY$2&gt;0,ROW()=$BH$1+6),"UTILE D'ESERCIZIO",IF(AND($I$1=2,$E$1=1,$BG$1&lt;=$BH$1,$DY$2&gt;0,ROW()=$BH$1+5),"TOTALE",IF(AND($I$1=2,$E$1=1,$BG$1&lt;=$BH$1,$DY$1&gt;0,ROW()=$BH$1+7),"TOTALE",IF(AND($I$1=2,$E$1=1,$BG$1&gt;=$BH$1,$DY$1&gt;0,ROW()=$BG$1+7),"TOTALE",IF(AND($I$1=2,$E$1=1,$BG$1&gt;=$BH$1,$DY$2=0,$DY$1=0,ROW()=$BG$1+5),"TOTALE",IF(AND($I$1=2,$E$1=1,$BG$1&lt;=$BH$1,$DY$2=0,$DY$1=0,ROW()=$BH$1+5),"TOTALE",""))))))))))))))))))))))))</f>
        <v/>
      </c>
      <c r="EI68" s="48">
        <f t="shared" ref="EI68:EI131" ca="1" si="179">IF(AND($I$1=2,EJ68="……………….."),"_ _ _",IF(AND($I$1=2,EH68="TOTALE"),"_ _ _",IF(AND($I$1=2,EH68="TOTALE A PAREGGIO"),"_ _ _",IF(AND($I$1=2,EH68="UTILE D'ESERCIZIO"),$DY$2,IF(EH68="totale",$BN$2,IF(EH68="SALDO ECONOMICO POSITIVO",$BR$2-$BP$2,IF(EH68="TOTALE A PAREGGIO",$BL$2,0)))))))</f>
        <v>0</v>
      </c>
      <c r="EJ68" s="48" t="str">
        <f t="shared" ref="EJ68:EJ131" ca="1" si="180">IF($CO$1=0,"",CONCATENATE(EH68,BM68))</f>
        <v/>
      </c>
      <c r="EK68" s="48">
        <f t="shared" ref="EK68:EK131" ca="1" si="181">IF(AND($I$1=2,EI68&lt;&gt;0),EI68,SUM(EI68,BN68))</f>
        <v>0</v>
      </c>
      <c r="EL68" s="48">
        <f t="shared" ca="1" si="148"/>
        <v>0</v>
      </c>
      <c r="EM68" s="48">
        <f ca="1">IF(EL68&gt;=0,0,MAX($EM$2:EM67)+1)</f>
        <v>0</v>
      </c>
      <c r="EN68" s="48" t="str">
        <f t="shared" ref="EN68:EN131" ca="1" si="182">IF(EL68&lt;0,AC68,"")</f>
        <v/>
      </c>
      <c r="EO68" s="48" t="str">
        <f ca="1">IFERROR(INDEX($EM$3:$EN$400,MATCH(ROWS($EO$3:EO68),$EM$3:$EM$400,0),2),"")</f>
        <v/>
      </c>
      <c r="EP68" s="48">
        <f>ROW()</f>
        <v>68</v>
      </c>
      <c r="EQ68" s="48">
        <f t="shared" ca="1" si="149"/>
        <v>0</v>
      </c>
      <c r="ER68" s="48">
        <f ca="1">IF(ISNA(EQ68)=TRUE,MAX($ER$2:ER67)+1,0)</f>
        <v>0</v>
      </c>
      <c r="ES68" s="48" t="str">
        <f t="shared" ref="ES68:ES131" ca="1" si="183">IF(ER68&lt;&gt;0,AM68,"")</f>
        <v/>
      </c>
      <c r="ET68" s="48" t="str">
        <f ca="1">IFERROR(INDEX($ER$3:$ES$400,MATCH(ROWS($ET$3:ET68),$ER$3:$ER$400,0),2),"")</f>
        <v/>
      </c>
      <c r="EV68" s="48">
        <f ca="1">IFERROR(INDEX(LIBRO_GIORNALE!$O$11:$P$408,MATCH(ROWS($EV$2:EV67),LIBRO_GIORNALE!$P$11:$P$408,0),1),0)</f>
        <v>0</v>
      </c>
      <c r="EW68" s="48" t="str">
        <f t="shared" ref="EW68:EW131" ca="1" si="184">UPPER(IFERROR(INDEX($AZ$103:$BB$400,MATCH(EV68,$AZ$103:$AZ$400,0),3),0))</f>
        <v>0</v>
      </c>
      <c r="EX68" s="48">
        <f t="shared" ref="EX68:EX131" ca="1" si="185">IF(EXACT(EW68,EW67),0,IF($EV$1=1,IFERROR(MATCH($EW68,$CV$3:$CV$400,0),0),0))</f>
        <v>0</v>
      </c>
      <c r="EY68" s="48">
        <f ca="1">IF(EX68&gt;0,MAX($EY$2:EY67)+1,0)</f>
        <v>0</v>
      </c>
      <c r="EZ68" s="48">
        <f ca="1">IFERROR(INDEX($EX$3:$EX$400,MATCH(ROWS($EZ$3:EZ68),$EY$3:$EY$400,0),1),0)</f>
        <v>0</v>
      </c>
      <c r="FA68" s="48">
        <f ca="1">IF(EZ68&gt;0,0,MAX($FA$2:FA67)+1)</f>
        <v>66</v>
      </c>
      <c r="FB68" s="48">
        <f t="shared" ref="FB68:FB131" ca="1" si="186">IFERROR(IF(FA68&gt;0,MATCH(FA68,$EZ$3:$EZ$400,0),0),0)</f>
        <v>0</v>
      </c>
      <c r="FC68" s="48">
        <f t="shared" ref="FC68:FC131" ca="1" si="187">IF(FB68=0,FA68,0)</f>
        <v>66</v>
      </c>
      <c r="FD68" s="48">
        <f t="shared" ref="FD68:FD131" ca="1" si="188">SUM(EZ68,FC68)</f>
        <v>66</v>
      </c>
      <c r="FE68" s="48">
        <f ca="1">IF(FD68=0,0,MAX($FE$2:FE67)+1)</f>
        <v>66</v>
      </c>
      <c r="FF68" s="48">
        <f ca="1">IFERROR(INDEX($FD$3:$FE$400,MATCH(ROWS($FF$3:FF68),$FE$3:$FE$400,0),1),"")</f>
        <v>66</v>
      </c>
      <c r="FH68" s="48">
        <f t="shared" ref="FH68:FH131" ca="1" si="189">IF(F68="SP DARE/AVERE",B68,0)</f>
        <v>0</v>
      </c>
      <c r="FI68" s="48">
        <f ca="1">IF(FH68&lt;&gt;0,MAX($FI$2:FI67)+1,0)</f>
        <v>0</v>
      </c>
      <c r="FJ68" s="48" t="str">
        <f ca="1">IFERROR(INDEX($FH$3:$FI$400,MATCH(ROWS($FJ$3:FJ68),$FI$3:$FI$400,0),1),"")</f>
        <v/>
      </c>
      <c r="FK68" s="48">
        <f ca="1">IF(ABS(SUMIFS(DARE,DEN_G,"="&amp;FJ68,DATA,"&lt;="&amp;FINE_AC,DATA,"&gt;="&amp;INIZIO_A_PC)-SUMIFS(AVERE,DEN_G,"="&amp;FJ68,DATA,"&lt;="&amp;FINE_AC,DATA,"&gt;="&amp;INIZIO_A_PC))&gt;0,MAX($FK$2:FK67)+1,0)</f>
        <v>0</v>
      </c>
      <c r="FL68" s="48" t="str">
        <f ca="1">IF(AND(ROW()-2&lt;&gt;1,ROW()-2&lt;=$FK$1),CONCATENATE(" - ",IFERROR(INDEX($FJ$3:$FK$400,MATCH(ROWS($FL$3:FL68),$FK$3:$FK$400,0),1),"")),IFERROR(INDEX($FJ$3:$FK$400,MATCH(ROWS($FL$3:FL68),$FK$3:$FK$400,0),1),""))</f>
        <v/>
      </c>
      <c r="FM68" s="48">
        <f ca="1">IF(OR(B68="IVA ns/credito",B68="IVA NS/DEBITO",B68="IVA C/ACCONTO",B68="IMPOSTE C/ACCONTO",B68="CREDITI PER RITENUTE SUBITE",B68="CREDITI D'IMPOSTA"),MAX($FM$2:FM67)+1,0)</f>
        <v>0</v>
      </c>
      <c r="FN68" s="48" t="str">
        <f t="shared" ref="FN68:FN131" ca="1" si="190">IF(FM68&gt;0,B68,"")</f>
        <v/>
      </c>
      <c r="FO68" s="48" t="str">
        <f ca="1">IFERROR(INDEX($FM$3:$FN$400,MATCH(ROWS($FO$3:FO68),$FM$3:$FM$400,0),2),"")</f>
        <v/>
      </c>
      <c r="FP68" s="48">
        <f ca="1">IF(ABS(SUMIFS(DARE,DEN_G,"="&amp;FO68,DATA,"&lt;="&amp;FINE_AC,DATA,"&gt;="&amp;INIZIO_A_PC)-SUMIFS(AVERE,DEN_G,"="&amp;FO68,DATA,"&lt;="&amp;FINE_AC,DATA,"&gt;="&amp;INIZIO_A_PC))&gt;0,MAX($FP$2:FP67)+1,0)</f>
        <v>0</v>
      </c>
      <c r="FQ68" s="48" t="str">
        <f ca="1">IF(AND(ROW()-2&lt;&gt;1,ROW()-2&lt;=$FP$1),CONCATENATE(" - ",IFERROR(INDEX($FO$3:$FP$400,MATCH(ROWS($FQ$3:FQ68),$FP$3:$FP$400,0),1),"")),IFERROR(INDEX($FO$3:$FP$400,MATCH(ROWS($FQ$3:FQ68),$FP$3:$FP$400,0),1),""))</f>
        <v/>
      </c>
    </row>
    <row r="69" spans="1:173" x14ac:dyDescent="0.3">
      <c r="A69" s="48" t="str">
        <f ca="1">IFERROR(IF($A$1=2,INDEX($DH$3:$DN$401,MATCH(ROWS(A$3:A69),$DN$3:$DN$401,0),COLUMN()),IF($A$1=1,INDEX($DQ$3:$DW$401,MATCH(ROWS(A$3:A69),$DW$3:$DW$401,0),COLUMN()),"")),"")</f>
        <v>05.08</v>
      </c>
      <c r="B69" s="48" t="str">
        <f ca="1">IFERROR(IF($A$1=2,INDEX($DH$3:$DN$401,MATCH(ROWS(B$3:B69),$DN$3:$DN$401,0),COLUMN()),IF($A$1=1,INDEX($DQ$3:$DW$400,MATCH(ROWS(B$3:B69),$DW$3:$DW$401,0),COLUMN()),"")),"")</f>
        <v>CAMBIALI ALL'INCASSO</v>
      </c>
      <c r="C69" s="48" t="str">
        <f ca="1">IFERROR(IF($A$1=2,INDEX($DH$3:$DN$401,MATCH(ROWS(C$3:C69),$DN$3:$DN$401,0),COLUMN()),IF($A$1=1,INDEX($DQ$3:$DW$401,MATCH(ROWS(C$3:C69),$DW$3:$DW$401,0),COLUMN()),"")),"")</f>
        <v>F</v>
      </c>
      <c r="D69" s="48" t="str">
        <f ca="1">IFERROR(IF($A$1=2,INDEX($DH$3:$DN$401,MATCH(ROWS(D$3:D69),$DN$3:$DN$401,0),COLUMN()),IF($A$1=1,INDEX($DQ$3:$DW$401,MATCH(ROWS(D$3:D69),$DW$3:$DW$401,0),COLUMN()),"")),"")</f>
        <v>D</v>
      </c>
      <c r="E69" s="48" t="str">
        <f ca="1">IFERROR(IF($A$1=2,INDEX($DH$3:$DN$401,MATCH(ROWS(E$3:E69),$DN$3:$DN$401,0),COLUMN()),IF($A$1=1,INDEX($DQ$3:$DW$401,MATCH(ROWS(E$3:E69),$DW$3:$DW$401,0),COLUMN()),"")),"")</f>
        <v>CREDITI</v>
      </c>
      <c r="F69" s="48" t="str">
        <f ca="1">IFERROR(IF($A$1=2,INDEX($DH$3:$DN$401,MATCH(ROWS(F$3:F69),$DN$3:$DN$401,0),COLUMN()),IF($A$1=1,INDEX($DQ$3:$DX$401,MATCH(ROWS(F$3:F69),$DW$3:$DW$401,0),COLUMN()),"")),"")</f>
        <v>SP DARE</v>
      </c>
      <c r="G69" s="48" t="str">
        <f t="shared" ca="1" si="150"/>
        <v>SP</v>
      </c>
      <c r="H69" s="48" t="str">
        <f ca="1">IFERROR(IF($A$1=2,INDEX($DH$3:$DO$400,MATCH(ROWS(H$3:H69),$DN$3:$DN$400,0),COLUMN()),IF($A$1=1,INDEX($DQ$3:$DX$400,MATCH(ROWS(H$3:H69),$DW$3:$DW$400,0),COLUMN()),"")),"")</f>
        <v>pac2</v>
      </c>
      <c r="I69" s="48" t="str">
        <f t="shared" ca="1" si="151"/>
        <v/>
      </c>
      <c r="J69" s="48" t="str">
        <f t="shared" ca="1" si="152"/>
        <v/>
      </c>
      <c r="K69" s="48">
        <f t="shared" ca="1" si="153"/>
        <v>0</v>
      </c>
      <c r="L69" s="48">
        <f t="shared" ca="1" si="154"/>
        <v>0</v>
      </c>
      <c r="M69" s="48">
        <f ca="1">IFERROR(IF(IF(MID($A69,3,3)=".00",MID(A69,1,2),"")&lt;&gt;"",MAX($M$2:M68)+1,0),"")</f>
        <v>0</v>
      </c>
      <c r="N69" s="48" t="str">
        <f t="shared" ca="1" si="155"/>
        <v/>
      </c>
      <c r="O69" s="48">
        <v>19</v>
      </c>
      <c r="P69" s="48" t="str">
        <f t="shared" ca="1" si="156"/>
        <v/>
      </c>
      <c r="Q69" s="48">
        <f ca="1">IF(M69&gt;=1,0,MAX($Q$2:Q68)+1)</f>
        <v>61</v>
      </c>
      <c r="U69" s="48" t="str">
        <f ca="1">IFERROR(INDEX(PDC,MATCH(ROWS(U$3:U69),$V$3:$V$400,0),2),"")</f>
        <v>IVA NS/CREDITO</v>
      </c>
      <c r="V69" s="48">
        <f ca="1">IF(AND($T$1="VISUALIZZA TUTTI I CONTI",AA69&lt;&gt;""),MAX($V$2:V68)+1,IF(AND($U$2=2,AI69=$T$1),MAX($V$2:V68)+1,IF(AND($U$2=1,$T$1=AF69),MAX($V$2:V68)+1,0)))</f>
        <v>67</v>
      </c>
      <c r="Z69" s="246"/>
      <c r="AA69" s="48" t="str">
        <f t="shared" ca="1" si="157"/>
        <v>06.00</v>
      </c>
      <c r="AB69" s="48" t="str">
        <f ca="1">IFERROR(INDEX($A$3:$G$400,MATCH(ROWS(AB$3:AB69),$Q$3:$Q$400,0),1),"")</f>
        <v>06.01</v>
      </c>
      <c r="AC69" s="48" t="str">
        <f ca="1">IFERROR(INDEX($A$3:$G$400,MATCH(ROWS($AC$3:AC69),$Q$3:$Q$400,0),2),"")</f>
        <v>IVA NS/CREDITO</v>
      </c>
      <c r="AD69" s="48" t="str">
        <f ca="1">IFERROR(INDEX($A$3:$G$400,MATCH(ROWS(AD$3:AD69),$Q$3:$Q$400,0),3),"")</f>
        <v>F</v>
      </c>
      <c r="AE69" s="48" t="str">
        <f ca="1">IFERROR(INDEX($A$3:$G$400,MATCH(ROWS(AE$3:AE69),$Q$3:$Q$400,0),4),"")</f>
        <v>D</v>
      </c>
      <c r="AF69" s="48" t="str">
        <f ca="1">IFERROR(INDEX($A$3:$G$400,MATCH(ROWS(AF$3:AF69),$Q$3:$Q$400,0),5),"")</f>
        <v>CREDITI</v>
      </c>
      <c r="AG69" s="48" t="str">
        <f ca="1">IFERROR(INDEX($A$3:$G$400,MATCH(ROWS(AG$3:AG69),$Q$3:$Q$400,0),6),"")</f>
        <v>SP DARE</v>
      </c>
      <c r="AH69" s="48" t="str">
        <f ca="1">IFERROR(INDEX($A$3:$G$400,MATCH(ROWS(AH$3:AH69),$Q$3:$Q$400,0),7),"")</f>
        <v>SP</v>
      </c>
      <c r="AI69" s="48" t="str">
        <f t="shared" ca="1" si="158"/>
        <v>CREDITI DIVERSI</v>
      </c>
      <c r="AJ69" s="48" t="str">
        <f ca="1">IFERROR(INDEX($A$3:$H$400,MATCH(ROWS(AJ$3:AJ69),$Q$3:$Q$400,0),8),"")</f>
        <v>pac2</v>
      </c>
      <c r="AK69" s="48">
        <f t="shared" ca="1" si="130"/>
        <v>0</v>
      </c>
      <c r="AL69" s="48">
        <f t="shared" ca="1" si="131"/>
        <v>0</v>
      </c>
      <c r="AM69" s="48">
        <f t="shared" ca="1" si="159"/>
        <v>0</v>
      </c>
      <c r="AN69" s="48" t="str">
        <f t="shared" ca="1" si="160"/>
        <v/>
      </c>
      <c r="AO69" s="48">
        <f t="shared" ca="1" si="161"/>
        <v>0</v>
      </c>
      <c r="AP69" s="48">
        <f t="shared" ca="1" si="161"/>
        <v>0</v>
      </c>
      <c r="AQ69" s="48" t="str">
        <f t="shared" ca="1" si="132"/>
        <v>IVA NS/CREDITO</v>
      </c>
      <c r="AR69" s="48">
        <f t="shared" ca="1" si="133"/>
        <v>0</v>
      </c>
      <c r="AS69" s="48">
        <f t="shared" ca="1" si="134"/>
        <v>0</v>
      </c>
      <c r="AT69" s="48">
        <f t="shared" ca="1" si="162"/>
        <v>0</v>
      </c>
      <c r="AU69" s="48">
        <f t="shared" ca="1" si="163"/>
        <v>0</v>
      </c>
      <c r="AV69" s="48">
        <f ca="1">IF(OR(AT69&gt;0,AU69&gt;0),MAX($AV$2:AV68)+1,0)</f>
        <v>0</v>
      </c>
      <c r="AZ69" s="241" t="str">
        <f t="shared" ca="1" si="164"/>
        <v/>
      </c>
      <c r="BA69" s="48">
        <f t="shared" ca="1" si="135"/>
        <v>0</v>
      </c>
      <c r="BB69" s="48">
        <f ca="1">IFERROR(INDEX($AQ$3:$AV$220,MATCH(ROWS($BB$3:BB69),$AV$3:$AV$220,0),1),0)</f>
        <v>0</v>
      </c>
      <c r="BC69" s="48" t="str">
        <f t="shared" ca="1" si="165"/>
        <v/>
      </c>
      <c r="BD69" s="48">
        <f ca="1">IFERROR(INDEX($AQ$3:$AV$220,MATCH(ROWS($BB$3:BD69),$AV$3:$AV$220,0),4),0)</f>
        <v>0</v>
      </c>
      <c r="BE69" s="48">
        <f ca="1">IFERROR(INDEX($AQ$3:$AV$220,MATCH(ROWS($BB$3:BE69),$AV$3:$AV$220,0),5),0)</f>
        <v>0</v>
      </c>
      <c r="BG69" s="48">
        <f ca="1">IF(IF(AND(OR(INDEX(PDC,MATCH($AC69,DEN_PDC,0),6)="SP DARE",INDEX(PDC,MATCH($AC69,DEN_PDC,0),6)="SP DARE/AVERE"),SUMIFS(DARE,DEN_G,$AC69)&gt;=SUMIFS(AVERE,DEN_G,$AC69)),SUMIFS(DARE,DEN_G,$AC69)-SUMIFS(AVERE,DEN_G,$AC69),0)&gt;0,MAX($BG$2:BG68)+1,0)</f>
        <v>0</v>
      </c>
      <c r="BH69" s="48">
        <f ca="1">IF(IF(AND(OR(INDEX(PDC,MATCH($AC69,DEN_PDC,0),6)="SP AVERE",INDEX(PDC,MATCH($AC69,DEN_PDC,0),6)="SP DARE/AVERE"),SUMIFS(AVERE,DEN_G,$AC69)&gt;=SUMIFS(DARE,DEN_G,$AC69)),SUMIFS(AVERE,DEN_G,$AC69)-SUMIFS(DARE,DEN_G,$AC69),0)&gt;0,MAX(BH$2:BH68)+1,0)</f>
        <v>0</v>
      </c>
      <c r="BI69" s="48">
        <f ca="1">IF(IF(AND(OR(INDEX(PDC,MATCH($AC69,DEN_PDC,0),6)="SE DARE",INDEX(PDC,MATCH($AC69,DEN_PDC,0),6)="SE DARE/AVERE"),SUMIFS(DARE,DEN_G,$AC69)&gt;=SUMIFS(AVERE,DEN_G,$AC69)),SUMIFS(DARE,DEN_G,$AC69)-SUMIFS(AVERE,DEN_G,$AC69),0)&gt;0,MAX(BI$2:BI68)+1,0)</f>
        <v>0</v>
      </c>
      <c r="BJ69" s="48">
        <f ca="1">IF(IF(AND(OR(INDEX(PDC,MATCH($AC69,DEN_PDC,0),6)="SE AVERE",INDEX(PDC,MATCH($AC69,DEN_PDC,0),6)="SE DARE/AVERE"),SUMIFS(AVERE,DEN_G,$AC69)&gt;=SUMIFS(DARE,DEN_G,$AC69)),SUMIFS(AVERE,DEN_G,$AC69)-SUMIFS(DARE,DEN_G,$AC69),0)&gt;0,MAX(BJ$2:BJ68)+1,0)</f>
        <v>0</v>
      </c>
      <c r="BK69" s="48" t="str">
        <f ca="1">IF(AND(AND($DY$2=0,$DY$1=0),$I$1=2,ROW()&gt;$BG$1+2,ROW()&lt;=$BG$1+4),"………………..",IF(AND(OR($DY$2&gt;0,$DY$1&gt;0),$I$1=2,ROW()&gt;$BG$1+2,ROW()&lt;=$BG$1+4),"………………..",IFERROR(INDEX($AC$3:$AC$398,MATCH(ROWS(BK$3:BK69),BG$3:BG$398,0),1),"")))</f>
        <v/>
      </c>
      <c r="BL69" s="48">
        <f t="shared" ca="1" si="136"/>
        <v>0</v>
      </c>
      <c r="BM69" s="48" t="str">
        <f ca="1">IF(AND(OR($DY$2=0,$DY$1=0),$I$1=2,ROW()&gt;$BH$1+2,ROW()&lt;=$BH$1+4),"………………..",IF(AND(OR($DY$2&gt;0,$DY$1&gt;0),$I$1=2,ROW()&gt;$BH$1+2,ROW()&lt;=$BH$1+4),"………………..",IFERROR(INDEX($AC$3:$AC$400,MATCH(ROWS(BM$3:BM69),BH$3:BH$400,0),1),"")))</f>
        <v/>
      </c>
      <c r="BN69" s="48">
        <f t="shared" ca="1" si="137"/>
        <v>0</v>
      </c>
      <c r="BO69" s="48" t="str">
        <f ca="1">IF(AND(OR($DY$2=0,$DY$1=0),$I$1=2,ROW()&gt;$BI$1+2,ROW()&lt;=$BI$1+4),"………………..",IF(AND(OR($DY$2&gt;0,$DY$1&gt;0),$I$1=2,ROW()&gt;$BI$1+2,ROW()&lt;=$BI$1+4),"………………..",IFERROR(INDEX($AC$3:$AC$400,MATCH(ROWS(BO$3:BO69),BI$3:BI$400,0),1),"")))</f>
        <v/>
      </c>
      <c r="BP69" s="48">
        <f t="shared" ca="1" si="138"/>
        <v>0</v>
      </c>
      <c r="BQ69" s="48" t="str">
        <f ca="1">IF(AND(OR($DY$2=0,$DY$1=0),$I$1=2,ROW()&gt;$BJ$1+2,ROW()&lt;=$BJ$1+4),"………………..",IF(AND(OR($DY$2&gt;0,$DY$1&gt;0),$I$1=2,ROW()&gt;$BJ$1+2,ROW()&lt;=$BJ$1+4),"………………..",IFERROR(INDEX($AC$3:$AC$400,MATCH(ROWS(BQ$3:BQ69),BJ$3:BJ$400,0),1),"")))</f>
        <v/>
      </c>
      <c r="BR69" s="48">
        <f t="shared" ca="1" si="139"/>
        <v>0</v>
      </c>
      <c r="BS69" s="48">
        <f ca="1">IF(IF(AND(OR(INDEX(PDC,MATCH($AC69,DEN_PDC,0),4)="D",INDEX(PDC,MATCH($AC69,DEN_PDC,0),4)="D/A"),SUMIFS(DARE,DEN_G,$AC69)&gt;=SUMIFS(AVERE,DEN_G,$AC69)),SUMIFS(DARE,DEN_G,$AC69),IF(AND(OR(INDEX(PDC,MATCH($AC69,DEN_PDC,0),4)="A",INDEX(PDC,MATCH($AC69,DEN_PDC,0),4)="D/A"),SUMIFS(AVERE,DEN_G,$AC69)&gt;=SUMIFS(DARE,DEN_G,$AC69)),SUMIFS(AVERE,DEN_G,$AC69),))&gt;0,MAX($BS$2:BS68)+1,0)</f>
        <v>0</v>
      </c>
      <c r="BT69" s="48" t="str">
        <f ca="1">IF($CO$1=0,"",IF(AND($I$1=2,ROW()&gt;$BR$1,ROW()&lt;=$BS$1)," …………….",IF(AND($E$1=1,$BX$1=1,$I$1=2,ROW()=$BQ$1),"TOTALI",IFERROR(INDEX(PDC,MATCH(ROWS(BT$3:BT69),BS$3:BS466,0),2),""))))</f>
        <v/>
      </c>
      <c r="BU69" s="48">
        <f t="shared" ca="1" si="140"/>
        <v>0</v>
      </c>
      <c r="BV69" s="48">
        <f t="shared" ca="1" si="141"/>
        <v>0</v>
      </c>
      <c r="BW69" s="48">
        <f t="shared" ca="1" si="142"/>
        <v>0</v>
      </c>
      <c r="BX69" s="48">
        <f t="shared" ca="1" si="143"/>
        <v>0</v>
      </c>
      <c r="BY69" s="48">
        <f ca="1">IF(OR(BW69&gt;0,BX69&gt;0),MAX($BY$2:BY68)+1,0)</f>
        <v>0</v>
      </c>
      <c r="BZ69" s="48" t="str">
        <f ca="1">IFERROR(INDEX($BT$3:$BY$400,MATCH(ROWS(BZ$3:BZ69),$BY$3:$BY$400,0),1),"")</f>
        <v/>
      </c>
      <c r="CA69" s="48" t="str">
        <f ca="1">IFERROR(INDEX($BT$3:$BY$400,MATCH(ROWS(CA$3:CA69),$BY$3:$BY$400,0),4),"")</f>
        <v/>
      </c>
      <c r="CB69" s="48" t="str">
        <f ca="1">IFERROR(INDEX($BT$3:$BY$400,MATCH(ROWS(CB$3:CB69),$BY$3:$BY$400,0),5),"")</f>
        <v/>
      </c>
      <c r="CC69" s="48" t="str">
        <f t="shared" ca="1" si="144"/>
        <v/>
      </c>
      <c r="CD69" s="48">
        <f ca="1">IF(AND($CG$1=TRUE,$BF$9=1,CE69&lt;&gt;0),MAX($CD$2:CD68)+1,0)</f>
        <v>0</v>
      </c>
      <c r="CE69" s="48">
        <f ca="1">IF($I$1=1,SUM(CE67,CE65,CE63,CE61,CE59,CE57,CE55,CE53),IF(AND($I$1=2,SUM(CE67,CE65,CE63,CE61,CE59,CE57,CE55,CE53)&gt;0),"_ _ _",0))</f>
        <v>0</v>
      </c>
      <c r="CG69" s="242" t="s">
        <v>505</v>
      </c>
      <c r="CH69" s="242">
        <f t="shared" ca="1" si="112"/>
        <v>0</v>
      </c>
      <c r="CI69" s="242"/>
      <c r="CJ69" s="242"/>
      <c r="CL69" s="242"/>
      <c r="CM69" s="242" t="str">
        <f t="shared" ca="1" si="166"/>
        <v/>
      </c>
      <c r="CN69" s="243">
        <f t="shared" ca="1" si="167"/>
        <v>0</v>
      </c>
      <c r="CO69" s="48" t="str">
        <f t="shared" ca="1" si="168"/>
        <v/>
      </c>
      <c r="CQ69" s="242" t="s">
        <v>825</v>
      </c>
      <c r="CR69" s="242"/>
      <c r="CS69" s="48" t="s">
        <v>826</v>
      </c>
      <c r="CT69" s="48" t="s">
        <v>827</v>
      </c>
      <c r="CU69" s="48">
        <f ca="1">IF(SUMIFS(AVERE,DEN_G,AC69,AVERE,"&gt;"&amp;0)+SUMIFS(DARE,DEN_G,AC69,DARE,"&gt;"&amp;0)&gt;0,MAX($CU$2:CU68)+1,0)</f>
        <v>0</v>
      </c>
      <c r="CV69" s="48" t="str">
        <f ca="1">IF(IFERROR(INDEX(PDC,MATCH(ROWS($CV$3:CV69),$CU$3:$CU$400,0),2),"")="CONTO DI RISULTATO ECONOMICO","",IFERROR(INDEX(PDC,MATCH(ROWS($CV$3:CV69),$CU$3:$CU$400,0),2),""))</f>
        <v/>
      </c>
      <c r="CW69" s="48">
        <f ca="1">IFERROR(IF(CV69&lt;&gt;"",MAX($CW$2:CW68)+1,0),0)</f>
        <v>0</v>
      </c>
      <c r="CX69" s="48">
        <f t="shared" ref="CX69:CX79" ca="1" si="191">$FF$8</f>
        <v>6</v>
      </c>
      <c r="CY69" s="48" t="str">
        <f t="shared" ca="1" si="169"/>
        <v>MASTRO</v>
      </c>
      <c r="DA69" s="48" t="str">
        <f ca="1">IF(DB68="","","Num. riga")</f>
        <v/>
      </c>
      <c r="DB69" s="48" t="str">
        <f t="shared" ref="DB69" ca="1" si="192">IF(DB68="","","Data")</f>
        <v/>
      </c>
      <c r="DC69" s="48" t="str">
        <f ca="1">IF(DB68="","","Operazioni")</f>
        <v/>
      </c>
      <c r="DD69" s="48" t="str">
        <f ca="1">IF(DB68="","","Dare        ")</f>
        <v/>
      </c>
      <c r="DE69" s="48" t="str">
        <f ca="1">IF(DB68="","","Avere        ")</f>
        <v/>
      </c>
      <c r="DF69" s="48">
        <f ca="1">IF(AND(CX69=$DF$1,CX69&lt;&gt;""),0,IF(AND(DB69&lt;&gt;"",OR(DB68&lt;&gt;"",DB70&lt;&gt;"")),MAX($DF$2:DF68)+1,0))</f>
        <v>0</v>
      </c>
      <c r="DH69" s="244" t="s">
        <v>47</v>
      </c>
      <c r="DI69" s="48" t="s">
        <v>357</v>
      </c>
      <c r="DJ69" s="48" t="s">
        <v>311</v>
      </c>
      <c r="DK69" s="48" t="s">
        <v>275</v>
      </c>
      <c r="DL69" s="48" t="s">
        <v>13</v>
      </c>
      <c r="DM69" s="48" t="s">
        <v>270</v>
      </c>
      <c r="DN69" s="48">
        <f ca="1">IF(DI69&lt;&gt;"",MAX($DN$2:DN68)+1,0)</f>
        <v>52</v>
      </c>
      <c r="DO69" s="48" t="str">
        <f ca="1">IF($BF$9=1,"pac11","pac1")</f>
        <v>pac1</v>
      </c>
      <c r="DW69" s="48">
        <f>IF(DR69&lt;&gt;"",MAX($DW$2:DW68)+1,0)</f>
        <v>0</v>
      </c>
      <c r="DY69" s="48" t="str">
        <f t="shared" ca="1" si="147"/>
        <v/>
      </c>
      <c r="DZ69" s="48" t="str">
        <f t="shared" ca="1" si="170"/>
        <v/>
      </c>
      <c r="EA69" s="48" t="str">
        <f t="shared" ca="1" si="171"/>
        <v/>
      </c>
      <c r="EB69" s="48">
        <f t="shared" ca="1" si="172"/>
        <v>0</v>
      </c>
      <c r="EC69" s="48">
        <f t="shared" ca="1" si="173"/>
        <v>0</v>
      </c>
      <c r="ED69" s="48" t="str">
        <f t="shared" ca="1" si="174"/>
        <v/>
      </c>
      <c r="EE69" s="48">
        <f t="shared" ca="1" si="175"/>
        <v>0</v>
      </c>
      <c r="EF69" s="48" t="str">
        <f t="shared" ca="1" si="176"/>
        <v/>
      </c>
      <c r="EG69" s="48">
        <f t="shared" ca="1" si="177"/>
        <v>0</v>
      </c>
      <c r="EH69" s="48" t="str">
        <f t="shared" ca="1" si="178"/>
        <v/>
      </c>
      <c r="EI69" s="48">
        <f t="shared" ca="1" si="179"/>
        <v>0</v>
      </c>
      <c r="EJ69" s="48" t="str">
        <f t="shared" ca="1" si="180"/>
        <v/>
      </c>
      <c r="EK69" s="48">
        <f t="shared" ca="1" si="181"/>
        <v>0</v>
      </c>
      <c r="EL69" s="48">
        <f t="shared" ca="1" si="148"/>
        <v>0</v>
      </c>
      <c r="EM69" s="48">
        <f ca="1">IF(EL69&gt;=0,0,MAX($EM$2:EM68)+1)</f>
        <v>0</v>
      </c>
      <c r="EN69" s="48" t="str">
        <f t="shared" ca="1" si="182"/>
        <v/>
      </c>
      <c r="EO69" s="48" t="str">
        <f ca="1">IFERROR(INDEX($EM$3:$EN$400,MATCH(ROWS($EO$3:EO69),$EM$3:$EM$400,0),2),"")</f>
        <v/>
      </c>
      <c r="EP69" s="48">
        <f>ROW()</f>
        <v>69</v>
      </c>
      <c r="EQ69" s="48">
        <f t="shared" ca="1" si="149"/>
        <v>0</v>
      </c>
      <c r="ER69" s="48">
        <f ca="1">IF(ISNA(EQ69)=TRUE,MAX($ER$2:ER68)+1,0)</f>
        <v>0</v>
      </c>
      <c r="ES69" s="48" t="str">
        <f t="shared" ca="1" si="183"/>
        <v/>
      </c>
      <c r="ET69" s="48" t="str">
        <f ca="1">IFERROR(INDEX($ER$3:$ES$400,MATCH(ROWS($ET$3:ET69),$ER$3:$ER$400,0),2),"")</f>
        <v/>
      </c>
      <c r="EV69" s="48">
        <f ca="1">IFERROR(INDEX(LIBRO_GIORNALE!$O$11:$P$408,MATCH(ROWS($EV$2:EV68),LIBRO_GIORNALE!$P$11:$P$408,0),1),0)</f>
        <v>0</v>
      </c>
      <c r="EW69" s="48" t="str">
        <f t="shared" ca="1" si="184"/>
        <v>0</v>
      </c>
      <c r="EX69" s="48">
        <f t="shared" ca="1" si="185"/>
        <v>0</v>
      </c>
      <c r="EY69" s="48">
        <f ca="1">IF(EX69&gt;0,MAX($EY$2:EY68)+1,0)</f>
        <v>0</v>
      </c>
      <c r="EZ69" s="48">
        <f ca="1">IFERROR(INDEX($EX$3:$EX$400,MATCH(ROWS($EZ$3:EZ69),$EY$3:$EY$400,0),1),0)</f>
        <v>0</v>
      </c>
      <c r="FA69" s="48">
        <f ca="1">IF(EZ69&gt;0,0,MAX($FA$2:FA68)+1)</f>
        <v>67</v>
      </c>
      <c r="FB69" s="48">
        <f t="shared" ca="1" si="186"/>
        <v>0</v>
      </c>
      <c r="FC69" s="48">
        <f t="shared" ca="1" si="187"/>
        <v>67</v>
      </c>
      <c r="FD69" s="48">
        <f t="shared" ca="1" si="188"/>
        <v>67</v>
      </c>
      <c r="FE69" s="48">
        <f ca="1">IF(FD69=0,0,MAX($FE$2:FE68)+1)</f>
        <v>67</v>
      </c>
      <c r="FF69" s="48">
        <f ca="1">IFERROR(INDEX($FD$3:$FE$400,MATCH(ROWS($FF$3:FF69),$FE$3:$FE$400,0),1),"")</f>
        <v>67</v>
      </c>
      <c r="FH69" s="48">
        <f t="shared" ca="1" si="189"/>
        <v>0</v>
      </c>
      <c r="FI69" s="48">
        <f ca="1">IF(FH69&lt;&gt;0,MAX($FI$2:FI68)+1,0)</f>
        <v>0</v>
      </c>
      <c r="FJ69" s="48" t="str">
        <f ca="1">IFERROR(INDEX($FH$3:$FI$400,MATCH(ROWS($FJ$3:FJ69),$FI$3:$FI$400,0),1),"")</f>
        <v/>
      </c>
      <c r="FK69" s="48">
        <f ca="1">IF(ABS(SUMIFS(DARE,DEN_G,"="&amp;FJ69,DATA,"&lt;="&amp;FINE_AC,DATA,"&gt;="&amp;INIZIO_A_PC)-SUMIFS(AVERE,DEN_G,"="&amp;FJ69,DATA,"&lt;="&amp;FINE_AC,DATA,"&gt;="&amp;INIZIO_A_PC))&gt;0,MAX($FK$2:FK68)+1,0)</f>
        <v>0</v>
      </c>
      <c r="FL69" s="48" t="str">
        <f ca="1">IF(AND(ROW()-2&lt;&gt;1,ROW()-2&lt;=$FK$1),CONCATENATE(" - ",IFERROR(INDEX($FJ$3:$FK$400,MATCH(ROWS($FL$3:FL69),$FK$3:$FK$400,0),1),"")),IFERROR(INDEX($FJ$3:$FK$400,MATCH(ROWS($FL$3:FL69),$FK$3:$FK$400,0),1),""))</f>
        <v/>
      </c>
      <c r="FM69" s="48">
        <f ca="1">IF(OR(B69="IVA ns/credito",B69="IVA NS/DEBITO",B69="IVA C/ACCONTO",B69="IMPOSTE C/ACCONTO",B69="CREDITI PER RITENUTE SUBITE",B69="CREDITI D'IMPOSTA"),MAX($FM$2:FM68)+1,0)</f>
        <v>0</v>
      </c>
      <c r="FN69" s="48" t="str">
        <f t="shared" ca="1" si="190"/>
        <v/>
      </c>
      <c r="FO69" s="48" t="str">
        <f ca="1">IFERROR(INDEX($FM$3:$FN$400,MATCH(ROWS($FO$3:FO69),$FM$3:$FM$400,0),2),"")</f>
        <v/>
      </c>
      <c r="FP69" s="48">
        <f ca="1">IF(ABS(SUMIFS(DARE,DEN_G,"="&amp;FO69,DATA,"&lt;="&amp;FINE_AC,DATA,"&gt;="&amp;INIZIO_A_PC)-SUMIFS(AVERE,DEN_G,"="&amp;FO69,DATA,"&lt;="&amp;FINE_AC,DATA,"&gt;="&amp;INIZIO_A_PC))&gt;0,MAX($FP$2:FP68)+1,0)</f>
        <v>0</v>
      </c>
      <c r="FQ69" s="48" t="str">
        <f ca="1">IF(AND(ROW()-2&lt;&gt;1,ROW()-2&lt;=$FP$1),CONCATENATE(" - ",IFERROR(INDEX($FO$3:$FP$400,MATCH(ROWS($FQ$3:FQ69),$FP$3:$FP$400,0),1),"")),IFERROR(INDEX($FO$3:$FP$400,MATCH(ROWS($FQ$3:FQ69),$FP$3:$FP$400,0),1),""))</f>
        <v/>
      </c>
    </row>
    <row r="70" spans="1:173" x14ac:dyDescent="0.3">
      <c r="A70" s="48" t="str">
        <f ca="1">IFERROR(IF($A$1=2,INDEX($DH$3:$DN$401,MATCH(ROWS(A$3:A70),$DN$3:$DN$401,0),COLUMN()),IF($A$1=1,INDEX($DQ$3:$DW$401,MATCH(ROWS(A$3:A70),$DW$3:$DW$401,0),COLUMN()),"")),"")</f>
        <v>05.09</v>
      </c>
      <c r="B70" s="48" t="str">
        <f ca="1">IFERROR(IF($A$1=2,INDEX($DH$3:$DN$401,MATCH(ROWS(B$3:B70),$DN$3:$DN$401,0),COLUMN()),IF($A$1=1,INDEX($DQ$3:$DW$400,MATCH(ROWS(B$3:B70),$DW$3:$DW$401,0),COLUMN()),"")),"")</f>
        <v>CREDITI DA LIQUIDARE</v>
      </c>
      <c r="C70" s="48" t="str">
        <f ca="1">IFERROR(IF($A$1=2,INDEX($DH$3:$DN$401,MATCH(ROWS(C$3:C70),$DN$3:$DN$401,0),COLUMN()),IF($A$1=1,INDEX($DQ$3:$DW$401,MATCH(ROWS(C$3:C70),$DW$3:$DW$401,0),COLUMN()),"")),"")</f>
        <v>F</v>
      </c>
      <c r="D70" s="48" t="str">
        <f ca="1">IFERROR(IF($A$1=2,INDEX($DH$3:$DN$401,MATCH(ROWS(D$3:D70),$DN$3:$DN$401,0),COLUMN()),IF($A$1=1,INDEX($DQ$3:$DW$401,MATCH(ROWS(D$3:D70),$DW$3:$DW$401,0),COLUMN()),"")),"")</f>
        <v>D</v>
      </c>
      <c r="E70" s="48" t="str">
        <f ca="1">IFERROR(IF($A$1=2,INDEX($DH$3:$DN$401,MATCH(ROWS(E$3:E70),$DN$3:$DN$401,0),COLUMN()),IF($A$1=1,INDEX($DQ$3:$DW$401,MATCH(ROWS(E$3:E70),$DW$3:$DW$401,0),COLUMN()),"")),"")</f>
        <v>CREDITI</v>
      </c>
      <c r="F70" s="48" t="str">
        <f ca="1">IFERROR(IF($A$1=2,INDEX($DH$3:$DN$401,MATCH(ROWS(F$3:F70),$DN$3:$DN$401,0),COLUMN()),IF($A$1=1,INDEX($DQ$3:$DX$401,MATCH(ROWS(F$3:F70),$DW$3:$DW$401,0),COLUMN()),"")),"")</f>
        <v>SP DARE</v>
      </c>
      <c r="G70" s="48" t="str">
        <f t="shared" ca="1" si="150"/>
        <v>SP</v>
      </c>
      <c r="H70" s="48" t="str">
        <f ca="1">IFERROR(IF($A$1=2,INDEX($DH$3:$DO$400,MATCH(ROWS(H$3:H70),$DN$3:$DN$400,0),COLUMN()),IF($A$1=1,INDEX($DQ$3:$DX$400,MATCH(ROWS(H$3:H70),$DW$3:$DW$400,0),COLUMN()),"")),"")</f>
        <v>pac2</v>
      </c>
      <c r="I70" s="48" t="str">
        <f t="shared" ca="1" si="151"/>
        <v/>
      </c>
      <c r="J70" s="48" t="str">
        <f t="shared" ca="1" si="152"/>
        <v/>
      </c>
      <c r="K70" s="48">
        <f t="shared" ca="1" si="153"/>
        <v>0</v>
      </c>
      <c r="L70" s="48">
        <f t="shared" ca="1" si="154"/>
        <v>0</v>
      </c>
      <c r="M70" s="48">
        <f ca="1">IFERROR(IF(IF(MID($A70,3,3)=".00",MID(A70,1,2),"")&lt;&gt;"",MAX($M$2:M69)+1,0),"")</f>
        <v>0</v>
      </c>
      <c r="N70" s="48" t="str">
        <f t="shared" ca="1" si="155"/>
        <v/>
      </c>
      <c r="O70" s="48">
        <v>20</v>
      </c>
      <c r="P70" s="48" t="str">
        <f t="shared" ca="1" si="156"/>
        <v/>
      </c>
      <c r="Q70" s="48">
        <f ca="1">IF(M70&gt;=1,0,MAX($Q$2:Q69)+1)</f>
        <v>62</v>
      </c>
      <c r="U70" s="48" t="str">
        <f ca="1">IFERROR(INDEX(PDC,MATCH(ROWS(U$3:U70),$V$3:$V$400,0),2),"")</f>
        <v>IVA C/ACCONTO</v>
      </c>
      <c r="V70" s="48">
        <f ca="1">IF(AND($T$1="VISUALIZZA TUTTI I CONTI",AA70&lt;&gt;""),MAX($V$2:V69)+1,IF(AND($U$2=2,AI70=$T$1),MAX($V$2:V69)+1,IF(AND($U$2=1,$T$1=AF70),MAX($V$2:V69)+1,0)))</f>
        <v>68</v>
      </c>
      <c r="Z70" s="246"/>
      <c r="AA70" s="48" t="str">
        <f t="shared" ca="1" si="157"/>
        <v>06.00</v>
      </c>
      <c r="AB70" s="48" t="str">
        <f ca="1">IFERROR(INDEX($A$3:$G$400,MATCH(ROWS(AB$3:AB70),$Q$3:$Q$400,0),1),"")</f>
        <v>06.02</v>
      </c>
      <c r="AC70" s="48" t="str">
        <f ca="1">IFERROR(INDEX($A$3:$G$400,MATCH(ROWS($AC$3:AC70),$Q$3:$Q$400,0),2),"")</f>
        <v>IVA C/ACCONTO</v>
      </c>
      <c r="AD70" s="48" t="str">
        <f ca="1">IFERROR(INDEX($A$3:$G$400,MATCH(ROWS(AD$3:AD70),$Q$3:$Q$400,0),3),"")</f>
        <v>F</v>
      </c>
      <c r="AE70" s="48" t="str">
        <f ca="1">IFERROR(INDEX($A$3:$G$400,MATCH(ROWS(AE$3:AE70),$Q$3:$Q$400,0),4),"")</f>
        <v>D</v>
      </c>
      <c r="AF70" s="48" t="str">
        <f ca="1">IFERROR(INDEX($A$3:$G$400,MATCH(ROWS(AF$3:AF70),$Q$3:$Q$400,0),5),"")</f>
        <v>CREDITI</v>
      </c>
      <c r="AG70" s="48" t="str">
        <f ca="1">IFERROR(INDEX($A$3:$G$400,MATCH(ROWS(AG$3:AG70),$Q$3:$Q$400,0),6),"")</f>
        <v>SP DARE</v>
      </c>
      <c r="AH70" s="48" t="str">
        <f ca="1">IFERROR(INDEX($A$3:$G$400,MATCH(ROWS(AH$3:AH70),$Q$3:$Q$400,0),7),"")</f>
        <v>SP</v>
      </c>
      <c r="AI70" s="48" t="str">
        <f t="shared" ca="1" si="158"/>
        <v>CREDITI DIVERSI</v>
      </c>
      <c r="AJ70" s="48" t="str">
        <f ca="1">IFERROR(INDEX($A$3:$H$400,MATCH(ROWS(AJ$3:AJ70),$Q$3:$Q$400,0),8),"")</f>
        <v>pac2</v>
      </c>
      <c r="AK70" s="48">
        <f t="shared" ca="1" si="130"/>
        <v>0</v>
      </c>
      <c r="AL70" s="48">
        <f t="shared" ca="1" si="131"/>
        <v>0</v>
      </c>
      <c r="AM70" s="48">
        <f t="shared" ca="1" si="159"/>
        <v>0</v>
      </c>
      <c r="AN70" s="48" t="str">
        <f t="shared" ca="1" si="160"/>
        <v/>
      </c>
      <c r="AO70" s="48">
        <f t="shared" ca="1" si="161"/>
        <v>0</v>
      </c>
      <c r="AP70" s="48">
        <f t="shared" ca="1" si="161"/>
        <v>0</v>
      </c>
      <c r="AQ70" s="48" t="str">
        <f t="shared" ca="1" si="132"/>
        <v>IVA C/ACCONTO</v>
      </c>
      <c r="AR70" s="48">
        <f t="shared" ca="1" si="133"/>
        <v>0</v>
      </c>
      <c r="AS70" s="48">
        <f t="shared" ca="1" si="134"/>
        <v>0</v>
      </c>
      <c r="AT70" s="48">
        <f t="shared" ca="1" si="162"/>
        <v>0</v>
      </c>
      <c r="AU70" s="48">
        <f t="shared" ca="1" si="163"/>
        <v>0</v>
      </c>
      <c r="AV70" s="48">
        <f ca="1">IF(OR(AT70&gt;0,AU70&gt;0),MAX($AV$2:AV69)+1,0)</f>
        <v>0</v>
      </c>
      <c r="AZ70" s="241" t="str">
        <f t="shared" ca="1" si="164"/>
        <v/>
      </c>
      <c r="BA70" s="48">
        <f t="shared" ca="1" si="135"/>
        <v>0</v>
      </c>
      <c r="BB70" s="48">
        <f ca="1">IFERROR(INDEX($AQ$3:$AV$220,MATCH(ROWS($BB$3:BB70),$AV$3:$AV$220,0),1),0)</f>
        <v>0</v>
      </c>
      <c r="BC70" s="48" t="str">
        <f t="shared" ca="1" si="165"/>
        <v/>
      </c>
      <c r="BD70" s="48">
        <f ca="1">IFERROR(INDEX($AQ$3:$AV$220,MATCH(ROWS($BB$3:BD70),$AV$3:$AV$220,0),4),0)</f>
        <v>0</v>
      </c>
      <c r="BE70" s="48">
        <f ca="1">IFERROR(INDEX($AQ$3:$AV$220,MATCH(ROWS($BB$3:BE70),$AV$3:$AV$220,0),5),0)</f>
        <v>0</v>
      </c>
      <c r="BG70" s="48">
        <f ca="1">IF(IF(AND(OR(INDEX(PDC,MATCH($AC70,DEN_PDC,0),6)="SP DARE",INDEX(PDC,MATCH($AC70,DEN_PDC,0),6)="SP DARE/AVERE"),SUMIFS(DARE,DEN_G,$AC70)&gt;=SUMIFS(AVERE,DEN_G,$AC70)),SUMIFS(DARE,DEN_G,$AC70)-SUMIFS(AVERE,DEN_G,$AC70),0)&gt;0,MAX($BG$2:BG69)+1,0)</f>
        <v>0</v>
      </c>
      <c r="BH70" s="48">
        <f ca="1">IF(IF(AND(OR(INDEX(PDC,MATCH($AC70,DEN_PDC,0),6)="SP AVERE",INDEX(PDC,MATCH($AC70,DEN_PDC,0),6)="SP DARE/AVERE"),SUMIFS(AVERE,DEN_G,$AC70)&gt;=SUMIFS(DARE,DEN_G,$AC70)),SUMIFS(AVERE,DEN_G,$AC70)-SUMIFS(DARE,DEN_G,$AC70),0)&gt;0,MAX(BH$2:BH69)+1,0)</f>
        <v>0</v>
      </c>
      <c r="BI70" s="48">
        <f ca="1">IF(IF(AND(OR(INDEX(PDC,MATCH($AC70,DEN_PDC,0),6)="SE DARE",INDEX(PDC,MATCH($AC70,DEN_PDC,0),6)="SE DARE/AVERE"),SUMIFS(DARE,DEN_G,$AC70)&gt;=SUMIFS(AVERE,DEN_G,$AC70)),SUMIFS(DARE,DEN_G,$AC70)-SUMIFS(AVERE,DEN_G,$AC70),0)&gt;0,MAX(BI$2:BI69)+1,0)</f>
        <v>0</v>
      </c>
      <c r="BJ70" s="48">
        <f ca="1">IF(IF(AND(OR(INDEX(PDC,MATCH($AC70,DEN_PDC,0),6)="SE AVERE",INDEX(PDC,MATCH($AC70,DEN_PDC,0),6)="SE DARE/AVERE"),SUMIFS(AVERE,DEN_G,$AC70)&gt;=SUMIFS(DARE,DEN_G,$AC70)),SUMIFS(AVERE,DEN_G,$AC70)-SUMIFS(DARE,DEN_G,$AC70),0)&gt;0,MAX(BJ$2:BJ69)+1,0)</f>
        <v>0</v>
      </c>
      <c r="BK70" s="48" t="str">
        <f ca="1">IF(AND(AND($DY$2=0,$DY$1=0),$I$1=2,ROW()&gt;$BG$1+2,ROW()&lt;=$BG$1+4),"………………..",IF(AND(OR($DY$2&gt;0,$DY$1&gt;0),$I$1=2,ROW()&gt;$BG$1+2,ROW()&lt;=$BG$1+4),"………………..",IFERROR(INDEX($AC$3:$AC$398,MATCH(ROWS(BK$3:BK70),BG$3:BG$398,0),1),"")))</f>
        <v/>
      </c>
      <c r="BL70" s="48">
        <f t="shared" ca="1" si="136"/>
        <v>0</v>
      </c>
      <c r="BM70" s="48" t="str">
        <f ca="1">IF(AND(OR($DY$2=0,$DY$1=0),$I$1=2,ROW()&gt;$BH$1+2,ROW()&lt;=$BH$1+4),"………………..",IF(AND(OR($DY$2&gt;0,$DY$1&gt;0),$I$1=2,ROW()&gt;$BH$1+2,ROW()&lt;=$BH$1+4),"………………..",IFERROR(INDEX($AC$3:$AC$400,MATCH(ROWS(BM$3:BM70),BH$3:BH$400,0),1),"")))</f>
        <v/>
      </c>
      <c r="BN70" s="48">
        <f t="shared" ca="1" si="137"/>
        <v>0</v>
      </c>
      <c r="BO70" s="48" t="str">
        <f ca="1">IF(AND(OR($DY$2=0,$DY$1=0),$I$1=2,ROW()&gt;$BI$1+2,ROW()&lt;=$BI$1+4),"………………..",IF(AND(OR($DY$2&gt;0,$DY$1&gt;0),$I$1=2,ROW()&gt;$BI$1+2,ROW()&lt;=$BI$1+4),"………………..",IFERROR(INDEX($AC$3:$AC$400,MATCH(ROWS(BO$3:BO70),BI$3:BI$400,0),1),"")))</f>
        <v/>
      </c>
      <c r="BP70" s="48">
        <f t="shared" ca="1" si="138"/>
        <v>0</v>
      </c>
      <c r="BQ70" s="48" t="str">
        <f ca="1">IF(AND(OR($DY$2=0,$DY$1=0),$I$1=2,ROW()&gt;$BJ$1+2,ROW()&lt;=$BJ$1+4),"………………..",IF(AND(OR($DY$2&gt;0,$DY$1&gt;0),$I$1=2,ROW()&gt;$BJ$1+2,ROW()&lt;=$BJ$1+4),"………………..",IFERROR(INDEX($AC$3:$AC$400,MATCH(ROWS(BQ$3:BQ70),BJ$3:BJ$400,0),1),"")))</f>
        <v/>
      </c>
      <c r="BR70" s="48">
        <f t="shared" ca="1" si="139"/>
        <v>0</v>
      </c>
      <c r="BS70" s="48">
        <f ca="1">IF(IF(AND(OR(INDEX(PDC,MATCH($AC70,DEN_PDC,0),4)="D",INDEX(PDC,MATCH($AC70,DEN_PDC,0),4)="D/A"),SUMIFS(DARE,DEN_G,$AC70)&gt;=SUMIFS(AVERE,DEN_G,$AC70)),SUMIFS(DARE,DEN_G,$AC70),IF(AND(OR(INDEX(PDC,MATCH($AC70,DEN_PDC,0),4)="A",INDEX(PDC,MATCH($AC70,DEN_PDC,0),4)="D/A"),SUMIFS(AVERE,DEN_G,$AC70)&gt;=SUMIFS(DARE,DEN_G,$AC70)),SUMIFS(AVERE,DEN_G,$AC70),))&gt;0,MAX($BS$2:BS69)+1,0)</f>
        <v>0</v>
      </c>
      <c r="BT70" s="48" t="str">
        <f ca="1">IF($CO$1=0,"",IF(AND($I$1=2,ROW()&gt;$BR$1,ROW()&lt;=$BS$1)," …………….",IF(AND($E$1=1,$BX$1=1,$I$1=2,ROW()=$BQ$1),"TOTALI",IFERROR(INDEX(PDC,MATCH(ROWS(BT$3:BT70),BS$3:BS467,0),2),""))))</f>
        <v/>
      </c>
      <c r="BU70" s="48">
        <f t="shared" ca="1" si="140"/>
        <v>0</v>
      </c>
      <c r="BV70" s="48">
        <f t="shared" ca="1" si="141"/>
        <v>0</v>
      </c>
      <c r="BW70" s="48">
        <f t="shared" ca="1" si="142"/>
        <v>0</v>
      </c>
      <c r="BX70" s="48">
        <f t="shared" ca="1" si="143"/>
        <v>0</v>
      </c>
      <c r="BY70" s="48">
        <f ca="1">IF(OR(BW70&gt;0,BX70&gt;0),MAX($BY$2:BY69)+1,0)</f>
        <v>0</v>
      </c>
      <c r="BZ70" s="48" t="str">
        <f ca="1">IFERROR(INDEX($BT$3:$BY$400,MATCH(ROWS(BZ$3:BZ70),$BY$3:$BY$400,0),1),"")</f>
        <v/>
      </c>
      <c r="CA70" s="48" t="str">
        <f ca="1">IFERROR(INDEX($BT$3:$BY$400,MATCH(ROWS(CA$3:CA70),$BY$3:$BY$400,0),4),"")</f>
        <v/>
      </c>
      <c r="CB70" s="48" t="str">
        <f ca="1">IFERROR(INDEX($BT$3:$BY$400,MATCH(ROWS(CB$3:CB70),$BY$3:$BY$400,0),5),"")</f>
        <v/>
      </c>
      <c r="CC70" s="48" t="str">
        <f t="shared" ca="1" si="144"/>
        <v/>
      </c>
      <c r="CD70" s="48">
        <f ca="1">IF(AND($BF$9=1,CE70&lt;&gt;0),MAX($CD$2:CD69)+1,0)</f>
        <v>0</v>
      </c>
      <c r="CE70" s="48">
        <f ca="1">IF(OR(CE78&gt;0,CE78="_ _ _"),"a",0)</f>
        <v>0</v>
      </c>
      <c r="CG70" s="242" t="s">
        <v>529</v>
      </c>
      <c r="CH70" s="242"/>
      <c r="CI70" s="242"/>
      <c r="CJ70" s="242"/>
      <c r="CL70" s="242"/>
      <c r="CM70" s="242" t="str">
        <f t="shared" ca="1" si="166"/>
        <v/>
      </c>
      <c r="CN70" s="243">
        <f t="shared" ca="1" si="167"/>
        <v>0</v>
      </c>
      <c r="CO70" s="48" t="str">
        <f t="shared" ca="1" si="168"/>
        <v/>
      </c>
      <c r="CQ70" s="247">
        <f ca="1">CQ43</f>
        <v>46023</v>
      </c>
      <c r="CR70" s="247">
        <f ca="1">CR43</f>
        <v>46387</v>
      </c>
      <c r="CS70" s="48">
        <f ca="1">IF($I$1=2,COUNTIFS($AO$103:$AO$302,"&gt;"&amp;0,$AM$103:$AM$302,"="&amp;"PERDITA D'ESERCIZIO",$AL$103:$AL$302,"&gt;="&amp;CQ70,$AL$103:$AL$302,"&lt;="&amp;CR70),0)</f>
        <v>0</v>
      </c>
      <c r="CT70" s="48">
        <f ca="1">IF($I$1=2,COUNTIFS($AP$71:$AP$270,"&gt;"&amp;0,$AM$71:$AM$270,"="&amp;"UTILE D'ESERCIZIO",$AL$71:$AL$270,"&gt;="&amp;CQ70,$AL$71:$AL$270,"&lt;="&amp;CR70),0)</f>
        <v>0</v>
      </c>
      <c r="CU70" s="48">
        <f ca="1">IF(SUMIFS(AVERE,DEN_G,AC70,AVERE,"&gt;"&amp;0)+SUMIFS(DARE,DEN_G,AC70,DARE,"&gt;"&amp;0)&gt;0,MAX($CU$2:CU69)+1,0)</f>
        <v>0</v>
      </c>
      <c r="CV70" s="48" t="str">
        <f ca="1">IF(IFERROR(INDEX(PDC,MATCH(ROWS($CV$3:CV70),$CU$3:$CU$400,0),2),"")="CONTO DI RISULTATO ECONOMICO","",IFERROR(INDEX(PDC,MATCH(ROWS($CV$3:CV70),$CU$3:$CU$400,0),2),""))</f>
        <v/>
      </c>
      <c r="CW70" s="48">
        <f ca="1">IFERROR(IF(CV70&lt;&gt;"",MAX($CW$2:CW69)+1,0),0)</f>
        <v>0</v>
      </c>
      <c r="CX70" s="48">
        <f t="shared" ca="1" si="191"/>
        <v>6</v>
      </c>
      <c r="CY70" s="48" t="str">
        <f t="shared" ca="1" si="169"/>
        <v>MASTRO</v>
      </c>
      <c r="CZ70" s="48" t="e">
        <f t="shared" ref="CZ70:CZ79" ca="1" si="193">SUM(MATCH($CY70,INDIRECT(ADDRESS(SUM(CZ69)+3,54)&amp;":"&amp;ADDRESS(400,54)),0),CZ69)</f>
        <v>#N/A</v>
      </c>
      <c r="DA70" s="48" t="str">
        <f ca="1">IFERROR(INDEX(LIBRO_GIORNALE,CZ70,1),"")</f>
        <v/>
      </c>
      <c r="DB70" s="48" t="str">
        <f t="shared" ca="1" si="76"/>
        <v/>
      </c>
      <c r="DC70" s="48" t="str">
        <f t="shared" ref="DC70:DC79" ca="1" si="194">IF(IFERROR(INDEX(LIBRO_GIORNALE,CZ70,4),"")=0,"manca la descrizione dell'operazione",IFERROR(INDEX(LIBRO_GIORNALE,CZ70,4),""))</f>
        <v/>
      </c>
      <c r="DD70" s="48" t="str">
        <f t="shared" ref="DD70:DD79" ca="1" si="195">IFERROR(IF(INDEX(LIBRO_GIORNALE,CZ70,5)&gt;0,INDEX(LIBRO_GIORNALE,CZ70,5),""),"")</f>
        <v/>
      </c>
      <c r="DE70" s="48" t="str">
        <f t="shared" ref="DE70:DE79" ca="1" si="196">IFERROR(IF(INDEX(LIBRO_GIORNALE,CZ70,6)&gt;0,INDEX(LIBRO_GIORNALE,CZ70,6),""),"")</f>
        <v/>
      </c>
      <c r="DF70" s="48">
        <f ca="1">IF(AND(CX70=$DF$1,CX70&lt;&gt;""),0,IF(AND(DB70&lt;&gt;"",OR(DB69&lt;&gt;"",DB71&lt;&gt;"")),MAX($DF$2:DF69)+1,0))</f>
        <v>0</v>
      </c>
      <c r="DH70" s="244" t="s">
        <v>358</v>
      </c>
      <c r="DI70" s="48" t="s">
        <v>359</v>
      </c>
      <c r="DJ70" s="48" t="s">
        <v>311</v>
      </c>
      <c r="DK70" s="48" t="s">
        <v>275</v>
      </c>
      <c r="DL70" s="48" t="s">
        <v>13</v>
      </c>
      <c r="DM70" s="48" t="s">
        <v>270</v>
      </c>
      <c r="DN70" s="48">
        <f ca="1">IF(DI70&lt;&gt;"",MAX($DN$2:DN69)+1,0)</f>
        <v>53</v>
      </c>
      <c r="DO70" s="48" t="str">
        <f t="shared" ref="DO70:DO71" ca="1" si="197">IF($BF$9=1,"pac11","pac1")</f>
        <v>pac1</v>
      </c>
      <c r="DW70" s="48">
        <f>IF(DR70&lt;&gt;"",MAX($DW$2:DW69)+1,0)</f>
        <v>0</v>
      </c>
      <c r="DY70" s="48" t="str">
        <f t="shared" ca="1" si="147"/>
        <v/>
      </c>
      <c r="DZ70" s="48" t="str">
        <f t="shared" ca="1" si="170"/>
        <v/>
      </c>
      <c r="EA70" s="48" t="str">
        <f t="shared" ca="1" si="171"/>
        <v/>
      </c>
      <c r="EB70" s="48">
        <f t="shared" ca="1" si="172"/>
        <v>0</v>
      </c>
      <c r="EC70" s="48">
        <f t="shared" ca="1" si="173"/>
        <v>0</v>
      </c>
      <c r="ED70" s="48" t="str">
        <f t="shared" ca="1" si="174"/>
        <v/>
      </c>
      <c r="EE70" s="48">
        <f t="shared" ca="1" si="175"/>
        <v>0</v>
      </c>
      <c r="EF70" s="48" t="str">
        <f t="shared" ca="1" si="176"/>
        <v/>
      </c>
      <c r="EG70" s="48">
        <f t="shared" ca="1" si="177"/>
        <v>0</v>
      </c>
      <c r="EH70" s="48" t="str">
        <f t="shared" ca="1" si="178"/>
        <v/>
      </c>
      <c r="EI70" s="48">
        <f t="shared" ca="1" si="179"/>
        <v>0</v>
      </c>
      <c r="EJ70" s="48" t="str">
        <f t="shared" ca="1" si="180"/>
        <v/>
      </c>
      <c r="EK70" s="48">
        <f t="shared" ca="1" si="181"/>
        <v>0</v>
      </c>
      <c r="EL70" s="48">
        <f t="shared" ca="1" si="148"/>
        <v>0</v>
      </c>
      <c r="EM70" s="48">
        <f ca="1">IF(EL70&gt;=0,0,MAX($EM$2:EM69)+1)</f>
        <v>0</v>
      </c>
      <c r="EN70" s="48" t="str">
        <f t="shared" ca="1" si="182"/>
        <v/>
      </c>
      <c r="EO70" s="48" t="str">
        <f ca="1">IFERROR(INDEX($EM$3:$EN$400,MATCH(ROWS($EO$3:EO70),$EM$3:$EM$400,0),2),"")</f>
        <v/>
      </c>
      <c r="EP70" s="48">
        <f>ROW()</f>
        <v>70</v>
      </c>
      <c r="EQ70" s="48">
        <f t="shared" ca="1" si="149"/>
        <v>0</v>
      </c>
      <c r="ER70" s="48">
        <f ca="1">IF(ISNA(EQ70)=TRUE,MAX($ER$2:ER69)+1,0)</f>
        <v>0</v>
      </c>
      <c r="ES70" s="48" t="str">
        <f t="shared" ca="1" si="183"/>
        <v/>
      </c>
      <c r="ET70" s="48" t="str">
        <f ca="1">IFERROR(INDEX($ER$3:$ES$400,MATCH(ROWS($ET$3:ET70),$ER$3:$ER$400,0),2),"")</f>
        <v/>
      </c>
      <c r="EV70" s="48">
        <f ca="1">IFERROR(INDEX(LIBRO_GIORNALE!$O$11:$P$408,MATCH(ROWS($EV$2:EV69),LIBRO_GIORNALE!$P$11:$P$408,0),1),0)</f>
        <v>0</v>
      </c>
      <c r="EW70" s="48" t="str">
        <f t="shared" ca="1" si="184"/>
        <v>0</v>
      </c>
      <c r="EX70" s="48">
        <f t="shared" ca="1" si="185"/>
        <v>0</v>
      </c>
      <c r="EY70" s="48">
        <f ca="1">IF(EX70&gt;0,MAX($EY$2:EY69)+1,0)</f>
        <v>0</v>
      </c>
      <c r="EZ70" s="48">
        <f ca="1">IFERROR(INDEX($EX$3:$EX$400,MATCH(ROWS($EZ$3:EZ70),$EY$3:$EY$400,0),1),0)</f>
        <v>0</v>
      </c>
      <c r="FA70" s="48">
        <f ca="1">IF(EZ70&gt;0,0,MAX($FA$2:FA69)+1)</f>
        <v>68</v>
      </c>
      <c r="FB70" s="48">
        <f t="shared" ca="1" si="186"/>
        <v>0</v>
      </c>
      <c r="FC70" s="48">
        <f t="shared" ca="1" si="187"/>
        <v>68</v>
      </c>
      <c r="FD70" s="48">
        <f t="shared" ca="1" si="188"/>
        <v>68</v>
      </c>
      <c r="FE70" s="48">
        <f ca="1">IF(FD70=0,0,MAX($FE$2:FE69)+1)</f>
        <v>68</v>
      </c>
      <c r="FF70" s="48">
        <f ca="1">IFERROR(INDEX($FD$3:$FE$400,MATCH(ROWS($FF$3:FF70),$FE$3:$FE$400,0),1),"")</f>
        <v>68</v>
      </c>
      <c r="FH70" s="48">
        <f t="shared" ca="1" si="189"/>
        <v>0</v>
      </c>
      <c r="FI70" s="48">
        <f ca="1">IF(FH70&lt;&gt;0,MAX($FI$2:FI69)+1,0)</f>
        <v>0</v>
      </c>
      <c r="FJ70" s="48" t="str">
        <f ca="1">IFERROR(INDEX($FH$3:$FI$400,MATCH(ROWS($FJ$3:FJ70),$FI$3:$FI$400,0),1),"")</f>
        <v/>
      </c>
      <c r="FK70" s="48">
        <f ca="1">IF(ABS(SUMIFS(DARE,DEN_G,"="&amp;FJ70,DATA,"&lt;="&amp;FINE_AC,DATA,"&gt;="&amp;INIZIO_A_PC)-SUMIFS(AVERE,DEN_G,"="&amp;FJ70,DATA,"&lt;="&amp;FINE_AC,DATA,"&gt;="&amp;INIZIO_A_PC))&gt;0,MAX($FK$2:FK69)+1,0)</f>
        <v>0</v>
      </c>
      <c r="FL70" s="48" t="str">
        <f ca="1">IF(AND(ROW()-2&lt;&gt;1,ROW()-2&lt;=$FK$1),CONCATENATE(" - ",IFERROR(INDEX($FJ$3:$FK$400,MATCH(ROWS($FL$3:FL70),$FK$3:$FK$400,0),1),"")),IFERROR(INDEX($FJ$3:$FK$400,MATCH(ROWS($FL$3:FL70),$FK$3:$FK$400,0),1),""))</f>
        <v/>
      </c>
      <c r="FM70" s="48">
        <f ca="1">IF(OR(B70="IVA ns/credito",B70="IVA NS/DEBITO",B70="IVA C/ACCONTO",B70="IMPOSTE C/ACCONTO",B70="CREDITI PER RITENUTE SUBITE",B70="CREDITI D'IMPOSTA"),MAX($FM$2:FM69)+1,0)</f>
        <v>0</v>
      </c>
      <c r="FN70" s="48" t="str">
        <f t="shared" ca="1" si="190"/>
        <v/>
      </c>
      <c r="FO70" s="48" t="str">
        <f ca="1">IFERROR(INDEX($FM$3:$FN$400,MATCH(ROWS($FO$3:FO70),$FM$3:$FM$400,0),2),"")</f>
        <v/>
      </c>
      <c r="FP70" s="48">
        <f ca="1">IF(ABS(SUMIFS(DARE,DEN_G,"="&amp;FO70,DATA,"&lt;="&amp;FINE_AC,DATA,"&gt;="&amp;INIZIO_A_PC)-SUMIFS(AVERE,DEN_G,"="&amp;FO70,DATA,"&lt;="&amp;FINE_AC,DATA,"&gt;="&amp;INIZIO_A_PC))&gt;0,MAX($FP$2:FP69)+1,0)</f>
        <v>0</v>
      </c>
      <c r="FQ70" s="48" t="str">
        <f ca="1">IF(AND(ROW()-2&lt;&gt;1,ROW()-2&lt;=$FP$1),CONCATENATE(" - ",IFERROR(INDEX($FO$3:$FP$400,MATCH(ROWS($FQ$3:FQ70),$FP$3:$FP$400,0),1),"")),IFERROR(INDEX($FO$3:$FP$400,MATCH(ROWS($FQ$3:FQ70),$FP$3:$FP$400,0),1),""))</f>
        <v/>
      </c>
    </row>
    <row r="71" spans="1:173" x14ac:dyDescent="0.3">
      <c r="A71" s="48" t="str">
        <f ca="1">IFERROR(IF($A$1=2,INDEX($DH$3:$DN$401,MATCH(ROWS(A$3:A71),$DN$3:$DN$401,0),COLUMN()),IF($A$1=1,INDEX($DQ$3:$DW$401,MATCH(ROWS(A$3:A71),$DW$3:$DW$401,0),COLUMN()),"")),"")</f>
        <v>05.10</v>
      </c>
      <c r="B71" s="48" t="str">
        <f ca="1">IFERROR(IF($A$1=2,INDEX($DH$3:$DN$401,MATCH(ROWS(B$3:B71),$DN$3:$DN$401,0),COLUMN()),IF($A$1=1,INDEX($DQ$3:$DW$400,MATCH(ROWS(B$3:B71),$DW$3:$DW$401,0),COLUMN()),"")),"")</f>
        <v>CREDITI INSOLUTI</v>
      </c>
      <c r="C71" s="48" t="str">
        <f ca="1">IFERROR(IF($A$1=2,INDEX($DH$3:$DN$401,MATCH(ROWS(C$3:C71),$DN$3:$DN$401,0),COLUMN()),IF($A$1=1,INDEX($DQ$3:$DW$401,MATCH(ROWS(C$3:C71),$DW$3:$DW$401,0),COLUMN()),"")),"")</f>
        <v>F</v>
      </c>
      <c r="D71" s="48" t="str">
        <f ca="1">IFERROR(IF($A$1=2,INDEX($DH$3:$DN$401,MATCH(ROWS(D$3:D71),$DN$3:$DN$401,0),COLUMN()),IF($A$1=1,INDEX($DQ$3:$DW$401,MATCH(ROWS(D$3:D71),$DW$3:$DW$401,0),COLUMN()),"")),"")</f>
        <v>D</v>
      </c>
      <c r="E71" s="48" t="str">
        <f ca="1">IFERROR(IF($A$1=2,INDEX($DH$3:$DN$401,MATCH(ROWS(E$3:E71),$DN$3:$DN$401,0),COLUMN()),IF($A$1=1,INDEX($DQ$3:$DW$401,MATCH(ROWS(E$3:E71),$DW$3:$DW$401,0),COLUMN()),"")),"")</f>
        <v>CREDITI</v>
      </c>
      <c r="F71" s="48" t="str">
        <f ca="1">IFERROR(IF($A$1=2,INDEX($DH$3:$DN$401,MATCH(ROWS(F$3:F71),$DN$3:$DN$401,0),COLUMN()),IF($A$1=1,INDEX($DQ$3:$DX$401,MATCH(ROWS(F$3:F71),$DW$3:$DW$401,0),COLUMN()),"")),"")</f>
        <v>SP DARE</v>
      </c>
      <c r="G71" s="48" t="str">
        <f t="shared" ca="1" si="150"/>
        <v>SP</v>
      </c>
      <c r="H71" s="48" t="str">
        <f ca="1">IFERROR(IF($A$1=2,INDEX($DH$3:$DO$400,MATCH(ROWS(H$3:H71),$DN$3:$DN$400,0),COLUMN()),IF($A$1=1,INDEX($DQ$3:$DX$400,MATCH(ROWS(H$3:H71),$DW$3:$DW$400,0),COLUMN()),"")),"")</f>
        <v>pac2</v>
      </c>
      <c r="I71" s="48" t="str">
        <f t="shared" ca="1" si="151"/>
        <v/>
      </c>
      <c r="J71" s="48" t="str">
        <f t="shared" ca="1" si="152"/>
        <v/>
      </c>
      <c r="K71" s="48">
        <f t="shared" ca="1" si="153"/>
        <v>0</v>
      </c>
      <c r="L71" s="48">
        <f t="shared" ca="1" si="154"/>
        <v>0</v>
      </c>
      <c r="M71" s="48">
        <f ca="1">IFERROR(IF(IF(MID($A71,3,3)=".00",MID(A71,1,2),"")&lt;&gt;"",MAX($M$2:M70)+1,0),"")</f>
        <v>0</v>
      </c>
      <c r="N71" s="48" t="str">
        <f t="shared" ca="1" si="155"/>
        <v/>
      </c>
      <c r="O71" s="48">
        <v>21</v>
      </c>
      <c r="P71" s="48" t="str">
        <f t="shared" ca="1" si="156"/>
        <v/>
      </c>
      <c r="Q71" s="48">
        <f ca="1">IF(M71&gt;=1,0,MAX($Q$2:Q70)+1)</f>
        <v>63</v>
      </c>
      <c r="U71" s="48" t="str">
        <f ca="1">IFERROR(INDEX(PDC,MATCH(ROWS(U$3:U71),$V$3:$V$400,0),2),"")</f>
        <v>CREDITI PER IVA</v>
      </c>
      <c r="V71" s="48">
        <f ca="1">IF(AND($T$1="VISUALIZZA TUTTI I CONTI",AA71&lt;&gt;""),MAX($V$2:V70)+1,IF(AND($U$2=2,AI71=$T$1),MAX($V$2:V70)+1,IF(AND($U$2=1,$T$1=AF71),MAX($V$2:V70)+1,0)))</f>
        <v>69</v>
      </c>
      <c r="Z71" s="246"/>
      <c r="AA71" s="48" t="str">
        <f t="shared" ca="1" si="157"/>
        <v>06.00</v>
      </c>
      <c r="AB71" s="48" t="str">
        <f ca="1">IFERROR(INDEX($A$3:$G$400,MATCH(ROWS(AB$3:AB71),$Q$3:$Q$400,0),1),"")</f>
        <v>06.03</v>
      </c>
      <c r="AC71" s="48" t="str">
        <f ca="1">IFERROR(INDEX($A$3:$G$400,MATCH(ROWS($AC$3:AC71),$Q$3:$Q$400,0),2),"")</f>
        <v>CREDITI PER IVA</v>
      </c>
      <c r="AD71" s="48" t="str">
        <f ca="1">IFERROR(INDEX($A$3:$G$400,MATCH(ROWS(AD$3:AD71),$Q$3:$Q$400,0),3),"")</f>
        <v>F</v>
      </c>
      <c r="AE71" s="48" t="str">
        <f ca="1">IFERROR(INDEX($A$3:$G$400,MATCH(ROWS(AE$3:AE71),$Q$3:$Q$400,0),4),"")</f>
        <v>D</v>
      </c>
      <c r="AF71" s="48" t="str">
        <f ca="1">IFERROR(INDEX($A$3:$G$400,MATCH(ROWS(AF$3:AF71),$Q$3:$Q$400,0),5),"")</f>
        <v>CREDITI</v>
      </c>
      <c r="AG71" s="48" t="str">
        <f ca="1">IFERROR(INDEX($A$3:$G$400,MATCH(ROWS(AG$3:AG71),$Q$3:$Q$400,0),6),"")</f>
        <v>SP DARE</v>
      </c>
      <c r="AH71" s="48" t="str">
        <f ca="1">IFERROR(INDEX($A$3:$G$400,MATCH(ROWS(AH$3:AH71),$Q$3:$Q$400,0),7),"")</f>
        <v>SP</v>
      </c>
      <c r="AI71" s="48" t="str">
        <f t="shared" ca="1" si="158"/>
        <v>CREDITI DIVERSI</v>
      </c>
      <c r="AJ71" s="48" t="str">
        <f ca="1">IFERROR(INDEX($A$3:$H$400,MATCH(ROWS(AJ$3:AJ71),$Q$3:$Q$400,0),8),"")</f>
        <v>pac2</v>
      </c>
      <c r="AK71" s="48">
        <f t="shared" ca="1" si="130"/>
        <v>0</v>
      </c>
      <c r="AL71" s="48">
        <f t="shared" ca="1" si="131"/>
        <v>0</v>
      </c>
      <c r="AM71" s="48">
        <f t="shared" ca="1" si="159"/>
        <v>0</v>
      </c>
      <c r="AN71" s="48" t="str">
        <f t="shared" ca="1" si="160"/>
        <v/>
      </c>
      <c r="AO71" s="48">
        <f t="shared" ca="1" si="161"/>
        <v>0</v>
      </c>
      <c r="AP71" s="48">
        <f t="shared" ca="1" si="161"/>
        <v>0</v>
      </c>
      <c r="AQ71" s="48" t="str">
        <f t="shared" ca="1" si="132"/>
        <v>CREDITI PER IVA</v>
      </c>
      <c r="AR71" s="48">
        <f t="shared" ca="1" si="133"/>
        <v>0</v>
      </c>
      <c r="AS71" s="48">
        <f t="shared" ca="1" si="134"/>
        <v>0</v>
      </c>
      <c r="AT71" s="48">
        <f t="shared" ca="1" si="162"/>
        <v>0</v>
      </c>
      <c r="AU71" s="48">
        <f t="shared" ca="1" si="163"/>
        <v>0</v>
      </c>
      <c r="AV71" s="48">
        <f ca="1">IF(OR(AT71&gt;0,AU71&gt;0),MAX($AV$2:AV70)+1,0)</f>
        <v>0</v>
      </c>
      <c r="AZ71" s="241" t="str">
        <f t="shared" ca="1" si="164"/>
        <v/>
      </c>
      <c r="BA71" s="48">
        <f t="shared" ca="1" si="135"/>
        <v>0</v>
      </c>
      <c r="BB71" s="48">
        <f ca="1">IFERROR(INDEX($AQ$3:$AV$220,MATCH(ROWS($BB$3:BB71),$AV$3:$AV$220,0),1),0)</f>
        <v>0</v>
      </c>
      <c r="BC71" s="48" t="str">
        <f t="shared" ca="1" si="165"/>
        <v/>
      </c>
      <c r="BD71" s="48">
        <f ca="1">IFERROR(INDEX($AQ$3:$AV$220,MATCH(ROWS($BB$3:BD71),$AV$3:$AV$220,0),4),0)</f>
        <v>0</v>
      </c>
      <c r="BE71" s="48">
        <f ca="1">IFERROR(INDEX($AQ$3:$AV$220,MATCH(ROWS($BB$3:BE71),$AV$3:$AV$220,0),5),0)</f>
        <v>0</v>
      </c>
      <c r="BG71" s="48">
        <f ca="1">IF(IF(AND(OR(INDEX(PDC,MATCH($AC71,DEN_PDC,0),6)="SP DARE",INDEX(PDC,MATCH($AC71,DEN_PDC,0),6)="SP DARE/AVERE"),SUMIFS(DARE,DEN_G,$AC71)&gt;=SUMIFS(AVERE,DEN_G,$AC71)),SUMIFS(DARE,DEN_G,$AC71)-SUMIFS(AVERE,DEN_G,$AC71),0)&gt;0,MAX($BG$2:BG70)+1,0)</f>
        <v>0</v>
      </c>
      <c r="BH71" s="48">
        <f ca="1">IF(IF(AND(OR(INDEX(PDC,MATCH($AC71,DEN_PDC,0),6)="SP AVERE",INDEX(PDC,MATCH($AC71,DEN_PDC,0),6)="SP DARE/AVERE"),SUMIFS(AVERE,DEN_G,$AC71)&gt;=SUMIFS(DARE,DEN_G,$AC71)),SUMIFS(AVERE,DEN_G,$AC71)-SUMIFS(DARE,DEN_G,$AC71),0)&gt;0,MAX(BH$2:BH70)+1,0)</f>
        <v>0</v>
      </c>
      <c r="BI71" s="48">
        <f ca="1">IF(IF(AND(OR(INDEX(PDC,MATCH($AC71,DEN_PDC,0),6)="SE DARE",INDEX(PDC,MATCH($AC71,DEN_PDC,0),6)="SE DARE/AVERE"),SUMIFS(DARE,DEN_G,$AC71)&gt;=SUMIFS(AVERE,DEN_G,$AC71)),SUMIFS(DARE,DEN_G,$AC71)-SUMIFS(AVERE,DEN_G,$AC71),0)&gt;0,MAX(BI$2:BI70)+1,0)</f>
        <v>0</v>
      </c>
      <c r="BJ71" s="48">
        <f ca="1">IF(IF(AND(OR(INDEX(PDC,MATCH($AC71,DEN_PDC,0),6)="SE AVERE",INDEX(PDC,MATCH($AC71,DEN_PDC,0),6)="SE DARE/AVERE"),SUMIFS(AVERE,DEN_G,$AC71)&gt;=SUMIFS(DARE,DEN_G,$AC71)),SUMIFS(AVERE,DEN_G,$AC71)-SUMIFS(DARE,DEN_G,$AC71),0)&gt;0,MAX(BJ$2:BJ70)+1,0)</f>
        <v>0</v>
      </c>
      <c r="BK71" s="48" t="str">
        <f ca="1">IF(AND(AND($DY$2=0,$DY$1=0),$I$1=2,ROW()&gt;$BG$1+2,ROW()&lt;=$BG$1+4),"………………..",IF(AND(OR($DY$2&gt;0,$DY$1&gt;0),$I$1=2,ROW()&gt;$BG$1+2,ROW()&lt;=$BG$1+4),"………………..",IFERROR(INDEX($AC$3:$AC$398,MATCH(ROWS(BK$3:BK71),BG$3:BG$398,0),1),"")))</f>
        <v/>
      </c>
      <c r="BL71" s="48">
        <f t="shared" ca="1" si="136"/>
        <v>0</v>
      </c>
      <c r="BM71" s="48" t="str">
        <f ca="1">IF(AND(OR($DY$2=0,$DY$1=0),$I$1=2,ROW()&gt;$BH$1+2,ROW()&lt;=$BH$1+4),"………………..",IF(AND(OR($DY$2&gt;0,$DY$1&gt;0),$I$1=2,ROW()&gt;$BH$1+2,ROW()&lt;=$BH$1+4),"………………..",IFERROR(INDEX($AC$3:$AC$400,MATCH(ROWS(BM$3:BM71),BH$3:BH$400,0),1),"")))</f>
        <v/>
      </c>
      <c r="BN71" s="48">
        <f t="shared" ca="1" si="137"/>
        <v>0</v>
      </c>
      <c r="BO71" s="48" t="str">
        <f ca="1">IF(AND(OR($DY$2=0,$DY$1=0),$I$1=2,ROW()&gt;$BI$1+2,ROW()&lt;=$BI$1+4),"………………..",IF(AND(OR($DY$2&gt;0,$DY$1&gt;0),$I$1=2,ROW()&gt;$BI$1+2,ROW()&lt;=$BI$1+4),"………………..",IFERROR(INDEX($AC$3:$AC$400,MATCH(ROWS(BO$3:BO71),BI$3:BI$400,0),1),"")))</f>
        <v/>
      </c>
      <c r="BP71" s="48">
        <f t="shared" ca="1" si="138"/>
        <v>0</v>
      </c>
      <c r="BQ71" s="48" t="str">
        <f ca="1">IF(AND(OR($DY$2=0,$DY$1=0),$I$1=2,ROW()&gt;$BJ$1+2,ROW()&lt;=$BJ$1+4),"………………..",IF(AND(OR($DY$2&gt;0,$DY$1&gt;0),$I$1=2,ROW()&gt;$BJ$1+2,ROW()&lt;=$BJ$1+4),"………………..",IFERROR(INDEX($AC$3:$AC$400,MATCH(ROWS(BQ$3:BQ71),BJ$3:BJ$400,0),1),"")))</f>
        <v/>
      </c>
      <c r="BR71" s="48">
        <f t="shared" ca="1" si="139"/>
        <v>0</v>
      </c>
      <c r="BS71" s="48">
        <f ca="1">IF(IF(AND(OR(INDEX(PDC,MATCH($AC71,DEN_PDC,0),4)="D",INDEX(PDC,MATCH($AC71,DEN_PDC,0),4)="D/A"),SUMIFS(DARE,DEN_G,$AC71)&gt;=SUMIFS(AVERE,DEN_G,$AC71)),SUMIFS(DARE,DEN_G,$AC71),IF(AND(OR(INDEX(PDC,MATCH($AC71,DEN_PDC,0),4)="A",INDEX(PDC,MATCH($AC71,DEN_PDC,0),4)="D/A"),SUMIFS(AVERE,DEN_G,$AC71)&gt;=SUMIFS(DARE,DEN_G,$AC71)),SUMIFS(AVERE,DEN_G,$AC71),))&gt;0,MAX($BS$2:BS70)+1,0)</f>
        <v>0</v>
      </c>
      <c r="BT71" s="48" t="str">
        <f ca="1">IF($CO$1=0,"",IF(AND($I$1=2,ROW()&gt;$BR$1,ROW()&lt;=$BS$1)," …………….",IF(AND($E$1=1,$BX$1=1,$I$1=2,ROW()=$BQ$1),"TOTALI",IFERROR(INDEX(PDC,MATCH(ROWS(BT$3:BT71),BS$3:BS468,0),2),""))))</f>
        <v/>
      </c>
      <c r="BU71" s="48">
        <f t="shared" ca="1" si="140"/>
        <v>0</v>
      </c>
      <c r="BV71" s="48">
        <f t="shared" ca="1" si="141"/>
        <v>0</v>
      </c>
      <c r="BW71" s="48">
        <f t="shared" ca="1" si="142"/>
        <v>0</v>
      </c>
      <c r="BX71" s="48">
        <f t="shared" ca="1" si="143"/>
        <v>0</v>
      </c>
      <c r="BY71" s="48">
        <f ca="1">IF(OR(BW71&gt;0,BX71&gt;0),MAX($BY$2:BY70)+1,0)</f>
        <v>0</v>
      </c>
      <c r="BZ71" s="48" t="str">
        <f ca="1">IFERROR(INDEX($BT$3:$BY$400,MATCH(ROWS(BZ$3:BZ71),$BY$3:$BY$400,0),1),"")</f>
        <v/>
      </c>
      <c r="CA71" s="48" t="str">
        <f ca="1">IFERROR(INDEX($BT$3:$BY$400,MATCH(ROWS(CA$3:CA71),$BY$3:$BY$400,0),4),"")</f>
        <v/>
      </c>
      <c r="CB71" s="48" t="str">
        <f ca="1">IFERROR(INDEX($BT$3:$BY$400,MATCH(ROWS(CB$3:CB71),$BY$3:$BY$400,0),5),"")</f>
        <v/>
      </c>
      <c r="CC71" s="48" t="str">
        <f t="shared" ca="1" si="144"/>
        <v/>
      </c>
      <c r="CD71" s="48">
        <f ca="1">IF(AND($BF$9=1,CE71&lt;&gt;0),MAX($CD$2:CD70)+1,0)</f>
        <v>0</v>
      </c>
      <c r="CE71" s="48">
        <f ca="1">IF(ROUND(SUMIFS(COPIA!$CA$3:$CA$400,COPIA!$CC$3:$CC$400,CF71)-SUMIFS(COPIA!$CB$3:$CB$400,COPIA!$CC$3:$CC$400,CF71),0)&lt;0,0,ROUND(SUMIFS(COPIA!$CA$3:$CA$400,COPIA!$CC$3:$CC$400,CF71)-SUMIFS(COPIA!$CB$3:$CB$400,COPIA!$CC$3:$CC$400,CF71),0))</f>
        <v>0</v>
      </c>
      <c r="CF71" s="48" t="s">
        <v>635</v>
      </c>
      <c r="CG71" s="242" t="s">
        <v>530</v>
      </c>
      <c r="CH71" s="242">
        <f t="shared" ca="1" si="112"/>
        <v>0</v>
      </c>
      <c r="CI71" s="242"/>
      <c r="CJ71" s="242"/>
      <c r="CL71" s="242"/>
      <c r="CM71" s="242" t="str">
        <f t="shared" ca="1" si="166"/>
        <v/>
      </c>
      <c r="CN71" s="243">
        <f t="shared" ca="1" si="167"/>
        <v>0</v>
      </c>
      <c r="CO71" s="48" t="str">
        <f t="shared" ca="1" si="168"/>
        <v/>
      </c>
      <c r="CQ71" s="247">
        <f t="shared" ref="CQ71:CR74" ca="1" si="198">CQ44</f>
        <v>46388</v>
      </c>
      <c r="CR71" s="247">
        <f t="shared" ca="1" si="198"/>
        <v>46752</v>
      </c>
      <c r="CS71" s="48">
        <f ca="1">IF($I$1=2,COUNTIFS($AO$103:$AO$302,"&gt;"&amp;0,$AM$103:$AM$302,"="&amp;"PERDITA D'ESERCIZIO",$AL$103:$AL$302,"&gt;="&amp;CQ71,$AL$103:$AL$302,"&lt;="&amp;CR71),0)</f>
        <v>0</v>
      </c>
      <c r="CT71" s="48">
        <f ca="1">IF($I$1=2,COUNTIFS($AP$103:$AP$302,"&gt;"&amp;0,$AM$103:$AM$302,"="&amp;"UTILE D'ESERCIZIO",$AL$103:$AL$302,"&gt;="&amp;CQ71,$AL$103:$AL$302,"&lt;="&amp;CR71),0)</f>
        <v>0</v>
      </c>
      <c r="CU71" s="48">
        <f ca="1">IF(SUMIFS(AVERE,DEN_G,AC71,AVERE,"&gt;"&amp;0)+SUMIFS(DARE,DEN_G,AC71,DARE,"&gt;"&amp;0)&gt;0,MAX($CU$2:CU70)+1,0)</f>
        <v>0</v>
      </c>
      <c r="CV71" s="48" t="str">
        <f ca="1">IF(IFERROR(INDEX(PDC,MATCH(ROWS($CV$3:CV71),$CU$3:$CU$400,0),2),"")="CONTO DI RISULTATO ECONOMICO","",IFERROR(INDEX(PDC,MATCH(ROWS($CV$3:CV71),$CU$3:$CU$400,0),2),""))</f>
        <v/>
      </c>
      <c r="CW71" s="48">
        <f ca="1">IFERROR(IF(CV71&lt;&gt;"",MAX($CW$2:CW70)+1,0),0)</f>
        <v>0</v>
      </c>
      <c r="CX71" s="48">
        <f t="shared" ca="1" si="191"/>
        <v>6</v>
      </c>
      <c r="CY71" s="48" t="str">
        <f t="shared" ca="1" si="169"/>
        <v>MASTRO</v>
      </c>
      <c r="CZ71" s="48" t="e">
        <f t="shared" ca="1" si="193"/>
        <v>#N/A</v>
      </c>
      <c r="DA71" s="48" t="str">
        <f t="shared" ref="DA71:DA79" ca="1" si="199">IFERROR(INDEX(LIBRO_GIORNALE,CZ71,1),"")</f>
        <v/>
      </c>
      <c r="DB71" s="48" t="str">
        <f t="shared" ca="1" si="76"/>
        <v/>
      </c>
      <c r="DC71" s="48" t="str">
        <f t="shared" ca="1" si="194"/>
        <v/>
      </c>
      <c r="DD71" s="48" t="str">
        <f t="shared" ca="1" si="195"/>
        <v/>
      </c>
      <c r="DE71" s="48" t="str">
        <f t="shared" ca="1" si="196"/>
        <v/>
      </c>
      <c r="DF71" s="48">
        <f ca="1">IF(AND(CX71=$DF$1,CX71&lt;&gt;""),0,IF(AND(DB71&lt;&gt;"",OR(DB70&lt;&gt;"",DB72&lt;&gt;"")),MAX($DF$2:DF70)+1,0))</f>
        <v>0</v>
      </c>
      <c r="DH71" s="244" t="s">
        <v>360</v>
      </c>
      <c r="DI71" s="48" t="s">
        <v>858</v>
      </c>
      <c r="DJ71" s="48" t="s">
        <v>311</v>
      </c>
      <c r="DK71" s="48" t="s">
        <v>275</v>
      </c>
      <c r="DL71" s="48" t="s">
        <v>13</v>
      </c>
      <c r="DM71" s="48" t="s">
        <v>270</v>
      </c>
      <c r="DN71" s="48">
        <f ca="1">IF(DI71&lt;&gt;"",MAX($DN$2:DN70)+1,0)</f>
        <v>54</v>
      </c>
      <c r="DO71" s="48" t="str">
        <f t="shared" ca="1" si="197"/>
        <v>pac1</v>
      </c>
      <c r="DW71" s="48">
        <f>IF(DR71&lt;&gt;"",MAX($DW$2:DW70)+1,0)</f>
        <v>0</v>
      </c>
      <c r="DY71" s="48" t="str">
        <f t="shared" ca="1" si="147"/>
        <v/>
      </c>
      <c r="DZ71" s="48" t="str">
        <f t="shared" ca="1" si="170"/>
        <v/>
      </c>
      <c r="EA71" s="48" t="str">
        <f t="shared" ca="1" si="171"/>
        <v/>
      </c>
      <c r="EB71" s="48">
        <f t="shared" ca="1" si="172"/>
        <v>0</v>
      </c>
      <c r="EC71" s="48">
        <f t="shared" ca="1" si="173"/>
        <v>0</v>
      </c>
      <c r="ED71" s="48" t="str">
        <f t="shared" ca="1" si="174"/>
        <v/>
      </c>
      <c r="EE71" s="48">
        <f t="shared" ca="1" si="175"/>
        <v>0</v>
      </c>
      <c r="EF71" s="48" t="str">
        <f t="shared" ca="1" si="176"/>
        <v/>
      </c>
      <c r="EG71" s="48">
        <f t="shared" ca="1" si="177"/>
        <v>0</v>
      </c>
      <c r="EH71" s="48" t="str">
        <f t="shared" ca="1" si="178"/>
        <v/>
      </c>
      <c r="EI71" s="48">
        <f t="shared" ca="1" si="179"/>
        <v>0</v>
      </c>
      <c r="EJ71" s="48" t="str">
        <f t="shared" ca="1" si="180"/>
        <v/>
      </c>
      <c r="EK71" s="48">
        <f t="shared" ca="1" si="181"/>
        <v>0</v>
      </c>
      <c r="EL71" s="48">
        <f t="shared" ca="1" si="148"/>
        <v>0</v>
      </c>
      <c r="EM71" s="48">
        <f ca="1">IF(EL71&gt;=0,0,MAX($EM$2:EM70)+1)</f>
        <v>0</v>
      </c>
      <c r="EN71" s="48" t="str">
        <f t="shared" ca="1" si="182"/>
        <v/>
      </c>
      <c r="EO71" s="48" t="str">
        <f ca="1">IFERROR(INDEX($EM$3:$EN$400,MATCH(ROWS($EO$3:EO71),$EM$3:$EM$400,0),2),"")</f>
        <v/>
      </c>
      <c r="EP71" s="48">
        <f>ROW()</f>
        <v>71</v>
      </c>
      <c r="EQ71" s="48">
        <f t="shared" ca="1" si="149"/>
        <v>0</v>
      </c>
      <c r="ER71" s="48">
        <f ca="1">IF(ISNA(EQ71)=TRUE,MAX($ER$2:ER70)+1,0)</f>
        <v>0</v>
      </c>
      <c r="ES71" s="48" t="str">
        <f t="shared" ca="1" si="183"/>
        <v/>
      </c>
      <c r="ET71" s="48" t="str">
        <f ca="1">IFERROR(INDEX($ER$3:$ES$400,MATCH(ROWS($ET$3:ET71),$ER$3:$ER$400,0),2),"")</f>
        <v/>
      </c>
      <c r="EV71" s="48">
        <f ca="1">IFERROR(INDEX(LIBRO_GIORNALE!$O$11:$P$408,MATCH(ROWS($EV$2:EV70),LIBRO_GIORNALE!$P$11:$P$408,0),1),0)</f>
        <v>0</v>
      </c>
      <c r="EW71" s="48" t="str">
        <f t="shared" ca="1" si="184"/>
        <v>0</v>
      </c>
      <c r="EX71" s="48">
        <f t="shared" ca="1" si="185"/>
        <v>0</v>
      </c>
      <c r="EY71" s="48">
        <f ca="1">IF(EX71&gt;0,MAX($EY$2:EY70)+1,0)</f>
        <v>0</v>
      </c>
      <c r="EZ71" s="48">
        <f ca="1">IFERROR(INDEX($EX$3:$EX$400,MATCH(ROWS($EZ$3:EZ71),$EY$3:$EY$400,0),1),0)</f>
        <v>0</v>
      </c>
      <c r="FA71" s="48">
        <f ca="1">IF(EZ71&gt;0,0,MAX($FA$2:FA70)+1)</f>
        <v>69</v>
      </c>
      <c r="FB71" s="48">
        <f t="shared" ca="1" si="186"/>
        <v>0</v>
      </c>
      <c r="FC71" s="48">
        <f t="shared" ca="1" si="187"/>
        <v>69</v>
      </c>
      <c r="FD71" s="48">
        <f t="shared" ca="1" si="188"/>
        <v>69</v>
      </c>
      <c r="FE71" s="48">
        <f ca="1">IF(FD71=0,0,MAX($FE$2:FE70)+1)</f>
        <v>69</v>
      </c>
      <c r="FF71" s="48">
        <f ca="1">IFERROR(INDEX($FD$3:$FE$400,MATCH(ROWS($FF$3:FF71),$FE$3:$FE$400,0),1),"")</f>
        <v>69</v>
      </c>
      <c r="FH71" s="48">
        <f t="shared" ca="1" si="189"/>
        <v>0</v>
      </c>
      <c r="FI71" s="48">
        <f ca="1">IF(FH71&lt;&gt;0,MAX($FI$2:FI70)+1,0)</f>
        <v>0</v>
      </c>
      <c r="FJ71" s="48" t="str">
        <f ca="1">IFERROR(INDEX($FH$3:$FI$400,MATCH(ROWS($FJ$3:FJ71),$FI$3:$FI$400,0),1),"")</f>
        <v/>
      </c>
      <c r="FK71" s="48">
        <f ca="1">IF(ABS(SUMIFS(DARE,DEN_G,"="&amp;FJ71,DATA,"&lt;="&amp;FINE_AC,DATA,"&gt;="&amp;INIZIO_A_PC)-SUMIFS(AVERE,DEN_G,"="&amp;FJ71,DATA,"&lt;="&amp;FINE_AC,DATA,"&gt;="&amp;INIZIO_A_PC))&gt;0,MAX($FK$2:FK70)+1,0)</f>
        <v>0</v>
      </c>
      <c r="FL71" s="48" t="str">
        <f ca="1">IF(AND(ROW()-2&lt;&gt;1,ROW()-2&lt;=$FK$1),CONCATENATE(" - ",IFERROR(INDEX($FJ$3:$FK$400,MATCH(ROWS($FL$3:FL71),$FK$3:$FK$400,0),1),"")),IFERROR(INDEX($FJ$3:$FK$400,MATCH(ROWS($FL$3:FL71),$FK$3:$FK$400,0),1),""))</f>
        <v/>
      </c>
      <c r="FM71" s="48">
        <f ca="1">IF(OR(B71="IVA ns/credito",B71="IVA NS/DEBITO",B71="IVA C/ACCONTO",B71="IMPOSTE C/ACCONTO",B71="CREDITI PER RITENUTE SUBITE",B71="CREDITI D'IMPOSTA"),MAX($FM$2:FM70)+1,0)</f>
        <v>0</v>
      </c>
      <c r="FN71" s="48" t="str">
        <f t="shared" ca="1" si="190"/>
        <v/>
      </c>
      <c r="FO71" s="48" t="str">
        <f ca="1">IFERROR(INDEX($FM$3:$FN$400,MATCH(ROWS($FO$3:FO71),$FM$3:$FM$400,0),2),"")</f>
        <v/>
      </c>
      <c r="FP71" s="48">
        <f ca="1">IF(ABS(SUMIFS(DARE,DEN_G,"="&amp;FO71,DATA,"&lt;="&amp;FINE_AC,DATA,"&gt;="&amp;INIZIO_A_PC)-SUMIFS(AVERE,DEN_G,"="&amp;FO71,DATA,"&lt;="&amp;FINE_AC,DATA,"&gt;="&amp;INIZIO_A_PC))&gt;0,MAX($FP$2:FP70)+1,0)</f>
        <v>0</v>
      </c>
      <c r="FQ71" s="48" t="str">
        <f ca="1">IF(AND(ROW()-2&lt;&gt;1,ROW()-2&lt;=$FP$1),CONCATENATE(" - ",IFERROR(INDEX($FO$3:$FP$400,MATCH(ROWS($FQ$3:FQ71),$FP$3:$FP$400,0),1),"")),IFERROR(INDEX($FO$3:$FP$400,MATCH(ROWS($FQ$3:FQ71),$FP$3:$FP$400,0),1),""))</f>
        <v/>
      </c>
    </row>
    <row r="72" spans="1:173" x14ac:dyDescent="0.3">
      <c r="A72" s="48" t="str">
        <f ca="1">IFERROR(IF($A$1=2,INDEX($DH$3:$DN$401,MATCH(ROWS(A$3:A72),$DN$3:$DN$401,0),COLUMN()),IF($A$1=1,INDEX($DQ$3:$DW$401,MATCH(ROWS(A$3:A72),$DW$3:$DW$401,0),COLUMN()),"")),"")</f>
        <v>05.11</v>
      </c>
      <c r="B72" s="48" t="str">
        <f ca="1">IFERROR(IF($A$1=2,INDEX($DH$3:$DN$401,MATCH(ROWS(B$3:B72),$DN$3:$DN$401,0),COLUMN()),IF($A$1=1,INDEX($DQ$3:$DW$400,MATCH(ROWS(B$3:B72),$DW$3:$DW$401,0),COLUMN()),"")),"")</f>
        <v>CAMBIALI INSOLUTE</v>
      </c>
      <c r="C72" s="48" t="str">
        <f ca="1">IFERROR(IF($A$1=2,INDEX($DH$3:$DN$401,MATCH(ROWS(C$3:C72),$DN$3:$DN$401,0),COLUMN()),IF($A$1=1,INDEX($DQ$3:$DW$401,MATCH(ROWS(C$3:C72),$DW$3:$DW$401,0),COLUMN()),"")),"")</f>
        <v>F</v>
      </c>
      <c r="D72" s="48" t="str">
        <f ca="1">IFERROR(IF($A$1=2,INDEX($DH$3:$DN$401,MATCH(ROWS(D$3:D72),$DN$3:$DN$401,0),COLUMN()),IF($A$1=1,INDEX($DQ$3:$DW$401,MATCH(ROWS(D$3:D72),$DW$3:$DW$401,0),COLUMN()),"")),"")</f>
        <v>D</v>
      </c>
      <c r="E72" s="48" t="str">
        <f ca="1">IFERROR(IF($A$1=2,INDEX($DH$3:$DN$401,MATCH(ROWS(E$3:E72),$DN$3:$DN$401,0),COLUMN()),IF($A$1=1,INDEX($DQ$3:$DW$401,MATCH(ROWS(E$3:E72),$DW$3:$DW$401,0),COLUMN()),"")),"")</f>
        <v>CREDITI</v>
      </c>
      <c r="F72" s="48" t="str">
        <f ca="1">IFERROR(IF($A$1=2,INDEX($DH$3:$DN$401,MATCH(ROWS(F$3:F72),$DN$3:$DN$401,0),COLUMN()),IF($A$1=1,INDEX($DQ$3:$DX$401,MATCH(ROWS(F$3:F72),$DW$3:$DW$401,0),COLUMN()),"")),"")</f>
        <v>SP DARE</v>
      </c>
      <c r="G72" s="48" t="str">
        <f t="shared" ca="1" si="150"/>
        <v>SP</v>
      </c>
      <c r="H72" s="48" t="str">
        <f ca="1">IFERROR(IF($A$1=2,INDEX($DH$3:$DO$400,MATCH(ROWS(H$3:H72),$DN$3:$DN$400,0),COLUMN()),IF($A$1=1,INDEX($DQ$3:$DX$400,MATCH(ROWS(H$3:H72),$DW$3:$DW$400,0),COLUMN()),"")),"")</f>
        <v>pac2</v>
      </c>
      <c r="I72" s="48" t="str">
        <f t="shared" ca="1" si="151"/>
        <v/>
      </c>
      <c r="J72" s="48" t="str">
        <f t="shared" ca="1" si="152"/>
        <v/>
      </c>
      <c r="K72" s="48">
        <f t="shared" ca="1" si="153"/>
        <v>0</v>
      </c>
      <c r="L72" s="48">
        <f t="shared" ca="1" si="154"/>
        <v>0</v>
      </c>
      <c r="M72" s="48">
        <f ca="1">IFERROR(IF(IF(MID($A72,3,3)=".00",MID(A72,1,2),"")&lt;&gt;"",MAX($M$2:M71)+1,0),"")</f>
        <v>0</v>
      </c>
      <c r="N72" s="48" t="str">
        <f t="shared" ca="1" si="155"/>
        <v/>
      </c>
      <c r="O72" s="48">
        <v>22</v>
      </c>
      <c r="P72" s="48" t="str">
        <f t="shared" ca="1" si="156"/>
        <v/>
      </c>
      <c r="Q72" s="48">
        <f ca="1">IF(M72&gt;=1,0,MAX($Q$2:Q71)+1)</f>
        <v>64</v>
      </c>
      <c r="U72" s="48" t="str">
        <f ca="1">IFERROR(INDEX(PDC,MATCH(ROWS(U$3:U72),$V$3:$V$400,0),2),"")</f>
        <v>IMPOSTE C/ACCONTO</v>
      </c>
      <c r="V72" s="48">
        <f ca="1">IF(AND($T$1="VISUALIZZA TUTTI I CONTI",AA72&lt;&gt;""),MAX($V$2:V71)+1,IF(AND($U$2=2,AI72=$T$1),MAX($V$2:V71)+1,IF(AND($U$2=1,$T$1=AF72),MAX($V$2:V71)+1,0)))</f>
        <v>70</v>
      </c>
      <c r="Z72" s="246"/>
      <c r="AA72" s="48" t="str">
        <f t="shared" ca="1" si="157"/>
        <v>06.00</v>
      </c>
      <c r="AB72" s="48" t="str">
        <f ca="1">IFERROR(INDEX($A$3:$G$400,MATCH(ROWS(AB$3:AB72),$Q$3:$Q$400,0),1),"")</f>
        <v>06.04</v>
      </c>
      <c r="AC72" s="48" t="str">
        <f ca="1">IFERROR(INDEX($A$3:$G$400,MATCH(ROWS($AC$3:AC72),$Q$3:$Q$400,0),2),"")</f>
        <v>IMPOSTE C/ACCONTO</v>
      </c>
      <c r="AD72" s="48" t="str">
        <f ca="1">IFERROR(INDEX($A$3:$G$400,MATCH(ROWS(AD$3:AD72),$Q$3:$Q$400,0),3),"")</f>
        <v>F</v>
      </c>
      <c r="AE72" s="48" t="str">
        <f ca="1">IFERROR(INDEX($A$3:$G$400,MATCH(ROWS(AE$3:AE72),$Q$3:$Q$400,0),4),"")</f>
        <v>D</v>
      </c>
      <c r="AF72" s="48" t="str">
        <f ca="1">IFERROR(INDEX($A$3:$G$400,MATCH(ROWS(AF$3:AF72),$Q$3:$Q$400,0),5),"")</f>
        <v>CREDITI</v>
      </c>
      <c r="AG72" s="48" t="str">
        <f ca="1">IFERROR(INDEX($A$3:$G$400,MATCH(ROWS(AG$3:AG72),$Q$3:$Q$400,0),6),"")</f>
        <v>SP DARE</v>
      </c>
      <c r="AH72" s="48" t="str">
        <f ca="1">IFERROR(INDEX($A$3:$G$400,MATCH(ROWS(AH$3:AH72),$Q$3:$Q$400,0),7),"")</f>
        <v>SP</v>
      </c>
      <c r="AI72" s="48" t="str">
        <f t="shared" ca="1" si="158"/>
        <v>CREDITI DIVERSI</v>
      </c>
      <c r="AJ72" s="48" t="str">
        <f ca="1">IFERROR(INDEX($A$3:$H$400,MATCH(ROWS(AJ$3:AJ72),$Q$3:$Q$400,0),8),"")</f>
        <v>pac2</v>
      </c>
      <c r="AK72" s="48">
        <f t="shared" ca="1" si="130"/>
        <v>0</v>
      </c>
      <c r="AL72" s="48">
        <f t="shared" ca="1" si="131"/>
        <v>0</v>
      </c>
      <c r="AM72" s="48">
        <f t="shared" ca="1" si="159"/>
        <v>0</v>
      </c>
      <c r="AN72" s="48" t="str">
        <f t="shared" ca="1" si="160"/>
        <v/>
      </c>
      <c r="AO72" s="48">
        <f t="shared" ca="1" si="161"/>
        <v>0</v>
      </c>
      <c r="AP72" s="48">
        <f t="shared" ca="1" si="161"/>
        <v>0</v>
      </c>
      <c r="AQ72" s="48" t="str">
        <f t="shared" ca="1" si="132"/>
        <v>IMPOSTE C/ACCONTO</v>
      </c>
      <c r="AR72" s="48">
        <f t="shared" ca="1" si="133"/>
        <v>0</v>
      </c>
      <c r="AS72" s="48">
        <f t="shared" ca="1" si="134"/>
        <v>0</v>
      </c>
      <c r="AT72" s="48">
        <f t="shared" ca="1" si="162"/>
        <v>0</v>
      </c>
      <c r="AU72" s="48">
        <f t="shared" ca="1" si="163"/>
        <v>0</v>
      </c>
      <c r="AV72" s="48">
        <f ca="1">IF(OR(AT72&gt;0,AU72&gt;0),MAX($AV$2:AV71)+1,0)</f>
        <v>0</v>
      </c>
      <c r="AZ72" s="241" t="str">
        <f t="shared" ca="1" si="164"/>
        <v/>
      </c>
      <c r="BA72" s="48">
        <f t="shared" ca="1" si="135"/>
        <v>0</v>
      </c>
      <c r="BB72" s="48">
        <f ca="1">IFERROR(INDEX($AQ$3:$AV$220,MATCH(ROWS($BB$3:BB72),$AV$3:$AV$220,0),1),0)</f>
        <v>0</v>
      </c>
      <c r="BC72" s="48" t="str">
        <f t="shared" ca="1" si="165"/>
        <v/>
      </c>
      <c r="BD72" s="48">
        <f ca="1">IFERROR(INDEX($AQ$3:$AV$220,MATCH(ROWS($BB$3:BD72),$AV$3:$AV$220,0),4),0)</f>
        <v>0</v>
      </c>
      <c r="BE72" s="48">
        <f ca="1">IFERROR(INDEX($AQ$3:$AV$220,MATCH(ROWS($BB$3:BE72),$AV$3:$AV$220,0),5),0)</f>
        <v>0</v>
      </c>
      <c r="BG72" s="48">
        <f ca="1">IF(IF(AND(OR(INDEX(PDC,MATCH($AC72,DEN_PDC,0),6)="SP DARE",INDEX(PDC,MATCH($AC72,DEN_PDC,0),6)="SP DARE/AVERE"),SUMIFS(DARE,DEN_G,$AC72)&gt;=SUMIFS(AVERE,DEN_G,$AC72)),SUMIFS(DARE,DEN_G,$AC72)-SUMIFS(AVERE,DEN_G,$AC72),0)&gt;0,MAX($BG$2:BG71)+1,0)</f>
        <v>0</v>
      </c>
      <c r="BH72" s="48">
        <f ca="1">IF(IF(AND(OR(INDEX(PDC,MATCH($AC72,DEN_PDC,0),6)="SP AVERE",INDEX(PDC,MATCH($AC72,DEN_PDC,0),6)="SP DARE/AVERE"),SUMIFS(AVERE,DEN_G,$AC72)&gt;=SUMIFS(DARE,DEN_G,$AC72)),SUMIFS(AVERE,DEN_G,$AC72)-SUMIFS(DARE,DEN_G,$AC72),0)&gt;0,MAX(BH$2:BH71)+1,0)</f>
        <v>0</v>
      </c>
      <c r="BI72" s="48">
        <f ca="1">IF(IF(AND(OR(INDEX(PDC,MATCH($AC72,DEN_PDC,0),6)="SE DARE",INDEX(PDC,MATCH($AC72,DEN_PDC,0),6)="SE DARE/AVERE"),SUMIFS(DARE,DEN_G,$AC72)&gt;=SUMIFS(AVERE,DEN_G,$AC72)),SUMIFS(DARE,DEN_G,$AC72)-SUMIFS(AVERE,DEN_G,$AC72),0)&gt;0,MAX(BI$2:BI71)+1,0)</f>
        <v>0</v>
      </c>
      <c r="BJ72" s="48">
        <f ca="1">IF(IF(AND(OR(INDEX(PDC,MATCH($AC72,DEN_PDC,0),6)="SE AVERE",INDEX(PDC,MATCH($AC72,DEN_PDC,0),6)="SE DARE/AVERE"),SUMIFS(AVERE,DEN_G,$AC72)&gt;=SUMIFS(DARE,DEN_G,$AC72)),SUMIFS(AVERE,DEN_G,$AC72)-SUMIFS(DARE,DEN_G,$AC72),0)&gt;0,MAX(BJ$2:BJ71)+1,0)</f>
        <v>0</v>
      </c>
      <c r="BK72" s="48" t="str">
        <f ca="1">IF(AND(AND($DY$2=0,$DY$1=0),$I$1=2,ROW()&gt;$BG$1+2,ROW()&lt;=$BG$1+4),"………………..",IF(AND(OR($DY$2&gt;0,$DY$1&gt;0),$I$1=2,ROW()&gt;$BG$1+2,ROW()&lt;=$BG$1+4),"………………..",IFERROR(INDEX($AC$3:$AC$398,MATCH(ROWS(BK$3:BK72),BG$3:BG$398,0),1),"")))</f>
        <v/>
      </c>
      <c r="BL72" s="48">
        <f t="shared" ca="1" si="136"/>
        <v>0</v>
      </c>
      <c r="BM72" s="48" t="str">
        <f ca="1">IF(AND(OR($DY$2=0,$DY$1=0),$I$1=2,ROW()&gt;$BH$1+2,ROW()&lt;=$BH$1+4),"………………..",IF(AND(OR($DY$2&gt;0,$DY$1&gt;0),$I$1=2,ROW()&gt;$BH$1+2,ROW()&lt;=$BH$1+4),"………………..",IFERROR(INDEX($AC$3:$AC$400,MATCH(ROWS(BM$3:BM72),BH$3:BH$400,0),1),"")))</f>
        <v/>
      </c>
      <c r="BN72" s="48">
        <f t="shared" ca="1" si="137"/>
        <v>0</v>
      </c>
      <c r="BO72" s="48" t="str">
        <f ca="1">IF(AND(OR($DY$2=0,$DY$1=0),$I$1=2,ROW()&gt;$BI$1+2,ROW()&lt;=$BI$1+4),"………………..",IF(AND(OR($DY$2&gt;0,$DY$1&gt;0),$I$1=2,ROW()&gt;$BI$1+2,ROW()&lt;=$BI$1+4),"………………..",IFERROR(INDEX($AC$3:$AC$400,MATCH(ROWS(BO$3:BO72),BI$3:BI$400,0),1),"")))</f>
        <v/>
      </c>
      <c r="BP72" s="48">
        <f t="shared" ca="1" si="138"/>
        <v>0</v>
      </c>
      <c r="BQ72" s="48" t="str">
        <f ca="1">IF(AND(OR($DY$2=0,$DY$1=0),$I$1=2,ROW()&gt;$BJ$1+2,ROW()&lt;=$BJ$1+4),"………………..",IF(AND(OR($DY$2&gt;0,$DY$1&gt;0),$I$1=2,ROW()&gt;$BJ$1+2,ROW()&lt;=$BJ$1+4),"………………..",IFERROR(INDEX($AC$3:$AC$400,MATCH(ROWS(BQ$3:BQ72),BJ$3:BJ$400,0),1),"")))</f>
        <v/>
      </c>
      <c r="BR72" s="48">
        <f t="shared" ca="1" si="139"/>
        <v>0</v>
      </c>
      <c r="BS72" s="48">
        <f ca="1">IF(IF(AND(OR(INDEX(PDC,MATCH($AC72,DEN_PDC,0),4)="D",INDEX(PDC,MATCH($AC72,DEN_PDC,0),4)="D/A"),SUMIFS(DARE,DEN_G,$AC72)&gt;=SUMIFS(AVERE,DEN_G,$AC72)),SUMIFS(DARE,DEN_G,$AC72),IF(AND(OR(INDEX(PDC,MATCH($AC72,DEN_PDC,0),4)="A",INDEX(PDC,MATCH($AC72,DEN_PDC,0),4)="D/A"),SUMIFS(AVERE,DEN_G,$AC72)&gt;=SUMIFS(DARE,DEN_G,$AC72)),SUMIFS(AVERE,DEN_G,$AC72),))&gt;0,MAX($BS$2:BS71)+1,0)</f>
        <v>0</v>
      </c>
      <c r="BT72" s="48" t="str">
        <f ca="1">IF($CO$1=0,"",IF(AND($I$1=2,ROW()&gt;$BR$1,ROW()&lt;=$BS$1)," …………….",IF(AND($E$1=1,$BX$1=1,$I$1=2,ROW()=$BQ$1),"TOTALI",IFERROR(INDEX(PDC,MATCH(ROWS(BT$3:BT72),BS$3:BS469,0),2),""))))</f>
        <v/>
      </c>
      <c r="BU72" s="48">
        <f t="shared" ca="1" si="140"/>
        <v>0</v>
      </c>
      <c r="BV72" s="48">
        <f t="shared" ca="1" si="141"/>
        <v>0</v>
      </c>
      <c r="BW72" s="48">
        <f t="shared" ca="1" si="142"/>
        <v>0</v>
      </c>
      <c r="BX72" s="48">
        <f t="shared" ca="1" si="143"/>
        <v>0</v>
      </c>
      <c r="BY72" s="48">
        <f ca="1">IF(OR(BW72&gt;0,BX72&gt;0),MAX($BY$2:BY71)+1,0)</f>
        <v>0</v>
      </c>
      <c r="BZ72" s="48" t="str">
        <f ca="1">IFERROR(INDEX($BT$3:$BY$400,MATCH(ROWS(BZ$3:BZ72),$BY$3:$BY$400,0),1),"")</f>
        <v/>
      </c>
      <c r="CA72" s="48" t="str">
        <f ca="1">IFERROR(INDEX($BT$3:$BY$400,MATCH(ROWS(CA$3:CA72),$BY$3:$BY$400,0),4),"")</f>
        <v/>
      </c>
      <c r="CB72" s="48" t="str">
        <f ca="1">IFERROR(INDEX($BT$3:$BY$400,MATCH(ROWS(CB$3:CB72),$BY$3:$BY$400,0),5),"")</f>
        <v/>
      </c>
      <c r="CC72" s="48" t="str">
        <f t="shared" ca="1" si="144"/>
        <v/>
      </c>
      <c r="CD72" s="48">
        <f ca="1">IF(AND($BF$9=1,CE72&lt;&gt;0),MAX($CD$2:CD71)+1,0)</f>
        <v>0</v>
      </c>
      <c r="CE72" s="48">
        <f ca="1">IF(ROUND(SUMIFS(COPIA!$CA$3:$CA$400,COPIA!$CC$3:$CC$400,CF72)-SUMIFS(COPIA!$CB$3:$CB$400,COPIA!$CC$3:$CC$400,CF72),0)&lt;0,0,ROUND(SUMIFS(COPIA!$CA$3:$CA$400,COPIA!$CC$3:$CC$400,CF72)-SUMIFS(COPIA!$CB$3:$CB$400,COPIA!$CC$3:$CC$400,CF72),0))</f>
        <v>0</v>
      </c>
      <c r="CF72" s="48" t="s">
        <v>639</v>
      </c>
      <c r="CG72" s="242" t="s">
        <v>531</v>
      </c>
      <c r="CH72" s="242">
        <f t="shared" ca="1" si="112"/>
        <v>0</v>
      </c>
      <c r="CI72" s="242"/>
      <c r="CJ72" s="242"/>
      <c r="CL72" s="242"/>
      <c r="CM72" s="242" t="str">
        <f t="shared" ca="1" si="166"/>
        <v/>
      </c>
      <c r="CN72" s="243">
        <f t="shared" ca="1" si="167"/>
        <v>0</v>
      </c>
      <c r="CO72" s="48" t="str">
        <f t="shared" ca="1" si="168"/>
        <v/>
      </c>
      <c r="CQ72" s="247">
        <f t="shared" ca="1" si="198"/>
        <v>46753</v>
      </c>
      <c r="CR72" s="247">
        <f t="shared" ca="1" si="198"/>
        <v>47118</v>
      </c>
      <c r="CS72" s="48">
        <f t="shared" ref="CS72:CS75" ca="1" si="200">IF($I$1=2,COUNTIFS($AO$103:$AO$302,"&gt;"&amp;0,$AM$103:$AM$302,"="&amp;"PERDITA D'ESERCIZIO",$AL$103:$AL$302,"&gt;="&amp;CQ72,$AL$103:$AL$302,"&lt;="&amp;CR72),0)</f>
        <v>0</v>
      </c>
      <c r="CT72" s="48">
        <f t="shared" ref="CT72:CT75" ca="1" si="201">IF($I$1=2,COUNTIFS($AP$103:$AP$302,"&gt;"&amp;0,$AM$103:$AM$302,"="&amp;"UTILE D'ESERCIZIO",$AL$103:$AL$302,"&gt;="&amp;CQ72,$AL$103:$AL$302,"&lt;="&amp;CR72),0)</f>
        <v>0</v>
      </c>
      <c r="CU72" s="48">
        <f ca="1">IF(SUMIFS(AVERE,DEN_G,AC72,AVERE,"&gt;"&amp;0)+SUMIFS(DARE,DEN_G,AC72,DARE,"&gt;"&amp;0)&gt;0,MAX($CU$2:CU71)+1,0)</f>
        <v>0</v>
      </c>
      <c r="CV72" s="48" t="str">
        <f ca="1">IF(IFERROR(INDEX(PDC,MATCH(ROWS($CV$3:CV72),$CU$3:$CU$400,0),2),"")="CONTO DI RISULTATO ECONOMICO","",IFERROR(INDEX(PDC,MATCH(ROWS($CV$3:CV72),$CU$3:$CU$400,0),2),""))</f>
        <v/>
      </c>
      <c r="CW72" s="48">
        <f ca="1">IFERROR(IF(CV72&lt;&gt;"",MAX($CW$2:CW71)+1,0),0)</f>
        <v>0</v>
      </c>
      <c r="CX72" s="48">
        <f t="shared" ca="1" si="191"/>
        <v>6</v>
      </c>
      <c r="CY72" s="48" t="str">
        <f t="shared" ca="1" si="169"/>
        <v>MASTRO</v>
      </c>
      <c r="CZ72" s="48" t="e">
        <f t="shared" ca="1" si="193"/>
        <v>#N/A</v>
      </c>
      <c r="DA72" s="48" t="str">
        <f t="shared" ca="1" si="199"/>
        <v/>
      </c>
      <c r="DB72" s="48" t="str">
        <f t="shared" ca="1" si="76"/>
        <v/>
      </c>
      <c r="DC72" s="48" t="str">
        <f t="shared" ca="1" si="194"/>
        <v/>
      </c>
      <c r="DD72" s="48" t="str">
        <f t="shared" ca="1" si="195"/>
        <v/>
      </c>
      <c r="DE72" s="48" t="str">
        <f t="shared" ca="1" si="196"/>
        <v/>
      </c>
      <c r="DF72" s="48">
        <f ca="1">IF(AND(CX72=$DF$1,CX72&lt;&gt;""),0,IF(AND(DB72&lt;&gt;"",OR(DB71&lt;&gt;"",DB73&lt;&gt;"")),MAX($DF$2:DF71)+1,0))</f>
        <v>0</v>
      </c>
      <c r="DH72" s="244" t="s">
        <v>48</v>
      </c>
      <c r="DI72" s="48" t="s">
        <v>361</v>
      </c>
      <c r="DJ72" s="48" t="s">
        <v>311</v>
      </c>
      <c r="DK72" s="48" t="s">
        <v>275</v>
      </c>
      <c r="DL72" s="48" t="s">
        <v>13</v>
      </c>
      <c r="DM72" s="48" t="s">
        <v>270</v>
      </c>
      <c r="DN72" s="48">
        <f ca="1">IF(DI72&lt;&gt;"",MAX($DN$2:DN71)+1,0)</f>
        <v>55</v>
      </c>
      <c r="DO72" s="48" t="str">
        <f ca="1">IF($BF$9=1,"pac12","pac1")</f>
        <v>pac1</v>
      </c>
      <c r="DW72" s="48">
        <f>IF(DR72&lt;&gt;"",MAX($DW$2:DW71)+1,0)</f>
        <v>0</v>
      </c>
      <c r="DY72" s="48" t="str">
        <f t="shared" ca="1" si="147"/>
        <v/>
      </c>
      <c r="DZ72" s="48" t="str">
        <f t="shared" ca="1" si="170"/>
        <v/>
      </c>
      <c r="EA72" s="48" t="str">
        <f t="shared" ca="1" si="171"/>
        <v/>
      </c>
      <c r="EB72" s="48">
        <f t="shared" ca="1" si="172"/>
        <v>0</v>
      </c>
      <c r="EC72" s="48">
        <f t="shared" ca="1" si="173"/>
        <v>0</v>
      </c>
      <c r="ED72" s="48" t="str">
        <f t="shared" ca="1" si="174"/>
        <v/>
      </c>
      <c r="EE72" s="48">
        <f t="shared" ca="1" si="175"/>
        <v>0</v>
      </c>
      <c r="EF72" s="48" t="str">
        <f t="shared" ca="1" si="176"/>
        <v/>
      </c>
      <c r="EG72" s="48">
        <f t="shared" ca="1" si="177"/>
        <v>0</v>
      </c>
      <c r="EH72" s="48" t="str">
        <f t="shared" ca="1" si="178"/>
        <v/>
      </c>
      <c r="EI72" s="48">
        <f t="shared" ca="1" si="179"/>
        <v>0</v>
      </c>
      <c r="EJ72" s="48" t="str">
        <f t="shared" ca="1" si="180"/>
        <v/>
      </c>
      <c r="EK72" s="48">
        <f t="shared" ca="1" si="181"/>
        <v>0</v>
      </c>
      <c r="EL72" s="48">
        <f t="shared" ca="1" si="148"/>
        <v>0</v>
      </c>
      <c r="EM72" s="48">
        <f ca="1">IF(EL72&gt;=0,0,MAX($EM$2:EM71)+1)</f>
        <v>0</v>
      </c>
      <c r="EN72" s="48" t="str">
        <f t="shared" ca="1" si="182"/>
        <v/>
      </c>
      <c r="EO72" s="48" t="str">
        <f ca="1">IFERROR(INDEX($EM$3:$EN$400,MATCH(ROWS($EO$3:EO72),$EM$3:$EM$400,0),2),"")</f>
        <v/>
      </c>
      <c r="EP72" s="48">
        <f>ROW()</f>
        <v>72</v>
      </c>
      <c r="EQ72" s="48">
        <f t="shared" ca="1" si="149"/>
        <v>0</v>
      </c>
      <c r="ER72" s="48">
        <f ca="1">IF(ISNA(EQ72)=TRUE,MAX($ER$2:ER71)+1,0)</f>
        <v>0</v>
      </c>
      <c r="ES72" s="48" t="str">
        <f t="shared" ca="1" si="183"/>
        <v/>
      </c>
      <c r="ET72" s="48" t="str">
        <f ca="1">IFERROR(INDEX($ER$3:$ES$400,MATCH(ROWS($ET$3:ET72),$ER$3:$ER$400,0),2),"")</f>
        <v/>
      </c>
      <c r="EV72" s="48">
        <f ca="1">IFERROR(INDEX(LIBRO_GIORNALE!$O$11:$P$408,MATCH(ROWS($EV$2:EV71),LIBRO_GIORNALE!$P$11:$P$408,0),1),0)</f>
        <v>0</v>
      </c>
      <c r="EW72" s="48" t="str">
        <f t="shared" ca="1" si="184"/>
        <v>0</v>
      </c>
      <c r="EX72" s="48">
        <f t="shared" ca="1" si="185"/>
        <v>0</v>
      </c>
      <c r="EY72" s="48">
        <f ca="1">IF(EX72&gt;0,MAX($EY$2:EY71)+1,0)</f>
        <v>0</v>
      </c>
      <c r="EZ72" s="48">
        <f ca="1">IFERROR(INDEX($EX$3:$EX$400,MATCH(ROWS($EZ$3:EZ72),$EY$3:$EY$400,0),1),0)</f>
        <v>0</v>
      </c>
      <c r="FA72" s="48">
        <f ca="1">IF(EZ72&gt;0,0,MAX($FA$2:FA71)+1)</f>
        <v>70</v>
      </c>
      <c r="FB72" s="48">
        <f t="shared" ca="1" si="186"/>
        <v>0</v>
      </c>
      <c r="FC72" s="48">
        <f t="shared" ca="1" si="187"/>
        <v>70</v>
      </c>
      <c r="FD72" s="48">
        <f t="shared" ca="1" si="188"/>
        <v>70</v>
      </c>
      <c r="FE72" s="48">
        <f ca="1">IF(FD72=0,0,MAX($FE$2:FE71)+1)</f>
        <v>70</v>
      </c>
      <c r="FF72" s="48">
        <f ca="1">IFERROR(INDEX($FD$3:$FE$400,MATCH(ROWS($FF$3:FF72),$FE$3:$FE$400,0),1),"")</f>
        <v>70</v>
      </c>
      <c r="FH72" s="48">
        <f t="shared" ca="1" si="189"/>
        <v>0</v>
      </c>
      <c r="FI72" s="48">
        <f ca="1">IF(FH72&lt;&gt;0,MAX($FI$2:FI71)+1,0)</f>
        <v>0</v>
      </c>
      <c r="FJ72" s="48" t="str">
        <f ca="1">IFERROR(INDEX($FH$3:$FI$400,MATCH(ROWS($FJ$3:FJ72),$FI$3:$FI$400,0),1),"")</f>
        <v/>
      </c>
      <c r="FK72" s="48">
        <f ca="1">IF(ABS(SUMIFS(DARE,DEN_G,"="&amp;FJ72,DATA,"&lt;="&amp;FINE_AC,DATA,"&gt;="&amp;INIZIO_A_PC)-SUMIFS(AVERE,DEN_G,"="&amp;FJ72,DATA,"&lt;="&amp;FINE_AC,DATA,"&gt;="&amp;INIZIO_A_PC))&gt;0,MAX($FK$2:FK71)+1,0)</f>
        <v>0</v>
      </c>
      <c r="FL72" s="48" t="str">
        <f ca="1">IF(AND(ROW()-2&lt;&gt;1,ROW()-2&lt;=$FK$1),CONCATENATE(" - ",IFERROR(INDEX($FJ$3:$FK$400,MATCH(ROWS($FL$3:FL72),$FK$3:$FK$400,0),1),"")),IFERROR(INDEX($FJ$3:$FK$400,MATCH(ROWS($FL$3:FL72),$FK$3:$FK$400,0),1),""))</f>
        <v/>
      </c>
      <c r="FM72" s="48">
        <f ca="1">IF(OR(B72="IVA ns/credito",B72="IVA NS/DEBITO",B72="IVA C/ACCONTO",B72="IMPOSTE C/ACCONTO",B72="CREDITI PER RITENUTE SUBITE",B72="CREDITI D'IMPOSTA"),MAX($FM$2:FM71)+1,0)</f>
        <v>0</v>
      </c>
      <c r="FN72" s="48" t="str">
        <f t="shared" ca="1" si="190"/>
        <v/>
      </c>
      <c r="FO72" s="48" t="str">
        <f ca="1">IFERROR(INDEX($FM$3:$FN$400,MATCH(ROWS($FO$3:FO72),$FM$3:$FM$400,0),2),"")</f>
        <v/>
      </c>
      <c r="FP72" s="48">
        <f ca="1">IF(ABS(SUMIFS(DARE,DEN_G,"="&amp;FO72,DATA,"&lt;="&amp;FINE_AC,DATA,"&gt;="&amp;INIZIO_A_PC)-SUMIFS(AVERE,DEN_G,"="&amp;FO72,DATA,"&lt;="&amp;FINE_AC,DATA,"&gt;="&amp;INIZIO_A_PC))&gt;0,MAX($FP$2:FP71)+1,0)</f>
        <v>0</v>
      </c>
      <c r="FQ72" s="48" t="str">
        <f ca="1">IF(AND(ROW()-2&lt;&gt;1,ROW()-2&lt;=$FP$1),CONCATENATE(" - ",IFERROR(INDEX($FO$3:$FP$400,MATCH(ROWS($FQ$3:FQ72),$FP$3:$FP$400,0),1),"")),IFERROR(INDEX($FO$3:$FP$400,MATCH(ROWS($FQ$3:FQ72),$FP$3:$FP$400,0),1),""))</f>
        <v/>
      </c>
    </row>
    <row r="73" spans="1:173" x14ac:dyDescent="0.3">
      <c r="A73" s="48" t="str">
        <f ca="1">IFERROR(IF($A$1=2,INDEX($DH$3:$DN$401,MATCH(ROWS(A$3:A73),$DN$3:$DN$401,0),COLUMN()),IF($A$1=1,INDEX($DQ$3:$DW$401,MATCH(ROWS(A$3:A73),$DW$3:$DW$401,0),COLUMN()),"")),"")</f>
        <v>05.15</v>
      </c>
      <c r="B73" s="48" t="str">
        <f ca="1">IFERROR(IF($A$1=2,INDEX($DH$3:$DN$401,MATCH(ROWS(B$3:B73),$DN$3:$DN$401,0),COLUMN()),IF($A$1=1,INDEX($DQ$3:$DW$400,MATCH(ROWS(B$3:B73),$DW$3:$DW$401,0),COLUMN()),"")),"")</f>
        <v>CREDITI PER ACCONTI DA CLIENTI</v>
      </c>
      <c r="C73" s="48" t="str">
        <f ca="1">IFERROR(IF($A$1=2,INDEX($DH$3:$DN$401,MATCH(ROWS(C$3:C73),$DN$3:$DN$401,0),COLUMN()),IF($A$1=1,INDEX($DQ$3:$DW$401,MATCH(ROWS(C$3:C73),$DW$3:$DW$401,0),COLUMN()),"")),"")</f>
        <v>F</v>
      </c>
      <c r="D73" s="48" t="str">
        <f ca="1">IFERROR(IF($A$1=2,INDEX($DH$3:$DN$401,MATCH(ROWS(D$3:D73),$DN$3:$DN$401,0),COLUMN()),IF($A$1=1,INDEX($DQ$3:$DW$401,MATCH(ROWS(D$3:D73),$DW$3:$DW$401,0),COLUMN()),"")),"")</f>
        <v>D</v>
      </c>
      <c r="E73" s="48" t="str">
        <f ca="1">IFERROR(IF($A$1=2,INDEX($DH$3:$DN$401,MATCH(ROWS(E$3:E73),$DN$3:$DN$401,0),COLUMN()),IF($A$1=1,INDEX($DQ$3:$DW$401,MATCH(ROWS(E$3:E73),$DW$3:$DW$401,0),COLUMN()),"")),"")</f>
        <v>CREDITI</v>
      </c>
      <c r="F73" s="48" t="str">
        <f ca="1">IFERROR(IF($A$1=2,INDEX($DH$3:$DN$401,MATCH(ROWS(F$3:F73),$DN$3:$DN$401,0),COLUMN()),IF($A$1=1,INDEX($DQ$3:$DX$401,MATCH(ROWS(F$3:F73),$DW$3:$DW$401,0),COLUMN()),"")),"")</f>
        <v>SP DARE</v>
      </c>
      <c r="G73" s="48" t="str">
        <f t="shared" ca="1" si="150"/>
        <v>SP</v>
      </c>
      <c r="H73" s="48" t="str">
        <f ca="1">IFERROR(IF($A$1=2,INDEX($DH$3:$DO$400,MATCH(ROWS(H$3:H73),$DN$3:$DN$400,0),COLUMN()),IF($A$1=1,INDEX($DQ$3:$DX$400,MATCH(ROWS(H$3:H73),$DW$3:$DW$400,0),COLUMN()),"")),"")</f>
        <v>pac2</v>
      </c>
      <c r="I73" s="48" t="str">
        <f t="shared" ca="1" si="151"/>
        <v/>
      </c>
      <c r="J73" s="48" t="str">
        <f t="shared" ca="1" si="152"/>
        <v/>
      </c>
      <c r="K73" s="48">
        <f t="shared" ca="1" si="153"/>
        <v>0</v>
      </c>
      <c r="L73" s="48">
        <f t="shared" ca="1" si="154"/>
        <v>0</v>
      </c>
      <c r="M73" s="48">
        <f ca="1">IFERROR(IF(IF(MID($A73,3,3)=".00",MID(A73,1,2),"")&lt;&gt;"",MAX($M$2:M72)+1,0),"")</f>
        <v>0</v>
      </c>
      <c r="N73" s="48" t="str">
        <f t="shared" ca="1" si="155"/>
        <v/>
      </c>
      <c r="O73" s="48">
        <v>23</v>
      </c>
      <c r="P73" s="48" t="str">
        <f t="shared" ca="1" si="156"/>
        <v/>
      </c>
      <c r="Q73" s="48">
        <f ca="1">IF(M73&gt;=1,0,MAX($Q$2:Q72)+1)</f>
        <v>65</v>
      </c>
      <c r="U73" s="48" t="str">
        <f ca="1">IFERROR(INDEX(PDC,MATCH(ROWS(U$3:U73),$V$3:$V$400,0),2),"")</f>
        <v>CREDITI PER RITENUTE SUBITE</v>
      </c>
      <c r="V73" s="48">
        <f ca="1">IF(AND($T$1="VISUALIZZA TUTTI I CONTI",AA73&lt;&gt;""),MAX($V$2:V72)+1,IF(AND($U$2=2,AI73=$T$1),MAX($V$2:V72)+1,IF(AND($U$2=1,$T$1=AF73),MAX($V$2:V72)+1,0)))</f>
        <v>71</v>
      </c>
      <c r="Z73" s="246"/>
      <c r="AA73" s="48" t="str">
        <f t="shared" ca="1" si="157"/>
        <v>06.00</v>
      </c>
      <c r="AB73" s="48" t="str">
        <f ca="1">IFERROR(INDEX($A$3:$G$400,MATCH(ROWS(AB$3:AB73),$Q$3:$Q$400,0),1),"")</f>
        <v>06.05</v>
      </c>
      <c r="AC73" s="48" t="str">
        <f ca="1">IFERROR(INDEX($A$3:$G$400,MATCH(ROWS($AC$3:AC73),$Q$3:$Q$400,0),2),"")</f>
        <v>CREDITI PER RITENUTE SUBITE</v>
      </c>
      <c r="AD73" s="48" t="str">
        <f ca="1">IFERROR(INDEX($A$3:$G$400,MATCH(ROWS(AD$3:AD73),$Q$3:$Q$400,0),3),"")</f>
        <v>F</v>
      </c>
      <c r="AE73" s="48" t="str">
        <f ca="1">IFERROR(INDEX($A$3:$G$400,MATCH(ROWS(AE$3:AE73),$Q$3:$Q$400,0),4),"")</f>
        <v>D</v>
      </c>
      <c r="AF73" s="48" t="str">
        <f ca="1">IFERROR(INDEX($A$3:$G$400,MATCH(ROWS(AF$3:AF73),$Q$3:$Q$400,0),5),"")</f>
        <v>CREDITI</v>
      </c>
      <c r="AG73" s="48" t="str">
        <f ca="1">IFERROR(INDEX($A$3:$G$400,MATCH(ROWS(AG$3:AG73),$Q$3:$Q$400,0),6),"")</f>
        <v>SP DARE</v>
      </c>
      <c r="AH73" s="48" t="str">
        <f ca="1">IFERROR(INDEX($A$3:$G$400,MATCH(ROWS(AH$3:AH73),$Q$3:$Q$400,0),7),"")</f>
        <v>SP</v>
      </c>
      <c r="AI73" s="48" t="str">
        <f t="shared" ca="1" si="158"/>
        <v>CREDITI DIVERSI</v>
      </c>
      <c r="AJ73" s="48" t="str">
        <f ca="1">IFERROR(INDEX($A$3:$H$400,MATCH(ROWS(AJ$3:AJ73),$Q$3:$Q$400,0),8),"")</f>
        <v>pac2</v>
      </c>
      <c r="AK73" s="48">
        <f t="shared" ca="1" si="130"/>
        <v>0</v>
      </c>
      <c r="AL73" s="48">
        <f t="shared" ca="1" si="131"/>
        <v>0</v>
      </c>
      <c r="AM73" s="48">
        <f t="shared" ca="1" si="159"/>
        <v>0</v>
      </c>
      <c r="AN73" s="48" t="str">
        <f t="shared" ca="1" si="160"/>
        <v/>
      </c>
      <c r="AO73" s="48">
        <f t="shared" ca="1" si="161"/>
        <v>0</v>
      </c>
      <c r="AP73" s="48">
        <f t="shared" ca="1" si="161"/>
        <v>0</v>
      </c>
      <c r="AQ73" s="48" t="str">
        <f t="shared" ca="1" si="132"/>
        <v>CREDITI PER RITENUTE SUBITE</v>
      </c>
      <c r="AR73" s="48">
        <f t="shared" ca="1" si="133"/>
        <v>0</v>
      </c>
      <c r="AS73" s="48">
        <f t="shared" ca="1" si="134"/>
        <v>0</v>
      </c>
      <c r="AT73" s="48">
        <f t="shared" ca="1" si="162"/>
        <v>0</v>
      </c>
      <c r="AU73" s="48">
        <f t="shared" ca="1" si="163"/>
        <v>0</v>
      </c>
      <c r="AV73" s="48">
        <f ca="1">IF(OR(AT73&gt;0,AU73&gt;0),MAX($AV$2:AV72)+1,0)</f>
        <v>0</v>
      </c>
      <c r="AZ73" s="241" t="str">
        <f t="shared" ca="1" si="164"/>
        <v/>
      </c>
      <c r="BA73" s="48">
        <f t="shared" ca="1" si="135"/>
        <v>0</v>
      </c>
      <c r="BB73" s="48">
        <f ca="1">IFERROR(INDEX($AQ$3:$AV$220,MATCH(ROWS($BB$3:BB73),$AV$3:$AV$220,0),1),0)</f>
        <v>0</v>
      </c>
      <c r="BC73" s="48" t="str">
        <f t="shared" ca="1" si="165"/>
        <v/>
      </c>
      <c r="BD73" s="48">
        <f ca="1">IFERROR(INDEX($AQ$3:$AV$220,MATCH(ROWS($BB$3:BD73),$AV$3:$AV$220,0),4),0)</f>
        <v>0</v>
      </c>
      <c r="BE73" s="48">
        <f ca="1">IFERROR(INDEX($AQ$3:$AV$220,MATCH(ROWS($BB$3:BE73),$AV$3:$AV$220,0),5),0)</f>
        <v>0</v>
      </c>
      <c r="BG73" s="48">
        <f ca="1">IF(IF(AND(OR(INDEX(PDC,MATCH($AC73,DEN_PDC,0),6)="SP DARE",INDEX(PDC,MATCH($AC73,DEN_PDC,0),6)="SP DARE/AVERE"),SUMIFS(DARE,DEN_G,$AC73)&gt;=SUMIFS(AVERE,DEN_G,$AC73)),SUMIFS(DARE,DEN_G,$AC73)-SUMIFS(AVERE,DEN_G,$AC73),0)&gt;0,MAX($BG$2:BG72)+1,0)</f>
        <v>0</v>
      </c>
      <c r="BH73" s="48">
        <f ca="1">IF(IF(AND(OR(INDEX(PDC,MATCH($AC73,DEN_PDC,0),6)="SP AVERE",INDEX(PDC,MATCH($AC73,DEN_PDC,0),6)="SP DARE/AVERE"),SUMIFS(AVERE,DEN_G,$AC73)&gt;=SUMIFS(DARE,DEN_G,$AC73)),SUMIFS(AVERE,DEN_G,$AC73)-SUMIFS(DARE,DEN_G,$AC73),0)&gt;0,MAX(BH$2:BH72)+1,0)</f>
        <v>0</v>
      </c>
      <c r="BI73" s="48">
        <f ca="1">IF(IF(AND(OR(INDEX(PDC,MATCH($AC73,DEN_PDC,0),6)="SE DARE",INDEX(PDC,MATCH($AC73,DEN_PDC,0),6)="SE DARE/AVERE"),SUMIFS(DARE,DEN_G,$AC73)&gt;=SUMIFS(AVERE,DEN_G,$AC73)),SUMIFS(DARE,DEN_G,$AC73)-SUMIFS(AVERE,DEN_G,$AC73),0)&gt;0,MAX(BI$2:BI72)+1,0)</f>
        <v>0</v>
      </c>
      <c r="BJ73" s="48">
        <f ca="1">IF(IF(AND(OR(INDEX(PDC,MATCH($AC73,DEN_PDC,0),6)="SE AVERE",INDEX(PDC,MATCH($AC73,DEN_PDC,0),6)="SE DARE/AVERE"),SUMIFS(AVERE,DEN_G,$AC73)&gt;=SUMIFS(DARE,DEN_G,$AC73)),SUMIFS(AVERE,DEN_G,$AC73)-SUMIFS(DARE,DEN_G,$AC73),0)&gt;0,MAX(BJ$2:BJ72)+1,0)</f>
        <v>0</v>
      </c>
      <c r="BK73" s="48" t="str">
        <f ca="1">IF(AND(AND($DY$2=0,$DY$1=0),$I$1=2,ROW()&gt;$BG$1+2,ROW()&lt;=$BG$1+4),"………………..",IF(AND(OR($DY$2&gt;0,$DY$1&gt;0),$I$1=2,ROW()&gt;$BG$1+2,ROW()&lt;=$BG$1+4),"………………..",IFERROR(INDEX($AC$3:$AC$398,MATCH(ROWS(BK$3:BK73),BG$3:BG$398,0),1),"")))</f>
        <v/>
      </c>
      <c r="BL73" s="48">
        <f t="shared" ca="1" si="136"/>
        <v>0</v>
      </c>
      <c r="BM73" s="48" t="str">
        <f ca="1">IF(AND(OR($DY$2=0,$DY$1=0),$I$1=2,ROW()&gt;$BH$1+2,ROW()&lt;=$BH$1+4),"………………..",IF(AND(OR($DY$2&gt;0,$DY$1&gt;0),$I$1=2,ROW()&gt;$BH$1+2,ROW()&lt;=$BH$1+4),"………………..",IFERROR(INDEX($AC$3:$AC$400,MATCH(ROWS(BM$3:BM73),BH$3:BH$400,0),1),"")))</f>
        <v/>
      </c>
      <c r="BN73" s="48">
        <f t="shared" ca="1" si="137"/>
        <v>0</v>
      </c>
      <c r="BO73" s="48" t="str">
        <f ca="1">IF(AND(OR($DY$2=0,$DY$1=0),$I$1=2,ROW()&gt;$BI$1+2,ROW()&lt;=$BI$1+4),"………………..",IF(AND(OR($DY$2&gt;0,$DY$1&gt;0),$I$1=2,ROW()&gt;$BI$1+2,ROW()&lt;=$BI$1+4),"………………..",IFERROR(INDEX($AC$3:$AC$400,MATCH(ROWS(BO$3:BO73),BI$3:BI$400,0),1),"")))</f>
        <v/>
      </c>
      <c r="BP73" s="48">
        <f t="shared" ca="1" si="138"/>
        <v>0</v>
      </c>
      <c r="BQ73" s="48" t="str">
        <f ca="1">IF(AND(OR($DY$2=0,$DY$1=0),$I$1=2,ROW()&gt;$BJ$1+2,ROW()&lt;=$BJ$1+4),"………………..",IF(AND(OR($DY$2&gt;0,$DY$1&gt;0),$I$1=2,ROW()&gt;$BJ$1+2,ROW()&lt;=$BJ$1+4),"………………..",IFERROR(INDEX($AC$3:$AC$400,MATCH(ROWS(BQ$3:BQ73),BJ$3:BJ$400,0),1),"")))</f>
        <v/>
      </c>
      <c r="BR73" s="48">
        <f t="shared" ca="1" si="139"/>
        <v>0</v>
      </c>
      <c r="BS73" s="48">
        <f ca="1">IF(IF(AND(OR(INDEX(PDC,MATCH($AC73,DEN_PDC,0),4)="D",INDEX(PDC,MATCH($AC73,DEN_PDC,0),4)="D/A"),SUMIFS(DARE,DEN_G,$AC73)&gt;=SUMIFS(AVERE,DEN_G,$AC73)),SUMIFS(DARE,DEN_G,$AC73),IF(AND(OR(INDEX(PDC,MATCH($AC73,DEN_PDC,0),4)="A",INDEX(PDC,MATCH($AC73,DEN_PDC,0),4)="D/A"),SUMIFS(AVERE,DEN_G,$AC73)&gt;=SUMIFS(DARE,DEN_G,$AC73)),SUMIFS(AVERE,DEN_G,$AC73),))&gt;0,MAX($BS$2:BS72)+1,0)</f>
        <v>0</v>
      </c>
      <c r="BT73" s="48" t="str">
        <f ca="1">IF($CO$1=0,"",IF(AND($I$1=2,ROW()&gt;$BR$1,ROW()&lt;=$BS$1)," …………….",IF(AND($E$1=1,$BX$1=1,$I$1=2,ROW()=$BQ$1),"TOTALI",IFERROR(INDEX(PDC,MATCH(ROWS(BT$3:BT73),BS$3:BS470,0),2),""))))</f>
        <v/>
      </c>
      <c r="BU73" s="48">
        <f t="shared" ca="1" si="140"/>
        <v>0</v>
      </c>
      <c r="BV73" s="48">
        <f t="shared" ca="1" si="141"/>
        <v>0</v>
      </c>
      <c r="BW73" s="48">
        <f t="shared" ca="1" si="142"/>
        <v>0</v>
      </c>
      <c r="BX73" s="48">
        <f t="shared" ca="1" si="143"/>
        <v>0</v>
      </c>
      <c r="BY73" s="48">
        <f ca="1">IF(OR(BW73&gt;0,BX73&gt;0),MAX($BY$2:BY72)+1,0)</f>
        <v>0</v>
      </c>
      <c r="BZ73" s="48" t="str">
        <f ca="1">IFERROR(INDEX($BT$3:$BY$400,MATCH(ROWS(BZ$3:BZ73),$BY$3:$BY$400,0),1),"")</f>
        <v/>
      </c>
      <c r="CA73" s="48" t="str">
        <f ca="1">IFERROR(INDEX($BT$3:$BY$400,MATCH(ROWS(CA$3:CA73),$BY$3:$BY$400,0),4),"")</f>
        <v/>
      </c>
      <c r="CB73" s="48" t="str">
        <f ca="1">IFERROR(INDEX($BT$3:$BY$400,MATCH(ROWS(CB$3:CB73),$BY$3:$BY$400,0),5),"")</f>
        <v/>
      </c>
      <c r="CC73" s="48" t="str">
        <f t="shared" ca="1" si="144"/>
        <v/>
      </c>
      <c r="CD73" s="48">
        <f ca="1">IF(AND($BF$9=1,CE73&lt;&gt;0),MAX($CD$2:CD72)+1,0)</f>
        <v>0</v>
      </c>
      <c r="CE73" s="48">
        <f ca="1">IF(ROUND(SUMIFS(COPIA!$CA$3:$CA$400,COPIA!$CC$3:$CC$400,CF73)-SUMIFS(COPIA!$CB$3:$CB$400,COPIA!$CC$3:$CC$400,CF73),0)&lt;0,0,ROUND(SUMIFS(COPIA!$CA$3:$CA$400,COPIA!$CC$3:$CC$400,CF73)-SUMIFS(COPIA!$CB$3:$CB$400,COPIA!$CC$3:$CC$400,CF73),0))</f>
        <v>0</v>
      </c>
      <c r="CF73" s="48" t="s">
        <v>640</v>
      </c>
      <c r="CG73" s="242" t="s">
        <v>532</v>
      </c>
      <c r="CH73" s="242">
        <f t="shared" ca="1" si="112"/>
        <v>0</v>
      </c>
      <c r="CI73" s="242"/>
      <c r="CJ73" s="242"/>
      <c r="CL73" s="242"/>
      <c r="CM73" s="242" t="str">
        <f t="shared" ca="1" si="166"/>
        <v/>
      </c>
      <c r="CN73" s="243">
        <f t="shared" ca="1" si="167"/>
        <v>0</v>
      </c>
      <c r="CO73" s="48" t="str">
        <f t="shared" ca="1" si="168"/>
        <v/>
      </c>
      <c r="CQ73" s="247">
        <f t="shared" ca="1" si="198"/>
        <v>47119</v>
      </c>
      <c r="CR73" s="247">
        <f t="shared" ca="1" si="198"/>
        <v>47483</v>
      </c>
      <c r="CS73" s="48">
        <f t="shared" ca="1" si="200"/>
        <v>0</v>
      </c>
      <c r="CT73" s="48">
        <f t="shared" ca="1" si="201"/>
        <v>0</v>
      </c>
      <c r="CU73" s="48">
        <f ca="1">IF(SUMIFS(AVERE,DEN_G,AC73,AVERE,"&gt;"&amp;0)+SUMIFS(DARE,DEN_G,AC73,DARE,"&gt;"&amp;0)&gt;0,MAX($CU$2:CU72)+1,0)</f>
        <v>0</v>
      </c>
      <c r="CV73" s="48" t="str">
        <f ca="1">IF(IFERROR(INDEX(PDC,MATCH(ROWS($CV$3:CV73),$CU$3:$CU$400,0),2),"")="CONTO DI RISULTATO ECONOMICO","",IFERROR(INDEX(PDC,MATCH(ROWS($CV$3:CV73),$CU$3:$CU$400,0),2),""))</f>
        <v/>
      </c>
      <c r="CW73" s="48">
        <f ca="1">IFERROR(IF(CV73&lt;&gt;"",MAX($CW$2:CW72)+1,0),0)</f>
        <v>0</v>
      </c>
      <c r="CX73" s="48">
        <f t="shared" ca="1" si="191"/>
        <v>6</v>
      </c>
      <c r="CY73" s="48" t="str">
        <f t="shared" ca="1" si="169"/>
        <v>MASTRO</v>
      </c>
      <c r="CZ73" s="48" t="e">
        <f t="shared" ca="1" si="193"/>
        <v>#N/A</v>
      </c>
      <c r="DA73" s="48" t="str">
        <f t="shared" ca="1" si="199"/>
        <v/>
      </c>
      <c r="DB73" s="48" t="str">
        <f t="shared" ca="1" si="76"/>
        <v/>
      </c>
      <c r="DC73" s="48" t="str">
        <f t="shared" ca="1" si="194"/>
        <v/>
      </c>
      <c r="DD73" s="48" t="str">
        <f t="shared" ca="1" si="195"/>
        <v/>
      </c>
      <c r="DE73" s="48" t="str">
        <f t="shared" ca="1" si="196"/>
        <v/>
      </c>
      <c r="DF73" s="48">
        <f ca="1">IF(AND(CX73=$DF$1,CX73&lt;&gt;""),0,IF(AND(DB73&lt;&gt;"",OR(DB72&lt;&gt;"",DB74&lt;&gt;"")),MAX($DF$2:DF72)+1,0))</f>
        <v>0</v>
      </c>
      <c r="DH73" s="244" t="s">
        <v>362</v>
      </c>
      <c r="DI73" s="48" t="s">
        <v>363</v>
      </c>
      <c r="DJ73" s="48" t="s">
        <v>311</v>
      </c>
      <c r="DK73" s="48" t="s">
        <v>275</v>
      </c>
      <c r="DL73" s="48" t="s">
        <v>13</v>
      </c>
      <c r="DM73" s="48" t="s">
        <v>270</v>
      </c>
      <c r="DN73" s="48">
        <f ca="1">IF(DI73&lt;&gt;"",MAX($DN$2:DN72)+1,0)</f>
        <v>56</v>
      </c>
      <c r="DO73" s="48" t="str">
        <f ca="1">IF($BF$9=1,"pac12","pac1")</f>
        <v>pac1</v>
      </c>
      <c r="DQ73" s="227" t="s">
        <v>41</v>
      </c>
      <c r="DR73" s="228" t="s">
        <v>42</v>
      </c>
      <c r="DW73" s="48">
        <f ca="1">IF(DR73&lt;&gt;"",MAX($DW$2:DW72)+1,0)</f>
        <v>35</v>
      </c>
      <c r="DY73" s="48" t="str">
        <f t="shared" ca="1" si="147"/>
        <v/>
      </c>
      <c r="DZ73" s="48" t="str">
        <f t="shared" ca="1" si="170"/>
        <v/>
      </c>
      <c r="EA73" s="48" t="str">
        <f t="shared" ca="1" si="171"/>
        <v/>
      </c>
      <c r="EB73" s="48">
        <f t="shared" ca="1" si="172"/>
        <v>0</v>
      </c>
      <c r="EC73" s="48">
        <f t="shared" ca="1" si="173"/>
        <v>0</v>
      </c>
      <c r="ED73" s="48" t="str">
        <f t="shared" ca="1" si="174"/>
        <v/>
      </c>
      <c r="EE73" s="48">
        <f t="shared" ca="1" si="175"/>
        <v>0</v>
      </c>
      <c r="EF73" s="48" t="str">
        <f t="shared" ca="1" si="176"/>
        <v/>
      </c>
      <c r="EG73" s="48">
        <f t="shared" ca="1" si="177"/>
        <v>0</v>
      </c>
      <c r="EH73" s="48" t="str">
        <f t="shared" ca="1" si="178"/>
        <v/>
      </c>
      <c r="EI73" s="48">
        <f t="shared" ca="1" si="179"/>
        <v>0</v>
      </c>
      <c r="EJ73" s="48" t="str">
        <f t="shared" ca="1" si="180"/>
        <v/>
      </c>
      <c r="EK73" s="48">
        <f t="shared" ca="1" si="181"/>
        <v>0</v>
      </c>
      <c r="EL73" s="48">
        <f t="shared" ca="1" si="148"/>
        <v>0</v>
      </c>
      <c r="EM73" s="48">
        <f ca="1">IF(EL73&gt;=0,0,MAX($EM$2:EM72)+1)</f>
        <v>0</v>
      </c>
      <c r="EN73" s="48" t="str">
        <f t="shared" ca="1" si="182"/>
        <v/>
      </c>
      <c r="EO73" s="48" t="str">
        <f ca="1">IFERROR(INDEX($EM$3:$EN$400,MATCH(ROWS($EO$3:EO73),$EM$3:$EM$400,0),2),"")</f>
        <v/>
      </c>
      <c r="EP73" s="48">
        <f>ROW()</f>
        <v>73</v>
      </c>
      <c r="EQ73" s="48">
        <f t="shared" ca="1" si="149"/>
        <v>0</v>
      </c>
      <c r="ER73" s="48">
        <f ca="1">IF(ISNA(EQ73)=TRUE,MAX($ER$2:ER72)+1,0)</f>
        <v>0</v>
      </c>
      <c r="ES73" s="48" t="str">
        <f t="shared" ca="1" si="183"/>
        <v/>
      </c>
      <c r="ET73" s="48" t="str">
        <f ca="1">IFERROR(INDEX($ER$3:$ES$400,MATCH(ROWS($ET$3:ET73),$ER$3:$ER$400,0),2),"")</f>
        <v/>
      </c>
      <c r="EV73" s="48">
        <f ca="1">IFERROR(INDEX(LIBRO_GIORNALE!$O$11:$P$408,MATCH(ROWS($EV$2:EV72),LIBRO_GIORNALE!$P$11:$P$408,0),1),0)</f>
        <v>0</v>
      </c>
      <c r="EW73" s="48" t="str">
        <f t="shared" ca="1" si="184"/>
        <v>0</v>
      </c>
      <c r="EX73" s="48">
        <f t="shared" ca="1" si="185"/>
        <v>0</v>
      </c>
      <c r="EY73" s="48">
        <f ca="1">IF(EX73&gt;0,MAX($EY$2:EY72)+1,0)</f>
        <v>0</v>
      </c>
      <c r="EZ73" s="48">
        <f ca="1">IFERROR(INDEX($EX$3:$EX$400,MATCH(ROWS($EZ$3:EZ73),$EY$3:$EY$400,0),1),0)</f>
        <v>0</v>
      </c>
      <c r="FA73" s="48">
        <f ca="1">IF(EZ73&gt;0,0,MAX($FA$2:FA72)+1)</f>
        <v>71</v>
      </c>
      <c r="FB73" s="48">
        <f t="shared" ca="1" si="186"/>
        <v>0</v>
      </c>
      <c r="FC73" s="48">
        <f t="shared" ca="1" si="187"/>
        <v>71</v>
      </c>
      <c r="FD73" s="48">
        <f t="shared" ca="1" si="188"/>
        <v>71</v>
      </c>
      <c r="FE73" s="48">
        <f ca="1">IF(FD73=0,0,MAX($FE$2:FE72)+1)</f>
        <v>71</v>
      </c>
      <c r="FF73" s="48">
        <f ca="1">IFERROR(INDEX($FD$3:$FE$400,MATCH(ROWS($FF$3:FF73),$FE$3:$FE$400,0),1),"")</f>
        <v>71</v>
      </c>
      <c r="FH73" s="48">
        <f t="shared" ca="1" si="189"/>
        <v>0</v>
      </c>
      <c r="FI73" s="48">
        <f ca="1">IF(FH73&lt;&gt;0,MAX($FI$2:FI72)+1,0)</f>
        <v>0</v>
      </c>
      <c r="FJ73" s="48" t="str">
        <f ca="1">IFERROR(INDEX($FH$3:$FI$400,MATCH(ROWS($FJ$3:FJ73),$FI$3:$FI$400,0),1),"")</f>
        <v/>
      </c>
      <c r="FK73" s="48">
        <f ca="1">IF(ABS(SUMIFS(DARE,DEN_G,"="&amp;FJ73,DATA,"&lt;="&amp;FINE_AC,DATA,"&gt;="&amp;INIZIO_A_PC)-SUMIFS(AVERE,DEN_G,"="&amp;FJ73,DATA,"&lt;="&amp;FINE_AC,DATA,"&gt;="&amp;INIZIO_A_PC))&gt;0,MAX($FK$2:FK72)+1,0)</f>
        <v>0</v>
      </c>
      <c r="FL73" s="48" t="str">
        <f ca="1">IF(AND(ROW()-2&lt;&gt;1,ROW()-2&lt;=$FK$1),CONCATENATE(" - ",IFERROR(INDEX($FJ$3:$FK$400,MATCH(ROWS($FL$3:FL73),$FK$3:$FK$400,0),1),"")),IFERROR(INDEX($FJ$3:$FK$400,MATCH(ROWS($FL$3:FL73),$FK$3:$FK$400,0),1),""))</f>
        <v/>
      </c>
      <c r="FM73" s="48">
        <f ca="1">IF(OR(B73="IVA ns/credito",B73="IVA NS/DEBITO",B73="IVA C/ACCONTO",B73="IMPOSTE C/ACCONTO",B73="CREDITI PER RITENUTE SUBITE",B73="CREDITI D'IMPOSTA"),MAX($FM$2:FM72)+1,0)</f>
        <v>0</v>
      </c>
      <c r="FN73" s="48" t="str">
        <f t="shared" ca="1" si="190"/>
        <v/>
      </c>
      <c r="FO73" s="48" t="str">
        <f ca="1">IFERROR(INDEX($FM$3:$FN$400,MATCH(ROWS($FO$3:FO73),$FM$3:$FM$400,0),2),"")</f>
        <v/>
      </c>
      <c r="FP73" s="48">
        <f ca="1">IF(ABS(SUMIFS(DARE,DEN_G,"="&amp;FO73,DATA,"&lt;="&amp;FINE_AC,DATA,"&gt;="&amp;INIZIO_A_PC)-SUMIFS(AVERE,DEN_G,"="&amp;FO73,DATA,"&lt;="&amp;FINE_AC,DATA,"&gt;="&amp;INIZIO_A_PC))&gt;0,MAX($FP$2:FP72)+1,0)</f>
        <v>0</v>
      </c>
      <c r="FQ73" s="48" t="str">
        <f ca="1">IF(AND(ROW()-2&lt;&gt;1,ROW()-2&lt;=$FP$1),CONCATENATE(" - ",IFERROR(INDEX($FO$3:$FP$400,MATCH(ROWS($FQ$3:FQ73),$FP$3:$FP$400,0),1),"")),IFERROR(INDEX($FO$3:$FP$400,MATCH(ROWS($FQ$3:FQ73),$FP$3:$FP$400,0),1),""))</f>
        <v/>
      </c>
    </row>
    <row r="74" spans="1:173" x14ac:dyDescent="0.3">
      <c r="A74" s="48" t="str">
        <f ca="1">IFERROR(IF($A$1=2,INDEX($DH$3:$DN$401,MATCH(ROWS(A$3:A74),$DN$3:$DN$401,0),COLUMN()),IF($A$1=1,INDEX($DQ$3:$DW$401,MATCH(ROWS(A$3:A74),$DW$3:$DW$401,0),COLUMN()),"")),"")</f>
        <v>05.20</v>
      </c>
      <c r="B74" s="48" t="str">
        <f ca="1">IFERROR(IF($A$1=2,INDEX($DH$3:$DN$401,MATCH(ROWS(B$3:B74),$DN$3:$DN$401,0),COLUMN()),IF($A$1=1,INDEX($DQ$3:$DW$400,MATCH(ROWS(B$3:B74),$DW$3:$DW$401,0),COLUMN()),"")),"")</f>
        <v>FONDO SVALUTAZIONE CREDITI</v>
      </c>
      <c r="C74" s="48" t="str">
        <f ca="1">IFERROR(IF($A$1=2,INDEX($DH$3:$DN$401,MATCH(ROWS(C$3:C74),$DN$3:$DN$401,0),COLUMN()),IF($A$1=1,INDEX($DQ$3:$DW$401,MATCH(ROWS(C$3:C74),$DW$3:$DW$401,0),COLUMN()),"")),"")</f>
        <v>F</v>
      </c>
      <c r="D74" s="48" t="str">
        <f ca="1">IFERROR(IF($A$1=2,INDEX($DH$3:$DN$401,MATCH(ROWS(D$3:D74),$DN$3:$DN$401,0),COLUMN()),IF($A$1=1,INDEX($DQ$3:$DW$401,MATCH(ROWS(D$3:D74),$DW$3:$DW$401,0),COLUMN()),"")),"")</f>
        <v>A</v>
      </c>
      <c r="E74" s="48" t="str">
        <f ca="1">IFERROR(IF($A$1=2,INDEX($DH$3:$DN$401,MATCH(ROWS(E$3:E74),$DN$3:$DN$401,0),COLUMN()),IF($A$1=1,INDEX($DQ$3:$DW$401,MATCH(ROWS(E$3:E74),$DW$3:$DW$401,0),COLUMN()),"")),"")</f>
        <v>CREDITI</v>
      </c>
      <c r="F74" s="48" t="str">
        <f ca="1">IFERROR(IF($A$1=2,INDEX($DH$3:$DN$401,MATCH(ROWS(F$3:F74),$DN$3:$DN$401,0),COLUMN()),IF($A$1=1,INDEX($DQ$3:$DX$401,MATCH(ROWS(F$3:F74),$DW$3:$DW$401,0),COLUMN()),"")),"")</f>
        <v>SP AVERE</v>
      </c>
      <c r="G74" s="48" t="str">
        <f t="shared" ca="1" si="150"/>
        <v>SP</v>
      </c>
      <c r="H74" s="48" t="str">
        <f ca="1">IFERROR(IF($A$1=2,INDEX($DH$3:$DO$400,MATCH(ROWS(H$3:H74),$DN$3:$DN$400,0),COLUMN()),IF($A$1=1,INDEX($DQ$3:$DX$400,MATCH(ROWS(H$3:H74),$DW$3:$DW$400,0),COLUMN()),"")),"")</f>
        <v>pac2</v>
      </c>
      <c r="I74" s="48" t="str">
        <f t="shared" ca="1" si="151"/>
        <v/>
      </c>
      <c r="J74" s="48" t="str">
        <f t="shared" ca="1" si="152"/>
        <v/>
      </c>
      <c r="K74" s="48">
        <f t="shared" ca="1" si="153"/>
        <v>0</v>
      </c>
      <c r="L74" s="48">
        <f t="shared" ca="1" si="154"/>
        <v>0</v>
      </c>
      <c r="M74" s="48">
        <f ca="1">IFERROR(IF(IF(MID($A74,3,3)=".00",MID(A74,1,2),"")&lt;&gt;"",MAX($M$2:M73)+1,0),"")</f>
        <v>0</v>
      </c>
      <c r="N74" s="48" t="str">
        <f t="shared" ca="1" si="155"/>
        <v/>
      </c>
      <c r="O74" s="48">
        <v>24</v>
      </c>
      <c r="P74" s="48" t="str">
        <f t="shared" ca="1" si="156"/>
        <v/>
      </c>
      <c r="Q74" s="48">
        <f ca="1">IF(M74&gt;=1,0,MAX($Q$2:Q73)+1)</f>
        <v>66</v>
      </c>
      <c r="U74" s="48" t="str">
        <f ca="1">IFERROR(INDEX(PDC,MATCH(ROWS(U$3:U74),$V$3:$V$400,0),2),"")</f>
        <v>CREDITI PER IMPOSTE</v>
      </c>
      <c r="V74" s="48">
        <f ca="1">IF(AND($T$1="VISUALIZZA TUTTI I CONTI",AA74&lt;&gt;""),MAX($V$2:V73)+1,IF(AND($U$2=2,AI74=$T$1),MAX($V$2:V73)+1,IF(AND($U$2=1,$T$1=AF74),MAX($V$2:V73)+1,0)))</f>
        <v>72</v>
      </c>
      <c r="Z74" s="246"/>
      <c r="AA74" s="48" t="str">
        <f t="shared" ca="1" si="157"/>
        <v>06.00</v>
      </c>
      <c r="AB74" s="48" t="str">
        <f ca="1">IFERROR(INDEX($A$3:$G$400,MATCH(ROWS(AB$3:AB74),$Q$3:$Q$400,0),1),"")</f>
        <v>06.06</v>
      </c>
      <c r="AC74" s="48" t="str">
        <f ca="1">IFERROR(INDEX($A$3:$G$400,MATCH(ROWS($AC$3:AC74),$Q$3:$Q$400,0),2),"")</f>
        <v>CREDITI PER IMPOSTE</v>
      </c>
      <c r="AD74" s="48" t="str">
        <f ca="1">IFERROR(INDEX($A$3:$G$400,MATCH(ROWS(AD$3:AD74),$Q$3:$Q$400,0),3),"")</f>
        <v>F</v>
      </c>
      <c r="AE74" s="48" t="str">
        <f ca="1">IFERROR(INDEX($A$3:$G$400,MATCH(ROWS(AE$3:AE74),$Q$3:$Q$400,0),4),"")</f>
        <v>D</v>
      </c>
      <c r="AF74" s="48" t="str">
        <f ca="1">IFERROR(INDEX($A$3:$G$400,MATCH(ROWS(AF$3:AF74),$Q$3:$Q$400,0),5),"")</f>
        <v>CREDITI</v>
      </c>
      <c r="AG74" s="48" t="str">
        <f ca="1">IFERROR(INDEX($A$3:$G$400,MATCH(ROWS(AG$3:AG74),$Q$3:$Q$400,0),6),"")</f>
        <v>SP DARE</v>
      </c>
      <c r="AH74" s="48" t="str">
        <f ca="1">IFERROR(INDEX($A$3:$G$400,MATCH(ROWS(AH$3:AH74),$Q$3:$Q$400,0),7),"")</f>
        <v>SP</v>
      </c>
      <c r="AI74" s="48" t="str">
        <f t="shared" ca="1" si="158"/>
        <v>CREDITI DIVERSI</v>
      </c>
      <c r="AJ74" s="48" t="str">
        <f ca="1">IFERROR(INDEX($A$3:$H$400,MATCH(ROWS(AJ$3:AJ74),$Q$3:$Q$400,0),8),"")</f>
        <v>pac2</v>
      </c>
      <c r="AK74" s="48">
        <f t="shared" ca="1" si="130"/>
        <v>0</v>
      </c>
      <c r="AL74" s="48">
        <f t="shared" ca="1" si="131"/>
        <v>0</v>
      </c>
      <c r="AM74" s="48">
        <f t="shared" ca="1" si="159"/>
        <v>0</v>
      </c>
      <c r="AN74" s="48" t="str">
        <f t="shared" ca="1" si="160"/>
        <v/>
      </c>
      <c r="AO74" s="48">
        <f t="shared" ca="1" si="161"/>
        <v>0</v>
      </c>
      <c r="AP74" s="48">
        <f t="shared" ca="1" si="161"/>
        <v>0</v>
      </c>
      <c r="AQ74" s="48" t="str">
        <f t="shared" ca="1" si="132"/>
        <v>CREDITI PER IMPOSTE</v>
      </c>
      <c r="AR74" s="48">
        <f t="shared" ca="1" si="133"/>
        <v>0</v>
      </c>
      <c r="AS74" s="48">
        <f t="shared" ca="1" si="134"/>
        <v>0</v>
      </c>
      <c r="AT74" s="48">
        <f t="shared" ca="1" si="162"/>
        <v>0</v>
      </c>
      <c r="AU74" s="48">
        <f t="shared" ca="1" si="163"/>
        <v>0</v>
      </c>
      <c r="AV74" s="48">
        <f ca="1">IF(OR(AT74&gt;0,AU74&gt;0),MAX($AV$2:AV73)+1,0)</f>
        <v>0</v>
      </c>
      <c r="AZ74" s="241" t="str">
        <f t="shared" ca="1" si="164"/>
        <v/>
      </c>
      <c r="BA74" s="48">
        <f t="shared" ca="1" si="135"/>
        <v>0</v>
      </c>
      <c r="BB74" s="48">
        <f ca="1">IFERROR(INDEX($AQ$3:$AV$220,MATCH(ROWS($BB$3:BB74),$AV$3:$AV$220,0),1),0)</f>
        <v>0</v>
      </c>
      <c r="BC74" s="48" t="str">
        <f t="shared" ca="1" si="165"/>
        <v/>
      </c>
      <c r="BD74" s="48">
        <f ca="1">IFERROR(INDEX($AQ$3:$AV$220,MATCH(ROWS($BB$3:BD74),$AV$3:$AV$220,0),4),0)</f>
        <v>0</v>
      </c>
      <c r="BE74" s="48">
        <f ca="1">IFERROR(INDEX($AQ$3:$AV$220,MATCH(ROWS($BB$3:BE74),$AV$3:$AV$220,0),5),0)</f>
        <v>0</v>
      </c>
      <c r="BG74" s="48">
        <f ca="1">IF(IF(AND(OR(INDEX(PDC,MATCH($AC74,DEN_PDC,0),6)="SP DARE",INDEX(PDC,MATCH($AC74,DEN_PDC,0),6)="SP DARE/AVERE"),SUMIFS(DARE,DEN_G,$AC74)&gt;=SUMIFS(AVERE,DEN_G,$AC74)),SUMIFS(DARE,DEN_G,$AC74)-SUMIFS(AVERE,DEN_G,$AC74),0)&gt;0,MAX($BG$2:BG73)+1,0)</f>
        <v>0</v>
      </c>
      <c r="BH74" s="48">
        <f ca="1">IF(IF(AND(OR(INDEX(PDC,MATCH($AC74,DEN_PDC,0),6)="SP AVERE",INDEX(PDC,MATCH($AC74,DEN_PDC,0),6)="SP DARE/AVERE"),SUMIFS(AVERE,DEN_G,$AC74)&gt;=SUMIFS(DARE,DEN_G,$AC74)),SUMIFS(AVERE,DEN_G,$AC74)-SUMIFS(DARE,DEN_G,$AC74),0)&gt;0,MAX(BH$2:BH73)+1,0)</f>
        <v>0</v>
      </c>
      <c r="BI74" s="48">
        <f ca="1">IF(IF(AND(OR(INDEX(PDC,MATCH($AC74,DEN_PDC,0),6)="SE DARE",INDEX(PDC,MATCH($AC74,DEN_PDC,0),6)="SE DARE/AVERE"),SUMIFS(DARE,DEN_G,$AC74)&gt;=SUMIFS(AVERE,DEN_G,$AC74)),SUMIFS(DARE,DEN_G,$AC74)-SUMIFS(AVERE,DEN_G,$AC74),0)&gt;0,MAX(BI$2:BI73)+1,0)</f>
        <v>0</v>
      </c>
      <c r="BJ74" s="48">
        <f ca="1">IF(IF(AND(OR(INDEX(PDC,MATCH($AC74,DEN_PDC,0),6)="SE AVERE",INDEX(PDC,MATCH($AC74,DEN_PDC,0),6)="SE DARE/AVERE"),SUMIFS(AVERE,DEN_G,$AC74)&gt;=SUMIFS(DARE,DEN_G,$AC74)),SUMIFS(AVERE,DEN_G,$AC74)-SUMIFS(DARE,DEN_G,$AC74),0)&gt;0,MAX(BJ$2:BJ73)+1,0)</f>
        <v>0</v>
      </c>
      <c r="BK74" s="48" t="str">
        <f ca="1">IF(AND(AND($DY$2=0,$DY$1=0),$I$1=2,ROW()&gt;$BG$1+2,ROW()&lt;=$BG$1+4),"………………..",IF(AND(OR($DY$2&gt;0,$DY$1&gt;0),$I$1=2,ROW()&gt;$BG$1+2,ROW()&lt;=$BG$1+4),"………………..",IFERROR(INDEX($AC$3:$AC$398,MATCH(ROWS(BK$3:BK74),BG$3:BG$398,0),1),"")))</f>
        <v/>
      </c>
      <c r="BL74" s="48">
        <f t="shared" ca="1" si="136"/>
        <v>0</v>
      </c>
      <c r="BM74" s="48" t="str">
        <f ca="1">IF(AND(OR($DY$2=0,$DY$1=0),$I$1=2,ROW()&gt;$BH$1+2,ROW()&lt;=$BH$1+4),"………………..",IF(AND(OR($DY$2&gt;0,$DY$1&gt;0),$I$1=2,ROW()&gt;$BH$1+2,ROW()&lt;=$BH$1+4),"………………..",IFERROR(INDEX($AC$3:$AC$400,MATCH(ROWS(BM$3:BM74),BH$3:BH$400,0),1),"")))</f>
        <v/>
      </c>
      <c r="BN74" s="48">
        <f t="shared" ca="1" si="137"/>
        <v>0</v>
      </c>
      <c r="BO74" s="48" t="str">
        <f ca="1">IF(AND(OR($DY$2=0,$DY$1=0),$I$1=2,ROW()&gt;$BI$1+2,ROW()&lt;=$BI$1+4),"………………..",IF(AND(OR($DY$2&gt;0,$DY$1&gt;0),$I$1=2,ROW()&gt;$BI$1+2,ROW()&lt;=$BI$1+4),"………………..",IFERROR(INDEX($AC$3:$AC$400,MATCH(ROWS(BO$3:BO74),BI$3:BI$400,0),1),"")))</f>
        <v/>
      </c>
      <c r="BP74" s="48">
        <f t="shared" ca="1" si="138"/>
        <v>0</v>
      </c>
      <c r="BQ74" s="48" t="str">
        <f ca="1">IF(AND(OR($DY$2=0,$DY$1=0),$I$1=2,ROW()&gt;$BJ$1+2,ROW()&lt;=$BJ$1+4),"………………..",IF(AND(OR($DY$2&gt;0,$DY$1&gt;0),$I$1=2,ROW()&gt;$BJ$1+2,ROW()&lt;=$BJ$1+4),"………………..",IFERROR(INDEX($AC$3:$AC$400,MATCH(ROWS(BQ$3:BQ74),BJ$3:BJ$400,0),1),"")))</f>
        <v/>
      </c>
      <c r="BR74" s="48">
        <f t="shared" ca="1" si="139"/>
        <v>0</v>
      </c>
      <c r="BS74" s="48">
        <f ca="1">IF(IF(AND(OR(INDEX(PDC,MATCH($AC74,DEN_PDC,0),4)="D",INDEX(PDC,MATCH($AC74,DEN_PDC,0),4)="D/A"),SUMIFS(DARE,DEN_G,$AC74)&gt;=SUMIFS(AVERE,DEN_G,$AC74)),SUMIFS(DARE,DEN_G,$AC74),IF(AND(OR(INDEX(PDC,MATCH($AC74,DEN_PDC,0),4)="A",INDEX(PDC,MATCH($AC74,DEN_PDC,0),4)="D/A"),SUMIFS(AVERE,DEN_G,$AC74)&gt;=SUMIFS(DARE,DEN_G,$AC74)),SUMIFS(AVERE,DEN_G,$AC74),))&gt;0,MAX($BS$2:BS73)+1,0)</f>
        <v>0</v>
      </c>
      <c r="BT74" s="48" t="str">
        <f ca="1">IF($CO$1=0,"",IF(AND($I$1=2,ROW()&gt;$BR$1,ROW()&lt;=$BS$1)," …………….",IF(AND($E$1=1,$BX$1=1,$I$1=2,ROW()=$BQ$1),"TOTALI",IFERROR(INDEX(PDC,MATCH(ROWS(BT$3:BT74),BS$3:BS471,0),2),""))))</f>
        <v/>
      </c>
      <c r="BU74" s="48">
        <f t="shared" ca="1" si="140"/>
        <v>0</v>
      </c>
      <c r="BV74" s="48">
        <f t="shared" ca="1" si="141"/>
        <v>0</v>
      </c>
      <c r="BW74" s="48">
        <f t="shared" ca="1" si="142"/>
        <v>0</v>
      </c>
      <c r="BX74" s="48">
        <f t="shared" ca="1" si="143"/>
        <v>0</v>
      </c>
      <c r="BY74" s="48">
        <f ca="1">IF(OR(BW74&gt;0,BX74&gt;0),MAX($BY$2:BY73)+1,0)</f>
        <v>0</v>
      </c>
      <c r="BZ74" s="48" t="str">
        <f ca="1">IFERROR(INDEX($BT$3:$BY$400,MATCH(ROWS(BZ$3:BZ74),$BY$3:$BY$400,0),1),"")</f>
        <v/>
      </c>
      <c r="CA74" s="48" t="str">
        <f ca="1">IFERROR(INDEX($BT$3:$BY$400,MATCH(ROWS(CA$3:CA74),$BY$3:$BY$400,0),4),"")</f>
        <v/>
      </c>
      <c r="CB74" s="48" t="str">
        <f ca="1">IFERROR(INDEX($BT$3:$BY$400,MATCH(ROWS(CB$3:CB74),$BY$3:$BY$400,0),5),"")</f>
        <v/>
      </c>
      <c r="CC74" s="48" t="str">
        <f t="shared" ca="1" si="144"/>
        <v/>
      </c>
      <c r="CD74" s="48">
        <f ca="1">IF(AND($BF$9=1,CE74&lt;&gt;0),MAX($CD$2:CD73)+1,0)</f>
        <v>0</v>
      </c>
      <c r="CE74" s="48">
        <f ca="1">IF(ROUND(SUMIFS(COPIA!$CA$3:$CA$400,COPIA!$CC$3:$CC$400,CF74)-SUMIFS(COPIA!$CB$3:$CB$400,COPIA!$CC$3:$CC$400,CF74),0)&lt;0,0,ROUND(SUMIFS(COPIA!$CA$3:$CA$400,COPIA!$CC$3:$CC$400,CF74)-SUMIFS(COPIA!$CB$3:$CB$400,COPIA!$CC$3:$CC$400,CF74),0))</f>
        <v>0</v>
      </c>
      <c r="CF74" s="48" t="s">
        <v>810</v>
      </c>
      <c r="CG74" s="242" t="s">
        <v>572</v>
      </c>
      <c r="CH74" s="242">
        <f t="shared" ca="1" si="112"/>
        <v>0</v>
      </c>
      <c r="CI74" s="242"/>
      <c r="CJ74" s="242"/>
      <c r="CL74" s="242"/>
      <c r="CM74" s="242" t="str">
        <f t="shared" ca="1" si="166"/>
        <v/>
      </c>
      <c r="CN74" s="243">
        <f t="shared" ca="1" si="167"/>
        <v>0</v>
      </c>
      <c r="CO74" s="48" t="str">
        <f t="shared" ca="1" si="168"/>
        <v/>
      </c>
      <c r="CQ74" s="247">
        <f t="shared" ca="1" si="198"/>
        <v>47484</v>
      </c>
      <c r="CR74" s="247">
        <f t="shared" ca="1" si="198"/>
        <v>47848</v>
      </c>
      <c r="CS74" s="48">
        <f t="shared" ca="1" si="200"/>
        <v>0</v>
      </c>
      <c r="CT74" s="48">
        <f t="shared" ca="1" si="201"/>
        <v>0</v>
      </c>
      <c r="CU74" s="48">
        <f ca="1">IF(SUMIFS(AVERE,DEN_G,AC74,AVERE,"&gt;"&amp;0)+SUMIFS(DARE,DEN_G,AC74,DARE,"&gt;"&amp;0)&gt;0,MAX($CU$2:CU73)+1,0)</f>
        <v>0</v>
      </c>
      <c r="CV74" s="48" t="str">
        <f ca="1">IF(IFERROR(INDEX(PDC,MATCH(ROWS($CV$3:CV74),$CU$3:$CU$400,0),2),"")="CONTO DI RISULTATO ECONOMICO","",IFERROR(INDEX(PDC,MATCH(ROWS($CV$3:CV74),$CU$3:$CU$400,0),2),""))</f>
        <v/>
      </c>
      <c r="CW74" s="48">
        <f ca="1">IFERROR(IF(CV74&lt;&gt;"",MAX($CW$2:CW73)+1,0),0)</f>
        <v>0</v>
      </c>
      <c r="CX74" s="48">
        <f t="shared" ca="1" si="191"/>
        <v>6</v>
      </c>
      <c r="CY74" s="48" t="str">
        <f t="shared" ca="1" si="169"/>
        <v>MASTRO</v>
      </c>
      <c r="CZ74" s="48" t="e">
        <f t="shared" ca="1" si="193"/>
        <v>#N/A</v>
      </c>
      <c r="DA74" s="48" t="str">
        <f t="shared" ca="1" si="199"/>
        <v/>
      </c>
      <c r="DB74" s="48" t="str">
        <f t="shared" ca="1" si="76"/>
        <v/>
      </c>
      <c r="DC74" s="48" t="str">
        <f t="shared" ca="1" si="194"/>
        <v/>
      </c>
      <c r="DD74" s="48" t="str">
        <f t="shared" ca="1" si="195"/>
        <v/>
      </c>
      <c r="DE74" s="48" t="str">
        <f t="shared" ca="1" si="196"/>
        <v/>
      </c>
      <c r="DF74" s="48">
        <f ca="1">IF(AND(CX74=$DF$1,CX74&lt;&gt;""),0,IF(AND(DB74&lt;&gt;"",OR(DB73&lt;&gt;"",DB75&lt;&gt;"")),MAX($DF$2:DF73)+1,0))</f>
        <v>0</v>
      </c>
      <c r="DH74" s="244"/>
      <c r="DI74" s="48" t="s">
        <v>1016</v>
      </c>
      <c r="DJ74" s="48" t="s">
        <v>311</v>
      </c>
      <c r="DK74" s="48" t="s">
        <v>275</v>
      </c>
      <c r="DL74" s="48" t="s">
        <v>13</v>
      </c>
      <c r="DM74" s="48" t="s">
        <v>270</v>
      </c>
      <c r="DO74" s="48" t="str">
        <f ca="1">IF($BF$9=1,"pac13","pac1")</f>
        <v>pac1</v>
      </c>
      <c r="DQ74" s="227" t="s">
        <v>44</v>
      </c>
      <c r="DR74" s="48" t="s">
        <v>43</v>
      </c>
      <c r="DS74" s="48" t="s">
        <v>312</v>
      </c>
      <c r="DT74" s="48" t="s">
        <v>275</v>
      </c>
      <c r="DU74" s="48" t="s">
        <v>6</v>
      </c>
      <c r="DV74" s="48" t="s">
        <v>270</v>
      </c>
      <c r="DW74" s="48">
        <f ca="1">IF(DR74&lt;&gt;"",MAX($DW$2:DW73)+1,0)</f>
        <v>36</v>
      </c>
      <c r="DX74" s="48" t="str">
        <f ca="1">IF($BF$9=1,"pab32db","pab3")</f>
        <v>pab3</v>
      </c>
      <c r="DY74" s="48" t="str">
        <f t="shared" ca="1" si="147"/>
        <v/>
      </c>
      <c r="DZ74" s="48" t="str">
        <f t="shared" ca="1" si="170"/>
        <v/>
      </c>
      <c r="EA74" s="48" t="str">
        <f t="shared" ca="1" si="171"/>
        <v/>
      </c>
      <c r="EB74" s="48">
        <f t="shared" ca="1" si="172"/>
        <v>0</v>
      </c>
      <c r="EC74" s="48">
        <f t="shared" ca="1" si="173"/>
        <v>0</v>
      </c>
      <c r="ED74" s="48" t="str">
        <f t="shared" ca="1" si="174"/>
        <v/>
      </c>
      <c r="EE74" s="48">
        <f t="shared" ca="1" si="175"/>
        <v>0</v>
      </c>
      <c r="EF74" s="48" t="str">
        <f t="shared" ca="1" si="176"/>
        <v/>
      </c>
      <c r="EG74" s="48">
        <f t="shared" ca="1" si="177"/>
        <v>0</v>
      </c>
      <c r="EH74" s="48" t="str">
        <f t="shared" ca="1" si="178"/>
        <v/>
      </c>
      <c r="EI74" s="48">
        <f t="shared" ca="1" si="179"/>
        <v>0</v>
      </c>
      <c r="EJ74" s="48" t="str">
        <f t="shared" ca="1" si="180"/>
        <v/>
      </c>
      <c r="EK74" s="48">
        <f t="shared" ca="1" si="181"/>
        <v>0</v>
      </c>
      <c r="EL74" s="48">
        <f t="shared" ca="1" si="148"/>
        <v>0</v>
      </c>
      <c r="EM74" s="48">
        <f ca="1">IF(EL74&gt;=0,0,MAX($EM$2:EM73)+1)</f>
        <v>0</v>
      </c>
      <c r="EN74" s="48" t="str">
        <f t="shared" ca="1" si="182"/>
        <v/>
      </c>
      <c r="EO74" s="48" t="str">
        <f ca="1">IFERROR(INDEX($EM$3:$EN$400,MATCH(ROWS($EO$3:EO74),$EM$3:$EM$400,0),2),"")</f>
        <v/>
      </c>
      <c r="EP74" s="48">
        <f>ROW()</f>
        <v>74</v>
      </c>
      <c r="EQ74" s="48">
        <f t="shared" ca="1" si="149"/>
        <v>0</v>
      </c>
      <c r="ER74" s="48">
        <f ca="1">IF(ISNA(EQ74)=TRUE,MAX($ER$2:ER73)+1,0)</f>
        <v>0</v>
      </c>
      <c r="ES74" s="48" t="str">
        <f t="shared" ca="1" si="183"/>
        <v/>
      </c>
      <c r="ET74" s="48" t="str">
        <f ca="1">IFERROR(INDEX($ER$3:$ES$400,MATCH(ROWS($ET$3:ET74),$ER$3:$ER$400,0),2),"")</f>
        <v/>
      </c>
      <c r="EV74" s="48">
        <f ca="1">IFERROR(INDEX(LIBRO_GIORNALE!$O$11:$P$408,MATCH(ROWS($EV$2:EV73),LIBRO_GIORNALE!$P$11:$P$408,0),1),0)</f>
        <v>0</v>
      </c>
      <c r="EW74" s="48" t="str">
        <f t="shared" ca="1" si="184"/>
        <v>0</v>
      </c>
      <c r="EX74" s="48">
        <f t="shared" ca="1" si="185"/>
        <v>0</v>
      </c>
      <c r="EY74" s="48">
        <f ca="1">IF(EX74&gt;0,MAX($EY$2:EY73)+1,0)</f>
        <v>0</v>
      </c>
      <c r="EZ74" s="48">
        <f ca="1">IFERROR(INDEX($EX$3:$EX$400,MATCH(ROWS($EZ$3:EZ74),$EY$3:$EY$400,0),1),0)</f>
        <v>0</v>
      </c>
      <c r="FA74" s="48">
        <f ca="1">IF(EZ74&gt;0,0,MAX($FA$2:FA73)+1)</f>
        <v>72</v>
      </c>
      <c r="FB74" s="48">
        <f t="shared" ca="1" si="186"/>
        <v>0</v>
      </c>
      <c r="FC74" s="48">
        <f t="shared" ca="1" si="187"/>
        <v>72</v>
      </c>
      <c r="FD74" s="48">
        <f t="shared" ca="1" si="188"/>
        <v>72</v>
      </c>
      <c r="FE74" s="48">
        <f ca="1">IF(FD74=0,0,MAX($FE$2:FE73)+1)</f>
        <v>72</v>
      </c>
      <c r="FF74" s="48">
        <f ca="1">IFERROR(INDEX($FD$3:$FE$400,MATCH(ROWS($FF$3:FF74),$FE$3:$FE$400,0),1),"")</f>
        <v>72</v>
      </c>
      <c r="FH74" s="48">
        <f t="shared" ca="1" si="189"/>
        <v>0</v>
      </c>
      <c r="FI74" s="48">
        <f ca="1">IF(FH74&lt;&gt;0,MAX($FI$2:FI73)+1,0)</f>
        <v>0</v>
      </c>
      <c r="FJ74" s="48" t="str">
        <f ca="1">IFERROR(INDEX($FH$3:$FI$400,MATCH(ROWS($FJ$3:FJ74),$FI$3:$FI$400,0),1),"")</f>
        <v/>
      </c>
      <c r="FK74" s="48">
        <f ca="1">IF(ABS(SUMIFS(DARE,DEN_G,"="&amp;FJ74,DATA,"&lt;="&amp;FINE_AC,DATA,"&gt;="&amp;INIZIO_A_PC)-SUMIFS(AVERE,DEN_G,"="&amp;FJ74,DATA,"&lt;="&amp;FINE_AC,DATA,"&gt;="&amp;INIZIO_A_PC))&gt;0,MAX($FK$2:FK73)+1,0)</f>
        <v>0</v>
      </c>
      <c r="FL74" s="48" t="str">
        <f ca="1">IF(AND(ROW()-2&lt;&gt;1,ROW()-2&lt;=$FK$1),CONCATENATE(" - ",IFERROR(INDEX($FJ$3:$FK$400,MATCH(ROWS($FL$3:FL74),$FK$3:$FK$400,0),1),"")),IFERROR(INDEX($FJ$3:$FK$400,MATCH(ROWS($FL$3:FL74),$FK$3:$FK$400,0),1),""))</f>
        <v/>
      </c>
      <c r="FM74" s="48">
        <f ca="1">IF(OR(B74="IVA ns/credito",B74="IVA NS/DEBITO",B74="IVA C/ACCONTO",B74="IMPOSTE C/ACCONTO",B74="CREDITI PER RITENUTE SUBITE",B74="CREDITI D'IMPOSTA"),MAX($FM$2:FM73)+1,0)</f>
        <v>0</v>
      </c>
      <c r="FN74" s="48" t="str">
        <f t="shared" ca="1" si="190"/>
        <v/>
      </c>
      <c r="FO74" s="48" t="str">
        <f ca="1">IFERROR(INDEX($FM$3:$FN$400,MATCH(ROWS($FO$3:FO74),$FM$3:$FM$400,0),2),"")</f>
        <v/>
      </c>
      <c r="FP74" s="48">
        <f ca="1">IF(ABS(SUMIFS(DARE,DEN_G,"="&amp;FO74,DATA,"&lt;="&amp;FINE_AC,DATA,"&gt;="&amp;INIZIO_A_PC)-SUMIFS(AVERE,DEN_G,"="&amp;FO74,DATA,"&lt;="&amp;FINE_AC,DATA,"&gt;="&amp;INIZIO_A_PC))&gt;0,MAX($FP$2:FP73)+1,0)</f>
        <v>0</v>
      </c>
      <c r="FQ74" s="48" t="str">
        <f ca="1">IF(AND(ROW()-2&lt;&gt;1,ROW()-2&lt;=$FP$1),CONCATENATE(" - ",IFERROR(INDEX($FO$3:$FP$400,MATCH(ROWS($FQ$3:FQ74),$FP$3:$FP$400,0),1),"")),IFERROR(INDEX($FO$3:$FP$400,MATCH(ROWS($FQ$3:FQ74),$FP$3:$FP$400,0),1),""))</f>
        <v/>
      </c>
    </row>
    <row r="75" spans="1:173" x14ac:dyDescent="0.3">
      <c r="A75" s="48" t="str">
        <f ca="1">IFERROR(IF($A$1=2,INDEX($DH$3:$DN$401,MATCH(ROWS(A$3:A75),$DN$3:$DN$401,0),COLUMN()),IF($A$1=1,INDEX($DQ$3:$DW$401,MATCH(ROWS(A$3:A75),$DW$3:$DW$401,0),COLUMN()),"")),"")</f>
        <v>06.00</v>
      </c>
      <c r="B75" s="48" t="str">
        <f ca="1">IFERROR(IF($A$1=2,INDEX($DH$3:$DN$401,MATCH(ROWS(B$3:B75),$DN$3:$DN$401,0),COLUMN()),IF($A$1=1,INDEX($DQ$3:$DW$400,MATCH(ROWS(B$3:B75),$DW$3:$DW$401,0),COLUMN()),"")),"")</f>
        <v>CREDITI DIVERSI</v>
      </c>
      <c r="C75" s="48">
        <f ca="1">IFERROR(IF($A$1=2,INDEX($DH$3:$DN$401,MATCH(ROWS(C$3:C75),$DN$3:$DN$401,0),COLUMN()),IF($A$1=1,INDEX($DQ$3:$DW$401,MATCH(ROWS(C$3:C75),$DW$3:$DW$401,0),COLUMN()),"")),"")</f>
        <v>0</v>
      </c>
      <c r="D75" s="48">
        <f ca="1">IFERROR(IF($A$1=2,INDEX($DH$3:$DN$401,MATCH(ROWS(D$3:D75),$DN$3:$DN$401,0),COLUMN()),IF($A$1=1,INDEX($DQ$3:$DW$401,MATCH(ROWS(D$3:D75),$DW$3:$DW$401,0),COLUMN()),"")),"")</f>
        <v>0</v>
      </c>
      <c r="E75" s="48">
        <f ca="1">IFERROR(IF($A$1=2,INDEX($DH$3:$DN$401,MATCH(ROWS(E$3:E75),$DN$3:$DN$401,0),COLUMN()),IF($A$1=1,INDEX($DQ$3:$DW$401,MATCH(ROWS(E$3:E75),$DW$3:$DW$401,0),COLUMN()),"")),"")</f>
        <v>0</v>
      </c>
      <c r="F75" s="48">
        <f ca="1">IFERROR(IF($A$1=2,INDEX($DH$3:$DN$401,MATCH(ROWS(F$3:F75),$DN$3:$DN$401,0),COLUMN()),IF($A$1=1,INDEX($DQ$3:$DX$401,MATCH(ROWS(F$3:F75),$DW$3:$DW$401,0),COLUMN()),"")),"")</f>
        <v>0</v>
      </c>
      <c r="G75" s="48" t="str">
        <f t="shared" ca="1" si="150"/>
        <v>0</v>
      </c>
      <c r="H75" s="48">
        <f ca="1">IFERROR(IF($A$1=2,INDEX($DH$3:$DO$400,MATCH(ROWS(H$3:H75),$DN$3:$DN$400,0),COLUMN()),IF($A$1=1,INDEX($DQ$3:$DX$400,MATCH(ROWS(H$3:H75),$DW$3:$DW$400,0),COLUMN()),"")),"")</f>
        <v>0</v>
      </c>
      <c r="I75" s="48" t="str">
        <f t="shared" ca="1" si="151"/>
        <v/>
      </c>
      <c r="J75" s="48" t="str">
        <f t="shared" ca="1" si="152"/>
        <v/>
      </c>
      <c r="K75" s="48">
        <f t="shared" ca="1" si="153"/>
        <v>0</v>
      </c>
      <c r="L75" s="48">
        <f t="shared" ca="1" si="154"/>
        <v>0</v>
      </c>
      <c r="M75" s="48">
        <f ca="1">IFERROR(IF(IF(MID($A75,3,3)=".00",MID(A75,1,2),"")&lt;&gt;"",MAX($M$2:M74)+1,0),"")</f>
        <v>7</v>
      </c>
      <c r="N75" s="48" t="str">
        <f t="shared" ca="1" si="155"/>
        <v>06</v>
      </c>
      <c r="O75" s="48">
        <v>25</v>
      </c>
      <c r="P75" s="48" t="str">
        <f t="shared" ca="1" si="156"/>
        <v/>
      </c>
      <c r="Q75" s="48">
        <f ca="1">IF(M75&gt;=1,0,MAX($Q$2:Q74)+1)</f>
        <v>0</v>
      </c>
      <c r="U75" s="48" t="str">
        <f ca="1">IFERROR(INDEX(PDC,MATCH(ROWS(U$3:U75),$V$3:$V$400,0),2),"")</f>
        <v>CREDITI D'IMPOSTA</v>
      </c>
      <c r="V75" s="48">
        <f ca="1">IF(AND($T$1="VISUALIZZA TUTTI I CONTI",AA75&lt;&gt;""),MAX($V$2:V74)+1,IF(AND($U$2=2,AI75=$T$1),MAX($V$2:V74)+1,IF(AND($U$2=1,$T$1=AF75),MAX($V$2:V74)+1,0)))</f>
        <v>73</v>
      </c>
      <c r="Z75" s="246"/>
      <c r="AA75" s="48" t="str">
        <f t="shared" ca="1" si="157"/>
        <v>06.00</v>
      </c>
      <c r="AB75" s="48" t="str">
        <f ca="1">IFERROR(INDEX($A$3:$G$400,MATCH(ROWS(AB$3:AB75),$Q$3:$Q$400,0),1),"")</f>
        <v>06.07</v>
      </c>
      <c r="AC75" s="48" t="str">
        <f ca="1">IFERROR(INDEX($A$3:$G$400,MATCH(ROWS($AC$3:AC75),$Q$3:$Q$400,0),2),"")</f>
        <v>CREDITI D'IMPOSTA</v>
      </c>
      <c r="AD75" s="48" t="str">
        <f ca="1">IFERROR(INDEX($A$3:$G$400,MATCH(ROWS(AD$3:AD75),$Q$3:$Q$400,0),3),"")</f>
        <v>F</v>
      </c>
      <c r="AE75" s="48" t="str">
        <f ca="1">IFERROR(INDEX($A$3:$G$400,MATCH(ROWS(AE$3:AE75),$Q$3:$Q$400,0),4),"")</f>
        <v>D</v>
      </c>
      <c r="AF75" s="48" t="str">
        <f ca="1">IFERROR(INDEX($A$3:$G$400,MATCH(ROWS(AF$3:AF75),$Q$3:$Q$400,0),5),"")</f>
        <v>CREDITI</v>
      </c>
      <c r="AG75" s="48" t="str">
        <f ca="1">IFERROR(INDEX($A$3:$G$400,MATCH(ROWS(AG$3:AG75),$Q$3:$Q$400,0),6),"")</f>
        <v>SP DARE</v>
      </c>
      <c r="AH75" s="48" t="str">
        <f ca="1">IFERROR(INDEX($A$3:$G$400,MATCH(ROWS(AH$3:AH75),$Q$3:$Q$400,0),7),"")</f>
        <v>SP</v>
      </c>
      <c r="AI75" s="48" t="str">
        <f t="shared" ca="1" si="158"/>
        <v>CREDITI DIVERSI</v>
      </c>
      <c r="AJ75" s="48" t="str">
        <f ca="1">IFERROR(INDEX($A$3:$H$400,MATCH(ROWS(AJ$3:AJ75),$Q$3:$Q$400,0),8),"")</f>
        <v>pac2</v>
      </c>
      <c r="AK75" s="48">
        <f t="shared" ca="1" si="130"/>
        <v>0</v>
      </c>
      <c r="AL75" s="48">
        <f t="shared" ca="1" si="131"/>
        <v>0</v>
      </c>
      <c r="AM75" s="48">
        <f t="shared" ca="1" si="159"/>
        <v>0</v>
      </c>
      <c r="AN75" s="48" t="str">
        <f t="shared" ca="1" si="160"/>
        <v/>
      </c>
      <c r="AO75" s="48">
        <f t="shared" ca="1" si="161"/>
        <v>0</v>
      </c>
      <c r="AP75" s="48">
        <f t="shared" ca="1" si="161"/>
        <v>0</v>
      </c>
      <c r="AQ75" s="48" t="str">
        <f t="shared" ca="1" si="132"/>
        <v>CREDITI D'IMPOSTA</v>
      </c>
      <c r="AR75" s="48">
        <f t="shared" ca="1" si="133"/>
        <v>0</v>
      </c>
      <c r="AS75" s="48">
        <f t="shared" ca="1" si="134"/>
        <v>0</v>
      </c>
      <c r="AT75" s="48">
        <f t="shared" ca="1" si="162"/>
        <v>0</v>
      </c>
      <c r="AU75" s="48">
        <f t="shared" ca="1" si="163"/>
        <v>0</v>
      </c>
      <c r="AV75" s="48">
        <f ca="1">IF(OR(AT75&gt;0,AU75&gt;0),MAX($AV$2:AV74)+1,0)</f>
        <v>0</v>
      </c>
      <c r="AZ75" s="241" t="str">
        <f t="shared" ca="1" si="164"/>
        <v/>
      </c>
      <c r="BA75" s="48">
        <f t="shared" ca="1" si="135"/>
        <v>0</v>
      </c>
      <c r="BB75" s="48">
        <f ca="1">IFERROR(INDEX($AQ$3:$AV$220,MATCH(ROWS($BB$3:BB75),$AV$3:$AV$220,0),1),0)</f>
        <v>0</v>
      </c>
      <c r="BC75" s="48" t="str">
        <f t="shared" ca="1" si="165"/>
        <v/>
      </c>
      <c r="BD75" s="48">
        <f ca="1">IFERROR(INDEX($AQ$3:$AV$220,MATCH(ROWS($BB$3:BD75),$AV$3:$AV$220,0),4),0)</f>
        <v>0</v>
      </c>
      <c r="BE75" s="48">
        <f ca="1">IFERROR(INDEX($AQ$3:$AV$220,MATCH(ROWS($BB$3:BE75),$AV$3:$AV$220,0),5),0)</f>
        <v>0</v>
      </c>
      <c r="BG75" s="48">
        <f ca="1">IF(IF(AND(OR(INDEX(PDC,MATCH($AC75,DEN_PDC,0),6)="SP DARE",INDEX(PDC,MATCH($AC75,DEN_PDC,0),6)="SP DARE/AVERE"),SUMIFS(DARE,DEN_G,$AC75)&gt;=SUMIFS(AVERE,DEN_G,$AC75)),SUMIFS(DARE,DEN_G,$AC75)-SUMIFS(AVERE,DEN_G,$AC75),0)&gt;0,MAX($BG$2:BG74)+1,0)</f>
        <v>0</v>
      </c>
      <c r="BH75" s="48">
        <f ca="1">IF(IF(AND(OR(INDEX(PDC,MATCH($AC75,DEN_PDC,0),6)="SP AVERE",INDEX(PDC,MATCH($AC75,DEN_PDC,0),6)="SP DARE/AVERE"),SUMIFS(AVERE,DEN_G,$AC75)&gt;=SUMIFS(DARE,DEN_G,$AC75)),SUMIFS(AVERE,DEN_G,$AC75)-SUMIFS(DARE,DEN_G,$AC75),0)&gt;0,MAX(BH$2:BH74)+1,0)</f>
        <v>0</v>
      </c>
      <c r="BI75" s="48">
        <f ca="1">IF(IF(AND(OR(INDEX(PDC,MATCH($AC75,DEN_PDC,0),6)="SE DARE",INDEX(PDC,MATCH($AC75,DEN_PDC,0),6)="SE DARE/AVERE"),SUMIFS(DARE,DEN_G,$AC75)&gt;=SUMIFS(AVERE,DEN_G,$AC75)),SUMIFS(DARE,DEN_G,$AC75)-SUMIFS(AVERE,DEN_G,$AC75),0)&gt;0,MAX(BI$2:BI74)+1,0)</f>
        <v>0</v>
      </c>
      <c r="BJ75" s="48">
        <f ca="1">IF(IF(AND(OR(INDEX(PDC,MATCH($AC75,DEN_PDC,0),6)="SE AVERE",INDEX(PDC,MATCH($AC75,DEN_PDC,0),6)="SE DARE/AVERE"),SUMIFS(AVERE,DEN_G,$AC75)&gt;=SUMIFS(DARE,DEN_G,$AC75)),SUMIFS(AVERE,DEN_G,$AC75)-SUMIFS(DARE,DEN_G,$AC75),0)&gt;0,MAX(BJ$2:BJ74)+1,0)</f>
        <v>0</v>
      </c>
      <c r="BK75" s="48" t="str">
        <f ca="1">IF(AND(AND($DY$2=0,$DY$1=0),$I$1=2,ROW()&gt;$BG$1+2,ROW()&lt;=$BG$1+4),"………………..",IF(AND(OR($DY$2&gt;0,$DY$1&gt;0),$I$1=2,ROW()&gt;$BG$1+2,ROW()&lt;=$BG$1+4),"………………..",IFERROR(INDEX($AC$3:$AC$398,MATCH(ROWS(BK$3:BK75),BG$3:BG$398,0),1),"")))</f>
        <v/>
      </c>
      <c r="BL75" s="48">
        <f t="shared" ca="1" si="136"/>
        <v>0</v>
      </c>
      <c r="BM75" s="48" t="str">
        <f ca="1">IF(AND(OR($DY$2=0,$DY$1=0),$I$1=2,ROW()&gt;$BH$1+2,ROW()&lt;=$BH$1+4),"………………..",IF(AND(OR($DY$2&gt;0,$DY$1&gt;0),$I$1=2,ROW()&gt;$BH$1+2,ROW()&lt;=$BH$1+4),"………………..",IFERROR(INDEX($AC$3:$AC$400,MATCH(ROWS(BM$3:BM75),BH$3:BH$400,0),1),"")))</f>
        <v/>
      </c>
      <c r="BN75" s="48">
        <f t="shared" ca="1" si="137"/>
        <v>0</v>
      </c>
      <c r="BO75" s="48" t="str">
        <f ca="1">IF(AND(OR($DY$2=0,$DY$1=0),$I$1=2,ROW()&gt;$BI$1+2,ROW()&lt;=$BI$1+4),"………………..",IF(AND(OR($DY$2&gt;0,$DY$1&gt;0),$I$1=2,ROW()&gt;$BI$1+2,ROW()&lt;=$BI$1+4),"………………..",IFERROR(INDEX($AC$3:$AC$400,MATCH(ROWS(BO$3:BO75),BI$3:BI$400,0),1),"")))</f>
        <v/>
      </c>
      <c r="BP75" s="48">
        <f t="shared" ca="1" si="138"/>
        <v>0</v>
      </c>
      <c r="BQ75" s="48" t="str">
        <f ca="1">IF(AND(OR($DY$2=0,$DY$1=0),$I$1=2,ROW()&gt;$BJ$1+2,ROW()&lt;=$BJ$1+4),"………………..",IF(AND(OR($DY$2&gt;0,$DY$1&gt;0),$I$1=2,ROW()&gt;$BJ$1+2,ROW()&lt;=$BJ$1+4),"………………..",IFERROR(INDEX($AC$3:$AC$400,MATCH(ROWS(BQ$3:BQ75),BJ$3:BJ$400,0),1),"")))</f>
        <v/>
      </c>
      <c r="BR75" s="48">
        <f t="shared" ca="1" si="139"/>
        <v>0</v>
      </c>
      <c r="BS75" s="48">
        <f ca="1">IF(IF(AND(OR(INDEX(PDC,MATCH($AC75,DEN_PDC,0),4)="D",INDEX(PDC,MATCH($AC75,DEN_PDC,0),4)="D/A"),SUMIFS(DARE,DEN_G,$AC75)&gt;=SUMIFS(AVERE,DEN_G,$AC75)),SUMIFS(DARE,DEN_G,$AC75),IF(AND(OR(INDEX(PDC,MATCH($AC75,DEN_PDC,0),4)="A",INDEX(PDC,MATCH($AC75,DEN_PDC,0),4)="D/A"),SUMIFS(AVERE,DEN_G,$AC75)&gt;=SUMIFS(DARE,DEN_G,$AC75)),SUMIFS(AVERE,DEN_G,$AC75),))&gt;0,MAX($BS$2:BS74)+1,0)</f>
        <v>0</v>
      </c>
      <c r="BT75" s="48" t="str">
        <f ca="1">IF($CO$1=0,"",IF(AND($I$1=2,ROW()&gt;$BR$1,ROW()&lt;=$BS$1)," …………….",IF(AND($E$1=1,$BX$1=1,$I$1=2,ROW()=$BQ$1),"TOTALI",IFERROR(INDEX(PDC,MATCH(ROWS(BT$3:BT75),BS$3:BS472,0),2),""))))</f>
        <v/>
      </c>
      <c r="BU75" s="48">
        <f t="shared" ca="1" si="140"/>
        <v>0</v>
      </c>
      <c r="BV75" s="48">
        <f t="shared" ca="1" si="141"/>
        <v>0</v>
      </c>
      <c r="BW75" s="48">
        <f t="shared" ca="1" si="142"/>
        <v>0</v>
      </c>
      <c r="BX75" s="48">
        <f t="shared" ca="1" si="143"/>
        <v>0</v>
      </c>
      <c r="BY75" s="48">
        <f ca="1">IF(OR(BW75&gt;0,BX75&gt;0),MAX($BY$2:BY74)+1,0)</f>
        <v>0</v>
      </c>
      <c r="BZ75" s="48" t="str">
        <f ca="1">IFERROR(INDEX($BT$3:$BY$400,MATCH(ROWS(BZ$3:BZ75),$BY$3:$BY$400,0),1),"")</f>
        <v/>
      </c>
      <c r="CA75" s="48" t="str">
        <f ca="1">IFERROR(INDEX($BT$3:$BY$400,MATCH(ROWS(CA$3:CA75),$BY$3:$BY$400,0),4),"")</f>
        <v/>
      </c>
      <c r="CB75" s="48" t="str">
        <f ca="1">IFERROR(INDEX($BT$3:$BY$400,MATCH(ROWS(CB$3:CB75),$BY$3:$BY$400,0),5),"")</f>
        <v/>
      </c>
      <c r="CC75" s="48" t="str">
        <f t="shared" ca="1" si="144"/>
        <v/>
      </c>
      <c r="CD75" s="48">
        <f ca="1">IF(AND($BF$9=1,CE75&lt;&gt;0),MAX($CD$2:CD74)+1,0)</f>
        <v>0</v>
      </c>
      <c r="CE75" s="48">
        <f ca="1">IF(ROUND(SUMIFS(COPIA!$CA$3:$CA$400,COPIA!$CC$3:$CC$400,CF75)-SUMIFS(COPIA!$CB$3:$CB$400,COPIA!$CC$3:$CC$400,CF75),0)&lt;0,0,ROUND(SUMIFS(COPIA!$CA$3:$CA$400,COPIA!$CC$3:$CC$400,CF75)-SUMIFS(COPIA!$CB$3:$CB$400,COPIA!$CC$3:$CC$400,CF75),0))</f>
        <v>0</v>
      </c>
      <c r="CF75" s="48" t="s">
        <v>641</v>
      </c>
      <c r="CG75" s="242" t="s">
        <v>533</v>
      </c>
      <c r="CH75" s="242">
        <f t="shared" ca="1" si="112"/>
        <v>0</v>
      </c>
      <c r="CI75" s="242"/>
      <c r="CJ75" s="242"/>
      <c r="CL75" s="242"/>
      <c r="CM75" s="242" t="str">
        <f t="shared" ca="1" si="166"/>
        <v/>
      </c>
      <c r="CN75" s="243">
        <f t="shared" ca="1" si="167"/>
        <v>0</v>
      </c>
      <c r="CO75" s="48" t="str">
        <f t="shared" ca="1" si="168"/>
        <v/>
      </c>
      <c r="CQ75" s="247">
        <f ca="1">CQ48</f>
        <v>47849</v>
      </c>
      <c r="CR75" s="247">
        <f t="shared" ref="CR75" ca="1" si="202">CR48</f>
        <v>48213</v>
      </c>
      <c r="CS75" s="48">
        <f t="shared" ca="1" si="200"/>
        <v>0</v>
      </c>
      <c r="CT75" s="48">
        <f t="shared" ca="1" si="201"/>
        <v>0</v>
      </c>
      <c r="CU75" s="48">
        <f ca="1">IF(SUMIFS(AVERE,DEN_G,AC75,AVERE,"&gt;"&amp;0)+SUMIFS(DARE,DEN_G,AC75,DARE,"&gt;"&amp;0)&gt;0,MAX($CU$2:CU74)+1,0)</f>
        <v>0</v>
      </c>
      <c r="CV75" s="48" t="str">
        <f ca="1">IF(IFERROR(INDEX(PDC,MATCH(ROWS($CV$3:CV75),$CU$3:$CU$400,0),2),"")="CONTO DI RISULTATO ECONOMICO","",IFERROR(INDEX(PDC,MATCH(ROWS($CV$3:CV75),$CU$3:$CU$400,0),2),""))</f>
        <v/>
      </c>
      <c r="CW75" s="48">
        <f ca="1">IFERROR(IF(CV75&lt;&gt;"",MAX($CW$2:CW74)+1,0),0)</f>
        <v>0</v>
      </c>
      <c r="CX75" s="48">
        <f t="shared" ca="1" si="191"/>
        <v>6</v>
      </c>
      <c r="CY75" s="48" t="str">
        <f t="shared" ca="1" si="169"/>
        <v>MASTRO</v>
      </c>
      <c r="CZ75" s="48" t="e">
        <f t="shared" ca="1" si="193"/>
        <v>#N/A</v>
      </c>
      <c r="DA75" s="48" t="str">
        <f t="shared" ca="1" si="199"/>
        <v/>
      </c>
      <c r="DB75" s="48" t="str">
        <f t="shared" ca="1" si="76"/>
        <v/>
      </c>
      <c r="DC75" s="48" t="str">
        <f t="shared" ca="1" si="194"/>
        <v/>
      </c>
      <c r="DD75" s="48" t="str">
        <f t="shared" ca="1" si="195"/>
        <v/>
      </c>
      <c r="DE75" s="48" t="str">
        <f t="shared" ca="1" si="196"/>
        <v/>
      </c>
      <c r="DF75" s="48">
        <f ca="1">IF(AND(CX75=$DF$1,CX75&lt;&gt;""),0,IF(AND(DB75&lt;&gt;"",OR(DB74&lt;&gt;"",DB76&lt;&gt;"")),MAX($DF$2:DF74)+1,0))</f>
        <v>0</v>
      </c>
      <c r="DH75" s="244" t="s">
        <v>364</v>
      </c>
      <c r="DI75" s="48" t="s">
        <v>365</v>
      </c>
      <c r="DJ75" s="48" t="s">
        <v>311</v>
      </c>
      <c r="DK75" s="48" t="s">
        <v>275</v>
      </c>
      <c r="DL75" s="48" t="s">
        <v>13</v>
      </c>
      <c r="DM75" s="48" t="s">
        <v>270</v>
      </c>
      <c r="DN75" s="48">
        <f ca="1">IF(DI75&lt;&gt;"",MAX($DN$2:DN74)+1,0)</f>
        <v>57</v>
      </c>
      <c r="DO75" s="48" t="str">
        <f ca="1">IF($BF$9=1,"pac14","pac1")</f>
        <v>pac1</v>
      </c>
      <c r="DW75" s="48">
        <f>IF(DR75&lt;&gt;"",MAX($DW$2:DW74)+1,0)</f>
        <v>0</v>
      </c>
      <c r="DY75" s="48" t="str">
        <f t="shared" ca="1" si="147"/>
        <v/>
      </c>
      <c r="DZ75" s="48" t="str">
        <f t="shared" ca="1" si="170"/>
        <v/>
      </c>
      <c r="EA75" s="48" t="str">
        <f t="shared" ca="1" si="171"/>
        <v/>
      </c>
      <c r="EB75" s="48">
        <f t="shared" ca="1" si="172"/>
        <v>0</v>
      </c>
      <c r="EC75" s="48">
        <f t="shared" ca="1" si="173"/>
        <v>0</v>
      </c>
      <c r="ED75" s="48" t="str">
        <f t="shared" ca="1" si="174"/>
        <v/>
      </c>
      <c r="EE75" s="48">
        <f t="shared" ca="1" si="175"/>
        <v>0</v>
      </c>
      <c r="EF75" s="48" t="str">
        <f t="shared" ca="1" si="176"/>
        <v/>
      </c>
      <c r="EG75" s="48">
        <f t="shared" ca="1" si="177"/>
        <v>0</v>
      </c>
      <c r="EH75" s="48" t="str">
        <f t="shared" ca="1" si="178"/>
        <v/>
      </c>
      <c r="EI75" s="48">
        <f t="shared" ca="1" si="179"/>
        <v>0</v>
      </c>
      <c r="EJ75" s="48" t="str">
        <f t="shared" ca="1" si="180"/>
        <v/>
      </c>
      <c r="EK75" s="48">
        <f t="shared" ca="1" si="181"/>
        <v>0</v>
      </c>
      <c r="EL75" s="48">
        <f t="shared" ca="1" si="148"/>
        <v>0</v>
      </c>
      <c r="EM75" s="48">
        <f ca="1">IF(EL75&gt;=0,0,MAX($EM$2:EM74)+1)</f>
        <v>0</v>
      </c>
      <c r="EN75" s="48" t="str">
        <f t="shared" ca="1" si="182"/>
        <v/>
      </c>
      <c r="EO75" s="48" t="str">
        <f ca="1">IFERROR(INDEX($EM$3:$EN$400,MATCH(ROWS($EO$3:EO75),$EM$3:$EM$400,0),2),"")</f>
        <v/>
      </c>
      <c r="EP75" s="48">
        <f>ROW()</f>
        <v>75</v>
      </c>
      <c r="EQ75" s="48">
        <f t="shared" ca="1" si="149"/>
        <v>0</v>
      </c>
      <c r="ER75" s="48">
        <f ca="1">IF(ISNA(EQ75)=TRUE,MAX($ER$2:ER74)+1,0)</f>
        <v>0</v>
      </c>
      <c r="ES75" s="48" t="str">
        <f t="shared" ca="1" si="183"/>
        <v/>
      </c>
      <c r="ET75" s="48" t="str">
        <f ca="1">IFERROR(INDEX($ER$3:$ES$400,MATCH(ROWS($ET$3:ET75),$ER$3:$ER$400,0),2),"")</f>
        <v/>
      </c>
      <c r="EV75" s="48">
        <f ca="1">IFERROR(INDEX(LIBRO_GIORNALE!$O$11:$P$408,MATCH(ROWS($EV$2:EV74),LIBRO_GIORNALE!$P$11:$P$408,0),1),0)</f>
        <v>0</v>
      </c>
      <c r="EW75" s="48" t="str">
        <f t="shared" ca="1" si="184"/>
        <v>0</v>
      </c>
      <c r="EX75" s="48">
        <f t="shared" ca="1" si="185"/>
        <v>0</v>
      </c>
      <c r="EY75" s="48">
        <f ca="1">IF(EX75&gt;0,MAX($EY$2:EY74)+1,0)</f>
        <v>0</v>
      </c>
      <c r="EZ75" s="48">
        <f ca="1">IFERROR(INDEX($EX$3:$EX$400,MATCH(ROWS($EZ$3:EZ75),$EY$3:$EY$400,0),1),0)</f>
        <v>0</v>
      </c>
      <c r="FA75" s="48">
        <f ca="1">IF(EZ75&gt;0,0,MAX($FA$2:FA74)+1)</f>
        <v>73</v>
      </c>
      <c r="FB75" s="48">
        <f t="shared" ca="1" si="186"/>
        <v>0</v>
      </c>
      <c r="FC75" s="48">
        <f t="shared" ca="1" si="187"/>
        <v>73</v>
      </c>
      <c r="FD75" s="48">
        <f t="shared" ca="1" si="188"/>
        <v>73</v>
      </c>
      <c r="FE75" s="48">
        <f ca="1">IF(FD75=0,0,MAX($FE$2:FE74)+1)</f>
        <v>73</v>
      </c>
      <c r="FF75" s="48">
        <f ca="1">IFERROR(INDEX($FD$3:$FE$400,MATCH(ROWS($FF$3:FF75),$FE$3:$FE$400,0),1),"")</f>
        <v>73</v>
      </c>
      <c r="FH75" s="48">
        <f t="shared" ca="1" si="189"/>
        <v>0</v>
      </c>
      <c r="FI75" s="48">
        <f ca="1">IF(FH75&lt;&gt;0,MAX($FI$2:FI74)+1,0)</f>
        <v>0</v>
      </c>
      <c r="FJ75" s="48" t="str">
        <f ca="1">IFERROR(INDEX($FH$3:$FI$400,MATCH(ROWS($FJ$3:FJ75),$FI$3:$FI$400,0),1),"")</f>
        <v/>
      </c>
      <c r="FK75" s="48">
        <f ca="1">IF(ABS(SUMIFS(DARE,DEN_G,"="&amp;FJ75,DATA,"&lt;="&amp;FINE_AC,DATA,"&gt;="&amp;INIZIO_A_PC)-SUMIFS(AVERE,DEN_G,"="&amp;FJ75,DATA,"&lt;="&amp;FINE_AC,DATA,"&gt;="&amp;INIZIO_A_PC))&gt;0,MAX($FK$2:FK74)+1,0)</f>
        <v>0</v>
      </c>
      <c r="FL75" s="48" t="str">
        <f ca="1">IF(AND(ROW()-2&lt;&gt;1,ROW()-2&lt;=$FK$1),CONCATENATE(" - ",IFERROR(INDEX($FJ$3:$FK$400,MATCH(ROWS($FL$3:FL75),$FK$3:$FK$400,0),1),"")),IFERROR(INDEX($FJ$3:$FK$400,MATCH(ROWS($FL$3:FL75),$FK$3:$FK$400,0),1),""))</f>
        <v/>
      </c>
      <c r="FM75" s="48">
        <f ca="1">IF(OR(B75="IVA ns/credito",B75="IVA NS/DEBITO",B75="IVA C/ACCONTO",B75="IMPOSTE C/ACCONTO",B75="CREDITI PER RITENUTE SUBITE",B75="CREDITI D'IMPOSTA"),MAX($FM$2:FM74)+1,0)</f>
        <v>0</v>
      </c>
      <c r="FN75" s="48" t="str">
        <f t="shared" ca="1" si="190"/>
        <v/>
      </c>
      <c r="FO75" s="48" t="str">
        <f ca="1">IFERROR(INDEX($FM$3:$FN$400,MATCH(ROWS($FO$3:FO75),$FM$3:$FM$400,0),2),"")</f>
        <v/>
      </c>
      <c r="FP75" s="48">
        <f ca="1">IF(ABS(SUMIFS(DARE,DEN_G,"="&amp;FO75,DATA,"&lt;="&amp;FINE_AC,DATA,"&gt;="&amp;INIZIO_A_PC)-SUMIFS(AVERE,DEN_G,"="&amp;FO75,DATA,"&lt;="&amp;FINE_AC,DATA,"&gt;="&amp;INIZIO_A_PC))&gt;0,MAX($FP$2:FP74)+1,0)</f>
        <v>0</v>
      </c>
      <c r="FQ75" s="48" t="str">
        <f ca="1">IF(AND(ROW()-2&lt;&gt;1,ROW()-2&lt;=$FP$1),CONCATENATE(" - ",IFERROR(INDEX($FO$3:$FP$400,MATCH(ROWS($FQ$3:FQ75),$FP$3:$FP$400,0),1),"")),IFERROR(INDEX($FO$3:$FP$400,MATCH(ROWS($FQ$3:FQ75),$FP$3:$FP$400,0),1),""))</f>
        <v/>
      </c>
    </row>
    <row r="76" spans="1:173" x14ac:dyDescent="0.3">
      <c r="A76" s="48" t="str">
        <f ca="1">IFERROR(IF($A$1=2,INDEX($DH$3:$DN$401,MATCH(ROWS(A$3:A76),$DN$3:$DN$401,0),COLUMN()),IF($A$1=1,INDEX($DQ$3:$DW$401,MATCH(ROWS(A$3:A76),$DW$3:$DW$401,0),COLUMN()),"")),"")</f>
        <v>06.01</v>
      </c>
      <c r="B76" s="48" t="str">
        <f ca="1">IFERROR(IF($A$1=2,INDEX($DH$3:$DN$401,MATCH(ROWS(B$3:B76),$DN$3:$DN$401,0),COLUMN()),IF($A$1=1,INDEX($DQ$3:$DW$400,MATCH(ROWS(B$3:B76),$DW$3:$DW$401,0),COLUMN()),"")),"")</f>
        <v>IVA NS/CREDITO</v>
      </c>
      <c r="C76" s="48" t="str">
        <f ca="1">IFERROR(IF($A$1=2,INDEX($DH$3:$DN$401,MATCH(ROWS(C$3:C76),$DN$3:$DN$401,0),COLUMN()),IF($A$1=1,INDEX($DQ$3:$DW$401,MATCH(ROWS(C$3:C76),$DW$3:$DW$401,0),COLUMN()),"")),"")</f>
        <v>F</v>
      </c>
      <c r="D76" s="48" t="str">
        <f ca="1">IFERROR(IF($A$1=2,INDEX($DH$3:$DN$401,MATCH(ROWS(D$3:D76),$DN$3:$DN$401,0),COLUMN()),IF($A$1=1,INDEX($DQ$3:$DW$401,MATCH(ROWS(D$3:D76),$DW$3:$DW$401,0),COLUMN()),"")),"")</f>
        <v>D</v>
      </c>
      <c r="E76" s="48" t="str">
        <f ca="1">IFERROR(IF($A$1=2,INDEX($DH$3:$DN$401,MATCH(ROWS(E$3:E76),$DN$3:$DN$401,0),COLUMN()),IF($A$1=1,INDEX($DQ$3:$DW$401,MATCH(ROWS(E$3:E76),$DW$3:$DW$401,0),COLUMN()),"")),"")</f>
        <v>CREDITI</v>
      </c>
      <c r="F76" s="48" t="str">
        <f ca="1">IFERROR(IF($A$1=2,INDEX($DH$3:$DN$401,MATCH(ROWS(F$3:F76),$DN$3:$DN$401,0),COLUMN()),IF($A$1=1,INDEX($DQ$3:$DX$401,MATCH(ROWS(F$3:F76),$DW$3:$DW$401,0),COLUMN()),"")),"")</f>
        <v>SP DARE</v>
      </c>
      <c r="G76" s="48" t="str">
        <f t="shared" ca="1" si="150"/>
        <v>SP</v>
      </c>
      <c r="H76" s="48" t="str">
        <f ca="1">IFERROR(IF($A$1=2,INDEX($DH$3:$DO$400,MATCH(ROWS(H$3:H76),$DN$3:$DN$400,0),COLUMN()),IF($A$1=1,INDEX($DQ$3:$DX$400,MATCH(ROWS(H$3:H76),$DW$3:$DW$400,0),COLUMN()),"")),"")</f>
        <v>pac2</v>
      </c>
      <c r="I76" s="48" t="str">
        <f t="shared" ca="1" si="151"/>
        <v/>
      </c>
      <c r="J76" s="48" t="str">
        <f t="shared" ca="1" si="152"/>
        <v/>
      </c>
      <c r="K76" s="48">
        <f t="shared" ca="1" si="153"/>
        <v>0</v>
      </c>
      <c r="L76" s="48">
        <f t="shared" ca="1" si="154"/>
        <v>0</v>
      </c>
      <c r="M76" s="48">
        <f ca="1">IFERROR(IF(IF(MID($A76,3,3)=".00",MID(A76,1,2),"")&lt;&gt;"",MAX($M$2:M75)+1,0),"")</f>
        <v>0</v>
      </c>
      <c r="N76" s="48" t="str">
        <f t="shared" ca="1" si="155"/>
        <v/>
      </c>
      <c r="O76" s="48">
        <v>26</v>
      </c>
      <c r="P76" s="48" t="str">
        <f t="shared" ca="1" si="156"/>
        <v/>
      </c>
      <c r="Q76" s="48">
        <f ca="1">IF(M76&gt;=1,0,MAX($Q$2:Q75)+1)</f>
        <v>67</v>
      </c>
      <c r="U76" s="48" t="str">
        <f ca="1">IFERROR(INDEX(PDC,MATCH(ROWS(U$3:U76),$V$3:$V$400,0),2),"")</f>
        <v>CREDITI V/ISTITUTI PREVIDENZIALI</v>
      </c>
      <c r="V76" s="48">
        <f ca="1">IF(AND($T$1="VISUALIZZA TUTTI I CONTI",AA76&lt;&gt;""),MAX($V$2:V75)+1,IF(AND($U$2=2,AI76=$T$1),MAX($V$2:V75)+1,IF(AND($U$2=1,$T$1=AF76),MAX($V$2:V75)+1,0)))</f>
        <v>74</v>
      </c>
      <c r="Z76" s="246"/>
      <c r="AA76" s="48" t="str">
        <f t="shared" ca="1" si="157"/>
        <v>06.00</v>
      </c>
      <c r="AB76" s="48" t="str">
        <f ca="1">IFERROR(INDEX($A$3:$G$400,MATCH(ROWS(AB$3:AB76),$Q$3:$Q$400,0),1),"")</f>
        <v>06.09</v>
      </c>
      <c r="AC76" s="48" t="str">
        <f ca="1">IFERROR(INDEX($A$3:$G$400,MATCH(ROWS($AC$3:AC76),$Q$3:$Q$400,0),2),"")</f>
        <v>CREDITI V/ISTITUTI PREVIDENZIALI</v>
      </c>
      <c r="AD76" s="48" t="str">
        <f ca="1">IFERROR(INDEX($A$3:$G$400,MATCH(ROWS(AD$3:AD76),$Q$3:$Q$400,0),3),"")</f>
        <v>F</v>
      </c>
      <c r="AE76" s="48" t="str">
        <f ca="1">IFERROR(INDEX($A$3:$G$400,MATCH(ROWS(AE$3:AE76),$Q$3:$Q$400,0),4),"")</f>
        <v>D</v>
      </c>
      <c r="AF76" s="48" t="str">
        <f ca="1">IFERROR(INDEX($A$3:$G$400,MATCH(ROWS(AF$3:AF76),$Q$3:$Q$400,0),5),"")</f>
        <v>CREDITI</v>
      </c>
      <c r="AG76" s="48" t="str">
        <f ca="1">IFERROR(INDEX($A$3:$G$400,MATCH(ROWS(AG$3:AG76),$Q$3:$Q$400,0),6),"")</f>
        <v>SP DARE</v>
      </c>
      <c r="AH76" s="48" t="str">
        <f ca="1">IFERROR(INDEX($A$3:$G$400,MATCH(ROWS(AH$3:AH76),$Q$3:$Q$400,0),7),"")</f>
        <v>SP</v>
      </c>
      <c r="AI76" s="48" t="str">
        <f t="shared" ca="1" si="158"/>
        <v>CREDITI DIVERSI</v>
      </c>
      <c r="AJ76" s="48" t="str">
        <f ca="1">IFERROR(INDEX($A$3:$H$400,MATCH(ROWS(AJ$3:AJ76),$Q$3:$Q$400,0),8),"")</f>
        <v>pac2</v>
      </c>
      <c r="AK76" s="48">
        <f t="shared" ca="1" si="130"/>
        <v>0</v>
      </c>
      <c r="AL76" s="48">
        <f t="shared" ca="1" si="131"/>
        <v>0</v>
      </c>
      <c r="AM76" s="48">
        <f t="shared" ca="1" si="159"/>
        <v>0</v>
      </c>
      <c r="AN76" s="48" t="str">
        <f t="shared" ca="1" si="160"/>
        <v/>
      </c>
      <c r="AO76" s="48">
        <f t="shared" ca="1" si="161"/>
        <v>0</v>
      </c>
      <c r="AP76" s="48">
        <f t="shared" ca="1" si="161"/>
        <v>0</v>
      </c>
      <c r="AQ76" s="48" t="str">
        <f t="shared" ca="1" si="132"/>
        <v>CREDITI V/ISTITUTI PREVIDENZIALI</v>
      </c>
      <c r="AR76" s="48">
        <f t="shared" ca="1" si="133"/>
        <v>0</v>
      </c>
      <c r="AS76" s="48">
        <f t="shared" ca="1" si="134"/>
        <v>0</v>
      </c>
      <c r="AT76" s="48">
        <f t="shared" ca="1" si="162"/>
        <v>0</v>
      </c>
      <c r="AU76" s="48">
        <f t="shared" ca="1" si="163"/>
        <v>0</v>
      </c>
      <c r="AV76" s="48">
        <f ca="1">IF(OR(AT76&gt;0,AU76&gt;0),MAX($AV$2:AV75)+1,0)</f>
        <v>0</v>
      </c>
      <c r="AZ76" s="241" t="str">
        <f t="shared" ca="1" si="164"/>
        <v/>
      </c>
      <c r="BA76" s="48">
        <f t="shared" ca="1" si="135"/>
        <v>0</v>
      </c>
      <c r="BB76" s="48">
        <f ca="1">IFERROR(INDEX($AQ$3:$AV$220,MATCH(ROWS($BB$3:BB76),$AV$3:$AV$220,0),1),0)</f>
        <v>0</v>
      </c>
      <c r="BC76" s="48" t="str">
        <f t="shared" ca="1" si="165"/>
        <v/>
      </c>
      <c r="BD76" s="48">
        <f ca="1">IFERROR(INDEX($AQ$3:$AV$220,MATCH(ROWS($BB$3:BD76),$AV$3:$AV$220,0),4),0)</f>
        <v>0</v>
      </c>
      <c r="BE76" s="48">
        <f ca="1">IFERROR(INDEX($AQ$3:$AV$220,MATCH(ROWS($BB$3:BE76),$AV$3:$AV$220,0),5),0)</f>
        <v>0</v>
      </c>
      <c r="BG76" s="48">
        <f ca="1">IF(IF(AND(OR(INDEX(PDC,MATCH($AC76,DEN_PDC,0),6)="SP DARE",INDEX(PDC,MATCH($AC76,DEN_PDC,0),6)="SP DARE/AVERE"),SUMIFS(DARE,DEN_G,$AC76)&gt;=SUMIFS(AVERE,DEN_G,$AC76)),SUMIFS(DARE,DEN_G,$AC76)-SUMIFS(AVERE,DEN_G,$AC76),0)&gt;0,MAX($BG$2:BG75)+1,0)</f>
        <v>0</v>
      </c>
      <c r="BH76" s="48">
        <f ca="1">IF(IF(AND(OR(INDEX(PDC,MATCH($AC76,DEN_PDC,0),6)="SP AVERE",INDEX(PDC,MATCH($AC76,DEN_PDC,0),6)="SP DARE/AVERE"),SUMIFS(AVERE,DEN_G,$AC76)&gt;=SUMIFS(DARE,DEN_G,$AC76)),SUMIFS(AVERE,DEN_G,$AC76)-SUMIFS(DARE,DEN_G,$AC76),0)&gt;0,MAX(BH$2:BH75)+1,0)</f>
        <v>0</v>
      </c>
      <c r="BI76" s="48">
        <f ca="1">IF(IF(AND(OR(INDEX(PDC,MATCH($AC76,DEN_PDC,0),6)="SE DARE",INDEX(PDC,MATCH($AC76,DEN_PDC,0),6)="SE DARE/AVERE"),SUMIFS(DARE,DEN_G,$AC76)&gt;=SUMIFS(AVERE,DEN_G,$AC76)),SUMIFS(DARE,DEN_G,$AC76)-SUMIFS(AVERE,DEN_G,$AC76),0)&gt;0,MAX(BI$2:BI75)+1,0)</f>
        <v>0</v>
      </c>
      <c r="BJ76" s="48">
        <f ca="1">IF(IF(AND(OR(INDEX(PDC,MATCH($AC76,DEN_PDC,0),6)="SE AVERE",INDEX(PDC,MATCH($AC76,DEN_PDC,0),6)="SE DARE/AVERE"),SUMIFS(AVERE,DEN_G,$AC76)&gt;=SUMIFS(DARE,DEN_G,$AC76)),SUMIFS(AVERE,DEN_G,$AC76)-SUMIFS(DARE,DEN_G,$AC76),0)&gt;0,MAX(BJ$2:BJ75)+1,0)</f>
        <v>0</v>
      </c>
      <c r="BK76" s="48" t="str">
        <f ca="1">IF(AND(AND($DY$2=0,$DY$1=0),$I$1=2,ROW()&gt;$BG$1+2,ROW()&lt;=$BG$1+4),"………………..",IF(AND(OR($DY$2&gt;0,$DY$1&gt;0),$I$1=2,ROW()&gt;$BG$1+2,ROW()&lt;=$BG$1+4),"………………..",IFERROR(INDEX($AC$3:$AC$398,MATCH(ROWS(BK$3:BK76),BG$3:BG$398,0),1),"")))</f>
        <v/>
      </c>
      <c r="BL76" s="48">
        <f t="shared" ca="1" si="136"/>
        <v>0</v>
      </c>
      <c r="BM76" s="48" t="str">
        <f ca="1">IF(AND(OR($DY$2=0,$DY$1=0),$I$1=2,ROW()&gt;$BH$1+2,ROW()&lt;=$BH$1+4),"………………..",IF(AND(OR($DY$2&gt;0,$DY$1&gt;0),$I$1=2,ROW()&gt;$BH$1+2,ROW()&lt;=$BH$1+4),"………………..",IFERROR(INDEX($AC$3:$AC$400,MATCH(ROWS(BM$3:BM76),BH$3:BH$400,0),1),"")))</f>
        <v/>
      </c>
      <c r="BN76" s="48">
        <f t="shared" ca="1" si="137"/>
        <v>0</v>
      </c>
      <c r="BO76" s="48" t="str">
        <f ca="1">IF(AND(OR($DY$2=0,$DY$1=0),$I$1=2,ROW()&gt;$BI$1+2,ROW()&lt;=$BI$1+4),"………………..",IF(AND(OR($DY$2&gt;0,$DY$1&gt;0),$I$1=2,ROW()&gt;$BI$1+2,ROW()&lt;=$BI$1+4),"………………..",IFERROR(INDEX($AC$3:$AC$400,MATCH(ROWS(BO$3:BO76),BI$3:BI$400,0),1),"")))</f>
        <v/>
      </c>
      <c r="BP76" s="48">
        <f t="shared" ca="1" si="138"/>
        <v>0</v>
      </c>
      <c r="BQ76" s="48" t="str">
        <f ca="1">IF(AND(OR($DY$2=0,$DY$1=0),$I$1=2,ROW()&gt;$BJ$1+2,ROW()&lt;=$BJ$1+4),"………………..",IF(AND(OR($DY$2&gt;0,$DY$1&gt;0),$I$1=2,ROW()&gt;$BJ$1+2,ROW()&lt;=$BJ$1+4),"………………..",IFERROR(INDEX($AC$3:$AC$400,MATCH(ROWS(BQ$3:BQ76),BJ$3:BJ$400,0),1),"")))</f>
        <v/>
      </c>
      <c r="BR76" s="48">
        <f t="shared" ca="1" si="139"/>
        <v>0</v>
      </c>
      <c r="BS76" s="48">
        <f ca="1">IF(IF(AND(OR(INDEX(PDC,MATCH($AC76,DEN_PDC,0),4)="D",INDEX(PDC,MATCH($AC76,DEN_PDC,0),4)="D/A"),SUMIFS(DARE,DEN_G,$AC76)&gt;=SUMIFS(AVERE,DEN_G,$AC76)),SUMIFS(DARE,DEN_G,$AC76),IF(AND(OR(INDEX(PDC,MATCH($AC76,DEN_PDC,0),4)="A",INDEX(PDC,MATCH($AC76,DEN_PDC,0),4)="D/A"),SUMIFS(AVERE,DEN_G,$AC76)&gt;=SUMIFS(DARE,DEN_G,$AC76)),SUMIFS(AVERE,DEN_G,$AC76),))&gt;0,MAX($BS$2:BS75)+1,0)</f>
        <v>0</v>
      </c>
      <c r="BT76" s="48" t="str">
        <f ca="1">IF($CO$1=0,"",IF(AND($I$1=2,ROW()&gt;$BR$1,ROW()&lt;=$BS$1)," …………….",IF(AND($E$1=1,$BX$1=1,$I$1=2,ROW()=$BQ$1),"TOTALI",IFERROR(INDEX(PDC,MATCH(ROWS(BT$3:BT76),BS$3:BS473,0),2),""))))</f>
        <v/>
      </c>
      <c r="BU76" s="48">
        <f t="shared" ca="1" si="140"/>
        <v>0</v>
      </c>
      <c r="BV76" s="48">
        <f t="shared" ca="1" si="141"/>
        <v>0</v>
      </c>
      <c r="BW76" s="48">
        <f t="shared" ca="1" si="142"/>
        <v>0</v>
      </c>
      <c r="BX76" s="48">
        <f t="shared" ca="1" si="143"/>
        <v>0</v>
      </c>
      <c r="BY76" s="48">
        <f ca="1">IF(OR(BW76&gt;0,BX76&gt;0),MAX($BY$2:BY75)+1,0)</f>
        <v>0</v>
      </c>
      <c r="BZ76" s="48" t="str">
        <f ca="1">IFERROR(INDEX($BT$3:$BY$400,MATCH(ROWS(BZ$3:BZ76),$BY$3:$BY$400,0),1),"")</f>
        <v/>
      </c>
      <c r="CA76" s="48" t="str">
        <f ca="1">IFERROR(INDEX($BT$3:$BY$400,MATCH(ROWS(CA$3:CA76),$BY$3:$BY$400,0),4),"")</f>
        <v/>
      </c>
      <c r="CB76" s="48" t="str">
        <f ca="1">IFERROR(INDEX($BT$3:$BY$400,MATCH(ROWS(CB$3:CB76),$BY$3:$BY$400,0),5),"")</f>
        <v/>
      </c>
      <c r="CC76" s="48" t="str">
        <f t="shared" ca="1" si="144"/>
        <v/>
      </c>
      <c r="CD76" s="48">
        <f ca="1">IF(AND($BF$9=1,CE76&lt;&gt;0),MAX($CD$2:CD75)+1,0)</f>
        <v>0</v>
      </c>
      <c r="CE76" s="48">
        <f ca="1">IF(ROUND(SUMIFS(COPIA!$CA$3:$CA$400,COPIA!$CC$3:$CC$400,CF76)-SUMIFS(COPIA!$CB$3:$CB$400,COPIA!$CC$3:$CC$400,CF76),0)&lt;0,0,ROUND(SUMIFS(COPIA!$CA$3:$CA$400,COPIA!$CC$3:$CC$400,CF76)-SUMIFS(COPIA!$CB$3:$CB$400,COPIA!$CC$3:$CC$400,CF76),0))</f>
        <v>0</v>
      </c>
      <c r="CF76" s="48" t="s">
        <v>642</v>
      </c>
      <c r="CG76" s="242" t="s">
        <v>534</v>
      </c>
      <c r="CH76" s="242">
        <f t="shared" ca="1" si="112"/>
        <v>0</v>
      </c>
      <c r="CI76" s="242"/>
      <c r="CJ76" s="242"/>
      <c r="CL76" s="242"/>
      <c r="CM76" s="242" t="str">
        <f t="shared" ca="1" si="166"/>
        <v/>
      </c>
      <c r="CN76" s="243">
        <f t="shared" ca="1" si="167"/>
        <v>0</v>
      </c>
      <c r="CO76" s="48" t="str">
        <f t="shared" ca="1" si="168"/>
        <v/>
      </c>
      <c r="CQ76" s="242"/>
      <c r="CR76" s="242"/>
      <c r="CU76" s="48">
        <f ca="1">IF(SUMIFS(AVERE,DEN_G,AC76,AVERE,"&gt;"&amp;0)+SUMIFS(DARE,DEN_G,AC76,DARE,"&gt;"&amp;0)&gt;0,MAX($CU$2:CU75)+1,0)</f>
        <v>0</v>
      </c>
      <c r="CV76" s="48" t="str">
        <f ca="1">IF(IFERROR(INDEX(PDC,MATCH(ROWS($CV$3:CV76),$CU$3:$CU$400,0),2),"")="CONTO DI RISULTATO ECONOMICO","",IFERROR(INDEX(PDC,MATCH(ROWS($CV$3:CV76),$CU$3:$CU$400,0),2),""))</f>
        <v/>
      </c>
      <c r="CW76" s="48">
        <f ca="1">IFERROR(IF(CV76&lt;&gt;"",MAX($CW$2:CW75)+1,0),0)</f>
        <v>0</v>
      </c>
      <c r="CX76" s="48">
        <f t="shared" ca="1" si="191"/>
        <v>6</v>
      </c>
      <c r="CY76" s="48" t="str">
        <f t="shared" ca="1" si="169"/>
        <v>MASTRO</v>
      </c>
      <c r="CZ76" s="48" t="e">
        <f t="shared" ca="1" si="193"/>
        <v>#N/A</v>
      </c>
      <c r="DA76" s="48" t="str">
        <f t="shared" ca="1" si="199"/>
        <v/>
      </c>
      <c r="DB76" s="48" t="str">
        <f t="shared" ca="1" si="76"/>
        <v/>
      </c>
      <c r="DC76" s="48" t="str">
        <f t="shared" ca="1" si="194"/>
        <v/>
      </c>
      <c r="DD76" s="48" t="str">
        <f t="shared" ca="1" si="195"/>
        <v/>
      </c>
      <c r="DE76" s="48" t="str">
        <f t="shared" ca="1" si="196"/>
        <v/>
      </c>
      <c r="DF76" s="48">
        <f ca="1">IF(AND(CX76=$DF$1,CX76&lt;&gt;""),0,IF(AND(DB76&lt;&gt;"",OR(DB75&lt;&gt;"",DB77&lt;&gt;"")),MAX($DF$2:DF75)+1,0))</f>
        <v>0</v>
      </c>
      <c r="DH76" s="244" t="s">
        <v>1086</v>
      </c>
      <c r="DI76" s="48" t="s">
        <v>859</v>
      </c>
      <c r="DJ76" s="48" t="s">
        <v>312</v>
      </c>
      <c r="DK76" s="48" t="s">
        <v>275</v>
      </c>
      <c r="DL76" s="48" t="s">
        <v>6</v>
      </c>
      <c r="DM76" s="48" t="s">
        <v>270</v>
      </c>
      <c r="DN76" s="48">
        <f ca="1">IF(DI76&lt;&gt;"",MAX($DN$2:DN75)+1,0)</f>
        <v>58</v>
      </c>
      <c r="DO76" s="48" t="str">
        <f ca="1">IF($BF$9=1,"pac15","pac1")</f>
        <v>pac1</v>
      </c>
      <c r="DW76" s="48">
        <f>IF(DR76&lt;&gt;"",MAX($DW$2:DW75)+1,0)</f>
        <v>0</v>
      </c>
      <c r="DY76" s="48" t="str">
        <f t="shared" ca="1" si="147"/>
        <v/>
      </c>
      <c r="DZ76" s="48" t="str">
        <f t="shared" ca="1" si="170"/>
        <v/>
      </c>
      <c r="EA76" s="48" t="str">
        <f t="shared" ca="1" si="171"/>
        <v/>
      </c>
      <c r="EB76" s="48">
        <f t="shared" ca="1" si="172"/>
        <v>0</v>
      </c>
      <c r="EC76" s="48">
        <f t="shared" ca="1" si="173"/>
        <v>0</v>
      </c>
      <c r="ED76" s="48" t="str">
        <f t="shared" ca="1" si="174"/>
        <v/>
      </c>
      <c r="EE76" s="48">
        <f t="shared" ca="1" si="175"/>
        <v>0</v>
      </c>
      <c r="EF76" s="48" t="str">
        <f t="shared" ca="1" si="176"/>
        <v/>
      </c>
      <c r="EG76" s="48">
        <f t="shared" ca="1" si="177"/>
        <v>0</v>
      </c>
      <c r="EH76" s="48" t="str">
        <f t="shared" ca="1" si="178"/>
        <v/>
      </c>
      <c r="EI76" s="48">
        <f t="shared" ca="1" si="179"/>
        <v>0</v>
      </c>
      <c r="EJ76" s="48" t="str">
        <f t="shared" ca="1" si="180"/>
        <v/>
      </c>
      <c r="EK76" s="48">
        <f t="shared" ca="1" si="181"/>
        <v>0</v>
      </c>
      <c r="EL76" s="48">
        <f t="shared" ca="1" si="148"/>
        <v>0</v>
      </c>
      <c r="EM76" s="48">
        <f ca="1">IF(EL76&gt;=0,0,MAX($EM$2:EM75)+1)</f>
        <v>0</v>
      </c>
      <c r="EN76" s="48" t="str">
        <f t="shared" ca="1" si="182"/>
        <v/>
      </c>
      <c r="EO76" s="48" t="str">
        <f ca="1">IFERROR(INDEX($EM$3:$EN$400,MATCH(ROWS($EO$3:EO76),$EM$3:$EM$400,0),2),"")</f>
        <v/>
      </c>
      <c r="EP76" s="48">
        <f>ROW()</f>
        <v>76</v>
      </c>
      <c r="EQ76" s="48">
        <f t="shared" ca="1" si="149"/>
        <v>0</v>
      </c>
      <c r="ER76" s="48">
        <f ca="1">IF(ISNA(EQ76)=TRUE,MAX($ER$2:ER75)+1,0)</f>
        <v>0</v>
      </c>
      <c r="ES76" s="48" t="str">
        <f t="shared" ca="1" si="183"/>
        <v/>
      </c>
      <c r="ET76" s="48" t="str">
        <f ca="1">IFERROR(INDEX($ER$3:$ES$400,MATCH(ROWS($ET$3:ET76),$ER$3:$ER$400,0),2),"")</f>
        <v/>
      </c>
      <c r="EV76" s="48">
        <f ca="1">IFERROR(INDEX(LIBRO_GIORNALE!$O$11:$P$408,MATCH(ROWS($EV$2:EV75),LIBRO_GIORNALE!$P$11:$P$408,0),1),0)</f>
        <v>0</v>
      </c>
      <c r="EW76" s="48" t="str">
        <f t="shared" ca="1" si="184"/>
        <v>0</v>
      </c>
      <c r="EX76" s="48">
        <f t="shared" ca="1" si="185"/>
        <v>0</v>
      </c>
      <c r="EY76" s="48">
        <f ca="1">IF(EX76&gt;0,MAX($EY$2:EY75)+1,0)</f>
        <v>0</v>
      </c>
      <c r="EZ76" s="48">
        <f ca="1">IFERROR(INDEX($EX$3:$EX$400,MATCH(ROWS($EZ$3:EZ76),$EY$3:$EY$400,0),1),0)</f>
        <v>0</v>
      </c>
      <c r="FA76" s="48">
        <f ca="1">IF(EZ76&gt;0,0,MAX($FA$2:FA75)+1)</f>
        <v>74</v>
      </c>
      <c r="FB76" s="48">
        <f t="shared" ca="1" si="186"/>
        <v>0</v>
      </c>
      <c r="FC76" s="48">
        <f t="shared" ca="1" si="187"/>
        <v>74</v>
      </c>
      <c r="FD76" s="48">
        <f t="shared" ca="1" si="188"/>
        <v>74</v>
      </c>
      <c r="FE76" s="48">
        <f ca="1">IF(FD76=0,0,MAX($FE$2:FE75)+1)</f>
        <v>74</v>
      </c>
      <c r="FF76" s="48">
        <f ca="1">IFERROR(INDEX($FD$3:$FE$400,MATCH(ROWS($FF$3:FF76),$FE$3:$FE$400,0),1),"")</f>
        <v>74</v>
      </c>
      <c r="FH76" s="48">
        <f t="shared" ca="1" si="189"/>
        <v>0</v>
      </c>
      <c r="FI76" s="48">
        <f ca="1">IF(FH76&lt;&gt;0,MAX($FI$2:FI75)+1,0)</f>
        <v>0</v>
      </c>
      <c r="FJ76" s="48" t="str">
        <f ca="1">IFERROR(INDEX($FH$3:$FI$400,MATCH(ROWS($FJ$3:FJ76),$FI$3:$FI$400,0),1),"")</f>
        <v/>
      </c>
      <c r="FK76" s="48">
        <f ca="1">IF(ABS(SUMIFS(DARE,DEN_G,"="&amp;FJ76,DATA,"&lt;="&amp;FINE_AC,DATA,"&gt;="&amp;INIZIO_A_PC)-SUMIFS(AVERE,DEN_G,"="&amp;FJ76,DATA,"&lt;="&amp;FINE_AC,DATA,"&gt;="&amp;INIZIO_A_PC))&gt;0,MAX($FK$2:FK75)+1,0)</f>
        <v>0</v>
      </c>
      <c r="FL76" s="48" t="str">
        <f ca="1">IF(AND(ROW()-2&lt;&gt;1,ROW()-2&lt;=$FK$1),CONCATENATE(" - ",IFERROR(INDEX($FJ$3:$FK$400,MATCH(ROWS($FL$3:FL76),$FK$3:$FK$400,0),1),"")),IFERROR(INDEX($FJ$3:$FK$400,MATCH(ROWS($FL$3:FL76),$FK$3:$FK$400,0),1),""))</f>
        <v/>
      </c>
      <c r="FM76" s="48">
        <f ca="1">IF(OR(B76="IVA ns/credito",B76="IVA NS/DEBITO",B76="IVA C/ACCONTO",B76="IMPOSTE C/ACCONTO",B76="CREDITI PER RITENUTE SUBITE",B76="CREDITI D'IMPOSTA"),MAX($FM$2:FM75)+1,0)</f>
        <v>1</v>
      </c>
      <c r="FN76" s="48" t="str">
        <f t="shared" ca="1" si="190"/>
        <v>IVA NS/CREDITO</v>
      </c>
      <c r="FO76" s="48" t="str">
        <f ca="1">IFERROR(INDEX($FM$3:$FN$400,MATCH(ROWS($FO$3:FO76),$FM$3:$FM$400,0),2),"")</f>
        <v/>
      </c>
      <c r="FP76" s="48">
        <f ca="1">IF(ABS(SUMIFS(DARE,DEN_G,"="&amp;FO76,DATA,"&lt;="&amp;FINE_AC,DATA,"&gt;="&amp;INIZIO_A_PC)-SUMIFS(AVERE,DEN_G,"="&amp;FO76,DATA,"&lt;="&amp;FINE_AC,DATA,"&gt;="&amp;INIZIO_A_PC))&gt;0,MAX($FP$2:FP75)+1,0)</f>
        <v>0</v>
      </c>
      <c r="FQ76" s="48" t="str">
        <f ca="1">IF(AND(ROW()-2&lt;&gt;1,ROW()-2&lt;=$FP$1),CONCATENATE(" - ",IFERROR(INDEX($FO$3:$FP$400,MATCH(ROWS($FQ$3:FQ76),$FP$3:$FP$400,0),1),"")),IFERROR(INDEX($FO$3:$FP$400,MATCH(ROWS($FQ$3:FQ76),$FP$3:$FP$400,0),1),""))</f>
        <v/>
      </c>
    </row>
    <row r="77" spans="1:173" x14ac:dyDescent="0.3">
      <c r="A77" s="48" t="str">
        <f ca="1">IFERROR(IF($A$1=2,INDEX($DH$3:$DN$401,MATCH(ROWS(A$3:A77),$DN$3:$DN$401,0),COLUMN()),IF($A$1=1,INDEX($DQ$3:$DW$401,MATCH(ROWS(A$3:A77),$DW$3:$DW$401,0),COLUMN()),"")),"")</f>
        <v>06.02</v>
      </c>
      <c r="B77" s="48" t="str">
        <f ca="1">IFERROR(IF($A$1=2,INDEX($DH$3:$DN$401,MATCH(ROWS(B$3:B77),$DN$3:$DN$401,0),COLUMN()),IF($A$1=1,INDEX($DQ$3:$DW$400,MATCH(ROWS(B$3:B77),$DW$3:$DW$401,0),COLUMN()),"")),"")</f>
        <v>IVA C/ACCONTO</v>
      </c>
      <c r="C77" s="48" t="str">
        <f ca="1">IFERROR(IF($A$1=2,INDEX($DH$3:$DN$401,MATCH(ROWS(C$3:C77),$DN$3:$DN$401,0),COLUMN()),IF($A$1=1,INDEX($DQ$3:$DW$401,MATCH(ROWS(C$3:C77),$DW$3:$DW$401,0),COLUMN()),"")),"")</f>
        <v>F</v>
      </c>
      <c r="D77" s="48" t="str">
        <f ca="1">IFERROR(IF($A$1=2,INDEX($DH$3:$DN$401,MATCH(ROWS(D$3:D77),$DN$3:$DN$401,0),COLUMN()),IF($A$1=1,INDEX($DQ$3:$DW$401,MATCH(ROWS(D$3:D77),$DW$3:$DW$401,0),COLUMN()),"")),"")</f>
        <v>D</v>
      </c>
      <c r="E77" s="48" t="str">
        <f ca="1">IFERROR(IF($A$1=2,INDEX($DH$3:$DN$401,MATCH(ROWS(E$3:E77),$DN$3:$DN$401,0),COLUMN()),IF($A$1=1,INDEX($DQ$3:$DW$401,MATCH(ROWS(E$3:E77),$DW$3:$DW$401,0),COLUMN()),"")),"")</f>
        <v>CREDITI</v>
      </c>
      <c r="F77" s="48" t="str">
        <f ca="1">IFERROR(IF($A$1=2,INDEX($DH$3:$DN$401,MATCH(ROWS(F$3:F77),$DN$3:$DN$401,0),COLUMN()),IF($A$1=1,INDEX($DQ$3:$DX$401,MATCH(ROWS(F$3:F77),$DW$3:$DW$401,0),COLUMN()),"")),"")</f>
        <v>SP DARE</v>
      </c>
      <c r="G77" s="48" t="str">
        <f t="shared" ca="1" si="150"/>
        <v>SP</v>
      </c>
      <c r="H77" s="48" t="str">
        <f ca="1">IFERROR(IF($A$1=2,INDEX($DH$3:$DO$400,MATCH(ROWS(H$3:H77),$DN$3:$DN$400,0),COLUMN()),IF($A$1=1,INDEX($DQ$3:$DX$400,MATCH(ROWS(H$3:H77),$DW$3:$DW$400,0),COLUMN()),"")),"")</f>
        <v>pac2</v>
      </c>
      <c r="I77" s="48" t="str">
        <f t="shared" ca="1" si="151"/>
        <v/>
      </c>
      <c r="J77" s="48" t="str">
        <f t="shared" ca="1" si="152"/>
        <v/>
      </c>
      <c r="K77" s="48">
        <f t="shared" ca="1" si="153"/>
        <v>0</v>
      </c>
      <c r="L77" s="48">
        <f t="shared" ca="1" si="154"/>
        <v>0</v>
      </c>
      <c r="M77" s="48">
        <f ca="1">IFERROR(IF(IF(MID($A77,3,3)=".00",MID(A77,1,2),"")&lt;&gt;"",MAX($M$2:M76)+1,0),"")</f>
        <v>0</v>
      </c>
      <c r="N77" s="48" t="str">
        <f t="shared" ca="1" si="155"/>
        <v/>
      </c>
      <c r="O77" s="48">
        <v>27</v>
      </c>
      <c r="P77" s="48" t="str">
        <f t="shared" ca="1" si="156"/>
        <v/>
      </c>
      <c r="Q77" s="48">
        <f ca="1">IF(M77&gt;=1,0,MAX($Q$2:Q76)+1)</f>
        <v>68</v>
      </c>
      <c r="U77" s="48" t="str">
        <f ca="1">IFERROR(INDEX(PDC,MATCH(ROWS(U$3:U77),$V$3:$V$400,0),2),"")</f>
        <v>CREDITI PER CAUZIONI</v>
      </c>
      <c r="V77" s="48">
        <f ca="1">IF(AND($T$1="VISUALIZZA TUTTI I CONTI",AA77&lt;&gt;""),MAX($V$2:V76)+1,IF(AND($U$2=2,AI77=$T$1),MAX($V$2:V76)+1,IF(AND($U$2=1,$T$1=AF77),MAX($V$2:V76)+1,0)))</f>
        <v>75</v>
      </c>
      <c r="Z77" s="246"/>
      <c r="AA77" s="48" t="str">
        <f t="shared" ca="1" si="157"/>
        <v>06.00</v>
      </c>
      <c r="AB77" s="48" t="str">
        <f ca="1">IFERROR(INDEX($A$3:$G$400,MATCH(ROWS(AB$3:AB77),$Q$3:$Q$400,0),1),"")</f>
        <v>06.10</v>
      </c>
      <c r="AC77" s="48" t="str">
        <f ca="1">IFERROR(INDEX($A$3:$G$400,MATCH(ROWS($AC$3:AC77),$Q$3:$Q$400,0),2),"")</f>
        <v>CREDITI PER CAUZIONI</v>
      </c>
      <c r="AD77" s="48" t="str">
        <f ca="1">IFERROR(INDEX($A$3:$G$400,MATCH(ROWS(AD$3:AD77),$Q$3:$Q$400,0),3),"")</f>
        <v>F</v>
      </c>
      <c r="AE77" s="48" t="str">
        <f ca="1">IFERROR(INDEX($A$3:$G$400,MATCH(ROWS(AE$3:AE77),$Q$3:$Q$400,0),4),"")</f>
        <v>D</v>
      </c>
      <c r="AF77" s="48" t="str">
        <f ca="1">IFERROR(INDEX($A$3:$G$400,MATCH(ROWS(AF$3:AF77),$Q$3:$Q$400,0),5),"")</f>
        <v>CREDITI</v>
      </c>
      <c r="AG77" s="48" t="str">
        <f ca="1">IFERROR(INDEX($A$3:$G$400,MATCH(ROWS(AG$3:AG77),$Q$3:$Q$400,0),6),"")</f>
        <v>SP DARE</v>
      </c>
      <c r="AH77" s="48" t="str">
        <f ca="1">IFERROR(INDEX($A$3:$G$400,MATCH(ROWS(AH$3:AH77),$Q$3:$Q$400,0),7),"")</f>
        <v>SP</v>
      </c>
      <c r="AI77" s="48" t="str">
        <f t="shared" ca="1" si="158"/>
        <v>CREDITI DIVERSI</v>
      </c>
      <c r="AJ77" s="48" t="str">
        <f ca="1">IFERROR(INDEX($A$3:$H$400,MATCH(ROWS(AJ$3:AJ77),$Q$3:$Q$400,0),8),"")</f>
        <v>pac2</v>
      </c>
      <c r="AK77" s="48">
        <f t="shared" ca="1" si="130"/>
        <v>0</v>
      </c>
      <c r="AL77" s="48">
        <f t="shared" ca="1" si="131"/>
        <v>0</v>
      </c>
      <c r="AM77" s="48">
        <f t="shared" ca="1" si="159"/>
        <v>0</v>
      </c>
      <c r="AN77" s="48" t="str">
        <f t="shared" ca="1" si="160"/>
        <v/>
      </c>
      <c r="AO77" s="48">
        <f t="shared" ca="1" si="161"/>
        <v>0</v>
      </c>
      <c r="AP77" s="48">
        <f t="shared" ca="1" si="161"/>
        <v>0</v>
      </c>
      <c r="AQ77" s="48" t="str">
        <f t="shared" ca="1" si="132"/>
        <v>CREDITI PER CAUZIONI</v>
      </c>
      <c r="AR77" s="48">
        <f t="shared" ca="1" si="133"/>
        <v>0</v>
      </c>
      <c r="AS77" s="48">
        <f t="shared" ca="1" si="134"/>
        <v>0</v>
      </c>
      <c r="AT77" s="48">
        <f t="shared" ca="1" si="162"/>
        <v>0</v>
      </c>
      <c r="AU77" s="48">
        <f t="shared" ca="1" si="163"/>
        <v>0</v>
      </c>
      <c r="AV77" s="48">
        <f ca="1">IF(OR(AT77&gt;0,AU77&gt;0),MAX($AV$2:AV76)+1,0)</f>
        <v>0</v>
      </c>
      <c r="AZ77" s="241" t="str">
        <f t="shared" ca="1" si="164"/>
        <v/>
      </c>
      <c r="BA77" s="48">
        <f t="shared" ca="1" si="135"/>
        <v>0</v>
      </c>
      <c r="BB77" s="48">
        <f ca="1">IFERROR(INDEX($AQ$3:$AV$220,MATCH(ROWS($BB$3:BB77),$AV$3:$AV$220,0),1),0)</f>
        <v>0</v>
      </c>
      <c r="BC77" s="48" t="str">
        <f t="shared" ca="1" si="165"/>
        <v/>
      </c>
      <c r="BD77" s="48">
        <f ca="1">IFERROR(INDEX($AQ$3:$AV$220,MATCH(ROWS($BB$3:BD77),$AV$3:$AV$220,0),4),0)</f>
        <v>0</v>
      </c>
      <c r="BE77" s="48">
        <f ca="1">IFERROR(INDEX($AQ$3:$AV$220,MATCH(ROWS($BB$3:BE77),$AV$3:$AV$220,0),5),0)</f>
        <v>0</v>
      </c>
      <c r="BG77" s="48">
        <f ca="1">IF(IF(AND(OR(INDEX(PDC,MATCH($AC77,DEN_PDC,0),6)="SP DARE",INDEX(PDC,MATCH($AC77,DEN_PDC,0),6)="SP DARE/AVERE"),SUMIFS(DARE,DEN_G,$AC77)&gt;=SUMIFS(AVERE,DEN_G,$AC77)),SUMIFS(DARE,DEN_G,$AC77)-SUMIFS(AVERE,DEN_G,$AC77),0)&gt;0,MAX($BG$2:BG76)+1,0)</f>
        <v>0</v>
      </c>
      <c r="BH77" s="48">
        <f ca="1">IF(IF(AND(OR(INDEX(PDC,MATCH($AC77,DEN_PDC,0),6)="SP AVERE",INDEX(PDC,MATCH($AC77,DEN_PDC,0),6)="SP DARE/AVERE"),SUMIFS(AVERE,DEN_G,$AC77)&gt;=SUMIFS(DARE,DEN_G,$AC77)),SUMIFS(AVERE,DEN_G,$AC77)-SUMIFS(DARE,DEN_G,$AC77),0)&gt;0,MAX(BH$2:BH76)+1,0)</f>
        <v>0</v>
      </c>
      <c r="BI77" s="48">
        <f ca="1">IF(IF(AND(OR(INDEX(PDC,MATCH($AC77,DEN_PDC,0),6)="SE DARE",INDEX(PDC,MATCH($AC77,DEN_PDC,0),6)="SE DARE/AVERE"),SUMIFS(DARE,DEN_G,$AC77)&gt;=SUMIFS(AVERE,DEN_G,$AC77)),SUMIFS(DARE,DEN_G,$AC77)-SUMIFS(AVERE,DEN_G,$AC77),0)&gt;0,MAX(BI$2:BI76)+1,0)</f>
        <v>0</v>
      </c>
      <c r="BJ77" s="48">
        <f ca="1">IF(IF(AND(OR(INDEX(PDC,MATCH($AC77,DEN_PDC,0),6)="SE AVERE",INDEX(PDC,MATCH($AC77,DEN_PDC,0),6)="SE DARE/AVERE"),SUMIFS(AVERE,DEN_G,$AC77)&gt;=SUMIFS(DARE,DEN_G,$AC77)),SUMIFS(AVERE,DEN_G,$AC77)-SUMIFS(DARE,DEN_G,$AC77),0)&gt;0,MAX(BJ$2:BJ76)+1,0)</f>
        <v>0</v>
      </c>
      <c r="BK77" s="48" t="str">
        <f ca="1">IF(AND(AND($DY$2=0,$DY$1=0),$I$1=2,ROW()&gt;$BG$1+2,ROW()&lt;=$BG$1+4),"………………..",IF(AND(OR($DY$2&gt;0,$DY$1&gt;0),$I$1=2,ROW()&gt;$BG$1+2,ROW()&lt;=$BG$1+4),"………………..",IFERROR(INDEX($AC$3:$AC$398,MATCH(ROWS(BK$3:BK77),BG$3:BG$398,0),1),"")))</f>
        <v/>
      </c>
      <c r="BL77" s="48">
        <f t="shared" ca="1" si="136"/>
        <v>0</v>
      </c>
      <c r="BM77" s="48" t="str">
        <f ca="1">IF(AND(OR($DY$2=0,$DY$1=0),$I$1=2,ROW()&gt;$BH$1+2,ROW()&lt;=$BH$1+4),"………………..",IF(AND(OR($DY$2&gt;0,$DY$1&gt;0),$I$1=2,ROW()&gt;$BH$1+2,ROW()&lt;=$BH$1+4),"………………..",IFERROR(INDEX($AC$3:$AC$400,MATCH(ROWS(BM$3:BM77),BH$3:BH$400,0),1),"")))</f>
        <v/>
      </c>
      <c r="BN77" s="48">
        <f t="shared" ca="1" si="137"/>
        <v>0</v>
      </c>
      <c r="BO77" s="48" t="str">
        <f ca="1">IF(AND(OR($DY$2=0,$DY$1=0),$I$1=2,ROW()&gt;$BI$1+2,ROW()&lt;=$BI$1+4),"………………..",IF(AND(OR($DY$2&gt;0,$DY$1&gt;0),$I$1=2,ROW()&gt;$BI$1+2,ROW()&lt;=$BI$1+4),"………………..",IFERROR(INDEX($AC$3:$AC$400,MATCH(ROWS(BO$3:BO77),BI$3:BI$400,0),1),"")))</f>
        <v/>
      </c>
      <c r="BP77" s="48">
        <f t="shared" ca="1" si="138"/>
        <v>0</v>
      </c>
      <c r="BQ77" s="48" t="str">
        <f ca="1">IF(AND(OR($DY$2=0,$DY$1=0),$I$1=2,ROW()&gt;$BJ$1+2,ROW()&lt;=$BJ$1+4),"………………..",IF(AND(OR($DY$2&gt;0,$DY$1&gt;0),$I$1=2,ROW()&gt;$BJ$1+2,ROW()&lt;=$BJ$1+4),"………………..",IFERROR(INDEX($AC$3:$AC$400,MATCH(ROWS(BQ$3:BQ77),BJ$3:BJ$400,0),1),"")))</f>
        <v/>
      </c>
      <c r="BR77" s="48">
        <f t="shared" ca="1" si="139"/>
        <v>0</v>
      </c>
      <c r="BS77" s="48">
        <f ca="1">IF(IF(AND(OR(INDEX(PDC,MATCH($AC77,DEN_PDC,0),4)="D",INDEX(PDC,MATCH($AC77,DEN_PDC,0),4)="D/A"),SUMIFS(DARE,DEN_G,$AC77)&gt;=SUMIFS(AVERE,DEN_G,$AC77)),SUMIFS(DARE,DEN_G,$AC77),IF(AND(OR(INDEX(PDC,MATCH($AC77,DEN_PDC,0),4)="A",INDEX(PDC,MATCH($AC77,DEN_PDC,0),4)="D/A"),SUMIFS(AVERE,DEN_G,$AC77)&gt;=SUMIFS(DARE,DEN_G,$AC77)),SUMIFS(AVERE,DEN_G,$AC77),))&gt;0,MAX($BS$2:BS76)+1,0)</f>
        <v>0</v>
      </c>
      <c r="BT77" s="48" t="str">
        <f ca="1">IF($CO$1=0,"",IF(AND($I$1=2,ROW()&gt;$BR$1,ROW()&lt;=$BS$1)," …………….",IF(AND($E$1=1,$BX$1=1,$I$1=2,ROW()=$BQ$1),"TOTALI",IFERROR(INDEX(PDC,MATCH(ROWS(BT$3:BT77),BS$3:BS474,0),2),""))))</f>
        <v/>
      </c>
      <c r="BU77" s="48">
        <f t="shared" ca="1" si="140"/>
        <v>0</v>
      </c>
      <c r="BV77" s="48">
        <f t="shared" ca="1" si="141"/>
        <v>0</v>
      </c>
      <c r="BW77" s="48">
        <f t="shared" ca="1" si="142"/>
        <v>0</v>
      </c>
      <c r="BX77" s="48">
        <f t="shared" ca="1" si="143"/>
        <v>0</v>
      </c>
      <c r="BY77" s="48">
        <f ca="1">IF(OR(BW77&gt;0,BX77&gt;0),MAX($BY$2:BY76)+1,0)</f>
        <v>0</v>
      </c>
      <c r="BZ77" s="48" t="str">
        <f ca="1">IFERROR(INDEX($BT$3:$BY$400,MATCH(ROWS(BZ$3:BZ77),$BY$3:$BY$400,0),1),"")</f>
        <v/>
      </c>
      <c r="CA77" s="48" t="str">
        <f ca="1">IFERROR(INDEX($BT$3:$BY$400,MATCH(ROWS(CA$3:CA77),$BY$3:$BY$400,0),4),"")</f>
        <v/>
      </c>
      <c r="CB77" s="48" t="str">
        <f ca="1">IFERROR(INDEX($BT$3:$BY$400,MATCH(ROWS(CB$3:CB77),$BY$3:$BY$400,0),5),"")</f>
        <v/>
      </c>
      <c r="CC77" s="48" t="str">
        <f t="shared" ca="1" si="144"/>
        <v/>
      </c>
      <c r="CD77" s="48">
        <f ca="1">IF(AND($BF$9=1,CE77&lt;&gt;0),MAX($CD$2:CD76)+1,0)</f>
        <v>0</v>
      </c>
      <c r="CE77" s="48">
        <f ca="1">IF(ROUND(SUMIFS(COPIA!$CA$3:$CA$400,COPIA!$CC$3:$CC$400,CF77)-SUMIFS(COPIA!$CB$3:$CB$400,COPIA!$CC$3:$CC$400,CF77),0)&lt;0,0,ROUND(SUMIFS(COPIA!$CA$3:$CA$400,COPIA!$CC$3:$CC$400,CF77)-SUMIFS(COPIA!$CB$3:$CB$400,COPIA!$CC$3:$CC$400,CF77),0))</f>
        <v>0</v>
      </c>
      <c r="CF77" s="48" t="s">
        <v>643</v>
      </c>
      <c r="CG77" s="242" t="s">
        <v>535</v>
      </c>
      <c r="CH77" s="242">
        <f t="shared" ca="1" si="112"/>
        <v>0</v>
      </c>
      <c r="CI77" s="242"/>
      <c r="CJ77" s="242"/>
      <c r="CL77" s="242"/>
      <c r="CM77" s="242" t="str">
        <f t="shared" ca="1" si="166"/>
        <v/>
      </c>
      <c r="CN77" s="243">
        <f t="shared" ca="1" si="167"/>
        <v>0</v>
      </c>
      <c r="CO77" s="48" t="str">
        <f t="shared" ca="1" si="168"/>
        <v/>
      </c>
      <c r="CQ77" s="242"/>
      <c r="CR77" s="242">
        <f ca="1">CR60</f>
        <v>2026</v>
      </c>
      <c r="CS77" s="48">
        <f ca="1">IF(SUM(CS70,CT70)&gt;1,1,0)</f>
        <v>0</v>
      </c>
      <c r="CT77" s="48">
        <f ca="1">SUM($CS$77:CS77)</f>
        <v>0</v>
      </c>
      <c r="CU77" s="48">
        <f ca="1">IF(SUMIFS(AVERE,DEN_G,AC77,AVERE,"&gt;"&amp;0)+SUMIFS(DARE,DEN_G,AC77,DARE,"&gt;"&amp;0)&gt;0,MAX($CU$2:CU76)+1,0)</f>
        <v>0</v>
      </c>
      <c r="CV77" s="48" t="str">
        <f ca="1">IF(IFERROR(INDEX(PDC,MATCH(ROWS($CV$3:CV77),$CU$3:$CU$400,0),2),"")="CONTO DI RISULTATO ECONOMICO","",IFERROR(INDEX(PDC,MATCH(ROWS($CV$3:CV77),$CU$3:$CU$400,0),2),""))</f>
        <v/>
      </c>
      <c r="CW77" s="48">
        <f ca="1">IFERROR(IF(CV77&lt;&gt;"",MAX($CW$2:CW76)+1,0),0)</f>
        <v>0</v>
      </c>
      <c r="CX77" s="48">
        <f t="shared" ca="1" si="191"/>
        <v>6</v>
      </c>
      <c r="CY77" s="48" t="str">
        <f t="shared" ca="1" si="169"/>
        <v>MASTRO</v>
      </c>
      <c r="CZ77" s="48" t="e">
        <f t="shared" ca="1" si="193"/>
        <v>#N/A</v>
      </c>
      <c r="DA77" s="48" t="str">
        <f t="shared" ca="1" si="199"/>
        <v/>
      </c>
      <c r="DB77" s="48" t="str">
        <f t="shared" ca="1" si="76"/>
        <v/>
      </c>
      <c r="DC77" s="48" t="str">
        <f t="shared" ca="1" si="194"/>
        <v/>
      </c>
      <c r="DD77" s="48" t="str">
        <f t="shared" ca="1" si="195"/>
        <v/>
      </c>
      <c r="DE77" s="48" t="str">
        <f t="shared" ca="1" si="196"/>
        <v/>
      </c>
      <c r="DF77" s="48">
        <f ca="1">IF(AND(CX77=$DF$1,CX77&lt;&gt;""),0,IF(AND(DB77&lt;&gt;"",OR(DB76&lt;&gt;"",DB78&lt;&gt;"")),MAX($DF$2:DF76)+1,0))</f>
        <v>0</v>
      </c>
      <c r="DH77" s="244" t="s">
        <v>51</v>
      </c>
      <c r="DI77" s="228" t="s">
        <v>52</v>
      </c>
      <c r="DN77" s="48">
        <f ca="1">IF(DI77&lt;&gt;"",MAX($DN$2:DN76)+1,0)</f>
        <v>59</v>
      </c>
      <c r="DQ77" s="227" t="s">
        <v>45</v>
      </c>
      <c r="DR77" s="228" t="s">
        <v>46</v>
      </c>
      <c r="DW77" s="48">
        <f ca="1">IF(DR77&lt;&gt;"",MAX($DW$2:DW76)+1,0)</f>
        <v>37</v>
      </c>
      <c r="DY77" s="48" t="str">
        <f t="shared" ca="1" si="147"/>
        <v/>
      </c>
      <c r="DZ77" s="48" t="str">
        <f t="shared" ca="1" si="170"/>
        <v/>
      </c>
      <c r="EA77" s="48" t="str">
        <f t="shared" ca="1" si="171"/>
        <v/>
      </c>
      <c r="EB77" s="48">
        <f t="shared" ca="1" si="172"/>
        <v>0</v>
      </c>
      <c r="EC77" s="48">
        <f t="shared" ca="1" si="173"/>
        <v>0</v>
      </c>
      <c r="ED77" s="48" t="str">
        <f t="shared" ca="1" si="174"/>
        <v/>
      </c>
      <c r="EE77" s="48">
        <f t="shared" ca="1" si="175"/>
        <v>0</v>
      </c>
      <c r="EF77" s="48" t="str">
        <f t="shared" ca="1" si="176"/>
        <v/>
      </c>
      <c r="EG77" s="48">
        <f t="shared" ca="1" si="177"/>
        <v>0</v>
      </c>
      <c r="EH77" s="48" t="str">
        <f t="shared" ca="1" si="178"/>
        <v/>
      </c>
      <c r="EI77" s="48">
        <f t="shared" ca="1" si="179"/>
        <v>0</v>
      </c>
      <c r="EJ77" s="48" t="str">
        <f t="shared" ca="1" si="180"/>
        <v/>
      </c>
      <c r="EK77" s="48">
        <f t="shared" ca="1" si="181"/>
        <v>0</v>
      </c>
      <c r="EL77" s="48">
        <f t="shared" ca="1" si="148"/>
        <v>0</v>
      </c>
      <c r="EM77" s="48">
        <f ca="1">IF(EL77&gt;=0,0,MAX($EM$2:EM76)+1)</f>
        <v>0</v>
      </c>
      <c r="EN77" s="48" t="str">
        <f t="shared" ca="1" si="182"/>
        <v/>
      </c>
      <c r="EO77" s="48" t="str">
        <f ca="1">IFERROR(INDEX($EM$3:$EN$400,MATCH(ROWS($EO$3:EO77),$EM$3:$EM$400,0),2),"")</f>
        <v/>
      </c>
      <c r="EP77" s="48">
        <f>ROW()</f>
        <v>77</v>
      </c>
      <c r="EQ77" s="48">
        <f t="shared" ca="1" si="149"/>
        <v>0</v>
      </c>
      <c r="ER77" s="48">
        <f ca="1">IF(ISNA(EQ77)=TRUE,MAX($ER$2:ER76)+1,0)</f>
        <v>0</v>
      </c>
      <c r="ES77" s="48" t="str">
        <f t="shared" ca="1" si="183"/>
        <v/>
      </c>
      <c r="ET77" s="48" t="str">
        <f ca="1">IFERROR(INDEX($ER$3:$ES$400,MATCH(ROWS($ET$3:ET77),$ER$3:$ER$400,0),2),"")</f>
        <v/>
      </c>
      <c r="EV77" s="48">
        <f ca="1">IFERROR(INDEX(LIBRO_GIORNALE!$O$11:$P$408,MATCH(ROWS($EV$2:EV76),LIBRO_GIORNALE!$P$11:$P$408,0),1),0)</f>
        <v>0</v>
      </c>
      <c r="EW77" s="48" t="str">
        <f t="shared" ca="1" si="184"/>
        <v>0</v>
      </c>
      <c r="EX77" s="48">
        <f t="shared" ca="1" si="185"/>
        <v>0</v>
      </c>
      <c r="EY77" s="48">
        <f ca="1">IF(EX77&gt;0,MAX($EY$2:EY76)+1,0)</f>
        <v>0</v>
      </c>
      <c r="EZ77" s="48">
        <f ca="1">IFERROR(INDEX($EX$3:$EX$400,MATCH(ROWS($EZ$3:EZ77),$EY$3:$EY$400,0),1),0)</f>
        <v>0</v>
      </c>
      <c r="FA77" s="48">
        <f ca="1">IF(EZ77&gt;0,0,MAX($FA$2:FA76)+1)</f>
        <v>75</v>
      </c>
      <c r="FB77" s="48">
        <f t="shared" ca="1" si="186"/>
        <v>0</v>
      </c>
      <c r="FC77" s="48">
        <f t="shared" ca="1" si="187"/>
        <v>75</v>
      </c>
      <c r="FD77" s="48">
        <f t="shared" ca="1" si="188"/>
        <v>75</v>
      </c>
      <c r="FE77" s="48">
        <f ca="1">IF(FD77=0,0,MAX($FE$2:FE76)+1)</f>
        <v>75</v>
      </c>
      <c r="FF77" s="48">
        <f ca="1">IFERROR(INDEX($FD$3:$FE$400,MATCH(ROWS($FF$3:FF77),$FE$3:$FE$400,0),1),"")</f>
        <v>75</v>
      </c>
      <c r="FH77" s="48">
        <f t="shared" ca="1" si="189"/>
        <v>0</v>
      </c>
      <c r="FI77" s="48">
        <f ca="1">IF(FH77&lt;&gt;0,MAX($FI$2:FI76)+1,0)</f>
        <v>0</v>
      </c>
      <c r="FJ77" s="48" t="str">
        <f ca="1">IFERROR(INDEX($FH$3:$FI$400,MATCH(ROWS($FJ$3:FJ77),$FI$3:$FI$400,0),1),"")</f>
        <v/>
      </c>
      <c r="FK77" s="48">
        <f ca="1">IF(ABS(SUMIFS(DARE,DEN_G,"="&amp;FJ77,DATA,"&lt;="&amp;FINE_AC,DATA,"&gt;="&amp;INIZIO_A_PC)-SUMIFS(AVERE,DEN_G,"="&amp;FJ77,DATA,"&lt;="&amp;FINE_AC,DATA,"&gt;="&amp;INIZIO_A_PC))&gt;0,MAX($FK$2:FK76)+1,0)</f>
        <v>0</v>
      </c>
      <c r="FL77" s="48" t="str">
        <f ca="1">IF(AND(ROW()-2&lt;&gt;1,ROW()-2&lt;=$FK$1),CONCATENATE(" - ",IFERROR(INDEX($FJ$3:$FK$400,MATCH(ROWS($FL$3:FL77),$FK$3:$FK$400,0),1),"")),IFERROR(INDEX($FJ$3:$FK$400,MATCH(ROWS($FL$3:FL77),$FK$3:$FK$400,0),1),""))</f>
        <v/>
      </c>
      <c r="FM77" s="48">
        <f ca="1">IF(OR(B77="IVA ns/credito",B77="IVA NS/DEBITO",B77="IVA C/ACCONTO",B77="IMPOSTE C/ACCONTO",B77="CREDITI PER RITENUTE SUBITE",B77="CREDITI D'IMPOSTA"),MAX($FM$2:FM76)+1,0)</f>
        <v>2</v>
      </c>
      <c r="FN77" s="48" t="str">
        <f t="shared" ca="1" si="190"/>
        <v>IVA C/ACCONTO</v>
      </c>
      <c r="FO77" s="48" t="str">
        <f ca="1">IFERROR(INDEX($FM$3:$FN$400,MATCH(ROWS($FO$3:FO77),$FM$3:$FM$400,0),2),"")</f>
        <v/>
      </c>
      <c r="FP77" s="48">
        <f ca="1">IF(ABS(SUMIFS(DARE,DEN_G,"="&amp;FO77,DATA,"&lt;="&amp;FINE_AC,DATA,"&gt;="&amp;INIZIO_A_PC)-SUMIFS(AVERE,DEN_G,"="&amp;FO77,DATA,"&lt;="&amp;FINE_AC,DATA,"&gt;="&amp;INIZIO_A_PC))&gt;0,MAX($FP$2:FP76)+1,0)</f>
        <v>0</v>
      </c>
      <c r="FQ77" s="48" t="str">
        <f ca="1">IF(AND(ROW()-2&lt;&gt;1,ROW()-2&lt;=$FP$1),CONCATENATE(" - ",IFERROR(INDEX($FO$3:$FP$400,MATCH(ROWS($FQ$3:FQ77),$FP$3:$FP$400,0),1),"")),IFERROR(INDEX($FO$3:$FP$400,MATCH(ROWS($FQ$3:FQ77),$FP$3:$FP$400,0),1),""))</f>
        <v/>
      </c>
    </row>
    <row r="78" spans="1:173" x14ac:dyDescent="0.3">
      <c r="A78" s="48" t="str">
        <f ca="1">IFERROR(IF($A$1=2,INDEX($DH$3:$DN$401,MATCH(ROWS(A$3:A78),$DN$3:$DN$401,0),COLUMN()),IF($A$1=1,INDEX($DQ$3:$DW$401,MATCH(ROWS(A$3:A78),$DW$3:$DW$401,0),COLUMN()),"")),"")</f>
        <v>06.03</v>
      </c>
      <c r="B78" s="48" t="str">
        <f ca="1">IFERROR(IF($A$1=2,INDEX($DH$3:$DN$401,MATCH(ROWS(B$3:B78),$DN$3:$DN$401,0),COLUMN()),IF($A$1=1,INDEX($DQ$3:$DW$400,MATCH(ROWS(B$3:B78),$DW$3:$DW$401,0),COLUMN()),"")),"")</f>
        <v>CREDITI PER IVA</v>
      </c>
      <c r="C78" s="48" t="str">
        <f ca="1">IFERROR(IF($A$1=2,INDEX($DH$3:$DN$401,MATCH(ROWS(C$3:C78),$DN$3:$DN$401,0),COLUMN()),IF($A$1=1,INDEX($DQ$3:$DW$401,MATCH(ROWS(C$3:C78),$DW$3:$DW$401,0),COLUMN()),"")),"")</f>
        <v>F</v>
      </c>
      <c r="D78" s="48" t="str">
        <f ca="1">IFERROR(IF($A$1=2,INDEX($DH$3:$DN$401,MATCH(ROWS(D$3:D78),$DN$3:$DN$401,0),COLUMN()),IF($A$1=1,INDEX($DQ$3:$DW$401,MATCH(ROWS(D$3:D78),$DW$3:$DW$401,0),COLUMN()),"")),"")</f>
        <v>D</v>
      </c>
      <c r="E78" s="48" t="str">
        <f ca="1">IFERROR(IF($A$1=2,INDEX($DH$3:$DN$401,MATCH(ROWS(E$3:E78),$DN$3:$DN$401,0),COLUMN()),IF($A$1=1,INDEX($DQ$3:$DW$401,MATCH(ROWS(E$3:E78),$DW$3:$DW$401,0),COLUMN()),"")),"")</f>
        <v>CREDITI</v>
      </c>
      <c r="F78" s="48" t="str">
        <f ca="1">IFERROR(IF($A$1=2,INDEX($DH$3:$DN$401,MATCH(ROWS(F$3:F78),$DN$3:$DN$401,0),COLUMN()),IF($A$1=1,INDEX($DQ$3:$DX$401,MATCH(ROWS(F$3:F78),$DW$3:$DW$401,0),COLUMN()),"")),"")</f>
        <v>SP DARE</v>
      </c>
      <c r="G78" s="48" t="str">
        <f t="shared" ca="1" si="150"/>
        <v>SP</v>
      </c>
      <c r="H78" s="48" t="str">
        <f ca="1">IFERROR(IF($A$1=2,INDEX($DH$3:$DO$400,MATCH(ROWS(H$3:H78),$DN$3:$DN$400,0),COLUMN()),IF($A$1=1,INDEX($DQ$3:$DX$400,MATCH(ROWS(H$3:H78),$DW$3:$DW$400,0),COLUMN()),"")),"")</f>
        <v>pac2</v>
      </c>
      <c r="I78" s="48" t="str">
        <f t="shared" ca="1" si="151"/>
        <v/>
      </c>
      <c r="J78" s="48" t="str">
        <f t="shared" ca="1" si="152"/>
        <v/>
      </c>
      <c r="K78" s="48">
        <f t="shared" ca="1" si="153"/>
        <v>0</v>
      </c>
      <c r="L78" s="48">
        <f t="shared" ca="1" si="154"/>
        <v>0</v>
      </c>
      <c r="M78" s="48">
        <f ca="1">IFERROR(IF(IF(MID($A78,3,3)=".00",MID(A78,1,2),"")&lt;&gt;"",MAX($M$2:M77)+1,0),"")</f>
        <v>0</v>
      </c>
      <c r="N78" s="48" t="str">
        <f t="shared" ca="1" si="155"/>
        <v/>
      </c>
      <c r="O78" s="48">
        <v>28</v>
      </c>
      <c r="P78" s="48" t="str">
        <f t="shared" ca="1" si="156"/>
        <v/>
      </c>
      <c r="Q78" s="48">
        <f ca="1">IF(M78&gt;=1,0,MAX($Q$2:Q77)+1)</f>
        <v>69</v>
      </c>
      <c r="U78" s="48" t="str">
        <f ca="1">IFERROR(INDEX(PDC,MATCH(ROWS(U$3:U78),$V$3:$V$400,0),2),"")</f>
        <v>CREDITI DIVERSI</v>
      </c>
      <c r="V78" s="48">
        <f ca="1">IF(AND($T$1="VISUALIZZA TUTTI I CONTI",AA78&lt;&gt;""),MAX($V$2:V77)+1,IF(AND($U$2=2,AI78=$T$1),MAX($V$2:V77)+1,IF(AND($U$2=1,$T$1=AF78),MAX($V$2:V77)+1,0)))</f>
        <v>76</v>
      </c>
      <c r="Z78" s="246"/>
      <c r="AA78" s="48" t="str">
        <f t="shared" ca="1" si="157"/>
        <v>06.00</v>
      </c>
      <c r="AB78" s="48" t="str">
        <f ca="1">IFERROR(INDEX($A$3:$G$400,MATCH(ROWS(AB$3:AB78),$Q$3:$Q$400,0),1),"")</f>
        <v>06.11</v>
      </c>
      <c r="AC78" s="48" t="str">
        <f ca="1">IFERROR(INDEX($A$3:$G$400,MATCH(ROWS($AC$3:AC78),$Q$3:$Q$400,0),2),"")</f>
        <v>CREDITI DIVERSI</v>
      </c>
      <c r="AD78" s="48" t="str">
        <f ca="1">IFERROR(INDEX($A$3:$G$400,MATCH(ROWS(AD$3:AD78),$Q$3:$Q$400,0),3),"")</f>
        <v>F</v>
      </c>
      <c r="AE78" s="48" t="str">
        <f ca="1">IFERROR(INDEX($A$3:$G$400,MATCH(ROWS(AE$3:AE78),$Q$3:$Q$400,0),4),"")</f>
        <v>D</v>
      </c>
      <c r="AF78" s="48" t="str">
        <f ca="1">IFERROR(INDEX($A$3:$G$400,MATCH(ROWS(AF$3:AF78),$Q$3:$Q$400,0),5),"")</f>
        <v>CREDITI</v>
      </c>
      <c r="AG78" s="48" t="str">
        <f ca="1">IFERROR(INDEX($A$3:$G$400,MATCH(ROWS(AG$3:AG78),$Q$3:$Q$400,0),6),"")</f>
        <v>SP DARE</v>
      </c>
      <c r="AH78" s="48" t="str">
        <f ca="1">IFERROR(INDEX($A$3:$G$400,MATCH(ROWS(AH$3:AH78),$Q$3:$Q$400,0),7),"")</f>
        <v>SP</v>
      </c>
      <c r="AI78" s="48" t="str">
        <f t="shared" ca="1" si="158"/>
        <v>CREDITI DIVERSI</v>
      </c>
      <c r="AJ78" s="48" t="str">
        <f ca="1">IFERROR(INDEX($A$3:$H$400,MATCH(ROWS(AJ$3:AJ78),$Q$3:$Q$400,0),8),"")</f>
        <v>pac2</v>
      </c>
      <c r="AK78" s="48">
        <f t="shared" ca="1" si="130"/>
        <v>0</v>
      </c>
      <c r="AL78" s="48">
        <f t="shared" ca="1" si="131"/>
        <v>0</v>
      </c>
      <c r="AM78" s="48">
        <f t="shared" ca="1" si="159"/>
        <v>0</v>
      </c>
      <c r="AN78" s="48" t="str">
        <f t="shared" ca="1" si="160"/>
        <v/>
      </c>
      <c r="AO78" s="48">
        <f t="shared" ca="1" si="161"/>
        <v>0</v>
      </c>
      <c r="AP78" s="48">
        <f t="shared" ca="1" si="161"/>
        <v>0</v>
      </c>
      <c r="AQ78" s="48" t="str">
        <f t="shared" ca="1" si="132"/>
        <v>CREDITI DIVERSI</v>
      </c>
      <c r="AR78" s="48">
        <f t="shared" ca="1" si="133"/>
        <v>0</v>
      </c>
      <c r="AS78" s="48">
        <f t="shared" ca="1" si="134"/>
        <v>0</v>
      </c>
      <c r="AT78" s="48">
        <f t="shared" ca="1" si="162"/>
        <v>0</v>
      </c>
      <c r="AU78" s="48">
        <f t="shared" ca="1" si="163"/>
        <v>0</v>
      </c>
      <c r="AV78" s="48">
        <f ca="1">IF(OR(AT78&gt;0,AU78&gt;0),MAX($AV$2:AV77)+1,0)</f>
        <v>0</v>
      </c>
      <c r="AZ78" s="241" t="str">
        <f t="shared" ca="1" si="164"/>
        <v/>
      </c>
      <c r="BA78" s="48">
        <f t="shared" ca="1" si="135"/>
        <v>0</v>
      </c>
      <c r="BB78" s="48">
        <f ca="1">IFERROR(INDEX($AQ$3:$AV$220,MATCH(ROWS($BB$3:BB78),$AV$3:$AV$220,0),1),0)</f>
        <v>0</v>
      </c>
      <c r="BC78" s="48" t="str">
        <f t="shared" ca="1" si="165"/>
        <v/>
      </c>
      <c r="BD78" s="48">
        <f ca="1">IFERROR(INDEX($AQ$3:$AV$220,MATCH(ROWS($BB$3:BD78),$AV$3:$AV$220,0),4),0)</f>
        <v>0</v>
      </c>
      <c r="BE78" s="48">
        <f ca="1">IFERROR(INDEX($AQ$3:$AV$220,MATCH(ROWS($BB$3:BE78),$AV$3:$AV$220,0),5),0)</f>
        <v>0</v>
      </c>
      <c r="BG78" s="48">
        <f ca="1">IF(IF(AND(OR(INDEX(PDC,MATCH($AC78,DEN_PDC,0),6)="SP DARE",INDEX(PDC,MATCH($AC78,DEN_PDC,0),6)="SP DARE/AVERE"),SUMIFS(DARE,DEN_G,$AC78)&gt;=SUMIFS(AVERE,DEN_G,$AC78)),SUMIFS(DARE,DEN_G,$AC78)-SUMIFS(AVERE,DEN_G,$AC78),0)&gt;0,MAX($BG$2:BG77)+1,0)</f>
        <v>0</v>
      </c>
      <c r="BH78" s="48">
        <f ca="1">IF(IF(AND(OR(INDEX(PDC,MATCH($AC78,DEN_PDC,0),6)="SP AVERE",INDEX(PDC,MATCH($AC78,DEN_PDC,0),6)="SP DARE/AVERE"),SUMIFS(AVERE,DEN_G,$AC78)&gt;=SUMIFS(DARE,DEN_G,$AC78)),SUMIFS(AVERE,DEN_G,$AC78)-SUMIFS(DARE,DEN_G,$AC78),0)&gt;0,MAX(BH$2:BH77)+1,0)</f>
        <v>0</v>
      </c>
      <c r="BI78" s="48">
        <f ca="1">IF(IF(AND(OR(INDEX(PDC,MATCH($AC78,DEN_PDC,0),6)="SE DARE",INDEX(PDC,MATCH($AC78,DEN_PDC,0),6)="SE DARE/AVERE"),SUMIFS(DARE,DEN_G,$AC78)&gt;=SUMIFS(AVERE,DEN_G,$AC78)),SUMIFS(DARE,DEN_G,$AC78)-SUMIFS(AVERE,DEN_G,$AC78),0)&gt;0,MAX(BI$2:BI77)+1,0)</f>
        <v>0</v>
      </c>
      <c r="BJ78" s="48">
        <f ca="1">IF(IF(AND(OR(INDEX(PDC,MATCH($AC78,DEN_PDC,0),6)="SE AVERE",INDEX(PDC,MATCH($AC78,DEN_PDC,0),6)="SE DARE/AVERE"),SUMIFS(AVERE,DEN_G,$AC78)&gt;=SUMIFS(DARE,DEN_G,$AC78)),SUMIFS(AVERE,DEN_G,$AC78)-SUMIFS(DARE,DEN_G,$AC78),0)&gt;0,MAX(BJ$2:BJ77)+1,0)</f>
        <v>0</v>
      </c>
      <c r="BK78" s="48" t="str">
        <f ca="1">IF(AND(AND($DY$2=0,$DY$1=0),$I$1=2,ROW()&gt;$BG$1+2,ROW()&lt;=$BG$1+4),"………………..",IF(AND(OR($DY$2&gt;0,$DY$1&gt;0),$I$1=2,ROW()&gt;$BG$1+2,ROW()&lt;=$BG$1+4),"………………..",IFERROR(INDEX($AC$3:$AC$398,MATCH(ROWS(BK$3:BK78),BG$3:BG$398,0),1),"")))</f>
        <v/>
      </c>
      <c r="BL78" s="48">
        <f t="shared" ca="1" si="136"/>
        <v>0</v>
      </c>
      <c r="BM78" s="48" t="str">
        <f ca="1">IF(AND(OR($DY$2=0,$DY$1=0),$I$1=2,ROW()&gt;$BH$1+2,ROW()&lt;=$BH$1+4),"………………..",IF(AND(OR($DY$2&gt;0,$DY$1&gt;0),$I$1=2,ROW()&gt;$BH$1+2,ROW()&lt;=$BH$1+4),"………………..",IFERROR(INDEX($AC$3:$AC$400,MATCH(ROWS(BM$3:BM78),BH$3:BH$400,0),1),"")))</f>
        <v/>
      </c>
      <c r="BN78" s="48">
        <f t="shared" ca="1" si="137"/>
        <v>0</v>
      </c>
      <c r="BO78" s="48" t="str">
        <f ca="1">IF(AND(OR($DY$2=0,$DY$1=0),$I$1=2,ROW()&gt;$BI$1+2,ROW()&lt;=$BI$1+4),"………………..",IF(AND(OR($DY$2&gt;0,$DY$1&gt;0),$I$1=2,ROW()&gt;$BI$1+2,ROW()&lt;=$BI$1+4),"………………..",IFERROR(INDEX($AC$3:$AC$400,MATCH(ROWS(BO$3:BO78),BI$3:BI$400,0),1),"")))</f>
        <v/>
      </c>
      <c r="BP78" s="48">
        <f t="shared" ca="1" si="138"/>
        <v>0</v>
      </c>
      <c r="BQ78" s="48" t="str">
        <f ca="1">IF(AND(OR($DY$2=0,$DY$1=0),$I$1=2,ROW()&gt;$BJ$1+2,ROW()&lt;=$BJ$1+4),"………………..",IF(AND(OR($DY$2&gt;0,$DY$1&gt;0),$I$1=2,ROW()&gt;$BJ$1+2,ROW()&lt;=$BJ$1+4),"………………..",IFERROR(INDEX($AC$3:$AC$400,MATCH(ROWS(BQ$3:BQ78),BJ$3:BJ$400,0),1),"")))</f>
        <v/>
      </c>
      <c r="BR78" s="48">
        <f t="shared" ca="1" si="139"/>
        <v>0</v>
      </c>
      <c r="BS78" s="48">
        <f ca="1">IF(IF(AND(OR(INDEX(PDC,MATCH($AC78,DEN_PDC,0),4)="D",INDEX(PDC,MATCH($AC78,DEN_PDC,0),4)="D/A"),SUMIFS(DARE,DEN_G,$AC78)&gt;=SUMIFS(AVERE,DEN_G,$AC78)),SUMIFS(DARE,DEN_G,$AC78),IF(AND(OR(INDEX(PDC,MATCH($AC78,DEN_PDC,0),4)="A",INDEX(PDC,MATCH($AC78,DEN_PDC,0),4)="D/A"),SUMIFS(AVERE,DEN_G,$AC78)&gt;=SUMIFS(DARE,DEN_G,$AC78)),SUMIFS(AVERE,DEN_G,$AC78),))&gt;0,MAX($BS$2:BS77)+1,0)</f>
        <v>0</v>
      </c>
      <c r="BT78" s="48" t="str">
        <f ca="1">IF($CO$1=0,"",IF(AND($I$1=2,ROW()&gt;$BR$1,ROW()&lt;=$BS$1)," …………….",IF(AND($E$1=1,$BX$1=1,$I$1=2,ROW()=$BQ$1),"TOTALI",IFERROR(INDEX(PDC,MATCH(ROWS(BT$3:BT78),BS$3:BS475,0),2),""))))</f>
        <v/>
      </c>
      <c r="BU78" s="48">
        <f t="shared" ca="1" si="140"/>
        <v>0</v>
      </c>
      <c r="BV78" s="48">
        <f t="shared" ca="1" si="141"/>
        <v>0</v>
      </c>
      <c r="BW78" s="48">
        <f t="shared" ca="1" si="142"/>
        <v>0</v>
      </c>
      <c r="BX78" s="48">
        <f t="shared" ca="1" si="143"/>
        <v>0</v>
      </c>
      <c r="BY78" s="48">
        <f ca="1">IF(OR(BW78&gt;0,BX78&gt;0),MAX($BY$2:BY77)+1,0)</f>
        <v>0</v>
      </c>
      <c r="BZ78" s="48" t="str">
        <f ca="1">IFERROR(INDEX($BT$3:$BY$400,MATCH(ROWS(BZ$3:BZ78),$BY$3:$BY$400,0),1),"")</f>
        <v/>
      </c>
      <c r="CA78" s="48" t="str">
        <f ca="1">IFERROR(INDEX($BT$3:$BY$400,MATCH(ROWS(CA$3:CA78),$BY$3:$BY$400,0),4),"")</f>
        <v/>
      </c>
      <c r="CB78" s="48" t="str">
        <f ca="1">IFERROR(INDEX($BT$3:$BY$400,MATCH(ROWS(CB$3:CB78),$BY$3:$BY$400,0),5),"")</f>
        <v/>
      </c>
      <c r="CC78" s="48" t="str">
        <f t="shared" ca="1" si="144"/>
        <v/>
      </c>
      <c r="CD78" s="48">
        <f ca="1">IF(AND(CG1=TRUE,$BF$9=1,CE78&lt;&gt;0),MAX($CD$2:CD77)+1,0)</f>
        <v>0</v>
      </c>
      <c r="CE78" s="48">
        <f ca="1">SUM(CE71:CE77)</f>
        <v>0</v>
      </c>
      <c r="CG78" s="242" t="s">
        <v>505</v>
      </c>
      <c r="CH78" s="242">
        <f t="shared" ca="1" si="112"/>
        <v>0</v>
      </c>
      <c r="CI78" s="242"/>
      <c r="CJ78" s="242"/>
      <c r="CL78" s="242"/>
      <c r="CM78" s="242" t="str">
        <f t="shared" ca="1" si="166"/>
        <v/>
      </c>
      <c r="CN78" s="243">
        <f t="shared" ca="1" si="167"/>
        <v>0</v>
      </c>
      <c r="CO78" s="48" t="str">
        <f t="shared" ca="1" si="168"/>
        <v/>
      </c>
      <c r="CQ78" s="242"/>
      <c r="CR78" s="242">
        <f t="shared" ref="CR78:CR82" ca="1" si="203">CR61</f>
        <v>2027</v>
      </c>
      <c r="CS78" s="48">
        <f t="shared" ref="CS78:CS82" ca="1" si="204">IF(SUM(CS71,CT71)&gt;1,1,0)</f>
        <v>0</v>
      </c>
      <c r="CT78" s="48">
        <f ca="1">SUM($CS$77:CS78)</f>
        <v>0</v>
      </c>
      <c r="CU78" s="48">
        <f ca="1">IF(SUMIFS(AVERE,DEN_G,AC78,AVERE,"&gt;"&amp;0)+SUMIFS(DARE,DEN_G,AC78,DARE,"&gt;"&amp;0)&gt;0,MAX($CU$2:CU77)+1,0)</f>
        <v>0</v>
      </c>
      <c r="CV78" s="48" t="str">
        <f ca="1">IF(IFERROR(INDEX(PDC,MATCH(ROWS($CV$3:CV78),$CU$3:$CU$400,0),2),"")="CONTO DI RISULTATO ECONOMICO","",IFERROR(INDEX(PDC,MATCH(ROWS($CV$3:CV78),$CU$3:$CU$400,0),2),""))</f>
        <v/>
      </c>
      <c r="CW78" s="48">
        <f ca="1">IFERROR(IF(CV78&lt;&gt;"",MAX($CW$2:CW77)+1,0),0)</f>
        <v>0</v>
      </c>
      <c r="CX78" s="48">
        <f t="shared" ca="1" si="191"/>
        <v>6</v>
      </c>
      <c r="CY78" s="48" t="str">
        <f t="shared" ca="1" si="169"/>
        <v>MASTRO</v>
      </c>
      <c r="CZ78" s="48" t="e">
        <f t="shared" ca="1" si="193"/>
        <v>#N/A</v>
      </c>
      <c r="DA78" s="48" t="str">
        <f t="shared" ca="1" si="199"/>
        <v/>
      </c>
      <c r="DB78" s="48" t="str">
        <f t="shared" ca="1" si="76"/>
        <v/>
      </c>
      <c r="DC78" s="48" t="str">
        <f t="shared" ca="1" si="194"/>
        <v/>
      </c>
      <c r="DD78" s="48" t="str">
        <f t="shared" ca="1" si="195"/>
        <v/>
      </c>
      <c r="DE78" s="48" t="str">
        <f t="shared" ca="1" si="196"/>
        <v/>
      </c>
      <c r="DF78" s="48">
        <f ca="1">IF(AND(CX78=$DF$1,CX78&lt;&gt;""),0,IF(AND(DB78&lt;&gt;"",OR(DB77&lt;&gt;"",DB79&lt;&gt;"")),MAX($DF$2:DF77)+1,0))</f>
        <v>0</v>
      </c>
      <c r="DH78" s="244" t="s">
        <v>63</v>
      </c>
      <c r="DI78" s="48" t="s">
        <v>860</v>
      </c>
      <c r="DJ78" s="48" t="s">
        <v>312</v>
      </c>
      <c r="DK78" s="48" t="s">
        <v>275</v>
      </c>
      <c r="DL78" s="48" t="s">
        <v>6</v>
      </c>
      <c r="DM78" s="48" t="s">
        <v>270</v>
      </c>
      <c r="DN78" s="48">
        <f ca="1">IF(DI78&lt;&gt;"",MAX($DN$2:DN77)+1,0)</f>
        <v>60</v>
      </c>
      <c r="DO78" s="48" t="str">
        <f ca="1">IF($BF$9=1,"pac21","pac2")</f>
        <v>pac2</v>
      </c>
      <c r="DQ78" s="227" t="s">
        <v>47</v>
      </c>
      <c r="DR78" s="48" t="s">
        <v>858</v>
      </c>
      <c r="DS78" s="48" t="s">
        <v>311</v>
      </c>
      <c r="DT78" s="48" t="s">
        <v>275</v>
      </c>
      <c r="DU78" s="48" t="s">
        <v>13</v>
      </c>
      <c r="DV78" s="48" t="s">
        <v>270</v>
      </c>
      <c r="DW78" s="48">
        <f ca="1">IF(DR78&lt;&gt;"",MAX($DW$2:DW77)+1,0)</f>
        <v>38</v>
      </c>
      <c r="DX78" s="48" t="str">
        <f t="shared" ref="DX78" ca="1" si="205">IF($BF$9=1,"pac11","pac1")</f>
        <v>pac1</v>
      </c>
      <c r="DY78" s="48" t="str">
        <f t="shared" ca="1" si="147"/>
        <v/>
      </c>
      <c r="DZ78" s="48" t="str">
        <f t="shared" ca="1" si="170"/>
        <v/>
      </c>
      <c r="EA78" s="48" t="str">
        <f t="shared" ca="1" si="171"/>
        <v/>
      </c>
      <c r="EB78" s="48">
        <f t="shared" ca="1" si="172"/>
        <v>0</v>
      </c>
      <c r="EC78" s="48">
        <f t="shared" ca="1" si="173"/>
        <v>0</v>
      </c>
      <c r="ED78" s="48" t="str">
        <f t="shared" ca="1" si="174"/>
        <v/>
      </c>
      <c r="EE78" s="48">
        <f t="shared" ca="1" si="175"/>
        <v>0</v>
      </c>
      <c r="EF78" s="48" t="str">
        <f t="shared" ca="1" si="176"/>
        <v/>
      </c>
      <c r="EG78" s="48">
        <f t="shared" ca="1" si="177"/>
        <v>0</v>
      </c>
      <c r="EH78" s="48" t="str">
        <f t="shared" ca="1" si="178"/>
        <v/>
      </c>
      <c r="EI78" s="48">
        <f t="shared" ca="1" si="179"/>
        <v>0</v>
      </c>
      <c r="EJ78" s="48" t="str">
        <f t="shared" ca="1" si="180"/>
        <v/>
      </c>
      <c r="EK78" s="48">
        <f t="shared" ca="1" si="181"/>
        <v>0</v>
      </c>
      <c r="EL78" s="48">
        <f t="shared" ca="1" si="148"/>
        <v>0</v>
      </c>
      <c r="EM78" s="48">
        <f ca="1">IF(EL78&gt;=0,0,MAX($EM$2:EM77)+1)</f>
        <v>0</v>
      </c>
      <c r="EN78" s="48" t="str">
        <f t="shared" ca="1" si="182"/>
        <v/>
      </c>
      <c r="EO78" s="48" t="str">
        <f ca="1">IFERROR(INDEX($EM$3:$EN$400,MATCH(ROWS($EO$3:EO78),$EM$3:$EM$400,0),2),"")</f>
        <v/>
      </c>
      <c r="EP78" s="48">
        <f>ROW()</f>
        <v>78</v>
      </c>
      <c r="EQ78" s="48">
        <f t="shared" ca="1" si="149"/>
        <v>0</v>
      </c>
      <c r="ER78" s="48">
        <f ca="1">IF(ISNA(EQ78)=TRUE,MAX($ER$2:ER77)+1,0)</f>
        <v>0</v>
      </c>
      <c r="ES78" s="48" t="str">
        <f t="shared" ca="1" si="183"/>
        <v/>
      </c>
      <c r="ET78" s="48" t="str">
        <f ca="1">IFERROR(INDEX($ER$3:$ES$400,MATCH(ROWS($ET$3:ET78),$ER$3:$ER$400,0),2),"")</f>
        <v/>
      </c>
      <c r="EV78" s="48">
        <f ca="1">IFERROR(INDEX(LIBRO_GIORNALE!$O$11:$P$408,MATCH(ROWS($EV$2:EV77),LIBRO_GIORNALE!$P$11:$P$408,0),1),0)</f>
        <v>0</v>
      </c>
      <c r="EW78" s="48" t="str">
        <f t="shared" ca="1" si="184"/>
        <v>0</v>
      </c>
      <c r="EX78" s="48">
        <f t="shared" ca="1" si="185"/>
        <v>0</v>
      </c>
      <c r="EY78" s="48">
        <f ca="1">IF(EX78&gt;0,MAX($EY$2:EY77)+1,0)</f>
        <v>0</v>
      </c>
      <c r="EZ78" s="48">
        <f ca="1">IFERROR(INDEX($EX$3:$EX$400,MATCH(ROWS($EZ$3:EZ78),$EY$3:$EY$400,0),1),0)</f>
        <v>0</v>
      </c>
      <c r="FA78" s="48">
        <f ca="1">IF(EZ78&gt;0,0,MAX($FA$2:FA77)+1)</f>
        <v>76</v>
      </c>
      <c r="FB78" s="48">
        <f t="shared" ca="1" si="186"/>
        <v>0</v>
      </c>
      <c r="FC78" s="48">
        <f t="shared" ca="1" si="187"/>
        <v>76</v>
      </c>
      <c r="FD78" s="48">
        <f t="shared" ca="1" si="188"/>
        <v>76</v>
      </c>
      <c r="FE78" s="48">
        <f ca="1">IF(FD78=0,0,MAX($FE$2:FE77)+1)</f>
        <v>76</v>
      </c>
      <c r="FF78" s="48">
        <f ca="1">IFERROR(INDEX($FD$3:$FE$400,MATCH(ROWS($FF$3:FF78),$FE$3:$FE$400,0),1),"")</f>
        <v>76</v>
      </c>
      <c r="FH78" s="48">
        <f t="shared" ca="1" si="189"/>
        <v>0</v>
      </c>
      <c r="FI78" s="48">
        <f ca="1">IF(FH78&lt;&gt;0,MAX($FI$2:FI77)+1,0)</f>
        <v>0</v>
      </c>
      <c r="FJ78" s="48" t="str">
        <f ca="1">IFERROR(INDEX($FH$3:$FI$400,MATCH(ROWS($FJ$3:FJ78),$FI$3:$FI$400,0),1),"")</f>
        <v/>
      </c>
      <c r="FK78" s="48">
        <f ca="1">IF(ABS(SUMIFS(DARE,DEN_G,"="&amp;FJ78,DATA,"&lt;="&amp;FINE_AC,DATA,"&gt;="&amp;INIZIO_A_PC)-SUMIFS(AVERE,DEN_G,"="&amp;FJ78,DATA,"&lt;="&amp;FINE_AC,DATA,"&gt;="&amp;INIZIO_A_PC))&gt;0,MAX($FK$2:FK77)+1,0)</f>
        <v>0</v>
      </c>
      <c r="FL78" s="48" t="str">
        <f ca="1">IF(AND(ROW()-2&lt;&gt;1,ROW()-2&lt;=$FK$1),CONCATENATE(" - ",IFERROR(INDEX($FJ$3:$FK$400,MATCH(ROWS($FL$3:FL78),$FK$3:$FK$400,0),1),"")),IFERROR(INDEX($FJ$3:$FK$400,MATCH(ROWS($FL$3:FL78),$FK$3:$FK$400,0),1),""))</f>
        <v/>
      </c>
      <c r="FM78" s="48">
        <f ca="1">IF(OR(B78="IVA ns/credito",B78="IVA NS/DEBITO",B78="IVA C/ACCONTO",B78="IMPOSTE C/ACCONTO",B78="CREDITI PER RITENUTE SUBITE",B78="CREDITI D'IMPOSTA"),MAX($FM$2:FM77)+1,0)</f>
        <v>0</v>
      </c>
      <c r="FN78" s="48" t="str">
        <f t="shared" ca="1" si="190"/>
        <v/>
      </c>
      <c r="FO78" s="48" t="str">
        <f ca="1">IFERROR(INDEX($FM$3:$FN$400,MATCH(ROWS($FO$3:FO78),$FM$3:$FM$400,0),2),"")</f>
        <v/>
      </c>
      <c r="FP78" s="48">
        <f ca="1">IF(ABS(SUMIFS(DARE,DEN_G,"="&amp;FO78,DATA,"&lt;="&amp;FINE_AC,DATA,"&gt;="&amp;INIZIO_A_PC)-SUMIFS(AVERE,DEN_G,"="&amp;FO78,DATA,"&lt;="&amp;FINE_AC,DATA,"&gt;="&amp;INIZIO_A_PC))&gt;0,MAX($FP$2:FP77)+1,0)</f>
        <v>0</v>
      </c>
      <c r="FQ78" s="48" t="str">
        <f ca="1">IF(AND(ROW()-2&lt;&gt;1,ROW()-2&lt;=$FP$1),CONCATENATE(" - ",IFERROR(INDEX($FO$3:$FP$400,MATCH(ROWS($FQ$3:FQ78),$FP$3:$FP$400,0),1),"")),IFERROR(INDEX($FO$3:$FP$400,MATCH(ROWS($FQ$3:FQ78),$FP$3:$FP$400,0),1),""))</f>
        <v/>
      </c>
    </row>
    <row r="79" spans="1:173" x14ac:dyDescent="0.3">
      <c r="A79" s="48" t="str">
        <f ca="1">IFERROR(IF($A$1=2,INDEX($DH$3:$DN$401,MATCH(ROWS(A$3:A79),$DN$3:$DN$401,0),COLUMN()),IF($A$1=1,INDEX($DQ$3:$DW$401,MATCH(ROWS(A$3:A79),$DW$3:$DW$401,0),COLUMN()),"")),"")</f>
        <v>06.04</v>
      </c>
      <c r="B79" s="48" t="str">
        <f ca="1">IFERROR(IF($A$1=2,INDEX($DH$3:$DN$401,MATCH(ROWS(B$3:B79),$DN$3:$DN$401,0),COLUMN()),IF($A$1=1,INDEX($DQ$3:$DW$400,MATCH(ROWS(B$3:B79),$DW$3:$DW$401,0),COLUMN()),"")),"")</f>
        <v>IMPOSTE C/ACCONTO</v>
      </c>
      <c r="C79" s="48" t="str">
        <f ca="1">IFERROR(IF($A$1=2,INDEX($DH$3:$DN$401,MATCH(ROWS(C$3:C79),$DN$3:$DN$401,0),COLUMN()),IF($A$1=1,INDEX($DQ$3:$DW$401,MATCH(ROWS(C$3:C79),$DW$3:$DW$401,0),COLUMN()),"")),"")</f>
        <v>F</v>
      </c>
      <c r="D79" s="48" t="str">
        <f ca="1">IFERROR(IF($A$1=2,INDEX($DH$3:$DN$401,MATCH(ROWS(D$3:D79),$DN$3:$DN$401,0),COLUMN()),IF($A$1=1,INDEX($DQ$3:$DW$401,MATCH(ROWS(D$3:D79),$DW$3:$DW$401,0),COLUMN()),"")),"")</f>
        <v>D</v>
      </c>
      <c r="E79" s="48" t="str">
        <f ca="1">IFERROR(IF($A$1=2,INDEX($DH$3:$DN$401,MATCH(ROWS(E$3:E79),$DN$3:$DN$401,0),COLUMN()),IF($A$1=1,INDEX($DQ$3:$DW$401,MATCH(ROWS(E$3:E79),$DW$3:$DW$401,0),COLUMN()),"")),"")</f>
        <v>CREDITI</v>
      </c>
      <c r="F79" s="48" t="str">
        <f ca="1">IFERROR(IF($A$1=2,INDEX($DH$3:$DN$401,MATCH(ROWS(F$3:F79),$DN$3:$DN$401,0),COLUMN()),IF($A$1=1,INDEX($DQ$3:$DX$401,MATCH(ROWS(F$3:F79),$DW$3:$DW$401,0),COLUMN()),"")),"")</f>
        <v>SP DARE</v>
      </c>
      <c r="G79" s="48" t="str">
        <f t="shared" ca="1" si="150"/>
        <v>SP</v>
      </c>
      <c r="H79" s="48" t="str">
        <f ca="1">IFERROR(IF($A$1=2,INDEX($DH$3:$DO$400,MATCH(ROWS(H$3:H79),$DN$3:$DN$400,0),COLUMN()),IF($A$1=1,INDEX($DQ$3:$DX$400,MATCH(ROWS(H$3:H79),$DW$3:$DW$400,0),COLUMN()),"")),"")</f>
        <v>pac2</v>
      </c>
      <c r="I79" s="48" t="str">
        <f t="shared" ca="1" si="151"/>
        <v/>
      </c>
      <c r="J79" s="48" t="str">
        <f t="shared" ca="1" si="152"/>
        <v/>
      </c>
      <c r="K79" s="48">
        <f t="shared" ca="1" si="153"/>
        <v>0</v>
      </c>
      <c r="L79" s="48">
        <f t="shared" ca="1" si="154"/>
        <v>0</v>
      </c>
      <c r="M79" s="48">
        <f ca="1">IFERROR(IF(IF(MID($A79,3,3)=".00",MID(A79,1,2),"")&lt;&gt;"",MAX($M$2:M78)+1,0),"")</f>
        <v>0</v>
      </c>
      <c r="N79" s="48" t="str">
        <f t="shared" ca="1" si="155"/>
        <v/>
      </c>
      <c r="O79" s="48">
        <v>29</v>
      </c>
      <c r="P79" s="48" t="str">
        <f t="shared" ca="1" si="156"/>
        <v/>
      </c>
      <c r="Q79" s="48">
        <f ca="1">IF(M79&gt;=1,0,MAX($Q$2:Q78)+1)</f>
        <v>70</v>
      </c>
      <c r="U79" s="48" t="str">
        <f ca="1">IFERROR(INDEX(PDC,MATCH(ROWS(U$3:U79),$V$3:$V$400,0),2),"")</f>
        <v>CREDITI V/CONTROLLATE</v>
      </c>
      <c r="V79" s="48">
        <f ca="1">IF(AND($T$1="VISUALIZZA TUTTI I CONTI",AA79&lt;&gt;""),MAX($V$2:V78)+1,IF(AND($U$2=2,AI79=$T$1),MAX($V$2:V78)+1,IF(AND($U$2=1,$T$1=AF79),MAX($V$2:V78)+1,0)))</f>
        <v>77</v>
      </c>
      <c r="Z79" s="246"/>
      <c r="AA79" s="48" t="str">
        <f t="shared" ca="1" si="157"/>
        <v>06.00</v>
      </c>
      <c r="AB79" s="48" t="str">
        <f ca="1">IFERROR(INDEX($A$3:$G$400,MATCH(ROWS(AB$3:AB79),$Q$3:$Q$400,0),1),"")</f>
        <v>06.15</v>
      </c>
      <c r="AC79" s="48" t="str">
        <f ca="1">IFERROR(INDEX($A$3:$G$400,MATCH(ROWS($AC$3:AC79),$Q$3:$Q$400,0),2),"")</f>
        <v>CREDITI V/CONTROLLATE</v>
      </c>
      <c r="AD79" s="48" t="str">
        <f ca="1">IFERROR(INDEX($A$3:$G$400,MATCH(ROWS(AD$3:AD79),$Q$3:$Q$400,0),3),"")</f>
        <v>F</v>
      </c>
      <c r="AE79" s="48" t="str">
        <f ca="1">IFERROR(INDEX($A$3:$G$400,MATCH(ROWS(AE$3:AE79),$Q$3:$Q$400,0),4),"")</f>
        <v>D</v>
      </c>
      <c r="AF79" s="48" t="str">
        <f ca="1">IFERROR(INDEX($A$3:$G$400,MATCH(ROWS(AF$3:AF79),$Q$3:$Q$400,0),5),"")</f>
        <v>CREDITI</v>
      </c>
      <c r="AG79" s="48" t="str">
        <f ca="1">IFERROR(INDEX($A$3:$G$400,MATCH(ROWS(AG$3:AG79),$Q$3:$Q$400,0),6),"")</f>
        <v>SP DARE</v>
      </c>
      <c r="AH79" s="48" t="str">
        <f ca="1">IFERROR(INDEX($A$3:$G$400,MATCH(ROWS(AH$3:AH79),$Q$3:$Q$400,0),7),"")</f>
        <v>SP</v>
      </c>
      <c r="AI79" s="48" t="str">
        <f t="shared" ca="1" si="158"/>
        <v>CREDITI DIVERSI</v>
      </c>
      <c r="AJ79" s="48" t="str">
        <f ca="1">IFERROR(INDEX($A$3:$H$400,MATCH(ROWS(AJ$3:AJ79),$Q$3:$Q$400,0),8),"")</f>
        <v>pac2</v>
      </c>
      <c r="AK79" s="48">
        <f t="shared" ca="1" si="130"/>
        <v>0</v>
      </c>
      <c r="AL79" s="48">
        <f t="shared" ca="1" si="131"/>
        <v>0</v>
      </c>
      <c r="AM79" s="48">
        <f t="shared" ca="1" si="159"/>
        <v>0</v>
      </c>
      <c r="AN79" s="48" t="str">
        <f t="shared" ca="1" si="160"/>
        <v/>
      </c>
      <c r="AO79" s="48">
        <f t="shared" ca="1" si="161"/>
        <v>0</v>
      </c>
      <c r="AP79" s="48">
        <f t="shared" ca="1" si="161"/>
        <v>0</v>
      </c>
      <c r="AQ79" s="48" t="str">
        <f t="shared" ca="1" si="132"/>
        <v>CREDITI V/CONTROLLATE</v>
      </c>
      <c r="AR79" s="48">
        <f t="shared" ca="1" si="133"/>
        <v>0</v>
      </c>
      <c r="AS79" s="48">
        <f t="shared" ca="1" si="134"/>
        <v>0</v>
      </c>
      <c r="AT79" s="48">
        <f t="shared" ca="1" si="162"/>
        <v>0</v>
      </c>
      <c r="AU79" s="48">
        <f t="shared" ca="1" si="163"/>
        <v>0</v>
      </c>
      <c r="AV79" s="48">
        <f ca="1">IF(OR(AT79&gt;0,AU79&gt;0),MAX($AV$2:AV78)+1,0)</f>
        <v>0</v>
      </c>
      <c r="AZ79" s="241" t="str">
        <f t="shared" ca="1" si="164"/>
        <v/>
      </c>
      <c r="BA79" s="48">
        <f t="shared" ca="1" si="135"/>
        <v>0</v>
      </c>
      <c r="BB79" s="48">
        <f ca="1">IFERROR(INDEX($AQ$3:$AV$220,MATCH(ROWS($BB$3:BB79),$AV$3:$AV$220,0),1),0)</f>
        <v>0</v>
      </c>
      <c r="BC79" s="48" t="str">
        <f t="shared" ca="1" si="165"/>
        <v/>
      </c>
      <c r="BD79" s="48">
        <f ca="1">IFERROR(INDEX($AQ$3:$AV$220,MATCH(ROWS($BB$3:BD79),$AV$3:$AV$220,0),4),0)</f>
        <v>0</v>
      </c>
      <c r="BE79" s="48">
        <f ca="1">IFERROR(INDEX($AQ$3:$AV$220,MATCH(ROWS($BB$3:BE79),$AV$3:$AV$220,0),5),0)</f>
        <v>0</v>
      </c>
      <c r="BG79" s="48">
        <f ca="1">IF(IF(AND(OR(INDEX(PDC,MATCH($AC79,DEN_PDC,0),6)="SP DARE",INDEX(PDC,MATCH($AC79,DEN_PDC,0),6)="SP DARE/AVERE"),SUMIFS(DARE,DEN_G,$AC79)&gt;=SUMIFS(AVERE,DEN_G,$AC79)),SUMIFS(DARE,DEN_G,$AC79)-SUMIFS(AVERE,DEN_G,$AC79),0)&gt;0,MAX($BG$2:BG78)+1,0)</f>
        <v>0</v>
      </c>
      <c r="BH79" s="48">
        <f ca="1">IF(IF(AND(OR(INDEX(PDC,MATCH($AC79,DEN_PDC,0),6)="SP AVERE",INDEX(PDC,MATCH($AC79,DEN_PDC,0),6)="SP DARE/AVERE"),SUMIFS(AVERE,DEN_G,$AC79)&gt;=SUMIFS(DARE,DEN_G,$AC79)),SUMIFS(AVERE,DEN_G,$AC79)-SUMIFS(DARE,DEN_G,$AC79),0)&gt;0,MAX(BH$2:BH78)+1,0)</f>
        <v>0</v>
      </c>
      <c r="BI79" s="48">
        <f ca="1">IF(IF(AND(OR(INDEX(PDC,MATCH($AC79,DEN_PDC,0),6)="SE DARE",INDEX(PDC,MATCH($AC79,DEN_PDC,0),6)="SE DARE/AVERE"),SUMIFS(DARE,DEN_G,$AC79)&gt;=SUMIFS(AVERE,DEN_G,$AC79)),SUMIFS(DARE,DEN_G,$AC79)-SUMIFS(AVERE,DEN_G,$AC79),0)&gt;0,MAX(BI$2:BI78)+1,0)</f>
        <v>0</v>
      </c>
      <c r="BJ79" s="48">
        <f ca="1">IF(IF(AND(OR(INDEX(PDC,MATCH($AC79,DEN_PDC,0),6)="SE AVERE",INDEX(PDC,MATCH($AC79,DEN_PDC,0),6)="SE DARE/AVERE"),SUMIFS(AVERE,DEN_G,$AC79)&gt;=SUMIFS(DARE,DEN_G,$AC79)),SUMIFS(AVERE,DEN_G,$AC79)-SUMIFS(DARE,DEN_G,$AC79),0)&gt;0,MAX(BJ$2:BJ78)+1,0)</f>
        <v>0</v>
      </c>
      <c r="BK79" s="48" t="str">
        <f ca="1">IF(AND(AND($DY$2=0,$DY$1=0),$I$1=2,ROW()&gt;$BG$1+2,ROW()&lt;=$BG$1+4),"………………..",IF(AND(OR($DY$2&gt;0,$DY$1&gt;0),$I$1=2,ROW()&gt;$BG$1+2,ROW()&lt;=$BG$1+4),"………………..",IFERROR(INDEX($AC$3:$AC$398,MATCH(ROWS(BK$3:BK79),BG$3:BG$398,0),1),"")))</f>
        <v/>
      </c>
      <c r="BL79" s="48">
        <f t="shared" ca="1" si="136"/>
        <v>0</v>
      </c>
      <c r="BM79" s="48" t="str">
        <f ca="1">IF(AND(OR($DY$2=0,$DY$1=0),$I$1=2,ROW()&gt;$BH$1+2,ROW()&lt;=$BH$1+4),"………………..",IF(AND(OR($DY$2&gt;0,$DY$1&gt;0),$I$1=2,ROW()&gt;$BH$1+2,ROW()&lt;=$BH$1+4),"………………..",IFERROR(INDEX($AC$3:$AC$400,MATCH(ROWS(BM$3:BM79),BH$3:BH$400,0),1),"")))</f>
        <v/>
      </c>
      <c r="BN79" s="48">
        <f t="shared" ca="1" si="137"/>
        <v>0</v>
      </c>
      <c r="BO79" s="48" t="str">
        <f ca="1">IF(AND(OR($DY$2=0,$DY$1=0),$I$1=2,ROW()&gt;$BI$1+2,ROW()&lt;=$BI$1+4),"………………..",IF(AND(OR($DY$2&gt;0,$DY$1&gt;0),$I$1=2,ROW()&gt;$BI$1+2,ROW()&lt;=$BI$1+4),"………………..",IFERROR(INDEX($AC$3:$AC$400,MATCH(ROWS(BO$3:BO79),BI$3:BI$400,0),1),"")))</f>
        <v/>
      </c>
      <c r="BP79" s="48">
        <f t="shared" ca="1" si="138"/>
        <v>0</v>
      </c>
      <c r="BQ79" s="48" t="str">
        <f ca="1">IF(AND(OR($DY$2=0,$DY$1=0),$I$1=2,ROW()&gt;$BJ$1+2,ROW()&lt;=$BJ$1+4),"………………..",IF(AND(OR($DY$2&gt;0,$DY$1&gt;0),$I$1=2,ROW()&gt;$BJ$1+2,ROW()&lt;=$BJ$1+4),"………………..",IFERROR(INDEX($AC$3:$AC$400,MATCH(ROWS(BQ$3:BQ79),BJ$3:BJ$400,0),1),"")))</f>
        <v/>
      </c>
      <c r="BR79" s="48">
        <f t="shared" ca="1" si="139"/>
        <v>0</v>
      </c>
      <c r="BS79" s="48">
        <f ca="1">IF(IF(AND(OR(INDEX(PDC,MATCH($AC79,DEN_PDC,0),4)="D",INDEX(PDC,MATCH($AC79,DEN_PDC,0),4)="D/A"),SUMIFS(DARE,DEN_G,$AC79)&gt;=SUMIFS(AVERE,DEN_G,$AC79)),SUMIFS(DARE,DEN_G,$AC79),IF(AND(OR(INDEX(PDC,MATCH($AC79,DEN_PDC,0),4)="A",INDEX(PDC,MATCH($AC79,DEN_PDC,0),4)="D/A"),SUMIFS(AVERE,DEN_G,$AC79)&gt;=SUMIFS(DARE,DEN_G,$AC79)),SUMIFS(AVERE,DEN_G,$AC79),))&gt;0,MAX($BS$2:BS78)+1,0)</f>
        <v>0</v>
      </c>
      <c r="BT79" s="48" t="str">
        <f ca="1">IF($CO$1=0,"",IF(AND($I$1=2,ROW()&gt;$BR$1,ROW()&lt;=$BS$1)," …………….",IF(AND($E$1=1,$BX$1=1,$I$1=2,ROW()=$BQ$1),"TOTALI",IFERROR(INDEX(PDC,MATCH(ROWS(BT$3:BT79),BS$3:BS476,0),2),""))))</f>
        <v/>
      </c>
      <c r="BU79" s="48">
        <f t="shared" ca="1" si="140"/>
        <v>0</v>
      </c>
      <c r="BV79" s="48">
        <f t="shared" ca="1" si="141"/>
        <v>0</v>
      </c>
      <c r="BW79" s="48">
        <f t="shared" ca="1" si="142"/>
        <v>0</v>
      </c>
      <c r="BX79" s="48">
        <f t="shared" ca="1" si="143"/>
        <v>0</v>
      </c>
      <c r="BY79" s="48">
        <f ca="1">IF(OR(BW79&gt;0,BX79&gt;0),MAX($BY$2:BY78)+1,0)</f>
        <v>0</v>
      </c>
      <c r="BZ79" s="48" t="str">
        <f ca="1">IFERROR(INDEX($BT$3:$BY$400,MATCH(ROWS(BZ$3:BZ79),$BY$3:$BY$400,0),1),"")</f>
        <v/>
      </c>
      <c r="CA79" s="48" t="str">
        <f ca="1">IFERROR(INDEX($BT$3:$BY$400,MATCH(ROWS(CA$3:CA79),$BY$3:$BY$400,0),4),"")</f>
        <v/>
      </c>
      <c r="CB79" s="48" t="str">
        <f ca="1">IFERROR(INDEX($BT$3:$BY$400,MATCH(ROWS(CB$3:CB79),$BY$3:$BY$400,0),5),"")</f>
        <v/>
      </c>
      <c r="CC79" s="48" t="str">
        <f t="shared" ca="1" si="144"/>
        <v/>
      </c>
      <c r="CD79" s="48">
        <f ca="1">IF(AND($BF$9=1,CE79&lt;&gt;0),MAX($CD$2:CD78)+1,0)</f>
        <v>0</v>
      </c>
      <c r="CE79" s="48">
        <f ca="1">IF(OR(CE83&gt;0,CE83="_ _ _"),"a",0)</f>
        <v>0</v>
      </c>
      <c r="CF79" s="48" t="s">
        <v>736</v>
      </c>
      <c r="CG79" s="242" t="s">
        <v>536</v>
      </c>
      <c r="CH79" s="242"/>
      <c r="CI79" s="242"/>
      <c r="CJ79" s="242"/>
      <c r="CL79" s="242"/>
      <c r="CM79" s="242" t="str">
        <f t="shared" ca="1" si="166"/>
        <v/>
      </c>
      <c r="CN79" s="243">
        <f t="shared" ca="1" si="167"/>
        <v>0</v>
      </c>
      <c r="CO79" s="48" t="str">
        <f t="shared" ca="1" si="168"/>
        <v/>
      </c>
      <c r="CQ79" s="242"/>
      <c r="CR79" s="242">
        <f t="shared" ca="1" si="203"/>
        <v>2028</v>
      </c>
      <c r="CS79" s="48">
        <f t="shared" ca="1" si="204"/>
        <v>0</v>
      </c>
      <c r="CT79" s="48">
        <f ca="1">SUM($CS$77:CS79)</f>
        <v>0</v>
      </c>
      <c r="CU79" s="48">
        <f ca="1">IF(SUMIFS(AVERE,DEN_G,AC79,AVERE,"&gt;"&amp;0)+SUMIFS(DARE,DEN_G,AC79,DARE,"&gt;"&amp;0)&gt;0,MAX($CU$2:CU78)+1,0)</f>
        <v>0</v>
      </c>
      <c r="CV79" s="48" t="str">
        <f ca="1">IF(IFERROR(INDEX(PDC,MATCH(ROWS($CV$3:CV79),$CU$3:$CU$400,0),2),"")="CONTO DI RISULTATO ECONOMICO","",IFERROR(INDEX(PDC,MATCH(ROWS($CV$3:CV79),$CU$3:$CU$400,0),2),""))</f>
        <v/>
      </c>
      <c r="CW79" s="48">
        <f ca="1">IFERROR(IF(CV79&lt;&gt;"",MAX($CW$2:CW78)+1,0),0)</f>
        <v>0</v>
      </c>
      <c r="CX79" s="48">
        <f t="shared" ca="1" si="191"/>
        <v>6</v>
      </c>
      <c r="CY79" s="48" t="str">
        <f t="shared" ca="1" si="169"/>
        <v>MASTRO</v>
      </c>
      <c r="CZ79" s="48" t="e">
        <f t="shared" ca="1" si="193"/>
        <v>#N/A</v>
      </c>
      <c r="DA79" s="48" t="str">
        <f t="shared" ca="1" si="199"/>
        <v/>
      </c>
      <c r="DB79" s="48" t="str">
        <f t="shared" ca="1" si="76"/>
        <v/>
      </c>
      <c r="DC79" s="48" t="str">
        <f t="shared" ca="1" si="194"/>
        <v/>
      </c>
      <c r="DD79" s="48" t="str">
        <f t="shared" ca="1" si="195"/>
        <v/>
      </c>
      <c r="DE79" s="48" t="str">
        <f t="shared" ca="1" si="196"/>
        <v/>
      </c>
      <c r="DF79" s="48">
        <f ca="1">IF(AND(CX79=$DF$1,CX79&lt;&gt;""),0,IF(AND(DB79&lt;&gt;"",OR(DB78&lt;&gt;"",DB80&lt;&gt;"")),MAX($DF$2:DF78)+1,0))</f>
        <v>0</v>
      </c>
      <c r="DH79" s="244" t="s">
        <v>64</v>
      </c>
      <c r="DI79" s="48" t="s">
        <v>53</v>
      </c>
      <c r="DJ79" s="48" t="s">
        <v>312</v>
      </c>
      <c r="DK79" s="48" t="s">
        <v>275</v>
      </c>
      <c r="DL79" s="48" t="s">
        <v>6</v>
      </c>
      <c r="DM79" s="48" t="s">
        <v>270</v>
      </c>
      <c r="DN79" s="48">
        <f ca="1">IF(DI79&lt;&gt;"",MAX($DN$2:DN78)+1,0)</f>
        <v>61</v>
      </c>
      <c r="DO79" s="48" t="str">
        <f t="shared" ref="DO79:DO90" ca="1" si="206">IF($BF$9=1,"pac21","pac2")</f>
        <v>pac2</v>
      </c>
      <c r="DQ79" s="227" t="s">
        <v>48</v>
      </c>
      <c r="DR79" s="48" t="s">
        <v>49</v>
      </c>
      <c r="DS79" s="48" t="s">
        <v>311</v>
      </c>
      <c r="DT79" s="48" t="s">
        <v>275</v>
      </c>
      <c r="DU79" s="48" t="s">
        <v>13</v>
      </c>
      <c r="DV79" s="48" t="s">
        <v>270</v>
      </c>
      <c r="DW79" s="48">
        <f ca="1">IF(DR79&lt;&gt;"",MAX($DW$2:DW78)+1,0)</f>
        <v>39</v>
      </c>
      <c r="DX79" s="48" t="str">
        <f ca="1">IF($BF$9=1,"pac14","pac1")</f>
        <v>pac1</v>
      </c>
      <c r="DY79" s="48" t="str">
        <f t="shared" ca="1" si="147"/>
        <v/>
      </c>
      <c r="DZ79" s="48" t="str">
        <f t="shared" ca="1" si="170"/>
        <v/>
      </c>
      <c r="EA79" s="48" t="str">
        <f t="shared" ca="1" si="171"/>
        <v/>
      </c>
      <c r="EB79" s="48">
        <f t="shared" ca="1" si="172"/>
        <v>0</v>
      </c>
      <c r="EC79" s="48">
        <f t="shared" ca="1" si="173"/>
        <v>0</v>
      </c>
      <c r="ED79" s="48" t="str">
        <f t="shared" ca="1" si="174"/>
        <v/>
      </c>
      <c r="EE79" s="48">
        <f t="shared" ca="1" si="175"/>
        <v>0</v>
      </c>
      <c r="EF79" s="48" t="str">
        <f t="shared" ca="1" si="176"/>
        <v/>
      </c>
      <c r="EG79" s="48">
        <f t="shared" ca="1" si="177"/>
        <v>0</v>
      </c>
      <c r="EH79" s="48" t="str">
        <f t="shared" ca="1" si="178"/>
        <v/>
      </c>
      <c r="EI79" s="48">
        <f t="shared" ca="1" si="179"/>
        <v>0</v>
      </c>
      <c r="EJ79" s="48" t="str">
        <f t="shared" ca="1" si="180"/>
        <v/>
      </c>
      <c r="EK79" s="48">
        <f t="shared" ca="1" si="181"/>
        <v>0</v>
      </c>
      <c r="EL79" s="48">
        <f t="shared" ca="1" si="148"/>
        <v>0</v>
      </c>
      <c r="EM79" s="48">
        <f ca="1">IF(EL79&gt;=0,0,MAX($EM$2:EM78)+1)</f>
        <v>0</v>
      </c>
      <c r="EN79" s="48" t="str">
        <f t="shared" ca="1" si="182"/>
        <v/>
      </c>
      <c r="EO79" s="48" t="str">
        <f ca="1">IFERROR(INDEX($EM$3:$EN$400,MATCH(ROWS($EO$3:EO79),$EM$3:$EM$400,0),2),"")</f>
        <v/>
      </c>
      <c r="EP79" s="48">
        <f>ROW()</f>
        <v>79</v>
      </c>
      <c r="EQ79" s="48">
        <f t="shared" ca="1" si="149"/>
        <v>0</v>
      </c>
      <c r="ER79" s="48">
        <f ca="1">IF(ISNA(EQ79)=TRUE,MAX($ER$2:ER78)+1,0)</f>
        <v>0</v>
      </c>
      <c r="ES79" s="48" t="str">
        <f t="shared" ca="1" si="183"/>
        <v/>
      </c>
      <c r="ET79" s="48" t="str">
        <f ca="1">IFERROR(INDEX($ER$3:$ES$400,MATCH(ROWS($ET$3:ET79),$ER$3:$ER$400,0),2),"")</f>
        <v/>
      </c>
      <c r="EV79" s="48">
        <f ca="1">IFERROR(INDEX(LIBRO_GIORNALE!$O$11:$P$408,MATCH(ROWS($EV$2:EV78),LIBRO_GIORNALE!$P$11:$P$408,0),1),0)</f>
        <v>0</v>
      </c>
      <c r="EW79" s="48" t="str">
        <f t="shared" ca="1" si="184"/>
        <v>0</v>
      </c>
      <c r="EX79" s="48">
        <f t="shared" ca="1" si="185"/>
        <v>0</v>
      </c>
      <c r="EY79" s="48">
        <f ca="1">IF(EX79&gt;0,MAX($EY$2:EY78)+1,0)</f>
        <v>0</v>
      </c>
      <c r="EZ79" s="48">
        <f ca="1">IFERROR(INDEX($EX$3:$EX$400,MATCH(ROWS($EZ$3:EZ79),$EY$3:$EY$400,0),1),0)</f>
        <v>0</v>
      </c>
      <c r="FA79" s="48">
        <f ca="1">IF(EZ79&gt;0,0,MAX($FA$2:FA78)+1)</f>
        <v>77</v>
      </c>
      <c r="FB79" s="48">
        <f t="shared" ca="1" si="186"/>
        <v>0</v>
      </c>
      <c r="FC79" s="48">
        <f t="shared" ca="1" si="187"/>
        <v>77</v>
      </c>
      <c r="FD79" s="48">
        <f t="shared" ca="1" si="188"/>
        <v>77</v>
      </c>
      <c r="FE79" s="48">
        <f ca="1">IF(FD79=0,0,MAX($FE$2:FE78)+1)</f>
        <v>77</v>
      </c>
      <c r="FF79" s="48">
        <f ca="1">IFERROR(INDEX($FD$3:$FE$400,MATCH(ROWS($FF$3:FF79),$FE$3:$FE$400,0),1),"")</f>
        <v>77</v>
      </c>
      <c r="FH79" s="48">
        <f t="shared" ca="1" si="189"/>
        <v>0</v>
      </c>
      <c r="FI79" s="48">
        <f ca="1">IF(FH79&lt;&gt;0,MAX($FI$2:FI78)+1,0)</f>
        <v>0</v>
      </c>
      <c r="FJ79" s="48" t="str">
        <f ca="1">IFERROR(INDEX($FH$3:$FI$400,MATCH(ROWS($FJ$3:FJ79),$FI$3:$FI$400,0),1),"")</f>
        <v/>
      </c>
      <c r="FK79" s="48">
        <f ca="1">IF(ABS(SUMIFS(DARE,DEN_G,"="&amp;FJ79,DATA,"&lt;="&amp;FINE_AC,DATA,"&gt;="&amp;INIZIO_A_PC)-SUMIFS(AVERE,DEN_G,"="&amp;FJ79,DATA,"&lt;="&amp;FINE_AC,DATA,"&gt;="&amp;INIZIO_A_PC))&gt;0,MAX($FK$2:FK78)+1,0)</f>
        <v>0</v>
      </c>
      <c r="FL79" s="48" t="str">
        <f ca="1">IF(AND(ROW()-2&lt;&gt;1,ROW()-2&lt;=$FK$1),CONCATENATE(" - ",IFERROR(INDEX($FJ$3:$FK$400,MATCH(ROWS($FL$3:FL79),$FK$3:$FK$400,0),1),"")),IFERROR(INDEX($FJ$3:$FK$400,MATCH(ROWS($FL$3:FL79),$FK$3:$FK$400,0),1),""))</f>
        <v/>
      </c>
      <c r="FM79" s="48">
        <f ca="1">IF(OR(B79="IVA ns/credito",B79="IVA NS/DEBITO",B79="IVA C/ACCONTO",B79="IMPOSTE C/ACCONTO",B79="CREDITI PER RITENUTE SUBITE",B79="CREDITI D'IMPOSTA"),MAX($FM$2:FM78)+1,0)</f>
        <v>3</v>
      </c>
      <c r="FN79" s="48" t="str">
        <f t="shared" ca="1" si="190"/>
        <v>IMPOSTE C/ACCONTO</v>
      </c>
      <c r="FO79" s="48" t="str">
        <f ca="1">IFERROR(INDEX($FM$3:$FN$400,MATCH(ROWS($FO$3:FO79),$FM$3:$FM$400,0),2),"")</f>
        <v/>
      </c>
      <c r="FP79" s="48">
        <f ca="1">IF(ABS(SUMIFS(DARE,DEN_G,"="&amp;FO79,DATA,"&lt;="&amp;FINE_AC,DATA,"&gt;="&amp;INIZIO_A_PC)-SUMIFS(AVERE,DEN_G,"="&amp;FO79,DATA,"&lt;="&amp;FINE_AC,DATA,"&gt;="&amp;INIZIO_A_PC))&gt;0,MAX($FP$2:FP78)+1,0)</f>
        <v>0</v>
      </c>
      <c r="FQ79" s="48" t="str">
        <f ca="1">IF(AND(ROW()-2&lt;&gt;1,ROW()-2&lt;=$FP$1),CONCATENATE(" - ",IFERROR(INDEX($FO$3:$FP$400,MATCH(ROWS($FQ$3:FQ79),$FP$3:$FP$400,0),1),"")),IFERROR(INDEX($FO$3:$FP$400,MATCH(ROWS($FQ$3:FQ79),$FP$3:$FP$400,0),1),""))</f>
        <v/>
      </c>
    </row>
    <row r="80" spans="1:173" x14ac:dyDescent="0.3">
      <c r="A80" s="48" t="str">
        <f ca="1">IFERROR(IF($A$1=2,INDEX($DH$3:$DN$401,MATCH(ROWS(A$3:A80),$DN$3:$DN$401,0),COLUMN()),IF($A$1=1,INDEX($DQ$3:$DW$401,MATCH(ROWS(A$3:A80),$DW$3:$DW$401,0),COLUMN()),"")),"")</f>
        <v>06.05</v>
      </c>
      <c r="B80" s="48" t="str">
        <f ca="1">IFERROR(IF($A$1=2,INDEX($DH$3:$DN$401,MATCH(ROWS(B$3:B80),$DN$3:$DN$401,0),COLUMN()),IF($A$1=1,INDEX($DQ$3:$DW$400,MATCH(ROWS(B$3:B80),$DW$3:$DW$401,0),COLUMN()),"")),"")</f>
        <v>CREDITI PER RITENUTE SUBITE</v>
      </c>
      <c r="C80" s="48" t="str">
        <f ca="1">IFERROR(IF($A$1=2,INDEX($DH$3:$DN$401,MATCH(ROWS(C$3:C80),$DN$3:$DN$401,0),COLUMN()),IF($A$1=1,INDEX($DQ$3:$DW$401,MATCH(ROWS(C$3:C80),$DW$3:$DW$401,0),COLUMN()),"")),"")</f>
        <v>F</v>
      </c>
      <c r="D80" s="48" t="str">
        <f ca="1">IFERROR(IF($A$1=2,INDEX($DH$3:$DN$401,MATCH(ROWS(D$3:D80),$DN$3:$DN$401,0),COLUMN()),IF($A$1=1,INDEX($DQ$3:$DW$401,MATCH(ROWS(D$3:D80),$DW$3:$DW$401,0),COLUMN()),"")),"")</f>
        <v>D</v>
      </c>
      <c r="E80" s="48" t="str">
        <f ca="1">IFERROR(IF($A$1=2,INDEX($DH$3:$DN$401,MATCH(ROWS(E$3:E80),$DN$3:$DN$401,0),COLUMN()),IF($A$1=1,INDEX($DQ$3:$DW$401,MATCH(ROWS(E$3:E80),$DW$3:$DW$401,0),COLUMN()),"")),"")</f>
        <v>CREDITI</v>
      </c>
      <c r="F80" s="48" t="str">
        <f ca="1">IFERROR(IF($A$1=2,INDEX($DH$3:$DN$401,MATCH(ROWS(F$3:F80),$DN$3:$DN$401,0),COLUMN()),IF($A$1=1,INDEX($DQ$3:$DX$401,MATCH(ROWS(F$3:F80),$DW$3:$DW$401,0),COLUMN()),"")),"")</f>
        <v>SP DARE</v>
      </c>
      <c r="G80" s="48" t="str">
        <f t="shared" ca="1" si="150"/>
        <v>SP</v>
      </c>
      <c r="H80" s="48" t="str">
        <f ca="1">IFERROR(IF($A$1=2,INDEX($DH$3:$DO$400,MATCH(ROWS(H$3:H80),$DN$3:$DN$400,0),COLUMN()),IF($A$1=1,INDEX($DQ$3:$DX$400,MATCH(ROWS(H$3:H80),$DW$3:$DW$400,0),COLUMN()),"")),"")</f>
        <v>pac2</v>
      </c>
      <c r="I80" s="48" t="str">
        <f t="shared" ca="1" si="151"/>
        <v/>
      </c>
      <c r="J80" s="48" t="str">
        <f t="shared" ca="1" si="152"/>
        <v/>
      </c>
      <c r="K80" s="48">
        <f t="shared" ca="1" si="153"/>
        <v>0</v>
      </c>
      <c r="L80" s="48">
        <f t="shared" ca="1" si="154"/>
        <v>0</v>
      </c>
      <c r="M80" s="48">
        <f ca="1">IFERROR(IF(IF(MID($A80,3,3)=".00",MID(A80,1,2),"")&lt;&gt;"",MAX($M$2:M79)+1,0),"")</f>
        <v>0</v>
      </c>
      <c r="N80" s="48" t="str">
        <f t="shared" ca="1" si="155"/>
        <v/>
      </c>
      <c r="O80" s="48">
        <v>30</v>
      </c>
      <c r="P80" s="48" t="str">
        <f t="shared" ca="1" si="156"/>
        <v/>
      </c>
      <c r="Q80" s="48">
        <f ca="1">IF(M80&gt;=1,0,MAX($Q$2:Q79)+1)</f>
        <v>71</v>
      </c>
      <c r="U80" s="48" t="str">
        <f ca="1">IFERROR(INDEX(PDC,MATCH(ROWS(U$3:U80),$V$3:$V$400,0),2),"")</f>
        <v>CREDITI V/COLLEGATE</v>
      </c>
      <c r="V80" s="48">
        <f ca="1">IF(AND($T$1="VISUALIZZA TUTTI I CONTI",AA80&lt;&gt;""),MAX($V$2:V79)+1,IF(AND($U$2=2,AI80=$T$1),MAX($V$2:V79)+1,IF(AND($U$2=1,$T$1=AF80),MAX($V$2:V79)+1,0)))</f>
        <v>78</v>
      </c>
      <c r="Z80" s="246"/>
      <c r="AA80" s="48" t="str">
        <f t="shared" ca="1" si="157"/>
        <v>06.00</v>
      </c>
      <c r="AB80" s="48" t="str">
        <f ca="1">IFERROR(INDEX($A$3:$G$400,MATCH(ROWS(AB$3:AB80),$Q$3:$Q$400,0),1),"")</f>
        <v>06.16</v>
      </c>
      <c r="AC80" s="48" t="str">
        <f ca="1">IFERROR(INDEX($A$3:$G$400,MATCH(ROWS($AC$3:AC80),$Q$3:$Q$400,0),2),"")</f>
        <v>CREDITI V/COLLEGATE</v>
      </c>
      <c r="AD80" s="48" t="str">
        <f ca="1">IFERROR(INDEX($A$3:$G$400,MATCH(ROWS(AD$3:AD80),$Q$3:$Q$400,0),3),"")</f>
        <v>F</v>
      </c>
      <c r="AE80" s="48" t="str">
        <f ca="1">IFERROR(INDEX($A$3:$G$400,MATCH(ROWS(AE$3:AE80),$Q$3:$Q$400,0),4),"")</f>
        <v>D</v>
      </c>
      <c r="AF80" s="48" t="str">
        <f ca="1">IFERROR(INDEX($A$3:$G$400,MATCH(ROWS(AF$3:AF80),$Q$3:$Q$400,0),5),"")</f>
        <v>CREDITI</v>
      </c>
      <c r="AG80" s="48" t="str">
        <f ca="1">IFERROR(INDEX($A$3:$G$400,MATCH(ROWS(AG$3:AG80),$Q$3:$Q$400,0),6),"")</f>
        <v>SP DARE</v>
      </c>
      <c r="AH80" s="48" t="str">
        <f ca="1">IFERROR(INDEX($A$3:$G$400,MATCH(ROWS(AH$3:AH80),$Q$3:$Q$400,0),7),"")</f>
        <v>SP</v>
      </c>
      <c r="AI80" s="48" t="str">
        <f t="shared" ca="1" si="158"/>
        <v>CREDITI DIVERSI</v>
      </c>
      <c r="AJ80" s="48" t="str">
        <f ca="1">IFERROR(INDEX($A$3:$H$400,MATCH(ROWS(AJ$3:AJ80),$Q$3:$Q$400,0),8),"")</f>
        <v>pac2</v>
      </c>
      <c r="AK80" s="48">
        <f t="shared" ca="1" si="130"/>
        <v>0</v>
      </c>
      <c r="AL80" s="48">
        <f t="shared" ca="1" si="131"/>
        <v>0</v>
      </c>
      <c r="AM80" s="48">
        <f t="shared" ca="1" si="159"/>
        <v>0</v>
      </c>
      <c r="AN80" s="48" t="str">
        <f t="shared" ca="1" si="160"/>
        <v/>
      </c>
      <c r="AO80" s="48">
        <f t="shared" ca="1" si="161"/>
        <v>0</v>
      </c>
      <c r="AP80" s="48">
        <f t="shared" ca="1" si="161"/>
        <v>0</v>
      </c>
      <c r="AQ80" s="48" t="str">
        <f t="shared" ca="1" si="132"/>
        <v>CREDITI V/COLLEGATE</v>
      </c>
      <c r="AR80" s="48">
        <f t="shared" ca="1" si="133"/>
        <v>0</v>
      </c>
      <c r="AS80" s="48">
        <f t="shared" ca="1" si="134"/>
        <v>0</v>
      </c>
      <c r="AT80" s="48">
        <f t="shared" ca="1" si="162"/>
        <v>0</v>
      </c>
      <c r="AU80" s="48">
        <f t="shared" ca="1" si="163"/>
        <v>0</v>
      </c>
      <c r="AV80" s="48">
        <f ca="1">IF(OR(AT80&gt;0,AU80&gt;0),MAX($AV$2:AV79)+1,0)</f>
        <v>0</v>
      </c>
      <c r="AZ80" s="241" t="str">
        <f t="shared" ca="1" si="164"/>
        <v/>
      </c>
      <c r="BA80" s="48">
        <f t="shared" ca="1" si="135"/>
        <v>0</v>
      </c>
      <c r="BB80" s="48">
        <f ca="1">IFERROR(INDEX($AQ$3:$AV$220,MATCH(ROWS($BB$3:BB80),$AV$3:$AV$220,0),1),0)</f>
        <v>0</v>
      </c>
      <c r="BC80" s="48" t="str">
        <f t="shared" ca="1" si="165"/>
        <v/>
      </c>
      <c r="BD80" s="48">
        <f ca="1">IFERROR(INDEX($AQ$3:$AV$220,MATCH(ROWS($BB$3:BD80),$AV$3:$AV$220,0),4),0)</f>
        <v>0</v>
      </c>
      <c r="BE80" s="48">
        <f ca="1">IFERROR(INDEX($AQ$3:$AV$220,MATCH(ROWS($BB$3:BE80),$AV$3:$AV$220,0),5),0)</f>
        <v>0</v>
      </c>
      <c r="BG80" s="48">
        <f ca="1">IF(IF(AND(OR(INDEX(PDC,MATCH($AC80,DEN_PDC,0),6)="SP DARE",INDEX(PDC,MATCH($AC80,DEN_PDC,0),6)="SP DARE/AVERE"),SUMIFS(DARE,DEN_G,$AC80)&gt;=SUMIFS(AVERE,DEN_G,$AC80)),SUMIFS(DARE,DEN_G,$AC80)-SUMIFS(AVERE,DEN_G,$AC80),0)&gt;0,MAX($BG$2:BG79)+1,0)</f>
        <v>0</v>
      </c>
      <c r="BH80" s="48">
        <f ca="1">IF(IF(AND(OR(INDEX(PDC,MATCH($AC80,DEN_PDC,0),6)="SP AVERE",INDEX(PDC,MATCH($AC80,DEN_PDC,0),6)="SP DARE/AVERE"),SUMIFS(AVERE,DEN_G,$AC80)&gt;=SUMIFS(DARE,DEN_G,$AC80)),SUMIFS(AVERE,DEN_G,$AC80)-SUMIFS(DARE,DEN_G,$AC80),0)&gt;0,MAX(BH$2:BH79)+1,0)</f>
        <v>0</v>
      </c>
      <c r="BI80" s="48">
        <f ca="1">IF(IF(AND(OR(INDEX(PDC,MATCH($AC80,DEN_PDC,0),6)="SE DARE",INDEX(PDC,MATCH($AC80,DEN_PDC,0),6)="SE DARE/AVERE"),SUMIFS(DARE,DEN_G,$AC80)&gt;=SUMIFS(AVERE,DEN_G,$AC80)),SUMIFS(DARE,DEN_G,$AC80)-SUMIFS(AVERE,DEN_G,$AC80),0)&gt;0,MAX(BI$2:BI79)+1,0)</f>
        <v>0</v>
      </c>
      <c r="BJ80" s="48">
        <f ca="1">IF(IF(AND(OR(INDEX(PDC,MATCH($AC80,DEN_PDC,0),6)="SE AVERE",INDEX(PDC,MATCH($AC80,DEN_PDC,0),6)="SE DARE/AVERE"),SUMIFS(AVERE,DEN_G,$AC80)&gt;=SUMIFS(DARE,DEN_G,$AC80)),SUMIFS(AVERE,DEN_G,$AC80)-SUMIFS(DARE,DEN_G,$AC80),0)&gt;0,MAX(BJ$2:BJ79)+1,0)</f>
        <v>0</v>
      </c>
      <c r="BK80" s="48" t="str">
        <f ca="1">IF(AND(AND($DY$2=0,$DY$1=0),$I$1=2,ROW()&gt;$BG$1+2,ROW()&lt;=$BG$1+4),"………………..",IF(AND(OR($DY$2&gt;0,$DY$1&gt;0),$I$1=2,ROW()&gt;$BG$1+2,ROW()&lt;=$BG$1+4),"………………..",IFERROR(INDEX($AC$3:$AC$398,MATCH(ROWS(BK$3:BK80),BG$3:BG$398,0),1),"")))</f>
        <v/>
      </c>
      <c r="BL80" s="48">
        <f t="shared" ca="1" si="136"/>
        <v>0</v>
      </c>
      <c r="BM80" s="48" t="str">
        <f ca="1">IF(AND(OR($DY$2=0,$DY$1=0),$I$1=2,ROW()&gt;$BH$1+2,ROW()&lt;=$BH$1+4),"………………..",IF(AND(OR($DY$2&gt;0,$DY$1&gt;0),$I$1=2,ROW()&gt;$BH$1+2,ROW()&lt;=$BH$1+4),"………………..",IFERROR(INDEX($AC$3:$AC$400,MATCH(ROWS(BM$3:BM80),BH$3:BH$400,0),1),"")))</f>
        <v/>
      </c>
      <c r="BN80" s="48">
        <f t="shared" ca="1" si="137"/>
        <v>0</v>
      </c>
      <c r="BO80" s="48" t="str">
        <f ca="1">IF(AND(OR($DY$2=0,$DY$1=0),$I$1=2,ROW()&gt;$BI$1+2,ROW()&lt;=$BI$1+4),"………………..",IF(AND(OR($DY$2&gt;0,$DY$1&gt;0),$I$1=2,ROW()&gt;$BI$1+2,ROW()&lt;=$BI$1+4),"………………..",IFERROR(INDEX($AC$3:$AC$400,MATCH(ROWS(BO$3:BO80),BI$3:BI$400,0),1),"")))</f>
        <v/>
      </c>
      <c r="BP80" s="48">
        <f t="shared" ca="1" si="138"/>
        <v>0</v>
      </c>
      <c r="BQ80" s="48" t="str">
        <f ca="1">IF(AND(OR($DY$2=0,$DY$1=0),$I$1=2,ROW()&gt;$BJ$1+2,ROW()&lt;=$BJ$1+4),"………………..",IF(AND(OR($DY$2&gt;0,$DY$1&gt;0),$I$1=2,ROW()&gt;$BJ$1+2,ROW()&lt;=$BJ$1+4),"………………..",IFERROR(INDEX($AC$3:$AC$400,MATCH(ROWS(BQ$3:BQ80),BJ$3:BJ$400,0),1),"")))</f>
        <v/>
      </c>
      <c r="BR80" s="48">
        <f t="shared" ca="1" si="139"/>
        <v>0</v>
      </c>
      <c r="BS80" s="48">
        <f ca="1">IF(IF(AND(OR(INDEX(PDC,MATCH($AC80,DEN_PDC,0),4)="D",INDEX(PDC,MATCH($AC80,DEN_PDC,0),4)="D/A"),SUMIFS(DARE,DEN_G,$AC80)&gt;=SUMIFS(AVERE,DEN_G,$AC80)),SUMIFS(DARE,DEN_G,$AC80),IF(AND(OR(INDEX(PDC,MATCH($AC80,DEN_PDC,0),4)="A",INDEX(PDC,MATCH($AC80,DEN_PDC,0),4)="D/A"),SUMIFS(AVERE,DEN_G,$AC80)&gt;=SUMIFS(DARE,DEN_G,$AC80)),SUMIFS(AVERE,DEN_G,$AC80),))&gt;0,MAX($BS$2:BS79)+1,0)</f>
        <v>0</v>
      </c>
      <c r="BT80" s="48" t="str">
        <f ca="1">IF($CO$1=0,"",IF(AND($I$1=2,ROW()&gt;$BR$1,ROW()&lt;=$BS$1)," …………….",IF(AND($E$1=1,$BX$1=1,$I$1=2,ROW()=$BQ$1),"TOTALI",IFERROR(INDEX(PDC,MATCH(ROWS(BT$3:BT80),BS$3:BS477,0),2),""))))</f>
        <v/>
      </c>
      <c r="BU80" s="48">
        <f t="shared" ca="1" si="140"/>
        <v>0</v>
      </c>
      <c r="BV80" s="48">
        <f t="shared" ca="1" si="141"/>
        <v>0</v>
      </c>
      <c r="BW80" s="48">
        <f t="shared" ca="1" si="142"/>
        <v>0</v>
      </c>
      <c r="BX80" s="48">
        <f t="shared" ca="1" si="143"/>
        <v>0</v>
      </c>
      <c r="BY80" s="48">
        <f ca="1">IF(OR(BW80&gt;0,BX80&gt;0),MAX($BY$2:BY79)+1,0)</f>
        <v>0</v>
      </c>
      <c r="BZ80" s="48" t="str">
        <f ca="1">IFERROR(INDEX($BT$3:$BY$400,MATCH(ROWS(BZ$3:BZ80),$BY$3:$BY$400,0),1),"")</f>
        <v/>
      </c>
      <c r="CA80" s="48" t="str">
        <f ca="1">IFERROR(INDEX($BT$3:$BY$400,MATCH(ROWS(CA$3:CA80),$BY$3:$BY$400,0),4),"")</f>
        <v/>
      </c>
      <c r="CB80" s="48" t="str">
        <f ca="1">IFERROR(INDEX($BT$3:$BY$400,MATCH(ROWS(CB$3:CB80),$BY$3:$BY$400,0),5),"")</f>
        <v/>
      </c>
      <c r="CC80" s="48" t="str">
        <f t="shared" ca="1" si="144"/>
        <v/>
      </c>
      <c r="CD80" s="48">
        <f ca="1">IF(AND($BF$9=1,CE80&lt;&gt;0),MAX($CD$2:CD79)+1,0)</f>
        <v>0</v>
      </c>
      <c r="CE80" s="48">
        <f ca="1">IF(ROUND(SUMIFS(COPIA!$CA$3:$CA$400,COPIA!$CC$3:$CC$400,CF80)-SUMIFS(COPIA!$CB$3:$CB$400,COPIA!$CC$3:$CC$400,CF80),0)&lt;0,0,ROUND(SUMIFS(COPIA!$CA$3:$CA$400,COPIA!$CC$3:$CC$400,CF80)-SUMIFS(COPIA!$CB$3:$CB$400,COPIA!$CC$3:$CC$400,CF80),0))</f>
        <v>0</v>
      </c>
      <c r="CF80" s="48" t="s">
        <v>644</v>
      </c>
      <c r="CG80" s="242" t="s">
        <v>537</v>
      </c>
      <c r="CH80" s="242">
        <f t="shared" ca="1" si="112"/>
        <v>0</v>
      </c>
      <c r="CI80" s="242"/>
      <c r="CJ80" s="242"/>
      <c r="CL80" s="242"/>
      <c r="CM80" s="242" t="str">
        <f t="shared" ca="1" si="166"/>
        <v/>
      </c>
      <c r="CN80" s="243">
        <f t="shared" ca="1" si="167"/>
        <v>0</v>
      </c>
      <c r="CO80" s="48" t="str">
        <f t="shared" ca="1" si="168"/>
        <v/>
      </c>
      <c r="CQ80" s="242"/>
      <c r="CR80" s="242">
        <f t="shared" ca="1" si="203"/>
        <v>2029</v>
      </c>
      <c r="CS80" s="48">
        <f t="shared" ca="1" si="204"/>
        <v>0</v>
      </c>
      <c r="CT80" s="48">
        <f ca="1">SUM($CS$77:CS80)</f>
        <v>0</v>
      </c>
      <c r="CU80" s="48">
        <f ca="1">IF(SUMIFS(AVERE,DEN_G,AC80,AVERE,"&gt;"&amp;0)+SUMIFS(DARE,DEN_G,AC80,DARE,"&gt;"&amp;0)&gt;0,MAX($CU$2:CU79)+1,0)</f>
        <v>0</v>
      </c>
      <c r="CV80" s="48" t="str">
        <f ca="1">IF(IFERROR(INDEX(PDC,MATCH(ROWS($CV$3:CV80),$CU$3:$CU$400,0),2),"")="CONTO DI RISULTATO ECONOMICO","",IFERROR(INDEX(PDC,MATCH(ROWS($CV$3:CV80),$CU$3:$CU$400,0),2),""))</f>
        <v/>
      </c>
      <c r="CW80" s="48">
        <f ca="1">IFERROR(IF(CV80&lt;&gt;"",MAX($CW$2:CW79)+1,0),0)</f>
        <v>0</v>
      </c>
      <c r="CY80" s="48" t="s">
        <v>500</v>
      </c>
      <c r="DB80" s="48" t="str">
        <f t="shared" ref="DB80" ca="1" si="207">IF(CX79=$DF$1,"","MASTRO")</f>
        <v>MASTRO</v>
      </c>
      <c r="DF80" s="48">
        <f ca="1">IF(AND(CX80=$DF$1,CX80&lt;&gt;""),0,IF(AND(DB80&lt;&gt;"",OR(DB79&lt;&gt;"",DB81&lt;&gt;"")),MAX($DF$2:DF79)+1,0))</f>
        <v>0</v>
      </c>
      <c r="DH80" s="244" t="s">
        <v>65</v>
      </c>
      <c r="DI80" s="48" t="s">
        <v>54</v>
      </c>
      <c r="DJ80" s="48" t="s">
        <v>312</v>
      </c>
      <c r="DK80" s="48" t="s">
        <v>275</v>
      </c>
      <c r="DL80" s="48" t="s">
        <v>6</v>
      </c>
      <c r="DM80" s="48" t="s">
        <v>270</v>
      </c>
      <c r="DN80" s="48">
        <f ca="1">IF(DI80&lt;&gt;"",MAX($DN$2:DN79)+1,0)</f>
        <v>62</v>
      </c>
      <c r="DO80" s="48" t="str">
        <f t="shared" ca="1" si="206"/>
        <v>pac2</v>
      </c>
      <c r="DQ80" s="227" t="s">
        <v>50</v>
      </c>
      <c r="DR80" s="48" t="s">
        <v>859</v>
      </c>
      <c r="DS80" s="48" t="s">
        <v>312</v>
      </c>
      <c r="DT80" s="48" t="s">
        <v>275</v>
      </c>
      <c r="DU80" s="48" t="s">
        <v>6</v>
      </c>
      <c r="DV80" s="48" t="s">
        <v>270</v>
      </c>
      <c r="DW80" s="48">
        <f ca="1">IF(DR80&lt;&gt;"",MAX($DW$2:DW79)+1,0)</f>
        <v>40</v>
      </c>
      <c r="DX80" s="48" t="str">
        <f ca="1">IF($BF$9=1,"pac15","pac1")</f>
        <v>pac1</v>
      </c>
      <c r="DY80" s="48" t="str">
        <f t="shared" ca="1" si="147"/>
        <v/>
      </c>
      <c r="DZ80" s="48" t="str">
        <f t="shared" ca="1" si="170"/>
        <v/>
      </c>
      <c r="EA80" s="48" t="str">
        <f t="shared" ca="1" si="171"/>
        <v/>
      </c>
      <c r="EB80" s="48">
        <f t="shared" ca="1" si="172"/>
        <v>0</v>
      </c>
      <c r="EC80" s="48">
        <f t="shared" ca="1" si="173"/>
        <v>0</v>
      </c>
      <c r="ED80" s="48" t="str">
        <f t="shared" ca="1" si="174"/>
        <v/>
      </c>
      <c r="EE80" s="48">
        <f t="shared" ca="1" si="175"/>
        <v>0</v>
      </c>
      <c r="EF80" s="48" t="str">
        <f t="shared" ca="1" si="176"/>
        <v/>
      </c>
      <c r="EG80" s="48">
        <f t="shared" ca="1" si="177"/>
        <v>0</v>
      </c>
      <c r="EH80" s="48" t="str">
        <f t="shared" ca="1" si="178"/>
        <v/>
      </c>
      <c r="EI80" s="48">
        <f t="shared" ca="1" si="179"/>
        <v>0</v>
      </c>
      <c r="EJ80" s="48" t="str">
        <f t="shared" ca="1" si="180"/>
        <v/>
      </c>
      <c r="EK80" s="48">
        <f t="shared" ca="1" si="181"/>
        <v>0</v>
      </c>
      <c r="EL80" s="48">
        <f t="shared" ca="1" si="148"/>
        <v>0</v>
      </c>
      <c r="EM80" s="48">
        <f ca="1">IF(EL80&gt;=0,0,MAX($EM$2:EM79)+1)</f>
        <v>0</v>
      </c>
      <c r="EN80" s="48" t="str">
        <f t="shared" ca="1" si="182"/>
        <v/>
      </c>
      <c r="EO80" s="48" t="str">
        <f ca="1">IFERROR(INDEX($EM$3:$EN$400,MATCH(ROWS($EO$3:EO80),$EM$3:$EM$400,0),2),"")</f>
        <v/>
      </c>
      <c r="EP80" s="48">
        <f>ROW()</f>
        <v>80</v>
      </c>
      <c r="EQ80" s="48">
        <f t="shared" ca="1" si="149"/>
        <v>0</v>
      </c>
      <c r="ER80" s="48">
        <f ca="1">IF(ISNA(EQ80)=TRUE,MAX($ER$2:ER79)+1,0)</f>
        <v>0</v>
      </c>
      <c r="ES80" s="48" t="str">
        <f t="shared" ca="1" si="183"/>
        <v/>
      </c>
      <c r="ET80" s="48" t="str">
        <f ca="1">IFERROR(INDEX($ER$3:$ES$400,MATCH(ROWS($ET$3:ET80),$ER$3:$ER$400,0),2),"")</f>
        <v/>
      </c>
      <c r="EV80" s="48">
        <f ca="1">IFERROR(INDEX(LIBRO_GIORNALE!$O$11:$P$408,MATCH(ROWS($EV$2:EV79),LIBRO_GIORNALE!$P$11:$P$408,0),1),0)</f>
        <v>0</v>
      </c>
      <c r="EW80" s="48" t="str">
        <f t="shared" ca="1" si="184"/>
        <v>0</v>
      </c>
      <c r="EX80" s="48">
        <f t="shared" ca="1" si="185"/>
        <v>0</v>
      </c>
      <c r="EY80" s="48">
        <f ca="1">IF(EX80&gt;0,MAX($EY$2:EY79)+1,0)</f>
        <v>0</v>
      </c>
      <c r="EZ80" s="48">
        <f ca="1">IFERROR(INDEX($EX$3:$EX$400,MATCH(ROWS($EZ$3:EZ80),$EY$3:$EY$400,0),1),0)</f>
        <v>0</v>
      </c>
      <c r="FA80" s="48">
        <f ca="1">IF(EZ80&gt;0,0,MAX($FA$2:FA79)+1)</f>
        <v>78</v>
      </c>
      <c r="FB80" s="48">
        <f t="shared" ca="1" si="186"/>
        <v>0</v>
      </c>
      <c r="FC80" s="48">
        <f t="shared" ca="1" si="187"/>
        <v>78</v>
      </c>
      <c r="FD80" s="48">
        <f t="shared" ca="1" si="188"/>
        <v>78</v>
      </c>
      <c r="FE80" s="48">
        <f ca="1">IF(FD80=0,0,MAX($FE$2:FE79)+1)</f>
        <v>78</v>
      </c>
      <c r="FF80" s="48">
        <f ca="1">IFERROR(INDEX($FD$3:$FE$400,MATCH(ROWS($FF$3:FF80),$FE$3:$FE$400,0),1),"")</f>
        <v>78</v>
      </c>
      <c r="FH80" s="48">
        <f t="shared" ca="1" si="189"/>
        <v>0</v>
      </c>
      <c r="FI80" s="48">
        <f ca="1">IF(FH80&lt;&gt;0,MAX($FI$2:FI79)+1,0)</f>
        <v>0</v>
      </c>
      <c r="FJ80" s="48" t="str">
        <f ca="1">IFERROR(INDEX($FH$3:$FI$400,MATCH(ROWS($FJ$3:FJ80),$FI$3:$FI$400,0),1),"")</f>
        <v/>
      </c>
      <c r="FK80" s="48">
        <f ca="1">IF(ABS(SUMIFS(DARE,DEN_G,"="&amp;FJ80,DATA,"&lt;="&amp;FINE_AC,DATA,"&gt;="&amp;INIZIO_A_PC)-SUMIFS(AVERE,DEN_G,"="&amp;FJ80,DATA,"&lt;="&amp;FINE_AC,DATA,"&gt;="&amp;INIZIO_A_PC))&gt;0,MAX($FK$2:FK79)+1,0)</f>
        <v>0</v>
      </c>
      <c r="FL80" s="48" t="str">
        <f ca="1">IF(AND(ROW()-2&lt;&gt;1,ROW()-2&lt;=$FK$1),CONCATENATE(" - ",IFERROR(INDEX($FJ$3:$FK$400,MATCH(ROWS($FL$3:FL80),$FK$3:$FK$400,0),1),"")),IFERROR(INDEX($FJ$3:$FK$400,MATCH(ROWS($FL$3:FL80),$FK$3:$FK$400,0),1),""))</f>
        <v/>
      </c>
      <c r="FM80" s="48">
        <f ca="1">IF(OR(B80="IVA ns/credito",B80="IVA NS/DEBITO",B80="IVA C/ACCONTO",B80="IMPOSTE C/ACCONTO",B80="CREDITI PER RITENUTE SUBITE",B80="CREDITI D'IMPOSTA"),MAX($FM$2:FM79)+1,0)</f>
        <v>4</v>
      </c>
      <c r="FN80" s="48" t="str">
        <f t="shared" ca="1" si="190"/>
        <v>CREDITI PER RITENUTE SUBITE</v>
      </c>
      <c r="FO80" s="48" t="str">
        <f ca="1">IFERROR(INDEX($FM$3:$FN$400,MATCH(ROWS($FO$3:FO80),$FM$3:$FM$400,0),2),"")</f>
        <v/>
      </c>
      <c r="FP80" s="48">
        <f ca="1">IF(ABS(SUMIFS(DARE,DEN_G,"="&amp;FO80,DATA,"&lt;="&amp;FINE_AC,DATA,"&gt;="&amp;INIZIO_A_PC)-SUMIFS(AVERE,DEN_G,"="&amp;FO80,DATA,"&lt;="&amp;FINE_AC,DATA,"&gt;="&amp;INIZIO_A_PC))&gt;0,MAX($FP$2:FP79)+1,0)</f>
        <v>0</v>
      </c>
      <c r="FQ80" s="48" t="str">
        <f ca="1">IF(AND(ROW()-2&lt;&gt;1,ROW()-2&lt;=$FP$1),CONCATENATE(" - ",IFERROR(INDEX($FO$3:$FP$400,MATCH(ROWS($FQ$3:FQ80),$FP$3:$FP$400,0),1),"")),IFERROR(INDEX($FO$3:$FP$400,MATCH(ROWS($FQ$3:FQ80),$FP$3:$FP$400,0),1),""))</f>
        <v/>
      </c>
    </row>
    <row r="81" spans="1:173" x14ac:dyDescent="0.3">
      <c r="A81" s="48" t="str">
        <f ca="1">IFERROR(IF($A$1=2,INDEX($DH$3:$DN$401,MATCH(ROWS(A$3:A81),$DN$3:$DN$401,0),COLUMN()),IF($A$1=1,INDEX($DQ$3:$DW$401,MATCH(ROWS(A$3:A81),$DW$3:$DW$401,0),COLUMN()),"")),"")</f>
        <v>06.06</v>
      </c>
      <c r="B81" s="48" t="str">
        <f ca="1">IFERROR(IF($A$1=2,INDEX($DH$3:$DN$401,MATCH(ROWS(B$3:B81),$DN$3:$DN$401,0),COLUMN()),IF($A$1=1,INDEX($DQ$3:$DW$400,MATCH(ROWS(B$3:B81),$DW$3:$DW$401,0),COLUMN()),"")),"")</f>
        <v>CREDITI PER IMPOSTE</v>
      </c>
      <c r="C81" s="48" t="str">
        <f ca="1">IFERROR(IF($A$1=2,INDEX($DH$3:$DN$401,MATCH(ROWS(C$3:C81),$DN$3:$DN$401,0),COLUMN()),IF($A$1=1,INDEX($DQ$3:$DW$401,MATCH(ROWS(C$3:C81),$DW$3:$DW$401,0),COLUMN()),"")),"")</f>
        <v>F</v>
      </c>
      <c r="D81" s="48" t="str">
        <f ca="1">IFERROR(IF($A$1=2,INDEX($DH$3:$DN$401,MATCH(ROWS(D$3:D81),$DN$3:$DN$401,0),COLUMN()),IF($A$1=1,INDEX($DQ$3:$DW$401,MATCH(ROWS(D$3:D81),$DW$3:$DW$401,0),COLUMN()),"")),"")</f>
        <v>D</v>
      </c>
      <c r="E81" s="48" t="str">
        <f ca="1">IFERROR(IF($A$1=2,INDEX($DH$3:$DN$401,MATCH(ROWS(E$3:E81),$DN$3:$DN$401,0),COLUMN()),IF($A$1=1,INDEX($DQ$3:$DW$401,MATCH(ROWS(E$3:E81),$DW$3:$DW$401,0),COLUMN()),"")),"")</f>
        <v>CREDITI</v>
      </c>
      <c r="F81" s="48" t="str">
        <f ca="1">IFERROR(IF($A$1=2,INDEX($DH$3:$DN$401,MATCH(ROWS(F$3:F81),$DN$3:$DN$401,0),COLUMN()),IF($A$1=1,INDEX($DQ$3:$DX$401,MATCH(ROWS(F$3:F81),$DW$3:$DW$401,0),COLUMN()),"")),"")</f>
        <v>SP DARE</v>
      </c>
      <c r="G81" s="48" t="str">
        <f t="shared" ca="1" si="150"/>
        <v>SP</v>
      </c>
      <c r="H81" s="48" t="str">
        <f ca="1">IFERROR(IF($A$1=2,INDEX($DH$3:$DO$400,MATCH(ROWS(H$3:H81),$DN$3:$DN$400,0),COLUMN()),IF($A$1=1,INDEX($DQ$3:$DX$400,MATCH(ROWS(H$3:H81),$DW$3:$DW$400,0),COLUMN()),"")),"")</f>
        <v>pac2</v>
      </c>
      <c r="I81" s="48" t="str">
        <f t="shared" ca="1" si="151"/>
        <v/>
      </c>
      <c r="J81" s="48" t="str">
        <f t="shared" ca="1" si="152"/>
        <v/>
      </c>
      <c r="K81" s="48">
        <f t="shared" ca="1" si="153"/>
        <v>0</v>
      </c>
      <c r="L81" s="48">
        <f t="shared" ca="1" si="154"/>
        <v>0</v>
      </c>
      <c r="M81" s="48">
        <f ca="1">IFERROR(IF(IF(MID($A81,3,3)=".00",MID(A81,1,2),"")&lt;&gt;"",MAX($M$2:M80)+1,0),"")</f>
        <v>0</v>
      </c>
      <c r="N81" s="48" t="str">
        <f t="shared" ca="1" si="155"/>
        <v/>
      </c>
      <c r="O81" s="48">
        <v>31</v>
      </c>
      <c r="P81" s="48" t="str">
        <f t="shared" ca="1" si="156"/>
        <v/>
      </c>
      <c r="Q81" s="48">
        <f ca="1">IF(M81&gt;=1,0,MAX($Q$2:Q80)+1)</f>
        <v>72</v>
      </c>
      <c r="U81" s="48" t="str">
        <f ca="1">IFERROR(INDEX(PDC,MATCH(ROWS(U$3:U81),$V$3:$V$400,0),2),"")</f>
        <v>CREDITI V/CONTROLLANTE</v>
      </c>
      <c r="V81" s="48">
        <f ca="1">IF(AND($T$1="VISUALIZZA TUTTI I CONTI",AA81&lt;&gt;""),MAX($V$2:V80)+1,IF(AND($U$2=2,AI81=$T$1),MAX($V$2:V80)+1,IF(AND($U$2=1,$T$1=AF81),MAX($V$2:V80)+1,0)))</f>
        <v>79</v>
      </c>
      <c r="Z81" s="246"/>
      <c r="AA81" s="48" t="str">
        <f t="shared" ca="1" si="157"/>
        <v>06.00</v>
      </c>
      <c r="AB81" s="48" t="str">
        <f ca="1">IFERROR(INDEX($A$3:$G$400,MATCH(ROWS(AB$3:AB81),$Q$3:$Q$400,0),1),"")</f>
        <v>06.17</v>
      </c>
      <c r="AC81" s="48" t="str">
        <f ca="1">IFERROR(INDEX($A$3:$G$400,MATCH(ROWS($AC$3:AC81),$Q$3:$Q$400,0),2),"")</f>
        <v>CREDITI V/CONTROLLANTE</v>
      </c>
      <c r="AD81" s="48" t="str">
        <f ca="1">IFERROR(INDEX($A$3:$G$400,MATCH(ROWS(AD$3:AD81),$Q$3:$Q$400,0),3),"")</f>
        <v>F</v>
      </c>
      <c r="AE81" s="48" t="str">
        <f ca="1">IFERROR(INDEX($A$3:$G$400,MATCH(ROWS(AE$3:AE81),$Q$3:$Q$400,0),4),"")</f>
        <v>D</v>
      </c>
      <c r="AF81" s="48" t="str">
        <f ca="1">IFERROR(INDEX($A$3:$G$400,MATCH(ROWS(AF$3:AF81),$Q$3:$Q$400,0),5),"")</f>
        <v>CREDITI</v>
      </c>
      <c r="AG81" s="48" t="str">
        <f ca="1">IFERROR(INDEX($A$3:$G$400,MATCH(ROWS(AG$3:AG81),$Q$3:$Q$400,0),6),"")</f>
        <v>SP DARE</v>
      </c>
      <c r="AH81" s="48" t="str">
        <f ca="1">IFERROR(INDEX($A$3:$G$400,MATCH(ROWS(AH$3:AH81),$Q$3:$Q$400,0),7),"")</f>
        <v>SP</v>
      </c>
      <c r="AI81" s="48" t="str">
        <f t="shared" ca="1" si="158"/>
        <v>CREDITI DIVERSI</v>
      </c>
      <c r="AJ81" s="48" t="str">
        <f ca="1">IFERROR(INDEX($A$3:$H$400,MATCH(ROWS(AJ$3:AJ81),$Q$3:$Q$400,0),8),"")</f>
        <v>pac2</v>
      </c>
      <c r="AK81" s="48">
        <f t="shared" ca="1" si="130"/>
        <v>0</v>
      </c>
      <c r="AL81" s="48">
        <f t="shared" ca="1" si="131"/>
        <v>0</v>
      </c>
      <c r="AM81" s="48">
        <f t="shared" ca="1" si="159"/>
        <v>0</v>
      </c>
      <c r="AN81" s="48" t="str">
        <f t="shared" ca="1" si="160"/>
        <v/>
      </c>
      <c r="AO81" s="48">
        <f t="shared" ca="1" si="161"/>
        <v>0</v>
      </c>
      <c r="AP81" s="48">
        <f t="shared" ca="1" si="161"/>
        <v>0</v>
      </c>
      <c r="AQ81" s="48" t="str">
        <f t="shared" ca="1" si="132"/>
        <v>CREDITI V/CONTROLLANTE</v>
      </c>
      <c r="AR81" s="48">
        <f t="shared" ca="1" si="133"/>
        <v>0</v>
      </c>
      <c r="AS81" s="48">
        <f t="shared" ca="1" si="134"/>
        <v>0</v>
      </c>
      <c r="AT81" s="48">
        <f t="shared" ca="1" si="162"/>
        <v>0</v>
      </c>
      <c r="AU81" s="48">
        <f t="shared" ca="1" si="163"/>
        <v>0</v>
      </c>
      <c r="AV81" s="48">
        <f ca="1">IF(OR(AT81&gt;0,AU81&gt;0),MAX($AV$2:AV80)+1,0)</f>
        <v>0</v>
      </c>
      <c r="AZ81" s="241" t="str">
        <f t="shared" ca="1" si="164"/>
        <v/>
      </c>
      <c r="BA81" s="48">
        <f t="shared" ca="1" si="135"/>
        <v>0</v>
      </c>
      <c r="BB81" s="48">
        <f ca="1">IFERROR(INDEX($AQ$3:$AV$220,MATCH(ROWS($BB$3:BB81),$AV$3:$AV$220,0),1),0)</f>
        <v>0</v>
      </c>
      <c r="BC81" s="48" t="str">
        <f t="shared" ca="1" si="165"/>
        <v/>
      </c>
      <c r="BD81" s="48">
        <f ca="1">IFERROR(INDEX($AQ$3:$AV$220,MATCH(ROWS($BB$3:BD81),$AV$3:$AV$220,0),4),0)</f>
        <v>0</v>
      </c>
      <c r="BE81" s="48">
        <f ca="1">IFERROR(INDEX($AQ$3:$AV$220,MATCH(ROWS($BB$3:BE81),$AV$3:$AV$220,0),5),0)</f>
        <v>0</v>
      </c>
      <c r="BG81" s="48">
        <f ca="1">IF(IF(AND(OR(INDEX(PDC,MATCH($AC81,DEN_PDC,0),6)="SP DARE",INDEX(PDC,MATCH($AC81,DEN_PDC,0),6)="SP DARE/AVERE"),SUMIFS(DARE,DEN_G,$AC81)&gt;=SUMIFS(AVERE,DEN_G,$AC81)),SUMIFS(DARE,DEN_G,$AC81)-SUMIFS(AVERE,DEN_G,$AC81),0)&gt;0,MAX($BG$2:BG80)+1,0)</f>
        <v>0</v>
      </c>
      <c r="BH81" s="48">
        <f ca="1">IF(IF(AND(OR(INDEX(PDC,MATCH($AC81,DEN_PDC,0),6)="SP AVERE",INDEX(PDC,MATCH($AC81,DEN_PDC,0),6)="SP DARE/AVERE"),SUMIFS(AVERE,DEN_G,$AC81)&gt;=SUMIFS(DARE,DEN_G,$AC81)),SUMIFS(AVERE,DEN_G,$AC81)-SUMIFS(DARE,DEN_G,$AC81),0)&gt;0,MAX(BH$2:BH80)+1,0)</f>
        <v>0</v>
      </c>
      <c r="BI81" s="48">
        <f ca="1">IF(IF(AND(OR(INDEX(PDC,MATCH($AC81,DEN_PDC,0),6)="SE DARE",INDEX(PDC,MATCH($AC81,DEN_PDC,0),6)="SE DARE/AVERE"),SUMIFS(DARE,DEN_G,$AC81)&gt;=SUMIFS(AVERE,DEN_G,$AC81)),SUMIFS(DARE,DEN_G,$AC81)-SUMIFS(AVERE,DEN_G,$AC81),0)&gt;0,MAX(BI$2:BI80)+1,0)</f>
        <v>0</v>
      </c>
      <c r="BJ81" s="48">
        <f ca="1">IF(IF(AND(OR(INDEX(PDC,MATCH($AC81,DEN_PDC,0),6)="SE AVERE",INDEX(PDC,MATCH($AC81,DEN_PDC,0),6)="SE DARE/AVERE"),SUMIFS(AVERE,DEN_G,$AC81)&gt;=SUMIFS(DARE,DEN_G,$AC81)),SUMIFS(AVERE,DEN_G,$AC81)-SUMIFS(DARE,DEN_G,$AC81),0)&gt;0,MAX(BJ$2:BJ80)+1,0)</f>
        <v>0</v>
      </c>
      <c r="BK81" s="48" t="str">
        <f ca="1">IF(AND(AND($DY$2=0,$DY$1=0),$I$1=2,ROW()&gt;$BG$1+2,ROW()&lt;=$BG$1+4),"………………..",IF(AND(OR($DY$2&gt;0,$DY$1&gt;0),$I$1=2,ROW()&gt;$BG$1+2,ROW()&lt;=$BG$1+4),"………………..",IFERROR(INDEX($AC$3:$AC$398,MATCH(ROWS(BK$3:BK81),BG$3:BG$398,0),1),"")))</f>
        <v/>
      </c>
      <c r="BL81" s="48">
        <f t="shared" ca="1" si="136"/>
        <v>0</v>
      </c>
      <c r="BM81" s="48" t="str">
        <f ca="1">IF(AND(OR($DY$2=0,$DY$1=0),$I$1=2,ROW()&gt;$BH$1+2,ROW()&lt;=$BH$1+4),"………………..",IF(AND(OR($DY$2&gt;0,$DY$1&gt;0),$I$1=2,ROW()&gt;$BH$1+2,ROW()&lt;=$BH$1+4),"………………..",IFERROR(INDEX($AC$3:$AC$400,MATCH(ROWS(BM$3:BM81),BH$3:BH$400,0),1),"")))</f>
        <v/>
      </c>
      <c r="BN81" s="48">
        <f t="shared" ca="1" si="137"/>
        <v>0</v>
      </c>
      <c r="BO81" s="48" t="str">
        <f ca="1">IF(AND(OR($DY$2=0,$DY$1=0),$I$1=2,ROW()&gt;$BI$1+2,ROW()&lt;=$BI$1+4),"………………..",IF(AND(OR($DY$2&gt;0,$DY$1&gt;0),$I$1=2,ROW()&gt;$BI$1+2,ROW()&lt;=$BI$1+4),"………………..",IFERROR(INDEX($AC$3:$AC$400,MATCH(ROWS(BO$3:BO81),BI$3:BI$400,0),1),"")))</f>
        <v/>
      </c>
      <c r="BP81" s="48">
        <f t="shared" ca="1" si="138"/>
        <v>0</v>
      </c>
      <c r="BQ81" s="48" t="str">
        <f ca="1">IF(AND(OR($DY$2=0,$DY$1=0),$I$1=2,ROW()&gt;$BJ$1+2,ROW()&lt;=$BJ$1+4),"………………..",IF(AND(OR($DY$2&gt;0,$DY$1&gt;0),$I$1=2,ROW()&gt;$BJ$1+2,ROW()&lt;=$BJ$1+4),"………………..",IFERROR(INDEX($AC$3:$AC$400,MATCH(ROWS(BQ$3:BQ81),BJ$3:BJ$400,0),1),"")))</f>
        <v/>
      </c>
      <c r="BR81" s="48">
        <f t="shared" ca="1" si="139"/>
        <v>0</v>
      </c>
      <c r="BS81" s="48">
        <f ca="1">IF(IF(AND(OR(INDEX(PDC,MATCH($AC81,DEN_PDC,0),4)="D",INDEX(PDC,MATCH($AC81,DEN_PDC,0),4)="D/A"),SUMIFS(DARE,DEN_G,$AC81)&gt;=SUMIFS(AVERE,DEN_G,$AC81)),SUMIFS(DARE,DEN_G,$AC81),IF(AND(OR(INDEX(PDC,MATCH($AC81,DEN_PDC,0),4)="A",INDEX(PDC,MATCH($AC81,DEN_PDC,0),4)="D/A"),SUMIFS(AVERE,DEN_G,$AC81)&gt;=SUMIFS(DARE,DEN_G,$AC81)),SUMIFS(AVERE,DEN_G,$AC81),))&gt;0,MAX($BS$2:BS80)+1,0)</f>
        <v>0</v>
      </c>
      <c r="BT81" s="48" t="str">
        <f ca="1">IF($CO$1=0,"",IF(AND($I$1=2,ROW()&gt;$BR$1,ROW()&lt;=$BS$1)," …………….",IF(AND($E$1=1,$BX$1=1,$I$1=2,ROW()=$BQ$1),"TOTALI",IFERROR(INDEX(PDC,MATCH(ROWS(BT$3:BT81),BS$3:BS478,0),2),""))))</f>
        <v/>
      </c>
      <c r="BU81" s="48">
        <f t="shared" ca="1" si="140"/>
        <v>0</v>
      </c>
      <c r="BV81" s="48">
        <f t="shared" ca="1" si="141"/>
        <v>0</v>
      </c>
      <c r="BW81" s="48">
        <f t="shared" ca="1" si="142"/>
        <v>0</v>
      </c>
      <c r="BX81" s="48">
        <f t="shared" ca="1" si="143"/>
        <v>0</v>
      </c>
      <c r="BY81" s="48">
        <f ca="1">IF(OR(BW81&gt;0,BX81&gt;0),MAX($BY$2:BY80)+1,0)</f>
        <v>0</v>
      </c>
      <c r="BZ81" s="48" t="str">
        <f ca="1">IFERROR(INDEX($BT$3:$BY$400,MATCH(ROWS(BZ$3:BZ81),$BY$3:$BY$400,0),1),"")</f>
        <v/>
      </c>
      <c r="CA81" s="48" t="str">
        <f ca="1">IFERROR(INDEX($BT$3:$BY$400,MATCH(ROWS(CA$3:CA81),$BY$3:$BY$400,0),4),"")</f>
        <v/>
      </c>
      <c r="CB81" s="48" t="str">
        <f ca="1">IFERROR(INDEX($BT$3:$BY$400,MATCH(ROWS(CB$3:CB81),$BY$3:$BY$400,0),5),"")</f>
        <v/>
      </c>
      <c r="CC81" s="48" t="str">
        <f t="shared" ca="1" si="144"/>
        <v/>
      </c>
      <c r="CD81" s="48">
        <f ca="1">IF(AND($BF$9=1,CE81&lt;&gt;0),MAX($CD$2:CD80)+1,0)</f>
        <v>0</v>
      </c>
      <c r="CE81" s="48">
        <f ca="1">IF(ROUND(SUMIFS(COPIA!$CA$3:$CA$400,COPIA!$CC$3:$CC$400,CF81)-SUMIFS(COPIA!$CB$3:$CB$400,COPIA!$CC$3:$CC$400,CF81),0)&lt;0,0,ROUND(SUMIFS(COPIA!$CA$3:$CA$400,COPIA!$CC$3:$CC$400,CF81)-SUMIFS(COPIA!$CB$3:$CB$400,COPIA!$CC$3:$CC$400,CF81),0))</f>
        <v>0</v>
      </c>
      <c r="CF81" s="48" t="s">
        <v>645</v>
      </c>
      <c r="CG81" s="242" t="s">
        <v>538</v>
      </c>
      <c r="CH81" s="242">
        <f t="shared" ca="1" si="112"/>
        <v>0</v>
      </c>
      <c r="CI81" s="242"/>
      <c r="CJ81" s="242"/>
      <c r="CL81" s="242"/>
      <c r="CM81" s="242" t="str">
        <f t="shared" ca="1" si="166"/>
        <v/>
      </c>
      <c r="CN81" s="243">
        <f t="shared" ca="1" si="167"/>
        <v>0</v>
      </c>
      <c r="CO81" s="48" t="str">
        <f t="shared" ca="1" si="168"/>
        <v/>
      </c>
      <c r="CQ81" s="242"/>
      <c r="CR81" s="242">
        <f t="shared" ca="1" si="203"/>
        <v>2030</v>
      </c>
      <c r="CS81" s="48">
        <f ca="1">IF(SUM(CS74,CT74)&gt;1,1,0)</f>
        <v>0</v>
      </c>
      <c r="CT81" s="48">
        <f ca="1">SUM($CS$77:CS81)</f>
        <v>0</v>
      </c>
      <c r="CU81" s="48">
        <f ca="1">IF(SUMIFS(AVERE,DEN_G,AC81,AVERE,"&gt;"&amp;0)+SUMIFS(DARE,DEN_G,AC81,DARE,"&gt;"&amp;0)&gt;0,MAX($CU$2:CU80)+1,0)</f>
        <v>0</v>
      </c>
      <c r="CV81" s="48" t="str">
        <f ca="1">IF(IFERROR(INDEX(PDC,MATCH(ROWS($CV$3:CV81),$CU$3:$CU$400,0),2),"")="CONTO DI RISULTATO ECONOMICO","",IFERROR(INDEX(PDC,MATCH(ROWS($CV$3:CV81),$CU$3:$CU$400,0),2),""))</f>
        <v/>
      </c>
      <c r="CW81" s="48">
        <f ca="1">IFERROR(IF(CV81&lt;&gt;"",MAX($CW$2:CW80)+1,0),0)</f>
        <v>0</v>
      </c>
      <c r="CX81" s="48">
        <f ca="1">$FF$9</f>
        <v>7</v>
      </c>
      <c r="CY81" s="48" t="str">
        <f t="shared" ref="CY81:CY92" ca="1" si="208">IF(ISERROR(INDEX($CV$3:$CX$1302,MATCH(CX81,$CW$3:$CW$1302,0),1)),"MASTRO",INDEX($CV$3:$CX$1302,MATCH(CX81,$CW$3:$CW$1302,0),1))</f>
        <v>MASTRO</v>
      </c>
      <c r="DA81" s="48" t="str">
        <f>IF(CY80="MASTRO","Conto n.","")</f>
        <v>Conto n.</v>
      </c>
      <c r="DB81" s="48" t="str">
        <f ca="1">IF(CY81=0,"",INDEX(PDC,MATCH(DC81,DEN_PDC,0),1))</f>
        <v/>
      </c>
      <c r="DC81" s="48" t="str">
        <f ca="1">IF(OR(CY81=0,CY81="mastro"),"",CY81)</f>
        <v/>
      </c>
      <c r="DD81" s="48" t="str">
        <f ca="1">IF(AND($DA$2=TRUE,OR(INDEX(PDC,MATCH($DC81,DEN_PDC,0),4)="A",INDEX(PDC,MATCH($DC81,DEN_PDC,0),4)="D/A"),SUMIFS(AVERE,DEN_G,"="&amp;$DC81,DATA,"&lt;="&amp;FINE_AC,DATA,"&gt;="&amp;INIZIO_AC)&gt;SUMIFS(DARE,DEN_G,"="&amp;$DC81,DATA,"&lt;="&amp;FINE_AC,DATA,"&gt;="&amp;INIZIO_AC)),CONCATENATE("s ",FIXED(ABS(SUMIFS(AVERE,DEN_G,"="&amp;$DC81,DATA,"&lt;="&amp;FINE_AC,DATA,"&gt;="&amp;INIZIO_AC)-SUMIFS(DARE,DEN_G,"="&amp;$DC81,DATA,"&lt;="&amp;FINE_AC,DATA,"&gt;="&amp;INIZIO_AC)),2)),"")</f>
        <v/>
      </c>
      <c r="DE81" s="48" t="str">
        <f ca="1">IF(AND($DA$2=TRUE,OR(INDEX(PDC,MATCH($DC81,DEN_PDC,0),4)="D",INDEX(PDC,MATCH($DC81,DEN_PDC,0),4)="D/A"),SUMIFS(DARE,DEN_G,"="&amp;$DC81,DATA,"&lt;="&amp;FINE_AC,DATA,"&gt;="&amp;INIZIO_AC)&gt;SUMIFS(AVERE,DEN_G,"="&amp;$DC81,DATA,"&lt;="&amp;FINE_AC,DATA,"&gt;="&amp;INIZIO_AC)),CONCATENATE("s ",FIXED(ABS(SUMIFS(DARE,DEN_G,"="&amp;$DC81,DATA,"&lt;="&amp;FINE_AC,DATA,"&gt;="&amp;INIZIO_AC)-SUMIFS(AVERE,DEN_G,"="&amp;$DC81,DATA,"&lt;="&amp;FINE_AC,DATA,"&gt;="&amp;INIZIO_AC)),2)),"")</f>
        <v/>
      </c>
      <c r="DF81" s="48">
        <f ca="1">IF(AND(CX81=$DF$1,CX81&lt;&gt;""),0,IF(AND(DB81&lt;&gt;"",OR(DB80&lt;&gt;"",DB82&lt;&gt;"")),MAX($DF$2:DF80)+1,0))</f>
        <v>0</v>
      </c>
      <c r="DH81" s="244" t="s">
        <v>366</v>
      </c>
      <c r="DI81" s="48" t="s">
        <v>367</v>
      </c>
      <c r="DJ81" s="48" t="s">
        <v>312</v>
      </c>
      <c r="DK81" s="48" t="s">
        <v>275</v>
      </c>
      <c r="DL81" s="48" t="s">
        <v>6</v>
      </c>
      <c r="DM81" s="48" t="s">
        <v>270</v>
      </c>
      <c r="DN81" s="48">
        <f ca="1">IF(DI81&lt;&gt;"",MAX($DN$2:DN80)+1,0)</f>
        <v>63</v>
      </c>
      <c r="DO81" s="48" t="str">
        <f t="shared" ca="1" si="206"/>
        <v>pac2</v>
      </c>
      <c r="DW81" s="48">
        <f>IF(DR81&lt;&gt;"",MAX($DW$2:DW80)+1,0)</f>
        <v>0</v>
      </c>
      <c r="DY81" s="48" t="str">
        <f t="shared" ca="1" si="147"/>
        <v/>
      </c>
      <c r="DZ81" s="48" t="str">
        <f t="shared" ca="1" si="170"/>
        <v/>
      </c>
      <c r="EA81" s="48" t="str">
        <f t="shared" ca="1" si="171"/>
        <v/>
      </c>
      <c r="EB81" s="48">
        <f t="shared" ca="1" si="172"/>
        <v>0</v>
      </c>
      <c r="EC81" s="48">
        <f t="shared" ca="1" si="173"/>
        <v>0</v>
      </c>
      <c r="ED81" s="48" t="str">
        <f t="shared" ca="1" si="174"/>
        <v/>
      </c>
      <c r="EE81" s="48">
        <f t="shared" ca="1" si="175"/>
        <v>0</v>
      </c>
      <c r="EF81" s="48" t="str">
        <f t="shared" ca="1" si="176"/>
        <v/>
      </c>
      <c r="EG81" s="48">
        <f t="shared" ca="1" si="177"/>
        <v>0</v>
      </c>
      <c r="EH81" s="48" t="str">
        <f t="shared" ca="1" si="178"/>
        <v/>
      </c>
      <c r="EI81" s="48">
        <f t="shared" ca="1" si="179"/>
        <v>0</v>
      </c>
      <c r="EJ81" s="48" t="str">
        <f t="shared" ca="1" si="180"/>
        <v/>
      </c>
      <c r="EK81" s="48">
        <f t="shared" ca="1" si="181"/>
        <v>0</v>
      </c>
      <c r="EL81" s="48">
        <f t="shared" ca="1" si="148"/>
        <v>0</v>
      </c>
      <c r="EM81" s="48">
        <f ca="1">IF(EL81&gt;=0,0,MAX($EM$2:EM80)+1)</f>
        <v>0</v>
      </c>
      <c r="EN81" s="48" t="str">
        <f t="shared" ca="1" si="182"/>
        <v/>
      </c>
      <c r="EO81" s="48" t="str">
        <f ca="1">IFERROR(INDEX($EM$3:$EN$400,MATCH(ROWS($EO$3:EO81),$EM$3:$EM$400,0),2),"")</f>
        <v/>
      </c>
      <c r="EP81" s="48">
        <f>ROW()</f>
        <v>81</v>
      </c>
      <c r="EQ81" s="48">
        <f t="shared" ca="1" si="149"/>
        <v>0</v>
      </c>
      <c r="ER81" s="48">
        <f ca="1">IF(ISNA(EQ81)=TRUE,MAX($ER$2:ER80)+1,0)</f>
        <v>0</v>
      </c>
      <c r="ES81" s="48" t="str">
        <f t="shared" ca="1" si="183"/>
        <v/>
      </c>
      <c r="ET81" s="48" t="str">
        <f ca="1">IFERROR(INDEX($ER$3:$ES$400,MATCH(ROWS($ET$3:ET81),$ER$3:$ER$400,0),2),"")</f>
        <v/>
      </c>
      <c r="EV81" s="48">
        <f ca="1">IFERROR(INDEX(LIBRO_GIORNALE!$O$11:$P$408,MATCH(ROWS($EV$2:EV80),LIBRO_GIORNALE!$P$11:$P$408,0),1),0)</f>
        <v>0</v>
      </c>
      <c r="EW81" s="48" t="str">
        <f t="shared" ca="1" si="184"/>
        <v>0</v>
      </c>
      <c r="EX81" s="48">
        <f t="shared" ca="1" si="185"/>
        <v>0</v>
      </c>
      <c r="EY81" s="48">
        <f ca="1">IF(EX81&gt;0,MAX($EY$2:EY80)+1,0)</f>
        <v>0</v>
      </c>
      <c r="EZ81" s="48">
        <f ca="1">IFERROR(INDEX($EX$3:$EX$400,MATCH(ROWS($EZ$3:EZ81),$EY$3:$EY$400,0),1),0)</f>
        <v>0</v>
      </c>
      <c r="FA81" s="48">
        <f ca="1">IF(EZ81&gt;0,0,MAX($FA$2:FA80)+1)</f>
        <v>79</v>
      </c>
      <c r="FB81" s="48">
        <f t="shared" ca="1" si="186"/>
        <v>0</v>
      </c>
      <c r="FC81" s="48">
        <f t="shared" ca="1" si="187"/>
        <v>79</v>
      </c>
      <c r="FD81" s="48">
        <f t="shared" ca="1" si="188"/>
        <v>79</v>
      </c>
      <c r="FE81" s="48">
        <f ca="1">IF(FD81=0,0,MAX($FE$2:FE80)+1)</f>
        <v>79</v>
      </c>
      <c r="FF81" s="48">
        <f ca="1">IFERROR(INDEX($FD$3:$FE$400,MATCH(ROWS($FF$3:FF81),$FE$3:$FE$400,0),1),"")</f>
        <v>79</v>
      </c>
      <c r="FH81" s="48">
        <f t="shared" ca="1" si="189"/>
        <v>0</v>
      </c>
      <c r="FI81" s="48">
        <f ca="1">IF(FH81&lt;&gt;0,MAX($FI$2:FI80)+1,0)</f>
        <v>0</v>
      </c>
      <c r="FJ81" s="48" t="str">
        <f ca="1">IFERROR(INDEX($FH$3:$FI$400,MATCH(ROWS($FJ$3:FJ81),$FI$3:$FI$400,0),1),"")</f>
        <v/>
      </c>
      <c r="FK81" s="48">
        <f ca="1">IF(ABS(SUMIFS(DARE,DEN_G,"="&amp;FJ81,DATA,"&lt;="&amp;FINE_AC,DATA,"&gt;="&amp;INIZIO_A_PC)-SUMIFS(AVERE,DEN_G,"="&amp;FJ81,DATA,"&lt;="&amp;FINE_AC,DATA,"&gt;="&amp;INIZIO_A_PC))&gt;0,MAX($FK$2:FK80)+1,0)</f>
        <v>0</v>
      </c>
      <c r="FL81" s="48" t="str">
        <f ca="1">IF(AND(ROW()-2&lt;&gt;1,ROW()-2&lt;=$FK$1),CONCATENATE(" - ",IFERROR(INDEX($FJ$3:$FK$400,MATCH(ROWS($FL$3:FL81),$FK$3:$FK$400,0),1),"")),IFERROR(INDEX($FJ$3:$FK$400,MATCH(ROWS($FL$3:FL81),$FK$3:$FK$400,0),1),""))</f>
        <v/>
      </c>
      <c r="FM81" s="48">
        <f ca="1">IF(OR(B81="IVA ns/credito",B81="IVA NS/DEBITO",B81="IVA C/ACCONTO",B81="IMPOSTE C/ACCONTO",B81="CREDITI PER RITENUTE SUBITE",B81="CREDITI D'IMPOSTA"),MAX($FM$2:FM80)+1,0)</f>
        <v>0</v>
      </c>
      <c r="FN81" s="48" t="str">
        <f t="shared" ca="1" si="190"/>
        <v/>
      </c>
      <c r="FO81" s="48" t="str">
        <f ca="1">IFERROR(INDEX($FM$3:$FN$400,MATCH(ROWS($FO$3:FO81),$FM$3:$FM$400,0),2),"")</f>
        <v/>
      </c>
      <c r="FP81" s="48">
        <f ca="1">IF(ABS(SUMIFS(DARE,DEN_G,"="&amp;FO81,DATA,"&lt;="&amp;FINE_AC,DATA,"&gt;="&amp;INIZIO_A_PC)-SUMIFS(AVERE,DEN_G,"="&amp;FO81,DATA,"&lt;="&amp;FINE_AC,DATA,"&gt;="&amp;INIZIO_A_PC))&gt;0,MAX($FP$2:FP80)+1,0)</f>
        <v>0</v>
      </c>
      <c r="FQ81" s="48" t="str">
        <f ca="1">IF(AND(ROW()-2&lt;&gt;1,ROW()-2&lt;=$FP$1),CONCATENATE(" - ",IFERROR(INDEX($FO$3:$FP$400,MATCH(ROWS($FQ$3:FQ81),$FP$3:$FP$400,0),1),"")),IFERROR(INDEX($FO$3:$FP$400,MATCH(ROWS($FQ$3:FQ81),$FP$3:$FP$400,0),1),""))</f>
        <v/>
      </c>
    </row>
    <row r="82" spans="1:173" x14ac:dyDescent="0.3">
      <c r="A82" s="48" t="str">
        <f ca="1">IFERROR(IF($A$1=2,INDEX($DH$3:$DN$401,MATCH(ROWS(A$3:A82),$DN$3:$DN$401,0),COLUMN()),IF($A$1=1,INDEX($DQ$3:$DW$401,MATCH(ROWS(A$3:A82),$DW$3:$DW$401,0),COLUMN()),"")),"")</f>
        <v>06.07</v>
      </c>
      <c r="B82" s="48" t="str">
        <f ca="1">IFERROR(IF($A$1=2,INDEX($DH$3:$DN$401,MATCH(ROWS(B$3:B82),$DN$3:$DN$401,0),COLUMN()),IF($A$1=1,INDEX($DQ$3:$DW$400,MATCH(ROWS(B$3:B82),$DW$3:$DW$401,0),COLUMN()),"")),"")</f>
        <v>CREDITI D'IMPOSTA</v>
      </c>
      <c r="C82" s="48" t="str">
        <f ca="1">IFERROR(IF($A$1=2,INDEX($DH$3:$DN$401,MATCH(ROWS(C$3:C82),$DN$3:$DN$401,0),COLUMN()),IF($A$1=1,INDEX($DQ$3:$DW$401,MATCH(ROWS(C$3:C82),$DW$3:$DW$401,0),COLUMN()),"")),"")</f>
        <v>F</v>
      </c>
      <c r="D82" s="48" t="str">
        <f ca="1">IFERROR(IF($A$1=2,INDEX($DH$3:$DN$401,MATCH(ROWS(D$3:D82),$DN$3:$DN$401,0),COLUMN()),IF($A$1=1,INDEX($DQ$3:$DW$401,MATCH(ROWS(D$3:D82),$DW$3:$DW$401,0),COLUMN()),"")),"")</f>
        <v>D</v>
      </c>
      <c r="E82" s="48" t="str">
        <f ca="1">IFERROR(IF($A$1=2,INDEX($DH$3:$DN$401,MATCH(ROWS(E$3:E82),$DN$3:$DN$401,0),COLUMN()),IF($A$1=1,INDEX($DQ$3:$DW$401,MATCH(ROWS(E$3:E82),$DW$3:$DW$401,0),COLUMN()),"")),"")</f>
        <v>CREDITI</v>
      </c>
      <c r="F82" s="48" t="str">
        <f ca="1">IFERROR(IF($A$1=2,INDEX($DH$3:$DN$401,MATCH(ROWS(F$3:F82),$DN$3:$DN$401,0),COLUMN()),IF($A$1=1,INDEX($DQ$3:$DX$401,MATCH(ROWS(F$3:F82),$DW$3:$DW$401,0),COLUMN()),"")),"")</f>
        <v>SP DARE</v>
      </c>
      <c r="G82" s="48" t="str">
        <f t="shared" ca="1" si="150"/>
        <v>SP</v>
      </c>
      <c r="H82" s="48" t="str">
        <f ca="1">IFERROR(IF($A$1=2,INDEX($DH$3:$DO$400,MATCH(ROWS(H$3:H82),$DN$3:$DN$400,0),COLUMN()),IF($A$1=1,INDEX($DQ$3:$DX$400,MATCH(ROWS(H$3:H82),$DW$3:$DW$400,0),COLUMN()),"")),"")</f>
        <v>pac2</v>
      </c>
      <c r="I82" s="48" t="str">
        <f t="shared" ca="1" si="151"/>
        <v/>
      </c>
      <c r="J82" s="48" t="str">
        <f t="shared" ca="1" si="152"/>
        <v/>
      </c>
      <c r="K82" s="48">
        <f t="shared" ca="1" si="153"/>
        <v>0</v>
      </c>
      <c r="L82" s="48">
        <f t="shared" ca="1" si="154"/>
        <v>0</v>
      </c>
      <c r="M82" s="48">
        <f ca="1">IFERROR(IF(IF(MID($A82,3,3)=".00",MID(A82,1,2),"")&lt;&gt;"",MAX($M$2:M81)+1,0),"")</f>
        <v>0</v>
      </c>
      <c r="N82" s="48" t="str">
        <f t="shared" ca="1" si="155"/>
        <v/>
      </c>
      <c r="O82" s="48" t="str">
        <f ca="1">IF(IFERROR(INDEX($N$3:$O$300,MATCH(ROWS($O$3:O82),$M$3:$M$300,0),1),"")&lt;&gt;"",CONCATENATE(INDEX($N$3:$O$300,MATCH(ROWS($O$3:O82),$M$3:$M$300,0),1),".00"),"")</f>
        <v/>
      </c>
      <c r="P82" s="48" t="str">
        <f t="shared" ca="1" si="156"/>
        <v/>
      </c>
      <c r="Q82" s="48">
        <f ca="1">IF(M82&gt;=1,0,MAX($Q$2:Q81)+1)</f>
        <v>73</v>
      </c>
      <c r="U82" s="48" t="str">
        <f ca="1">IFERROR(INDEX(PDC,MATCH(ROWS(U$3:U82),$V$3:$V$400,0),2),"")</f>
        <v>PERSONALE C/ACCONTI</v>
      </c>
      <c r="V82" s="48">
        <f ca="1">IF(AND($T$1="VISUALIZZA TUTTI I CONTI",AA82&lt;&gt;""),MAX($V$2:V81)+1,IF(AND($U$2=2,AI82=$T$1),MAX($V$2:V81)+1,IF(AND($U$2=1,$T$1=AF82),MAX($V$2:V81)+1,0)))</f>
        <v>80</v>
      </c>
      <c r="Z82" s="246"/>
      <c r="AA82" s="48" t="str">
        <f t="shared" ca="1" si="157"/>
        <v>06.00</v>
      </c>
      <c r="AB82" s="48" t="str">
        <f ca="1">IFERROR(INDEX($A$3:$G$400,MATCH(ROWS(AB$3:AB82),$Q$3:$Q$400,0),1),"")</f>
        <v>06.20</v>
      </c>
      <c r="AC82" s="48" t="str">
        <f ca="1">IFERROR(INDEX($A$3:$G$400,MATCH(ROWS($AC$3:AC82),$Q$3:$Q$400,0),2),"")</f>
        <v>PERSONALE C/ACCONTI</v>
      </c>
      <c r="AD82" s="48" t="str">
        <f ca="1">IFERROR(INDEX($A$3:$G$400,MATCH(ROWS(AD$3:AD82),$Q$3:$Q$400,0),3),"")</f>
        <v>F</v>
      </c>
      <c r="AE82" s="48" t="str">
        <f ca="1">IFERROR(INDEX($A$3:$G$400,MATCH(ROWS(AE$3:AE82),$Q$3:$Q$400,0),4),"")</f>
        <v>D</v>
      </c>
      <c r="AF82" s="48" t="str">
        <f ca="1">IFERROR(INDEX($A$3:$G$400,MATCH(ROWS(AF$3:AF82),$Q$3:$Q$400,0),5),"")</f>
        <v>CREDITI</v>
      </c>
      <c r="AG82" s="48" t="str">
        <f ca="1">IFERROR(INDEX($A$3:$G$400,MATCH(ROWS(AG$3:AG82),$Q$3:$Q$400,0),6),"")</f>
        <v>SP DARE</v>
      </c>
      <c r="AH82" s="48" t="str">
        <f ca="1">IFERROR(INDEX($A$3:$G$400,MATCH(ROWS(AH$3:AH82),$Q$3:$Q$400,0),7),"")</f>
        <v>SP</v>
      </c>
      <c r="AI82" s="48" t="str">
        <f t="shared" ca="1" si="158"/>
        <v>CREDITI DIVERSI</v>
      </c>
      <c r="AJ82" s="48" t="str">
        <f ca="1">IFERROR(INDEX($A$3:$H$400,MATCH(ROWS(AJ$3:AJ82),$Q$3:$Q$400,0),8),"")</f>
        <v>pac2</v>
      </c>
      <c r="AK82" s="48">
        <f t="shared" ca="1" si="130"/>
        <v>0</v>
      </c>
      <c r="AL82" s="48">
        <f t="shared" ca="1" si="131"/>
        <v>0</v>
      </c>
      <c r="AM82" s="48">
        <f t="shared" ca="1" si="159"/>
        <v>0</v>
      </c>
      <c r="AN82" s="48" t="str">
        <f t="shared" ca="1" si="160"/>
        <v/>
      </c>
      <c r="AO82" s="48">
        <f t="shared" ca="1" si="161"/>
        <v>0</v>
      </c>
      <c r="AP82" s="48">
        <f t="shared" ca="1" si="161"/>
        <v>0</v>
      </c>
      <c r="AQ82" s="48" t="str">
        <f t="shared" ca="1" si="132"/>
        <v>PERSONALE C/ACCONTI</v>
      </c>
      <c r="AR82" s="48">
        <f t="shared" ca="1" si="133"/>
        <v>0</v>
      </c>
      <c r="AS82" s="48">
        <f t="shared" ca="1" si="134"/>
        <v>0</v>
      </c>
      <c r="AT82" s="48">
        <f t="shared" ca="1" si="162"/>
        <v>0</v>
      </c>
      <c r="AU82" s="48">
        <f t="shared" ca="1" si="163"/>
        <v>0</v>
      </c>
      <c r="AV82" s="48">
        <f ca="1">IF(OR(AT82&gt;0,AU82&gt;0),MAX($AV$2:AV81)+1,0)</f>
        <v>0</v>
      </c>
      <c r="AZ82" s="241" t="str">
        <f t="shared" ca="1" si="164"/>
        <v/>
      </c>
      <c r="BA82" s="48">
        <f t="shared" ca="1" si="135"/>
        <v>0</v>
      </c>
      <c r="BB82" s="48">
        <f ca="1">IFERROR(INDEX($AQ$3:$AV$220,MATCH(ROWS($BB$3:BB82),$AV$3:$AV$220,0),1),0)</f>
        <v>0</v>
      </c>
      <c r="BC82" s="48" t="str">
        <f t="shared" ca="1" si="165"/>
        <v/>
      </c>
      <c r="BD82" s="48">
        <f ca="1">IFERROR(INDEX($AQ$3:$AV$220,MATCH(ROWS($BB$3:BD82),$AV$3:$AV$220,0),4),0)</f>
        <v>0</v>
      </c>
      <c r="BE82" s="48">
        <f ca="1">IFERROR(INDEX($AQ$3:$AV$220,MATCH(ROWS($BB$3:BE82),$AV$3:$AV$220,0),5),0)</f>
        <v>0</v>
      </c>
      <c r="BG82" s="48">
        <f ca="1">IF(IF(AND(OR(INDEX(PDC,MATCH($AC82,DEN_PDC,0),6)="SP DARE",INDEX(PDC,MATCH($AC82,DEN_PDC,0),6)="SP DARE/AVERE"),SUMIFS(DARE,DEN_G,$AC82)&gt;=SUMIFS(AVERE,DEN_G,$AC82)),SUMIFS(DARE,DEN_G,$AC82)-SUMIFS(AVERE,DEN_G,$AC82),0)&gt;0,MAX($BG$2:BG81)+1,0)</f>
        <v>0</v>
      </c>
      <c r="BH82" s="48">
        <f ca="1">IF(IF(AND(OR(INDEX(PDC,MATCH($AC82,DEN_PDC,0),6)="SP AVERE",INDEX(PDC,MATCH($AC82,DEN_PDC,0),6)="SP DARE/AVERE"),SUMIFS(AVERE,DEN_G,$AC82)&gt;=SUMIFS(DARE,DEN_G,$AC82)),SUMIFS(AVERE,DEN_G,$AC82)-SUMIFS(DARE,DEN_G,$AC82),0)&gt;0,MAX(BH$2:BH81)+1,0)</f>
        <v>0</v>
      </c>
      <c r="BI82" s="48">
        <f ca="1">IF(IF(AND(OR(INDEX(PDC,MATCH($AC82,DEN_PDC,0),6)="SE DARE",INDEX(PDC,MATCH($AC82,DEN_PDC,0),6)="SE DARE/AVERE"),SUMIFS(DARE,DEN_G,$AC82)&gt;=SUMIFS(AVERE,DEN_G,$AC82)),SUMIFS(DARE,DEN_G,$AC82)-SUMIFS(AVERE,DEN_G,$AC82),0)&gt;0,MAX(BI$2:BI81)+1,0)</f>
        <v>0</v>
      </c>
      <c r="BJ82" s="48">
        <f ca="1">IF(IF(AND(OR(INDEX(PDC,MATCH($AC82,DEN_PDC,0),6)="SE AVERE",INDEX(PDC,MATCH($AC82,DEN_PDC,0),6)="SE DARE/AVERE"),SUMIFS(AVERE,DEN_G,$AC82)&gt;=SUMIFS(DARE,DEN_G,$AC82)),SUMIFS(AVERE,DEN_G,$AC82)-SUMIFS(DARE,DEN_G,$AC82),0)&gt;0,MAX(BJ$2:BJ81)+1,0)</f>
        <v>0</v>
      </c>
      <c r="BK82" s="48" t="str">
        <f ca="1">IF(AND(AND($DY$2=0,$DY$1=0),$I$1=2,ROW()&gt;$BG$1+2,ROW()&lt;=$BG$1+4),"………………..",IF(AND(OR($DY$2&gt;0,$DY$1&gt;0),$I$1=2,ROW()&gt;$BG$1+2,ROW()&lt;=$BG$1+4),"………………..",IFERROR(INDEX($AC$3:$AC$398,MATCH(ROWS(BK$3:BK82),BG$3:BG$398,0),1),"")))</f>
        <v/>
      </c>
      <c r="BL82" s="48">
        <f t="shared" ca="1" si="136"/>
        <v>0</v>
      </c>
      <c r="BM82" s="48" t="str">
        <f ca="1">IF(AND(OR($DY$2=0,$DY$1=0),$I$1=2,ROW()&gt;$BH$1+2,ROW()&lt;=$BH$1+4),"………………..",IF(AND(OR($DY$2&gt;0,$DY$1&gt;0),$I$1=2,ROW()&gt;$BH$1+2,ROW()&lt;=$BH$1+4),"………………..",IFERROR(INDEX($AC$3:$AC$400,MATCH(ROWS(BM$3:BM82),BH$3:BH$400,0),1),"")))</f>
        <v/>
      </c>
      <c r="BN82" s="48">
        <f t="shared" ca="1" si="137"/>
        <v>0</v>
      </c>
      <c r="BO82" s="48" t="str">
        <f ca="1">IF(AND(OR($DY$2=0,$DY$1=0),$I$1=2,ROW()&gt;$BI$1+2,ROW()&lt;=$BI$1+4),"………………..",IF(AND(OR($DY$2&gt;0,$DY$1&gt;0),$I$1=2,ROW()&gt;$BI$1+2,ROW()&lt;=$BI$1+4),"………………..",IFERROR(INDEX($AC$3:$AC$400,MATCH(ROWS(BO$3:BO82),BI$3:BI$400,0),1),"")))</f>
        <v/>
      </c>
      <c r="BP82" s="48">
        <f t="shared" ca="1" si="138"/>
        <v>0</v>
      </c>
      <c r="BQ82" s="48" t="str">
        <f ca="1">IF(AND(OR($DY$2=0,$DY$1=0),$I$1=2,ROW()&gt;$BJ$1+2,ROW()&lt;=$BJ$1+4),"………………..",IF(AND(OR($DY$2&gt;0,$DY$1&gt;0),$I$1=2,ROW()&gt;$BJ$1+2,ROW()&lt;=$BJ$1+4),"………………..",IFERROR(INDEX($AC$3:$AC$400,MATCH(ROWS(BQ$3:BQ82),BJ$3:BJ$400,0),1),"")))</f>
        <v/>
      </c>
      <c r="BR82" s="48">
        <f t="shared" ca="1" si="139"/>
        <v>0</v>
      </c>
      <c r="BS82" s="48">
        <f ca="1">IF(IF(AND(OR(INDEX(PDC,MATCH($AC82,DEN_PDC,0),4)="D",INDEX(PDC,MATCH($AC82,DEN_PDC,0),4)="D/A"),SUMIFS(DARE,DEN_G,$AC82)&gt;=SUMIFS(AVERE,DEN_G,$AC82)),SUMIFS(DARE,DEN_G,$AC82),IF(AND(OR(INDEX(PDC,MATCH($AC82,DEN_PDC,0),4)="A",INDEX(PDC,MATCH($AC82,DEN_PDC,0),4)="D/A"),SUMIFS(AVERE,DEN_G,$AC82)&gt;=SUMIFS(DARE,DEN_G,$AC82)),SUMIFS(AVERE,DEN_G,$AC82),))&gt;0,MAX($BS$2:BS81)+1,0)</f>
        <v>0</v>
      </c>
      <c r="BT82" s="48" t="str">
        <f ca="1">IF($CO$1=0,"",IF(AND($I$1=2,ROW()&gt;$BR$1,ROW()&lt;=$BS$1)," …………….",IF(AND($E$1=1,$BX$1=1,$I$1=2,ROW()=$BQ$1),"TOTALI",IFERROR(INDEX(PDC,MATCH(ROWS(BT$3:BT82),BS$3:BS479,0),2),""))))</f>
        <v/>
      </c>
      <c r="BU82" s="48">
        <f t="shared" ca="1" si="140"/>
        <v>0</v>
      </c>
      <c r="BV82" s="48">
        <f t="shared" ca="1" si="141"/>
        <v>0</v>
      </c>
      <c r="BW82" s="48">
        <f t="shared" ca="1" si="142"/>
        <v>0</v>
      </c>
      <c r="BX82" s="48">
        <f t="shared" ca="1" si="143"/>
        <v>0</v>
      </c>
      <c r="BY82" s="48">
        <f ca="1">IF(OR(BW82&gt;0,BX82&gt;0),MAX($BY$2:BY81)+1,0)</f>
        <v>0</v>
      </c>
      <c r="BZ82" s="48" t="str">
        <f ca="1">IFERROR(INDEX($BT$3:$BY$400,MATCH(ROWS(BZ$3:BZ82),$BY$3:$BY$400,0),1),"")</f>
        <v/>
      </c>
      <c r="CA82" s="48" t="str">
        <f ca="1">IFERROR(INDEX($BT$3:$BY$400,MATCH(ROWS(CA$3:CA82),$BY$3:$BY$400,0),4),"")</f>
        <v/>
      </c>
      <c r="CB82" s="48" t="str">
        <f ca="1">IFERROR(INDEX($BT$3:$BY$400,MATCH(ROWS(CB$3:CB82),$BY$3:$BY$400,0),5),"")</f>
        <v/>
      </c>
      <c r="CC82" s="48" t="str">
        <f t="shared" ca="1" si="144"/>
        <v/>
      </c>
      <c r="CD82" s="48">
        <f ca="1">IF(AND($BF$9=1,CE82&lt;&gt;0),MAX($CD$2:CD81)+1,0)</f>
        <v>0</v>
      </c>
      <c r="CE82" s="48">
        <f ca="1">IF(ROUND(SUMIFS(COPIA!$CA$3:$CA$400,COPIA!$CC$3:$CC$400,CF82)-SUMIFS(COPIA!$CB$3:$CB$400,COPIA!$CC$3:$CC$400,CF82),0)&lt;0,0,ROUND(SUMIFS(COPIA!$CA$3:$CA$400,COPIA!$CC$3:$CC$400,CF82)-SUMIFS(COPIA!$CB$3:$CB$400,COPIA!$CC$3:$CC$400,CF82),0))</f>
        <v>0</v>
      </c>
      <c r="CF82" s="48" t="s">
        <v>646</v>
      </c>
      <c r="CG82" s="242" t="s">
        <v>539</v>
      </c>
      <c r="CH82" s="242">
        <f t="shared" ca="1" si="112"/>
        <v>0</v>
      </c>
      <c r="CI82" s="242"/>
      <c r="CJ82" s="242"/>
      <c r="CL82" s="242"/>
      <c r="CM82" s="242" t="str">
        <f t="shared" ca="1" si="166"/>
        <v/>
      </c>
      <c r="CN82" s="243">
        <f t="shared" ca="1" si="167"/>
        <v>0</v>
      </c>
      <c r="CO82" s="48" t="str">
        <f t="shared" ca="1" si="168"/>
        <v/>
      </c>
      <c r="CQ82" s="242"/>
      <c r="CR82" s="242">
        <f t="shared" ca="1" si="203"/>
        <v>2031</v>
      </c>
      <c r="CS82" s="48">
        <f t="shared" ca="1" si="204"/>
        <v>0</v>
      </c>
      <c r="CT82" s="48">
        <f ca="1">SUM($CS$77:CS82)</f>
        <v>0</v>
      </c>
      <c r="CU82" s="48">
        <f ca="1">IF(SUMIFS(AVERE,DEN_G,AC82,AVERE,"&gt;"&amp;0)+SUMIFS(DARE,DEN_G,AC82,DARE,"&gt;"&amp;0)&gt;0,MAX($CU$2:CU81)+1,0)</f>
        <v>0</v>
      </c>
      <c r="CV82" s="48" t="str">
        <f ca="1">IF(IFERROR(INDEX(PDC,MATCH(ROWS($CV$3:CV82),$CU$3:$CU$400,0),2),"")="CONTO DI RISULTATO ECONOMICO","",IFERROR(INDEX(PDC,MATCH(ROWS($CV$3:CV82),$CU$3:$CU$400,0),2),""))</f>
        <v/>
      </c>
      <c r="CW82" s="48">
        <f ca="1">IFERROR(IF(CV82&lt;&gt;"",MAX($CW$2:CW81)+1,0),0)</f>
        <v>0</v>
      </c>
      <c r="CX82" s="48">
        <f t="shared" ref="CX82:CX92" ca="1" si="209">$FF$9</f>
        <v>7</v>
      </c>
      <c r="CY82" s="48" t="str">
        <f t="shared" ca="1" si="208"/>
        <v>MASTRO</v>
      </c>
      <c r="DA82" s="48" t="str">
        <f ca="1">IF(DB81="","","Num. riga")</f>
        <v/>
      </c>
      <c r="DB82" s="48" t="str">
        <f t="shared" ref="DB82" ca="1" si="210">IF(DB81="","","Data")</f>
        <v/>
      </c>
      <c r="DC82" s="48" t="str">
        <f ca="1">IF(DB81="","","Operazioni")</f>
        <v/>
      </c>
      <c r="DD82" s="48" t="str">
        <f ca="1">IF(DB81="","","Dare        ")</f>
        <v/>
      </c>
      <c r="DE82" s="48" t="str">
        <f ca="1">IF(DB81="","","Avere        ")</f>
        <v/>
      </c>
      <c r="DF82" s="48">
        <f ca="1">IF(AND(CX82=$DF$1,CX82&lt;&gt;""),0,IF(AND(DB82&lt;&gt;"",OR(DB81&lt;&gt;"",DB83&lt;&gt;"")),MAX($DF$2:DF81)+1,0))</f>
        <v>0</v>
      </c>
      <c r="DH82" s="244" t="s">
        <v>66</v>
      </c>
      <c r="DI82" s="48" t="s">
        <v>55</v>
      </c>
      <c r="DJ82" s="48" t="s">
        <v>312</v>
      </c>
      <c r="DK82" s="48" t="s">
        <v>275</v>
      </c>
      <c r="DL82" s="48" t="s">
        <v>6</v>
      </c>
      <c r="DM82" s="48" t="s">
        <v>270</v>
      </c>
      <c r="DN82" s="48">
        <f ca="1">IF(DI82&lt;&gt;"",MAX($DN$2:DN81)+1,0)</f>
        <v>64</v>
      </c>
      <c r="DO82" s="48" t="str">
        <f t="shared" ca="1" si="206"/>
        <v>pac2</v>
      </c>
      <c r="DW82" s="48">
        <f>IF(DR82&lt;&gt;"",MAX($DW$2:DW81)+1,0)</f>
        <v>0</v>
      </c>
      <c r="DY82" s="48" t="str">
        <f t="shared" ca="1" si="147"/>
        <v/>
      </c>
      <c r="DZ82" s="48" t="str">
        <f t="shared" ca="1" si="170"/>
        <v/>
      </c>
      <c r="EA82" s="48" t="str">
        <f t="shared" ca="1" si="171"/>
        <v/>
      </c>
      <c r="EB82" s="48">
        <f t="shared" ca="1" si="172"/>
        <v>0</v>
      </c>
      <c r="EC82" s="48">
        <f t="shared" ca="1" si="173"/>
        <v>0</v>
      </c>
      <c r="ED82" s="48" t="str">
        <f t="shared" ca="1" si="174"/>
        <v/>
      </c>
      <c r="EE82" s="48">
        <f t="shared" ca="1" si="175"/>
        <v>0</v>
      </c>
      <c r="EF82" s="48" t="str">
        <f t="shared" ca="1" si="176"/>
        <v/>
      </c>
      <c r="EG82" s="48">
        <f t="shared" ca="1" si="177"/>
        <v>0</v>
      </c>
      <c r="EH82" s="48" t="str">
        <f t="shared" ca="1" si="178"/>
        <v/>
      </c>
      <c r="EI82" s="48">
        <f t="shared" ca="1" si="179"/>
        <v>0</v>
      </c>
      <c r="EJ82" s="48" t="str">
        <f t="shared" ca="1" si="180"/>
        <v/>
      </c>
      <c r="EK82" s="48">
        <f t="shared" ca="1" si="181"/>
        <v>0</v>
      </c>
      <c r="EL82" s="48">
        <f t="shared" ca="1" si="148"/>
        <v>0</v>
      </c>
      <c r="EM82" s="48">
        <f ca="1">IF(EL82&gt;=0,0,MAX($EM$2:EM81)+1)</f>
        <v>0</v>
      </c>
      <c r="EN82" s="48" t="str">
        <f t="shared" ca="1" si="182"/>
        <v/>
      </c>
      <c r="EO82" s="48" t="str">
        <f ca="1">IFERROR(INDEX($EM$3:$EN$400,MATCH(ROWS($EO$3:EO82),$EM$3:$EM$400,0),2),"")</f>
        <v/>
      </c>
      <c r="EP82" s="48">
        <f>ROW()</f>
        <v>82</v>
      </c>
      <c r="EQ82" s="48">
        <f t="shared" ca="1" si="149"/>
        <v>0</v>
      </c>
      <c r="ER82" s="48">
        <f ca="1">IF(ISNA(EQ82)=TRUE,MAX($ER$2:ER81)+1,0)</f>
        <v>0</v>
      </c>
      <c r="ES82" s="48" t="str">
        <f t="shared" ca="1" si="183"/>
        <v/>
      </c>
      <c r="ET82" s="48" t="str">
        <f ca="1">IFERROR(INDEX($ER$3:$ES$400,MATCH(ROWS($ET$3:ET82),$ER$3:$ER$400,0),2),"")</f>
        <v/>
      </c>
      <c r="EV82" s="48">
        <f ca="1">IFERROR(INDEX(LIBRO_GIORNALE!$O$11:$P$408,MATCH(ROWS($EV$2:EV81),LIBRO_GIORNALE!$P$11:$P$408,0),1),0)</f>
        <v>0</v>
      </c>
      <c r="EW82" s="48" t="str">
        <f t="shared" ca="1" si="184"/>
        <v>0</v>
      </c>
      <c r="EX82" s="48">
        <f t="shared" ca="1" si="185"/>
        <v>0</v>
      </c>
      <c r="EY82" s="48">
        <f ca="1">IF(EX82&gt;0,MAX($EY$2:EY81)+1,0)</f>
        <v>0</v>
      </c>
      <c r="EZ82" s="48">
        <f ca="1">IFERROR(INDEX($EX$3:$EX$400,MATCH(ROWS($EZ$3:EZ82),$EY$3:$EY$400,0),1),0)</f>
        <v>0</v>
      </c>
      <c r="FA82" s="48">
        <f ca="1">IF(EZ82&gt;0,0,MAX($FA$2:FA81)+1)</f>
        <v>80</v>
      </c>
      <c r="FB82" s="48">
        <f t="shared" ca="1" si="186"/>
        <v>0</v>
      </c>
      <c r="FC82" s="48">
        <f t="shared" ca="1" si="187"/>
        <v>80</v>
      </c>
      <c r="FD82" s="48">
        <f t="shared" ca="1" si="188"/>
        <v>80</v>
      </c>
      <c r="FE82" s="48">
        <f ca="1">IF(FD82=0,0,MAX($FE$2:FE81)+1)</f>
        <v>80</v>
      </c>
      <c r="FF82" s="48">
        <f ca="1">IFERROR(INDEX($FD$3:$FE$400,MATCH(ROWS($FF$3:FF82),$FE$3:$FE$400,0),1),"")</f>
        <v>80</v>
      </c>
      <c r="FH82" s="48">
        <f t="shared" ca="1" si="189"/>
        <v>0</v>
      </c>
      <c r="FI82" s="48">
        <f ca="1">IF(FH82&lt;&gt;0,MAX($FI$2:FI81)+1,0)</f>
        <v>0</v>
      </c>
      <c r="FJ82" s="48" t="str">
        <f ca="1">IFERROR(INDEX($FH$3:$FI$400,MATCH(ROWS($FJ$3:FJ82),$FI$3:$FI$400,0),1),"")</f>
        <v/>
      </c>
      <c r="FK82" s="48">
        <f ca="1">IF(ABS(SUMIFS(DARE,DEN_G,"="&amp;FJ82,DATA,"&lt;="&amp;FINE_AC,DATA,"&gt;="&amp;INIZIO_A_PC)-SUMIFS(AVERE,DEN_G,"="&amp;FJ82,DATA,"&lt;="&amp;FINE_AC,DATA,"&gt;="&amp;INIZIO_A_PC))&gt;0,MAX($FK$2:FK81)+1,0)</f>
        <v>0</v>
      </c>
      <c r="FL82" s="48" t="str">
        <f ca="1">IF(AND(ROW()-2&lt;&gt;1,ROW()-2&lt;=$FK$1),CONCATENATE(" - ",IFERROR(INDEX($FJ$3:$FK$400,MATCH(ROWS($FL$3:FL82),$FK$3:$FK$400,0),1),"")),IFERROR(INDEX($FJ$3:$FK$400,MATCH(ROWS($FL$3:FL82),$FK$3:$FK$400,0),1),""))</f>
        <v/>
      </c>
      <c r="FM82" s="48">
        <f ca="1">IF(OR(B82="IVA ns/credito",B82="IVA NS/DEBITO",B82="IVA C/ACCONTO",B82="IMPOSTE C/ACCONTO",B82="CREDITI PER RITENUTE SUBITE",B82="CREDITI D'IMPOSTA"),MAX($FM$2:FM81)+1,0)</f>
        <v>5</v>
      </c>
      <c r="FN82" s="48" t="str">
        <f t="shared" ca="1" si="190"/>
        <v>CREDITI D'IMPOSTA</v>
      </c>
      <c r="FO82" s="48" t="str">
        <f ca="1">IFERROR(INDEX($FM$3:$FN$400,MATCH(ROWS($FO$3:FO82),$FM$3:$FM$400,0),2),"")</f>
        <v/>
      </c>
      <c r="FP82" s="48">
        <f ca="1">IF(ABS(SUMIFS(DARE,DEN_G,"="&amp;FO82,DATA,"&lt;="&amp;FINE_AC,DATA,"&gt;="&amp;INIZIO_A_PC)-SUMIFS(AVERE,DEN_G,"="&amp;FO82,DATA,"&lt;="&amp;FINE_AC,DATA,"&gt;="&amp;INIZIO_A_PC))&gt;0,MAX($FP$2:FP81)+1,0)</f>
        <v>0</v>
      </c>
      <c r="FQ82" s="48" t="str">
        <f ca="1">IF(AND(ROW()-2&lt;&gt;1,ROW()-2&lt;=$FP$1),CONCATENATE(" - ",IFERROR(INDEX($FO$3:$FP$400,MATCH(ROWS($FQ$3:FQ82),$FP$3:$FP$400,0),1),"")),IFERROR(INDEX($FO$3:$FP$400,MATCH(ROWS($FQ$3:FQ82),$FP$3:$FP$400,0),1),""))</f>
        <v/>
      </c>
    </row>
    <row r="83" spans="1:173" x14ac:dyDescent="0.3">
      <c r="A83" s="48" t="str">
        <f ca="1">IFERROR(IF($A$1=2,INDEX($DH$3:$DN$401,MATCH(ROWS(A$3:A83),$DN$3:$DN$401,0),COLUMN()),IF($A$1=1,INDEX($DQ$3:$DW$401,MATCH(ROWS(A$3:A83),$DW$3:$DW$401,0),COLUMN()),"")),"")</f>
        <v>06.09</v>
      </c>
      <c r="B83" s="48" t="str">
        <f ca="1">IFERROR(IF($A$1=2,INDEX($DH$3:$DN$401,MATCH(ROWS(B$3:B83),$DN$3:$DN$401,0),COLUMN()),IF($A$1=1,INDEX($DQ$3:$DW$400,MATCH(ROWS(B$3:B83),$DW$3:$DW$401,0),COLUMN()),"")),"")</f>
        <v>CREDITI V/ISTITUTI PREVIDENZIALI</v>
      </c>
      <c r="C83" s="48" t="str">
        <f ca="1">IFERROR(IF($A$1=2,INDEX($DH$3:$DN$401,MATCH(ROWS(C$3:C83),$DN$3:$DN$401,0),COLUMN()),IF($A$1=1,INDEX($DQ$3:$DW$401,MATCH(ROWS(C$3:C83),$DW$3:$DW$401,0),COLUMN()),"")),"")</f>
        <v>F</v>
      </c>
      <c r="D83" s="48" t="str">
        <f ca="1">IFERROR(IF($A$1=2,INDEX($DH$3:$DN$401,MATCH(ROWS(D$3:D83),$DN$3:$DN$401,0),COLUMN()),IF($A$1=1,INDEX($DQ$3:$DW$401,MATCH(ROWS(D$3:D83),$DW$3:$DW$401,0),COLUMN()),"")),"")</f>
        <v>D</v>
      </c>
      <c r="E83" s="48" t="str">
        <f ca="1">IFERROR(IF($A$1=2,INDEX($DH$3:$DN$401,MATCH(ROWS(E$3:E83),$DN$3:$DN$401,0),COLUMN()),IF($A$1=1,INDEX($DQ$3:$DW$401,MATCH(ROWS(E$3:E83),$DW$3:$DW$401,0),COLUMN()),"")),"")</f>
        <v>CREDITI</v>
      </c>
      <c r="F83" s="48" t="str">
        <f ca="1">IFERROR(IF($A$1=2,INDEX($DH$3:$DN$401,MATCH(ROWS(F$3:F83),$DN$3:$DN$401,0),COLUMN()),IF($A$1=1,INDEX($DQ$3:$DX$401,MATCH(ROWS(F$3:F83),$DW$3:$DW$401,0),COLUMN()),"")),"")</f>
        <v>SP DARE</v>
      </c>
      <c r="G83" s="48" t="str">
        <f t="shared" ca="1" si="150"/>
        <v>SP</v>
      </c>
      <c r="H83" s="48" t="str">
        <f ca="1">IFERROR(IF($A$1=2,INDEX($DH$3:$DO$400,MATCH(ROWS(H$3:H83),$DN$3:$DN$400,0),COLUMN()),IF($A$1=1,INDEX($DQ$3:$DX$400,MATCH(ROWS(H$3:H83),$DW$3:$DW$400,0),COLUMN()),"")),"")</f>
        <v>pac2</v>
      </c>
      <c r="I83" s="48" t="str">
        <f t="shared" ca="1" si="151"/>
        <v/>
      </c>
      <c r="J83" s="48" t="str">
        <f t="shared" ca="1" si="152"/>
        <v/>
      </c>
      <c r="K83" s="48">
        <f t="shared" ca="1" si="153"/>
        <v>0</v>
      </c>
      <c r="L83" s="48">
        <f t="shared" ca="1" si="154"/>
        <v>0</v>
      </c>
      <c r="M83" s="48">
        <f ca="1">IFERROR(IF(IF(MID($A83,3,3)=".00",MID(A83,1,2),"")&lt;&gt;"",MAX($M$2:M82)+1,0),"")</f>
        <v>0</v>
      </c>
      <c r="N83" s="48" t="str">
        <f t="shared" ca="1" si="155"/>
        <v/>
      </c>
      <c r="O83" s="48" t="str">
        <f ca="1">IF(IFERROR(INDEX($N$3:$O$300,MATCH(ROWS($O$3:O83),$M$3:$M$300,0),1),"")&lt;&gt;"",CONCATENATE(INDEX($N$3:$O$300,MATCH(ROWS($O$3:O83),$M$3:$M$300,0),1),".00"),"")</f>
        <v/>
      </c>
      <c r="P83" s="48" t="str">
        <f t="shared" ca="1" si="156"/>
        <v/>
      </c>
      <c r="Q83" s="48">
        <f ca="1">IF(M83&gt;=1,0,MAX($Q$2:Q82)+1)</f>
        <v>74</v>
      </c>
      <c r="U83" s="48" t="str">
        <f ca="1">IFERROR(INDEX(PDC,MATCH(ROWS(U$3:U83),$V$3:$V$400,0),2),"")</f>
        <v>OBBLIGAZIONISTI C/SOTTOSCRIZIONE</v>
      </c>
      <c r="V83" s="48">
        <f ca="1">IF(AND($T$1="VISUALIZZA TUTTI I CONTI",AA83&lt;&gt;""),MAX($V$2:V82)+1,IF(AND($U$2=2,AI83=$T$1),MAX($V$2:V82)+1,IF(AND($U$2=1,$T$1=AF83),MAX($V$2:V82)+1,0)))</f>
        <v>81</v>
      </c>
      <c r="Z83" s="246"/>
      <c r="AA83" s="48" t="str">
        <f t="shared" ca="1" si="157"/>
        <v>06.00</v>
      </c>
      <c r="AB83" s="48" t="str">
        <f ca="1">IFERROR(INDEX($A$3:$G$400,MATCH(ROWS(AB$3:AB83),$Q$3:$Q$400,0),1),"")</f>
        <v>06.30</v>
      </c>
      <c r="AC83" s="48" t="str">
        <f ca="1">IFERROR(INDEX($A$3:$G$400,MATCH(ROWS($AC$3:AC83),$Q$3:$Q$400,0),2),"")</f>
        <v>OBBLIGAZIONISTI C/SOTTOSCRIZIONE</v>
      </c>
      <c r="AD83" s="48" t="str">
        <f ca="1">IFERROR(INDEX($A$3:$G$400,MATCH(ROWS(AD$3:AD83),$Q$3:$Q$400,0),3),"")</f>
        <v>F</v>
      </c>
      <c r="AE83" s="48" t="str">
        <f ca="1">IFERROR(INDEX($A$3:$G$400,MATCH(ROWS(AE$3:AE83),$Q$3:$Q$400,0),4),"")</f>
        <v>D</v>
      </c>
      <c r="AF83" s="48" t="str">
        <f ca="1">IFERROR(INDEX($A$3:$G$400,MATCH(ROWS(AF$3:AF83),$Q$3:$Q$400,0),5),"")</f>
        <v>CREDITI</v>
      </c>
      <c r="AG83" s="48" t="str">
        <f ca="1">IFERROR(INDEX($A$3:$G$400,MATCH(ROWS(AG$3:AG83),$Q$3:$Q$400,0),6),"")</f>
        <v>SP DARE</v>
      </c>
      <c r="AH83" s="48" t="str">
        <f ca="1">IFERROR(INDEX($A$3:$G$400,MATCH(ROWS(AH$3:AH83),$Q$3:$Q$400,0),7),"")</f>
        <v>SP</v>
      </c>
      <c r="AI83" s="48" t="str">
        <f t="shared" ca="1" si="158"/>
        <v>CREDITI DIVERSI</v>
      </c>
      <c r="AJ83" s="48" t="str">
        <f ca="1">IFERROR(INDEX($A$3:$H$400,MATCH(ROWS(AJ$3:AJ83),$Q$3:$Q$400,0),8),"")</f>
        <v>pac2</v>
      </c>
      <c r="AK83" s="48">
        <f t="shared" ca="1" si="130"/>
        <v>0</v>
      </c>
      <c r="AL83" s="48">
        <f t="shared" ca="1" si="131"/>
        <v>0</v>
      </c>
      <c r="AM83" s="48">
        <f t="shared" ca="1" si="159"/>
        <v>0</v>
      </c>
      <c r="AN83" s="48" t="str">
        <f t="shared" ca="1" si="160"/>
        <v/>
      </c>
      <c r="AO83" s="48">
        <f t="shared" ca="1" si="161"/>
        <v>0</v>
      </c>
      <c r="AP83" s="48">
        <f t="shared" ca="1" si="161"/>
        <v>0</v>
      </c>
      <c r="AQ83" s="48" t="str">
        <f t="shared" ca="1" si="132"/>
        <v>OBBLIGAZIONISTI C/SOTTOSCRIZIONE</v>
      </c>
      <c r="AR83" s="48">
        <f t="shared" ca="1" si="133"/>
        <v>0</v>
      </c>
      <c r="AS83" s="48">
        <f t="shared" ca="1" si="134"/>
        <v>0</v>
      </c>
      <c r="AT83" s="48">
        <f t="shared" ca="1" si="162"/>
        <v>0</v>
      </c>
      <c r="AU83" s="48">
        <f t="shared" ca="1" si="163"/>
        <v>0</v>
      </c>
      <c r="AV83" s="48">
        <f ca="1">IF(OR(AT83&gt;0,AU83&gt;0),MAX($AV$2:AV82)+1,0)</f>
        <v>0</v>
      </c>
      <c r="AZ83" s="241" t="str">
        <f t="shared" ca="1" si="164"/>
        <v/>
      </c>
      <c r="BA83" s="48">
        <f t="shared" ca="1" si="135"/>
        <v>0</v>
      </c>
      <c r="BB83" s="48">
        <f ca="1">IFERROR(INDEX($AQ$3:$AV$220,MATCH(ROWS($BB$3:BB83),$AV$3:$AV$220,0),1),0)</f>
        <v>0</v>
      </c>
      <c r="BC83" s="48" t="str">
        <f t="shared" ca="1" si="165"/>
        <v/>
      </c>
      <c r="BD83" s="48">
        <f ca="1">IFERROR(INDEX($AQ$3:$AV$220,MATCH(ROWS($BB$3:BD83),$AV$3:$AV$220,0),4),0)</f>
        <v>0</v>
      </c>
      <c r="BE83" s="48">
        <f ca="1">IFERROR(INDEX($AQ$3:$AV$220,MATCH(ROWS($BB$3:BE83),$AV$3:$AV$220,0),5),0)</f>
        <v>0</v>
      </c>
      <c r="BG83" s="48">
        <f ca="1">IF(IF(AND(OR(INDEX(PDC,MATCH($AC83,DEN_PDC,0),6)="SP DARE",INDEX(PDC,MATCH($AC83,DEN_PDC,0),6)="SP DARE/AVERE"),SUMIFS(DARE,DEN_G,$AC83)&gt;=SUMIFS(AVERE,DEN_G,$AC83)),SUMIFS(DARE,DEN_G,$AC83)-SUMIFS(AVERE,DEN_G,$AC83),0)&gt;0,MAX($BG$2:BG82)+1,0)</f>
        <v>0</v>
      </c>
      <c r="BH83" s="48">
        <f ca="1">IF(IF(AND(OR(INDEX(PDC,MATCH($AC83,DEN_PDC,0),6)="SP AVERE",INDEX(PDC,MATCH($AC83,DEN_PDC,0),6)="SP DARE/AVERE"),SUMIFS(AVERE,DEN_G,$AC83)&gt;=SUMIFS(DARE,DEN_G,$AC83)),SUMIFS(AVERE,DEN_G,$AC83)-SUMIFS(DARE,DEN_G,$AC83),0)&gt;0,MAX(BH$2:BH82)+1,0)</f>
        <v>0</v>
      </c>
      <c r="BI83" s="48">
        <f ca="1">IF(IF(AND(OR(INDEX(PDC,MATCH($AC83,DEN_PDC,0),6)="SE DARE",INDEX(PDC,MATCH($AC83,DEN_PDC,0),6)="SE DARE/AVERE"),SUMIFS(DARE,DEN_G,$AC83)&gt;=SUMIFS(AVERE,DEN_G,$AC83)),SUMIFS(DARE,DEN_G,$AC83)-SUMIFS(AVERE,DEN_G,$AC83),0)&gt;0,MAX(BI$2:BI82)+1,0)</f>
        <v>0</v>
      </c>
      <c r="BJ83" s="48">
        <f ca="1">IF(IF(AND(OR(INDEX(PDC,MATCH($AC83,DEN_PDC,0),6)="SE AVERE",INDEX(PDC,MATCH($AC83,DEN_PDC,0),6)="SE DARE/AVERE"),SUMIFS(AVERE,DEN_G,$AC83)&gt;=SUMIFS(DARE,DEN_G,$AC83)),SUMIFS(AVERE,DEN_G,$AC83)-SUMIFS(DARE,DEN_G,$AC83),0)&gt;0,MAX(BJ$2:BJ82)+1,0)</f>
        <v>0</v>
      </c>
      <c r="BK83" s="48" t="str">
        <f ca="1">IF(AND(AND($DY$2=0,$DY$1=0),$I$1=2,ROW()&gt;$BG$1+2,ROW()&lt;=$BG$1+4),"………………..",IF(AND(OR($DY$2&gt;0,$DY$1&gt;0),$I$1=2,ROW()&gt;$BG$1+2,ROW()&lt;=$BG$1+4),"………………..",IFERROR(INDEX($AC$3:$AC$398,MATCH(ROWS(BK$3:BK83),BG$3:BG$398,0),1),"")))</f>
        <v/>
      </c>
      <c r="BL83" s="48">
        <f t="shared" ca="1" si="136"/>
        <v>0</v>
      </c>
      <c r="BM83" s="48" t="str">
        <f ca="1">IF(AND(OR($DY$2=0,$DY$1=0),$I$1=2,ROW()&gt;$BH$1+2,ROW()&lt;=$BH$1+4),"………………..",IF(AND(OR($DY$2&gt;0,$DY$1&gt;0),$I$1=2,ROW()&gt;$BH$1+2,ROW()&lt;=$BH$1+4),"………………..",IFERROR(INDEX($AC$3:$AC$400,MATCH(ROWS(BM$3:BM83),BH$3:BH$400,0),1),"")))</f>
        <v/>
      </c>
      <c r="BN83" s="48">
        <f t="shared" ca="1" si="137"/>
        <v>0</v>
      </c>
      <c r="BO83" s="48" t="str">
        <f ca="1">IF(AND(OR($DY$2=0,$DY$1=0),$I$1=2,ROW()&gt;$BI$1+2,ROW()&lt;=$BI$1+4),"………………..",IF(AND(OR($DY$2&gt;0,$DY$1&gt;0),$I$1=2,ROW()&gt;$BI$1+2,ROW()&lt;=$BI$1+4),"………………..",IFERROR(INDEX($AC$3:$AC$400,MATCH(ROWS(BO$3:BO83),BI$3:BI$400,0),1),"")))</f>
        <v/>
      </c>
      <c r="BP83" s="48">
        <f t="shared" ca="1" si="138"/>
        <v>0</v>
      </c>
      <c r="BQ83" s="48" t="str">
        <f ca="1">IF(AND(OR($DY$2=0,$DY$1=0),$I$1=2,ROW()&gt;$BJ$1+2,ROW()&lt;=$BJ$1+4),"………………..",IF(AND(OR($DY$2&gt;0,$DY$1&gt;0),$I$1=2,ROW()&gt;$BJ$1+2,ROW()&lt;=$BJ$1+4),"………………..",IFERROR(INDEX($AC$3:$AC$400,MATCH(ROWS(BQ$3:BQ83),BJ$3:BJ$400,0),1),"")))</f>
        <v/>
      </c>
      <c r="BR83" s="48">
        <f t="shared" ca="1" si="139"/>
        <v>0</v>
      </c>
      <c r="BS83" s="48">
        <f ca="1">IF(IF(AND(OR(INDEX(PDC,MATCH($AC83,DEN_PDC,0),4)="D",INDEX(PDC,MATCH($AC83,DEN_PDC,0),4)="D/A"),SUMIFS(DARE,DEN_G,$AC83)&gt;=SUMIFS(AVERE,DEN_G,$AC83)),SUMIFS(DARE,DEN_G,$AC83),IF(AND(OR(INDEX(PDC,MATCH($AC83,DEN_PDC,0),4)="A",INDEX(PDC,MATCH($AC83,DEN_PDC,0),4)="D/A"),SUMIFS(AVERE,DEN_G,$AC83)&gt;=SUMIFS(DARE,DEN_G,$AC83)),SUMIFS(AVERE,DEN_G,$AC83),))&gt;0,MAX($BS$2:BS82)+1,0)</f>
        <v>0</v>
      </c>
      <c r="BT83" s="48" t="str">
        <f ca="1">IF($CO$1=0,"",IF(AND($I$1=2,ROW()&gt;$BR$1,ROW()&lt;=$BS$1)," …………….",IF(AND($E$1=1,$BX$1=1,$I$1=2,ROW()=$BQ$1),"TOTALI",IFERROR(INDEX(PDC,MATCH(ROWS(BT$3:BT83),BS$3:BS480,0),2),""))))</f>
        <v/>
      </c>
      <c r="BU83" s="48">
        <f t="shared" ca="1" si="140"/>
        <v>0</v>
      </c>
      <c r="BV83" s="48">
        <f t="shared" ca="1" si="141"/>
        <v>0</v>
      </c>
      <c r="BW83" s="48">
        <f t="shared" ca="1" si="142"/>
        <v>0</v>
      </c>
      <c r="BX83" s="48">
        <f t="shared" ca="1" si="143"/>
        <v>0</v>
      </c>
      <c r="BY83" s="48">
        <f ca="1">IF(OR(BW83&gt;0,BX83&gt;0),MAX($BY$2:BY82)+1,0)</f>
        <v>0</v>
      </c>
      <c r="BZ83" s="48" t="str">
        <f ca="1">IFERROR(INDEX($BT$3:$BY$400,MATCH(ROWS(BZ$3:BZ83),$BY$3:$BY$400,0),1),"")</f>
        <v/>
      </c>
      <c r="CA83" s="48" t="str">
        <f ca="1">IFERROR(INDEX($BT$3:$BY$400,MATCH(ROWS(CA$3:CA83),$BY$3:$BY$400,0),4),"")</f>
        <v/>
      </c>
      <c r="CB83" s="48" t="str">
        <f ca="1">IFERROR(INDEX($BT$3:$BY$400,MATCH(ROWS(CB$3:CB83),$BY$3:$BY$400,0),5),"")</f>
        <v/>
      </c>
      <c r="CC83" s="48" t="str">
        <f t="shared" ca="1" si="144"/>
        <v/>
      </c>
      <c r="CD83" s="48">
        <f ca="1">IF(AND($CG$1=TRUE,$BF$9=1,CE83&lt;&gt;0),MAX($CD$2:CD82)+1,0)</f>
        <v>0</v>
      </c>
      <c r="CE83" s="48">
        <f ca="1">IF($I$1=1,SUM(CE80:CE82),IF(AND($I$1=2,SUM(CE80:CE82)&gt;0),"_ _ _",0))</f>
        <v>0</v>
      </c>
      <c r="CG83" s="242" t="s">
        <v>505</v>
      </c>
      <c r="CH83" s="242">
        <f ca="1">CE83</f>
        <v>0</v>
      </c>
      <c r="CI83" s="242"/>
      <c r="CJ83" s="242"/>
      <c r="CL83" s="242"/>
      <c r="CM83" s="242" t="str">
        <f t="shared" ca="1" si="166"/>
        <v/>
      </c>
      <c r="CN83" s="243">
        <f t="shared" ca="1" si="167"/>
        <v>0</v>
      </c>
      <c r="CO83" s="48" t="str">
        <f t="shared" ca="1" si="168"/>
        <v/>
      </c>
      <c r="CQ83" s="242"/>
      <c r="CR83" s="242"/>
      <c r="CU83" s="48">
        <f ca="1">IF(SUMIFS(AVERE,DEN_G,AC83,AVERE,"&gt;"&amp;0)+SUMIFS(DARE,DEN_G,AC83,DARE,"&gt;"&amp;0)&gt;0,MAX($CU$2:CU82)+1,0)</f>
        <v>0</v>
      </c>
      <c r="CV83" s="48" t="str">
        <f ca="1">IF(IFERROR(INDEX(PDC,MATCH(ROWS($CV$3:CV83),$CU$3:$CU$400,0),2),"")="CONTO DI RISULTATO ECONOMICO","",IFERROR(INDEX(PDC,MATCH(ROWS($CV$3:CV83),$CU$3:$CU$400,0),2),""))</f>
        <v/>
      </c>
      <c r="CW83" s="48">
        <f ca="1">IFERROR(IF(CV83&lt;&gt;"",MAX($CW$2:CW82)+1,0),0)</f>
        <v>0</v>
      </c>
      <c r="CX83" s="48">
        <f t="shared" ca="1" si="209"/>
        <v>7</v>
      </c>
      <c r="CY83" s="48" t="str">
        <f t="shared" ca="1" si="208"/>
        <v>MASTRO</v>
      </c>
      <c r="CZ83" s="48" t="e">
        <f t="shared" ref="CZ83:CZ92" ca="1" si="211">SUM(MATCH($CY83,INDIRECT(ADDRESS(SUM(CZ82)+3,54)&amp;":"&amp;ADDRESS(400,54)),0),CZ82)</f>
        <v>#N/A</v>
      </c>
      <c r="DA83" s="48" t="str">
        <f ca="1">IFERROR(INDEX(LIBRO_GIORNALE,CZ83,1),"")</f>
        <v/>
      </c>
      <c r="DB83" s="48" t="str">
        <f t="shared" ref="DB83:DB144" ca="1" si="212">IF(RIGHT(TEXT(IFERROR(INDEX(LIBRO_GIORNALE,CZ83,2),""),"gg/mm/aa"),1)="a",TEXT(IFERROR(INDEX(LIBRO_GIORNALE,CZ83,2),""),"dd/mm/yy"),TEXT(IFERROR(INDEX(LIBRO_GIORNALE,CZ83,2),""),"gg/mm/aa"))</f>
        <v/>
      </c>
      <c r="DC83" s="48" t="str">
        <f t="shared" ref="DC83:DC92" ca="1" si="213">IF(IFERROR(INDEX(LIBRO_GIORNALE,CZ83,4),"")=0,"manca la descrizione dell'operazione",IFERROR(INDEX(LIBRO_GIORNALE,CZ83,4),""))</f>
        <v/>
      </c>
      <c r="DD83" s="48" t="str">
        <f t="shared" ref="DD83:DD92" ca="1" si="214">IFERROR(IF(INDEX(LIBRO_GIORNALE,CZ83,5)&gt;0,INDEX(LIBRO_GIORNALE,CZ83,5),""),"")</f>
        <v/>
      </c>
      <c r="DE83" s="48" t="str">
        <f t="shared" ref="DE83:DE92" ca="1" si="215">IFERROR(IF(INDEX(LIBRO_GIORNALE,CZ83,6)&gt;0,INDEX(LIBRO_GIORNALE,CZ83,6),""),"")</f>
        <v/>
      </c>
      <c r="DF83" s="48">
        <f ca="1">IF(AND(CX83=$DF$1,CX83&lt;&gt;""),0,IF(AND(DB83&lt;&gt;"",OR(DB82&lt;&gt;"",DB84&lt;&gt;"")),MAX($DF$2:DF82)+1,0))</f>
        <v>0</v>
      </c>
      <c r="DH83" s="244" t="s">
        <v>67</v>
      </c>
      <c r="DI83" s="48" t="s">
        <v>56</v>
      </c>
      <c r="DJ83" s="48" t="s">
        <v>312</v>
      </c>
      <c r="DK83" s="48" t="s">
        <v>275</v>
      </c>
      <c r="DL83" s="48" t="s">
        <v>6</v>
      </c>
      <c r="DM83" s="48" t="s">
        <v>270</v>
      </c>
      <c r="DN83" s="48">
        <f ca="1">IF(DI83&lt;&gt;"",MAX($DN$2:DN82)+1,0)</f>
        <v>65</v>
      </c>
      <c r="DO83" s="48" t="str">
        <f t="shared" ca="1" si="206"/>
        <v>pac2</v>
      </c>
      <c r="DQ83" s="227" t="s">
        <v>51</v>
      </c>
      <c r="DR83" s="228" t="s">
        <v>52</v>
      </c>
      <c r="DW83" s="48">
        <f ca="1">IF(DR83&lt;&gt;"",MAX($DW$2:DW82)+1,0)</f>
        <v>41</v>
      </c>
      <c r="DY83" s="48" t="str">
        <f t="shared" ca="1" si="147"/>
        <v/>
      </c>
      <c r="DZ83" s="48" t="str">
        <f t="shared" ca="1" si="170"/>
        <v/>
      </c>
      <c r="EA83" s="48" t="str">
        <f t="shared" ca="1" si="171"/>
        <v/>
      </c>
      <c r="EB83" s="48">
        <f t="shared" ca="1" si="172"/>
        <v>0</v>
      </c>
      <c r="EC83" s="48">
        <f t="shared" ca="1" si="173"/>
        <v>0</v>
      </c>
      <c r="ED83" s="48" t="str">
        <f t="shared" ca="1" si="174"/>
        <v/>
      </c>
      <c r="EE83" s="48">
        <f t="shared" ca="1" si="175"/>
        <v>0</v>
      </c>
      <c r="EF83" s="48" t="str">
        <f t="shared" ca="1" si="176"/>
        <v/>
      </c>
      <c r="EG83" s="48">
        <f t="shared" ca="1" si="177"/>
        <v>0</v>
      </c>
      <c r="EH83" s="48" t="str">
        <f t="shared" ca="1" si="178"/>
        <v/>
      </c>
      <c r="EI83" s="48">
        <f t="shared" ca="1" si="179"/>
        <v>0</v>
      </c>
      <c r="EJ83" s="48" t="str">
        <f t="shared" ca="1" si="180"/>
        <v/>
      </c>
      <c r="EK83" s="48">
        <f t="shared" ca="1" si="181"/>
        <v>0</v>
      </c>
      <c r="EL83" s="48">
        <f t="shared" ca="1" si="148"/>
        <v>0</v>
      </c>
      <c r="EM83" s="48">
        <f ca="1">IF(EL83&gt;=0,0,MAX($EM$2:EM82)+1)</f>
        <v>0</v>
      </c>
      <c r="EN83" s="48" t="str">
        <f t="shared" ca="1" si="182"/>
        <v/>
      </c>
      <c r="EO83" s="48" t="str">
        <f ca="1">IFERROR(INDEX($EM$3:$EN$400,MATCH(ROWS($EO$3:EO83),$EM$3:$EM$400,0),2),"")</f>
        <v/>
      </c>
      <c r="EP83" s="48">
        <f>ROW()</f>
        <v>83</v>
      </c>
      <c r="EQ83" s="48">
        <f t="shared" ca="1" si="149"/>
        <v>0</v>
      </c>
      <c r="ER83" s="48">
        <f ca="1">IF(ISNA(EQ83)=TRUE,MAX($ER$2:ER82)+1,0)</f>
        <v>0</v>
      </c>
      <c r="ES83" s="48" t="str">
        <f t="shared" ca="1" si="183"/>
        <v/>
      </c>
      <c r="ET83" s="48" t="str">
        <f ca="1">IFERROR(INDEX($ER$3:$ES$400,MATCH(ROWS($ET$3:ET83),$ER$3:$ER$400,0),2),"")</f>
        <v/>
      </c>
      <c r="EV83" s="48">
        <f ca="1">IFERROR(INDEX(LIBRO_GIORNALE!$O$11:$P$408,MATCH(ROWS($EV$2:EV82),LIBRO_GIORNALE!$P$11:$P$408,0),1),0)</f>
        <v>0</v>
      </c>
      <c r="EW83" s="48" t="str">
        <f t="shared" ca="1" si="184"/>
        <v>0</v>
      </c>
      <c r="EX83" s="48">
        <f t="shared" ca="1" si="185"/>
        <v>0</v>
      </c>
      <c r="EY83" s="48">
        <f ca="1">IF(EX83&gt;0,MAX($EY$2:EY82)+1,0)</f>
        <v>0</v>
      </c>
      <c r="EZ83" s="48">
        <f ca="1">IFERROR(INDEX($EX$3:$EX$400,MATCH(ROWS($EZ$3:EZ83),$EY$3:$EY$400,0),1),0)</f>
        <v>0</v>
      </c>
      <c r="FA83" s="48">
        <f ca="1">IF(EZ83&gt;0,0,MAX($FA$2:FA82)+1)</f>
        <v>81</v>
      </c>
      <c r="FB83" s="48">
        <f t="shared" ca="1" si="186"/>
        <v>0</v>
      </c>
      <c r="FC83" s="48">
        <f t="shared" ca="1" si="187"/>
        <v>81</v>
      </c>
      <c r="FD83" s="48">
        <f t="shared" ca="1" si="188"/>
        <v>81</v>
      </c>
      <c r="FE83" s="48">
        <f ca="1">IF(FD83=0,0,MAX($FE$2:FE82)+1)</f>
        <v>81</v>
      </c>
      <c r="FF83" s="48">
        <f ca="1">IFERROR(INDEX($FD$3:$FE$400,MATCH(ROWS($FF$3:FF83),$FE$3:$FE$400,0),1),"")</f>
        <v>81</v>
      </c>
      <c r="FH83" s="48">
        <f t="shared" ca="1" si="189"/>
        <v>0</v>
      </c>
      <c r="FI83" s="48">
        <f ca="1">IF(FH83&lt;&gt;0,MAX($FI$2:FI82)+1,0)</f>
        <v>0</v>
      </c>
      <c r="FJ83" s="48" t="str">
        <f ca="1">IFERROR(INDEX($FH$3:$FI$400,MATCH(ROWS($FJ$3:FJ83),$FI$3:$FI$400,0),1),"")</f>
        <v/>
      </c>
      <c r="FK83" s="48">
        <f ca="1">IF(ABS(SUMIFS(DARE,DEN_G,"="&amp;FJ83,DATA,"&lt;="&amp;FINE_AC,DATA,"&gt;="&amp;INIZIO_A_PC)-SUMIFS(AVERE,DEN_G,"="&amp;FJ83,DATA,"&lt;="&amp;FINE_AC,DATA,"&gt;="&amp;INIZIO_A_PC))&gt;0,MAX($FK$2:FK82)+1,0)</f>
        <v>0</v>
      </c>
      <c r="FL83" s="48" t="str">
        <f ca="1">IF(AND(ROW()-2&lt;&gt;1,ROW()-2&lt;=$FK$1),CONCATENATE(" - ",IFERROR(INDEX($FJ$3:$FK$400,MATCH(ROWS($FL$3:FL83),$FK$3:$FK$400,0),1),"")),IFERROR(INDEX($FJ$3:$FK$400,MATCH(ROWS($FL$3:FL83),$FK$3:$FK$400,0),1),""))</f>
        <v/>
      </c>
      <c r="FM83" s="48">
        <f ca="1">IF(OR(B83="IVA ns/credito",B83="IVA NS/DEBITO",B83="IVA C/ACCONTO",B83="IMPOSTE C/ACCONTO",B83="CREDITI PER RITENUTE SUBITE",B83="CREDITI D'IMPOSTA"),MAX($FM$2:FM82)+1,0)</f>
        <v>0</v>
      </c>
      <c r="FN83" s="48" t="str">
        <f t="shared" ca="1" si="190"/>
        <v/>
      </c>
      <c r="FO83" s="48" t="str">
        <f ca="1">IFERROR(INDEX($FM$3:$FN$400,MATCH(ROWS($FO$3:FO83),$FM$3:$FM$400,0),2),"")</f>
        <v/>
      </c>
      <c r="FP83" s="48">
        <f ca="1">IF(ABS(SUMIFS(DARE,DEN_G,"="&amp;FO83,DATA,"&lt;="&amp;FINE_AC,DATA,"&gt;="&amp;INIZIO_A_PC)-SUMIFS(AVERE,DEN_G,"="&amp;FO83,DATA,"&lt;="&amp;FINE_AC,DATA,"&gt;="&amp;INIZIO_A_PC))&gt;0,MAX($FP$2:FP82)+1,0)</f>
        <v>0</v>
      </c>
      <c r="FQ83" s="48" t="str">
        <f ca="1">IF(AND(ROW()-2&lt;&gt;1,ROW()-2&lt;=$FP$1),CONCATENATE(" - ",IFERROR(INDEX($FO$3:$FP$400,MATCH(ROWS($FQ$3:FQ83),$FP$3:$FP$400,0),1),"")),IFERROR(INDEX($FO$3:$FP$400,MATCH(ROWS($FQ$3:FQ83),$FP$3:$FP$400,0),1),""))</f>
        <v/>
      </c>
    </row>
    <row r="84" spans="1:173" x14ac:dyDescent="0.3">
      <c r="A84" s="48" t="str">
        <f ca="1">IFERROR(IF($A$1=2,INDEX($DH$3:$DN$401,MATCH(ROWS(A$3:A84),$DN$3:$DN$401,0),COLUMN()),IF($A$1=1,INDEX($DQ$3:$DW$401,MATCH(ROWS(A$3:A84),$DW$3:$DW$401,0),COLUMN()),"")),"")</f>
        <v>06.10</v>
      </c>
      <c r="B84" s="48" t="str">
        <f ca="1">IFERROR(IF($A$1=2,INDEX($DH$3:$DN$401,MATCH(ROWS(B$3:B84),$DN$3:$DN$401,0),COLUMN()),IF($A$1=1,INDEX($DQ$3:$DW$400,MATCH(ROWS(B$3:B84),$DW$3:$DW$401,0),COLUMN()),"")),"")</f>
        <v>CREDITI PER CAUZIONI</v>
      </c>
      <c r="C84" s="48" t="str">
        <f ca="1">IFERROR(IF($A$1=2,INDEX($DH$3:$DN$401,MATCH(ROWS(C$3:C84),$DN$3:$DN$401,0),COLUMN()),IF($A$1=1,INDEX($DQ$3:$DW$401,MATCH(ROWS(C$3:C84),$DW$3:$DW$401,0),COLUMN()),"")),"")</f>
        <v>F</v>
      </c>
      <c r="D84" s="48" t="str">
        <f ca="1">IFERROR(IF($A$1=2,INDEX($DH$3:$DN$401,MATCH(ROWS(D$3:D84),$DN$3:$DN$401,0),COLUMN()),IF($A$1=1,INDEX($DQ$3:$DW$401,MATCH(ROWS(D$3:D84),$DW$3:$DW$401,0),COLUMN()),"")),"")</f>
        <v>D</v>
      </c>
      <c r="E84" s="48" t="str">
        <f ca="1">IFERROR(IF($A$1=2,INDEX($DH$3:$DN$401,MATCH(ROWS(E$3:E84),$DN$3:$DN$401,0),COLUMN()),IF($A$1=1,INDEX($DQ$3:$DW$401,MATCH(ROWS(E$3:E84),$DW$3:$DW$401,0),COLUMN()),"")),"")</f>
        <v>CREDITI</v>
      </c>
      <c r="F84" s="48" t="str">
        <f ca="1">IFERROR(IF($A$1=2,INDEX($DH$3:$DN$401,MATCH(ROWS(F$3:F84),$DN$3:$DN$401,0),COLUMN()),IF($A$1=1,INDEX($DQ$3:$DX$401,MATCH(ROWS(F$3:F84),$DW$3:$DW$401,0),COLUMN()),"")),"")</f>
        <v>SP DARE</v>
      </c>
      <c r="G84" s="48" t="str">
        <f t="shared" ca="1" si="150"/>
        <v>SP</v>
      </c>
      <c r="H84" s="48" t="str">
        <f ca="1">IFERROR(IF($A$1=2,INDEX($DH$3:$DO$400,MATCH(ROWS(H$3:H84),$DN$3:$DN$400,0),COLUMN()),IF($A$1=1,INDEX($DQ$3:$DX$400,MATCH(ROWS(H$3:H84),$DW$3:$DW$400,0),COLUMN()),"")),"")</f>
        <v>pac2</v>
      </c>
      <c r="I84" s="48" t="str">
        <f t="shared" ca="1" si="151"/>
        <v/>
      </c>
      <c r="J84" s="48" t="str">
        <f t="shared" ca="1" si="152"/>
        <v/>
      </c>
      <c r="K84" s="48">
        <f t="shared" ca="1" si="153"/>
        <v>0</v>
      </c>
      <c r="L84" s="48">
        <f t="shared" ca="1" si="154"/>
        <v>0</v>
      </c>
      <c r="M84" s="48">
        <f ca="1">IFERROR(IF(IF(MID($A84,3,3)=".00",MID(A84,1,2),"")&lt;&gt;"",MAX($M$2:M83)+1,0),"")</f>
        <v>0</v>
      </c>
      <c r="N84" s="48" t="str">
        <f t="shared" ca="1" si="155"/>
        <v/>
      </c>
      <c r="O84" s="48" t="str">
        <f ca="1">IF(IFERROR(INDEX($N$3:$O$300,MATCH(ROWS($O$3:O84),$M$3:$M$300,0),1),"")&lt;&gt;"",CONCATENATE(INDEX($N$3:$O$300,MATCH(ROWS($O$3:O84),$M$3:$M$300,0),1),".00"),"")</f>
        <v/>
      </c>
      <c r="P84" s="48" t="str">
        <f t="shared" ca="1" si="156"/>
        <v/>
      </c>
      <c r="Q84" s="48">
        <f ca="1">IF(M84&gt;=1,0,MAX($Q$2:Q83)+1)</f>
        <v>75</v>
      </c>
      <c r="U84" s="48" t="str">
        <f ca="1">IFERROR(INDEX(PDC,MATCH(ROWS(U$3:U84),$V$3:$V$400,0),2),"")</f>
        <v>ENTE CONCEDENTE C/CONTRIBUTI</v>
      </c>
      <c r="V84" s="48">
        <f ca="1">IF(AND($T$1="VISUALIZZA TUTTI I CONTI",AA84&lt;&gt;""),MAX($V$2:V83)+1,IF(AND($U$2=2,AI84=$T$1),MAX($V$2:V83)+1,IF(AND($U$2=1,$T$1=AF84),MAX($V$2:V83)+1,0)))</f>
        <v>82</v>
      </c>
      <c r="Z84" s="246"/>
      <c r="AA84" s="48" t="str">
        <f t="shared" ca="1" si="157"/>
        <v>06.00</v>
      </c>
      <c r="AB84" s="48" t="str">
        <f ca="1">IFERROR(INDEX($A$3:$G$400,MATCH(ROWS(AB$3:AB84),$Q$3:$Q$400,0),1),"")</f>
        <v>06.40</v>
      </c>
      <c r="AC84" s="48" t="str">
        <f ca="1">IFERROR(INDEX($A$3:$G$400,MATCH(ROWS($AC$3:AC84),$Q$3:$Q$400,0),2),"")</f>
        <v>ENTE CONCEDENTE C/CONTRIBUTI</v>
      </c>
      <c r="AD84" s="48" t="str">
        <f ca="1">IFERROR(INDEX($A$3:$G$400,MATCH(ROWS(AD$3:AD84),$Q$3:$Q$400,0),3),"")</f>
        <v>F</v>
      </c>
      <c r="AE84" s="48" t="str">
        <f ca="1">IFERROR(INDEX($A$3:$G$400,MATCH(ROWS(AE$3:AE84),$Q$3:$Q$400,0),4),"")</f>
        <v>D</v>
      </c>
      <c r="AF84" s="48" t="str">
        <f ca="1">IFERROR(INDEX($A$3:$G$400,MATCH(ROWS(AF$3:AF84),$Q$3:$Q$400,0),5),"")</f>
        <v>CREDITI</v>
      </c>
      <c r="AG84" s="48" t="str">
        <f ca="1">IFERROR(INDEX($A$3:$G$400,MATCH(ROWS(AG$3:AG84),$Q$3:$Q$400,0),6),"")</f>
        <v>SP DARE</v>
      </c>
      <c r="AH84" s="48" t="str">
        <f ca="1">IFERROR(INDEX($A$3:$G$400,MATCH(ROWS(AH$3:AH84),$Q$3:$Q$400,0),7),"")</f>
        <v>SP</v>
      </c>
      <c r="AI84" s="48" t="str">
        <f t="shared" ca="1" si="158"/>
        <v>CREDITI DIVERSI</v>
      </c>
      <c r="AJ84" s="48" t="str">
        <f ca="1">IFERROR(INDEX($A$3:$H$400,MATCH(ROWS(AJ$3:AJ84),$Q$3:$Q$400,0),8),"")</f>
        <v>pac2</v>
      </c>
      <c r="AK84" s="48">
        <f t="shared" ca="1" si="130"/>
        <v>0</v>
      </c>
      <c r="AL84" s="48">
        <f t="shared" ca="1" si="131"/>
        <v>0</v>
      </c>
      <c r="AM84" s="48">
        <f t="shared" ca="1" si="159"/>
        <v>0</v>
      </c>
      <c r="AN84" s="48" t="str">
        <f t="shared" ca="1" si="160"/>
        <v/>
      </c>
      <c r="AO84" s="48">
        <f t="shared" ca="1" si="161"/>
        <v>0</v>
      </c>
      <c r="AP84" s="48">
        <f t="shared" ca="1" si="161"/>
        <v>0</v>
      </c>
      <c r="AQ84" s="48" t="str">
        <f t="shared" ca="1" si="132"/>
        <v>ENTE CONCEDENTE C/CONTRIBUTI</v>
      </c>
      <c r="AR84" s="48">
        <f t="shared" ca="1" si="133"/>
        <v>0</v>
      </c>
      <c r="AS84" s="48">
        <f t="shared" ca="1" si="134"/>
        <v>0</v>
      </c>
      <c r="AT84" s="48">
        <f t="shared" ca="1" si="162"/>
        <v>0</v>
      </c>
      <c r="AU84" s="48">
        <f t="shared" ca="1" si="163"/>
        <v>0</v>
      </c>
      <c r="AV84" s="48">
        <f ca="1">IF(OR(AT84&gt;0,AU84&gt;0),MAX($AV$2:AV83)+1,0)</f>
        <v>0</v>
      </c>
      <c r="AZ84" s="241" t="str">
        <f t="shared" ca="1" si="164"/>
        <v/>
      </c>
      <c r="BA84" s="48">
        <f t="shared" ca="1" si="135"/>
        <v>0</v>
      </c>
      <c r="BB84" s="48">
        <f ca="1">IFERROR(INDEX($AQ$3:$AV$220,MATCH(ROWS($BB$3:BB84),$AV$3:$AV$220,0),1),0)</f>
        <v>0</v>
      </c>
      <c r="BC84" s="48" t="str">
        <f t="shared" ca="1" si="165"/>
        <v/>
      </c>
      <c r="BD84" s="48">
        <f ca="1">IFERROR(INDEX($AQ$3:$AV$220,MATCH(ROWS($BB$3:BD84),$AV$3:$AV$220,0),4),0)</f>
        <v>0</v>
      </c>
      <c r="BE84" s="48">
        <f ca="1">IFERROR(INDEX($AQ$3:$AV$220,MATCH(ROWS($BB$3:BE84),$AV$3:$AV$220,0),5),0)</f>
        <v>0</v>
      </c>
      <c r="BG84" s="48">
        <f ca="1">IF(IF(AND(OR(INDEX(PDC,MATCH($AC84,DEN_PDC,0),6)="SP DARE",INDEX(PDC,MATCH($AC84,DEN_PDC,0),6)="SP DARE/AVERE"),SUMIFS(DARE,DEN_G,$AC84)&gt;=SUMIFS(AVERE,DEN_G,$AC84)),SUMIFS(DARE,DEN_G,$AC84)-SUMIFS(AVERE,DEN_G,$AC84),0)&gt;0,MAX($BG$2:BG83)+1,0)</f>
        <v>0</v>
      </c>
      <c r="BH84" s="48">
        <f ca="1">IF(IF(AND(OR(INDEX(PDC,MATCH($AC84,DEN_PDC,0),6)="SP AVERE",INDEX(PDC,MATCH($AC84,DEN_PDC,0),6)="SP DARE/AVERE"),SUMIFS(AVERE,DEN_G,$AC84)&gt;=SUMIFS(DARE,DEN_G,$AC84)),SUMIFS(AVERE,DEN_G,$AC84)-SUMIFS(DARE,DEN_G,$AC84),0)&gt;0,MAX(BH$2:BH83)+1,0)</f>
        <v>0</v>
      </c>
      <c r="BI84" s="48">
        <f ca="1">IF(IF(AND(OR(INDEX(PDC,MATCH($AC84,DEN_PDC,0),6)="SE DARE",INDEX(PDC,MATCH($AC84,DEN_PDC,0),6)="SE DARE/AVERE"),SUMIFS(DARE,DEN_G,$AC84)&gt;=SUMIFS(AVERE,DEN_G,$AC84)),SUMIFS(DARE,DEN_G,$AC84)-SUMIFS(AVERE,DEN_G,$AC84),0)&gt;0,MAX(BI$2:BI83)+1,0)</f>
        <v>0</v>
      </c>
      <c r="BJ84" s="48">
        <f ca="1">IF(IF(AND(OR(INDEX(PDC,MATCH($AC84,DEN_PDC,0),6)="SE AVERE",INDEX(PDC,MATCH($AC84,DEN_PDC,0),6)="SE DARE/AVERE"),SUMIFS(AVERE,DEN_G,$AC84)&gt;=SUMIFS(DARE,DEN_G,$AC84)),SUMIFS(AVERE,DEN_G,$AC84)-SUMIFS(DARE,DEN_G,$AC84),0)&gt;0,MAX(BJ$2:BJ83)+1,0)</f>
        <v>0</v>
      </c>
      <c r="BK84" s="48" t="str">
        <f ca="1">IF(AND(AND($DY$2=0,$DY$1=0),$I$1=2,ROW()&gt;$BG$1+2,ROW()&lt;=$BG$1+4),"………………..",IF(AND(OR($DY$2&gt;0,$DY$1&gt;0),$I$1=2,ROW()&gt;$BG$1+2,ROW()&lt;=$BG$1+4),"………………..",IFERROR(INDEX($AC$3:$AC$398,MATCH(ROWS(BK$3:BK84),BG$3:BG$398,0),1),"")))</f>
        <v/>
      </c>
      <c r="BL84" s="48">
        <f t="shared" ca="1" si="136"/>
        <v>0</v>
      </c>
      <c r="BM84" s="48" t="str">
        <f ca="1">IF(AND(OR($DY$2=0,$DY$1=0),$I$1=2,ROW()&gt;$BH$1+2,ROW()&lt;=$BH$1+4),"………………..",IF(AND(OR($DY$2&gt;0,$DY$1&gt;0),$I$1=2,ROW()&gt;$BH$1+2,ROW()&lt;=$BH$1+4),"………………..",IFERROR(INDEX($AC$3:$AC$400,MATCH(ROWS(BM$3:BM84),BH$3:BH$400,0),1),"")))</f>
        <v/>
      </c>
      <c r="BN84" s="48">
        <f t="shared" ca="1" si="137"/>
        <v>0</v>
      </c>
      <c r="BO84" s="48" t="str">
        <f ca="1">IF(AND(OR($DY$2=0,$DY$1=0),$I$1=2,ROW()&gt;$BI$1+2,ROW()&lt;=$BI$1+4),"………………..",IF(AND(OR($DY$2&gt;0,$DY$1&gt;0),$I$1=2,ROW()&gt;$BI$1+2,ROW()&lt;=$BI$1+4),"………………..",IFERROR(INDEX($AC$3:$AC$400,MATCH(ROWS(BO$3:BO84),BI$3:BI$400,0),1),"")))</f>
        <v/>
      </c>
      <c r="BP84" s="48">
        <f t="shared" ca="1" si="138"/>
        <v>0</v>
      </c>
      <c r="BQ84" s="48" t="str">
        <f ca="1">IF(AND(OR($DY$2=0,$DY$1=0),$I$1=2,ROW()&gt;$BJ$1+2,ROW()&lt;=$BJ$1+4),"………………..",IF(AND(OR($DY$2&gt;0,$DY$1&gt;0),$I$1=2,ROW()&gt;$BJ$1+2,ROW()&lt;=$BJ$1+4),"………………..",IFERROR(INDEX($AC$3:$AC$400,MATCH(ROWS(BQ$3:BQ84),BJ$3:BJ$400,0),1),"")))</f>
        <v/>
      </c>
      <c r="BR84" s="48">
        <f t="shared" ca="1" si="139"/>
        <v>0</v>
      </c>
      <c r="BS84" s="48">
        <f ca="1">IF(IF(AND(OR(INDEX(PDC,MATCH($AC84,DEN_PDC,0),4)="D",INDEX(PDC,MATCH($AC84,DEN_PDC,0),4)="D/A"),SUMIFS(DARE,DEN_G,$AC84)&gt;=SUMIFS(AVERE,DEN_G,$AC84)),SUMIFS(DARE,DEN_G,$AC84),IF(AND(OR(INDEX(PDC,MATCH($AC84,DEN_PDC,0),4)="A",INDEX(PDC,MATCH($AC84,DEN_PDC,0),4)="D/A"),SUMIFS(AVERE,DEN_G,$AC84)&gt;=SUMIFS(DARE,DEN_G,$AC84)),SUMIFS(AVERE,DEN_G,$AC84),))&gt;0,MAX($BS$2:BS83)+1,0)</f>
        <v>0</v>
      </c>
      <c r="BT84" s="48" t="str">
        <f ca="1">IF($CO$1=0,"",IF(AND($I$1=2,ROW()&gt;$BR$1,ROW()&lt;=$BS$1)," …………….",IF(AND($E$1=1,$BX$1=1,$I$1=2,ROW()=$BQ$1),"TOTALI",IFERROR(INDEX(PDC,MATCH(ROWS(BT$3:BT84),BS$3:BS481,0),2),""))))</f>
        <v/>
      </c>
      <c r="BU84" s="48">
        <f t="shared" ca="1" si="140"/>
        <v>0</v>
      </c>
      <c r="BV84" s="48">
        <f t="shared" ca="1" si="141"/>
        <v>0</v>
      </c>
      <c r="BW84" s="48">
        <f t="shared" ca="1" si="142"/>
        <v>0</v>
      </c>
      <c r="BX84" s="48">
        <f t="shared" ca="1" si="143"/>
        <v>0</v>
      </c>
      <c r="BY84" s="48">
        <f ca="1">IF(OR(BW84&gt;0,BX84&gt;0),MAX($BY$2:BY83)+1,0)</f>
        <v>0</v>
      </c>
      <c r="BZ84" s="48" t="str">
        <f ca="1">IFERROR(INDEX($BT$3:$BY$400,MATCH(ROWS(BZ$3:BZ84),$BY$3:$BY$400,0),1),"")</f>
        <v/>
      </c>
      <c r="CA84" s="48" t="str">
        <f ca="1">IFERROR(INDEX($BT$3:$BY$400,MATCH(ROWS(CA$3:CA84),$BY$3:$BY$400,0),4),"")</f>
        <v/>
      </c>
      <c r="CB84" s="48" t="str">
        <f ca="1">IFERROR(INDEX($BT$3:$BY$400,MATCH(ROWS(CB$3:CB84),$BY$3:$BY$400,0),5),"")</f>
        <v/>
      </c>
      <c r="CC84" s="48" t="str">
        <f t="shared" ca="1" si="144"/>
        <v/>
      </c>
      <c r="CD84" s="48">
        <f ca="1">IF(AND($CF$1=TRUE,$BF$9=1,CE84&lt;&gt;0),MAX($CD$2:CD83)+1,0)</f>
        <v>0</v>
      </c>
      <c r="CE84" s="48">
        <f ca="1">IF($I$1=1,SUM(CE83,CE78,CE69,CE51),IF(AND($I$1=2,OR(CE83="_ _ _",CE78="_ _ _",CE69="_ _ _",CE51="_ _ _")),"_ _ _",0))</f>
        <v>0</v>
      </c>
      <c r="CG84" s="242" t="s">
        <v>540</v>
      </c>
      <c r="CH84" s="242">
        <f t="shared" ca="1" si="112"/>
        <v>0</v>
      </c>
      <c r="CI84" s="242"/>
      <c r="CJ84" s="242"/>
      <c r="CL84" s="242"/>
      <c r="CM84" s="242" t="str">
        <f t="shared" ca="1" si="166"/>
        <v/>
      </c>
      <c r="CN84" s="243">
        <f t="shared" ca="1" si="167"/>
        <v>0</v>
      </c>
      <c r="CO84" s="48" t="str">
        <f t="shared" ca="1" si="168"/>
        <v/>
      </c>
      <c r="CQ84" s="242">
        <f ca="1">$AR$1</f>
        <v>2026</v>
      </c>
      <c r="CR84" s="242"/>
      <c r="CT84" s="48">
        <f ca="1">IFERROR(INDEX(CR77:CT82,MATCH(CQ84,CR77:CR82,0),3),0)</f>
        <v>0</v>
      </c>
      <c r="CU84" s="48">
        <f ca="1">IF(SUMIFS(AVERE,DEN_G,AC84,AVERE,"&gt;"&amp;0)+SUMIFS(DARE,DEN_G,AC84,DARE,"&gt;"&amp;0)&gt;0,MAX($CU$2:CU83)+1,0)</f>
        <v>0</v>
      </c>
      <c r="CV84" s="48" t="str">
        <f ca="1">IF(IFERROR(INDEX(PDC,MATCH(ROWS($CV$3:CV84),$CU$3:$CU$400,0),2),"")="CONTO DI RISULTATO ECONOMICO","",IFERROR(INDEX(PDC,MATCH(ROWS($CV$3:CV84),$CU$3:$CU$400,0),2),""))</f>
        <v/>
      </c>
      <c r="CW84" s="48">
        <f ca="1">IFERROR(IF(CV84&lt;&gt;"",MAX($CW$2:CW83)+1,0),0)</f>
        <v>0</v>
      </c>
      <c r="CX84" s="48">
        <f t="shared" ca="1" si="209"/>
        <v>7</v>
      </c>
      <c r="CY84" s="48" t="str">
        <f t="shared" ca="1" si="208"/>
        <v>MASTRO</v>
      </c>
      <c r="CZ84" s="48" t="e">
        <f t="shared" ca="1" si="211"/>
        <v>#N/A</v>
      </c>
      <c r="DA84" s="48" t="str">
        <f t="shared" ref="DA84:DA92" ca="1" si="216">IFERROR(INDEX(LIBRO_GIORNALE,CZ84,1),"")</f>
        <v/>
      </c>
      <c r="DB84" s="48" t="str">
        <f t="shared" ca="1" si="212"/>
        <v/>
      </c>
      <c r="DC84" s="48" t="str">
        <f t="shared" ca="1" si="213"/>
        <v/>
      </c>
      <c r="DD84" s="48" t="str">
        <f t="shared" ca="1" si="214"/>
        <v/>
      </c>
      <c r="DE84" s="48" t="str">
        <f t="shared" ca="1" si="215"/>
        <v/>
      </c>
      <c r="DF84" s="48">
        <f ca="1">IF(AND(CX84=$DF$1,CX84&lt;&gt;""),0,IF(AND(DB84&lt;&gt;"",OR(DB83&lt;&gt;"",DB85&lt;&gt;"")),MAX($DF$2:DF83)+1,0))</f>
        <v>0</v>
      </c>
      <c r="DH84" s="244" t="s">
        <v>68</v>
      </c>
      <c r="DI84" s="48" t="s">
        <v>57</v>
      </c>
      <c r="DJ84" s="48" t="s">
        <v>312</v>
      </c>
      <c r="DK84" s="48" t="s">
        <v>275</v>
      </c>
      <c r="DL84" s="48" t="s">
        <v>6</v>
      </c>
      <c r="DM84" s="48" t="s">
        <v>270</v>
      </c>
      <c r="DN84" s="48">
        <f ca="1">IF(DI84&lt;&gt;"",MAX($DN$2:DN83)+1,0)</f>
        <v>66</v>
      </c>
      <c r="DO84" s="48" t="str">
        <f t="shared" ca="1" si="206"/>
        <v>pac2</v>
      </c>
      <c r="DQ84" s="227" t="s">
        <v>63</v>
      </c>
      <c r="DR84" s="48" t="s">
        <v>860</v>
      </c>
      <c r="DS84" s="48" t="s">
        <v>312</v>
      </c>
      <c r="DT84" s="48" t="s">
        <v>275</v>
      </c>
      <c r="DU84" s="48" t="s">
        <v>6</v>
      </c>
      <c r="DV84" s="48" t="s">
        <v>270</v>
      </c>
      <c r="DW84" s="48">
        <f ca="1">IF(DR84&lt;&gt;"",MAX($DW$2:DW83)+1,0)</f>
        <v>42</v>
      </c>
      <c r="DX84" s="48" t="str">
        <f ca="1">IF($BF$9=1,"pac21","pac2")</f>
        <v>pac2</v>
      </c>
      <c r="DY84" s="48" t="str">
        <f t="shared" ca="1" si="147"/>
        <v/>
      </c>
      <c r="DZ84" s="48" t="str">
        <f t="shared" ca="1" si="170"/>
        <v/>
      </c>
      <c r="EA84" s="48" t="str">
        <f t="shared" ca="1" si="171"/>
        <v/>
      </c>
      <c r="EB84" s="48">
        <f t="shared" ca="1" si="172"/>
        <v>0</v>
      </c>
      <c r="EC84" s="48">
        <f t="shared" ca="1" si="173"/>
        <v>0</v>
      </c>
      <c r="ED84" s="48" t="str">
        <f t="shared" ca="1" si="174"/>
        <v/>
      </c>
      <c r="EE84" s="48">
        <f t="shared" ca="1" si="175"/>
        <v>0</v>
      </c>
      <c r="EF84" s="48" t="str">
        <f t="shared" ca="1" si="176"/>
        <v/>
      </c>
      <c r="EG84" s="48">
        <f t="shared" ca="1" si="177"/>
        <v>0</v>
      </c>
      <c r="EH84" s="48" t="str">
        <f t="shared" ca="1" si="178"/>
        <v/>
      </c>
      <c r="EI84" s="48">
        <f t="shared" ca="1" si="179"/>
        <v>0</v>
      </c>
      <c r="EJ84" s="48" t="str">
        <f t="shared" ca="1" si="180"/>
        <v/>
      </c>
      <c r="EK84" s="48">
        <f t="shared" ca="1" si="181"/>
        <v>0</v>
      </c>
      <c r="EL84" s="48">
        <f t="shared" ca="1" si="148"/>
        <v>0</v>
      </c>
      <c r="EM84" s="48">
        <f ca="1">IF(EL84&gt;=0,0,MAX($EM$2:EM83)+1)</f>
        <v>0</v>
      </c>
      <c r="EN84" s="48" t="str">
        <f t="shared" ca="1" si="182"/>
        <v/>
      </c>
      <c r="EO84" s="48" t="str">
        <f ca="1">IFERROR(INDEX($EM$3:$EN$400,MATCH(ROWS($EO$3:EO84),$EM$3:$EM$400,0),2),"")</f>
        <v/>
      </c>
      <c r="EP84" s="48">
        <f>ROW()</f>
        <v>84</v>
      </c>
      <c r="EQ84" s="48">
        <f t="shared" ca="1" si="149"/>
        <v>0</v>
      </c>
      <c r="ER84" s="48">
        <f ca="1">IF(ISNA(EQ84)=TRUE,MAX($ER$2:ER83)+1,0)</f>
        <v>0</v>
      </c>
      <c r="ES84" s="48" t="str">
        <f t="shared" ca="1" si="183"/>
        <v/>
      </c>
      <c r="ET84" s="48" t="str">
        <f ca="1">IFERROR(INDEX($ER$3:$ES$400,MATCH(ROWS($ET$3:ET84),$ER$3:$ER$400,0),2),"")</f>
        <v/>
      </c>
      <c r="EV84" s="48">
        <f ca="1">IFERROR(INDEX(LIBRO_GIORNALE!$O$11:$P$408,MATCH(ROWS($EV$2:EV83),LIBRO_GIORNALE!$P$11:$P$408,0),1),0)</f>
        <v>0</v>
      </c>
      <c r="EW84" s="48" t="str">
        <f t="shared" ca="1" si="184"/>
        <v>0</v>
      </c>
      <c r="EX84" s="48">
        <f t="shared" ca="1" si="185"/>
        <v>0</v>
      </c>
      <c r="EY84" s="48">
        <f ca="1">IF(EX84&gt;0,MAX($EY$2:EY83)+1,0)</f>
        <v>0</v>
      </c>
      <c r="EZ84" s="48">
        <f ca="1">IFERROR(INDEX($EX$3:$EX$400,MATCH(ROWS($EZ$3:EZ84),$EY$3:$EY$400,0),1),0)</f>
        <v>0</v>
      </c>
      <c r="FA84" s="48">
        <f ca="1">IF(EZ84&gt;0,0,MAX($FA$2:FA83)+1)</f>
        <v>82</v>
      </c>
      <c r="FB84" s="48">
        <f t="shared" ca="1" si="186"/>
        <v>0</v>
      </c>
      <c r="FC84" s="48">
        <f t="shared" ca="1" si="187"/>
        <v>82</v>
      </c>
      <c r="FD84" s="48">
        <f t="shared" ca="1" si="188"/>
        <v>82</v>
      </c>
      <c r="FE84" s="48">
        <f ca="1">IF(FD84=0,0,MAX($FE$2:FE83)+1)</f>
        <v>82</v>
      </c>
      <c r="FF84" s="48">
        <f ca="1">IFERROR(INDEX($FD$3:$FE$400,MATCH(ROWS($FF$3:FF84),$FE$3:$FE$400,0),1),"")</f>
        <v>82</v>
      </c>
      <c r="FH84" s="48">
        <f t="shared" ca="1" si="189"/>
        <v>0</v>
      </c>
      <c r="FI84" s="48">
        <f ca="1">IF(FH84&lt;&gt;0,MAX($FI$2:FI83)+1,0)</f>
        <v>0</v>
      </c>
      <c r="FJ84" s="48" t="str">
        <f ca="1">IFERROR(INDEX($FH$3:$FI$400,MATCH(ROWS($FJ$3:FJ84),$FI$3:$FI$400,0),1),"")</f>
        <v/>
      </c>
      <c r="FK84" s="48">
        <f ca="1">IF(ABS(SUMIFS(DARE,DEN_G,"="&amp;FJ84,DATA,"&lt;="&amp;FINE_AC,DATA,"&gt;="&amp;INIZIO_A_PC)-SUMIFS(AVERE,DEN_G,"="&amp;FJ84,DATA,"&lt;="&amp;FINE_AC,DATA,"&gt;="&amp;INIZIO_A_PC))&gt;0,MAX($FK$2:FK83)+1,0)</f>
        <v>0</v>
      </c>
      <c r="FL84" s="48" t="str">
        <f ca="1">IF(AND(ROW()-2&lt;&gt;1,ROW()-2&lt;=$FK$1),CONCATENATE(" - ",IFERROR(INDEX($FJ$3:$FK$400,MATCH(ROWS($FL$3:FL84),$FK$3:$FK$400,0),1),"")),IFERROR(INDEX($FJ$3:$FK$400,MATCH(ROWS($FL$3:FL84),$FK$3:$FK$400,0),1),""))</f>
        <v/>
      </c>
      <c r="FM84" s="48">
        <f ca="1">IF(OR(B84="IVA ns/credito",B84="IVA NS/DEBITO",B84="IVA C/ACCONTO",B84="IMPOSTE C/ACCONTO",B84="CREDITI PER RITENUTE SUBITE",B84="CREDITI D'IMPOSTA"),MAX($FM$2:FM83)+1,0)</f>
        <v>0</v>
      </c>
      <c r="FN84" s="48" t="str">
        <f t="shared" ca="1" si="190"/>
        <v/>
      </c>
      <c r="FO84" s="48" t="str">
        <f ca="1">IFERROR(INDEX($FM$3:$FN$400,MATCH(ROWS($FO$3:FO84),$FM$3:$FM$400,0),2),"")</f>
        <v/>
      </c>
      <c r="FP84" s="48">
        <f ca="1">IF(ABS(SUMIFS(DARE,DEN_G,"="&amp;FO84,DATA,"&lt;="&amp;FINE_AC,DATA,"&gt;="&amp;INIZIO_A_PC)-SUMIFS(AVERE,DEN_G,"="&amp;FO84,DATA,"&lt;="&amp;FINE_AC,DATA,"&gt;="&amp;INIZIO_A_PC))&gt;0,MAX($FP$2:FP83)+1,0)</f>
        <v>0</v>
      </c>
      <c r="FQ84" s="48" t="str">
        <f ca="1">IF(AND(ROW()-2&lt;&gt;1,ROW()-2&lt;=$FP$1),CONCATENATE(" - ",IFERROR(INDEX($FO$3:$FP$400,MATCH(ROWS($FQ$3:FQ84),$FP$3:$FP$400,0),1),"")),IFERROR(INDEX($FO$3:$FP$400,MATCH(ROWS($FQ$3:FQ84),$FP$3:$FP$400,0),1),""))</f>
        <v/>
      </c>
    </row>
    <row r="85" spans="1:173" x14ac:dyDescent="0.3">
      <c r="A85" s="48" t="str">
        <f ca="1">IFERROR(IF($A$1=2,INDEX($DH$3:$DN$401,MATCH(ROWS(A$3:A85),$DN$3:$DN$401,0),COLUMN()),IF($A$1=1,INDEX($DQ$3:$DW$401,MATCH(ROWS(A$3:A85),$DW$3:$DW$401,0),COLUMN()),"")),"")</f>
        <v>06.11</v>
      </c>
      <c r="B85" s="48" t="str">
        <f ca="1">IFERROR(IF($A$1=2,INDEX($DH$3:$DN$401,MATCH(ROWS(B$3:B85),$DN$3:$DN$401,0),COLUMN()),IF($A$1=1,INDEX($DQ$3:$DW$400,MATCH(ROWS(B$3:B85),$DW$3:$DW$401,0),COLUMN()),"")),"")</f>
        <v>CREDITI DIVERSI</v>
      </c>
      <c r="C85" s="48" t="str">
        <f ca="1">IFERROR(IF($A$1=2,INDEX($DH$3:$DN$401,MATCH(ROWS(C$3:C85),$DN$3:$DN$401,0),COLUMN()),IF($A$1=1,INDEX($DQ$3:$DW$401,MATCH(ROWS(C$3:C85),$DW$3:$DW$401,0),COLUMN()),"")),"")</f>
        <v>F</v>
      </c>
      <c r="D85" s="48" t="str">
        <f ca="1">IFERROR(IF($A$1=2,INDEX($DH$3:$DN$401,MATCH(ROWS(D$3:D85),$DN$3:$DN$401,0),COLUMN()),IF($A$1=1,INDEX($DQ$3:$DW$401,MATCH(ROWS(D$3:D85),$DW$3:$DW$401,0),COLUMN()),"")),"")</f>
        <v>D</v>
      </c>
      <c r="E85" s="48" t="str">
        <f ca="1">IFERROR(IF($A$1=2,INDEX($DH$3:$DN$401,MATCH(ROWS(E$3:E85),$DN$3:$DN$401,0),COLUMN()),IF($A$1=1,INDEX($DQ$3:$DW$401,MATCH(ROWS(E$3:E85),$DW$3:$DW$401,0),COLUMN()),"")),"")</f>
        <v>CREDITI</v>
      </c>
      <c r="F85" s="48" t="str">
        <f ca="1">IFERROR(IF($A$1=2,INDEX($DH$3:$DN$401,MATCH(ROWS(F$3:F85),$DN$3:$DN$401,0),COLUMN()),IF($A$1=1,INDEX($DQ$3:$DX$401,MATCH(ROWS(F$3:F85),$DW$3:$DW$401,0),COLUMN()),"")),"")</f>
        <v>SP DARE</v>
      </c>
      <c r="G85" s="48" t="str">
        <f t="shared" ca="1" si="150"/>
        <v>SP</v>
      </c>
      <c r="H85" s="48" t="str">
        <f ca="1">IFERROR(IF($A$1=2,INDEX($DH$3:$DO$400,MATCH(ROWS(H$3:H85),$DN$3:$DN$400,0),COLUMN()),IF($A$1=1,INDEX($DQ$3:$DX$400,MATCH(ROWS(H$3:H85),$DW$3:$DW$400,0),COLUMN()),"")),"")</f>
        <v>pac2</v>
      </c>
      <c r="I85" s="48" t="str">
        <f t="shared" ca="1" si="151"/>
        <v/>
      </c>
      <c r="J85" s="48" t="str">
        <f t="shared" ca="1" si="152"/>
        <v/>
      </c>
      <c r="K85" s="48">
        <f t="shared" ca="1" si="153"/>
        <v>0</v>
      </c>
      <c r="L85" s="48">
        <f t="shared" ca="1" si="154"/>
        <v>0</v>
      </c>
      <c r="M85" s="48">
        <f ca="1">IFERROR(IF(IF(MID($A85,3,3)=".00",MID(A85,1,2),"")&lt;&gt;"",MAX($M$2:M84)+1,0),"")</f>
        <v>0</v>
      </c>
      <c r="N85" s="48" t="str">
        <f t="shared" ca="1" si="155"/>
        <v/>
      </c>
      <c r="O85" s="48" t="str">
        <f ca="1">IF(IFERROR(INDEX($N$3:$O$300,MATCH(ROWS($O$3:O85),$M$3:$M$300,0),1),"")&lt;&gt;"",CONCATENATE(INDEX($N$3:$O$300,MATCH(ROWS($O$3:O85),$M$3:$M$300,0),1),".00"),"")</f>
        <v/>
      </c>
      <c r="P85" s="48" t="str">
        <f t="shared" ca="1" si="156"/>
        <v/>
      </c>
      <c r="Q85" s="48">
        <f ca="1">IF(M85&gt;=1,0,MAX($Q$2:Q84)+1)</f>
        <v>76</v>
      </c>
      <c r="U85" s="48" t="str">
        <f ca="1">IFERROR(INDEX(PDC,MATCH(ROWS(U$3:U85),$V$3:$V$400,0),2),"")</f>
        <v>PARTECIPAZIONI</v>
      </c>
      <c r="V85" s="48">
        <f ca="1">IF(AND($T$1="VISUALIZZA TUTTI I CONTI",AA85&lt;&gt;""),MAX($V$2:V84)+1,IF(AND($U$2=2,AI85=$T$1),MAX($V$2:V84)+1,IF(AND($U$2=1,$T$1=AF85),MAX($V$2:V84)+1,0)))</f>
        <v>83</v>
      </c>
      <c r="Z85" s="246"/>
      <c r="AA85" s="48" t="str">
        <f t="shared" ca="1" si="157"/>
        <v>07.00</v>
      </c>
      <c r="AB85" s="48" t="str">
        <f ca="1">IFERROR(INDEX($A$3:$G$400,MATCH(ROWS(AB$3:AB85),$Q$3:$Q$400,0),1),"")</f>
        <v>07.01</v>
      </c>
      <c r="AC85" s="48" t="str">
        <f ca="1">IFERROR(INDEX($A$3:$G$400,MATCH(ROWS($AC$3:AC85),$Q$3:$Q$400,0),2),"")</f>
        <v>PARTECIPAZIONI</v>
      </c>
      <c r="AD85" s="48" t="str">
        <f ca="1">IFERROR(INDEX($A$3:$G$400,MATCH(ROWS(AD$3:AD85),$Q$3:$Q$400,0),3),"")</f>
        <v>E</v>
      </c>
      <c r="AE85" s="48" t="str">
        <f ca="1">IFERROR(INDEX($A$3:$G$400,MATCH(ROWS(AE$3:AE85),$Q$3:$Q$400,0),4),"")</f>
        <v>D</v>
      </c>
      <c r="AF85" s="48" t="str">
        <f ca="1">IFERROR(INDEX($A$3:$G$400,MATCH(ROWS(AF$3:AF85),$Q$3:$Q$400,0),5),"")</f>
        <v>COSTI SOSPESI</v>
      </c>
      <c r="AG85" s="48" t="str">
        <f ca="1">IFERROR(INDEX($A$3:$G$400,MATCH(ROWS(AG$3:AG85),$Q$3:$Q$400,0),6),"")</f>
        <v>SP DARE</v>
      </c>
      <c r="AH85" s="48" t="str">
        <f ca="1">IFERROR(INDEX($A$3:$G$400,MATCH(ROWS(AH$3:AH85),$Q$3:$Q$400,0),7),"")</f>
        <v>SP</v>
      </c>
      <c r="AI85" s="48" t="str">
        <f t="shared" ca="1" si="158"/>
        <v>ATTIVITÀ FINANZIARIE</v>
      </c>
      <c r="AJ85" s="48" t="str">
        <f ca="1">IFERROR(INDEX($A$3:$H$400,MATCH(ROWS(AJ$3:AJ85),$Q$3:$Q$400,0),8),"")</f>
        <v>pac3</v>
      </c>
      <c r="AK85" s="48">
        <f t="shared" ca="1" si="130"/>
        <v>0</v>
      </c>
      <c r="AL85" s="48">
        <f t="shared" ca="1" si="131"/>
        <v>0</v>
      </c>
      <c r="AM85" s="48">
        <f t="shared" ca="1" si="159"/>
        <v>0</v>
      </c>
      <c r="AN85" s="48" t="str">
        <f t="shared" ca="1" si="160"/>
        <v/>
      </c>
      <c r="AO85" s="48">
        <f t="shared" ca="1" si="161"/>
        <v>0</v>
      </c>
      <c r="AP85" s="48">
        <f t="shared" ca="1" si="161"/>
        <v>0</v>
      </c>
      <c r="AQ85" s="48" t="str">
        <f t="shared" ca="1" si="132"/>
        <v>PARTECIPAZIONI</v>
      </c>
      <c r="AR85" s="48">
        <f t="shared" ca="1" si="133"/>
        <v>0</v>
      </c>
      <c r="AS85" s="48">
        <f t="shared" ca="1" si="134"/>
        <v>0</v>
      </c>
      <c r="AT85" s="48">
        <f t="shared" ca="1" si="162"/>
        <v>0</v>
      </c>
      <c r="AU85" s="48">
        <f t="shared" ca="1" si="163"/>
        <v>0</v>
      </c>
      <c r="AV85" s="48">
        <f ca="1">IF(OR(AT85&gt;0,AU85&gt;0),MAX($AV$2:AV84)+1,0)</f>
        <v>0</v>
      </c>
      <c r="AZ85" s="241" t="str">
        <f t="shared" ca="1" si="164"/>
        <v/>
      </c>
      <c r="BA85" s="48">
        <f t="shared" ca="1" si="135"/>
        <v>0</v>
      </c>
      <c r="BB85" s="48">
        <f ca="1">IFERROR(INDEX($AQ$3:$AV$220,MATCH(ROWS($BB$3:BB85),$AV$3:$AV$220,0),1),0)</f>
        <v>0</v>
      </c>
      <c r="BC85" s="48" t="str">
        <f t="shared" ca="1" si="165"/>
        <v/>
      </c>
      <c r="BD85" s="48">
        <f ca="1">IFERROR(INDEX($AQ$3:$AV$220,MATCH(ROWS($BB$3:BD85),$AV$3:$AV$220,0),4),0)</f>
        <v>0</v>
      </c>
      <c r="BE85" s="48">
        <f ca="1">IFERROR(INDEX($AQ$3:$AV$220,MATCH(ROWS($BB$3:BE85),$AV$3:$AV$220,0),5),0)</f>
        <v>0</v>
      </c>
      <c r="BG85" s="48">
        <f ca="1">IF(IF(AND(OR(INDEX(PDC,MATCH($AC85,DEN_PDC,0),6)="SP DARE",INDEX(PDC,MATCH($AC85,DEN_PDC,0),6)="SP DARE/AVERE"),SUMIFS(DARE,DEN_G,$AC85)&gt;=SUMIFS(AVERE,DEN_G,$AC85)),SUMIFS(DARE,DEN_G,$AC85)-SUMIFS(AVERE,DEN_G,$AC85),0)&gt;0,MAX($BG$2:BG84)+1,0)</f>
        <v>0</v>
      </c>
      <c r="BH85" s="48">
        <f ca="1">IF(IF(AND(OR(INDEX(PDC,MATCH($AC85,DEN_PDC,0),6)="SP AVERE",INDEX(PDC,MATCH($AC85,DEN_PDC,0),6)="SP DARE/AVERE"),SUMIFS(AVERE,DEN_G,$AC85)&gt;=SUMIFS(DARE,DEN_G,$AC85)),SUMIFS(AVERE,DEN_G,$AC85)-SUMIFS(DARE,DEN_G,$AC85),0)&gt;0,MAX(BH$2:BH84)+1,0)</f>
        <v>0</v>
      </c>
      <c r="BI85" s="48">
        <f ca="1">IF(IF(AND(OR(INDEX(PDC,MATCH($AC85,DEN_PDC,0),6)="SE DARE",INDEX(PDC,MATCH($AC85,DEN_PDC,0),6)="SE DARE/AVERE"),SUMIFS(DARE,DEN_G,$AC85)&gt;=SUMIFS(AVERE,DEN_G,$AC85)),SUMIFS(DARE,DEN_G,$AC85)-SUMIFS(AVERE,DEN_G,$AC85),0)&gt;0,MAX(BI$2:BI84)+1,0)</f>
        <v>0</v>
      </c>
      <c r="BJ85" s="48">
        <f ca="1">IF(IF(AND(OR(INDEX(PDC,MATCH($AC85,DEN_PDC,0),6)="SE AVERE",INDEX(PDC,MATCH($AC85,DEN_PDC,0),6)="SE DARE/AVERE"),SUMIFS(AVERE,DEN_G,$AC85)&gt;=SUMIFS(DARE,DEN_G,$AC85)),SUMIFS(AVERE,DEN_G,$AC85)-SUMIFS(DARE,DEN_G,$AC85),0)&gt;0,MAX(BJ$2:BJ84)+1,0)</f>
        <v>0</v>
      </c>
      <c r="BK85" s="48" t="str">
        <f ca="1">IF(AND(AND($DY$2=0,$DY$1=0),$I$1=2,ROW()&gt;$BG$1+2,ROW()&lt;=$BG$1+4),"………………..",IF(AND(OR($DY$2&gt;0,$DY$1&gt;0),$I$1=2,ROW()&gt;$BG$1+2,ROW()&lt;=$BG$1+4),"………………..",IFERROR(INDEX($AC$3:$AC$398,MATCH(ROWS(BK$3:BK85),BG$3:BG$398,0),1),"")))</f>
        <v/>
      </c>
      <c r="BL85" s="48">
        <f t="shared" ca="1" si="136"/>
        <v>0</v>
      </c>
      <c r="BM85" s="48" t="str">
        <f ca="1">IF(AND(OR($DY$2=0,$DY$1=0),$I$1=2,ROW()&gt;$BH$1+2,ROW()&lt;=$BH$1+4),"………………..",IF(AND(OR($DY$2&gt;0,$DY$1&gt;0),$I$1=2,ROW()&gt;$BH$1+2,ROW()&lt;=$BH$1+4),"………………..",IFERROR(INDEX($AC$3:$AC$400,MATCH(ROWS(BM$3:BM85),BH$3:BH$400,0),1),"")))</f>
        <v/>
      </c>
      <c r="BN85" s="48">
        <f t="shared" ca="1" si="137"/>
        <v>0</v>
      </c>
      <c r="BO85" s="48" t="str">
        <f ca="1">IF(AND(OR($DY$2=0,$DY$1=0),$I$1=2,ROW()&gt;$BI$1+2,ROW()&lt;=$BI$1+4),"………………..",IF(AND(OR($DY$2&gt;0,$DY$1&gt;0),$I$1=2,ROW()&gt;$BI$1+2,ROW()&lt;=$BI$1+4),"………………..",IFERROR(INDEX($AC$3:$AC$400,MATCH(ROWS(BO$3:BO85),BI$3:BI$400,0),1),"")))</f>
        <v/>
      </c>
      <c r="BP85" s="48">
        <f t="shared" ca="1" si="138"/>
        <v>0</v>
      </c>
      <c r="BQ85" s="48" t="str">
        <f ca="1">IF(AND(OR($DY$2=0,$DY$1=0),$I$1=2,ROW()&gt;$BJ$1+2,ROW()&lt;=$BJ$1+4),"………………..",IF(AND(OR($DY$2&gt;0,$DY$1&gt;0),$I$1=2,ROW()&gt;$BJ$1+2,ROW()&lt;=$BJ$1+4),"………………..",IFERROR(INDEX($AC$3:$AC$400,MATCH(ROWS(BQ$3:BQ85),BJ$3:BJ$400,0),1),"")))</f>
        <v/>
      </c>
      <c r="BR85" s="48">
        <f t="shared" ca="1" si="139"/>
        <v>0</v>
      </c>
      <c r="BS85" s="48">
        <f ca="1">IF(IF(AND(OR(INDEX(PDC,MATCH($AC85,DEN_PDC,0),4)="D",INDEX(PDC,MATCH($AC85,DEN_PDC,0),4)="D/A"),SUMIFS(DARE,DEN_G,$AC85)&gt;=SUMIFS(AVERE,DEN_G,$AC85)),SUMIFS(DARE,DEN_G,$AC85),IF(AND(OR(INDEX(PDC,MATCH($AC85,DEN_PDC,0),4)="A",INDEX(PDC,MATCH($AC85,DEN_PDC,0),4)="D/A"),SUMIFS(AVERE,DEN_G,$AC85)&gt;=SUMIFS(DARE,DEN_G,$AC85)),SUMIFS(AVERE,DEN_G,$AC85),))&gt;0,MAX($BS$2:BS84)+1,0)</f>
        <v>0</v>
      </c>
      <c r="BT85" s="48" t="str">
        <f ca="1">IF($CO$1=0,"",IF(AND($I$1=2,ROW()&gt;$BR$1,ROW()&lt;=$BS$1)," …………….",IF(AND($E$1=1,$BX$1=1,$I$1=2,ROW()=$BQ$1),"TOTALI",IFERROR(INDEX(PDC,MATCH(ROWS(BT$3:BT85),BS$3:BS482,0),2),""))))</f>
        <v/>
      </c>
      <c r="BU85" s="48">
        <f t="shared" ca="1" si="140"/>
        <v>0</v>
      </c>
      <c r="BV85" s="48">
        <f t="shared" ca="1" si="141"/>
        <v>0</v>
      </c>
      <c r="BW85" s="48">
        <f t="shared" ca="1" si="142"/>
        <v>0</v>
      </c>
      <c r="BX85" s="48">
        <f t="shared" ca="1" si="143"/>
        <v>0</v>
      </c>
      <c r="BY85" s="48">
        <f ca="1">IF(OR(BW85&gt;0,BX85&gt;0),MAX($BY$2:BY84)+1,0)</f>
        <v>0</v>
      </c>
      <c r="BZ85" s="48" t="str">
        <f ca="1">IFERROR(INDEX($BT$3:$BY$400,MATCH(ROWS(BZ$3:BZ85),$BY$3:$BY$400,0),1),"")</f>
        <v/>
      </c>
      <c r="CA85" s="48" t="str">
        <f ca="1">IFERROR(INDEX($BT$3:$BY$400,MATCH(ROWS(CA$3:CA85),$BY$3:$BY$400,0),4),"")</f>
        <v/>
      </c>
      <c r="CB85" s="48" t="str">
        <f ca="1">IFERROR(INDEX($BT$3:$BY$400,MATCH(ROWS(CB$3:CB85),$BY$3:$BY$400,0),5),"")</f>
        <v/>
      </c>
      <c r="CC85" s="48" t="str">
        <f t="shared" ca="1" si="144"/>
        <v/>
      </c>
      <c r="CD85" s="48">
        <f ca="1">IF(AND($BF$9=1,CE85&lt;&gt;0),MAX($CD$2:CD84)+1,0)</f>
        <v>0</v>
      </c>
      <c r="CE85" s="48">
        <f ca="1">IF(ROUND(SUMIFS(COPIA!$CA$3:$CA$400,COPIA!$CC$3:$CC$400,CF85)-SUMIFS(COPIA!$CB$3:$CB$400,COPIA!$CC$3:$CC$400,CF85),0)&lt;0,0,ROUND(SUMIFS(COPIA!$CA$3:$CA$400,COPIA!$CC$3:$CC$400,CF85)-SUMIFS(COPIA!$CB$3:$CB$400,COPIA!$CC$3:$CC$400,CF85),0))</f>
        <v>0</v>
      </c>
      <c r="CF85" s="48" t="s">
        <v>647</v>
      </c>
      <c r="CG85" s="242" t="s">
        <v>779</v>
      </c>
      <c r="CH85" s="242">
        <f t="shared" ca="1" si="112"/>
        <v>0</v>
      </c>
      <c r="CI85" s="242"/>
      <c r="CJ85" s="242"/>
      <c r="CL85" s="242"/>
      <c r="CM85" s="242" t="str">
        <f t="shared" ca="1" si="166"/>
        <v/>
      </c>
      <c r="CN85" s="243">
        <f t="shared" ca="1" si="167"/>
        <v>0</v>
      </c>
      <c r="CO85" s="48" t="str">
        <f t="shared" ca="1" si="168"/>
        <v/>
      </c>
      <c r="CQ85" s="242" t="s">
        <v>828</v>
      </c>
      <c r="CR85" s="242"/>
      <c r="CS85" s="48" t="s">
        <v>829</v>
      </c>
      <c r="CT85" s="48" t="s">
        <v>830</v>
      </c>
      <c r="CU85" s="48">
        <f ca="1">IF(SUMIFS(AVERE,DEN_G,AC85,AVERE,"&gt;"&amp;0)+SUMIFS(DARE,DEN_G,AC85,DARE,"&gt;"&amp;0)&gt;0,MAX($CU$2:CU84)+1,0)</f>
        <v>0</v>
      </c>
      <c r="CV85" s="48" t="str">
        <f ca="1">IF(IFERROR(INDEX(PDC,MATCH(ROWS($CV$3:CV85),$CU$3:$CU$400,0),2),"")="CONTO DI RISULTATO ECONOMICO","",IFERROR(INDEX(PDC,MATCH(ROWS($CV$3:CV85),$CU$3:$CU$400,0),2),""))</f>
        <v/>
      </c>
      <c r="CW85" s="48">
        <f ca="1">IFERROR(IF(CV85&lt;&gt;"",MAX($CW$2:CW84)+1,0),0)</f>
        <v>0</v>
      </c>
      <c r="CX85" s="48">
        <f t="shared" ca="1" si="209"/>
        <v>7</v>
      </c>
      <c r="CY85" s="48" t="str">
        <f t="shared" ca="1" si="208"/>
        <v>MASTRO</v>
      </c>
      <c r="CZ85" s="48" t="e">
        <f t="shared" ca="1" si="211"/>
        <v>#N/A</v>
      </c>
      <c r="DA85" s="48" t="str">
        <f t="shared" ca="1" si="216"/>
        <v/>
      </c>
      <c r="DB85" s="48" t="str">
        <f t="shared" ca="1" si="212"/>
        <v/>
      </c>
      <c r="DC85" s="48" t="str">
        <f t="shared" ca="1" si="213"/>
        <v/>
      </c>
      <c r="DD85" s="48" t="str">
        <f t="shared" ca="1" si="214"/>
        <v/>
      </c>
      <c r="DE85" s="48" t="str">
        <f t="shared" ca="1" si="215"/>
        <v/>
      </c>
      <c r="DF85" s="48">
        <f ca="1">IF(AND(CX85=$DF$1,CX85&lt;&gt;""),0,IF(AND(DB85&lt;&gt;"",OR(DB84&lt;&gt;"",DB86&lt;&gt;"")),MAX($DF$2:DF84)+1,0))</f>
        <v>0</v>
      </c>
      <c r="DH85" s="244" t="s">
        <v>1049</v>
      </c>
      <c r="DI85" s="48" t="s">
        <v>58</v>
      </c>
      <c r="DJ85" s="48" t="s">
        <v>312</v>
      </c>
      <c r="DK85" s="48" t="s">
        <v>275</v>
      </c>
      <c r="DL85" s="48" t="s">
        <v>6</v>
      </c>
      <c r="DM85" s="48" t="s">
        <v>270</v>
      </c>
      <c r="DN85" s="48">
        <f ca="1">IF(DI85&lt;&gt;"",MAX($DN$2:DN84)+1,0)</f>
        <v>67</v>
      </c>
      <c r="DO85" s="48" t="str">
        <f t="shared" ca="1" si="206"/>
        <v>pac2</v>
      </c>
      <c r="DQ85" s="227" t="s">
        <v>64</v>
      </c>
      <c r="DR85" s="48" t="s">
        <v>53</v>
      </c>
      <c r="DS85" s="48" t="s">
        <v>312</v>
      </c>
      <c r="DT85" s="48" t="s">
        <v>275</v>
      </c>
      <c r="DU85" s="48" t="s">
        <v>6</v>
      </c>
      <c r="DV85" s="48" t="s">
        <v>270</v>
      </c>
      <c r="DW85" s="48">
        <f ca="1">IF(DR85&lt;&gt;"",MAX($DW$2:DW84)+1,0)</f>
        <v>43</v>
      </c>
      <c r="DX85" s="48" t="str">
        <f t="shared" ref="DX85:DX95" ca="1" si="217">IF($BF$9=1,"pac21","pac2")</f>
        <v>pac2</v>
      </c>
      <c r="DY85" s="48" t="str">
        <f t="shared" ca="1" si="147"/>
        <v/>
      </c>
      <c r="DZ85" s="48" t="str">
        <f t="shared" ca="1" si="170"/>
        <v/>
      </c>
      <c r="EA85" s="48" t="str">
        <f t="shared" ca="1" si="171"/>
        <v/>
      </c>
      <c r="EB85" s="48">
        <f t="shared" ca="1" si="172"/>
        <v>0</v>
      </c>
      <c r="EC85" s="48">
        <f t="shared" ca="1" si="173"/>
        <v>0</v>
      </c>
      <c r="ED85" s="48" t="str">
        <f t="shared" ca="1" si="174"/>
        <v/>
      </c>
      <c r="EE85" s="48">
        <f t="shared" ca="1" si="175"/>
        <v>0</v>
      </c>
      <c r="EF85" s="48" t="str">
        <f t="shared" ca="1" si="176"/>
        <v/>
      </c>
      <c r="EG85" s="48">
        <f t="shared" ca="1" si="177"/>
        <v>0</v>
      </c>
      <c r="EH85" s="48" t="str">
        <f t="shared" ca="1" si="178"/>
        <v/>
      </c>
      <c r="EI85" s="48">
        <f t="shared" ca="1" si="179"/>
        <v>0</v>
      </c>
      <c r="EJ85" s="48" t="str">
        <f t="shared" ca="1" si="180"/>
        <v/>
      </c>
      <c r="EK85" s="48">
        <f t="shared" ca="1" si="181"/>
        <v>0</v>
      </c>
      <c r="EL85" s="48">
        <f t="shared" ca="1" si="148"/>
        <v>0</v>
      </c>
      <c r="EM85" s="48">
        <f ca="1">IF(EL85&gt;=0,0,MAX($EM$2:EM84)+1)</f>
        <v>0</v>
      </c>
      <c r="EN85" s="48" t="str">
        <f t="shared" ca="1" si="182"/>
        <v/>
      </c>
      <c r="EO85" s="48" t="str">
        <f ca="1">IFERROR(INDEX($EM$3:$EN$400,MATCH(ROWS($EO$3:EO85),$EM$3:$EM$400,0),2),"")</f>
        <v/>
      </c>
      <c r="EP85" s="48">
        <f>ROW()</f>
        <v>85</v>
      </c>
      <c r="EQ85" s="48">
        <f t="shared" ca="1" si="149"/>
        <v>0</v>
      </c>
      <c r="ER85" s="48">
        <f ca="1">IF(ISNA(EQ85)=TRUE,MAX($ER$2:ER84)+1,0)</f>
        <v>0</v>
      </c>
      <c r="ES85" s="48" t="str">
        <f t="shared" ca="1" si="183"/>
        <v/>
      </c>
      <c r="ET85" s="48" t="str">
        <f ca="1">IFERROR(INDEX($ER$3:$ES$400,MATCH(ROWS($ET$3:ET85),$ER$3:$ER$400,0),2),"")</f>
        <v/>
      </c>
      <c r="EV85" s="48">
        <f ca="1">IFERROR(INDEX(LIBRO_GIORNALE!$O$11:$P$408,MATCH(ROWS($EV$2:EV84),LIBRO_GIORNALE!$P$11:$P$408,0),1),0)</f>
        <v>0</v>
      </c>
      <c r="EW85" s="48" t="str">
        <f t="shared" ca="1" si="184"/>
        <v>0</v>
      </c>
      <c r="EX85" s="48">
        <f t="shared" ca="1" si="185"/>
        <v>0</v>
      </c>
      <c r="EY85" s="48">
        <f ca="1">IF(EX85&gt;0,MAX($EY$2:EY84)+1,0)</f>
        <v>0</v>
      </c>
      <c r="EZ85" s="48">
        <f ca="1">IFERROR(INDEX($EX$3:$EX$400,MATCH(ROWS($EZ$3:EZ85),$EY$3:$EY$400,0),1),0)</f>
        <v>0</v>
      </c>
      <c r="FA85" s="48">
        <f ca="1">IF(EZ85&gt;0,0,MAX($FA$2:FA84)+1)</f>
        <v>83</v>
      </c>
      <c r="FB85" s="48">
        <f t="shared" ca="1" si="186"/>
        <v>0</v>
      </c>
      <c r="FC85" s="48">
        <f t="shared" ca="1" si="187"/>
        <v>83</v>
      </c>
      <c r="FD85" s="48">
        <f t="shared" ca="1" si="188"/>
        <v>83</v>
      </c>
      <c r="FE85" s="48">
        <f ca="1">IF(FD85=0,0,MAX($FE$2:FE84)+1)</f>
        <v>83</v>
      </c>
      <c r="FF85" s="48">
        <f ca="1">IFERROR(INDEX($FD$3:$FE$400,MATCH(ROWS($FF$3:FF85),$FE$3:$FE$400,0),1),"")</f>
        <v>83</v>
      </c>
      <c r="FH85" s="48">
        <f t="shared" ca="1" si="189"/>
        <v>0</v>
      </c>
      <c r="FI85" s="48">
        <f ca="1">IF(FH85&lt;&gt;0,MAX($FI$2:FI84)+1,0)</f>
        <v>0</v>
      </c>
      <c r="FJ85" s="48" t="str">
        <f ca="1">IFERROR(INDEX($FH$3:$FI$400,MATCH(ROWS($FJ$3:FJ85),$FI$3:$FI$400,0),1),"")</f>
        <v/>
      </c>
      <c r="FK85" s="48">
        <f ca="1">IF(ABS(SUMIFS(DARE,DEN_G,"="&amp;FJ85,DATA,"&lt;="&amp;FINE_AC,DATA,"&gt;="&amp;INIZIO_A_PC)-SUMIFS(AVERE,DEN_G,"="&amp;FJ85,DATA,"&lt;="&amp;FINE_AC,DATA,"&gt;="&amp;INIZIO_A_PC))&gt;0,MAX($FK$2:FK84)+1,0)</f>
        <v>0</v>
      </c>
      <c r="FL85" s="48" t="str">
        <f ca="1">IF(AND(ROW()-2&lt;&gt;1,ROW()-2&lt;=$FK$1),CONCATENATE(" - ",IFERROR(INDEX($FJ$3:$FK$400,MATCH(ROWS($FL$3:FL85),$FK$3:$FK$400,0),1),"")),IFERROR(INDEX($FJ$3:$FK$400,MATCH(ROWS($FL$3:FL85),$FK$3:$FK$400,0),1),""))</f>
        <v/>
      </c>
      <c r="FM85" s="48">
        <f ca="1">IF(OR(B85="IVA ns/credito",B85="IVA NS/DEBITO",B85="IVA C/ACCONTO",B85="IMPOSTE C/ACCONTO",B85="CREDITI PER RITENUTE SUBITE",B85="CREDITI D'IMPOSTA"),MAX($FM$2:FM84)+1,0)</f>
        <v>0</v>
      </c>
      <c r="FN85" s="48" t="str">
        <f t="shared" ca="1" si="190"/>
        <v/>
      </c>
      <c r="FO85" s="48" t="str">
        <f ca="1">IFERROR(INDEX($FM$3:$FN$400,MATCH(ROWS($FO$3:FO85),$FM$3:$FM$400,0),2),"")</f>
        <v/>
      </c>
      <c r="FP85" s="48">
        <f ca="1">IF(ABS(SUMIFS(DARE,DEN_G,"="&amp;FO85,DATA,"&lt;="&amp;FINE_AC,DATA,"&gt;="&amp;INIZIO_A_PC)-SUMIFS(AVERE,DEN_G,"="&amp;FO85,DATA,"&lt;="&amp;FINE_AC,DATA,"&gt;="&amp;INIZIO_A_PC))&gt;0,MAX($FP$2:FP84)+1,0)</f>
        <v>0</v>
      </c>
      <c r="FQ85" s="48" t="str">
        <f ca="1">IF(AND(ROW()-2&lt;&gt;1,ROW()-2&lt;=$FP$1),CONCATENATE(" - ",IFERROR(INDEX($FO$3:$FP$400,MATCH(ROWS($FQ$3:FQ85),$FP$3:$FP$400,0),1),"")),IFERROR(INDEX($FO$3:$FP$400,MATCH(ROWS($FQ$3:FQ85),$FP$3:$FP$400,0),1),""))</f>
        <v/>
      </c>
    </row>
    <row r="86" spans="1:173" x14ac:dyDescent="0.3">
      <c r="A86" s="48" t="str">
        <f ca="1">IFERROR(IF($A$1=2,INDEX($DH$3:$DN$401,MATCH(ROWS(A$3:A86),$DN$3:$DN$401,0),COLUMN()),IF($A$1=1,INDEX($DQ$3:$DW$401,MATCH(ROWS(A$3:A86),$DW$3:$DW$401,0),COLUMN()),"")),"")</f>
        <v>06.15</v>
      </c>
      <c r="B86" s="48" t="str">
        <f ca="1">IFERROR(IF($A$1=2,INDEX($DH$3:$DN$401,MATCH(ROWS(B$3:B86),$DN$3:$DN$401,0),COLUMN()),IF($A$1=1,INDEX($DQ$3:$DW$400,MATCH(ROWS(B$3:B86),$DW$3:$DW$401,0),COLUMN()),"")),"")</f>
        <v>CREDITI V/CONTROLLATE</v>
      </c>
      <c r="C86" s="48" t="str">
        <f ca="1">IFERROR(IF($A$1=2,INDEX($DH$3:$DN$401,MATCH(ROWS(C$3:C86),$DN$3:$DN$401,0),COLUMN()),IF($A$1=1,INDEX($DQ$3:$DW$401,MATCH(ROWS(C$3:C86),$DW$3:$DW$401,0),COLUMN()),"")),"")</f>
        <v>F</v>
      </c>
      <c r="D86" s="48" t="str">
        <f ca="1">IFERROR(IF($A$1=2,INDEX($DH$3:$DN$401,MATCH(ROWS(D$3:D86),$DN$3:$DN$401,0),COLUMN()),IF($A$1=1,INDEX($DQ$3:$DW$401,MATCH(ROWS(D$3:D86),$DW$3:$DW$401,0),COLUMN()),"")),"")</f>
        <v>D</v>
      </c>
      <c r="E86" s="48" t="str">
        <f ca="1">IFERROR(IF($A$1=2,INDEX($DH$3:$DN$401,MATCH(ROWS(E$3:E86),$DN$3:$DN$401,0),COLUMN()),IF($A$1=1,INDEX($DQ$3:$DW$401,MATCH(ROWS(E$3:E86),$DW$3:$DW$401,0),COLUMN()),"")),"")</f>
        <v>CREDITI</v>
      </c>
      <c r="F86" s="48" t="str">
        <f ca="1">IFERROR(IF($A$1=2,INDEX($DH$3:$DN$401,MATCH(ROWS(F$3:F86),$DN$3:$DN$401,0),COLUMN()),IF($A$1=1,INDEX($DQ$3:$DX$401,MATCH(ROWS(F$3:F86),$DW$3:$DW$401,0),COLUMN()),"")),"")</f>
        <v>SP DARE</v>
      </c>
      <c r="G86" s="48" t="str">
        <f t="shared" ca="1" si="150"/>
        <v>SP</v>
      </c>
      <c r="H86" s="48" t="str">
        <f ca="1">IFERROR(IF($A$1=2,INDEX($DH$3:$DO$400,MATCH(ROWS(H$3:H86),$DN$3:$DN$400,0),COLUMN()),IF($A$1=1,INDEX($DQ$3:$DX$400,MATCH(ROWS(H$3:H86),$DW$3:$DW$400,0),COLUMN()),"")),"")</f>
        <v>pac2</v>
      </c>
      <c r="I86" s="48" t="str">
        <f t="shared" ca="1" si="151"/>
        <v/>
      </c>
      <c r="J86" s="48" t="str">
        <f t="shared" ca="1" si="152"/>
        <v/>
      </c>
      <c r="K86" s="48">
        <f t="shared" ca="1" si="153"/>
        <v>0</v>
      </c>
      <c r="L86" s="48">
        <f t="shared" ca="1" si="154"/>
        <v>0</v>
      </c>
      <c r="M86" s="48">
        <f ca="1">IFERROR(IF(IF(MID($A86,3,3)=".00",MID(A86,1,2),"")&lt;&gt;"",MAX($M$2:M85)+1,0),"")</f>
        <v>0</v>
      </c>
      <c r="N86" s="48" t="str">
        <f t="shared" ca="1" si="155"/>
        <v/>
      </c>
      <c r="O86" s="48" t="str">
        <f ca="1">IF(IFERROR(INDEX($N$3:$O$300,MATCH(ROWS($O$3:O86),$M$3:$M$300,0),1),"")&lt;&gt;"",CONCATENATE(INDEX($N$3:$O$300,MATCH(ROWS($O$3:O86),$M$3:$M$300,0),1),".00"),"")</f>
        <v/>
      </c>
      <c r="P86" s="48" t="str">
        <f t="shared" ca="1" si="156"/>
        <v/>
      </c>
      <c r="Q86" s="48">
        <f ca="1">IF(M86&gt;=1,0,MAX($Q$2:Q85)+1)</f>
        <v>77</v>
      </c>
      <c r="U86" s="48" t="str">
        <f ca="1">IFERROR(INDEX(PDC,MATCH(ROWS(U$3:U86),$V$3:$V$400,0),2),"")</f>
        <v>TITOLI</v>
      </c>
      <c r="V86" s="48">
        <f ca="1">IF(AND($T$1="VISUALIZZA TUTTI I CONTI",AA86&lt;&gt;""),MAX($V$2:V85)+1,IF(AND($U$2=2,AI86=$T$1),MAX($V$2:V85)+1,IF(AND($U$2=1,$T$1=AF86),MAX($V$2:V85)+1,0)))</f>
        <v>84</v>
      </c>
      <c r="Z86" s="246"/>
      <c r="AA86" s="48" t="str">
        <f t="shared" ca="1" si="157"/>
        <v>07.00</v>
      </c>
      <c r="AB86" s="48" t="str">
        <f ca="1">IFERROR(INDEX($A$3:$G$400,MATCH(ROWS(AB$3:AB86),$Q$3:$Q$400,0),1),"")</f>
        <v>07.02</v>
      </c>
      <c r="AC86" s="48" t="str">
        <f ca="1">IFERROR(INDEX($A$3:$G$400,MATCH(ROWS($AC$3:AC86),$Q$3:$Q$400,0),2),"")</f>
        <v>TITOLI</v>
      </c>
      <c r="AD86" s="48" t="str">
        <f ca="1">IFERROR(INDEX($A$3:$G$400,MATCH(ROWS(AD$3:AD86),$Q$3:$Q$400,0),3),"")</f>
        <v>E</v>
      </c>
      <c r="AE86" s="48" t="str">
        <f ca="1">IFERROR(INDEX($A$3:$G$400,MATCH(ROWS(AE$3:AE86),$Q$3:$Q$400,0),4),"")</f>
        <v>D</v>
      </c>
      <c r="AF86" s="48" t="str">
        <f ca="1">IFERROR(INDEX($A$3:$G$400,MATCH(ROWS(AF$3:AF86),$Q$3:$Q$400,0),5),"")</f>
        <v>COSTI SOSPESI</v>
      </c>
      <c r="AG86" s="48" t="str">
        <f ca="1">IFERROR(INDEX($A$3:$G$400,MATCH(ROWS(AG$3:AG86),$Q$3:$Q$400,0),6),"")</f>
        <v>SP DARE</v>
      </c>
      <c r="AH86" s="48" t="str">
        <f ca="1">IFERROR(INDEX($A$3:$G$400,MATCH(ROWS(AH$3:AH86),$Q$3:$Q$400,0),7),"")</f>
        <v>SP</v>
      </c>
      <c r="AI86" s="48" t="str">
        <f t="shared" ca="1" si="158"/>
        <v>ATTIVITÀ FINANZIARIE</v>
      </c>
      <c r="AJ86" s="48" t="str">
        <f ca="1">IFERROR(INDEX($A$3:$H$400,MATCH(ROWS(AJ$3:AJ86),$Q$3:$Q$400,0),8),"")</f>
        <v>pac3</v>
      </c>
      <c r="AK86" s="48">
        <f t="shared" ca="1" si="130"/>
        <v>0</v>
      </c>
      <c r="AL86" s="48">
        <f t="shared" ca="1" si="131"/>
        <v>0</v>
      </c>
      <c r="AM86" s="48">
        <f t="shared" ca="1" si="159"/>
        <v>0</v>
      </c>
      <c r="AN86" s="48" t="str">
        <f t="shared" ca="1" si="160"/>
        <v/>
      </c>
      <c r="AO86" s="48">
        <f t="shared" ca="1" si="161"/>
        <v>0</v>
      </c>
      <c r="AP86" s="48">
        <f t="shared" ca="1" si="161"/>
        <v>0</v>
      </c>
      <c r="AQ86" s="48" t="str">
        <f t="shared" ca="1" si="132"/>
        <v>TITOLI</v>
      </c>
      <c r="AR86" s="48">
        <f t="shared" ca="1" si="133"/>
        <v>0</v>
      </c>
      <c r="AS86" s="48">
        <f t="shared" ca="1" si="134"/>
        <v>0</v>
      </c>
      <c r="AT86" s="48">
        <f t="shared" ca="1" si="162"/>
        <v>0</v>
      </c>
      <c r="AU86" s="48">
        <f t="shared" ca="1" si="163"/>
        <v>0</v>
      </c>
      <c r="AV86" s="48">
        <f ca="1">IF(OR(AT86&gt;0,AU86&gt;0),MAX($AV$2:AV85)+1,0)</f>
        <v>0</v>
      </c>
      <c r="AZ86" s="241" t="str">
        <f t="shared" ca="1" si="164"/>
        <v/>
      </c>
      <c r="BA86" s="48">
        <f t="shared" ca="1" si="135"/>
        <v>0</v>
      </c>
      <c r="BB86" s="48">
        <f ca="1">IFERROR(INDEX($AQ$3:$AV$220,MATCH(ROWS($BB$3:BB86),$AV$3:$AV$220,0),1),0)</f>
        <v>0</v>
      </c>
      <c r="BC86" s="48" t="str">
        <f t="shared" ca="1" si="165"/>
        <v/>
      </c>
      <c r="BD86" s="48">
        <f ca="1">IFERROR(INDEX($AQ$3:$AV$220,MATCH(ROWS($BB$3:BD86),$AV$3:$AV$220,0),4),0)</f>
        <v>0</v>
      </c>
      <c r="BE86" s="48">
        <f ca="1">IFERROR(INDEX($AQ$3:$AV$220,MATCH(ROWS($BB$3:BE86),$AV$3:$AV$220,0),5),0)</f>
        <v>0</v>
      </c>
      <c r="BG86" s="48">
        <f ca="1">IF(IF(AND(OR(INDEX(PDC,MATCH($AC86,DEN_PDC,0),6)="SP DARE",INDEX(PDC,MATCH($AC86,DEN_PDC,0),6)="SP DARE/AVERE"),SUMIFS(DARE,DEN_G,$AC86)&gt;=SUMIFS(AVERE,DEN_G,$AC86)),SUMIFS(DARE,DEN_G,$AC86)-SUMIFS(AVERE,DEN_G,$AC86),0)&gt;0,MAX($BG$2:BG85)+1,0)</f>
        <v>0</v>
      </c>
      <c r="BH86" s="48">
        <f ca="1">IF(IF(AND(OR(INDEX(PDC,MATCH($AC86,DEN_PDC,0),6)="SP AVERE",INDEX(PDC,MATCH($AC86,DEN_PDC,0),6)="SP DARE/AVERE"),SUMIFS(AVERE,DEN_G,$AC86)&gt;=SUMIFS(DARE,DEN_G,$AC86)),SUMIFS(AVERE,DEN_G,$AC86)-SUMIFS(DARE,DEN_G,$AC86),0)&gt;0,MAX(BH$2:BH85)+1,0)</f>
        <v>0</v>
      </c>
      <c r="BI86" s="48">
        <f ca="1">IF(IF(AND(OR(INDEX(PDC,MATCH($AC86,DEN_PDC,0),6)="SE DARE",INDEX(PDC,MATCH($AC86,DEN_PDC,0),6)="SE DARE/AVERE"),SUMIFS(DARE,DEN_G,$AC86)&gt;=SUMIFS(AVERE,DEN_G,$AC86)),SUMIFS(DARE,DEN_G,$AC86)-SUMIFS(AVERE,DEN_G,$AC86),0)&gt;0,MAX(BI$2:BI85)+1,0)</f>
        <v>0</v>
      </c>
      <c r="BJ86" s="48">
        <f ca="1">IF(IF(AND(OR(INDEX(PDC,MATCH($AC86,DEN_PDC,0),6)="SE AVERE",INDEX(PDC,MATCH($AC86,DEN_PDC,0),6)="SE DARE/AVERE"),SUMIFS(AVERE,DEN_G,$AC86)&gt;=SUMIFS(DARE,DEN_G,$AC86)),SUMIFS(AVERE,DEN_G,$AC86)-SUMIFS(DARE,DEN_G,$AC86),0)&gt;0,MAX(BJ$2:BJ85)+1,0)</f>
        <v>0</v>
      </c>
      <c r="BK86" s="48" t="str">
        <f ca="1">IF(AND(AND($DY$2=0,$DY$1=0),$I$1=2,ROW()&gt;$BG$1+2,ROW()&lt;=$BG$1+4),"………………..",IF(AND(OR($DY$2&gt;0,$DY$1&gt;0),$I$1=2,ROW()&gt;$BG$1+2,ROW()&lt;=$BG$1+4),"………………..",IFERROR(INDEX($AC$3:$AC$398,MATCH(ROWS(BK$3:BK86),BG$3:BG$398,0),1),"")))</f>
        <v/>
      </c>
      <c r="BL86" s="48">
        <f t="shared" ca="1" si="136"/>
        <v>0</v>
      </c>
      <c r="BM86" s="48" t="str">
        <f ca="1">IF(AND(OR($DY$2=0,$DY$1=0),$I$1=2,ROW()&gt;$BH$1+2,ROW()&lt;=$BH$1+4),"………………..",IF(AND(OR($DY$2&gt;0,$DY$1&gt;0),$I$1=2,ROW()&gt;$BH$1+2,ROW()&lt;=$BH$1+4),"………………..",IFERROR(INDEX($AC$3:$AC$400,MATCH(ROWS(BM$3:BM86),BH$3:BH$400,0),1),"")))</f>
        <v/>
      </c>
      <c r="BN86" s="48">
        <f t="shared" ca="1" si="137"/>
        <v>0</v>
      </c>
      <c r="BO86" s="48" t="str">
        <f ca="1">IF(AND(OR($DY$2=0,$DY$1=0),$I$1=2,ROW()&gt;$BI$1+2,ROW()&lt;=$BI$1+4),"………………..",IF(AND(OR($DY$2&gt;0,$DY$1&gt;0),$I$1=2,ROW()&gt;$BI$1+2,ROW()&lt;=$BI$1+4),"………………..",IFERROR(INDEX($AC$3:$AC$400,MATCH(ROWS(BO$3:BO86),BI$3:BI$400,0),1),"")))</f>
        <v/>
      </c>
      <c r="BP86" s="48">
        <f t="shared" ca="1" si="138"/>
        <v>0</v>
      </c>
      <c r="BQ86" s="48" t="str">
        <f ca="1">IF(AND(OR($DY$2=0,$DY$1=0),$I$1=2,ROW()&gt;$BJ$1+2,ROW()&lt;=$BJ$1+4),"………………..",IF(AND(OR($DY$2&gt;0,$DY$1&gt;0),$I$1=2,ROW()&gt;$BJ$1+2,ROW()&lt;=$BJ$1+4),"………………..",IFERROR(INDEX($AC$3:$AC$400,MATCH(ROWS(BQ$3:BQ86),BJ$3:BJ$400,0),1),"")))</f>
        <v/>
      </c>
      <c r="BR86" s="48">
        <f t="shared" ca="1" si="139"/>
        <v>0</v>
      </c>
      <c r="BS86" s="48">
        <f ca="1">IF(IF(AND(OR(INDEX(PDC,MATCH($AC86,DEN_PDC,0),4)="D",INDEX(PDC,MATCH($AC86,DEN_PDC,0),4)="D/A"),SUMIFS(DARE,DEN_G,$AC86)&gt;=SUMIFS(AVERE,DEN_G,$AC86)),SUMIFS(DARE,DEN_G,$AC86),IF(AND(OR(INDEX(PDC,MATCH($AC86,DEN_PDC,0),4)="A",INDEX(PDC,MATCH($AC86,DEN_PDC,0),4)="D/A"),SUMIFS(AVERE,DEN_G,$AC86)&gt;=SUMIFS(DARE,DEN_G,$AC86)),SUMIFS(AVERE,DEN_G,$AC86),))&gt;0,MAX($BS$2:BS85)+1,0)</f>
        <v>0</v>
      </c>
      <c r="BT86" s="48" t="str">
        <f ca="1">IF($CO$1=0,"",IF(AND($I$1=2,ROW()&gt;$BR$1,ROW()&lt;=$BS$1)," …………….",IF(AND($E$1=1,$BX$1=1,$I$1=2,ROW()=$BQ$1),"TOTALI",IFERROR(INDEX(PDC,MATCH(ROWS(BT$3:BT86),BS$3:BS483,0),2),""))))</f>
        <v/>
      </c>
      <c r="BU86" s="48">
        <f t="shared" ca="1" si="140"/>
        <v>0</v>
      </c>
      <c r="BV86" s="48">
        <f t="shared" ca="1" si="141"/>
        <v>0</v>
      </c>
      <c r="BW86" s="48">
        <f t="shared" ca="1" si="142"/>
        <v>0</v>
      </c>
      <c r="BX86" s="48">
        <f t="shared" ca="1" si="143"/>
        <v>0</v>
      </c>
      <c r="BY86" s="48">
        <f ca="1">IF(OR(BW86&gt;0,BX86&gt;0),MAX($BY$2:BY85)+1,0)</f>
        <v>0</v>
      </c>
      <c r="BZ86" s="48" t="str">
        <f ca="1">IFERROR(INDEX($BT$3:$BY$400,MATCH(ROWS(BZ$3:BZ86),$BY$3:$BY$400,0),1),"")</f>
        <v/>
      </c>
      <c r="CA86" s="48" t="str">
        <f ca="1">IFERROR(INDEX($BT$3:$BY$400,MATCH(ROWS(CA$3:CA86),$BY$3:$BY$400,0),4),"")</f>
        <v/>
      </c>
      <c r="CB86" s="48" t="str">
        <f ca="1">IFERROR(INDEX($BT$3:$BY$400,MATCH(ROWS(CB$3:CB86),$BY$3:$BY$400,0),5),"")</f>
        <v/>
      </c>
      <c r="CC86" s="48" t="str">
        <f t="shared" ca="1" si="144"/>
        <v/>
      </c>
      <c r="CD86" s="48">
        <f ca="1">IF(AY1&lt;&gt;0,0,IF(AND($I$1=1,$F$1=0,$AY$1&lt;&gt;0),0,IF(AND($AY$1&lt;&gt;0,$I$1=2,$E$1=0),0,IF($EL$2&gt;0,0,IF(BF9=2,0,IF(AND(BF9=1,$F$1=1,$I$1=1),IF(MAX($CD$106:$CD$163)&gt;=MAX($CD$3:$CD$85),MAX($CD$106:$CD$163)+1,MAX($CD$3:$CD$85)+1),IF(AND($E$1=1,$I$1=2),IF(MAX($CD$106:$CD$163)&gt;=MAX($CD$3:$CD$85),MAX($CD$106:$CD$163)+1,MAX($CD$3:$CD$85)+1),0)))))))</f>
        <v>0</v>
      </c>
      <c r="CE86" s="48">
        <f ca="1">IF(EU3&gt;0,0,IF($I$1=1,SUM(CE84,CE85,CE43,CE3),IF(AND($I$1=2,OR(CH2&gt;0,CE84&gt;0,CE3&gt;0,CE83="_ _ _",CE43="_ _ _")),"_ _ _",0)))</f>
        <v>0</v>
      </c>
      <c r="CG86" s="242" t="s">
        <v>745</v>
      </c>
      <c r="CH86" s="242">
        <f t="shared" ref="CH86" ca="1" si="218">CE86</f>
        <v>0</v>
      </c>
      <c r="CI86" s="242"/>
      <c r="CJ86" s="242"/>
      <c r="CL86" s="242"/>
      <c r="CM86" s="242" t="str">
        <f t="shared" ca="1" si="166"/>
        <v/>
      </c>
      <c r="CN86" s="243">
        <f t="shared" ca="1" si="167"/>
        <v>0</v>
      </c>
      <c r="CO86" s="48" t="str">
        <f t="shared" ca="1" si="168"/>
        <v/>
      </c>
      <c r="CQ86" s="247">
        <f ca="1">CQ70</f>
        <v>46023</v>
      </c>
      <c r="CR86" s="247">
        <f ca="1">CR70</f>
        <v>46387</v>
      </c>
      <c r="CS86" s="48">
        <f t="shared" ref="CS86:CS91" ca="1" si="219">IF($I$1=2,SUMIFS(dare_grezzo,den_grezzo,"="&amp;"perdita d'esercizio",data_grezzo,"&gt;="&amp;INIZIO_A_PC,data_grezzo,"&lt;="&amp;$CR86)-SUMIFS(avere_grezzo,den_grezzo,"="&amp;"perdita d'esercizio",data_grezzo,"&gt;="&amp;INIZIO_A_PC,data_grezzo,"&lt;="&amp;$CR86),0)</f>
        <v>0</v>
      </c>
      <c r="CT86" s="48">
        <f t="shared" ref="CT86:CT91" ca="1" si="220">SUMIFS($AO$71:$AO$270,$AM$71:$AM$270,"="&amp;"perdita d'esercizio",$AL$71:$AL$270,"&gt;="&amp;INIZIO_A_PC,$AL$71:$AL$270,"&gt;="&amp;$CQ86,$AL$71:$AL$270,"&lt;="&amp;$CR86)</f>
        <v>0</v>
      </c>
      <c r="CU86" s="48">
        <f ca="1">IF(SUMIFS(AVERE,DEN_G,AC86,AVERE,"&gt;"&amp;0)+SUMIFS(DARE,DEN_G,AC86,DARE,"&gt;"&amp;0)&gt;0,MAX($CU$2:CU85)+1,0)</f>
        <v>0</v>
      </c>
      <c r="CV86" s="48" t="str">
        <f ca="1">IF(IFERROR(INDEX(PDC,MATCH(ROWS($CV$3:CV86),$CU$3:$CU$400,0),2),"")="CONTO DI RISULTATO ECONOMICO","",IFERROR(INDEX(PDC,MATCH(ROWS($CV$3:CV86),$CU$3:$CU$400,0),2),""))</f>
        <v/>
      </c>
      <c r="CW86" s="48">
        <f ca="1">IFERROR(IF(CV86&lt;&gt;"",MAX($CW$2:CW85)+1,0),0)</f>
        <v>0</v>
      </c>
      <c r="CX86" s="48">
        <f t="shared" ca="1" si="209"/>
        <v>7</v>
      </c>
      <c r="CY86" s="48" t="str">
        <f t="shared" ca="1" si="208"/>
        <v>MASTRO</v>
      </c>
      <c r="CZ86" s="48" t="e">
        <f t="shared" ca="1" si="211"/>
        <v>#N/A</v>
      </c>
      <c r="DA86" s="48" t="str">
        <f t="shared" ca="1" si="216"/>
        <v/>
      </c>
      <c r="DB86" s="48" t="str">
        <f t="shared" ca="1" si="212"/>
        <v/>
      </c>
      <c r="DC86" s="48" t="str">
        <f t="shared" ca="1" si="213"/>
        <v/>
      </c>
      <c r="DD86" s="48" t="str">
        <f t="shared" ca="1" si="214"/>
        <v/>
      </c>
      <c r="DE86" s="48" t="str">
        <f t="shared" ca="1" si="215"/>
        <v/>
      </c>
      <c r="DF86" s="48">
        <f ca="1">IF(AND(CX86=$DF$1,CX86&lt;&gt;""),0,IF(AND(DB86&lt;&gt;"",OR(DB85&lt;&gt;"",DB87&lt;&gt;"")),MAX($DF$2:DF85)+1,0))</f>
        <v>0</v>
      </c>
      <c r="DH86" s="244" t="s">
        <v>69</v>
      </c>
      <c r="DI86" s="48" t="s">
        <v>59</v>
      </c>
      <c r="DJ86" s="48" t="s">
        <v>312</v>
      </c>
      <c r="DK86" s="48" t="s">
        <v>275</v>
      </c>
      <c r="DL86" s="48" t="s">
        <v>6</v>
      </c>
      <c r="DM86" s="48" t="s">
        <v>270</v>
      </c>
      <c r="DN86" s="48">
        <f ca="1">IF(DI86&lt;&gt;"",MAX($DN$2:DN85)+1,0)</f>
        <v>68</v>
      </c>
      <c r="DO86" s="48" t="str">
        <f t="shared" ca="1" si="206"/>
        <v>pac2</v>
      </c>
      <c r="DQ86" s="227" t="s">
        <v>65</v>
      </c>
      <c r="DR86" s="48" t="s">
        <v>54</v>
      </c>
      <c r="DS86" s="48" t="s">
        <v>312</v>
      </c>
      <c r="DT86" s="48" t="s">
        <v>275</v>
      </c>
      <c r="DU86" s="48" t="s">
        <v>6</v>
      </c>
      <c r="DV86" s="48" t="s">
        <v>270</v>
      </c>
      <c r="DW86" s="48">
        <f ca="1">IF(DR86&lt;&gt;"",MAX($DW$2:DW85)+1,0)</f>
        <v>44</v>
      </c>
      <c r="DX86" s="48" t="str">
        <f t="shared" ca="1" si="217"/>
        <v>pac2</v>
      </c>
      <c r="DY86" s="48" t="str">
        <f t="shared" ca="1" si="147"/>
        <v/>
      </c>
      <c r="DZ86" s="48" t="str">
        <f t="shared" ca="1" si="170"/>
        <v/>
      </c>
      <c r="EA86" s="48" t="str">
        <f t="shared" ca="1" si="171"/>
        <v/>
      </c>
      <c r="EB86" s="48">
        <f t="shared" ca="1" si="172"/>
        <v>0</v>
      </c>
      <c r="EC86" s="48">
        <f t="shared" ca="1" si="173"/>
        <v>0</v>
      </c>
      <c r="ED86" s="48" t="str">
        <f t="shared" ca="1" si="174"/>
        <v/>
      </c>
      <c r="EE86" s="48">
        <f t="shared" ca="1" si="175"/>
        <v>0</v>
      </c>
      <c r="EF86" s="48" t="str">
        <f t="shared" ca="1" si="176"/>
        <v/>
      </c>
      <c r="EG86" s="48">
        <f t="shared" ca="1" si="177"/>
        <v>0</v>
      </c>
      <c r="EH86" s="48" t="str">
        <f t="shared" ca="1" si="178"/>
        <v/>
      </c>
      <c r="EI86" s="48">
        <f t="shared" ca="1" si="179"/>
        <v>0</v>
      </c>
      <c r="EJ86" s="48" t="str">
        <f t="shared" ca="1" si="180"/>
        <v/>
      </c>
      <c r="EK86" s="48">
        <f t="shared" ca="1" si="181"/>
        <v>0</v>
      </c>
      <c r="EL86" s="48">
        <f t="shared" ca="1" si="148"/>
        <v>0</v>
      </c>
      <c r="EM86" s="48">
        <f ca="1">IF(EL86&gt;=0,0,MAX($EM$2:EM85)+1)</f>
        <v>0</v>
      </c>
      <c r="EN86" s="48" t="str">
        <f t="shared" ca="1" si="182"/>
        <v/>
      </c>
      <c r="EO86" s="48" t="str">
        <f ca="1">IFERROR(INDEX($EM$3:$EN$400,MATCH(ROWS($EO$3:EO86),$EM$3:$EM$400,0),2),"")</f>
        <v/>
      </c>
      <c r="EP86" s="48">
        <f>ROW()</f>
        <v>86</v>
      </c>
      <c r="EQ86" s="48">
        <f t="shared" ca="1" si="149"/>
        <v>0</v>
      </c>
      <c r="ER86" s="48">
        <f ca="1">IF(ISNA(EQ86)=TRUE,MAX($ER$2:ER85)+1,0)</f>
        <v>0</v>
      </c>
      <c r="ES86" s="48" t="str">
        <f t="shared" ca="1" si="183"/>
        <v/>
      </c>
      <c r="ET86" s="48" t="str">
        <f ca="1">IFERROR(INDEX($ER$3:$ES$400,MATCH(ROWS($ET$3:ET86),$ER$3:$ER$400,0),2),"")</f>
        <v/>
      </c>
      <c r="EV86" s="48">
        <f ca="1">IFERROR(INDEX(LIBRO_GIORNALE!$O$11:$P$408,MATCH(ROWS($EV$2:EV85),LIBRO_GIORNALE!$P$11:$P$408,0),1),0)</f>
        <v>0</v>
      </c>
      <c r="EW86" s="48" t="str">
        <f t="shared" ca="1" si="184"/>
        <v>0</v>
      </c>
      <c r="EX86" s="48">
        <f t="shared" ca="1" si="185"/>
        <v>0</v>
      </c>
      <c r="EY86" s="48">
        <f ca="1">IF(EX86&gt;0,MAX($EY$2:EY85)+1,0)</f>
        <v>0</v>
      </c>
      <c r="EZ86" s="48">
        <f ca="1">IFERROR(INDEX($EX$3:$EX$400,MATCH(ROWS($EZ$3:EZ86),$EY$3:$EY$400,0),1),0)</f>
        <v>0</v>
      </c>
      <c r="FA86" s="48">
        <f ca="1">IF(EZ86&gt;0,0,MAX($FA$2:FA85)+1)</f>
        <v>84</v>
      </c>
      <c r="FB86" s="48">
        <f t="shared" ca="1" si="186"/>
        <v>0</v>
      </c>
      <c r="FC86" s="48">
        <f t="shared" ca="1" si="187"/>
        <v>84</v>
      </c>
      <c r="FD86" s="48">
        <f t="shared" ca="1" si="188"/>
        <v>84</v>
      </c>
      <c r="FE86" s="48">
        <f ca="1">IF(FD86=0,0,MAX($FE$2:FE85)+1)</f>
        <v>84</v>
      </c>
      <c r="FF86" s="48">
        <f ca="1">IFERROR(INDEX($FD$3:$FE$400,MATCH(ROWS($FF$3:FF86),$FE$3:$FE$400,0),1),"")</f>
        <v>84</v>
      </c>
      <c r="FH86" s="48">
        <f t="shared" ca="1" si="189"/>
        <v>0</v>
      </c>
      <c r="FI86" s="48">
        <f ca="1">IF(FH86&lt;&gt;0,MAX($FI$2:FI85)+1,0)</f>
        <v>0</v>
      </c>
      <c r="FJ86" s="48" t="str">
        <f ca="1">IFERROR(INDEX($FH$3:$FI$400,MATCH(ROWS($FJ$3:FJ86),$FI$3:$FI$400,0),1),"")</f>
        <v/>
      </c>
      <c r="FK86" s="48">
        <f ca="1">IF(ABS(SUMIFS(DARE,DEN_G,"="&amp;FJ86,DATA,"&lt;="&amp;FINE_AC,DATA,"&gt;="&amp;INIZIO_A_PC)-SUMIFS(AVERE,DEN_G,"="&amp;FJ86,DATA,"&lt;="&amp;FINE_AC,DATA,"&gt;="&amp;INIZIO_A_PC))&gt;0,MAX($FK$2:FK85)+1,0)</f>
        <v>0</v>
      </c>
      <c r="FL86" s="48" t="str">
        <f ca="1">IF(AND(ROW()-2&lt;&gt;1,ROW()-2&lt;=$FK$1),CONCATENATE(" - ",IFERROR(INDEX($FJ$3:$FK$400,MATCH(ROWS($FL$3:FL86),$FK$3:$FK$400,0),1),"")),IFERROR(INDEX($FJ$3:$FK$400,MATCH(ROWS($FL$3:FL86),$FK$3:$FK$400,0),1),""))</f>
        <v/>
      </c>
      <c r="FM86" s="48">
        <f ca="1">IF(OR(B86="IVA ns/credito",B86="IVA NS/DEBITO",B86="IVA C/ACCONTO",B86="IMPOSTE C/ACCONTO",B86="CREDITI PER RITENUTE SUBITE",B86="CREDITI D'IMPOSTA"),MAX($FM$2:FM85)+1,0)</f>
        <v>0</v>
      </c>
      <c r="FN86" s="48" t="str">
        <f t="shared" ca="1" si="190"/>
        <v/>
      </c>
      <c r="FO86" s="48" t="str">
        <f ca="1">IFERROR(INDEX($FM$3:$FN$400,MATCH(ROWS($FO$3:FO86),$FM$3:$FM$400,0),2),"")</f>
        <v/>
      </c>
      <c r="FP86" s="48">
        <f ca="1">IF(ABS(SUMIFS(DARE,DEN_G,"="&amp;FO86,DATA,"&lt;="&amp;FINE_AC,DATA,"&gt;="&amp;INIZIO_A_PC)-SUMIFS(AVERE,DEN_G,"="&amp;FO86,DATA,"&lt;="&amp;FINE_AC,DATA,"&gt;="&amp;INIZIO_A_PC))&gt;0,MAX($FP$2:FP85)+1,0)</f>
        <v>0</v>
      </c>
      <c r="FQ86" s="48" t="str">
        <f ca="1">IF(AND(ROW()-2&lt;&gt;1,ROW()-2&lt;=$FP$1),CONCATENATE(" - ",IFERROR(INDEX($FO$3:$FP$400,MATCH(ROWS($FQ$3:FQ86),$FP$3:$FP$400,0),1),"")),IFERROR(INDEX($FO$3:$FP$400,MATCH(ROWS($FQ$3:FQ86),$FP$3:$FP$400,0),1),""))</f>
        <v/>
      </c>
    </row>
    <row r="87" spans="1:173" x14ac:dyDescent="0.3">
      <c r="A87" s="48" t="str">
        <f ca="1">IFERROR(IF($A$1=2,INDEX($DH$3:$DN$401,MATCH(ROWS(A$3:A87),$DN$3:$DN$401,0),COLUMN()),IF($A$1=1,INDEX($DQ$3:$DW$401,MATCH(ROWS(A$3:A87),$DW$3:$DW$401,0),COLUMN()),"")),"")</f>
        <v>06.16</v>
      </c>
      <c r="B87" s="48" t="str">
        <f ca="1">IFERROR(IF($A$1=2,INDEX($DH$3:$DN$401,MATCH(ROWS(B$3:B87),$DN$3:$DN$401,0),COLUMN()),IF($A$1=1,INDEX($DQ$3:$DW$400,MATCH(ROWS(B$3:B87),$DW$3:$DW$401,0),COLUMN()),"")),"")</f>
        <v>CREDITI V/COLLEGATE</v>
      </c>
      <c r="C87" s="48" t="str">
        <f ca="1">IFERROR(IF($A$1=2,INDEX($DH$3:$DN$401,MATCH(ROWS(C$3:C87),$DN$3:$DN$401,0),COLUMN()),IF($A$1=1,INDEX($DQ$3:$DW$401,MATCH(ROWS(C$3:C87),$DW$3:$DW$401,0),COLUMN()),"")),"")</f>
        <v>F</v>
      </c>
      <c r="D87" s="48" t="str">
        <f ca="1">IFERROR(IF($A$1=2,INDEX($DH$3:$DN$401,MATCH(ROWS(D$3:D87),$DN$3:$DN$401,0),COLUMN()),IF($A$1=1,INDEX($DQ$3:$DW$401,MATCH(ROWS(D$3:D87),$DW$3:$DW$401,0),COLUMN()),"")),"")</f>
        <v>D</v>
      </c>
      <c r="E87" s="48" t="str">
        <f ca="1">IFERROR(IF($A$1=2,INDEX($DH$3:$DN$401,MATCH(ROWS(E$3:E87),$DN$3:$DN$401,0),COLUMN()),IF($A$1=1,INDEX($DQ$3:$DW$401,MATCH(ROWS(E$3:E87),$DW$3:$DW$401,0),COLUMN()),"")),"")</f>
        <v>CREDITI</v>
      </c>
      <c r="F87" s="48" t="str">
        <f ca="1">IFERROR(IF($A$1=2,INDEX($DH$3:$DN$401,MATCH(ROWS(F$3:F87),$DN$3:$DN$401,0),COLUMN()),IF($A$1=1,INDEX($DQ$3:$DX$401,MATCH(ROWS(F$3:F87),$DW$3:$DW$401,0),COLUMN()),"")),"")</f>
        <v>SP DARE</v>
      </c>
      <c r="G87" s="48" t="str">
        <f t="shared" ca="1" si="150"/>
        <v>SP</v>
      </c>
      <c r="H87" s="48" t="str">
        <f ca="1">IFERROR(IF($A$1=2,INDEX($DH$3:$DO$400,MATCH(ROWS(H$3:H87),$DN$3:$DN$400,0),COLUMN()),IF($A$1=1,INDEX($DQ$3:$DX$400,MATCH(ROWS(H$3:H87),$DW$3:$DW$400,0),COLUMN()),"")),"")</f>
        <v>pac2</v>
      </c>
      <c r="I87" s="48" t="str">
        <f t="shared" ca="1" si="151"/>
        <v/>
      </c>
      <c r="J87" s="48" t="str">
        <f t="shared" ca="1" si="152"/>
        <v/>
      </c>
      <c r="K87" s="48">
        <f t="shared" ca="1" si="153"/>
        <v>0</v>
      </c>
      <c r="L87" s="48">
        <f t="shared" ca="1" si="154"/>
        <v>0</v>
      </c>
      <c r="M87" s="48">
        <f ca="1">IFERROR(IF(IF(MID($A87,3,3)=".00",MID(A87,1,2),"")&lt;&gt;"",MAX($M$2:M86)+1,0),"")</f>
        <v>0</v>
      </c>
      <c r="N87" s="48" t="str">
        <f t="shared" ca="1" si="155"/>
        <v/>
      </c>
      <c r="O87" s="48" t="str">
        <f ca="1">IF(IFERROR(INDEX($N$3:$O$300,MATCH(ROWS($O$3:O87),$M$3:$M$300,0),1),"")&lt;&gt;"",CONCATENATE(INDEX($N$3:$O$300,MATCH(ROWS($O$3:O87),$M$3:$M$300,0),1),".00"),"")</f>
        <v/>
      </c>
      <c r="P87" s="48" t="str">
        <f t="shared" ca="1" si="156"/>
        <v/>
      </c>
      <c r="Q87" s="48">
        <f ca="1">IF(M87&gt;=1,0,MAX($Q$2:Q86)+1)</f>
        <v>78</v>
      </c>
      <c r="U87" s="48" t="str">
        <f ca="1">IFERROR(INDEX(PDC,MATCH(ROWS(U$3:U87),$V$3:$V$400,0),2),"")</f>
        <v>BANCHE C/C ATTIVI</v>
      </c>
      <c r="V87" s="48">
        <f ca="1">IF(AND($T$1="VISUALIZZA TUTTI I CONTI",AA87&lt;&gt;""),MAX($V$2:V86)+1,IF(AND($U$2=2,AI87=$T$1),MAX($V$2:V86)+1,IF(AND($U$2=1,$T$1=AF87),MAX($V$2:V86)+1,0)))</f>
        <v>85</v>
      </c>
      <c r="Z87" s="246"/>
      <c r="AA87" s="48" t="str">
        <f t="shared" ca="1" si="157"/>
        <v>08.00</v>
      </c>
      <c r="AB87" s="48" t="str">
        <f ca="1">IFERROR(INDEX($A$3:$G$400,MATCH(ROWS(AB$3:AB87),$Q$3:$Q$400,0),1),"")</f>
        <v>08.01</v>
      </c>
      <c r="AC87" s="48" t="str">
        <f ca="1">IFERROR(INDEX($A$3:$G$400,MATCH(ROWS($AC$3:AC87),$Q$3:$Q$400,0),2),"")</f>
        <v>BANCHE C/C ATTIVI</v>
      </c>
      <c r="AD87" s="48" t="str">
        <f ca="1">IFERROR(INDEX($A$3:$G$400,MATCH(ROWS(AD$3:AD87),$Q$3:$Q$400,0),3),"")</f>
        <v>F</v>
      </c>
      <c r="AE87" s="48" t="str">
        <f ca="1">IFERROR(INDEX($A$3:$G$400,MATCH(ROWS(AE$3:AE87),$Q$3:$Q$400,0),4),"")</f>
        <v>D</v>
      </c>
      <c r="AF87" s="48" t="str">
        <f ca="1">IFERROR(INDEX($A$3:$G$400,MATCH(ROWS(AF$3:AF87),$Q$3:$Q$400,0),5),"")</f>
        <v>DISPONIBILITÀ LIQUIDE</v>
      </c>
      <c r="AG87" s="48" t="str">
        <f ca="1">IFERROR(INDEX($A$3:$G$400,MATCH(ROWS(AG$3:AG87),$Q$3:$Q$400,0),6),"")</f>
        <v>SP DARE</v>
      </c>
      <c r="AH87" s="48" t="str">
        <f ca="1">IFERROR(INDEX($A$3:$G$400,MATCH(ROWS(AH$3:AH87),$Q$3:$Q$400,0),7),"")</f>
        <v>SP</v>
      </c>
      <c r="AI87" s="48" t="str">
        <f t="shared" ca="1" si="158"/>
        <v>DISPONIBILITÀ LIQUIDE</v>
      </c>
      <c r="AJ87" s="48" t="str">
        <f ca="1">IFERROR(INDEX($A$3:$H$400,MATCH(ROWS(AJ$3:AJ87),$Q$3:$Q$400,0),8),"")</f>
        <v>pac4</v>
      </c>
      <c r="AK87" s="48">
        <f t="shared" ca="1" si="130"/>
        <v>0</v>
      </c>
      <c r="AL87" s="48">
        <f t="shared" ca="1" si="131"/>
        <v>0</v>
      </c>
      <c r="AM87" s="48">
        <f t="shared" ca="1" si="159"/>
        <v>0</v>
      </c>
      <c r="AN87" s="48" t="str">
        <f t="shared" ca="1" si="160"/>
        <v/>
      </c>
      <c r="AO87" s="48">
        <f t="shared" ca="1" si="161"/>
        <v>0</v>
      </c>
      <c r="AP87" s="48">
        <f t="shared" ca="1" si="161"/>
        <v>0</v>
      </c>
      <c r="AQ87" s="48" t="str">
        <f t="shared" ca="1" si="132"/>
        <v>BANCHE C/C ATTIVI</v>
      </c>
      <c r="AR87" s="48">
        <f t="shared" ca="1" si="133"/>
        <v>0</v>
      </c>
      <c r="AS87" s="48">
        <f t="shared" ca="1" si="134"/>
        <v>0</v>
      </c>
      <c r="AT87" s="48">
        <f t="shared" ca="1" si="162"/>
        <v>0</v>
      </c>
      <c r="AU87" s="48">
        <f t="shared" ca="1" si="163"/>
        <v>0</v>
      </c>
      <c r="AV87" s="48">
        <f ca="1">IF(OR(AT87&gt;0,AU87&gt;0),MAX($AV$2:AV86)+1,0)</f>
        <v>0</v>
      </c>
      <c r="AZ87" s="241" t="str">
        <f t="shared" ca="1" si="164"/>
        <v/>
      </c>
      <c r="BA87" s="48">
        <f t="shared" ca="1" si="135"/>
        <v>0</v>
      </c>
      <c r="BB87" s="48">
        <f ca="1">IFERROR(INDEX($AQ$3:$AV$220,MATCH(ROWS($BB$3:BB87),$AV$3:$AV$220,0),1),0)</f>
        <v>0</v>
      </c>
      <c r="BC87" s="48" t="str">
        <f t="shared" ca="1" si="165"/>
        <v/>
      </c>
      <c r="BD87" s="48">
        <f ca="1">IFERROR(INDEX($AQ$3:$AV$220,MATCH(ROWS($BB$3:BD87),$AV$3:$AV$220,0),4),0)</f>
        <v>0</v>
      </c>
      <c r="BE87" s="48">
        <f ca="1">IFERROR(INDEX($AQ$3:$AV$220,MATCH(ROWS($BB$3:BE87),$AV$3:$AV$220,0),5),0)</f>
        <v>0</v>
      </c>
      <c r="BG87" s="48">
        <f ca="1">IF(IF(AND(OR(INDEX(PDC,MATCH($AC87,DEN_PDC,0),6)="SP DARE",INDEX(PDC,MATCH($AC87,DEN_PDC,0),6)="SP DARE/AVERE"),SUMIFS(DARE,DEN_G,$AC87)&gt;=SUMIFS(AVERE,DEN_G,$AC87)),SUMIFS(DARE,DEN_G,$AC87)-SUMIFS(AVERE,DEN_G,$AC87),0)&gt;0,MAX($BG$2:BG86)+1,0)</f>
        <v>0</v>
      </c>
      <c r="BH87" s="48">
        <f ca="1">IF(IF(AND(OR(INDEX(PDC,MATCH($AC87,DEN_PDC,0),6)="SP AVERE",INDEX(PDC,MATCH($AC87,DEN_PDC,0),6)="SP DARE/AVERE"),SUMIFS(AVERE,DEN_G,$AC87)&gt;=SUMIFS(DARE,DEN_G,$AC87)),SUMIFS(AVERE,DEN_G,$AC87)-SUMIFS(DARE,DEN_G,$AC87),0)&gt;0,MAX(BH$2:BH86)+1,0)</f>
        <v>0</v>
      </c>
      <c r="BI87" s="48">
        <f ca="1">IF(IF(AND(OR(INDEX(PDC,MATCH($AC87,DEN_PDC,0),6)="SE DARE",INDEX(PDC,MATCH($AC87,DEN_PDC,0),6)="SE DARE/AVERE"),SUMIFS(DARE,DEN_G,$AC87)&gt;=SUMIFS(AVERE,DEN_G,$AC87)),SUMIFS(DARE,DEN_G,$AC87)-SUMIFS(AVERE,DEN_G,$AC87),0)&gt;0,MAX(BI$2:BI86)+1,0)</f>
        <v>0</v>
      </c>
      <c r="BJ87" s="48">
        <f ca="1">IF(IF(AND(OR(INDEX(PDC,MATCH($AC87,DEN_PDC,0),6)="SE AVERE",INDEX(PDC,MATCH($AC87,DEN_PDC,0),6)="SE DARE/AVERE"),SUMIFS(AVERE,DEN_G,$AC87)&gt;=SUMIFS(DARE,DEN_G,$AC87)),SUMIFS(AVERE,DEN_G,$AC87)-SUMIFS(DARE,DEN_G,$AC87),0)&gt;0,MAX(BJ$2:BJ86)+1,0)</f>
        <v>0</v>
      </c>
      <c r="BK87" s="48" t="str">
        <f ca="1">IF(AND(AND($DY$2=0,$DY$1=0),$I$1=2,ROW()&gt;$BG$1+2,ROW()&lt;=$BG$1+4),"………………..",IF(AND(OR($DY$2&gt;0,$DY$1&gt;0),$I$1=2,ROW()&gt;$BG$1+2,ROW()&lt;=$BG$1+4),"………………..",IFERROR(INDEX($AC$3:$AC$398,MATCH(ROWS(BK$3:BK87),BG$3:BG$398,0),1),"")))</f>
        <v/>
      </c>
      <c r="BL87" s="48">
        <f t="shared" ca="1" si="136"/>
        <v>0</v>
      </c>
      <c r="BM87" s="48" t="str">
        <f ca="1">IF(AND(OR($DY$2=0,$DY$1=0),$I$1=2,ROW()&gt;$BH$1+2,ROW()&lt;=$BH$1+4),"………………..",IF(AND(OR($DY$2&gt;0,$DY$1&gt;0),$I$1=2,ROW()&gt;$BH$1+2,ROW()&lt;=$BH$1+4),"………………..",IFERROR(INDEX($AC$3:$AC$400,MATCH(ROWS(BM$3:BM87),BH$3:BH$400,0),1),"")))</f>
        <v/>
      </c>
      <c r="BN87" s="48">
        <f t="shared" ca="1" si="137"/>
        <v>0</v>
      </c>
      <c r="BO87" s="48" t="str">
        <f ca="1">IF(AND(OR($DY$2=0,$DY$1=0),$I$1=2,ROW()&gt;$BI$1+2,ROW()&lt;=$BI$1+4),"………………..",IF(AND(OR($DY$2&gt;0,$DY$1&gt;0),$I$1=2,ROW()&gt;$BI$1+2,ROW()&lt;=$BI$1+4),"………………..",IFERROR(INDEX($AC$3:$AC$400,MATCH(ROWS(BO$3:BO87),BI$3:BI$400,0),1),"")))</f>
        <v/>
      </c>
      <c r="BP87" s="48">
        <f t="shared" ca="1" si="138"/>
        <v>0</v>
      </c>
      <c r="BQ87" s="48" t="str">
        <f ca="1">IF(AND(OR($DY$2=0,$DY$1=0),$I$1=2,ROW()&gt;$BJ$1+2,ROW()&lt;=$BJ$1+4),"………………..",IF(AND(OR($DY$2&gt;0,$DY$1&gt;0),$I$1=2,ROW()&gt;$BJ$1+2,ROW()&lt;=$BJ$1+4),"………………..",IFERROR(INDEX($AC$3:$AC$400,MATCH(ROWS(BQ$3:BQ87),BJ$3:BJ$400,0),1),"")))</f>
        <v/>
      </c>
      <c r="BR87" s="48">
        <f t="shared" ca="1" si="139"/>
        <v>0</v>
      </c>
      <c r="BS87" s="48">
        <f ca="1">IF(IF(AND(OR(INDEX(PDC,MATCH($AC87,DEN_PDC,0),4)="D",INDEX(PDC,MATCH($AC87,DEN_PDC,0),4)="D/A"),SUMIFS(DARE,DEN_G,$AC87)&gt;=SUMIFS(AVERE,DEN_G,$AC87)),SUMIFS(DARE,DEN_G,$AC87),IF(AND(OR(INDEX(PDC,MATCH($AC87,DEN_PDC,0),4)="A",INDEX(PDC,MATCH($AC87,DEN_PDC,0),4)="D/A"),SUMIFS(AVERE,DEN_G,$AC87)&gt;=SUMIFS(DARE,DEN_G,$AC87)),SUMIFS(AVERE,DEN_G,$AC87),))&gt;0,MAX($BS$2:BS86)+1,0)</f>
        <v>0</v>
      </c>
      <c r="BT87" s="48" t="str">
        <f ca="1">IF($CO$1=0,"",IF(AND($I$1=2,ROW()&gt;$BR$1,ROW()&lt;=$BS$1)," …………….",IF(AND($E$1=1,$BX$1=1,$I$1=2,ROW()=$BQ$1),"TOTALI",IFERROR(INDEX(PDC,MATCH(ROWS(BT$3:BT87),BS$3:BS484,0),2),""))))</f>
        <v/>
      </c>
      <c r="BU87" s="48">
        <f t="shared" ca="1" si="140"/>
        <v>0</v>
      </c>
      <c r="BV87" s="48">
        <f t="shared" ca="1" si="141"/>
        <v>0</v>
      </c>
      <c r="BW87" s="48">
        <f t="shared" ca="1" si="142"/>
        <v>0</v>
      </c>
      <c r="BX87" s="48">
        <f t="shared" ca="1" si="143"/>
        <v>0</v>
      </c>
      <c r="BY87" s="48">
        <f ca="1">IF(OR(BW87&gt;0,BX87&gt;0),MAX($BY$2:BY86)+1,0)</f>
        <v>0</v>
      </c>
      <c r="BZ87" s="48" t="str">
        <f ca="1">IFERROR(INDEX($BT$3:$BY$400,MATCH(ROWS(BZ$3:BZ87),$BY$3:$BY$400,0),1),"")</f>
        <v/>
      </c>
      <c r="CA87" s="48" t="str">
        <f ca="1">IFERROR(INDEX($BT$3:$BY$400,MATCH(ROWS(CA$3:CA87),$BY$3:$BY$400,0),4),"")</f>
        <v/>
      </c>
      <c r="CB87" s="48" t="str">
        <f ca="1">IFERROR(INDEX($BT$3:$BY$400,MATCH(ROWS(CB$3:CB87),$BY$3:$BY$400,0),5),"")</f>
        <v/>
      </c>
      <c r="CC87" s="48" t="str">
        <f t="shared" ca="1" si="144"/>
        <v/>
      </c>
      <c r="CG87" s="242"/>
      <c r="CH87" s="242"/>
      <c r="CJ87" s="242"/>
      <c r="CM87" s="242" t="str">
        <f t="shared" ca="1" si="166"/>
        <v/>
      </c>
      <c r="CN87" s="243">
        <f t="shared" ca="1" si="167"/>
        <v>0</v>
      </c>
      <c r="CO87" s="48" t="str">
        <f t="shared" ca="1" si="168"/>
        <v/>
      </c>
      <c r="CQ87" s="247">
        <f t="shared" ref="CQ87:CR90" ca="1" si="221">CQ71</f>
        <v>46388</v>
      </c>
      <c r="CR87" s="247">
        <f t="shared" ca="1" si="221"/>
        <v>46752</v>
      </c>
      <c r="CS87" s="48">
        <f t="shared" ca="1" si="219"/>
        <v>0</v>
      </c>
      <c r="CT87" s="48">
        <f t="shared" ca="1" si="220"/>
        <v>0</v>
      </c>
      <c r="CU87" s="48">
        <f ca="1">IF(SUMIFS(AVERE,DEN_G,AC87,AVERE,"&gt;"&amp;0)+SUMIFS(DARE,DEN_G,AC87,DARE,"&gt;"&amp;0)&gt;0,MAX($CU$2:CU86)+1,0)</f>
        <v>0</v>
      </c>
      <c r="CV87" s="48" t="str">
        <f ca="1">IF(IFERROR(INDEX(PDC,MATCH(ROWS($CV$3:CV87),$CU$3:$CU$400,0),2),"")="CONTO DI RISULTATO ECONOMICO","",IFERROR(INDEX(PDC,MATCH(ROWS($CV$3:CV87),$CU$3:$CU$400,0),2),""))</f>
        <v/>
      </c>
      <c r="CW87" s="48">
        <f ca="1">IFERROR(IF(CV87&lt;&gt;"",MAX($CW$2:CW86)+1,0),0)</f>
        <v>0</v>
      </c>
      <c r="CX87" s="48">
        <f t="shared" ca="1" si="209"/>
        <v>7</v>
      </c>
      <c r="CY87" s="48" t="str">
        <f t="shared" ca="1" si="208"/>
        <v>MASTRO</v>
      </c>
      <c r="CZ87" s="48" t="e">
        <f t="shared" ca="1" si="211"/>
        <v>#N/A</v>
      </c>
      <c r="DA87" s="48" t="str">
        <f t="shared" ca="1" si="216"/>
        <v/>
      </c>
      <c r="DB87" s="48" t="str">
        <f t="shared" ca="1" si="212"/>
        <v/>
      </c>
      <c r="DC87" s="48" t="str">
        <f t="shared" ca="1" si="213"/>
        <v/>
      </c>
      <c r="DD87" s="48" t="str">
        <f t="shared" ca="1" si="214"/>
        <v/>
      </c>
      <c r="DE87" s="48" t="str">
        <f t="shared" ca="1" si="215"/>
        <v/>
      </c>
      <c r="DF87" s="48">
        <f ca="1">IF(AND(CX87=$DF$1,CX87&lt;&gt;""),0,IF(AND(DB87&lt;&gt;"",OR(DB86&lt;&gt;"",DB88&lt;&gt;"")),MAX($DF$2:DF86)+1,0))</f>
        <v>0</v>
      </c>
      <c r="DH87" s="244" t="s">
        <v>70</v>
      </c>
      <c r="DI87" s="48" t="s">
        <v>60</v>
      </c>
      <c r="DJ87" s="48" t="s">
        <v>312</v>
      </c>
      <c r="DK87" s="48" t="s">
        <v>275</v>
      </c>
      <c r="DL87" s="48" t="s">
        <v>6</v>
      </c>
      <c r="DM87" s="48" t="s">
        <v>270</v>
      </c>
      <c r="DN87" s="48">
        <f ca="1">IF(DI87&lt;&gt;"",MAX($DN$2:DN86)+1,0)</f>
        <v>69</v>
      </c>
      <c r="DO87" s="48" t="str">
        <f t="shared" ca="1" si="206"/>
        <v>pac2</v>
      </c>
      <c r="DQ87" s="227" t="s">
        <v>66</v>
      </c>
      <c r="DR87" s="48" t="s">
        <v>55</v>
      </c>
      <c r="DS87" s="48" t="s">
        <v>312</v>
      </c>
      <c r="DT87" s="48" t="s">
        <v>275</v>
      </c>
      <c r="DU87" s="48" t="s">
        <v>6</v>
      </c>
      <c r="DV87" s="48" t="s">
        <v>270</v>
      </c>
      <c r="DW87" s="48">
        <f ca="1">IF(DR87&lt;&gt;"",MAX($DW$2:DW86)+1,0)</f>
        <v>45</v>
      </c>
      <c r="DX87" s="48" t="str">
        <f t="shared" ca="1" si="217"/>
        <v>pac2</v>
      </c>
      <c r="DY87" s="48" t="str">
        <f t="shared" ca="1" si="147"/>
        <v/>
      </c>
      <c r="DZ87" s="48" t="str">
        <f t="shared" ca="1" si="170"/>
        <v/>
      </c>
      <c r="EA87" s="48" t="str">
        <f t="shared" ca="1" si="171"/>
        <v/>
      </c>
      <c r="EB87" s="48">
        <f t="shared" ca="1" si="172"/>
        <v>0</v>
      </c>
      <c r="EC87" s="48">
        <f t="shared" ca="1" si="173"/>
        <v>0</v>
      </c>
      <c r="ED87" s="48" t="str">
        <f t="shared" ca="1" si="174"/>
        <v/>
      </c>
      <c r="EE87" s="48">
        <f t="shared" ca="1" si="175"/>
        <v>0</v>
      </c>
      <c r="EF87" s="48" t="str">
        <f t="shared" ca="1" si="176"/>
        <v/>
      </c>
      <c r="EG87" s="48">
        <f t="shared" ca="1" si="177"/>
        <v>0</v>
      </c>
      <c r="EH87" s="48" t="str">
        <f t="shared" ca="1" si="178"/>
        <v/>
      </c>
      <c r="EI87" s="48">
        <f t="shared" ca="1" si="179"/>
        <v>0</v>
      </c>
      <c r="EJ87" s="48" t="str">
        <f t="shared" ca="1" si="180"/>
        <v/>
      </c>
      <c r="EK87" s="48">
        <f t="shared" ca="1" si="181"/>
        <v>0</v>
      </c>
      <c r="EL87" s="48">
        <f t="shared" ca="1" si="148"/>
        <v>0</v>
      </c>
      <c r="EM87" s="48">
        <f ca="1">IF(EL87&gt;=0,0,MAX($EM$2:EM86)+1)</f>
        <v>0</v>
      </c>
      <c r="EN87" s="48" t="str">
        <f t="shared" ca="1" si="182"/>
        <v/>
      </c>
      <c r="EO87" s="48" t="str">
        <f ca="1">IFERROR(INDEX($EM$3:$EN$400,MATCH(ROWS($EO$3:EO87),$EM$3:$EM$400,0),2),"")</f>
        <v/>
      </c>
      <c r="EP87" s="48">
        <f>ROW()</f>
        <v>87</v>
      </c>
      <c r="EQ87" s="48">
        <f t="shared" ca="1" si="149"/>
        <v>0</v>
      </c>
      <c r="ER87" s="48">
        <f ca="1">IF(ISNA(EQ87)=TRUE,MAX($ER$2:ER86)+1,0)</f>
        <v>0</v>
      </c>
      <c r="ES87" s="48" t="str">
        <f t="shared" ca="1" si="183"/>
        <v/>
      </c>
      <c r="ET87" s="48" t="str">
        <f ca="1">IFERROR(INDEX($ER$3:$ES$400,MATCH(ROWS($ET$3:ET87),$ER$3:$ER$400,0),2),"")</f>
        <v/>
      </c>
      <c r="EV87" s="48">
        <f ca="1">IFERROR(INDEX(LIBRO_GIORNALE!$O$11:$P$408,MATCH(ROWS($EV$2:EV86),LIBRO_GIORNALE!$P$11:$P$408,0),1),0)</f>
        <v>0</v>
      </c>
      <c r="EW87" s="48" t="str">
        <f t="shared" ca="1" si="184"/>
        <v>0</v>
      </c>
      <c r="EX87" s="48">
        <f t="shared" ca="1" si="185"/>
        <v>0</v>
      </c>
      <c r="EY87" s="48">
        <f ca="1">IF(EX87&gt;0,MAX($EY$2:EY86)+1,0)</f>
        <v>0</v>
      </c>
      <c r="EZ87" s="48">
        <f ca="1">IFERROR(INDEX($EX$3:$EX$400,MATCH(ROWS($EZ$3:EZ87),$EY$3:$EY$400,0),1),0)</f>
        <v>0</v>
      </c>
      <c r="FA87" s="48">
        <f ca="1">IF(EZ87&gt;0,0,MAX($FA$2:FA86)+1)</f>
        <v>85</v>
      </c>
      <c r="FB87" s="48">
        <f t="shared" ca="1" si="186"/>
        <v>0</v>
      </c>
      <c r="FC87" s="48">
        <f t="shared" ca="1" si="187"/>
        <v>85</v>
      </c>
      <c r="FD87" s="48">
        <f t="shared" ca="1" si="188"/>
        <v>85</v>
      </c>
      <c r="FE87" s="48">
        <f ca="1">IF(FD87=0,0,MAX($FE$2:FE86)+1)</f>
        <v>85</v>
      </c>
      <c r="FF87" s="48">
        <f ca="1">IFERROR(INDEX($FD$3:$FE$400,MATCH(ROWS($FF$3:FF87),$FE$3:$FE$400,0),1),"")</f>
        <v>85</v>
      </c>
      <c r="FH87" s="48">
        <f t="shared" ca="1" si="189"/>
        <v>0</v>
      </c>
      <c r="FI87" s="48">
        <f ca="1">IF(FH87&lt;&gt;0,MAX($FI$2:FI86)+1,0)</f>
        <v>0</v>
      </c>
      <c r="FJ87" s="48" t="str">
        <f ca="1">IFERROR(INDEX($FH$3:$FI$400,MATCH(ROWS($FJ$3:FJ87),$FI$3:$FI$400,0),1),"")</f>
        <v/>
      </c>
      <c r="FK87" s="48">
        <f ca="1">IF(ABS(SUMIFS(DARE,DEN_G,"="&amp;FJ87,DATA,"&lt;="&amp;FINE_AC,DATA,"&gt;="&amp;INIZIO_A_PC)-SUMIFS(AVERE,DEN_G,"="&amp;FJ87,DATA,"&lt;="&amp;FINE_AC,DATA,"&gt;="&amp;INIZIO_A_PC))&gt;0,MAX($FK$2:FK86)+1,0)</f>
        <v>0</v>
      </c>
      <c r="FL87" s="48" t="str">
        <f ca="1">IF(AND(ROW()-2&lt;&gt;1,ROW()-2&lt;=$FK$1),CONCATENATE(" - ",IFERROR(INDEX($FJ$3:$FK$400,MATCH(ROWS($FL$3:FL87),$FK$3:$FK$400,0),1),"")),IFERROR(INDEX($FJ$3:$FK$400,MATCH(ROWS($FL$3:FL87),$FK$3:$FK$400,0),1),""))</f>
        <v/>
      </c>
      <c r="FM87" s="48">
        <f ca="1">IF(OR(B87="IVA ns/credito",B87="IVA NS/DEBITO",B87="IVA C/ACCONTO",B87="IMPOSTE C/ACCONTO",B87="CREDITI PER RITENUTE SUBITE",B87="CREDITI D'IMPOSTA"),MAX($FM$2:FM86)+1,0)</f>
        <v>0</v>
      </c>
      <c r="FN87" s="48" t="str">
        <f t="shared" ca="1" si="190"/>
        <v/>
      </c>
      <c r="FO87" s="48" t="str">
        <f ca="1">IFERROR(INDEX($FM$3:$FN$400,MATCH(ROWS($FO$3:FO87),$FM$3:$FM$400,0),2),"")</f>
        <v/>
      </c>
      <c r="FP87" s="48">
        <f ca="1">IF(ABS(SUMIFS(DARE,DEN_G,"="&amp;FO87,DATA,"&lt;="&amp;FINE_AC,DATA,"&gt;="&amp;INIZIO_A_PC)-SUMIFS(AVERE,DEN_G,"="&amp;FO87,DATA,"&lt;="&amp;FINE_AC,DATA,"&gt;="&amp;INIZIO_A_PC))&gt;0,MAX($FP$2:FP86)+1,0)</f>
        <v>0</v>
      </c>
      <c r="FQ87" s="48" t="str">
        <f ca="1">IF(AND(ROW()-2&lt;&gt;1,ROW()-2&lt;=$FP$1),CONCATENATE(" - ",IFERROR(INDEX($FO$3:$FP$400,MATCH(ROWS($FQ$3:FQ87),$FP$3:$FP$400,0),1),"")),IFERROR(INDEX($FO$3:$FP$400,MATCH(ROWS($FQ$3:FQ87),$FP$3:$FP$400,0),1),""))</f>
        <v/>
      </c>
    </row>
    <row r="88" spans="1:173" x14ac:dyDescent="0.3">
      <c r="A88" s="48" t="str">
        <f ca="1">IFERROR(IF($A$1=2,INDEX($DH$3:$DN$401,MATCH(ROWS(A$3:A88),$DN$3:$DN$401,0),COLUMN()),IF($A$1=1,INDEX($DQ$3:$DW$401,MATCH(ROWS(A$3:A88),$DW$3:$DW$401,0),COLUMN()),"")),"")</f>
        <v>06.17</v>
      </c>
      <c r="B88" s="48" t="str">
        <f ca="1">IFERROR(IF($A$1=2,INDEX($DH$3:$DN$401,MATCH(ROWS(B$3:B88),$DN$3:$DN$401,0),COLUMN()),IF($A$1=1,INDEX($DQ$3:$DW$400,MATCH(ROWS(B$3:B88),$DW$3:$DW$401,0),COLUMN()),"")),"")</f>
        <v>CREDITI V/CONTROLLANTE</v>
      </c>
      <c r="C88" s="48" t="str">
        <f ca="1">IFERROR(IF($A$1=2,INDEX($DH$3:$DN$401,MATCH(ROWS(C$3:C88),$DN$3:$DN$401,0),COLUMN()),IF($A$1=1,INDEX($DQ$3:$DW$401,MATCH(ROWS(C$3:C88),$DW$3:$DW$401,0),COLUMN()),"")),"")</f>
        <v>F</v>
      </c>
      <c r="D88" s="48" t="str">
        <f ca="1">IFERROR(IF($A$1=2,INDEX($DH$3:$DN$401,MATCH(ROWS(D$3:D88),$DN$3:$DN$401,0),COLUMN()),IF($A$1=1,INDEX($DQ$3:$DW$401,MATCH(ROWS(D$3:D88),$DW$3:$DW$401,0),COLUMN()),"")),"")</f>
        <v>D</v>
      </c>
      <c r="E88" s="48" t="str">
        <f ca="1">IFERROR(IF($A$1=2,INDEX($DH$3:$DN$401,MATCH(ROWS(E$3:E88),$DN$3:$DN$401,0),COLUMN()),IF($A$1=1,INDEX($DQ$3:$DW$401,MATCH(ROWS(E$3:E88),$DW$3:$DW$401,0),COLUMN()),"")),"")</f>
        <v>CREDITI</v>
      </c>
      <c r="F88" s="48" t="str">
        <f ca="1">IFERROR(IF($A$1=2,INDEX($DH$3:$DN$401,MATCH(ROWS(F$3:F88),$DN$3:$DN$401,0),COLUMN()),IF($A$1=1,INDEX($DQ$3:$DX$401,MATCH(ROWS(F$3:F88),$DW$3:$DW$401,0),COLUMN()),"")),"")</f>
        <v>SP DARE</v>
      </c>
      <c r="G88" s="48" t="str">
        <f t="shared" ca="1" si="150"/>
        <v>SP</v>
      </c>
      <c r="H88" s="48" t="str">
        <f ca="1">IFERROR(IF($A$1=2,INDEX($DH$3:$DO$400,MATCH(ROWS(H$3:H88),$DN$3:$DN$400,0),COLUMN()),IF($A$1=1,INDEX($DQ$3:$DX$400,MATCH(ROWS(H$3:H88),$DW$3:$DW$400,0),COLUMN()),"")),"")</f>
        <v>pac2</v>
      </c>
      <c r="I88" s="48" t="str">
        <f t="shared" ca="1" si="151"/>
        <v/>
      </c>
      <c r="J88" s="48" t="str">
        <f t="shared" ca="1" si="152"/>
        <v/>
      </c>
      <c r="K88" s="48">
        <f t="shared" ca="1" si="153"/>
        <v>0</v>
      </c>
      <c r="L88" s="48">
        <f t="shared" ca="1" si="154"/>
        <v>0</v>
      </c>
      <c r="M88" s="48">
        <f ca="1">IFERROR(IF(IF(MID($A88,3,3)=".00",MID(A88,1,2),"")&lt;&gt;"",MAX($M$2:M87)+1,0),"")</f>
        <v>0</v>
      </c>
      <c r="N88" s="48" t="str">
        <f t="shared" ca="1" si="155"/>
        <v/>
      </c>
      <c r="O88" s="48" t="str">
        <f ca="1">IF(IFERROR(INDEX($N$3:$O$300,MATCH(ROWS($O$3:O88),$M$3:$M$300,0),1),"")&lt;&gt;"",CONCATENATE(INDEX($N$3:$O$300,MATCH(ROWS($O$3:O88),$M$3:$M$300,0),1),".00"),"")</f>
        <v/>
      </c>
      <c r="P88" s="48" t="str">
        <f t="shared" ca="1" si="156"/>
        <v/>
      </c>
      <c r="Q88" s="48">
        <f ca="1">IF(M88&gt;=1,0,MAX($Q$2:Q87)+1)</f>
        <v>79</v>
      </c>
      <c r="U88" s="48" t="str">
        <f ca="1">IFERROR(INDEX(PDC,MATCH(ROWS(U$3:U88),$V$3:$V$400,0),2),"")</f>
        <v>BANCA X C/VINCOLATO</v>
      </c>
      <c r="V88" s="48">
        <f ca="1">IF(AND($T$1="VISUALIZZA TUTTI I CONTI",AA88&lt;&gt;""),MAX($V$2:V87)+1,IF(AND($U$2=2,AI88=$T$1),MAX($V$2:V87)+1,IF(AND($U$2=1,$T$1=AF88),MAX($V$2:V87)+1,0)))</f>
        <v>86</v>
      </c>
      <c r="Z88" s="246"/>
      <c r="AA88" s="48" t="str">
        <f t="shared" ca="1" si="157"/>
        <v>08.00</v>
      </c>
      <c r="AB88" s="48" t="str">
        <f ca="1">IFERROR(INDEX($A$3:$G$400,MATCH(ROWS(AB$3:AB88),$Q$3:$Q$400,0),1),"")</f>
        <v>08.02</v>
      </c>
      <c r="AC88" s="48" t="str">
        <f ca="1">IFERROR(INDEX($A$3:$G$400,MATCH(ROWS($AC$3:AC88),$Q$3:$Q$400,0),2),"")</f>
        <v>BANCA X C/VINCOLATO</v>
      </c>
      <c r="AD88" s="48" t="str">
        <f ca="1">IFERROR(INDEX($A$3:$G$400,MATCH(ROWS(AD$3:AD88),$Q$3:$Q$400,0),3),"")</f>
        <v>F</v>
      </c>
      <c r="AE88" s="48" t="str">
        <f ca="1">IFERROR(INDEX($A$3:$G$400,MATCH(ROWS(AE$3:AE88),$Q$3:$Q$400,0),4),"")</f>
        <v>D</v>
      </c>
      <c r="AF88" s="48" t="str">
        <f ca="1">IFERROR(INDEX($A$3:$G$400,MATCH(ROWS(AF$3:AF88),$Q$3:$Q$400,0),5),"")</f>
        <v>DISPONIBILITÀ LIQUIDE</v>
      </c>
      <c r="AG88" s="48" t="str">
        <f ca="1">IFERROR(INDEX($A$3:$G$400,MATCH(ROWS(AG$3:AG88),$Q$3:$Q$400,0),6),"")</f>
        <v>SP DARE</v>
      </c>
      <c r="AH88" s="48" t="str">
        <f ca="1">IFERROR(INDEX($A$3:$G$400,MATCH(ROWS(AH$3:AH88),$Q$3:$Q$400,0),7),"")</f>
        <v>SP</v>
      </c>
      <c r="AI88" s="48" t="str">
        <f t="shared" ca="1" si="158"/>
        <v>DISPONIBILITÀ LIQUIDE</v>
      </c>
      <c r="AJ88" s="48" t="str">
        <f ca="1">IFERROR(INDEX($A$3:$H$400,MATCH(ROWS(AJ$3:AJ88),$Q$3:$Q$400,0),8),"")</f>
        <v>pac4</v>
      </c>
      <c r="AK88" s="48">
        <f t="shared" ca="1" si="130"/>
        <v>0</v>
      </c>
      <c r="AL88" s="48">
        <f t="shared" ca="1" si="131"/>
        <v>0</v>
      </c>
      <c r="AM88" s="48">
        <f t="shared" ca="1" si="159"/>
        <v>0</v>
      </c>
      <c r="AN88" s="48" t="str">
        <f t="shared" ca="1" si="160"/>
        <v/>
      </c>
      <c r="AO88" s="48">
        <f t="shared" ca="1" si="161"/>
        <v>0</v>
      </c>
      <c r="AP88" s="48">
        <f t="shared" ca="1" si="161"/>
        <v>0</v>
      </c>
      <c r="AQ88" s="48" t="str">
        <f t="shared" ca="1" si="132"/>
        <v>BANCA X C/VINCOLATO</v>
      </c>
      <c r="AR88" s="48">
        <f t="shared" ca="1" si="133"/>
        <v>0</v>
      </c>
      <c r="AS88" s="48">
        <f t="shared" ca="1" si="134"/>
        <v>0</v>
      </c>
      <c r="AT88" s="48">
        <f t="shared" ca="1" si="162"/>
        <v>0</v>
      </c>
      <c r="AU88" s="48">
        <f t="shared" ca="1" si="163"/>
        <v>0</v>
      </c>
      <c r="AV88" s="48">
        <f ca="1">IF(OR(AT88&gt;0,AU88&gt;0),MAX($AV$2:AV87)+1,0)</f>
        <v>0</v>
      </c>
      <c r="AZ88" s="241" t="str">
        <f t="shared" ca="1" si="164"/>
        <v/>
      </c>
      <c r="BA88" s="48">
        <f t="shared" ca="1" si="135"/>
        <v>0</v>
      </c>
      <c r="BB88" s="48">
        <f ca="1">IFERROR(INDEX($AQ$3:$AV$220,MATCH(ROWS($BB$3:BB88),$AV$3:$AV$220,0),1),0)</f>
        <v>0</v>
      </c>
      <c r="BC88" s="48" t="str">
        <f t="shared" ca="1" si="165"/>
        <v/>
      </c>
      <c r="BD88" s="48">
        <f ca="1">IFERROR(INDEX($AQ$3:$AV$220,MATCH(ROWS($BB$3:BD88),$AV$3:$AV$220,0),4),0)</f>
        <v>0</v>
      </c>
      <c r="BE88" s="48">
        <f ca="1">IFERROR(INDEX($AQ$3:$AV$220,MATCH(ROWS($BB$3:BE88),$AV$3:$AV$220,0),5),0)</f>
        <v>0</v>
      </c>
      <c r="BG88" s="48">
        <f ca="1">IF(IF(AND(OR(INDEX(PDC,MATCH($AC88,DEN_PDC,0),6)="SP DARE",INDEX(PDC,MATCH($AC88,DEN_PDC,0),6)="SP DARE/AVERE"),SUMIFS(DARE,DEN_G,$AC88)&gt;=SUMIFS(AVERE,DEN_G,$AC88)),SUMIFS(DARE,DEN_G,$AC88)-SUMIFS(AVERE,DEN_G,$AC88),0)&gt;0,MAX($BG$2:BG87)+1,0)</f>
        <v>0</v>
      </c>
      <c r="BH88" s="48">
        <f ca="1">IF(IF(AND(OR(INDEX(PDC,MATCH($AC88,DEN_PDC,0),6)="SP AVERE",INDEX(PDC,MATCH($AC88,DEN_PDC,0),6)="SP DARE/AVERE"),SUMIFS(AVERE,DEN_G,$AC88)&gt;=SUMIFS(DARE,DEN_G,$AC88)),SUMIFS(AVERE,DEN_G,$AC88)-SUMIFS(DARE,DEN_G,$AC88),0)&gt;0,MAX(BH$2:BH87)+1,0)</f>
        <v>0</v>
      </c>
      <c r="BI88" s="48">
        <f ca="1">IF(IF(AND(OR(INDEX(PDC,MATCH($AC88,DEN_PDC,0),6)="SE DARE",INDEX(PDC,MATCH($AC88,DEN_PDC,0),6)="SE DARE/AVERE"),SUMIFS(DARE,DEN_G,$AC88)&gt;=SUMIFS(AVERE,DEN_G,$AC88)),SUMIFS(DARE,DEN_G,$AC88)-SUMIFS(AVERE,DEN_G,$AC88),0)&gt;0,MAX(BI$2:BI87)+1,0)</f>
        <v>0</v>
      </c>
      <c r="BJ88" s="48">
        <f ca="1">IF(IF(AND(OR(INDEX(PDC,MATCH($AC88,DEN_PDC,0),6)="SE AVERE",INDEX(PDC,MATCH($AC88,DEN_PDC,0),6)="SE DARE/AVERE"),SUMIFS(AVERE,DEN_G,$AC88)&gt;=SUMIFS(DARE,DEN_G,$AC88)),SUMIFS(AVERE,DEN_G,$AC88)-SUMIFS(DARE,DEN_G,$AC88),0)&gt;0,MAX(BJ$2:BJ87)+1,0)</f>
        <v>0</v>
      </c>
      <c r="BK88" s="48" t="str">
        <f ca="1">IF(AND(AND($DY$2=0,$DY$1=0),$I$1=2,ROW()&gt;$BG$1+2,ROW()&lt;=$BG$1+4),"………………..",IF(AND(OR($DY$2&gt;0,$DY$1&gt;0),$I$1=2,ROW()&gt;$BG$1+2,ROW()&lt;=$BG$1+4),"………………..",IFERROR(INDEX($AC$3:$AC$398,MATCH(ROWS(BK$3:BK88),BG$3:BG$398,0),1),"")))</f>
        <v/>
      </c>
      <c r="BL88" s="48">
        <f t="shared" ca="1" si="136"/>
        <v>0</v>
      </c>
      <c r="BM88" s="48" t="str">
        <f ca="1">IF(AND(OR($DY$2=0,$DY$1=0),$I$1=2,ROW()&gt;$BH$1+2,ROW()&lt;=$BH$1+4),"………………..",IF(AND(OR($DY$2&gt;0,$DY$1&gt;0),$I$1=2,ROW()&gt;$BH$1+2,ROW()&lt;=$BH$1+4),"………………..",IFERROR(INDEX($AC$3:$AC$400,MATCH(ROWS(BM$3:BM88),BH$3:BH$400,0),1),"")))</f>
        <v/>
      </c>
      <c r="BN88" s="48">
        <f t="shared" ca="1" si="137"/>
        <v>0</v>
      </c>
      <c r="BO88" s="48" t="str">
        <f ca="1">IF(AND(OR($DY$2=0,$DY$1=0),$I$1=2,ROW()&gt;$BI$1+2,ROW()&lt;=$BI$1+4),"………………..",IF(AND(OR($DY$2&gt;0,$DY$1&gt;0),$I$1=2,ROW()&gt;$BI$1+2,ROW()&lt;=$BI$1+4),"………………..",IFERROR(INDEX($AC$3:$AC$400,MATCH(ROWS(BO$3:BO88),BI$3:BI$400,0),1),"")))</f>
        <v/>
      </c>
      <c r="BP88" s="48">
        <f t="shared" ca="1" si="138"/>
        <v>0</v>
      </c>
      <c r="BQ88" s="48" t="str">
        <f ca="1">IF(AND(OR($DY$2=0,$DY$1=0),$I$1=2,ROW()&gt;$BJ$1+2,ROW()&lt;=$BJ$1+4),"………………..",IF(AND(OR($DY$2&gt;0,$DY$1&gt;0),$I$1=2,ROW()&gt;$BJ$1+2,ROW()&lt;=$BJ$1+4),"………………..",IFERROR(INDEX($AC$3:$AC$400,MATCH(ROWS(BQ$3:BQ88),BJ$3:BJ$400,0),1),"")))</f>
        <v/>
      </c>
      <c r="BR88" s="48">
        <f t="shared" ca="1" si="139"/>
        <v>0</v>
      </c>
      <c r="BS88" s="48">
        <f ca="1">IF(IF(AND(OR(INDEX(PDC,MATCH($AC88,DEN_PDC,0),4)="D",INDEX(PDC,MATCH($AC88,DEN_PDC,0),4)="D/A"),SUMIFS(DARE,DEN_G,$AC88)&gt;=SUMIFS(AVERE,DEN_G,$AC88)),SUMIFS(DARE,DEN_G,$AC88),IF(AND(OR(INDEX(PDC,MATCH($AC88,DEN_PDC,0),4)="A",INDEX(PDC,MATCH($AC88,DEN_PDC,0),4)="D/A"),SUMIFS(AVERE,DEN_G,$AC88)&gt;=SUMIFS(DARE,DEN_G,$AC88)),SUMIFS(AVERE,DEN_G,$AC88),))&gt;0,MAX($BS$2:BS87)+1,0)</f>
        <v>0</v>
      </c>
      <c r="BT88" s="48" t="str">
        <f ca="1">IF($CO$1=0,"",IF(AND($I$1=2,ROW()&gt;$BR$1,ROW()&lt;=$BS$1)," …………….",IF(AND($E$1=1,$BX$1=1,$I$1=2,ROW()=$BQ$1),"TOTALI",IFERROR(INDEX(PDC,MATCH(ROWS(BT$3:BT88),BS$3:BS485,0),2),""))))</f>
        <v/>
      </c>
      <c r="BU88" s="48">
        <f t="shared" ca="1" si="140"/>
        <v>0</v>
      </c>
      <c r="BV88" s="48">
        <f t="shared" ca="1" si="141"/>
        <v>0</v>
      </c>
      <c r="BW88" s="48">
        <f t="shared" ca="1" si="142"/>
        <v>0</v>
      </c>
      <c r="BX88" s="48">
        <f t="shared" ca="1" si="143"/>
        <v>0</v>
      </c>
      <c r="BY88" s="48">
        <f ca="1">IF(OR(BW88&gt;0,BX88&gt;0),MAX($BY$2:BY87)+1,0)</f>
        <v>0</v>
      </c>
      <c r="BZ88" s="48" t="str">
        <f ca="1">IFERROR(INDEX($BT$3:$BY$400,MATCH(ROWS(BZ$3:BZ88),$BY$3:$BY$400,0),1),"")</f>
        <v/>
      </c>
      <c r="CA88" s="48" t="str">
        <f ca="1">IFERROR(INDEX($BT$3:$BY$400,MATCH(ROWS(CA$3:CA88),$BY$3:$BY$400,0),4),"")</f>
        <v/>
      </c>
      <c r="CB88" s="48" t="str">
        <f ca="1">IFERROR(INDEX($BT$3:$BY$400,MATCH(ROWS(CB$3:CB88),$BY$3:$BY$400,0),5),"")</f>
        <v/>
      </c>
      <c r="CC88" s="48" t="str">
        <f t="shared" ca="1" si="144"/>
        <v/>
      </c>
      <c r="CD88" s="48">
        <f ca="1">IF(AND($BF$9=2,CE88&gt;0),MAX($CD$87:CD87)+1,0)</f>
        <v>0</v>
      </c>
      <c r="CE88" s="48">
        <f ca="1">IF(ROUND(SUMIFS(COPIA!$CA$3:$CA$400,COPIA!$CC$3:$CC$400,CF88)-SUMIFS(COPIA!$CB$3:$CB$400,COPIA!$CC$3:$CC$400,CF88),0)&lt;0,0,ROUND(SUMIFS(COPIA!$CA$3:$CA$400,COPIA!$CC$3:$CC$400,CF88)-SUMIFS(COPIA!$CB$3:$CB$400,COPIA!$CC$3:$CC$400,CF88),0))</f>
        <v>0</v>
      </c>
      <c r="CF88" s="48" t="str">
        <f>CF3</f>
        <v>paa</v>
      </c>
      <c r="CG88" s="48" t="str">
        <f>CG3</f>
        <v>A)_Crediti verso soci</v>
      </c>
      <c r="CH88" s="242">
        <f t="shared" ca="1" si="112"/>
        <v>0</v>
      </c>
      <c r="CJ88" s="242"/>
      <c r="CM88" s="242" t="str">
        <f t="shared" ca="1" si="166"/>
        <v/>
      </c>
      <c r="CN88" s="243">
        <f t="shared" ca="1" si="167"/>
        <v>0</v>
      </c>
      <c r="CO88" s="48" t="str">
        <f t="shared" ca="1" si="168"/>
        <v/>
      </c>
      <c r="CQ88" s="247">
        <f t="shared" ca="1" si="221"/>
        <v>46753</v>
      </c>
      <c r="CR88" s="247">
        <f t="shared" ca="1" si="221"/>
        <v>47118</v>
      </c>
      <c r="CS88" s="48">
        <f t="shared" ca="1" si="219"/>
        <v>0</v>
      </c>
      <c r="CT88" s="48">
        <f t="shared" ca="1" si="220"/>
        <v>0</v>
      </c>
      <c r="CU88" s="48">
        <f ca="1">IF(SUMIFS(AVERE,DEN_G,AC88,AVERE,"&gt;"&amp;0)+SUMIFS(DARE,DEN_G,AC88,DARE,"&gt;"&amp;0)&gt;0,MAX($CU$2:CU87)+1,0)</f>
        <v>0</v>
      </c>
      <c r="CV88" s="48" t="str">
        <f ca="1">IF(IFERROR(INDEX(PDC,MATCH(ROWS($CV$3:CV88),$CU$3:$CU$400,0),2),"")="CONTO DI RISULTATO ECONOMICO","",IFERROR(INDEX(PDC,MATCH(ROWS($CV$3:CV88),$CU$3:$CU$400,0),2),""))</f>
        <v/>
      </c>
      <c r="CW88" s="48">
        <f ca="1">IFERROR(IF(CV88&lt;&gt;"",MAX($CW$2:CW87)+1,0),0)</f>
        <v>0</v>
      </c>
      <c r="CX88" s="48">
        <f t="shared" ca="1" si="209"/>
        <v>7</v>
      </c>
      <c r="CY88" s="48" t="str">
        <f t="shared" ca="1" si="208"/>
        <v>MASTRO</v>
      </c>
      <c r="CZ88" s="48" t="e">
        <f t="shared" ca="1" si="211"/>
        <v>#N/A</v>
      </c>
      <c r="DA88" s="48" t="str">
        <f t="shared" ca="1" si="216"/>
        <v/>
      </c>
      <c r="DB88" s="48" t="str">
        <f t="shared" ca="1" si="212"/>
        <v/>
      </c>
      <c r="DC88" s="48" t="str">
        <f t="shared" ca="1" si="213"/>
        <v/>
      </c>
      <c r="DD88" s="48" t="str">
        <f t="shared" ca="1" si="214"/>
        <v/>
      </c>
      <c r="DE88" s="48" t="str">
        <f t="shared" ca="1" si="215"/>
        <v/>
      </c>
      <c r="DF88" s="48">
        <f ca="1">IF(AND(CX88=$DF$1,CX88&lt;&gt;""),0,IF(AND(DB88&lt;&gt;"",OR(DB87&lt;&gt;"",DB89&lt;&gt;"")),MAX($DF$2:DF87)+1,0))</f>
        <v>0</v>
      </c>
      <c r="DH88" s="244" t="s">
        <v>71</v>
      </c>
      <c r="DI88" s="48" t="s">
        <v>61</v>
      </c>
      <c r="DJ88" s="48" t="s">
        <v>312</v>
      </c>
      <c r="DK88" s="48" t="s">
        <v>275</v>
      </c>
      <c r="DL88" s="48" t="s">
        <v>6</v>
      </c>
      <c r="DM88" s="48" t="s">
        <v>270</v>
      </c>
      <c r="DN88" s="48">
        <f ca="1">IF(DI88&lt;&gt;"",MAX($DN$2:DN87)+1,0)</f>
        <v>70</v>
      </c>
      <c r="DO88" s="48" t="str">
        <f t="shared" ca="1" si="206"/>
        <v>pac2</v>
      </c>
      <c r="DQ88" s="227" t="s">
        <v>67</v>
      </c>
      <c r="DR88" s="48" t="s">
        <v>56</v>
      </c>
      <c r="DS88" s="48" t="s">
        <v>312</v>
      </c>
      <c r="DT88" s="48" t="s">
        <v>275</v>
      </c>
      <c r="DU88" s="48" t="s">
        <v>6</v>
      </c>
      <c r="DV88" s="48" t="s">
        <v>270</v>
      </c>
      <c r="DW88" s="48">
        <f ca="1">IF(DR88&lt;&gt;"",MAX($DW$2:DW87)+1,0)</f>
        <v>46</v>
      </c>
      <c r="DX88" s="48" t="str">
        <f t="shared" ca="1" si="217"/>
        <v>pac2</v>
      </c>
      <c r="DY88" s="48" t="str">
        <f t="shared" ca="1" si="147"/>
        <v/>
      </c>
      <c r="DZ88" s="48" t="str">
        <f t="shared" ca="1" si="170"/>
        <v/>
      </c>
      <c r="EA88" s="48" t="str">
        <f t="shared" ca="1" si="171"/>
        <v/>
      </c>
      <c r="EB88" s="48">
        <f t="shared" ca="1" si="172"/>
        <v>0</v>
      </c>
      <c r="EC88" s="48">
        <f t="shared" ca="1" si="173"/>
        <v>0</v>
      </c>
      <c r="ED88" s="48" t="str">
        <f t="shared" ca="1" si="174"/>
        <v/>
      </c>
      <c r="EE88" s="48">
        <f t="shared" ca="1" si="175"/>
        <v>0</v>
      </c>
      <c r="EF88" s="48" t="str">
        <f t="shared" ca="1" si="176"/>
        <v/>
      </c>
      <c r="EG88" s="48">
        <f t="shared" ca="1" si="177"/>
        <v>0</v>
      </c>
      <c r="EH88" s="48" t="str">
        <f t="shared" ca="1" si="178"/>
        <v/>
      </c>
      <c r="EI88" s="48">
        <f t="shared" ca="1" si="179"/>
        <v>0</v>
      </c>
      <c r="EJ88" s="48" t="str">
        <f t="shared" ca="1" si="180"/>
        <v/>
      </c>
      <c r="EK88" s="48">
        <f t="shared" ca="1" si="181"/>
        <v>0</v>
      </c>
      <c r="EL88" s="48">
        <f t="shared" ca="1" si="148"/>
        <v>0</v>
      </c>
      <c r="EM88" s="48">
        <f ca="1">IF(EL88&gt;=0,0,MAX($EM$2:EM87)+1)</f>
        <v>0</v>
      </c>
      <c r="EN88" s="48" t="str">
        <f t="shared" ca="1" si="182"/>
        <v/>
      </c>
      <c r="EO88" s="48" t="str">
        <f ca="1">IFERROR(INDEX($EM$3:$EN$400,MATCH(ROWS($EO$3:EO88),$EM$3:$EM$400,0),2),"")</f>
        <v/>
      </c>
      <c r="EP88" s="48">
        <f>ROW()</f>
        <v>88</v>
      </c>
      <c r="EQ88" s="48">
        <f t="shared" ca="1" si="149"/>
        <v>0</v>
      </c>
      <c r="ER88" s="48">
        <f ca="1">IF(ISNA(EQ88)=TRUE,MAX($ER$2:ER87)+1,0)</f>
        <v>0</v>
      </c>
      <c r="ES88" s="48" t="str">
        <f t="shared" ca="1" si="183"/>
        <v/>
      </c>
      <c r="ET88" s="48" t="str">
        <f ca="1">IFERROR(INDEX($ER$3:$ES$400,MATCH(ROWS($ET$3:ET88),$ER$3:$ER$400,0),2),"")</f>
        <v/>
      </c>
      <c r="EV88" s="48">
        <f ca="1">IFERROR(INDEX(LIBRO_GIORNALE!$O$11:$P$408,MATCH(ROWS($EV$2:EV87),LIBRO_GIORNALE!$P$11:$P$408,0),1),0)</f>
        <v>0</v>
      </c>
      <c r="EW88" s="48" t="str">
        <f t="shared" ca="1" si="184"/>
        <v>0</v>
      </c>
      <c r="EX88" s="48">
        <f t="shared" ca="1" si="185"/>
        <v>0</v>
      </c>
      <c r="EY88" s="48">
        <f ca="1">IF(EX88&gt;0,MAX($EY$2:EY87)+1,0)</f>
        <v>0</v>
      </c>
      <c r="EZ88" s="48">
        <f ca="1">IFERROR(INDEX($EX$3:$EX$400,MATCH(ROWS($EZ$3:EZ88),$EY$3:$EY$400,0),1),0)</f>
        <v>0</v>
      </c>
      <c r="FA88" s="48">
        <f ca="1">IF(EZ88&gt;0,0,MAX($FA$2:FA87)+1)</f>
        <v>86</v>
      </c>
      <c r="FB88" s="48">
        <f t="shared" ca="1" si="186"/>
        <v>0</v>
      </c>
      <c r="FC88" s="48">
        <f t="shared" ca="1" si="187"/>
        <v>86</v>
      </c>
      <c r="FD88" s="48">
        <f t="shared" ca="1" si="188"/>
        <v>86</v>
      </c>
      <c r="FE88" s="48">
        <f ca="1">IF(FD88=0,0,MAX($FE$2:FE87)+1)</f>
        <v>86</v>
      </c>
      <c r="FF88" s="48">
        <f ca="1">IFERROR(INDEX($FD$3:$FE$400,MATCH(ROWS($FF$3:FF88),$FE$3:$FE$400,0),1),"")</f>
        <v>86</v>
      </c>
      <c r="FH88" s="48">
        <f t="shared" ca="1" si="189"/>
        <v>0</v>
      </c>
      <c r="FI88" s="48">
        <f ca="1">IF(FH88&lt;&gt;0,MAX($FI$2:FI87)+1,0)</f>
        <v>0</v>
      </c>
      <c r="FJ88" s="48" t="str">
        <f ca="1">IFERROR(INDEX($FH$3:$FI$400,MATCH(ROWS($FJ$3:FJ88),$FI$3:$FI$400,0),1),"")</f>
        <v/>
      </c>
      <c r="FK88" s="48">
        <f ca="1">IF(ABS(SUMIFS(DARE,DEN_G,"="&amp;FJ88,DATA,"&lt;="&amp;FINE_AC,DATA,"&gt;="&amp;INIZIO_A_PC)-SUMIFS(AVERE,DEN_G,"="&amp;FJ88,DATA,"&lt;="&amp;FINE_AC,DATA,"&gt;="&amp;INIZIO_A_PC))&gt;0,MAX($FK$2:FK87)+1,0)</f>
        <v>0</v>
      </c>
      <c r="FL88" s="48" t="str">
        <f ca="1">IF(AND(ROW()-2&lt;&gt;1,ROW()-2&lt;=$FK$1),CONCATENATE(" - ",IFERROR(INDEX($FJ$3:$FK$400,MATCH(ROWS($FL$3:FL88),$FK$3:$FK$400,0),1),"")),IFERROR(INDEX($FJ$3:$FK$400,MATCH(ROWS($FL$3:FL88),$FK$3:$FK$400,0),1),""))</f>
        <v/>
      </c>
      <c r="FM88" s="48">
        <f ca="1">IF(OR(B88="IVA ns/credito",B88="IVA NS/DEBITO",B88="IVA C/ACCONTO",B88="IMPOSTE C/ACCONTO",B88="CREDITI PER RITENUTE SUBITE",B88="CREDITI D'IMPOSTA"),MAX($FM$2:FM87)+1,0)</f>
        <v>0</v>
      </c>
      <c r="FN88" s="48" t="str">
        <f t="shared" ca="1" si="190"/>
        <v/>
      </c>
      <c r="FO88" s="48" t="str">
        <f ca="1">IFERROR(INDEX($FM$3:$FN$400,MATCH(ROWS($FO$3:FO88),$FM$3:$FM$400,0),2),"")</f>
        <v/>
      </c>
      <c r="FP88" s="48">
        <f ca="1">IF(ABS(SUMIFS(DARE,DEN_G,"="&amp;FO88,DATA,"&lt;="&amp;FINE_AC,DATA,"&gt;="&amp;INIZIO_A_PC)-SUMIFS(AVERE,DEN_G,"="&amp;FO88,DATA,"&lt;="&amp;FINE_AC,DATA,"&gt;="&amp;INIZIO_A_PC))&gt;0,MAX($FP$2:FP87)+1,0)</f>
        <v>0</v>
      </c>
      <c r="FQ88" s="48" t="str">
        <f ca="1">IF(AND(ROW()-2&lt;&gt;1,ROW()-2&lt;=$FP$1),CONCATENATE(" - ",IFERROR(INDEX($FO$3:$FP$400,MATCH(ROWS($FQ$3:FQ88),$FP$3:$FP$400,0),1),"")),IFERROR(INDEX($FO$3:$FP$400,MATCH(ROWS($FQ$3:FQ88),$FP$3:$FP$400,0),1),""))</f>
        <v/>
      </c>
    </row>
    <row r="89" spans="1:173" x14ac:dyDescent="0.3">
      <c r="A89" s="48" t="str">
        <f ca="1">IFERROR(IF($A$1=2,INDEX($DH$3:$DN$401,MATCH(ROWS(A$3:A89),$DN$3:$DN$401,0),COLUMN()),IF($A$1=1,INDEX($DQ$3:$DW$401,MATCH(ROWS(A$3:A89),$DW$3:$DW$401,0),COLUMN()),"")),"")</f>
        <v>06.20</v>
      </c>
      <c r="B89" s="48" t="str">
        <f ca="1">IFERROR(IF($A$1=2,INDEX($DH$3:$DN$401,MATCH(ROWS(B$3:B89),$DN$3:$DN$401,0),COLUMN()),IF($A$1=1,INDEX($DQ$3:$DW$400,MATCH(ROWS(B$3:B89),$DW$3:$DW$401,0),COLUMN()),"")),"")</f>
        <v>PERSONALE C/ACCONTI</v>
      </c>
      <c r="C89" s="48" t="str">
        <f ca="1">IFERROR(IF($A$1=2,INDEX($DH$3:$DN$401,MATCH(ROWS(C$3:C89),$DN$3:$DN$401,0),COLUMN()),IF($A$1=1,INDEX($DQ$3:$DW$401,MATCH(ROWS(C$3:C89),$DW$3:$DW$401,0),COLUMN()),"")),"")</f>
        <v>F</v>
      </c>
      <c r="D89" s="48" t="str">
        <f ca="1">IFERROR(IF($A$1=2,INDEX($DH$3:$DN$401,MATCH(ROWS(D$3:D89),$DN$3:$DN$401,0),COLUMN()),IF($A$1=1,INDEX($DQ$3:$DW$401,MATCH(ROWS(D$3:D89),$DW$3:$DW$401,0),COLUMN()),"")),"")</f>
        <v>D</v>
      </c>
      <c r="E89" s="48" t="str">
        <f ca="1">IFERROR(IF($A$1=2,INDEX($DH$3:$DN$401,MATCH(ROWS(E$3:E89),$DN$3:$DN$401,0),COLUMN()),IF($A$1=1,INDEX($DQ$3:$DW$401,MATCH(ROWS(E$3:E89),$DW$3:$DW$401,0),COLUMN()),"")),"")</f>
        <v>CREDITI</v>
      </c>
      <c r="F89" s="48" t="str">
        <f ca="1">IFERROR(IF($A$1=2,INDEX($DH$3:$DN$401,MATCH(ROWS(F$3:F89),$DN$3:$DN$401,0),COLUMN()),IF($A$1=1,INDEX($DQ$3:$DX$401,MATCH(ROWS(F$3:F89),$DW$3:$DW$401,0),COLUMN()),"")),"")</f>
        <v>SP DARE</v>
      </c>
      <c r="G89" s="48" t="str">
        <f t="shared" ca="1" si="150"/>
        <v>SP</v>
      </c>
      <c r="H89" s="48" t="str">
        <f ca="1">IFERROR(IF($A$1=2,INDEX($DH$3:$DO$400,MATCH(ROWS(H$3:H89),$DN$3:$DN$400,0),COLUMN()),IF($A$1=1,INDEX($DQ$3:$DX$400,MATCH(ROWS(H$3:H89),$DW$3:$DW$400,0),COLUMN()),"")),"")</f>
        <v>pac2</v>
      </c>
      <c r="I89" s="48" t="str">
        <f t="shared" ca="1" si="151"/>
        <v/>
      </c>
      <c r="J89" s="48" t="str">
        <f t="shared" ca="1" si="152"/>
        <v/>
      </c>
      <c r="K89" s="48">
        <f t="shared" ca="1" si="153"/>
        <v>0</v>
      </c>
      <c r="L89" s="48">
        <f t="shared" ca="1" si="154"/>
        <v>0</v>
      </c>
      <c r="M89" s="48">
        <f ca="1">IFERROR(IF(IF(MID($A89,3,3)=".00",MID(A89,1,2),"")&lt;&gt;"",MAX($M$2:M88)+1,0),"")</f>
        <v>0</v>
      </c>
      <c r="N89" s="48" t="str">
        <f t="shared" ca="1" si="155"/>
        <v/>
      </c>
      <c r="O89" s="48" t="str">
        <f ca="1">IF(IFERROR(INDEX($N$3:$O$300,MATCH(ROWS($O$3:O89),$M$3:$M$300,0),1),"")&lt;&gt;"",CONCATENATE(INDEX($N$3:$O$300,MATCH(ROWS($O$3:O89),$M$3:$M$300,0),1),".00"),"")</f>
        <v/>
      </c>
      <c r="P89" s="48" t="str">
        <f t="shared" ca="1" si="156"/>
        <v/>
      </c>
      <c r="Q89" s="48">
        <f ca="1">IF(M89&gt;=1,0,MAX($Q$2:Q88)+1)</f>
        <v>80</v>
      </c>
      <c r="U89" s="48" t="str">
        <f ca="1">IFERROR(INDEX(PDC,MATCH(ROWS(U$3:U89),$V$3:$V$400,0),2),"")</f>
        <v>C/C POSTALI</v>
      </c>
      <c r="V89" s="48">
        <f ca="1">IF(AND($T$1="VISUALIZZA TUTTI I CONTI",AA89&lt;&gt;""),MAX($V$2:V88)+1,IF(AND($U$2=2,AI89=$T$1),MAX($V$2:V88)+1,IF(AND($U$2=1,$T$1=AF89),MAX($V$2:V88)+1,0)))</f>
        <v>87</v>
      </c>
      <c r="Z89" s="246"/>
      <c r="AA89" s="48" t="str">
        <f t="shared" ca="1" si="157"/>
        <v>08.00</v>
      </c>
      <c r="AB89" s="48" t="str">
        <f ca="1">IFERROR(INDEX($A$3:$G$400,MATCH(ROWS(AB$3:AB89),$Q$3:$Q$400,0),1),"")</f>
        <v>08.03</v>
      </c>
      <c r="AC89" s="48" t="str">
        <f ca="1">IFERROR(INDEX($A$3:$G$400,MATCH(ROWS($AC$3:AC89),$Q$3:$Q$400,0),2),"")</f>
        <v>C/C POSTALI</v>
      </c>
      <c r="AD89" s="48" t="str">
        <f ca="1">IFERROR(INDEX($A$3:$G$400,MATCH(ROWS(AD$3:AD89),$Q$3:$Q$400,0),3),"")</f>
        <v>F</v>
      </c>
      <c r="AE89" s="48" t="str">
        <f ca="1">IFERROR(INDEX($A$3:$G$400,MATCH(ROWS(AE$3:AE89),$Q$3:$Q$400,0),4),"")</f>
        <v>D</v>
      </c>
      <c r="AF89" s="48" t="str">
        <f ca="1">IFERROR(INDEX($A$3:$G$400,MATCH(ROWS(AF$3:AF89),$Q$3:$Q$400,0),5),"")</f>
        <v>DISPONIBILITÀ LIQUIDE</v>
      </c>
      <c r="AG89" s="48" t="str">
        <f ca="1">IFERROR(INDEX($A$3:$G$400,MATCH(ROWS(AG$3:AG89),$Q$3:$Q$400,0),6),"")</f>
        <v>SP DARE</v>
      </c>
      <c r="AH89" s="48" t="str">
        <f ca="1">IFERROR(INDEX($A$3:$G$400,MATCH(ROWS(AH$3:AH89),$Q$3:$Q$400,0),7),"")</f>
        <v>SP</v>
      </c>
      <c r="AI89" s="48" t="str">
        <f t="shared" ca="1" si="158"/>
        <v>DISPONIBILITÀ LIQUIDE</v>
      </c>
      <c r="AJ89" s="48" t="str">
        <f ca="1">IFERROR(INDEX($A$3:$H$400,MATCH(ROWS(AJ$3:AJ89),$Q$3:$Q$400,0),8),"")</f>
        <v>pac4</v>
      </c>
      <c r="AK89" s="48">
        <f t="shared" ca="1" si="130"/>
        <v>0</v>
      </c>
      <c r="AL89" s="48">
        <f t="shared" ca="1" si="131"/>
        <v>0</v>
      </c>
      <c r="AM89" s="48">
        <f t="shared" ca="1" si="159"/>
        <v>0</v>
      </c>
      <c r="AN89" s="48" t="str">
        <f t="shared" ca="1" si="160"/>
        <v/>
      </c>
      <c r="AO89" s="48">
        <f t="shared" ca="1" si="161"/>
        <v>0</v>
      </c>
      <c r="AP89" s="48">
        <f t="shared" ca="1" si="161"/>
        <v>0</v>
      </c>
      <c r="AQ89" s="48" t="str">
        <f t="shared" ca="1" si="132"/>
        <v>C/C POSTALI</v>
      </c>
      <c r="AR89" s="48">
        <f t="shared" ca="1" si="133"/>
        <v>0</v>
      </c>
      <c r="AS89" s="48">
        <f t="shared" ca="1" si="134"/>
        <v>0</v>
      </c>
      <c r="AT89" s="48">
        <f t="shared" ca="1" si="162"/>
        <v>0</v>
      </c>
      <c r="AU89" s="48">
        <f t="shared" ca="1" si="163"/>
        <v>0</v>
      </c>
      <c r="AV89" s="48">
        <f ca="1">IF(OR(AT89&gt;0,AU89&gt;0),MAX($AV$2:AV88)+1,0)</f>
        <v>0</v>
      </c>
      <c r="AZ89" s="241" t="str">
        <f t="shared" ca="1" si="164"/>
        <v/>
      </c>
      <c r="BA89" s="48">
        <f t="shared" ca="1" si="135"/>
        <v>0</v>
      </c>
      <c r="BB89" s="48">
        <f ca="1">IFERROR(INDEX($AQ$3:$AV$220,MATCH(ROWS($BB$3:BB89),$AV$3:$AV$220,0),1),0)</f>
        <v>0</v>
      </c>
      <c r="BC89" s="48" t="str">
        <f t="shared" ca="1" si="165"/>
        <v/>
      </c>
      <c r="BD89" s="48">
        <f ca="1">IFERROR(INDEX($AQ$3:$AV$220,MATCH(ROWS($BB$3:BD89),$AV$3:$AV$220,0),4),0)</f>
        <v>0</v>
      </c>
      <c r="BE89" s="48">
        <f ca="1">IFERROR(INDEX($AQ$3:$AV$220,MATCH(ROWS($BB$3:BE89),$AV$3:$AV$220,0),5),0)</f>
        <v>0</v>
      </c>
      <c r="BG89" s="48">
        <f ca="1">IF(IF(AND(OR(INDEX(PDC,MATCH($AC89,DEN_PDC,0),6)="SP DARE",INDEX(PDC,MATCH($AC89,DEN_PDC,0),6)="SP DARE/AVERE"),SUMIFS(DARE,DEN_G,$AC89)&gt;=SUMIFS(AVERE,DEN_G,$AC89)),SUMIFS(DARE,DEN_G,$AC89)-SUMIFS(AVERE,DEN_G,$AC89),0)&gt;0,MAX($BG$2:BG88)+1,0)</f>
        <v>0</v>
      </c>
      <c r="BH89" s="48">
        <f ca="1">IF(IF(AND(OR(INDEX(PDC,MATCH($AC89,DEN_PDC,0),6)="SP AVERE",INDEX(PDC,MATCH($AC89,DEN_PDC,0),6)="SP DARE/AVERE"),SUMIFS(AVERE,DEN_G,$AC89)&gt;=SUMIFS(DARE,DEN_G,$AC89)),SUMIFS(AVERE,DEN_G,$AC89)-SUMIFS(DARE,DEN_G,$AC89),0)&gt;0,MAX(BH$2:BH88)+1,0)</f>
        <v>0</v>
      </c>
      <c r="BI89" s="48">
        <f ca="1">IF(IF(AND(OR(INDEX(PDC,MATCH($AC89,DEN_PDC,0),6)="SE DARE",INDEX(PDC,MATCH($AC89,DEN_PDC,0),6)="SE DARE/AVERE"),SUMIFS(DARE,DEN_G,$AC89)&gt;=SUMIFS(AVERE,DEN_G,$AC89)),SUMIFS(DARE,DEN_G,$AC89)-SUMIFS(AVERE,DEN_G,$AC89),0)&gt;0,MAX(BI$2:BI88)+1,0)</f>
        <v>0</v>
      </c>
      <c r="BJ89" s="48">
        <f ca="1">IF(IF(AND(OR(INDEX(PDC,MATCH($AC89,DEN_PDC,0),6)="SE AVERE",INDEX(PDC,MATCH($AC89,DEN_PDC,0),6)="SE DARE/AVERE"),SUMIFS(AVERE,DEN_G,$AC89)&gt;=SUMIFS(DARE,DEN_G,$AC89)),SUMIFS(AVERE,DEN_G,$AC89)-SUMIFS(DARE,DEN_G,$AC89),0)&gt;0,MAX(BJ$2:BJ88)+1,0)</f>
        <v>0</v>
      </c>
      <c r="BK89" s="48" t="str">
        <f ca="1">IF(AND(AND($DY$2=0,$DY$1=0),$I$1=2,ROW()&gt;$BG$1+2,ROW()&lt;=$BG$1+4),"………………..",IF(AND(OR($DY$2&gt;0,$DY$1&gt;0),$I$1=2,ROW()&gt;$BG$1+2,ROW()&lt;=$BG$1+4),"………………..",IFERROR(INDEX($AC$3:$AC$398,MATCH(ROWS(BK$3:BK89),BG$3:BG$398,0),1),"")))</f>
        <v/>
      </c>
      <c r="BL89" s="48">
        <f t="shared" ca="1" si="136"/>
        <v>0</v>
      </c>
      <c r="BM89" s="48" t="str">
        <f ca="1">IF(AND(OR($DY$2=0,$DY$1=0),$I$1=2,ROW()&gt;$BH$1+2,ROW()&lt;=$BH$1+4),"………………..",IF(AND(OR($DY$2&gt;0,$DY$1&gt;0),$I$1=2,ROW()&gt;$BH$1+2,ROW()&lt;=$BH$1+4),"………………..",IFERROR(INDEX($AC$3:$AC$400,MATCH(ROWS(BM$3:BM89),BH$3:BH$400,0),1),"")))</f>
        <v/>
      </c>
      <c r="BN89" s="48">
        <f t="shared" ca="1" si="137"/>
        <v>0</v>
      </c>
      <c r="BO89" s="48" t="str">
        <f ca="1">IF(AND(OR($DY$2=0,$DY$1=0),$I$1=2,ROW()&gt;$BI$1+2,ROW()&lt;=$BI$1+4),"………………..",IF(AND(OR($DY$2&gt;0,$DY$1&gt;0),$I$1=2,ROW()&gt;$BI$1+2,ROW()&lt;=$BI$1+4),"………………..",IFERROR(INDEX($AC$3:$AC$400,MATCH(ROWS(BO$3:BO89),BI$3:BI$400,0),1),"")))</f>
        <v/>
      </c>
      <c r="BP89" s="48">
        <f t="shared" ca="1" si="138"/>
        <v>0</v>
      </c>
      <c r="BQ89" s="48" t="str">
        <f ca="1">IF(AND(OR($DY$2=0,$DY$1=0),$I$1=2,ROW()&gt;$BJ$1+2,ROW()&lt;=$BJ$1+4),"………………..",IF(AND(OR($DY$2&gt;0,$DY$1&gt;0),$I$1=2,ROW()&gt;$BJ$1+2,ROW()&lt;=$BJ$1+4),"………………..",IFERROR(INDEX($AC$3:$AC$400,MATCH(ROWS(BQ$3:BQ89),BJ$3:BJ$400,0),1),"")))</f>
        <v/>
      </c>
      <c r="BR89" s="48">
        <f t="shared" ca="1" si="139"/>
        <v>0</v>
      </c>
      <c r="BS89" s="48">
        <f ca="1">IF(IF(AND(OR(INDEX(PDC,MATCH($AC89,DEN_PDC,0),4)="D",INDEX(PDC,MATCH($AC89,DEN_PDC,0),4)="D/A"),SUMIFS(DARE,DEN_G,$AC89)&gt;=SUMIFS(AVERE,DEN_G,$AC89)),SUMIFS(DARE,DEN_G,$AC89),IF(AND(OR(INDEX(PDC,MATCH($AC89,DEN_PDC,0),4)="A",INDEX(PDC,MATCH($AC89,DEN_PDC,0),4)="D/A"),SUMIFS(AVERE,DEN_G,$AC89)&gt;=SUMIFS(DARE,DEN_G,$AC89)),SUMIFS(AVERE,DEN_G,$AC89),))&gt;0,MAX($BS$2:BS88)+1,0)</f>
        <v>0</v>
      </c>
      <c r="BT89" s="48" t="str">
        <f ca="1">IF($CO$1=0,"",IF(AND($I$1=2,ROW()&gt;$BR$1,ROW()&lt;=$BS$1)," …………….",IF(AND($E$1=1,$BX$1=1,$I$1=2,ROW()=$BQ$1),"TOTALI",IFERROR(INDEX(PDC,MATCH(ROWS(BT$3:BT89),BS$3:BS486,0),2),""))))</f>
        <v/>
      </c>
      <c r="BU89" s="48">
        <f t="shared" ca="1" si="140"/>
        <v>0</v>
      </c>
      <c r="BV89" s="48">
        <f t="shared" ca="1" si="141"/>
        <v>0</v>
      </c>
      <c r="BW89" s="48">
        <f t="shared" ca="1" si="142"/>
        <v>0</v>
      </c>
      <c r="BX89" s="48">
        <f t="shared" ca="1" si="143"/>
        <v>0</v>
      </c>
      <c r="BY89" s="48">
        <f ca="1">IF(OR(BW89&gt;0,BX89&gt;0),MAX($BY$2:BY88)+1,0)</f>
        <v>0</v>
      </c>
      <c r="BZ89" s="48" t="str">
        <f ca="1">IFERROR(INDEX($BT$3:$BY$400,MATCH(ROWS(BZ$3:BZ89),$BY$3:$BY$400,0),1),"")</f>
        <v/>
      </c>
      <c r="CA89" s="48" t="str">
        <f ca="1">IFERROR(INDEX($BT$3:$BY$400,MATCH(ROWS(CA$3:CA89),$BY$3:$BY$400,0),4),"")</f>
        <v/>
      </c>
      <c r="CB89" s="48" t="str">
        <f ca="1">IFERROR(INDEX($BT$3:$BY$400,MATCH(ROWS(CB$3:CB89),$BY$3:$BY$400,0),5),"")</f>
        <v/>
      </c>
      <c r="CC89" s="48" t="str">
        <f t="shared" ca="1" si="144"/>
        <v/>
      </c>
      <c r="CD89" s="48">
        <f ca="1">IF(AND($BF$9=2,CE89&gt;0),MAX($CD$87:CD88)+1,0)</f>
        <v>0</v>
      </c>
      <c r="CE89" s="48">
        <f ca="1">IF($A$1=2,CE4,0)</f>
        <v>0</v>
      </c>
      <c r="CG89" s="48" t="str">
        <f>CG4</f>
        <v>_______di cui richiamati</v>
      </c>
      <c r="CH89" s="242"/>
      <c r="CI89" s="48">
        <f ca="1">IF(A1=2,CL4,0)</f>
        <v>0</v>
      </c>
      <c r="CJ89" s="242"/>
      <c r="CM89" s="242" t="str">
        <f t="shared" ca="1" si="166"/>
        <v/>
      </c>
      <c r="CN89" s="243">
        <f t="shared" ca="1" si="167"/>
        <v>0</v>
      </c>
      <c r="CO89" s="48" t="str">
        <f t="shared" ca="1" si="168"/>
        <v/>
      </c>
      <c r="CQ89" s="247">
        <f t="shared" ca="1" si="221"/>
        <v>47119</v>
      </c>
      <c r="CR89" s="247">
        <f t="shared" ca="1" si="221"/>
        <v>47483</v>
      </c>
      <c r="CS89" s="48">
        <f t="shared" ca="1" si="219"/>
        <v>0</v>
      </c>
      <c r="CT89" s="48">
        <f t="shared" ca="1" si="220"/>
        <v>0</v>
      </c>
      <c r="CU89" s="48">
        <f ca="1">IF(SUMIFS(AVERE,DEN_G,AC89,AVERE,"&gt;"&amp;0)+SUMIFS(DARE,DEN_G,AC89,DARE,"&gt;"&amp;0)&gt;0,MAX($CU$2:CU88)+1,0)</f>
        <v>0</v>
      </c>
      <c r="CV89" s="48" t="str">
        <f ca="1">IF(IFERROR(INDEX(PDC,MATCH(ROWS($CV$3:CV89),$CU$3:$CU$400,0),2),"")="CONTO DI RISULTATO ECONOMICO","",IFERROR(INDEX(PDC,MATCH(ROWS($CV$3:CV89),$CU$3:$CU$400,0),2),""))</f>
        <v/>
      </c>
      <c r="CW89" s="48">
        <f ca="1">IFERROR(IF(CV89&lt;&gt;"",MAX($CW$2:CW88)+1,0),0)</f>
        <v>0</v>
      </c>
      <c r="CX89" s="48">
        <f t="shared" ca="1" si="209"/>
        <v>7</v>
      </c>
      <c r="CY89" s="48" t="str">
        <f t="shared" ca="1" si="208"/>
        <v>MASTRO</v>
      </c>
      <c r="CZ89" s="48" t="e">
        <f t="shared" ca="1" si="211"/>
        <v>#N/A</v>
      </c>
      <c r="DA89" s="48" t="str">
        <f t="shared" ca="1" si="216"/>
        <v/>
      </c>
      <c r="DB89" s="48" t="str">
        <f t="shared" ca="1" si="212"/>
        <v/>
      </c>
      <c r="DC89" s="48" t="str">
        <f t="shared" ca="1" si="213"/>
        <v/>
      </c>
      <c r="DD89" s="48" t="str">
        <f t="shared" ca="1" si="214"/>
        <v/>
      </c>
      <c r="DE89" s="48" t="str">
        <f t="shared" ca="1" si="215"/>
        <v/>
      </c>
      <c r="DF89" s="48">
        <f ca="1">IF(AND(CX89=$DF$1,CX89&lt;&gt;""),0,IF(AND(DB89&lt;&gt;"",OR(DB88&lt;&gt;"",DB90&lt;&gt;"")),MAX($DF$2:DF88)+1,0))</f>
        <v>0</v>
      </c>
      <c r="DH89" s="244" t="s">
        <v>861</v>
      </c>
      <c r="DI89" s="48" t="s">
        <v>279</v>
      </c>
      <c r="DJ89" s="48" t="s">
        <v>312</v>
      </c>
      <c r="DK89" s="48" t="s">
        <v>275</v>
      </c>
      <c r="DL89" s="48" t="s">
        <v>6</v>
      </c>
      <c r="DM89" s="48" t="s">
        <v>270</v>
      </c>
      <c r="DN89" s="48">
        <f ca="1">IF(DI89&lt;&gt;"",MAX($DN$2:DN88)+1,0)</f>
        <v>71</v>
      </c>
      <c r="DO89" s="48" t="str">
        <f t="shared" ca="1" si="206"/>
        <v>pac2</v>
      </c>
      <c r="DQ89" s="227" t="s">
        <v>68</v>
      </c>
      <c r="DR89" s="48" t="s">
        <v>57</v>
      </c>
      <c r="DS89" s="48" t="s">
        <v>312</v>
      </c>
      <c r="DT89" s="48" t="s">
        <v>275</v>
      </c>
      <c r="DU89" s="48" t="s">
        <v>6</v>
      </c>
      <c r="DV89" s="48" t="s">
        <v>270</v>
      </c>
      <c r="DW89" s="48">
        <f ca="1">IF(DR89&lt;&gt;"",MAX($DW$2:DW88)+1,0)</f>
        <v>47</v>
      </c>
      <c r="DX89" s="48" t="str">
        <f t="shared" ca="1" si="217"/>
        <v>pac2</v>
      </c>
      <c r="DY89" s="48" t="str">
        <f t="shared" ca="1" si="147"/>
        <v/>
      </c>
      <c r="DZ89" s="48" t="str">
        <f t="shared" ca="1" si="170"/>
        <v/>
      </c>
      <c r="EA89" s="48" t="str">
        <f t="shared" ca="1" si="171"/>
        <v/>
      </c>
      <c r="EB89" s="48">
        <f t="shared" ca="1" si="172"/>
        <v>0</v>
      </c>
      <c r="EC89" s="48">
        <f t="shared" ca="1" si="173"/>
        <v>0</v>
      </c>
      <c r="ED89" s="48" t="str">
        <f t="shared" ca="1" si="174"/>
        <v/>
      </c>
      <c r="EE89" s="48">
        <f t="shared" ca="1" si="175"/>
        <v>0</v>
      </c>
      <c r="EF89" s="48" t="str">
        <f t="shared" ca="1" si="176"/>
        <v/>
      </c>
      <c r="EG89" s="48">
        <f t="shared" ca="1" si="177"/>
        <v>0</v>
      </c>
      <c r="EH89" s="48" t="str">
        <f t="shared" ca="1" si="178"/>
        <v/>
      </c>
      <c r="EI89" s="48">
        <f t="shared" ca="1" si="179"/>
        <v>0</v>
      </c>
      <c r="EJ89" s="48" t="str">
        <f t="shared" ca="1" si="180"/>
        <v/>
      </c>
      <c r="EK89" s="48">
        <f t="shared" ca="1" si="181"/>
        <v>0</v>
      </c>
      <c r="EL89" s="48">
        <f t="shared" ca="1" si="148"/>
        <v>0</v>
      </c>
      <c r="EM89" s="48">
        <f ca="1">IF(EL89&gt;=0,0,MAX($EM$2:EM88)+1)</f>
        <v>0</v>
      </c>
      <c r="EN89" s="48" t="str">
        <f t="shared" ca="1" si="182"/>
        <v/>
      </c>
      <c r="EO89" s="48" t="str">
        <f ca="1">IFERROR(INDEX($EM$3:$EN$400,MATCH(ROWS($EO$3:EO89),$EM$3:$EM$400,0),2),"")</f>
        <v/>
      </c>
      <c r="EP89" s="48">
        <f>ROW()</f>
        <v>89</v>
      </c>
      <c r="EQ89" s="48">
        <f t="shared" ca="1" si="149"/>
        <v>0</v>
      </c>
      <c r="ER89" s="48">
        <f ca="1">IF(ISNA(EQ89)=TRUE,MAX($ER$2:ER88)+1,0)</f>
        <v>0</v>
      </c>
      <c r="ES89" s="48" t="str">
        <f t="shared" ca="1" si="183"/>
        <v/>
      </c>
      <c r="ET89" s="48" t="str">
        <f ca="1">IFERROR(INDEX($ER$3:$ES$400,MATCH(ROWS($ET$3:ET89),$ER$3:$ER$400,0),2),"")</f>
        <v/>
      </c>
      <c r="EV89" s="48">
        <f ca="1">IFERROR(INDEX(LIBRO_GIORNALE!$O$11:$P$408,MATCH(ROWS($EV$2:EV88),LIBRO_GIORNALE!$P$11:$P$408,0),1),0)</f>
        <v>0</v>
      </c>
      <c r="EW89" s="48" t="str">
        <f t="shared" ca="1" si="184"/>
        <v>0</v>
      </c>
      <c r="EX89" s="48">
        <f t="shared" ca="1" si="185"/>
        <v>0</v>
      </c>
      <c r="EY89" s="48">
        <f ca="1">IF(EX89&gt;0,MAX($EY$2:EY88)+1,0)</f>
        <v>0</v>
      </c>
      <c r="EZ89" s="48">
        <f ca="1">IFERROR(INDEX($EX$3:$EX$400,MATCH(ROWS($EZ$3:EZ89),$EY$3:$EY$400,0),1),0)</f>
        <v>0</v>
      </c>
      <c r="FA89" s="48">
        <f ca="1">IF(EZ89&gt;0,0,MAX($FA$2:FA88)+1)</f>
        <v>87</v>
      </c>
      <c r="FB89" s="48">
        <f t="shared" ca="1" si="186"/>
        <v>0</v>
      </c>
      <c r="FC89" s="48">
        <f t="shared" ca="1" si="187"/>
        <v>87</v>
      </c>
      <c r="FD89" s="48">
        <f t="shared" ca="1" si="188"/>
        <v>87</v>
      </c>
      <c r="FE89" s="48">
        <f ca="1">IF(FD89=0,0,MAX($FE$2:FE88)+1)</f>
        <v>87</v>
      </c>
      <c r="FF89" s="48">
        <f ca="1">IFERROR(INDEX($FD$3:$FE$400,MATCH(ROWS($FF$3:FF89),$FE$3:$FE$400,0),1),"")</f>
        <v>87</v>
      </c>
      <c r="FH89" s="48">
        <f t="shared" ca="1" si="189"/>
        <v>0</v>
      </c>
      <c r="FI89" s="48">
        <f ca="1">IF(FH89&lt;&gt;0,MAX($FI$2:FI88)+1,0)</f>
        <v>0</v>
      </c>
      <c r="FJ89" s="48" t="str">
        <f ca="1">IFERROR(INDEX($FH$3:$FI$400,MATCH(ROWS($FJ$3:FJ89),$FI$3:$FI$400,0),1),"")</f>
        <v/>
      </c>
      <c r="FK89" s="48">
        <f ca="1">IF(ABS(SUMIFS(DARE,DEN_G,"="&amp;FJ89,DATA,"&lt;="&amp;FINE_AC,DATA,"&gt;="&amp;INIZIO_A_PC)-SUMIFS(AVERE,DEN_G,"="&amp;FJ89,DATA,"&lt;="&amp;FINE_AC,DATA,"&gt;="&amp;INIZIO_A_PC))&gt;0,MAX($FK$2:FK88)+1,0)</f>
        <v>0</v>
      </c>
      <c r="FL89" s="48" t="str">
        <f ca="1">IF(AND(ROW()-2&lt;&gt;1,ROW()-2&lt;=$FK$1),CONCATENATE(" - ",IFERROR(INDEX($FJ$3:$FK$400,MATCH(ROWS($FL$3:FL89),$FK$3:$FK$400,0),1),"")),IFERROR(INDEX($FJ$3:$FK$400,MATCH(ROWS($FL$3:FL89),$FK$3:$FK$400,0),1),""))</f>
        <v/>
      </c>
      <c r="FM89" s="48">
        <f ca="1">IF(OR(B89="IVA ns/credito",B89="IVA NS/DEBITO",B89="IVA C/ACCONTO",B89="IMPOSTE C/ACCONTO",B89="CREDITI PER RITENUTE SUBITE",B89="CREDITI D'IMPOSTA"),MAX($FM$2:FM88)+1,0)</f>
        <v>0</v>
      </c>
      <c r="FN89" s="48" t="str">
        <f t="shared" ca="1" si="190"/>
        <v/>
      </c>
      <c r="FO89" s="48" t="str">
        <f ca="1">IFERROR(INDEX($FM$3:$FN$400,MATCH(ROWS($FO$3:FO89),$FM$3:$FM$400,0),2),"")</f>
        <v/>
      </c>
      <c r="FP89" s="48">
        <f ca="1">IF(ABS(SUMIFS(DARE,DEN_G,"="&amp;FO89,DATA,"&lt;="&amp;FINE_AC,DATA,"&gt;="&amp;INIZIO_A_PC)-SUMIFS(AVERE,DEN_G,"="&amp;FO89,DATA,"&lt;="&amp;FINE_AC,DATA,"&gt;="&amp;INIZIO_A_PC))&gt;0,MAX($FP$2:FP88)+1,0)</f>
        <v>0</v>
      </c>
      <c r="FQ89" s="48" t="str">
        <f ca="1">IF(AND(ROW()-2&lt;&gt;1,ROW()-2&lt;=$FP$1),CONCATENATE(" - ",IFERROR(INDEX($FO$3:$FP$400,MATCH(ROWS($FQ$3:FQ89),$FP$3:$FP$400,0),1),"")),IFERROR(INDEX($FO$3:$FP$400,MATCH(ROWS($FQ$3:FQ89),$FP$3:$FP$400,0),1),""))</f>
        <v/>
      </c>
    </row>
    <row r="90" spans="1:173" x14ac:dyDescent="0.3">
      <c r="A90" s="48" t="str">
        <f ca="1">IFERROR(IF($A$1=2,INDEX($DH$3:$DN$401,MATCH(ROWS(A$3:A90),$DN$3:$DN$401,0),COLUMN()),IF($A$1=1,INDEX($DQ$3:$DW$401,MATCH(ROWS(A$3:A90),$DW$3:$DW$401,0),COLUMN()),"")),"")</f>
        <v>06.30</v>
      </c>
      <c r="B90" s="48" t="str">
        <f ca="1">IFERROR(IF($A$1=2,INDEX($DH$3:$DN$401,MATCH(ROWS(B$3:B90),$DN$3:$DN$401,0),COLUMN()),IF($A$1=1,INDEX($DQ$3:$DW$400,MATCH(ROWS(B$3:B90),$DW$3:$DW$401,0),COLUMN()),"")),"")</f>
        <v>OBBLIGAZIONISTI C/SOTTOSCRIZIONE</v>
      </c>
      <c r="C90" s="48" t="str">
        <f ca="1">IFERROR(IF($A$1=2,INDEX($DH$3:$DN$401,MATCH(ROWS(C$3:C90),$DN$3:$DN$401,0),COLUMN()),IF($A$1=1,INDEX($DQ$3:$DW$401,MATCH(ROWS(C$3:C90),$DW$3:$DW$401,0),COLUMN()),"")),"")</f>
        <v>F</v>
      </c>
      <c r="D90" s="48" t="str">
        <f ca="1">IFERROR(IF($A$1=2,INDEX($DH$3:$DN$401,MATCH(ROWS(D$3:D90),$DN$3:$DN$401,0),COLUMN()),IF($A$1=1,INDEX($DQ$3:$DW$401,MATCH(ROWS(D$3:D90),$DW$3:$DW$401,0),COLUMN()),"")),"")</f>
        <v>D</v>
      </c>
      <c r="E90" s="48" t="str">
        <f ca="1">IFERROR(IF($A$1=2,INDEX($DH$3:$DN$401,MATCH(ROWS(E$3:E90),$DN$3:$DN$401,0),COLUMN()),IF($A$1=1,INDEX($DQ$3:$DW$401,MATCH(ROWS(E$3:E90),$DW$3:$DW$401,0),COLUMN()),"")),"")</f>
        <v>CREDITI</v>
      </c>
      <c r="F90" s="48" t="str">
        <f ca="1">IFERROR(IF($A$1=2,INDEX($DH$3:$DN$401,MATCH(ROWS(F$3:F90),$DN$3:$DN$401,0),COLUMN()),IF($A$1=1,INDEX($DQ$3:$DX$401,MATCH(ROWS(F$3:F90),$DW$3:$DW$401,0),COLUMN()),"")),"")</f>
        <v>SP DARE</v>
      </c>
      <c r="G90" s="48" t="str">
        <f t="shared" ca="1" si="150"/>
        <v>SP</v>
      </c>
      <c r="H90" s="48" t="str">
        <f ca="1">IFERROR(IF($A$1=2,INDEX($DH$3:$DO$400,MATCH(ROWS(H$3:H90),$DN$3:$DN$400,0),COLUMN()),IF($A$1=1,INDEX($DQ$3:$DX$400,MATCH(ROWS(H$3:H90),$DW$3:$DW$400,0),COLUMN()),"")),"")</f>
        <v>pac2</v>
      </c>
      <c r="I90" s="48" t="str">
        <f t="shared" ca="1" si="151"/>
        <v/>
      </c>
      <c r="J90" s="48" t="str">
        <f t="shared" ca="1" si="152"/>
        <v/>
      </c>
      <c r="K90" s="48">
        <f t="shared" ca="1" si="153"/>
        <v>0</v>
      </c>
      <c r="L90" s="48">
        <f t="shared" ca="1" si="154"/>
        <v>0</v>
      </c>
      <c r="M90" s="48">
        <f ca="1">IFERROR(IF(IF(MID($A90,3,3)=".00",MID(A90,1,2),"")&lt;&gt;"",MAX($M$2:M89)+1,0),"")</f>
        <v>0</v>
      </c>
      <c r="N90" s="48" t="str">
        <f t="shared" ca="1" si="155"/>
        <v/>
      </c>
      <c r="O90" s="48" t="str">
        <f ca="1">IF(IFERROR(INDEX($N$3:$O$300,MATCH(ROWS($O$3:O90),$M$3:$M$300,0),1),"")&lt;&gt;"",CONCATENATE(INDEX($N$3:$O$300,MATCH(ROWS($O$3:O90),$M$3:$M$300,0),1),".00"),"")</f>
        <v/>
      </c>
      <c r="P90" s="48" t="str">
        <f t="shared" ca="1" si="156"/>
        <v/>
      </c>
      <c r="Q90" s="48">
        <f ca="1">IF(M90&gt;=1,0,MAX($Q$2:Q89)+1)</f>
        <v>81</v>
      </c>
      <c r="U90" s="48" t="str">
        <f ca="1">IFERROR(INDEX(PDC,MATCH(ROWS(U$3:U90),$V$3:$V$400,0),2),"")</f>
        <v>ASSEGNI</v>
      </c>
      <c r="V90" s="48">
        <f ca="1">IF(AND($T$1="VISUALIZZA TUTTI I CONTI",AA90&lt;&gt;""),MAX($V$2:V89)+1,IF(AND($U$2=2,AI90=$T$1),MAX($V$2:V89)+1,IF(AND($U$2=1,$T$1=AF90),MAX($V$2:V89)+1,0)))</f>
        <v>88</v>
      </c>
      <c r="Z90" s="246"/>
      <c r="AA90" s="48" t="str">
        <f t="shared" ca="1" si="157"/>
        <v>08.00</v>
      </c>
      <c r="AB90" s="48" t="str">
        <f ca="1">IFERROR(INDEX($A$3:$G$400,MATCH(ROWS(AB$3:AB90),$Q$3:$Q$400,0),1),"")</f>
        <v>08.10</v>
      </c>
      <c r="AC90" s="48" t="str">
        <f ca="1">IFERROR(INDEX($A$3:$G$400,MATCH(ROWS($AC$3:AC90),$Q$3:$Q$400,0),2),"")</f>
        <v>ASSEGNI</v>
      </c>
      <c r="AD90" s="48" t="str">
        <f ca="1">IFERROR(INDEX($A$3:$G$400,MATCH(ROWS(AD$3:AD90),$Q$3:$Q$400,0),3),"")</f>
        <v>F</v>
      </c>
      <c r="AE90" s="48" t="str">
        <f ca="1">IFERROR(INDEX($A$3:$G$400,MATCH(ROWS(AE$3:AE90),$Q$3:$Q$400,0),4),"")</f>
        <v>D</v>
      </c>
      <c r="AF90" s="48" t="str">
        <f ca="1">IFERROR(INDEX($A$3:$G$400,MATCH(ROWS(AF$3:AF90),$Q$3:$Q$400,0),5),"")</f>
        <v>DISPONIBILITÀ LIQUIDE</v>
      </c>
      <c r="AG90" s="48" t="str">
        <f ca="1">IFERROR(INDEX($A$3:$G$400,MATCH(ROWS(AG$3:AG90),$Q$3:$Q$400,0),6),"")</f>
        <v>SP DARE</v>
      </c>
      <c r="AH90" s="48" t="str">
        <f ca="1">IFERROR(INDEX($A$3:$G$400,MATCH(ROWS(AH$3:AH90),$Q$3:$Q$400,0),7),"")</f>
        <v>SP</v>
      </c>
      <c r="AI90" s="48" t="str">
        <f t="shared" ca="1" si="158"/>
        <v>DISPONIBILITÀ LIQUIDE</v>
      </c>
      <c r="AJ90" s="48" t="str">
        <f ca="1">IFERROR(INDEX($A$3:$H$400,MATCH(ROWS(AJ$3:AJ90),$Q$3:$Q$400,0),8),"")</f>
        <v>pac4</v>
      </c>
      <c r="AK90" s="48">
        <f t="shared" ca="1" si="130"/>
        <v>0</v>
      </c>
      <c r="AL90" s="48">
        <f t="shared" ca="1" si="131"/>
        <v>0</v>
      </c>
      <c r="AM90" s="48">
        <f t="shared" ca="1" si="159"/>
        <v>0</v>
      </c>
      <c r="AN90" s="48" t="str">
        <f t="shared" ca="1" si="160"/>
        <v/>
      </c>
      <c r="AO90" s="48">
        <f t="shared" ca="1" si="161"/>
        <v>0</v>
      </c>
      <c r="AP90" s="48">
        <f t="shared" ca="1" si="161"/>
        <v>0</v>
      </c>
      <c r="AQ90" s="48" t="str">
        <f t="shared" ca="1" si="132"/>
        <v>ASSEGNI</v>
      </c>
      <c r="AR90" s="48">
        <f t="shared" ca="1" si="133"/>
        <v>0</v>
      </c>
      <c r="AS90" s="48">
        <f t="shared" ca="1" si="134"/>
        <v>0</v>
      </c>
      <c r="AT90" s="48">
        <f t="shared" ca="1" si="162"/>
        <v>0</v>
      </c>
      <c r="AU90" s="48">
        <f t="shared" ca="1" si="163"/>
        <v>0</v>
      </c>
      <c r="AV90" s="48">
        <f ca="1">IF(OR(AT90&gt;0,AU90&gt;0),MAX($AV$2:AV89)+1,0)</f>
        <v>0</v>
      </c>
      <c r="AZ90" s="241" t="str">
        <f t="shared" ca="1" si="164"/>
        <v/>
      </c>
      <c r="BA90" s="48">
        <f t="shared" ca="1" si="135"/>
        <v>0</v>
      </c>
      <c r="BB90" s="48">
        <f ca="1">IFERROR(INDEX($AQ$3:$AV$220,MATCH(ROWS($BB$3:BB90),$AV$3:$AV$220,0),1),0)</f>
        <v>0</v>
      </c>
      <c r="BC90" s="48" t="str">
        <f t="shared" ca="1" si="165"/>
        <v/>
      </c>
      <c r="BD90" s="48">
        <f ca="1">IFERROR(INDEX($AQ$3:$AV$220,MATCH(ROWS($BB$3:BD90),$AV$3:$AV$220,0),4),0)</f>
        <v>0</v>
      </c>
      <c r="BE90" s="48">
        <f ca="1">IFERROR(INDEX($AQ$3:$AV$220,MATCH(ROWS($BB$3:BE90),$AV$3:$AV$220,0),5),0)</f>
        <v>0</v>
      </c>
      <c r="BF90" s="48">
        <f ca="1">SUM(AVERE)-SUM(DARE)</f>
        <v>0</v>
      </c>
      <c r="BG90" s="48">
        <f ca="1">IF(IF(AND(OR(INDEX(PDC,MATCH($AC90,DEN_PDC,0),6)="SP DARE",INDEX(PDC,MATCH($AC90,DEN_PDC,0),6)="SP DARE/AVERE"),SUMIFS(DARE,DEN_G,$AC90)&gt;=SUMIFS(AVERE,DEN_G,$AC90)),SUMIFS(DARE,DEN_G,$AC90)-SUMIFS(AVERE,DEN_G,$AC90),0)&gt;0,MAX($BG$2:BG89)+1,0)</f>
        <v>0</v>
      </c>
      <c r="BH90" s="48">
        <f ca="1">IF(IF(AND(OR(INDEX(PDC,MATCH($AC90,DEN_PDC,0),6)="SP AVERE",INDEX(PDC,MATCH($AC90,DEN_PDC,0),6)="SP DARE/AVERE"),SUMIFS(AVERE,DEN_G,$AC90)&gt;=SUMIFS(DARE,DEN_G,$AC90)),SUMIFS(AVERE,DEN_G,$AC90)-SUMIFS(DARE,DEN_G,$AC90),0)&gt;0,MAX(BH$2:BH89)+1,0)</f>
        <v>0</v>
      </c>
      <c r="BI90" s="48">
        <f ca="1">IF(IF(AND(OR(INDEX(PDC,MATCH($AC90,DEN_PDC,0),6)="SE DARE",INDEX(PDC,MATCH($AC90,DEN_PDC,0),6)="SE DARE/AVERE"),SUMIFS(DARE,DEN_G,$AC90)&gt;=SUMIFS(AVERE,DEN_G,$AC90)),SUMIFS(DARE,DEN_G,$AC90)-SUMIFS(AVERE,DEN_G,$AC90),0)&gt;0,MAX(BI$2:BI89)+1,0)</f>
        <v>0</v>
      </c>
      <c r="BJ90" s="48">
        <f ca="1">IF(IF(AND(OR(INDEX(PDC,MATCH($AC90,DEN_PDC,0),6)="SE AVERE",INDEX(PDC,MATCH($AC90,DEN_PDC,0),6)="SE DARE/AVERE"),SUMIFS(AVERE,DEN_G,$AC90)&gt;=SUMIFS(DARE,DEN_G,$AC90)),SUMIFS(AVERE,DEN_G,$AC90)-SUMIFS(DARE,DEN_G,$AC90),0)&gt;0,MAX(BJ$2:BJ89)+1,0)</f>
        <v>0</v>
      </c>
      <c r="BK90" s="48" t="str">
        <f ca="1">IF(AND(AND($DY$2=0,$DY$1=0),$I$1=2,ROW()&gt;$BG$1+2,ROW()&lt;=$BG$1+4),"………………..",IF(AND(OR($DY$2&gt;0,$DY$1&gt;0),$I$1=2,ROW()&gt;$BG$1+2,ROW()&lt;=$BG$1+4),"………………..",IFERROR(INDEX($AC$3:$AC$398,MATCH(ROWS(BK$3:BK90),BG$3:BG$398,0),1),"")))</f>
        <v/>
      </c>
      <c r="BL90" s="48">
        <f t="shared" ca="1" si="136"/>
        <v>0</v>
      </c>
      <c r="BM90" s="48" t="str">
        <f ca="1">IF(AND(OR($DY$2=0,$DY$1=0),$I$1=2,ROW()&gt;$BH$1+2,ROW()&lt;=$BH$1+4),"………………..",IF(AND(OR($DY$2&gt;0,$DY$1&gt;0),$I$1=2,ROW()&gt;$BH$1+2,ROW()&lt;=$BH$1+4),"………………..",IFERROR(INDEX($AC$3:$AC$400,MATCH(ROWS(BM$3:BM90),BH$3:BH$400,0),1),"")))</f>
        <v/>
      </c>
      <c r="BN90" s="48">
        <f t="shared" ca="1" si="137"/>
        <v>0</v>
      </c>
      <c r="BO90" s="48" t="str">
        <f ca="1">IF(AND(OR($DY$2=0,$DY$1=0),$I$1=2,ROW()&gt;$BI$1+2,ROW()&lt;=$BI$1+4),"………………..",IF(AND(OR($DY$2&gt;0,$DY$1&gt;0),$I$1=2,ROW()&gt;$BI$1+2,ROW()&lt;=$BI$1+4),"………………..",IFERROR(INDEX($AC$3:$AC$400,MATCH(ROWS(BO$3:BO90),BI$3:BI$400,0),1),"")))</f>
        <v/>
      </c>
      <c r="BP90" s="48">
        <f t="shared" ca="1" si="138"/>
        <v>0</v>
      </c>
      <c r="BQ90" s="48" t="str">
        <f ca="1">IF(AND(OR($DY$2=0,$DY$1=0),$I$1=2,ROW()&gt;$BJ$1+2,ROW()&lt;=$BJ$1+4),"………………..",IF(AND(OR($DY$2&gt;0,$DY$1&gt;0),$I$1=2,ROW()&gt;$BJ$1+2,ROW()&lt;=$BJ$1+4),"………………..",IFERROR(INDEX($AC$3:$AC$400,MATCH(ROWS(BQ$3:BQ90),BJ$3:BJ$400,0),1),"")))</f>
        <v/>
      </c>
      <c r="BR90" s="48">
        <f t="shared" ca="1" si="139"/>
        <v>0</v>
      </c>
      <c r="BS90" s="48">
        <f ca="1">IF(IF(AND(OR(INDEX(PDC,MATCH($AC90,DEN_PDC,0),4)="D",INDEX(PDC,MATCH($AC90,DEN_PDC,0),4)="D/A"),SUMIFS(DARE,DEN_G,$AC90)&gt;=SUMIFS(AVERE,DEN_G,$AC90)),SUMIFS(DARE,DEN_G,$AC90),IF(AND(OR(INDEX(PDC,MATCH($AC90,DEN_PDC,0),4)="A",INDEX(PDC,MATCH($AC90,DEN_PDC,0),4)="D/A"),SUMIFS(AVERE,DEN_G,$AC90)&gt;=SUMIFS(DARE,DEN_G,$AC90)),SUMIFS(AVERE,DEN_G,$AC90),))&gt;0,MAX($BS$2:BS89)+1,0)</f>
        <v>0</v>
      </c>
      <c r="BT90" s="48" t="str">
        <f ca="1">IF($CO$1=0,"",IF(AND($I$1=2,ROW()&gt;$BR$1,ROW()&lt;=$BS$1)," …………….",IF(AND($E$1=1,$BX$1=1,$I$1=2,ROW()=$BQ$1),"TOTALI",IFERROR(INDEX(PDC,MATCH(ROWS(BT$3:BT90),BS$3:BS487,0),2),""))))</f>
        <v/>
      </c>
      <c r="BU90" s="48">
        <f t="shared" ca="1" si="140"/>
        <v>0</v>
      </c>
      <c r="BV90" s="48">
        <f t="shared" ca="1" si="141"/>
        <v>0</v>
      </c>
      <c r="BW90" s="48">
        <f t="shared" ca="1" si="142"/>
        <v>0</v>
      </c>
      <c r="BX90" s="48">
        <f t="shared" ca="1" si="143"/>
        <v>0</v>
      </c>
      <c r="BY90" s="48">
        <f ca="1">IF(OR(BW90&gt;0,BX90&gt;0),MAX($BY$2:BY89)+1,0)</f>
        <v>0</v>
      </c>
      <c r="BZ90" s="48" t="str">
        <f ca="1">IFERROR(INDEX($BT$3:$BY$400,MATCH(ROWS(BZ$3:BZ90),$BY$3:$BY$400,0),1),"")</f>
        <v/>
      </c>
      <c r="CA90" s="48" t="str">
        <f ca="1">IFERROR(INDEX($BT$3:$BY$400,MATCH(ROWS(CA$3:CA90),$BY$3:$BY$400,0),4),"")</f>
        <v/>
      </c>
      <c r="CB90" s="48" t="str">
        <f ca="1">IFERROR(INDEX($BT$3:$BY$400,MATCH(ROWS(CB$3:CB90),$BY$3:$BY$400,0),5),"")</f>
        <v/>
      </c>
      <c r="CC90" s="48" t="str">
        <f t="shared" ca="1" si="144"/>
        <v/>
      </c>
      <c r="CD90" s="48">
        <f ca="1">IF(AND(OR($BF$9=2,$BF$9=3),CE90&lt;&gt;0),MAX($CD$87:CD89)+1,0)</f>
        <v>0</v>
      </c>
      <c r="CE90" s="48">
        <f ca="1">IF(OR(CE94&gt;0,CE94="_ _ _"),"A",0)</f>
        <v>0</v>
      </c>
      <c r="CF90" s="48" t="str">
        <f>CF5</f>
        <v>pab</v>
      </c>
      <c r="CG90" s="48" t="str">
        <f>CG5</f>
        <v>B)_Immobilizzazioni</v>
      </c>
      <c r="CH90" s="242"/>
      <c r="CJ90" s="242"/>
      <c r="CM90" s="242" t="str">
        <f t="shared" ca="1" si="166"/>
        <v/>
      </c>
      <c r="CN90" s="243">
        <f t="shared" ca="1" si="167"/>
        <v>0</v>
      </c>
      <c r="CO90" s="48" t="str">
        <f t="shared" ca="1" si="168"/>
        <v/>
      </c>
      <c r="CQ90" s="247">
        <f t="shared" ca="1" si="221"/>
        <v>47484</v>
      </c>
      <c r="CR90" s="247">
        <f t="shared" ca="1" si="221"/>
        <v>47848</v>
      </c>
      <c r="CS90" s="48">
        <f t="shared" ca="1" si="219"/>
        <v>0</v>
      </c>
      <c r="CT90" s="48">
        <f t="shared" ca="1" si="220"/>
        <v>0</v>
      </c>
      <c r="CU90" s="48">
        <f ca="1">IF(SUMIFS(AVERE,DEN_G,AC90,AVERE,"&gt;"&amp;0)+SUMIFS(DARE,DEN_G,AC90,DARE,"&gt;"&amp;0)&gt;0,MAX($CU$2:CU89)+1,0)</f>
        <v>0</v>
      </c>
      <c r="CV90" s="48" t="str">
        <f ca="1">IF(IFERROR(INDEX(PDC,MATCH(ROWS($CV$3:CV90),$CU$3:$CU$400,0),2),"")="CONTO DI RISULTATO ECONOMICO","",IFERROR(INDEX(PDC,MATCH(ROWS($CV$3:CV90),$CU$3:$CU$400,0),2),""))</f>
        <v/>
      </c>
      <c r="CW90" s="48">
        <f ca="1">IFERROR(IF(CV90&lt;&gt;"",MAX($CW$2:CW89)+1,0),0)</f>
        <v>0</v>
      </c>
      <c r="CX90" s="48">
        <f t="shared" ca="1" si="209"/>
        <v>7</v>
      </c>
      <c r="CY90" s="48" t="str">
        <f t="shared" ca="1" si="208"/>
        <v>MASTRO</v>
      </c>
      <c r="CZ90" s="48" t="e">
        <f t="shared" ca="1" si="211"/>
        <v>#N/A</v>
      </c>
      <c r="DA90" s="48" t="str">
        <f t="shared" ca="1" si="216"/>
        <v/>
      </c>
      <c r="DB90" s="48" t="str">
        <f t="shared" ca="1" si="212"/>
        <v/>
      </c>
      <c r="DC90" s="48" t="str">
        <f t="shared" ca="1" si="213"/>
        <v/>
      </c>
      <c r="DD90" s="48" t="str">
        <f t="shared" ca="1" si="214"/>
        <v/>
      </c>
      <c r="DE90" s="48" t="str">
        <f t="shared" ca="1" si="215"/>
        <v/>
      </c>
      <c r="DF90" s="48">
        <f ca="1">IF(AND(CX90=$DF$1,CX90&lt;&gt;""),0,IF(AND(DB90&lt;&gt;"",OR(DB89&lt;&gt;"",DB91&lt;&gt;"")),MAX($DF$2:DF89)+1,0))</f>
        <v>0</v>
      </c>
      <c r="DH90" s="244" t="s">
        <v>1050</v>
      </c>
      <c r="DI90" s="48" t="s">
        <v>62</v>
      </c>
      <c r="DJ90" s="48" t="s">
        <v>312</v>
      </c>
      <c r="DK90" s="48" t="s">
        <v>298</v>
      </c>
      <c r="DL90" s="48" t="s">
        <v>6</v>
      </c>
      <c r="DM90" s="48" t="s">
        <v>299</v>
      </c>
      <c r="DN90" s="48">
        <f ca="1">IF(DI90&lt;&gt;"",MAX($DN$2:DN89)+1,0)</f>
        <v>72</v>
      </c>
      <c r="DO90" s="48" t="str">
        <f t="shared" ca="1" si="206"/>
        <v>pac2</v>
      </c>
      <c r="DQ90" s="227" t="s">
        <v>1049</v>
      </c>
      <c r="DR90" s="48" t="s">
        <v>58</v>
      </c>
      <c r="DS90" s="48" t="s">
        <v>312</v>
      </c>
      <c r="DT90" s="48" t="s">
        <v>275</v>
      </c>
      <c r="DU90" s="48" t="s">
        <v>6</v>
      </c>
      <c r="DV90" s="48" t="s">
        <v>270</v>
      </c>
      <c r="DW90" s="48">
        <f ca="1">IF(DR90&lt;&gt;"",MAX($DW$2:DW89)+1,0)</f>
        <v>48</v>
      </c>
      <c r="DX90" s="48" t="str">
        <f t="shared" ca="1" si="217"/>
        <v>pac2</v>
      </c>
      <c r="DY90" s="48" t="str">
        <f t="shared" ca="1" si="147"/>
        <v/>
      </c>
      <c r="DZ90" s="48" t="str">
        <f t="shared" ca="1" si="170"/>
        <v/>
      </c>
      <c r="EA90" s="48" t="str">
        <f t="shared" ca="1" si="171"/>
        <v/>
      </c>
      <c r="EB90" s="48">
        <f t="shared" ca="1" si="172"/>
        <v>0</v>
      </c>
      <c r="EC90" s="48">
        <f t="shared" ca="1" si="173"/>
        <v>0</v>
      </c>
      <c r="ED90" s="48" t="str">
        <f t="shared" ca="1" si="174"/>
        <v/>
      </c>
      <c r="EE90" s="48">
        <f t="shared" ca="1" si="175"/>
        <v>0</v>
      </c>
      <c r="EF90" s="48" t="str">
        <f t="shared" ca="1" si="176"/>
        <v/>
      </c>
      <c r="EG90" s="48">
        <f t="shared" ca="1" si="177"/>
        <v>0</v>
      </c>
      <c r="EH90" s="48" t="str">
        <f t="shared" ca="1" si="178"/>
        <v/>
      </c>
      <c r="EI90" s="48">
        <f t="shared" ca="1" si="179"/>
        <v>0</v>
      </c>
      <c r="EJ90" s="48" t="str">
        <f t="shared" ca="1" si="180"/>
        <v/>
      </c>
      <c r="EK90" s="48">
        <f t="shared" ca="1" si="181"/>
        <v>0</v>
      </c>
      <c r="EL90" s="48">
        <f t="shared" ca="1" si="148"/>
        <v>0</v>
      </c>
      <c r="EM90" s="48">
        <f ca="1">IF(EL90&gt;=0,0,MAX($EM$2:EM89)+1)</f>
        <v>0</v>
      </c>
      <c r="EN90" s="48" t="str">
        <f t="shared" ca="1" si="182"/>
        <v/>
      </c>
      <c r="EO90" s="48" t="str">
        <f ca="1">IFERROR(INDEX($EM$3:$EN$400,MATCH(ROWS($EO$3:EO90),$EM$3:$EM$400,0),2),"")</f>
        <v/>
      </c>
      <c r="EP90" s="48">
        <f>ROW()</f>
        <v>90</v>
      </c>
      <c r="EQ90" s="48">
        <f t="shared" ca="1" si="149"/>
        <v>0</v>
      </c>
      <c r="ER90" s="48">
        <f ca="1">IF(ISNA(EQ90)=TRUE,MAX($ER$2:ER89)+1,0)</f>
        <v>0</v>
      </c>
      <c r="ES90" s="48" t="str">
        <f t="shared" ca="1" si="183"/>
        <v/>
      </c>
      <c r="ET90" s="48" t="str">
        <f ca="1">IFERROR(INDEX($ER$3:$ES$400,MATCH(ROWS($ET$3:ET90),$ER$3:$ER$400,0),2),"")</f>
        <v/>
      </c>
      <c r="EV90" s="48">
        <f ca="1">IFERROR(INDEX(LIBRO_GIORNALE!$O$11:$P$408,MATCH(ROWS($EV$2:EV89),LIBRO_GIORNALE!$P$11:$P$408,0),1),0)</f>
        <v>0</v>
      </c>
      <c r="EW90" s="48" t="str">
        <f t="shared" ca="1" si="184"/>
        <v>0</v>
      </c>
      <c r="EX90" s="48">
        <f t="shared" ca="1" si="185"/>
        <v>0</v>
      </c>
      <c r="EY90" s="48">
        <f ca="1">IF(EX90&gt;0,MAX($EY$2:EY89)+1,0)</f>
        <v>0</v>
      </c>
      <c r="EZ90" s="48">
        <f ca="1">IFERROR(INDEX($EX$3:$EX$400,MATCH(ROWS($EZ$3:EZ90),$EY$3:$EY$400,0),1),0)</f>
        <v>0</v>
      </c>
      <c r="FA90" s="48">
        <f ca="1">IF(EZ90&gt;0,0,MAX($FA$2:FA89)+1)</f>
        <v>88</v>
      </c>
      <c r="FB90" s="48">
        <f t="shared" ca="1" si="186"/>
        <v>0</v>
      </c>
      <c r="FC90" s="48">
        <f t="shared" ca="1" si="187"/>
        <v>88</v>
      </c>
      <c r="FD90" s="48">
        <f t="shared" ca="1" si="188"/>
        <v>88</v>
      </c>
      <c r="FE90" s="48">
        <f ca="1">IF(FD90=0,0,MAX($FE$2:FE89)+1)</f>
        <v>88</v>
      </c>
      <c r="FF90" s="48">
        <f ca="1">IFERROR(INDEX($FD$3:$FE$400,MATCH(ROWS($FF$3:FF90),$FE$3:$FE$400,0),1),"")</f>
        <v>88</v>
      </c>
      <c r="FH90" s="48">
        <f t="shared" ca="1" si="189"/>
        <v>0</v>
      </c>
      <c r="FI90" s="48">
        <f ca="1">IF(FH90&lt;&gt;0,MAX($FI$2:FI89)+1,0)</f>
        <v>0</v>
      </c>
      <c r="FJ90" s="48" t="str">
        <f ca="1">IFERROR(INDEX($FH$3:$FI$400,MATCH(ROWS($FJ$3:FJ90),$FI$3:$FI$400,0),1),"")</f>
        <v/>
      </c>
      <c r="FK90" s="48">
        <f ca="1">IF(ABS(SUMIFS(DARE,DEN_G,"="&amp;FJ90,DATA,"&lt;="&amp;FINE_AC,DATA,"&gt;="&amp;INIZIO_A_PC)-SUMIFS(AVERE,DEN_G,"="&amp;FJ90,DATA,"&lt;="&amp;FINE_AC,DATA,"&gt;="&amp;INIZIO_A_PC))&gt;0,MAX($FK$2:FK89)+1,0)</f>
        <v>0</v>
      </c>
      <c r="FL90" s="48" t="str">
        <f ca="1">IF(AND(ROW()-2&lt;&gt;1,ROW()-2&lt;=$FK$1),CONCATENATE(" - ",IFERROR(INDEX($FJ$3:$FK$400,MATCH(ROWS($FL$3:FL90),$FK$3:$FK$400,0),1),"")),IFERROR(INDEX($FJ$3:$FK$400,MATCH(ROWS($FL$3:FL90),$FK$3:$FK$400,0),1),""))</f>
        <v/>
      </c>
      <c r="FM90" s="48">
        <f ca="1">IF(OR(B90="IVA ns/credito",B90="IVA NS/DEBITO",B90="IVA C/ACCONTO",B90="IMPOSTE C/ACCONTO",B90="CREDITI PER RITENUTE SUBITE",B90="CREDITI D'IMPOSTA"),MAX($FM$2:FM89)+1,0)</f>
        <v>0</v>
      </c>
      <c r="FN90" s="48" t="str">
        <f t="shared" ca="1" si="190"/>
        <v/>
      </c>
      <c r="FO90" s="48" t="str">
        <f ca="1">IFERROR(INDEX($FM$3:$FN$400,MATCH(ROWS($FO$3:FO90),$FM$3:$FM$400,0),2),"")</f>
        <v/>
      </c>
      <c r="FP90" s="48">
        <f ca="1">IF(ABS(SUMIFS(DARE,DEN_G,"="&amp;FO90,DATA,"&lt;="&amp;FINE_AC,DATA,"&gt;="&amp;INIZIO_A_PC)-SUMIFS(AVERE,DEN_G,"="&amp;FO90,DATA,"&lt;="&amp;FINE_AC,DATA,"&gt;="&amp;INIZIO_A_PC))&gt;0,MAX($FP$2:FP89)+1,0)</f>
        <v>0</v>
      </c>
      <c r="FQ90" s="48" t="str">
        <f ca="1">IF(AND(ROW()-2&lt;&gt;1,ROW()-2&lt;=$FP$1),CONCATENATE(" - ",IFERROR(INDEX($FO$3:$FP$400,MATCH(ROWS($FQ$3:FQ90),$FP$3:$FP$400,0),1),"")),IFERROR(INDEX($FO$3:$FP$400,MATCH(ROWS($FQ$3:FQ90),$FP$3:$FP$400,0),1),""))</f>
        <v/>
      </c>
    </row>
    <row r="91" spans="1:173" x14ac:dyDescent="0.3">
      <c r="A91" s="48" t="str">
        <f ca="1">IFERROR(IF($A$1=2,INDEX($DH$3:$DN$401,MATCH(ROWS(A$3:A91),$DN$3:$DN$401,0),COLUMN()),IF($A$1=1,INDEX($DQ$3:$DW$401,MATCH(ROWS(A$3:A91),$DW$3:$DW$401,0),COLUMN()),"")),"")</f>
        <v>06.40</v>
      </c>
      <c r="B91" s="48" t="str">
        <f ca="1">IFERROR(IF($A$1=2,INDEX($DH$3:$DN$401,MATCH(ROWS(B$3:B91),$DN$3:$DN$401,0),COLUMN()),IF($A$1=1,INDEX($DQ$3:$DW$400,MATCH(ROWS(B$3:B91),$DW$3:$DW$401,0),COLUMN()),"")),"")</f>
        <v>ENTE CONCEDENTE C/CONTRIBUTI</v>
      </c>
      <c r="C91" s="48" t="str">
        <f ca="1">IFERROR(IF($A$1=2,INDEX($DH$3:$DN$401,MATCH(ROWS(C$3:C91),$DN$3:$DN$401,0),COLUMN()),IF($A$1=1,INDEX($DQ$3:$DW$401,MATCH(ROWS(C$3:C91),$DW$3:$DW$401,0),COLUMN()),"")),"")</f>
        <v>F</v>
      </c>
      <c r="D91" s="48" t="str">
        <f ca="1">IFERROR(IF($A$1=2,INDEX($DH$3:$DN$401,MATCH(ROWS(D$3:D91),$DN$3:$DN$401,0),COLUMN()),IF($A$1=1,INDEX($DQ$3:$DW$401,MATCH(ROWS(D$3:D91),$DW$3:$DW$401,0),COLUMN()),"")),"")</f>
        <v>D</v>
      </c>
      <c r="E91" s="48" t="str">
        <f ca="1">IFERROR(IF($A$1=2,INDEX($DH$3:$DN$401,MATCH(ROWS(E$3:E91),$DN$3:$DN$401,0),COLUMN()),IF($A$1=1,INDEX($DQ$3:$DW$401,MATCH(ROWS(E$3:E91),$DW$3:$DW$401,0),COLUMN()),"")),"")</f>
        <v>CREDITI</v>
      </c>
      <c r="F91" s="48" t="str">
        <f ca="1">IFERROR(IF($A$1=2,INDEX($DH$3:$DN$401,MATCH(ROWS(F$3:F91),$DN$3:$DN$401,0),COLUMN()),IF($A$1=1,INDEX($DQ$3:$DX$401,MATCH(ROWS(F$3:F91),$DW$3:$DW$401,0),COLUMN()),"")),"")</f>
        <v>SP DARE</v>
      </c>
      <c r="G91" s="48" t="str">
        <f t="shared" ca="1" si="150"/>
        <v>SP</v>
      </c>
      <c r="H91" s="48" t="str">
        <f ca="1">IFERROR(IF($A$1=2,INDEX($DH$3:$DO$400,MATCH(ROWS(H$3:H91),$DN$3:$DN$400,0),COLUMN()),IF($A$1=1,INDEX($DQ$3:$DX$400,MATCH(ROWS(H$3:H91),$DW$3:$DW$400,0),COLUMN()),"")),"")</f>
        <v>pac2</v>
      </c>
      <c r="I91" s="48" t="str">
        <f t="shared" ca="1" si="151"/>
        <v/>
      </c>
      <c r="J91" s="48" t="str">
        <f t="shared" ca="1" si="152"/>
        <v/>
      </c>
      <c r="K91" s="48">
        <f t="shared" ca="1" si="153"/>
        <v>0</v>
      </c>
      <c r="L91" s="48">
        <f t="shared" ca="1" si="154"/>
        <v>0</v>
      </c>
      <c r="M91" s="48">
        <f ca="1">IFERROR(IF(IF(MID($A91,3,3)=".00",MID(A91,1,2),"")&lt;&gt;"",MAX($M$2:M90)+1,0),"")</f>
        <v>0</v>
      </c>
      <c r="N91" s="48" t="str">
        <f t="shared" ca="1" si="155"/>
        <v/>
      </c>
      <c r="O91" s="48" t="str">
        <f ca="1">IF(IFERROR(INDEX($N$3:$O$300,MATCH(ROWS($O$3:O91),$M$3:$M$300,0),1),"")&lt;&gt;"",CONCATENATE(INDEX($N$3:$O$300,MATCH(ROWS($O$3:O91),$M$3:$M$300,0),1),".00"),"")</f>
        <v/>
      </c>
      <c r="P91" s="48" t="str">
        <f t="shared" ca="1" si="156"/>
        <v/>
      </c>
      <c r="Q91" s="48">
        <f ca="1">IF(M91&gt;=1,0,MAX($Q$2:Q90)+1)</f>
        <v>82</v>
      </c>
      <c r="U91" s="48" t="str">
        <f ca="1">IFERROR(INDEX(PDC,MATCH(ROWS(U$3:U91),$V$3:$V$400,0),2),"")</f>
        <v>DENARO IN CASSA</v>
      </c>
      <c r="V91" s="48">
        <f ca="1">IF(AND($T$1="VISUALIZZA TUTTI I CONTI",AA91&lt;&gt;""),MAX($V$2:V90)+1,IF(AND($U$2=2,AI91=$T$1),MAX($V$2:V90)+1,IF(AND($U$2=1,$T$1=AF91),MAX($V$2:V90)+1,0)))</f>
        <v>89</v>
      </c>
      <c r="Z91" s="246"/>
      <c r="AA91" s="48" t="str">
        <f t="shared" ca="1" si="157"/>
        <v>08.00</v>
      </c>
      <c r="AB91" s="48" t="str">
        <f ca="1">IFERROR(INDEX($A$3:$G$400,MATCH(ROWS(AB$3:AB91),$Q$3:$Q$400,0),1),"")</f>
        <v>08.20</v>
      </c>
      <c r="AC91" s="48" t="str">
        <f ca="1">IFERROR(INDEX($A$3:$G$400,MATCH(ROWS($AC$3:AC91),$Q$3:$Q$400,0),2),"")</f>
        <v>DENARO IN CASSA</v>
      </c>
      <c r="AD91" s="48" t="str">
        <f ca="1">IFERROR(INDEX($A$3:$G$400,MATCH(ROWS(AD$3:AD91),$Q$3:$Q$400,0),3),"")</f>
        <v>F</v>
      </c>
      <c r="AE91" s="48" t="str">
        <f ca="1">IFERROR(INDEX($A$3:$G$400,MATCH(ROWS(AE$3:AE91),$Q$3:$Q$400,0),4),"")</f>
        <v>D</v>
      </c>
      <c r="AF91" s="48" t="str">
        <f ca="1">IFERROR(INDEX($A$3:$G$400,MATCH(ROWS(AF$3:AF91),$Q$3:$Q$400,0),5),"")</f>
        <v>DISPONIBILITÀ LIQUIDE</v>
      </c>
      <c r="AG91" s="48" t="str">
        <f ca="1">IFERROR(INDEX($A$3:$G$400,MATCH(ROWS(AG$3:AG91),$Q$3:$Q$400,0),6),"")</f>
        <v>SP DARE</v>
      </c>
      <c r="AH91" s="48" t="str">
        <f ca="1">IFERROR(INDEX($A$3:$G$400,MATCH(ROWS(AH$3:AH91),$Q$3:$Q$400,0),7),"")</f>
        <v>SP</v>
      </c>
      <c r="AI91" s="48" t="str">
        <f t="shared" ca="1" si="158"/>
        <v>DISPONIBILITÀ LIQUIDE</v>
      </c>
      <c r="AJ91" s="48" t="str">
        <f ca="1">IFERROR(INDEX($A$3:$H$400,MATCH(ROWS(AJ$3:AJ91),$Q$3:$Q$400,0),8),"")</f>
        <v>pac4</v>
      </c>
      <c r="AK91" s="48">
        <f t="shared" ca="1" si="130"/>
        <v>0</v>
      </c>
      <c r="AL91" s="48">
        <f t="shared" ca="1" si="131"/>
        <v>0</v>
      </c>
      <c r="AM91" s="48">
        <f t="shared" ca="1" si="159"/>
        <v>0</v>
      </c>
      <c r="AN91" s="48" t="str">
        <f t="shared" ca="1" si="160"/>
        <v/>
      </c>
      <c r="AO91" s="48">
        <f t="shared" ca="1" si="161"/>
        <v>0</v>
      </c>
      <c r="AP91" s="48">
        <f t="shared" ca="1" si="161"/>
        <v>0</v>
      </c>
      <c r="AQ91" s="48" t="str">
        <f t="shared" ca="1" si="132"/>
        <v>DENARO IN CASSA</v>
      </c>
      <c r="AR91" s="48">
        <f t="shared" ca="1" si="133"/>
        <v>0</v>
      </c>
      <c r="AS91" s="48">
        <f t="shared" ca="1" si="134"/>
        <v>0</v>
      </c>
      <c r="AT91" s="48">
        <f t="shared" ca="1" si="162"/>
        <v>0</v>
      </c>
      <c r="AU91" s="48">
        <f t="shared" ca="1" si="163"/>
        <v>0</v>
      </c>
      <c r="AV91" s="48">
        <f ca="1">IF(OR(AT91&gt;0,AU91&gt;0),MAX($AV$2:AV90)+1,0)</f>
        <v>0</v>
      </c>
      <c r="AZ91" s="241" t="str">
        <f t="shared" ca="1" si="164"/>
        <v/>
      </c>
      <c r="BA91" s="48">
        <f t="shared" ca="1" si="135"/>
        <v>0</v>
      </c>
      <c r="BB91" s="48">
        <f ca="1">IFERROR(INDEX($AQ$3:$AV$220,MATCH(ROWS($BB$3:BB91),$AV$3:$AV$220,0),1),0)</f>
        <v>0</v>
      </c>
      <c r="BC91" s="48" t="str">
        <f t="shared" ca="1" si="165"/>
        <v/>
      </c>
      <c r="BD91" s="48">
        <f ca="1">IFERROR(INDEX($AQ$3:$AV$220,MATCH(ROWS($BB$3:BD91),$AV$3:$AV$220,0),4),0)</f>
        <v>0</v>
      </c>
      <c r="BE91" s="48">
        <f ca="1">IFERROR(INDEX($AQ$3:$AV$220,MATCH(ROWS($BB$3:BE91),$AV$3:$AV$220,0),5),0)</f>
        <v>0</v>
      </c>
      <c r="BG91" s="48">
        <f ca="1">IF(IF(AND(OR(INDEX(PDC,MATCH($AC91,DEN_PDC,0),6)="SP DARE",INDEX(PDC,MATCH($AC91,DEN_PDC,0),6)="SP DARE/AVERE"),SUMIFS(DARE,DEN_G,$AC91)&gt;=SUMIFS(AVERE,DEN_G,$AC91)),SUMIFS(DARE,DEN_G,$AC91)-SUMIFS(AVERE,DEN_G,$AC91),0)&gt;0,MAX($BG$2:BG90)+1,0)</f>
        <v>0</v>
      </c>
      <c r="BH91" s="48">
        <f ca="1">IF(IF(AND(OR(INDEX(PDC,MATCH($AC91,DEN_PDC,0),6)="SP AVERE",INDEX(PDC,MATCH($AC91,DEN_PDC,0),6)="SP DARE/AVERE"),SUMIFS(AVERE,DEN_G,$AC91)&gt;=SUMIFS(DARE,DEN_G,$AC91)),SUMIFS(AVERE,DEN_G,$AC91)-SUMIFS(DARE,DEN_G,$AC91),0)&gt;0,MAX(BH$2:BH90)+1,0)</f>
        <v>0</v>
      </c>
      <c r="BI91" s="48">
        <f ca="1">IF(IF(AND(OR(INDEX(PDC,MATCH($AC91,DEN_PDC,0),6)="SE DARE",INDEX(PDC,MATCH($AC91,DEN_PDC,0),6)="SE DARE/AVERE"),SUMIFS(DARE,DEN_G,$AC91)&gt;=SUMIFS(AVERE,DEN_G,$AC91)),SUMIFS(DARE,DEN_G,$AC91)-SUMIFS(AVERE,DEN_G,$AC91),0)&gt;0,MAX(BI$2:BI90)+1,0)</f>
        <v>0</v>
      </c>
      <c r="BJ91" s="48">
        <f ca="1">IF(IF(AND(OR(INDEX(PDC,MATCH($AC91,DEN_PDC,0),6)="SE AVERE",INDEX(PDC,MATCH($AC91,DEN_PDC,0),6)="SE DARE/AVERE"),SUMIFS(AVERE,DEN_G,$AC91)&gt;=SUMIFS(DARE,DEN_G,$AC91)),SUMIFS(AVERE,DEN_G,$AC91)-SUMIFS(DARE,DEN_G,$AC91),0)&gt;0,MAX(BJ$2:BJ90)+1,0)</f>
        <v>0</v>
      </c>
      <c r="BK91" s="48" t="str">
        <f ca="1">IF(AND(AND($DY$2=0,$DY$1=0),$I$1=2,ROW()&gt;$BG$1+2,ROW()&lt;=$BG$1+4),"………………..",IF(AND(OR($DY$2&gt;0,$DY$1&gt;0),$I$1=2,ROW()&gt;$BG$1+2,ROW()&lt;=$BG$1+4),"………………..",IFERROR(INDEX($AC$3:$AC$398,MATCH(ROWS(BK$3:BK91),BG$3:BG$398,0),1),"")))</f>
        <v/>
      </c>
      <c r="BL91" s="48">
        <f t="shared" ca="1" si="136"/>
        <v>0</v>
      </c>
      <c r="BM91" s="48" t="str">
        <f ca="1">IF(AND(OR($DY$2=0,$DY$1=0),$I$1=2,ROW()&gt;$BH$1+2,ROW()&lt;=$BH$1+4),"………………..",IF(AND(OR($DY$2&gt;0,$DY$1&gt;0),$I$1=2,ROW()&gt;$BH$1+2,ROW()&lt;=$BH$1+4),"………………..",IFERROR(INDEX($AC$3:$AC$400,MATCH(ROWS(BM$3:BM91),BH$3:BH$400,0),1),"")))</f>
        <v/>
      </c>
      <c r="BN91" s="48">
        <f t="shared" ca="1" si="137"/>
        <v>0</v>
      </c>
      <c r="BO91" s="48" t="str">
        <f ca="1">IF(AND(OR($DY$2=0,$DY$1=0),$I$1=2,ROW()&gt;$BI$1+2,ROW()&lt;=$BI$1+4),"………………..",IF(AND(OR($DY$2&gt;0,$DY$1&gt;0),$I$1=2,ROW()&gt;$BI$1+2,ROW()&lt;=$BI$1+4),"………………..",IFERROR(INDEX($AC$3:$AC$400,MATCH(ROWS(BO$3:BO91),BI$3:BI$400,0),1),"")))</f>
        <v/>
      </c>
      <c r="BP91" s="48">
        <f t="shared" ca="1" si="138"/>
        <v>0</v>
      </c>
      <c r="BQ91" s="48" t="str">
        <f ca="1">IF(AND(OR($DY$2=0,$DY$1=0),$I$1=2,ROW()&gt;$BJ$1+2,ROW()&lt;=$BJ$1+4),"………………..",IF(AND(OR($DY$2&gt;0,$DY$1&gt;0),$I$1=2,ROW()&gt;$BJ$1+2,ROW()&lt;=$BJ$1+4),"………………..",IFERROR(INDEX($AC$3:$AC$400,MATCH(ROWS(BQ$3:BQ91),BJ$3:BJ$400,0),1),"")))</f>
        <v/>
      </c>
      <c r="BR91" s="48">
        <f t="shared" ca="1" si="139"/>
        <v>0</v>
      </c>
      <c r="BS91" s="48">
        <f ca="1">IF(IF(AND(OR(INDEX(PDC,MATCH($AC91,DEN_PDC,0),4)="D",INDEX(PDC,MATCH($AC91,DEN_PDC,0),4)="D/A"),SUMIFS(DARE,DEN_G,$AC91)&gt;=SUMIFS(AVERE,DEN_G,$AC91)),SUMIFS(DARE,DEN_G,$AC91),IF(AND(OR(INDEX(PDC,MATCH($AC91,DEN_PDC,0),4)="A",INDEX(PDC,MATCH($AC91,DEN_PDC,0),4)="D/A"),SUMIFS(AVERE,DEN_G,$AC91)&gt;=SUMIFS(DARE,DEN_G,$AC91)),SUMIFS(AVERE,DEN_G,$AC91),))&gt;0,MAX($BS$2:BS90)+1,0)</f>
        <v>0</v>
      </c>
      <c r="BT91" s="48" t="str">
        <f ca="1">IF($CO$1=0,"",IF(AND($I$1=2,ROW()&gt;$BR$1,ROW()&lt;=$BS$1)," …………….",IF(AND($E$1=1,$BX$1=1,$I$1=2,ROW()=$BQ$1),"TOTALI",IFERROR(INDEX(PDC,MATCH(ROWS(BT$3:BT91),BS$3:BS488,0),2),""))))</f>
        <v/>
      </c>
      <c r="BU91" s="48">
        <f t="shared" ca="1" si="140"/>
        <v>0</v>
      </c>
      <c r="BV91" s="48">
        <f t="shared" ca="1" si="141"/>
        <v>0</v>
      </c>
      <c r="BW91" s="48">
        <f t="shared" ca="1" si="142"/>
        <v>0</v>
      </c>
      <c r="BX91" s="48">
        <f t="shared" ca="1" si="143"/>
        <v>0</v>
      </c>
      <c r="BY91" s="48">
        <f ca="1">IF(OR(BW91&gt;0,BX91&gt;0),MAX($BY$2:BY90)+1,0)</f>
        <v>0</v>
      </c>
      <c r="BZ91" s="48" t="str">
        <f ca="1">IFERROR(INDEX($BT$3:$BY$400,MATCH(ROWS(BZ$3:BZ91),$BY$3:$BY$400,0),1),"")</f>
        <v/>
      </c>
      <c r="CA91" s="48" t="str">
        <f ca="1">IFERROR(INDEX($BT$3:$BY$400,MATCH(ROWS(CA$3:CA91),$BY$3:$BY$400,0),4),"")</f>
        <v/>
      </c>
      <c r="CB91" s="48" t="str">
        <f ca="1">IFERROR(INDEX($BT$3:$BY$400,MATCH(ROWS(CB$3:CB91),$BY$3:$BY$400,0),5),"")</f>
        <v/>
      </c>
      <c r="CC91" s="48" t="str">
        <f t="shared" ca="1" si="144"/>
        <v/>
      </c>
      <c r="CD91" s="48">
        <f ca="1">IF(AND(OR($BF$9=2,$BF$9=3),CE91&lt;&gt;0),MAX($CD$87:CD90)+1,0)</f>
        <v>0</v>
      </c>
      <c r="CE91" s="48">
        <f ca="1">IF(ROUND(SUMIFS(COPIA!$CA$3:$CA$400,COPIA!$CC$3:$CC$400,CF91)-SUMIFS(COPIA!$CB$3:$CB$400,COPIA!$CC$3:$CC$400,CF91),0)&lt;0,0,ROUND(SUMIFS(COPIA!$CA$3:$CA$400,COPIA!$CC$3:$CC$400,CF91)-SUMIFS(COPIA!$CB$3:$CB$400,COPIA!$CC$3:$CC$400,CF91),0))</f>
        <v>0</v>
      </c>
      <c r="CF91" s="48" t="str">
        <f>CF6</f>
        <v>pab1</v>
      </c>
      <c r="CG91" s="48" t="str">
        <f>CG6</f>
        <v>_I___-_Immobilizzazioni immateriali</v>
      </c>
      <c r="CH91" s="242">
        <f t="shared" ca="1" si="112"/>
        <v>0</v>
      </c>
      <c r="CJ91" s="242"/>
      <c r="CM91" s="242" t="str">
        <f t="shared" ca="1" si="166"/>
        <v/>
      </c>
      <c r="CN91" s="243">
        <f t="shared" ca="1" si="167"/>
        <v>0</v>
      </c>
      <c r="CO91" s="48" t="str">
        <f t="shared" ca="1" si="168"/>
        <v/>
      </c>
      <c r="CQ91" s="247">
        <f ca="1">CQ75</f>
        <v>47849</v>
      </c>
      <c r="CR91" s="247">
        <f t="shared" ref="CR91" ca="1" si="222">CR75</f>
        <v>48213</v>
      </c>
      <c r="CS91" s="48">
        <f t="shared" ca="1" si="219"/>
        <v>0</v>
      </c>
      <c r="CT91" s="48">
        <f t="shared" ca="1" si="220"/>
        <v>0</v>
      </c>
      <c r="CU91" s="48">
        <f ca="1">IF(SUMIFS(AVERE,DEN_G,AC91,AVERE,"&gt;"&amp;0)+SUMIFS(DARE,DEN_G,AC91,DARE,"&gt;"&amp;0)&gt;0,MAX($CU$2:CU90)+1,0)</f>
        <v>0</v>
      </c>
      <c r="CV91" s="48" t="str">
        <f ca="1">IF(IFERROR(INDEX(PDC,MATCH(ROWS($CV$3:CV91),$CU$3:$CU$400,0),2),"")="CONTO DI RISULTATO ECONOMICO","",IFERROR(INDEX(PDC,MATCH(ROWS($CV$3:CV91),$CU$3:$CU$400,0),2),""))</f>
        <v/>
      </c>
      <c r="CW91" s="48">
        <f ca="1">IFERROR(IF(CV91&lt;&gt;"",MAX($CW$2:CW90)+1,0),0)</f>
        <v>0</v>
      </c>
      <c r="CX91" s="48">
        <f t="shared" ca="1" si="209"/>
        <v>7</v>
      </c>
      <c r="CY91" s="48" t="str">
        <f t="shared" ca="1" si="208"/>
        <v>MASTRO</v>
      </c>
      <c r="CZ91" s="48" t="e">
        <f t="shared" ca="1" si="211"/>
        <v>#N/A</v>
      </c>
      <c r="DA91" s="48" t="str">
        <f t="shared" ca="1" si="216"/>
        <v/>
      </c>
      <c r="DB91" s="48" t="str">
        <f t="shared" ca="1" si="212"/>
        <v/>
      </c>
      <c r="DC91" s="48" t="str">
        <f t="shared" ca="1" si="213"/>
        <v/>
      </c>
      <c r="DD91" s="48" t="str">
        <f t="shared" ca="1" si="214"/>
        <v/>
      </c>
      <c r="DE91" s="48" t="str">
        <f t="shared" ca="1" si="215"/>
        <v/>
      </c>
      <c r="DF91" s="48">
        <f ca="1">IF(AND(CX91=$DF$1,CX91&lt;&gt;""),0,IF(AND(DB91&lt;&gt;"",OR(DB90&lt;&gt;"",DB92&lt;&gt;"")),MAX($DF$2:DF90)+1,0))</f>
        <v>0</v>
      </c>
      <c r="DH91" s="244" t="s">
        <v>72</v>
      </c>
      <c r="DI91" s="228" t="s">
        <v>73</v>
      </c>
      <c r="DN91" s="48">
        <f ca="1">IF(DI91&lt;&gt;"",MAX($DN$2:DN90)+1,0)</f>
        <v>73</v>
      </c>
      <c r="DQ91" s="227" t="s">
        <v>69</v>
      </c>
      <c r="DR91" s="48" t="s">
        <v>59</v>
      </c>
      <c r="DS91" s="48" t="s">
        <v>312</v>
      </c>
      <c r="DT91" s="48" t="s">
        <v>275</v>
      </c>
      <c r="DU91" s="48" t="s">
        <v>6</v>
      </c>
      <c r="DV91" s="48" t="s">
        <v>270</v>
      </c>
      <c r="DW91" s="48">
        <f ca="1">IF(DR91&lt;&gt;"",MAX($DW$2:DW90)+1,0)</f>
        <v>49</v>
      </c>
      <c r="DX91" s="48" t="str">
        <f t="shared" ca="1" si="217"/>
        <v>pac2</v>
      </c>
      <c r="DY91" s="48" t="str">
        <f t="shared" ca="1" si="147"/>
        <v/>
      </c>
      <c r="DZ91" s="48" t="str">
        <f t="shared" ca="1" si="170"/>
        <v/>
      </c>
      <c r="EA91" s="48" t="str">
        <f t="shared" ca="1" si="171"/>
        <v/>
      </c>
      <c r="EB91" s="48">
        <f t="shared" ca="1" si="172"/>
        <v>0</v>
      </c>
      <c r="EC91" s="48">
        <f t="shared" ca="1" si="173"/>
        <v>0</v>
      </c>
      <c r="ED91" s="48" t="str">
        <f t="shared" ca="1" si="174"/>
        <v/>
      </c>
      <c r="EE91" s="48">
        <f t="shared" ca="1" si="175"/>
        <v>0</v>
      </c>
      <c r="EF91" s="48" t="str">
        <f t="shared" ca="1" si="176"/>
        <v/>
      </c>
      <c r="EG91" s="48">
        <f t="shared" ca="1" si="177"/>
        <v>0</v>
      </c>
      <c r="EH91" s="48" t="str">
        <f t="shared" ca="1" si="178"/>
        <v/>
      </c>
      <c r="EI91" s="48">
        <f t="shared" ca="1" si="179"/>
        <v>0</v>
      </c>
      <c r="EJ91" s="48" t="str">
        <f t="shared" ca="1" si="180"/>
        <v/>
      </c>
      <c r="EK91" s="48">
        <f t="shared" ca="1" si="181"/>
        <v>0</v>
      </c>
      <c r="EL91" s="48">
        <f t="shared" ca="1" si="148"/>
        <v>0</v>
      </c>
      <c r="EM91" s="48">
        <f ca="1">IF(EL91&gt;=0,0,MAX($EM$2:EM90)+1)</f>
        <v>0</v>
      </c>
      <c r="EN91" s="48" t="str">
        <f t="shared" ca="1" si="182"/>
        <v/>
      </c>
      <c r="EO91" s="48" t="str">
        <f ca="1">IFERROR(INDEX($EM$3:$EN$400,MATCH(ROWS($EO$3:EO91),$EM$3:$EM$400,0),2),"")</f>
        <v/>
      </c>
      <c r="EP91" s="48">
        <f>ROW()</f>
        <v>91</v>
      </c>
      <c r="EQ91" s="48">
        <f t="shared" ca="1" si="149"/>
        <v>0</v>
      </c>
      <c r="ER91" s="48">
        <f ca="1">IF(ISNA(EQ91)=TRUE,MAX($ER$2:ER90)+1,0)</f>
        <v>0</v>
      </c>
      <c r="ES91" s="48" t="str">
        <f t="shared" ca="1" si="183"/>
        <v/>
      </c>
      <c r="ET91" s="48" t="str">
        <f ca="1">IFERROR(INDEX($ER$3:$ES$400,MATCH(ROWS($ET$3:ET91),$ER$3:$ER$400,0),2),"")</f>
        <v/>
      </c>
      <c r="EU91" s="48">
        <f ca="1">IF(ROUND(SUMIFS(COPIA!$CA$3:$CA$400,COPIA!$CC$3:$CC$400,CF91)-SUMIFS(COPIA!$CB$3:$CB$400,COPIA!$CC$3:$CC$400,CF91),0)&lt;0,1,0)</f>
        <v>0</v>
      </c>
      <c r="EV91" s="48">
        <f ca="1">IFERROR(INDEX(LIBRO_GIORNALE!$O$11:$P$408,MATCH(ROWS($EV$2:EV90),LIBRO_GIORNALE!$P$11:$P$408,0),1),0)</f>
        <v>0</v>
      </c>
      <c r="EW91" s="48" t="str">
        <f t="shared" ca="1" si="184"/>
        <v>0</v>
      </c>
      <c r="EX91" s="48">
        <f t="shared" ca="1" si="185"/>
        <v>0</v>
      </c>
      <c r="EY91" s="48">
        <f ca="1">IF(EX91&gt;0,MAX($EY$2:EY90)+1,0)</f>
        <v>0</v>
      </c>
      <c r="EZ91" s="48">
        <f ca="1">IFERROR(INDEX($EX$3:$EX$400,MATCH(ROWS($EZ$3:EZ91),$EY$3:$EY$400,0),1),0)</f>
        <v>0</v>
      </c>
      <c r="FA91" s="48">
        <f ca="1">IF(EZ91&gt;0,0,MAX($FA$2:FA90)+1)</f>
        <v>89</v>
      </c>
      <c r="FB91" s="48">
        <f t="shared" ca="1" si="186"/>
        <v>0</v>
      </c>
      <c r="FC91" s="48">
        <f t="shared" ca="1" si="187"/>
        <v>89</v>
      </c>
      <c r="FD91" s="48">
        <f t="shared" ca="1" si="188"/>
        <v>89</v>
      </c>
      <c r="FE91" s="48">
        <f ca="1">IF(FD91=0,0,MAX($FE$2:FE90)+1)</f>
        <v>89</v>
      </c>
      <c r="FF91" s="48">
        <f ca="1">IFERROR(INDEX($FD$3:$FE$400,MATCH(ROWS($FF$3:FF91),$FE$3:$FE$400,0),1),"")</f>
        <v>89</v>
      </c>
      <c r="FH91" s="48">
        <f t="shared" ca="1" si="189"/>
        <v>0</v>
      </c>
      <c r="FI91" s="48">
        <f ca="1">IF(FH91&lt;&gt;0,MAX($FI$2:FI90)+1,0)</f>
        <v>0</v>
      </c>
      <c r="FJ91" s="48" t="str">
        <f ca="1">IFERROR(INDEX($FH$3:$FI$400,MATCH(ROWS($FJ$3:FJ91),$FI$3:$FI$400,0),1),"")</f>
        <v/>
      </c>
      <c r="FK91" s="48">
        <f ca="1">IF(ABS(SUMIFS(DARE,DEN_G,"="&amp;FJ91,DATA,"&lt;="&amp;FINE_AC,DATA,"&gt;="&amp;INIZIO_A_PC)-SUMIFS(AVERE,DEN_G,"="&amp;FJ91,DATA,"&lt;="&amp;FINE_AC,DATA,"&gt;="&amp;INIZIO_A_PC))&gt;0,MAX($FK$2:FK90)+1,0)</f>
        <v>0</v>
      </c>
      <c r="FL91" s="48" t="str">
        <f ca="1">IF(AND(ROW()-2&lt;&gt;1,ROW()-2&lt;=$FK$1),CONCATENATE(" - ",IFERROR(INDEX($FJ$3:$FK$400,MATCH(ROWS($FL$3:FL91),$FK$3:$FK$400,0),1),"")),IFERROR(INDEX($FJ$3:$FK$400,MATCH(ROWS($FL$3:FL91),$FK$3:$FK$400,0),1),""))</f>
        <v/>
      </c>
      <c r="FM91" s="48">
        <f ca="1">IF(OR(B91="IVA ns/credito",B91="IVA NS/DEBITO",B91="IVA C/ACCONTO",B91="IMPOSTE C/ACCONTO",B91="CREDITI PER RITENUTE SUBITE",B91="CREDITI D'IMPOSTA"),MAX($FM$2:FM90)+1,0)</f>
        <v>0</v>
      </c>
      <c r="FN91" s="48" t="str">
        <f t="shared" ca="1" si="190"/>
        <v/>
      </c>
      <c r="FO91" s="48" t="str">
        <f ca="1">IFERROR(INDEX($FM$3:$FN$400,MATCH(ROWS($FO$3:FO91),$FM$3:$FM$400,0),2),"")</f>
        <v/>
      </c>
      <c r="FP91" s="48">
        <f ca="1">IF(ABS(SUMIFS(DARE,DEN_G,"="&amp;FO91,DATA,"&lt;="&amp;FINE_AC,DATA,"&gt;="&amp;INIZIO_A_PC)-SUMIFS(AVERE,DEN_G,"="&amp;FO91,DATA,"&lt;="&amp;FINE_AC,DATA,"&gt;="&amp;INIZIO_A_PC))&gt;0,MAX($FP$2:FP90)+1,0)</f>
        <v>0</v>
      </c>
      <c r="FQ91" s="48" t="str">
        <f ca="1">IF(AND(ROW()-2&lt;&gt;1,ROW()-2&lt;=$FP$1),CONCATENATE(" - ",IFERROR(INDEX($FO$3:$FP$400,MATCH(ROWS($FQ$3:FQ91),$FP$3:$FP$400,0),1),"")),IFERROR(INDEX($FO$3:$FP$400,MATCH(ROWS($FQ$3:FQ91),$FP$3:$FP$400,0),1),""))</f>
        <v/>
      </c>
    </row>
    <row r="92" spans="1:173" x14ac:dyDescent="0.3">
      <c r="A92" s="48" t="str">
        <f ca="1">IFERROR(IF($A$1=2,INDEX($DH$3:$DN$401,MATCH(ROWS(A$3:A92),$DN$3:$DN$401,0),COLUMN()),IF($A$1=1,INDEX($DQ$3:$DW$401,MATCH(ROWS(A$3:A92),$DW$3:$DW$401,0),COLUMN()),"")),"")</f>
        <v>07.00</v>
      </c>
      <c r="B92" s="48" t="str">
        <f ca="1">IFERROR(IF($A$1=2,INDEX($DH$3:$DN$401,MATCH(ROWS(B$3:B92),$DN$3:$DN$401,0),COLUMN()),IF($A$1=1,INDEX($DQ$3:$DW$400,MATCH(ROWS(B$3:B92),$DW$3:$DW$401,0),COLUMN()),"")),"")</f>
        <v>ATTIVITÀ FINANZIARIE</v>
      </c>
      <c r="C92" s="48">
        <f ca="1">IFERROR(IF($A$1=2,INDEX($DH$3:$DN$401,MATCH(ROWS(C$3:C92),$DN$3:$DN$401,0),COLUMN()),IF($A$1=1,INDEX($DQ$3:$DW$401,MATCH(ROWS(C$3:C92),$DW$3:$DW$401,0),COLUMN()),"")),"")</f>
        <v>0</v>
      </c>
      <c r="D92" s="48">
        <f ca="1">IFERROR(IF($A$1=2,INDEX($DH$3:$DN$401,MATCH(ROWS(D$3:D92),$DN$3:$DN$401,0),COLUMN()),IF($A$1=1,INDEX($DQ$3:$DW$401,MATCH(ROWS(D$3:D92),$DW$3:$DW$401,0),COLUMN()),"")),"")</f>
        <v>0</v>
      </c>
      <c r="E92" s="48">
        <f ca="1">IFERROR(IF($A$1=2,INDEX($DH$3:$DN$401,MATCH(ROWS(E$3:E92),$DN$3:$DN$401,0),COLUMN()),IF($A$1=1,INDEX($DQ$3:$DW$401,MATCH(ROWS(E$3:E92),$DW$3:$DW$401,0),COLUMN()),"")),"")</f>
        <v>0</v>
      </c>
      <c r="F92" s="48">
        <f ca="1">IFERROR(IF($A$1=2,INDEX($DH$3:$DN$401,MATCH(ROWS(F$3:F92),$DN$3:$DN$401,0),COLUMN()),IF($A$1=1,INDEX($DQ$3:$DX$401,MATCH(ROWS(F$3:F92),$DW$3:$DW$401,0),COLUMN()),"")),"")</f>
        <v>0</v>
      </c>
      <c r="G92" s="48" t="str">
        <f t="shared" ca="1" si="150"/>
        <v>0</v>
      </c>
      <c r="H92" s="48">
        <f ca="1">IFERROR(IF($A$1=2,INDEX($DH$3:$DO$400,MATCH(ROWS(H$3:H92),$DN$3:$DN$400,0),COLUMN()),IF($A$1=1,INDEX($DQ$3:$DX$400,MATCH(ROWS(H$3:H92),$DW$3:$DW$400,0),COLUMN()),"")),"")</f>
        <v>0</v>
      </c>
      <c r="I92" s="48" t="str">
        <f t="shared" ca="1" si="151"/>
        <v/>
      </c>
      <c r="J92" s="48" t="str">
        <f t="shared" ca="1" si="152"/>
        <v/>
      </c>
      <c r="K92" s="48">
        <f t="shared" ca="1" si="153"/>
        <v>0</v>
      </c>
      <c r="L92" s="48">
        <f t="shared" ca="1" si="154"/>
        <v>0</v>
      </c>
      <c r="M92" s="48">
        <f ca="1">IFERROR(IF(IF(MID($A92,3,3)=".00",MID(A92,1,2),"")&lt;&gt;"",MAX($M$2:M91)+1,0),"")</f>
        <v>8</v>
      </c>
      <c r="N92" s="48" t="str">
        <f t="shared" ca="1" si="155"/>
        <v>07</v>
      </c>
      <c r="O92" s="48" t="str">
        <f ca="1">IF(IFERROR(INDEX($N$3:$O$300,MATCH(ROWS($O$3:O92),$M$3:$M$300,0),1),"")&lt;&gt;"",CONCATENATE(INDEX($N$3:$O$300,MATCH(ROWS($O$3:O92),$M$3:$M$300,0),1),".00"),"")</f>
        <v/>
      </c>
      <c r="P92" s="48" t="str">
        <f t="shared" ca="1" si="156"/>
        <v/>
      </c>
      <c r="Q92" s="48">
        <f ca="1">IF(M92&gt;=1,0,MAX($Q$2:Q91)+1)</f>
        <v>0</v>
      </c>
      <c r="U92" s="48" t="str">
        <f ca="1">IFERROR(INDEX(PDC,MATCH(ROWS(U$3:U92),$V$3:$V$400,0),2),"")</f>
        <v>VALORI BOLLATI</v>
      </c>
      <c r="V92" s="48">
        <f ca="1">IF(AND($T$1="VISUALIZZA TUTTI I CONTI",AA92&lt;&gt;""),MAX($V$2:V91)+1,IF(AND($U$2=2,AI92=$T$1),MAX($V$2:V91)+1,IF(AND($U$2=1,$T$1=AF92),MAX($V$2:V91)+1,0)))</f>
        <v>90</v>
      </c>
      <c r="Z92" s="246"/>
      <c r="AA92" s="48" t="str">
        <f t="shared" ca="1" si="157"/>
        <v>08.00</v>
      </c>
      <c r="AB92" s="48" t="str">
        <f ca="1">IFERROR(INDEX($A$3:$G$400,MATCH(ROWS(AB$3:AB92),$Q$3:$Q$400,0),1),"")</f>
        <v>08.21</v>
      </c>
      <c r="AC92" s="48" t="str">
        <f ca="1">IFERROR(INDEX($A$3:$G$400,MATCH(ROWS($AC$3:AC92),$Q$3:$Q$400,0),2),"")</f>
        <v>VALORI BOLLATI</v>
      </c>
      <c r="AD92" s="48" t="str">
        <f ca="1">IFERROR(INDEX($A$3:$G$400,MATCH(ROWS(AD$3:AD92),$Q$3:$Q$400,0),3),"")</f>
        <v>F</v>
      </c>
      <c r="AE92" s="48" t="str">
        <f ca="1">IFERROR(INDEX($A$3:$G$400,MATCH(ROWS(AE$3:AE92),$Q$3:$Q$400,0),4),"")</f>
        <v>D</v>
      </c>
      <c r="AF92" s="48" t="str">
        <f ca="1">IFERROR(INDEX($A$3:$G$400,MATCH(ROWS(AF$3:AF92),$Q$3:$Q$400,0),5),"")</f>
        <v>DISPONIBILITÀ LIQUIDE</v>
      </c>
      <c r="AG92" s="48" t="str">
        <f ca="1">IFERROR(INDEX($A$3:$G$400,MATCH(ROWS(AG$3:AG92),$Q$3:$Q$400,0),6),"")</f>
        <v>SP DARE</v>
      </c>
      <c r="AH92" s="48" t="str">
        <f ca="1">IFERROR(INDEX($A$3:$G$400,MATCH(ROWS(AH$3:AH92),$Q$3:$Q$400,0),7),"")</f>
        <v>SP</v>
      </c>
      <c r="AI92" s="48" t="str">
        <f t="shared" ca="1" si="158"/>
        <v>DISPONIBILITÀ LIQUIDE</v>
      </c>
      <c r="AJ92" s="48" t="str">
        <f ca="1">IFERROR(INDEX($A$3:$H$400,MATCH(ROWS(AJ$3:AJ92),$Q$3:$Q$400,0),8),"")</f>
        <v>pac4</v>
      </c>
      <c r="AK92" s="48">
        <f t="shared" ca="1" si="130"/>
        <v>0</v>
      </c>
      <c r="AL92" s="48">
        <f t="shared" ca="1" si="131"/>
        <v>0</v>
      </c>
      <c r="AM92" s="48">
        <f t="shared" ca="1" si="159"/>
        <v>0</v>
      </c>
      <c r="AN92" s="48" t="str">
        <f t="shared" ca="1" si="160"/>
        <v/>
      </c>
      <c r="AO92" s="48">
        <f t="shared" ca="1" si="161"/>
        <v>0</v>
      </c>
      <c r="AP92" s="48">
        <f t="shared" ca="1" si="161"/>
        <v>0</v>
      </c>
      <c r="AQ92" s="48" t="str">
        <f t="shared" ca="1" si="132"/>
        <v>VALORI BOLLATI</v>
      </c>
      <c r="AR92" s="48">
        <f t="shared" ca="1" si="133"/>
        <v>0</v>
      </c>
      <c r="AS92" s="48">
        <f t="shared" ca="1" si="134"/>
        <v>0</v>
      </c>
      <c r="AT92" s="48">
        <f t="shared" ca="1" si="162"/>
        <v>0</v>
      </c>
      <c r="AU92" s="48">
        <f t="shared" ca="1" si="163"/>
        <v>0</v>
      </c>
      <c r="AV92" s="48">
        <f ca="1">IF(OR(AT92&gt;0,AU92&gt;0),MAX($AV$2:AV91)+1,0)</f>
        <v>0</v>
      </c>
      <c r="AZ92" s="241" t="str">
        <f t="shared" ca="1" si="164"/>
        <v/>
      </c>
      <c r="BA92" s="48">
        <f t="shared" ca="1" si="135"/>
        <v>0</v>
      </c>
      <c r="BB92" s="48">
        <f ca="1">IFERROR(INDEX($AQ$3:$AV$220,MATCH(ROWS($BB$3:BB92),$AV$3:$AV$220,0),1),0)</f>
        <v>0</v>
      </c>
      <c r="BC92" s="48" t="str">
        <f t="shared" ca="1" si="165"/>
        <v/>
      </c>
      <c r="BD92" s="48">
        <f ca="1">IFERROR(INDEX($AQ$3:$AV$220,MATCH(ROWS($BB$3:BD92),$AV$3:$AV$220,0),4),0)</f>
        <v>0</v>
      </c>
      <c r="BE92" s="48">
        <f ca="1">IFERROR(INDEX($AQ$3:$AV$220,MATCH(ROWS($BB$3:BE92),$AV$3:$AV$220,0),5),0)</f>
        <v>0</v>
      </c>
      <c r="BG92" s="48">
        <f ca="1">IF(IF(AND(OR(INDEX(PDC,MATCH($AC92,DEN_PDC,0),6)="SP DARE",INDEX(PDC,MATCH($AC92,DEN_PDC,0),6)="SP DARE/AVERE"),SUMIFS(DARE,DEN_G,$AC92)&gt;=SUMIFS(AVERE,DEN_G,$AC92)),SUMIFS(DARE,DEN_G,$AC92)-SUMIFS(AVERE,DEN_G,$AC92),0)&gt;0,MAX($BG$2:BG91)+1,0)</f>
        <v>0</v>
      </c>
      <c r="BH92" s="48">
        <f ca="1">IF(IF(AND(OR(INDEX(PDC,MATCH($AC92,DEN_PDC,0),6)="SP AVERE",INDEX(PDC,MATCH($AC92,DEN_PDC,0),6)="SP DARE/AVERE"),SUMIFS(AVERE,DEN_G,$AC92)&gt;=SUMIFS(DARE,DEN_G,$AC92)),SUMIFS(AVERE,DEN_G,$AC92)-SUMIFS(DARE,DEN_G,$AC92),0)&gt;0,MAX(BH$2:BH91)+1,0)</f>
        <v>0</v>
      </c>
      <c r="BI92" s="48">
        <f ca="1">IF(IF(AND(OR(INDEX(PDC,MATCH($AC92,DEN_PDC,0),6)="SE DARE",INDEX(PDC,MATCH($AC92,DEN_PDC,0),6)="SE DARE/AVERE"),SUMIFS(DARE,DEN_G,$AC92)&gt;=SUMIFS(AVERE,DEN_G,$AC92)),SUMIFS(DARE,DEN_G,$AC92)-SUMIFS(AVERE,DEN_G,$AC92),0)&gt;0,MAX(BI$2:BI91)+1,0)</f>
        <v>0</v>
      </c>
      <c r="BJ92" s="48">
        <f ca="1">IF(IF(AND(OR(INDEX(PDC,MATCH($AC92,DEN_PDC,0),6)="SE AVERE",INDEX(PDC,MATCH($AC92,DEN_PDC,0),6)="SE DARE/AVERE"),SUMIFS(AVERE,DEN_G,$AC92)&gt;=SUMIFS(DARE,DEN_G,$AC92)),SUMIFS(AVERE,DEN_G,$AC92)-SUMIFS(DARE,DEN_G,$AC92),0)&gt;0,MAX(BJ$2:BJ91)+1,0)</f>
        <v>0</v>
      </c>
      <c r="BK92" s="48" t="str">
        <f ca="1">IF(AND(AND($DY$2=0,$DY$1=0),$I$1=2,ROW()&gt;$BG$1+2,ROW()&lt;=$BG$1+4),"………………..",IF(AND(OR($DY$2&gt;0,$DY$1&gt;0),$I$1=2,ROW()&gt;$BG$1+2,ROW()&lt;=$BG$1+4),"………………..",IFERROR(INDEX($AC$3:$AC$398,MATCH(ROWS(BK$3:BK92),BG$3:BG$398,0),1),"")))</f>
        <v/>
      </c>
      <c r="BL92" s="48">
        <f t="shared" ca="1" si="136"/>
        <v>0</v>
      </c>
      <c r="BM92" s="48" t="str">
        <f ca="1">IF(AND(OR($DY$2=0,$DY$1=0),$I$1=2,ROW()&gt;$BH$1+2,ROW()&lt;=$BH$1+4),"………………..",IF(AND(OR($DY$2&gt;0,$DY$1&gt;0),$I$1=2,ROW()&gt;$BH$1+2,ROW()&lt;=$BH$1+4),"………………..",IFERROR(INDEX($AC$3:$AC$400,MATCH(ROWS(BM$3:BM92),BH$3:BH$400,0),1),"")))</f>
        <v/>
      </c>
      <c r="BN92" s="48">
        <f t="shared" ca="1" si="137"/>
        <v>0</v>
      </c>
      <c r="BO92" s="48" t="str">
        <f ca="1">IF(AND(OR($DY$2=0,$DY$1=0),$I$1=2,ROW()&gt;$BI$1+2,ROW()&lt;=$BI$1+4),"………………..",IF(AND(OR($DY$2&gt;0,$DY$1&gt;0),$I$1=2,ROW()&gt;$BI$1+2,ROW()&lt;=$BI$1+4),"………………..",IFERROR(INDEX($AC$3:$AC$400,MATCH(ROWS(BO$3:BO92),BI$3:BI$400,0),1),"")))</f>
        <v/>
      </c>
      <c r="BP92" s="48">
        <f t="shared" ca="1" si="138"/>
        <v>0</v>
      </c>
      <c r="BQ92" s="48" t="str">
        <f ca="1">IF(AND(OR($DY$2=0,$DY$1=0),$I$1=2,ROW()&gt;$BJ$1+2,ROW()&lt;=$BJ$1+4),"………………..",IF(AND(OR($DY$2&gt;0,$DY$1&gt;0),$I$1=2,ROW()&gt;$BJ$1+2,ROW()&lt;=$BJ$1+4),"………………..",IFERROR(INDEX($AC$3:$AC$400,MATCH(ROWS(BQ$3:BQ92),BJ$3:BJ$400,0),1),"")))</f>
        <v/>
      </c>
      <c r="BR92" s="48">
        <f t="shared" ca="1" si="139"/>
        <v>0</v>
      </c>
      <c r="BS92" s="48">
        <f ca="1">IF(IF(AND(OR(INDEX(PDC,MATCH($AC92,DEN_PDC,0),4)="D",INDEX(PDC,MATCH($AC92,DEN_PDC,0),4)="D/A"),SUMIFS(DARE,DEN_G,$AC92)&gt;=SUMIFS(AVERE,DEN_G,$AC92)),SUMIFS(DARE,DEN_G,$AC92),IF(AND(OR(INDEX(PDC,MATCH($AC92,DEN_PDC,0),4)="A",INDEX(PDC,MATCH($AC92,DEN_PDC,0),4)="D/A"),SUMIFS(AVERE,DEN_G,$AC92)&gt;=SUMIFS(DARE,DEN_G,$AC92)),SUMIFS(AVERE,DEN_G,$AC92),))&gt;0,MAX($BS$2:BS91)+1,0)</f>
        <v>0</v>
      </c>
      <c r="BT92" s="48" t="str">
        <f ca="1">IF($CO$1=0,"",IF(AND($I$1=2,ROW()&gt;$BR$1,ROW()&lt;=$BS$1)," …………….",IF(AND($E$1=1,$BX$1=1,$I$1=2,ROW()=$BQ$1),"TOTALI",IFERROR(INDEX(PDC,MATCH(ROWS(BT$3:BT92),BS$3:BS489,0),2),""))))</f>
        <v/>
      </c>
      <c r="BU92" s="48">
        <f t="shared" ca="1" si="140"/>
        <v>0</v>
      </c>
      <c r="BV92" s="48">
        <f t="shared" ca="1" si="141"/>
        <v>0</v>
      </c>
      <c r="BW92" s="48">
        <f t="shared" ca="1" si="142"/>
        <v>0</v>
      </c>
      <c r="BX92" s="48">
        <f t="shared" ca="1" si="143"/>
        <v>0</v>
      </c>
      <c r="BY92" s="48">
        <f ca="1">IF(OR(BW92&gt;0,BX92&gt;0),MAX($BY$2:BY91)+1,0)</f>
        <v>0</v>
      </c>
      <c r="BZ92" s="48" t="str">
        <f ca="1">IFERROR(INDEX($BT$3:$BY$400,MATCH(ROWS(BZ$3:BZ92),$BY$3:$BY$400,0),1),"")</f>
        <v/>
      </c>
      <c r="CA92" s="48" t="str">
        <f ca="1">IFERROR(INDEX($BT$3:$BY$400,MATCH(ROWS(CA$3:CA92),$BY$3:$BY$400,0),4),"")</f>
        <v/>
      </c>
      <c r="CB92" s="48" t="str">
        <f ca="1">IFERROR(INDEX($BT$3:$BY$400,MATCH(ROWS(CB$3:CB92),$BY$3:$BY$400,0),5),"")</f>
        <v/>
      </c>
      <c r="CC92" s="48" t="str">
        <f t="shared" ca="1" si="144"/>
        <v/>
      </c>
      <c r="CD92" s="48">
        <f ca="1">IF(AND(OR($BF$9=2,$BF$9=3),CE92&lt;&gt;0),MAX($CD$87:CD91)+1,0)</f>
        <v>0</v>
      </c>
      <c r="CE92" s="48">
        <f ca="1">IF(ROUND(SUMIFS(COPIA!$CA$3:$CA$400,COPIA!$CC$3:$CC$400,CF92)-SUMIFS(COPIA!$CB$3:$CB$400,COPIA!$CC$3:$CC$400,CF92),0)&lt;0,0,ROUND(SUMIFS(COPIA!$CA$3:$CA$400,COPIA!$CC$3:$CC$400,CF92)-SUMIFS(COPIA!$CB$3:$CB$400,COPIA!$CC$3:$CC$400,CF92),0))</f>
        <v>0</v>
      </c>
      <c r="CF92" s="48" t="s">
        <v>732</v>
      </c>
      <c r="CG92" s="48" t="str">
        <f>CG15</f>
        <v>_II__-_Immobilizzazioni materiali</v>
      </c>
      <c r="CH92" s="242">
        <f t="shared" ca="1" si="112"/>
        <v>0</v>
      </c>
      <c r="CJ92" s="242"/>
      <c r="CM92" s="242" t="str">
        <f t="shared" ca="1" si="166"/>
        <v/>
      </c>
      <c r="CN92" s="243">
        <f t="shared" ca="1" si="167"/>
        <v>0</v>
      </c>
      <c r="CO92" s="48" t="str">
        <f t="shared" ca="1" si="168"/>
        <v/>
      </c>
      <c r="CQ92" s="242"/>
      <c r="CR92" s="242"/>
      <c r="CS92" s="48" t="s">
        <v>831</v>
      </c>
      <c r="CT92" s="48" t="s">
        <v>832</v>
      </c>
      <c r="CU92" s="48">
        <f ca="1">IF(SUMIFS(AVERE,DEN_G,AC92,AVERE,"&gt;"&amp;0)+SUMIFS(DARE,DEN_G,AC92,DARE,"&gt;"&amp;0)&gt;0,MAX($CU$2:CU91)+1,0)</f>
        <v>0</v>
      </c>
      <c r="CV92" s="48" t="str">
        <f ca="1">IF(IFERROR(INDEX(PDC,MATCH(ROWS($CV$3:CV92),$CU$3:$CU$400,0),2),"")="CONTO DI RISULTATO ECONOMICO","",IFERROR(INDEX(PDC,MATCH(ROWS($CV$3:CV92),$CU$3:$CU$400,0),2),""))</f>
        <v/>
      </c>
      <c r="CW92" s="48">
        <f ca="1">IFERROR(IF(CV92&lt;&gt;"",MAX($CW$2:CW91)+1,0),0)</f>
        <v>0</v>
      </c>
      <c r="CX92" s="48">
        <f t="shared" ca="1" si="209"/>
        <v>7</v>
      </c>
      <c r="CY92" s="48" t="str">
        <f t="shared" ca="1" si="208"/>
        <v>MASTRO</v>
      </c>
      <c r="CZ92" s="48" t="e">
        <f t="shared" ca="1" si="211"/>
        <v>#N/A</v>
      </c>
      <c r="DA92" s="48" t="str">
        <f t="shared" ca="1" si="216"/>
        <v/>
      </c>
      <c r="DB92" s="48" t="str">
        <f t="shared" ca="1" si="212"/>
        <v/>
      </c>
      <c r="DC92" s="48" t="str">
        <f t="shared" ca="1" si="213"/>
        <v/>
      </c>
      <c r="DD92" s="48" t="str">
        <f t="shared" ca="1" si="214"/>
        <v/>
      </c>
      <c r="DE92" s="48" t="str">
        <f t="shared" ca="1" si="215"/>
        <v/>
      </c>
      <c r="DF92" s="48">
        <f ca="1">IF(AND(CX92=$DF$1,CX92&lt;&gt;""),0,IF(AND(DB92&lt;&gt;"",OR(DB91&lt;&gt;"",DB93&lt;&gt;"")),MAX($DF$2:DF91)+1,0))</f>
        <v>0</v>
      </c>
      <c r="DH92" s="244" t="s">
        <v>76</v>
      </c>
      <c r="DI92" s="48" t="s">
        <v>923</v>
      </c>
      <c r="DJ92" s="48" t="s">
        <v>312</v>
      </c>
      <c r="DK92" s="48" t="s">
        <v>275</v>
      </c>
      <c r="DL92" s="48" t="s">
        <v>6</v>
      </c>
      <c r="DM92" s="48" t="s">
        <v>270</v>
      </c>
      <c r="DN92" s="48">
        <f ca="1">IF(DI92&lt;&gt;"",MAX($DN$2:DN91)+1,0)</f>
        <v>74</v>
      </c>
      <c r="DO92" s="48" t="str">
        <f ca="1">IF($BF$9=1,"pac25b","pac2")</f>
        <v>pac2</v>
      </c>
      <c r="DQ92" s="227" t="s">
        <v>70</v>
      </c>
      <c r="DR92" s="48" t="s">
        <v>60</v>
      </c>
      <c r="DS92" s="48" t="s">
        <v>312</v>
      </c>
      <c r="DT92" s="48" t="s">
        <v>275</v>
      </c>
      <c r="DU92" s="48" t="s">
        <v>6</v>
      </c>
      <c r="DV92" s="48" t="s">
        <v>270</v>
      </c>
      <c r="DW92" s="48">
        <f ca="1">IF(DR92&lt;&gt;"",MAX($DW$2:DW91)+1,0)</f>
        <v>50</v>
      </c>
      <c r="DX92" s="48" t="str">
        <f t="shared" ca="1" si="217"/>
        <v>pac2</v>
      </c>
      <c r="DY92" s="48" t="str">
        <f t="shared" ca="1" si="147"/>
        <v/>
      </c>
      <c r="DZ92" s="48" t="str">
        <f t="shared" ca="1" si="170"/>
        <v/>
      </c>
      <c r="EA92" s="48" t="str">
        <f t="shared" ca="1" si="171"/>
        <v/>
      </c>
      <c r="EB92" s="48">
        <f t="shared" ca="1" si="172"/>
        <v>0</v>
      </c>
      <c r="EC92" s="48">
        <f t="shared" ca="1" si="173"/>
        <v>0</v>
      </c>
      <c r="ED92" s="48" t="str">
        <f t="shared" ca="1" si="174"/>
        <v/>
      </c>
      <c r="EE92" s="48">
        <f t="shared" ca="1" si="175"/>
        <v>0</v>
      </c>
      <c r="EF92" s="48" t="str">
        <f t="shared" ca="1" si="176"/>
        <v/>
      </c>
      <c r="EG92" s="48">
        <f t="shared" ca="1" si="177"/>
        <v>0</v>
      </c>
      <c r="EH92" s="48" t="str">
        <f t="shared" ca="1" si="178"/>
        <v/>
      </c>
      <c r="EI92" s="48">
        <f t="shared" ca="1" si="179"/>
        <v>0</v>
      </c>
      <c r="EJ92" s="48" t="str">
        <f t="shared" ca="1" si="180"/>
        <v/>
      </c>
      <c r="EK92" s="48">
        <f t="shared" ca="1" si="181"/>
        <v>0</v>
      </c>
      <c r="EL92" s="48">
        <f t="shared" ca="1" si="148"/>
        <v>0</v>
      </c>
      <c r="EM92" s="48">
        <f ca="1">IF(EL92&gt;=0,0,MAX($EM$2:EM91)+1)</f>
        <v>0</v>
      </c>
      <c r="EN92" s="48" t="str">
        <f t="shared" ca="1" si="182"/>
        <v/>
      </c>
      <c r="EO92" s="48" t="str">
        <f ca="1">IFERROR(INDEX($EM$3:$EN$400,MATCH(ROWS($EO$3:EO92),$EM$3:$EM$400,0),2),"")</f>
        <v/>
      </c>
      <c r="EP92" s="48">
        <f>ROW()</f>
        <v>92</v>
      </c>
      <c r="EQ92" s="48">
        <f t="shared" ca="1" si="149"/>
        <v>0</v>
      </c>
      <c r="ER92" s="48">
        <f ca="1">IF(ISNA(EQ92)=TRUE,MAX($ER$2:ER91)+1,0)</f>
        <v>0</v>
      </c>
      <c r="ES92" s="48" t="str">
        <f t="shared" ca="1" si="183"/>
        <v/>
      </c>
      <c r="ET92" s="48" t="str">
        <f ca="1">IFERROR(INDEX($ER$3:$ES$400,MATCH(ROWS($ET$3:ET92),$ER$3:$ER$400,0),2),"")</f>
        <v/>
      </c>
      <c r="EU92" s="48">
        <f ca="1">IF(ROUND(SUMIFS(COPIA!$CA$3:$CA$400,COPIA!$CC$3:$CC$400,CF92)-SUMIFS(COPIA!$CB$3:$CB$400,COPIA!$CC$3:$CC$400,CF92),0)&lt;0,1,0)</f>
        <v>0</v>
      </c>
      <c r="EV92" s="48">
        <f ca="1">IFERROR(INDEX(LIBRO_GIORNALE!$O$11:$P$408,MATCH(ROWS($EV$2:EV91),LIBRO_GIORNALE!$P$11:$P$408,0),1),0)</f>
        <v>0</v>
      </c>
      <c r="EW92" s="48" t="str">
        <f t="shared" ca="1" si="184"/>
        <v>0</v>
      </c>
      <c r="EX92" s="48">
        <f t="shared" ca="1" si="185"/>
        <v>0</v>
      </c>
      <c r="EY92" s="48">
        <f ca="1">IF(EX92&gt;0,MAX($EY$2:EY91)+1,0)</f>
        <v>0</v>
      </c>
      <c r="EZ92" s="48">
        <f ca="1">IFERROR(INDEX($EX$3:$EX$400,MATCH(ROWS($EZ$3:EZ92),$EY$3:$EY$400,0),1),0)</f>
        <v>0</v>
      </c>
      <c r="FA92" s="48">
        <f ca="1">IF(EZ92&gt;0,0,MAX($FA$2:FA91)+1)</f>
        <v>90</v>
      </c>
      <c r="FB92" s="48">
        <f t="shared" ca="1" si="186"/>
        <v>0</v>
      </c>
      <c r="FC92" s="48">
        <f t="shared" ca="1" si="187"/>
        <v>90</v>
      </c>
      <c r="FD92" s="48">
        <f t="shared" ca="1" si="188"/>
        <v>90</v>
      </c>
      <c r="FE92" s="48">
        <f ca="1">IF(FD92=0,0,MAX($FE$2:FE91)+1)</f>
        <v>90</v>
      </c>
      <c r="FF92" s="48">
        <f ca="1">IFERROR(INDEX($FD$3:$FE$400,MATCH(ROWS($FF$3:FF92),$FE$3:$FE$400,0),1),"")</f>
        <v>90</v>
      </c>
      <c r="FH92" s="48">
        <f t="shared" ca="1" si="189"/>
        <v>0</v>
      </c>
      <c r="FI92" s="48">
        <f ca="1">IF(FH92&lt;&gt;0,MAX($FI$2:FI91)+1,0)</f>
        <v>0</v>
      </c>
      <c r="FJ92" s="48" t="str">
        <f ca="1">IFERROR(INDEX($FH$3:$FI$400,MATCH(ROWS($FJ$3:FJ92),$FI$3:$FI$400,0),1),"")</f>
        <v/>
      </c>
      <c r="FK92" s="48">
        <f ca="1">IF(ABS(SUMIFS(DARE,DEN_G,"="&amp;FJ92,DATA,"&lt;="&amp;FINE_AC,DATA,"&gt;="&amp;INIZIO_A_PC)-SUMIFS(AVERE,DEN_G,"="&amp;FJ92,DATA,"&lt;="&amp;FINE_AC,DATA,"&gt;="&amp;INIZIO_A_PC))&gt;0,MAX($FK$2:FK91)+1,0)</f>
        <v>0</v>
      </c>
      <c r="FL92" s="48" t="str">
        <f ca="1">IF(AND(ROW()-2&lt;&gt;1,ROW()-2&lt;=$FK$1),CONCATENATE(" - ",IFERROR(INDEX($FJ$3:$FK$400,MATCH(ROWS($FL$3:FL92),$FK$3:$FK$400,0),1),"")),IFERROR(INDEX($FJ$3:$FK$400,MATCH(ROWS($FL$3:FL92),$FK$3:$FK$400,0),1),""))</f>
        <v/>
      </c>
      <c r="FM92" s="48">
        <f ca="1">IF(OR(B92="IVA ns/credito",B92="IVA NS/DEBITO",B92="IVA C/ACCONTO",B92="IMPOSTE C/ACCONTO",B92="CREDITI PER RITENUTE SUBITE",B92="CREDITI D'IMPOSTA"),MAX($FM$2:FM91)+1,0)</f>
        <v>0</v>
      </c>
      <c r="FN92" s="48" t="str">
        <f t="shared" ca="1" si="190"/>
        <v/>
      </c>
      <c r="FO92" s="48" t="str">
        <f ca="1">IFERROR(INDEX($FM$3:$FN$400,MATCH(ROWS($FO$3:FO92),$FM$3:$FM$400,0),2),"")</f>
        <v/>
      </c>
      <c r="FP92" s="48">
        <f ca="1">IF(ABS(SUMIFS(DARE,DEN_G,"="&amp;FO92,DATA,"&lt;="&amp;FINE_AC,DATA,"&gt;="&amp;INIZIO_A_PC)-SUMIFS(AVERE,DEN_G,"="&amp;FO92,DATA,"&lt;="&amp;FINE_AC,DATA,"&gt;="&amp;INIZIO_A_PC))&gt;0,MAX($FP$2:FP91)+1,0)</f>
        <v>0</v>
      </c>
      <c r="FQ92" s="48" t="str">
        <f ca="1">IF(AND(ROW()-2&lt;&gt;1,ROW()-2&lt;=$FP$1),CONCATENATE(" - ",IFERROR(INDEX($FO$3:$FP$400,MATCH(ROWS($FQ$3:FQ92),$FP$3:$FP$400,0),1),"")),IFERROR(INDEX($FO$3:$FP$400,MATCH(ROWS($FQ$3:FQ92),$FP$3:$FP$400,0),1),""))</f>
        <v/>
      </c>
    </row>
    <row r="93" spans="1:173" x14ac:dyDescent="0.3">
      <c r="A93" s="48" t="str">
        <f ca="1">IFERROR(IF($A$1=2,INDEX($DH$3:$DN$401,MATCH(ROWS(A$3:A93),$DN$3:$DN$401,0),COLUMN()),IF($A$1=1,INDEX($DQ$3:$DW$401,MATCH(ROWS(A$3:A93),$DW$3:$DW$401,0),COLUMN()),"")),"")</f>
        <v>07.01</v>
      </c>
      <c r="B93" s="48" t="str">
        <f ca="1">IFERROR(IF($A$1=2,INDEX($DH$3:$DN$401,MATCH(ROWS(B$3:B93),$DN$3:$DN$401,0),COLUMN()),IF($A$1=1,INDEX($DQ$3:$DW$400,MATCH(ROWS(B$3:B93),$DW$3:$DW$401,0),COLUMN()),"")),"")</f>
        <v>PARTECIPAZIONI</v>
      </c>
      <c r="C93" s="48" t="str">
        <f ca="1">IFERROR(IF($A$1=2,INDEX($DH$3:$DN$401,MATCH(ROWS(C$3:C93),$DN$3:$DN$401,0),COLUMN()),IF($A$1=1,INDEX($DQ$3:$DW$401,MATCH(ROWS(C$3:C93),$DW$3:$DW$401,0),COLUMN()),"")),"")</f>
        <v>E</v>
      </c>
      <c r="D93" s="48" t="str">
        <f ca="1">IFERROR(IF($A$1=2,INDEX($DH$3:$DN$401,MATCH(ROWS(D$3:D93),$DN$3:$DN$401,0),COLUMN()),IF($A$1=1,INDEX($DQ$3:$DW$401,MATCH(ROWS(D$3:D93),$DW$3:$DW$401,0),COLUMN()),"")),"")</f>
        <v>D</v>
      </c>
      <c r="E93" s="48" t="str">
        <f ca="1">IFERROR(IF($A$1=2,INDEX($DH$3:$DN$401,MATCH(ROWS(E$3:E93),$DN$3:$DN$401,0),COLUMN()),IF($A$1=1,INDEX($DQ$3:$DW$401,MATCH(ROWS(E$3:E93),$DW$3:$DW$401,0),COLUMN()),"")),"")</f>
        <v>COSTI SOSPESI</v>
      </c>
      <c r="F93" s="48" t="str">
        <f ca="1">IFERROR(IF($A$1=2,INDEX($DH$3:$DN$401,MATCH(ROWS(F$3:F93),$DN$3:$DN$401,0),COLUMN()),IF($A$1=1,INDEX($DQ$3:$DX$401,MATCH(ROWS(F$3:F93),$DW$3:$DW$401,0),COLUMN()),"")),"")</f>
        <v>SP DARE</v>
      </c>
      <c r="G93" s="48" t="str">
        <f t="shared" ca="1" si="150"/>
        <v>SP</v>
      </c>
      <c r="H93" s="48" t="str">
        <f ca="1">IFERROR(IF($A$1=2,INDEX($DH$3:$DO$400,MATCH(ROWS(H$3:H93),$DN$3:$DN$400,0),COLUMN()),IF($A$1=1,INDEX($DQ$3:$DX$400,MATCH(ROWS(H$3:H93),$DW$3:$DW$400,0),COLUMN()),"")),"")</f>
        <v>pac3</v>
      </c>
      <c r="I93" s="48" t="str">
        <f t="shared" ca="1" si="151"/>
        <v/>
      </c>
      <c r="J93" s="48" t="str">
        <f t="shared" ca="1" si="152"/>
        <v/>
      </c>
      <c r="K93" s="48">
        <f t="shared" ca="1" si="153"/>
        <v>0</v>
      </c>
      <c r="L93" s="48">
        <f t="shared" ca="1" si="154"/>
        <v>0</v>
      </c>
      <c r="M93" s="48">
        <f ca="1">IFERROR(IF(IF(MID($A93,3,3)=".00",MID(A93,1,2),"")&lt;&gt;"",MAX($M$2:M92)+1,0),"")</f>
        <v>0</v>
      </c>
      <c r="N93" s="48" t="str">
        <f t="shared" ca="1" si="155"/>
        <v/>
      </c>
      <c r="O93" s="48" t="str">
        <f ca="1">IF(IFERROR(INDEX($N$3:$O$300,MATCH(ROWS($O$3:O93),$M$3:$M$300,0),1),"")&lt;&gt;"",CONCATENATE(INDEX($N$3:$O$300,MATCH(ROWS($O$3:O93),$M$3:$M$300,0),1),".00"),"")</f>
        <v/>
      </c>
      <c r="P93" s="48" t="str">
        <f t="shared" ca="1" si="156"/>
        <v/>
      </c>
      <c r="Q93" s="48">
        <f ca="1">IF(M93&gt;=1,0,MAX($Q$2:Q92)+1)</f>
        <v>83</v>
      </c>
      <c r="U93" s="48" t="str">
        <f ca="1">IFERROR(INDEX(PDC,MATCH(ROWS(U$3:U93),$V$3:$V$400,0),2),"")</f>
        <v>RATEI ATTIVI</v>
      </c>
      <c r="V93" s="48">
        <f ca="1">IF(AND($T$1="VISUALIZZA TUTTI I CONTI",AA93&lt;&gt;""),MAX($V$2:V92)+1,IF(AND($U$2=2,AI93=$T$1),MAX($V$2:V92)+1,IF(AND($U$2=1,$T$1=AF93),MAX($V$2:V92)+1,0)))</f>
        <v>91</v>
      </c>
      <c r="Z93" s="246"/>
      <c r="AA93" s="48" t="str">
        <f t="shared" ca="1" si="157"/>
        <v>09.00</v>
      </c>
      <c r="AB93" s="48" t="str">
        <f ca="1">IFERROR(INDEX($A$3:$G$400,MATCH(ROWS(AB$3:AB93),$Q$3:$Q$400,0),1),"")</f>
        <v>09.01</v>
      </c>
      <c r="AC93" s="48" t="str">
        <f ca="1">IFERROR(INDEX($A$3:$G$400,MATCH(ROWS($AC$3:AC93),$Q$3:$Q$400,0),2),"")</f>
        <v>RATEI ATTIVI</v>
      </c>
      <c r="AD93" s="48" t="str">
        <f ca="1">IFERROR(INDEX($A$3:$G$400,MATCH(ROWS(AD$3:AD93),$Q$3:$Q$400,0),3),"")</f>
        <v>F</v>
      </c>
      <c r="AE93" s="48" t="str">
        <f ca="1">IFERROR(INDEX($A$3:$G$400,MATCH(ROWS(AE$3:AE93),$Q$3:$Q$400,0),4),"")</f>
        <v>D</v>
      </c>
      <c r="AF93" s="48" t="str">
        <f ca="1">IFERROR(INDEX($A$3:$G$400,MATCH(ROWS(AF$3:AF93),$Q$3:$Q$400,0),5),"")</f>
        <v>RATEI, FONDI RISCHI E ONERI</v>
      </c>
      <c r="AG93" s="48" t="str">
        <f ca="1">IFERROR(INDEX($A$3:$G$400,MATCH(ROWS(AG$3:AG93),$Q$3:$Q$400,0),6),"")</f>
        <v>SP DARE</v>
      </c>
      <c r="AH93" s="48" t="str">
        <f ca="1">IFERROR(INDEX($A$3:$G$400,MATCH(ROWS(AH$3:AH93),$Q$3:$Q$400,0),7),"")</f>
        <v>SP</v>
      </c>
      <c r="AI93" s="48" t="str">
        <f t="shared" ca="1" si="158"/>
        <v>RATEI E RISCONTI ATTIVI</v>
      </c>
      <c r="AJ93" s="48" t="str">
        <f ca="1">IFERROR(INDEX($A$3:$H$400,MATCH(ROWS(AJ$3:AJ93),$Q$3:$Q$400,0),8),"")</f>
        <v>pad</v>
      </c>
      <c r="AK93" s="48">
        <f t="shared" ca="1" si="130"/>
        <v>0</v>
      </c>
      <c r="AL93" s="48">
        <f t="shared" ca="1" si="131"/>
        <v>0</v>
      </c>
      <c r="AM93" s="48">
        <f t="shared" ca="1" si="159"/>
        <v>0</v>
      </c>
      <c r="AN93" s="48" t="str">
        <f t="shared" ca="1" si="160"/>
        <v/>
      </c>
      <c r="AO93" s="48">
        <f t="shared" ca="1" si="161"/>
        <v>0</v>
      </c>
      <c r="AP93" s="48">
        <f t="shared" ca="1" si="161"/>
        <v>0</v>
      </c>
      <c r="AQ93" s="48" t="str">
        <f t="shared" ca="1" si="132"/>
        <v>RATEI ATTIVI</v>
      </c>
      <c r="AR93" s="48">
        <f t="shared" ca="1" si="133"/>
        <v>0</v>
      </c>
      <c r="AS93" s="48">
        <f t="shared" ca="1" si="134"/>
        <v>0</v>
      </c>
      <c r="AT93" s="48">
        <f t="shared" ca="1" si="162"/>
        <v>0</v>
      </c>
      <c r="AU93" s="48">
        <f t="shared" ca="1" si="163"/>
        <v>0</v>
      </c>
      <c r="AV93" s="48">
        <f ca="1">IF(OR(AT93&gt;0,AU93&gt;0),MAX($AV$2:AV92)+1,0)</f>
        <v>0</v>
      </c>
      <c r="AZ93" s="241" t="str">
        <f t="shared" ca="1" si="164"/>
        <v/>
      </c>
      <c r="BA93" s="48">
        <f t="shared" ca="1" si="135"/>
        <v>0</v>
      </c>
      <c r="BB93" s="48">
        <f ca="1">IFERROR(INDEX($AQ$3:$AV$220,MATCH(ROWS($BB$3:BB93),$AV$3:$AV$220,0),1),0)</f>
        <v>0</v>
      </c>
      <c r="BC93" s="48" t="str">
        <f t="shared" ca="1" si="165"/>
        <v/>
      </c>
      <c r="BD93" s="48">
        <f ca="1">IFERROR(INDEX($AQ$3:$AV$220,MATCH(ROWS($BB$3:BD93),$AV$3:$AV$220,0),4),0)</f>
        <v>0</v>
      </c>
      <c r="BE93" s="48">
        <f ca="1">IFERROR(INDEX($AQ$3:$AV$220,MATCH(ROWS($BB$3:BE93),$AV$3:$AV$220,0),5),0)</f>
        <v>0</v>
      </c>
      <c r="BG93" s="48">
        <f ca="1">IF(IF(AND(OR(INDEX(PDC,MATCH($AC93,DEN_PDC,0),6)="SP DARE",INDEX(PDC,MATCH($AC93,DEN_PDC,0),6)="SP DARE/AVERE"),SUMIFS(DARE,DEN_G,$AC93)&gt;=SUMIFS(AVERE,DEN_G,$AC93)),SUMIFS(DARE,DEN_G,$AC93)-SUMIFS(AVERE,DEN_G,$AC93),0)&gt;0,MAX($BG$2:BG92)+1,0)</f>
        <v>0</v>
      </c>
      <c r="BH93" s="48">
        <f ca="1">IF(IF(AND(OR(INDEX(PDC,MATCH($AC93,DEN_PDC,0),6)="SP AVERE",INDEX(PDC,MATCH($AC93,DEN_PDC,0),6)="SP DARE/AVERE"),SUMIFS(AVERE,DEN_G,$AC93)&gt;=SUMIFS(DARE,DEN_G,$AC93)),SUMIFS(AVERE,DEN_G,$AC93)-SUMIFS(DARE,DEN_G,$AC93),0)&gt;0,MAX(BH$2:BH92)+1,0)</f>
        <v>0</v>
      </c>
      <c r="BI93" s="48">
        <f ca="1">IF(IF(AND(OR(INDEX(PDC,MATCH($AC93,DEN_PDC,0),6)="SE DARE",INDEX(PDC,MATCH($AC93,DEN_PDC,0),6)="SE DARE/AVERE"),SUMIFS(DARE,DEN_G,$AC93)&gt;=SUMIFS(AVERE,DEN_G,$AC93)),SUMIFS(DARE,DEN_G,$AC93)-SUMIFS(AVERE,DEN_G,$AC93),0)&gt;0,MAX(BI$2:BI92)+1,0)</f>
        <v>0</v>
      </c>
      <c r="BJ93" s="48">
        <f ca="1">IF(IF(AND(OR(INDEX(PDC,MATCH($AC93,DEN_PDC,0),6)="SE AVERE",INDEX(PDC,MATCH($AC93,DEN_PDC,0),6)="SE DARE/AVERE"),SUMIFS(AVERE,DEN_G,$AC93)&gt;=SUMIFS(DARE,DEN_G,$AC93)),SUMIFS(AVERE,DEN_G,$AC93)-SUMIFS(DARE,DEN_G,$AC93),0)&gt;0,MAX(BJ$2:BJ92)+1,0)</f>
        <v>0</v>
      </c>
      <c r="BK93" s="48" t="str">
        <f ca="1">IF(AND(AND($DY$2=0,$DY$1=0),$I$1=2,ROW()&gt;$BG$1+2,ROW()&lt;=$BG$1+4),"………………..",IF(AND(OR($DY$2&gt;0,$DY$1&gt;0),$I$1=2,ROW()&gt;$BG$1+2,ROW()&lt;=$BG$1+4),"………………..",IFERROR(INDEX($AC$3:$AC$398,MATCH(ROWS(BK$3:BK93),BG$3:BG$398,0),1),"")))</f>
        <v/>
      </c>
      <c r="BL93" s="48">
        <f t="shared" ca="1" si="136"/>
        <v>0</v>
      </c>
      <c r="BM93" s="48" t="str">
        <f ca="1">IF(AND(OR($DY$2=0,$DY$1=0),$I$1=2,ROW()&gt;$BH$1+2,ROW()&lt;=$BH$1+4),"………………..",IF(AND(OR($DY$2&gt;0,$DY$1&gt;0),$I$1=2,ROW()&gt;$BH$1+2,ROW()&lt;=$BH$1+4),"………………..",IFERROR(INDEX($AC$3:$AC$400,MATCH(ROWS(BM$3:BM93),BH$3:BH$400,0),1),"")))</f>
        <v/>
      </c>
      <c r="BN93" s="48">
        <f t="shared" ca="1" si="137"/>
        <v>0</v>
      </c>
      <c r="BO93" s="48" t="str">
        <f ca="1">IF(AND(OR($DY$2=0,$DY$1=0),$I$1=2,ROW()&gt;$BI$1+2,ROW()&lt;=$BI$1+4),"………………..",IF(AND(OR($DY$2&gt;0,$DY$1&gt;0),$I$1=2,ROW()&gt;$BI$1+2,ROW()&lt;=$BI$1+4),"………………..",IFERROR(INDEX($AC$3:$AC$400,MATCH(ROWS(BO$3:BO93),BI$3:BI$400,0),1),"")))</f>
        <v/>
      </c>
      <c r="BP93" s="48">
        <f t="shared" ca="1" si="138"/>
        <v>0</v>
      </c>
      <c r="BQ93" s="48" t="str">
        <f ca="1">IF(AND(OR($DY$2=0,$DY$1=0),$I$1=2,ROW()&gt;$BJ$1+2,ROW()&lt;=$BJ$1+4),"………………..",IF(AND(OR($DY$2&gt;0,$DY$1&gt;0),$I$1=2,ROW()&gt;$BJ$1+2,ROW()&lt;=$BJ$1+4),"………………..",IFERROR(INDEX($AC$3:$AC$400,MATCH(ROWS(BQ$3:BQ93),BJ$3:BJ$400,0),1),"")))</f>
        <v/>
      </c>
      <c r="BR93" s="48">
        <f t="shared" ca="1" si="139"/>
        <v>0</v>
      </c>
      <c r="BS93" s="48">
        <f ca="1">IF(IF(AND(OR(INDEX(PDC,MATCH($AC93,DEN_PDC,0),4)="D",INDEX(PDC,MATCH($AC93,DEN_PDC,0),4)="D/A"),SUMIFS(DARE,DEN_G,$AC93)&gt;=SUMIFS(AVERE,DEN_G,$AC93)),SUMIFS(DARE,DEN_G,$AC93),IF(AND(OR(INDEX(PDC,MATCH($AC93,DEN_PDC,0),4)="A",INDEX(PDC,MATCH($AC93,DEN_PDC,0),4)="D/A"),SUMIFS(AVERE,DEN_G,$AC93)&gt;=SUMIFS(DARE,DEN_G,$AC93)),SUMIFS(AVERE,DEN_G,$AC93),))&gt;0,MAX($BS$2:BS92)+1,0)</f>
        <v>0</v>
      </c>
      <c r="BT93" s="48" t="str">
        <f ca="1">IF($CO$1=0,"",IF(AND($I$1=2,ROW()&gt;$BR$1,ROW()&lt;=$BS$1)," …………….",IF(AND($E$1=1,$BX$1=1,$I$1=2,ROW()=$BQ$1),"TOTALI",IFERROR(INDEX(PDC,MATCH(ROWS(BT$3:BT93),BS$3:BS490,0),2),""))))</f>
        <v/>
      </c>
      <c r="BU93" s="48">
        <f t="shared" ca="1" si="140"/>
        <v>0</v>
      </c>
      <c r="BV93" s="48">
        <f t="shared" ca="1" si="141"/>
        <v>0</v>
      </c>
      <c r="BW93" s="48">
        <f t="shared" ca="1" si="142"/>
        <v>0</v>
      </c>
      <c r="BX93" s="48">
        <f t="shared" ca="1" si="143"/>
        <v>0</v>
      </c>
      <c r="BY93" s="48">
        <f ca="1">IF(OR(BW93&gt;0,BX93&gt;0),MAX($BY$2:BY92)+1,0)</f>
        <v>0</v>
      </c>
      <c r="BZ93" s="48" t="str">
        <f ca="1">IFERROR(INDEX($BT$3:$BY$400,MATCH(ROWS(BZ$3:BZ93),$BY$3:$BY$400,0),1),"")</f>
        <v/>
      </c>
      <c r="CA93" s="48" t="str">
        <f ca="1">IFERROR(INDEX($BT$3:$BY$400,MATCH(ROWS(CA$3:CA93),$BY$3:$BY$400,0),4),"")</f>
        <v/>
      </c>
      <c r="CB93" s="48" t="str">
        <f ca="1">IFERROR(INDEX($BT$3:$BY$400,MATCH(ROWS(CB$3:CB93),$BY$3:$BY$400,0),5),"")</f>
        <v/>
      </c>
      <c r="CC93" s="48" t="str">
        <f t="shared" ca="1" si="144"/>
        <v/>
      </c>
      <c r="CD93" s="48">
        <f ca="1">IF(AND(OR($BF$9=2,$BF$9=3),CE93&lt;&gt;0),MAX($CD$87:CD92)+1,0)</f>
        <v>0</v>
      </c>
      <c r="CE93" s="48">
        <f ca="1">IF(ROUND(SUMIFS(COPIA!$CA$3:$CA$400,COPIA!$CC$3:$CC$400,CF93)-SUMIFS(COPIA!$CB$3:$CB$400,COPIA!$CC$3:$CC$400,CF93),0)&lt;0,0,ROUND(SUMIFS(COPIA!$CA$3:$CA$400,COPIA!$CC$3:$CC$400,CF93)-SUMIFS(COPIA!$CB$3:$CB$400,COPIA!$CC$3:$CC$400,CF93),0))</f>
        <v>0</v>
      </c>
      <c r="CF93" s="48" t="s">
        <v>733</v>
      </c>
      <c r="CG93" s="48" t="str">
        <f>CG22</f>
        <v>_III_-_Immobilizzazioni finanziarie</v>
      </c>
      <c r="CH93" s="242">
        <f t="shared" ca="1" si="112"/>
        <v>0</v>
      </c>
      <c r="CJ93" s="242"/>
      <c r="CM93" s="242" t="str">
        <f t="shared" ca="1" si="166"/>
        <v/>
      </c>
      <c r="CN93" s="243">
        <f t="shared" ca="1" si="167"/>
        <v>0</v>
      </c>
      <c r="CO93" s="48" t="str">
        <f t="shared" ca="1" si="168"/>
        <v/>
      </c>
      <c r="CQ93" s="247">
        <f ca="1">CQ86</f>
        <v>46023</v>
      </c>
      <c r="CR93" s="247">
        <f ca="1">CR86</f>
        <v>46387</v>
      </c>
      <c r="CS93" s="48">
        <f t="shared" ref="CS93:CS98" ca="1" si="223">IF($I$1=2,SUMIFS(avere_grezzo,den_grezzo,"="&amp;"utile d'esercizio",data_grezzo,"&gt;="&amp;INIZIO_A_PC,data_grezzo,"&lt;="&amp;$CR93)-SUMIFS(dare_grezzo,den_grezzo,"="&amp;"utile d'esercizio",data_grezzo,"&gt;="&amp;INIZIO_A_PC,data_grezzo,"&gt;="&amp;$CQ93,data_grezzo,"&lt;="&amp;$CR93),0)</f>
        <v>0</v>
      </c>
      <c r="CT93" s="48">
        <f t="shared" ref="CT93:CT98" ca="1" si="224">SUMIFS($AP$71:$AP$270,$AM$71:$AM$270,"="&amp;"utile d'esercizio",$AL$71:$AL$270,"&gt;="&amp;INIZIO_A_PC,$AL$71:$AL$270,"&gt;="&amp;$CQ93,$AL$71:$AL$270,"&lt;="&amp;$CR93)</f>
        <v>0</v>
      </c>
      <c r="CU93" s="48">
        <f ca="1">IF(SUMIFS(AVERE,DEN_G,AC93,AVERE,"&gt;"&amp;0)+SUMIFS(DARE,DEN_G,AC93,DARE,"&gt;"&amp;0)&gt;0,MAX($CU$2:CU92)+1,0)</f>
        <v>0</v>
      </c>
      <c r="CV93" s="48" t="str">
        <f ca="1">IF(IFERROR(INDEX(PDC,MATCH(ROWS($CV$3:CV93),$CU$3:$CU$400,0),2),"")="CONTO DI RISULTATO ECONOMICO","",IFERROR(INDEX(PDC,MATCH(ROWS($CV$3:CV93),$CU$3:$CU$400,0),2),""))</f>
        <v/>
      </c>
      <c r="CW93" s="48">
        <f ca="1">IFERROR(IF(CV93&lt;&gt;"",MAX($CW$2:CW92)+1,0),0)</f>
        <v>0</v>
      </c>
      <c r="CY93" s="48" t="s">
        <v>500</v>
      </c>
      <c r="DB93" s="48" t="str">
        <f t="shared" ref="DB93" ca="1" si="225">IF(CX92=$DF$1,"","MASTRO")</f>
        <v>MASTRO</v>
      </c>
      <c r="DF93" s="48">
        <f ca="1">IF(AND(CX93=$DF$1,CX93&lt;&gt;""),0,IF(AND(DB93&lt;&gt;"",OR(DB92&lt;&gt;"",DB94&lt;&gt;"")),MAX($DF$2:DF92)+1,0))</f>
        <v>0</v>
      </c>
      <c r="DH93" s="244" t="s">
        <v>368</v>
      </c>
      <c r="DI93" s="48" t="s">
        <v>862</v>
      </c>
      <c r="DJ93" s="48" t="s">
        <v>312</v>
      </c>
      <c r="DK93" s="48" t="s">
        <v>275</v>
      </c>
      <c r="DL93" s="48" t="s">
        <v>6</v>
      </c>
      <c r="DM93" s="48" t="s">
        <v>270</v>
      </c>
      <c r="DN93" s="48">
        <f ca="1">IF(DI93&lt;&gt;"",MAX($DN$2:DN92)+1,0)</f>
        <v>75</v>
      </c>
      <c r="DO93" s="48" t="str">
        <f t="shared" ref="DO93:DO98" ca="1" si="226">IF($BF$9=1,"pac25b","pac2")</f>
        <v>pac2</v>
      </c>
      <c r="DQ93" s="227" t="s">
        <v>71</v>
      </c>
      <c r="DR93" s="48" t="s">
        <v>61</v>
      </c>
      <c r="DS93" s="48" t="s">
        <v>312</v>
      </c>
      <c r="DT93" s="48" t="s">
        <v>275</v>
      </c>
      <c r="DU93" s="48" t="s">
        <v>6</v>
      </c>
      <c r="DV93" s="48" t="s">
        <v>270</v>
      </c>
      <c r="DW93" s="48">
        <f ca="1">IF(DR93&lt;&gt;"",MAX($DW$2:DW92)+1,0)</f>
        <v>51</v>
      </c>
      <c r="DX93" s="48" t="str">
        <f t="shared" ca="1" si="217"/>
        <v>pac2</v>
      </c>
      <c r="DY93" s="48" t="str">
        <f t="shared" ca="1" si="147"/>
        <v/>
      </c>
      <c r="DZ93" s="48" t="str">
        <f t="shared" ca="1" si="170"/>
        <v/>
      </c>
      <c r="EA93" s="48" t="str">
        <f t="shared" ca="1" si="171"/>
        <v/>
      </c>
      <c r="EB93" s="48">
        <f t="shared" ca="1" si="172"/>
        <v>0</v>
      </c>
      <c r="EC93" s="48">
        <f t="shared" ca="1" si="173"/>
        <v>0</v>
      </c>
      <c r="ED93" s="48" t="str">
        <f t="shared" ca="1" si="174"/>
        <v/>
      </c>
      <c r="EE93" s="48">
        <f t="shared" ca="1" si="175"/>
        <v>0</v>
      </c>
      <c r="EF93" s="48" t="str">
        <f t="shared" ca="1" si="176"/>
        <v/>
      </c>
      <c r="EG93" s="48">
        <f t="shared" ca="1" si="177"/>
        <v>0</v>
      </c>
      <c r="EH93" s="48" t="str">
        <f t="shared" ca="1" si="178"/>
        <v/>
      </c>
      <c r="EI93" s="48">
        <f t="shared" ca="1" si="179"/>
        <v>0</v>
      </c>
      <c r="EJ93" s="48" t="str">
        <f t="shared" ca="1" si="180"/>
        <v/>
      </c>
      <c r="EK93" s="48">
        <f t="shared" ca="1" si="181"/>
        <v>0</v>
      </c>
      <c r="EL93" s="48">
        <f t="shared" ca="1" si="148"/>
        <v>0</v>
      </c>
      <c r="EM93" s="48">
        <f ca="1">IF(EL93&gt;=0,0,MAX($EM$2:EM92)+1)</f>
        <v>0</v>
      </c>
      <c r="EN93" s="48" t="str">
        <f t="shared" ca="1" si="182"/>
        <v/>
      </c>
      <c r="EO93" s="48" t="str">
        <f ca="1">IFERROR(INDEX($EM$3:$EN$400,MATCH(ROWS($EO$3:EO93),$EM$3:$EM$400,0),2),"")</f>
        <v/>
      </c>
      <c r="EP93" s="48">
        <f>ROW()</f>
        <v>93</v>
      </c>
      <c r="EQ93" s="48">
        <f t="shared" ca="1" si="149"/>
        <v>0</v>
      </c>
      <c r="ER93" s="48">
        <f ca="1">IF(ISNA(EQ93)=TRUE,MAX($ER$2:ER92)+1,0)</f>
        <v>0</v>
      </c>
      <c r="ES93" s="48" t="str">
        <f t="shared" ca="1" si="183"/>
        <v/>
      </c>
      <c r="ET93" s="48" t="str">
        <f ca="1">IFERROR(INDEX($ER$3:$ES$400,MATCH(ROWS($ET$3:ET93),$ER$3:$ER$400,0),2),"")</f>
        <v/>
      </c>
      <c r="EU93" s="48">
        <f ca="1">IF(ROUND(SUMIFS(COPIA!$CA$3:$CA$400,COPIA!$CC$3:$CC$400,CF93)-SUMIFS(COPIA!$CB$3:$CB$400,COPIA!$CC$3:$CC$400,CF93),0)&lt;0,1,0)</f>
        <v>0</v>
      </c>
      <c r="EV93" s="48">
        <f ca="1">IFERROR(INDEX(LIBRO_GIORNALE!$O$11:$P$408,MATCH(ROWS($EV$2:EV92),LIBRO_GIORNALE!$P$11:$P$408,0),1),0)</f>
        <v>0</v>
      </c>
      <c r="EW93" s="48" t="str">
        <f t="shared" ca="1" si="184"/>
        <v>0</v>
      </c>
      <c r="EX93" s="48">
        <f t="shared" ca="1" si="185"/>
        <v>0</v>
      </c>
      <c r="EY93" s="48">
        <f ca="1">IF(EX93&gt;0,MAX($EY$2:EY92)+1,0)</f>
        <v>0</v>
      </c>
      <c r="EZ93" s="48">
        <f ca="1">IFERROR(INDEX($EX$3:$EX$400,MATCH(ROWS($EZ$3:EZ93),$EY$3:$EY$400,0),1),0)</f>
        <v>0</v>
      </c>
      <c r="FA93" s="48">
        <f ca="1">IF(EZ93&gt;0,0,MAX($FA$2:FA92)+1)</f>
        <v>91</v>
      </c>
      <c r="FB93" s="48">
        <f t="shared" ca="1" si="186"/>
        <v>0</v>
      </c>
      <c r="FC93" s="48">
        <f t="shared" ca="1" si="187"/>
        <v>91</v>
      </c>
      <c r="FD93" s="48">
        <f t="shared" ca="1" si="188"/>
        <v>91</v>
      </c>
      <c r="FE93" s="48">
        <f ca="1">IF(FD93=0,0,MAX($FE$2:FE92)+1)</f>
        <v>91</v>
      </c>
      <c r="FF93" s="48">
        <f ca="1">IFERROR(INDEX($FD$3:$FE$400,MATCH(ROWS($FF$3:FF93),$FE$3:$FE$400,0),1),"")</f>
        <v>91</v>
      </c>
      <c r="FH93" s="48">
        <f t="shared" ca="1" si="189"/>
        <v>0</v>
      </c>
      <c r="FI93" s="48">
        <f ca="1">IF(FH93&lt;&gt;0,MAX($FI$2:FI92)+1,0)</f>
        <v>0</v>
      </c>
      <c r="FJ93" s="48" t="str">
        <f ca="1">IFERROR(INDEX($FH$3:$FI$400,MATCH(ROWS($FJ$3:FJ93),$FI$3:$FI$400,0),1),"")</f>
        <v/>
      </c>
      <c r="FK93" s="48">
        <f ca="1">IF(ABS(SUMIFS(DARE,DEN_G,"="&amp;FJ93,DATA,"&lt;="&amp;FINE_AC,DATA,"&gt;="&amp;INIZIO_A_PC)-SUMIFS(AVERE,DEN_G,"="&amp;FJ93,DATA,"&lt;="&amp;FINE_AC,DATA,"&gt;="&amp;INIZIO_A_PC))&gt;0,MAX($FK$2:FK92)+1,0)</f>
        <v>0</v>
      </c>
      <c r="FL93" s="48" t="str">
        <f ca="1">IF(AND(ROW()-2&lt;&gt;1,ROW()-2&lt;=$FK$1),CONCATENATE(" - ",IFERROR(INDEX($FJ$3:$FK$400,MATCH(ROWS($FL$3:FL93),$FK$3:$FK$400,0),1),"")),IFERROR(INDEX($FJ$3:$FK$400,MATCH(ROWS($FL$3:FL93),$FK$3:$FK$400,0),1),""))</f>
        <v/>
      </c>
      <c r="FM93" s="48">
        <f ca="1">IF(OR(B93="IVA ns/credito",B93="IVA NS/DEBITO",B93="IVA C/ACCONTO",B93="IMPOSTE C/ACCONTO",B93="CREDITI PER RITENUTE SUBITE",B93="CREDITI D'IMPOSTA"),MAX($FM$2:FM92)+1,0)</f>
        <v>0</v>
      </c>
      <c r="FN93" s="48" t="str">
        <f t="shared" ca="1" si="190"/>
        <v/>
      </c>
      <c r="FO93" s="48" t="str">
        <f ca="1">IFERROR(INDEX($FM$3:$FN$400,MATCH(ROWS($FO$3:FO93),$FM$3:$FM$400,0),2),"")</f>
        <v/>
      </c>
      <c r="FP93" s="48">
        <f ca="1">IF(ABS(SUMIFS(DARE,DEN_G,"="&amp;FO93,DATA,"&lt;="&amp;FINE_AC,DATA,"&gt;="&amp;INIZIO_A_PC)-SUMIFS(AVERE,DEN_G,"="&amp;FO93,DATA,"&lt;="&amp;FINE_AC,DATA,"&gt;="&amp;INIZIO_A_PC))&gt;0,MAX($FP$2:FP92)+1,0)</f>
        <v>0</v>
      </c>
      <c r="FQ93" s="48" t="str">
        <f ca="1">IF(AND(ROW()-2&lt;&gt;1,ROW()-2&lt;=$FP$1),CONCATENATE(" - ",IFERROR(INDEX($FO$3:$FP$400,MATCH(ROWS($FQ$3:FQ93),$FP$3:$FP$400,0),1),"")),IFERROR(INDEX($FO$3:$FP$400,MATCH(ROWS($FQ$3:FQ93),$FP$3:$FP$400,0),1),""))</f>
        <v/>
      </c>
    </row>
    <row r="94" spans="1:173" x14ac:dyDescent="0.3">
      <c r="A94" s="48" t="str">
        <f ca="1">IFERROR(IF($A$1=2,INDEX($DH$3:$DN$401,MATCH(ROWS(A$3:A94),$DN$3:$DN$401,0),COLUMN()),IF($A$1=1,INDEX($DQ$3:$DW$401,MATCH(ROWS(A$3:A94),$DW$3:$DW$401,0),COLUMN()),"")),"")</f>
        <v>07.02</v>
      </c>
      <c r="B94" s="48" t="str">
        <f ca="1">IFERROR(IF($A$1=2,INDEX($DH$3:$DN$401,MATCH(ROWS(B$3:B94),$DN$3:$DN$401,0),COLUMN()),IF($A$1=1,INDEX($DQ$3:$DW$400,MATCH(ROWS(B$3:B94),$DW$3:$DW$401,0),COLUMN()),"")),"")</f>
        <v>TITOLI</v>
      </c>
      <c r="C94" s="48" t="str">
        <f ca="1">IFERROR(IF($A$1=2,INDEX($DH$3:$DN$401,MATCH(ROWS(C$3:C94),$DN$3:$DN$401,0),COLUMN()),IF($A$1=1,INDEX($DQ$3:$DW$401,MATCH(ROWS(C$3:C94),$DW$3:$DW$401,0),COLUMN()),"")),"")</f>
        <v>E</v>
      </c>
      <c r="D94" s="48" t="str">
        <f ca="1">IFERROR(IF($A$1=2,INDEX($DH$3:$DN$401,MATCH(ROWS(D$3:D94),$DN$3:$DN$401,0),COLUMN()),IF($A$1=1,INDEX($DQ$3:$DW$401,MATCH(ROWS(D$3:D94),$DW$3:$DW$401,0),COLUMN()),"")),"")</f>
        <v>D</v>
      </c>
      <c r="E94" s="48" t="str">
        <f ca="1">IFERROR(IF($A$1=2,INDEX($DH$3:$DN$401,MATCH(ROWS(E$3:E94),$DN$3:$DN$401,0),COLUMN()),IF($A$1=1,INDEX($DQ$3:$DW$401,MATCH(ROWS(E$3:E94),$DW$3:$DW$401,0),COLUMN()),"")),"")</f>
        <v>COSTI SOSPESI</v>
      </c>
      <c r="F94" s="48" t="str">
        <f ca="1">IFERROR(IF($A$1=2,INDEX($DH$3:$DN$401,MATCH(ROWS(F$3:F94),$DN$3:$DN$401,0),COLUMN()),IF($A$1=1,INDEX($DQ$3:$DX$401,MATCH(ROWS(F$3:F94),$DW$3:$DW$401,0),COLUMN()),"")),"")</f>
        <v>SP DARE</v>
      </c>
      <c r="G94" s="48" t="str">
        <f t="shared" ca="1" si="150"/>
        <v>SP</v>
      </c>
      <c r="H94" s="48" t="str">
        <f ca="1">IFERROR(IF($A$1=2,INDEX($DH$3:$DO$400,MATCH(ROWS(H$3:H94),$DN$3:$DN$400,0),COLUMN()),IF($A$1=1,INDEX($DQ$3:$DX$400,MATCH(ROWS(H$3:H94),$DW$3:$DW$400,0),COLUMN()),"")),"")</f>
        <v>pac3</v>
      </c>
      <c r="I94" s="48" t="str">
        <f t="shared" ca="1" si="151"/>
        <v/>
      </c>
      <c r="J94" s="48" t="str">
        <f t="shared" ca="1" si="152"/>
        <v/>
      </c>
      <c r="K94" s="48">
        <f t="shared" ca="1" si="153"/>
        <v>0</v>
      </c>
      <c r="L94" s="48">
        <f t="shared" ca="1" si="154"/>
        <v>0</v>
      </c>
      <c r="M94" s="48">
        <f ca="1">IFERROR(IF(IF(MID($A94,3,3)=".00",MID(A94,1,2),"")&lt;&gt;"",MAX($M$2:M93)+1,0),"")</f>
        <v>0</v>
      </c>
      <c r="N94" s="48" t="str">
        <f t="shared" ca="1" si="155"/>
        <v/>
      </c>
      <c r="O94" s="48" t="str">
        <f ca="1">IF(IFERROR(INDEX($N$3:$O$300,MATCH(ROWS($O$3:O94),$M$3:$M$300,0),1),"")&lt;&gt;"",CONCATENATE(INDEX($N$3:$O$300,MATCH(ROWS($O$3:O94),$M$3:$M$300,0),1),".00"),"")</f>
        <v/>
      </c>
      <c r="P94" s="48" t="str">
        <f t="shared" ca="1" si="156"/>
        <v/>
      </c>
      <c r="Q94" s="48">
        <f ca="1">IF(M94&gt;=1,0,MAX($Q$2:Q93)+1)</f>
        <v>84</v>
      </c>
      <c r="U94" s="48" t="str">
        <f ca="1">IFERROR(INDEX(PDC,MATCH(ROWS(U$3:U94),$V$3:$V$400,0),2),"")</f>
        <v>RISCONTI ATTIVI</v>
      </c>
      <c r="V94" s="48">
        <f ca="1">IF(AND($T$1="VISUALIZZA TUTTI I CONTI",AA94&lt;&gt;""),MAX($V$2:V93)+1,IF(AND($U$2=2,AI94=$T$1),MAX($V$2:V93)+1,IF(AND($U$2=1,$T$1=AF94),MAX($V$2:V93)+1,0)))</f>
        <v>92</v>
      </c>
      <c r="Z94" s="246"/>
      <c r="AA94" s="48" t="str">
        <f t="shared" ca="1" si="157"/>
        <v>09.00</v>
      </c>
      <c r="AB94" s="48" t="str">
        <f ca="1">IFERROR(INDEX($A$3:$G$400,MATCH(ROWS(AB$3:AB94),$Q$3:$Q$400,0),1),"")</f>
        <v>09.02</v>
      </c>
      <c r="AC94" s="48" t="str">
        <f ca="1">IFERROR(INDEX($A$3:$G$400,MATCH(ROWS($AC$3:AC94),$Q$3:$Q$400,0),2),"")</f>
        <v>RISCONTI ATTIVI</v>
      </c>
      <c r="AD94" s="48" t="str">
        <f ca="1">IFERROR(INDEX($A$3:$G$400,MATCH(ROWS(AD$3:AD94),$Q$3:$Q$400,0),3),"")</f>
        <v>E</v>
      </c>
      <c r="AE94" s="48" t="str">
        <f ca="1">IFERROR(INDEX($A$3:$G$400,MATCH(ROWS(AE$3:AE94),$Q$3:$Q$400,0),4),"")</f>
        <v>D</v>
      </c>
      <c r="AF94" s="48" t="str">
        <f ca="1">IFERROR(INDEX($A$3:$G$400,MATCH(ROWS(AF$3:AF94),$Q$3:$Q$400,0),5),"")</f>
        <v>COSTI SOSPESI</v>
      </c>
      <c r="AG94" s="48" t="str">
        <f ca="1">IFERROR(INDEX($A$3:$G$400,MATCH(ROWS(AG$3:AG94),$Q$3:$Q$400,0),6),"")</f>
        <v>SP DARE</v>
      </c>
      <c r="AH94" s="48" t="str">
        <f ca="1">IFERROR(INDEX($A$3:$G$400,MATCH(ROWS(AH$3:AH94),$Q$3:$Q$400,0),7),"")</f>
        <v>SP</v>
      </c>
      <c r="AI94" s="48" t="str">
        <f t="shared" ca="1" si="158"/>
        <v>RATEI E RISCONTI ATTIVI</v>
      </c>
      <c r="AJ94" s="48" t="str">
        <f ca="1">IFERROR(INDEX($A$3:$H$400,MATCH(ROWS(AJ$3:AJ94),$Q$3:$Q$400,0),8),"")</f>
        <v>pad</v>
      </c>
      <c r="AK94" s="48">
        <f t="shared" ca="1" si="130"/>
        <v>0</v>
      </c>
      <c r="AL94" s="48">
        <f t="shared" ca="1" si="131"/>
        <v>0</v>
      </c>
      <c r="AM94" s="48">
        <f t="shared" ca="1" si="159"/>
        <v>0</v>
      </c>
      <c r="AN94" s="48" t="str">
        <f t="shared" ca="1" si="160"/>
        <v/>
      </c>
      <c r="AO94" s="48">
        <f t="shared" ca="1" si="161"/>
        <v>0</v>
      </c>
      <c r="AP94" s="48">
        <f t="shared" ca="1" si="161"/>
        <v>0</v>
      </c>
      <c r="AQ94" s="48" t="str">
        <f t="shared" ca="1" si="132"/>
        <v>RISCONTI ATTIVI</v>
      </c>
      <c r="AR94" s="48">
        <f t="shared" ca="1" si="133"/>
        <v>0</v>
      </c>
      <c r="AS94" s="48">
        <f t="shared" ca="1" si="134"/>
        <v>0</v>
      </c>
      <c r="AT94" s="48">
        <f t="shared" ca="1" si="162"/>
        <v>0</v>
      </c>
      <c r="AU94" s="48">
        <f t="shared" ca="1" si="163"/>
        <v>0</v>
      </c>
      <c r="AV94" s="48">
        <f ca="1">IF(OR(AT94&gt;0,AU94&gt;0),MAX($AV$2:AV93)+1,0)</f>
        <v>0</v>
      </c>
      <c r="AZ94" s="241" t="str">
        <f t="shared" ca="1" si="164"/>
        <v/>
      </c>
      <c r="BA94" s="48">
        <f t="shared" ca="1" si="135"/>
        <v>0</v>
      </c>
      <c r="BB94" s="48">
        <f ca="1">IFERROR(INDEX($AQ$3:$AV$220,MATCH(ROWS($BB$3:BB94),$AV$3:$AV$220,0),1),0)</f>
        <v>0</v>
      </c>
      <c r="BC94" s="48" t="str">
        <f t="shared" ca="1" si="165"/>
        <v/>
      </c>
      <c r="BD94" s="48">
        <f ca="1">IFERROR(INDEX($AQ$3:$AV$220,MATCH(ROWS($BB$3:BD94),$AV$3:$AV$220,0),4),0)</f>
        <v>0</v>
      </c>
      <c r="BE94" s="48">
        <f ca="1">IFERROR(INDEX($AQ$3:$AV$220,MATCH(ROWS($BB$3:BE94),$AV$3:$AV$220,0),5),0)</f>
        <v>0</v>
      </c>
      <c r="BG94" s="48">
        <f ca="1">IF(IF(AND(OR(INDEX(PDC,MATCH($AC94,DEN_PDC,0),6)="SP DARE",INDEX(PDC,MATCH($AC94,DEN_PDC,0),6)="SP DARE/AVERE"),SUMIFS(DARE,DEN_G,$AC94)&gt;=SUMIFS(AVERE,DEN_G,$AC94)),SUMIFS(DARE,DEN_G,$AC94)-SUMIFS(AVERE,DEN_G,$AC94),0)&gt;0,MAX($BG$2:BG93)+1,0)</f>
        <v>0</v>
      </c>
      <c r="BH94" s="48">
        <f ca="1">IF(IF(AND(OR(INDEX(PDC,MATCH($AC94,DEN_PDC,0),6)="SP AVERE",INDEX(PDC,MATCH($AC94,DEN_PDC,0),6)="SP DARE/AVERE"),SUMIFS(AVERE,DEN_G,$AC94)&gt;=SUMIFS(DARE,DEN_G,$AC94)),SUMIFS(AVERE,DEN_G,$AC94)-SUMIFS(DARE,DEN_G,$AC94),0)&gt;0,MAX(BH$2:BH93)+1,0)</f>
        <v>0</v>
      </c>
      <c r="BI94" s="48">
        <f ca="1">IF(IF(AND(OR(INDEX(PDC,MATCH($AC94,DEN_PDC,0),6)="SE DARE",INDEX(PDC,MATCH($AC94,DEN_PDC,0),6)="SE DARE/AVERE"),SUMIFS(DARE,DEN_G,$AC94)&gt;=SUMIFS(AVERE,DEN_G,$AC94)),SUMIFS(DARE,DEN_G,$AC94)-SUMIFS(AVERE,DEN_G,$AC94),0)&gt;0,MAX(BI$2:BI93)+1,0)</f>
        <v>0</v>
      </c>
      <c r="BJ94" s="48">
        <f ca="1">IF(IF(AND(OR(INDEX(PDC,MATCH($AC94,DEN_PDC,0),6)="SE AVERE",INDEX(PDC,MATCH($AC94,DEN_PDC,0),6)="SE DARE/AVERE"),SUMIFS(AVERE,DEN_G,$AC94)&gt;=SUMIFS(DARE,DEN_G,$AC94)),SUMIFS(AVERE,DEN_G,$AC94)-SUMIFS(DARE,DEN_G,$AC94),0)&gt;0,MAX(BJ$2:BJ93)+1,0)</f>
        <v>0</v>
      </c>
      <c r="BK94" s="48" t="str">
        <f ca="1">IF(AND(AND($DY$2=0,$DY$1=0),$I$1=2,ROW()&gt;$BG$1+2,ROW()&lt;=$BG$1+4),"………………..",IF(AND(OR($DY$2&gt;0,$DY$1&gt;0),$I$1=2,ROW()&gt;$BG$1+2,ROW()&lt;=$BG$1+4),"………………..",IFERROR(INDEX($AC$3:$AC$398,MATCH(ROWS(BK$3:BK94),BG$3:BG$398,0),1),"")))</f>
        <v/>
      </c>
      <c r="BL94" s="48">
        <f t="shared" ca="1" si="136"/>
        <v>0</v>
      </c>
      <c r="BM94" s="48" t="str">
        <f ca="1">IF(AND(OR($DY$2=0,$DY$1=0),$I$1=2,ROW()&gt;$BH$1+2,ROW()&lt;=$BH$1+4),"………………..",IF(AND(OR($DY$2&gt;0,$DY$1&gt;0),$I$1=2,ROW()&gt;$BH$1+2,ROW()&lt;=$BH$1+4),"………………..",IFERROR(INDEX($AC$3:$AC$400,MATCH(ROWS(BM$3:BM94),BH$3:BH$400,0),1),"")))</f>
        <v/>
      </c>
      <c r="BN94" s="48">
        <f t="shared" ca="1" si="137"/>
        <v>0</v>
      </c>
      <c r="BO94" s="48" t="str">
        <f ca="1">IF(AND(OR($DY$2=0,$DY$1=0),$I$1=2,ROW()&gt;$BI$1+2,ROW()&lt;=$BI$1+4),"………………..",IF(AND(OR($DY$2&gt;0,$DY$1&gt;0),$I$1=2,ROW()&gt;$BI$1+2,ROW()&lt;=$BI$1+4),"………………..",IFERROR(INDEX($AC$3:$AC$400,MATCH(ROWS(BO$3:BO94),BI$3:BI$400,0),1),"")))</f>
        <v/>
      </c>
      <c r="BP94" s="48">
        <f t="shared" ca="1" si="138"/>
        <v>0</v>
      </c>
      <c r="BQ94" s="48" t="str">
        <f ca="1">IF(AND(OR($DY$2=0,$DY$1=0),$I$1=2,ROW()&gt;$BJ$1+2,ROW()&lt;=$BJ$1+4),"………………..",IF(AND(OR($DY$2&gt;0,$DY$1&gt;0),$I$1=2,ROW()&gt;$BJ$1+2,ROW()&lt;=$BJ$1+4),"………………..",IFERROR(INDEX($AC$3:$AC$400,MATCH(ROWS(BQ$3:BQ94),BJ$3:BJ$400,0),1),"")))</f>
        <v/>
      </c>
      <c r="BR94" s="48">
        <f t="shared" ca="1" si="139"/>
        <v>0</v>
      </c>
      <c r="BS94" s="48">
        <f ca="1">IF(IF(AND(OR(INDEX(PDC,MATCH($AC94,DEN_PDC,0),4)="D",INDEX(PDC,MATCH($AC94,DEN_PDC,0),4)="D/A"),SUMIFS(DARE,DEN_G,$AC94)&gt;=SUMIFS(AVERE,DEN_G,$AC94)),SUMIFS(DARE,DEN_G,$AC94),IF(AND(OR(INDEX(PDC,MATCH($AC94,DEN_PDC,0),4)="A",INDEX(PDC,MATCH($AC94,DEN_PDC,0),4)="D/A"),SUMIFS(AVERE,DEN_G,$AC94)&gt;=SUMIFS(DARE,DEN_G,$AC94)),SUMIFS(AVERE,DEN_G,$AC94),))&gt;0,MAX($BS$2:BS93)+1,0)</f>
        <v>0</v>
      </c>
      <c r="BT94" s="48" t="str">
        <f ca="1">IF($CO$1=0,"",IF(AND($I$1=2,ROW()&gt;$BR$1,ROW()&lt;=$BS$1)," …………….",IF(AND($E$1=1,$BX$1=1,$I$1=2,ROW()=$BQ$1),"TOTALI",IFERROR(INDEX(PDC,MATCH(ROWS(BT$3:BT94),BS$3:BS491,0),2),""))))</f>
        <v/>
      </c>
      <c r="BU94" s="48">
        <f t="shared" ca="1" si="140"/>
        <v>0</v>
      </c>
      <c r="BV94" s="48">
        <f t="shared" ca="1" si="141"/>
        <v>0</v>
      </c>
      <c r="BW94" s="48">
        <f t="shared" ca="1" si="142"/>
        <v>0</v>
      </c>
      <c r="BX94" s="48">
        <f t="shared" ca="1" si="143"/>
        <v>0</v>
      </c>
      <c r="BY94" s="48">
        <f ca="1">IF(OR(BW94&gt;0,BX94&gt;0),MAX($BY$2:BY93)+1,0)</f>
        <v>0</v>
      </c>
      <c r="BZ94" s="48" t="str">
        <f ca="1">IFERROR(INDEX($BT$3:$BY$400,MATCH(ROWS(BZ$3:BZ94),$BY$3:$BY$400,0),1),"")</f>
        <v/>
      </c>
      <c r="CA94" s="48" t="str">
        <f ca="1">IFERROR(INDEX($BT$3:$BY$400,MATCH(ROWS(CA$3:CA94),$BY$3:$BY$400,0),4),"")</f>
        <v/>
      </c>
      <c r="CB94" s="48" t="str">
        <f ca="1">IFERROR(INDEX($BT$3:$BY$400,MATCH(ROWS(CB$3:CB94),$BY$3:$BY$400,0),5),"")</f>
        <v/>
      </c>
      <c r="CC94" s="48" t="str">
        <f t="shared" ca="1" si="144"/>
        <v/>
      </c>
      <c r="CD94" s="48">
        <f ca="1">IF(AND(OR($BF$9=2,$BF$9=3),$CF$1=TRUE,CE94&lt;&gt;0),MAX($CD$87:CD93)+1,0)</f>
        <v>0</v>
      </c>
      <c r="CE94" s="48">
        <f ca="1">IF($I$1=1,SUM(CE91:CE93),IF(AND(I1=2,SUM(CE91:CE93)&gt;0),"_ _ _",0))</f>
        <v>0</v>
      </c>
      <c r="CG94" s="48" t="str">
        <f>CG43</f>
        <v>_____Totale immobilizzazioni</v>
      </c>
      <c r="CH94" s="242">
        <f t="shared" ca="1" si="112"/>
        <v>0</v>
      </c>
      <c r="CJ94" s="242"/>
      <c r="CM94" s="242" t="str">
        <f t="shared" ca="1" si="166"/>
        <v/>
      </c>
      <c r="CN94" s="243">
        <f t="shared" ca="1" si="167"/>
        <v>0</v>
      </c>
      <c r="CO94" s="48" t="str">
        <f t="shared" ca="1" si="168"/>
        <v/>
      </c>
      <c r="CQ94" s="247">
        <f t="shared" ref="CQ94:CR97" ca="1" si="227">CQ87</f>
        <v>46388</v>
      </c>
      <c r="CR94" s="247">
        <f t="shared" ca="1" si="227"/>
        <v>46752</v>
      </c>
      <c r="CS94" s="48">
        <f t="shared" ca="1" si="223"/>
        <v>0</v>
      </c>
      <c r="CT94" s="48">
        <f t="shared" ca="1" si="224"/>
        <v>0</v>
      </c>
      <c r="CU94" s="48">
        <f ca="1">IF(SUMIFS(AVERE,DEN_G,AC94,AVERE,"&gt;"&amp;0)+SUMIFS(DARE,DEN_G,AC94,DARE,"&gt;"&amp;0)&gt;0,MAX($CU$2:CU93)+1,0)</f>
        <v>0</v>
      </c>
      <c r="CV94" s="48" t="str">
        <f ca="1">IF(IFERROR(INDEX(PDC,MATCH(ROWS($CV$3:CV94),$CU$3:$CU$400,0),2),"")="CONTO DI RISULTATO ECONOMICO","",IFERROR(INDEX(PDC,MATCH(ROWS($CV$3:CV94),$CU$3:$CU$400,0),2),""))</f>
        <v/>
      </c>
      <c r="CW94" s="48">
        <f ca="1">IFERROR(IF(CV94&lt;&gt;"",MAX($CW$2:CW93)+1,0),0)</f>
        <v>0</v>
      </c>
      <c r="CX94" s="48">
        <f ca="1">$FF$10</f>
        <v>8</v>
      </c>
      <c r="CY94" s="48" t="str">
        <f t="shared" ref="CY94:CY105" ca="1" si="228">IF(ISERROR(INDEX($CV$3:$CX$1302,MATCH(CX94,$CW$3:$CW$1302,0),1)),"MASTRO",INDEX($CV$3:$CX$1302,MATCH(CX94,$CW$3:$CW$1302,0),1))</f>
        <v>MASTRO</v>
      </c>
      <c r="DA94" s="48" t="str">
        <f>IF(CY93="MASTRO","Conto n.","")</f>
        <v>Conto n.</v>
      </c>
      <c r="DB94" s="48" t="str">
        <f ca="1">IF(CY94=0,"",INDEX(PDC,MATCH(DC94,DEN_PDC,0),1))</f>
        <v/>
      </c>
      <c r="DC94" s="48" t="str">
        <f ca="1">IF(OR(CY94=0,CY94="mastro"),"",CY94)</f>
        <v/>
      </c>
      <c r="DD94" s="48" t="str">
        <f ca="1">IF(AND($DA$2=TRUE,OR(INDEX(PDC,MATCH($DC94,DEN_PDC,0),4)="A",INDEX(PDC,MATCH($DC94,DEN_PDC,0),4)="D/A"),SUMIFS(AVERE,DEN_G,"="&amp;$DC94,DATA,"&lt;="&amp;FINE_AC,DATA,"&gt;="&amp;INIZIO_AC)&gt;SUMIFS(DARE,DEN_G,"="&amp;$DC94,DATA,"&lt;="&amp;FINE_AC,DATA,"&gt;="&amp;INIZIO_AC)),CONCATENATE("s ",FIXED(ABS(SUMIFS(AVERE,DEN_G,"="&amp;$DC94,DATA,"&lt;="&amp;FINE_AC,DATA,"&gt;="&amp;INIZIO_AC)-SUMIFS(DARE,DEN_G,"="&amp;$DC94,DATA,"&lt;="&amp;FINE_AC,DATA,"&gt;="&amp;INIZIO_AC)),2)),"")</f>
        <v/>
      </c>
      <c r="DE94" s="48" t="str">
        <f ca="1">IF(AND($DA$2=TRUE,OR(INDEX(PDC,MATCH($DC94,DEN_PDC,0),4)="D",INDEX(PDC,MATCH($DC94,DEN_PDC,0),4)="D/A"),SUMIFS(DARE,DEN_G,"="&amp;$DC94,DATA,"&lt;="&amp;FINE_AC,DATA,"&gt;="&amp;INIZIO_AC)&gt;SUMIFS(AVERE,DEN_G,"="&amp;$DC94,DATA,"&lt;="&amp;FINE_AC,DATA,"&gt;="&amp;INIZIO_AC)),CONCATENATE("s ",FIXED(ABS(SUMIFS(DARE,DEN_G,"="&amp;$DC94,DATA,"&lt;="&amp;FINE_AC,DATA,"&gt;="&amp;INIZIO_AC)-SUMIFS(AVERE,DEN_G,"="&amp;$DC94,DATA,"&lt;="&amp;FINE_AC,DATA,"&gt;="&amp;INIZIO_AC)),2)),"")</f>
        <v/>
      </c>
      <c r="DF94" s="48">
        <f ca="1">IF(AND(CX94=$DF$1,CX94&lt;&gt;""),0,IF(AND(DB94&lt;&gt;"",OR(DB93&lt;&gt;"",DB95&lt;&gt;"")),MAX($DF$2:DF93)+1,0))</f>
        <v>0</v>
      </c>
      <c r="DH94" s="244" t="s">
        <v>369</v>
      </c>
      <c r="DI94" s="48" t="s">
        <v>281</v>
      </c>
      <c r="DJ94" s="48" t="s">
        <v>312</v>
      </c>
      <c r="DK94" s="48" t="s">
        <v>275</v>
      </c>
      <c r="DL94" s="48" t="s">
        <v>6</v>
      </c>
      <c r="DM94" s="48" t="s">
        <v>270</v>
      </c>
      <c r="DN94" s="48">
        <f ca="1">IF(DI94&lt;&gt;"",MAX($DN$2:DN93)+1,0)</f>
        <v>76</v>
      </c>
      <c r="DO94" s="48" t="str">
        <f t="shared" ca="1" si="226"/>
        <v>pac2</v>
      </c>
      <c r="DW94" s="48">
        <f>IF(DR94&lt;&gt;"",MAX($DW$2:DW93)+1,0)</f>
        <v>0</v>
      </c>
      <c r="DY94" s="48" t="str">
        <f t="shared" ca="1" si="147"/>
        <v/>
      </c>
      <c r="DZ94" s="48" t="str">
        <f t="shared" ca="1" si="170"/>
        <v/>
      </c>
      <c r="EA94" s="48" t="str">
        <f t="shared" ca="1" si="171"/>
        <v/>
      </c>
      <c r="EB94" s="48">
        <f t="shared" ca="1" si="172"/>
        <v>0</v>
      </c>
      <c r="EC94" s="48">
        <f t="shared" ca="1" si="173"/>
        <v>0</v>
      </c>
      <c r="ED94" s="48" t="str">
        <f t="shared" ca="1" si="174"/>
        <v/>
      </c>
      <c r="EE94" s="48">
        <f t="shared" ca="1" si="175"/>
        <v>0</v>
      </c>
      <c r="EF94" s="48" t="str">
        <f t="shared" ca="1" si="176"/>
        <v/>
      </c>
      <c r="EG94" s="48">
        <f t="shared" ca="1" si="177"/>
        <v>0</v>
      </c>
      <c r="EH94" s="48" t="str">
        <f t="shared" ca="1" si="178"/>
        <v/>
      </c>
      <c r="EI94" s="48">
        <f t="shared" ca="1" si="179"/>
        <v>0</v>
      </c>
      <c r="EJ94" s="48" t="str">
        <f t="shared" ca="1" si="180"/>
        <v/>
      </c>
      <c r="EK94" s="48">
        <f t="shared" ca="1" si="181"/>
        <v>0</v>
      </c>
      <c r="EL94" s="48">
        <f t="shared" ca="1" si="148"/>
        <v>0</v>
      </c>
      <c r="EM94" s="48">
        <f ca="1">IF(EL94&gt;=0,0,MAX($EM$2:EM93)+1)</f>
        <v>0</v>
      </c>
      <c r="EN94" s="48" t="str">
        <f t="shared" ca="1" si="182"/>
        <v/>
      </c>
      <c r="EO94" s="48" t="str">
        <f ca="1">IFERROR(INDEX($EM$3:$EN$400,MATCH(ROWS($EO$3:EO94),$EM$3:$EM$400,0),2),"")</f>
        <v/>
      </c>
      <c r="EP94" s="48">
        <f>ROW()</f>
        <v>94</v>
      </c>
      <c r="EQ94" s="48">
        <f t="shared" ca="1" si="149"/>
        <v>0</v>
      </c>
      <c r="ER94" s="48">
        <f ca="1">IF(ISNA(EQ94)=TRUE,MAX($ER$2:ER93)+1,0)</f>
        <v>0</v>
      </c>
      <c r="ES94" s="48" t="str">
        <f t="shared" ca="1" si="183"/>
        <v/>
      </c>
      <c r="ET94" s="48" t="str">
        <f ca="1">IFERROR(INDEX($ER$3:$ES$400,MATCH(ROWS($ET$3:ET94),$ER$3:$ER$400,0),2),"")</f>
        <v/>
      </c>
      <c r="EV94" s="48">
        <f ca="1">IFERROR(INDEX(LIBRO_GIORNALE!$O$11:$P$408,MATCH(ROWS($EV$2:EV93),LIBRO_GIORNALE!$P$11:$P$408,0),1),0)</f>
        <v>0</v>
      </c>
      <c r="EW94" s="48" t="str">
        <f t="shared" ca="1" si="184"/>
        <v>0</v>
      </c>
      <c r="EX94" s="48">
        <f t="shared" ca="1" si="185"/>
        <v>0</v>
      </c>
      <c r="EY94" s="48">
        <f ca="1">IF(EX94&gt;0,MAX($EY$2:EY93)+1,0)</f>
        <v>0</v>
      </c>
      <c r="EZ94" s="48">
        <f ca="1">IFERROR(INDEX($EX$3:$EX$400,MATCH(ROWS($EZ$3:EZ94),$EY$3:$EY$400,0),1),0)</f>
        <v>0</v>
      </c>
      <c r="FA94" s="48">
        <f ca="1">IF(EZ94&gt;0,0,MAX($FA$2:FA93)+1)</f>
        <v>92</v>
      </c>
      <c r="FB94" s="48">
        <f t="shared" ca="1" si="186"/>
        <v>0</v>
      </c>
      <c r="FC94" s="48">
        <f t="shared" ca="1" si="187"/>
        <v>92</v>
      </c>
      <c r="FD94" s="48">
        <f t="shared" ca="1" si="188"/>
        <v>92</v>
      </c>
      <c r="FE94" s="48">
        <f ca="1">IF(FD94=0,0,MAX($FE$2:FE93)+1)</f>
        <v>92</v>
      </c>
      <c r="FF94" s="48">
        <f ca="1">IFERROR(INDEX($FD$3:$FE$400,MATCH(ROWS($FF$3:FF94),$FE$3:$FE$400,0),1),"")</f>
        <v>92</v>
      </c>
      <c r="FH94" s="48">
        <f t="shared" ca="1" si="189"/>
        <v>0</v>
      </c>
      <c r="FI94" s="48">
        <f ca="1">IF(FH94&lt;&gt;0,MAX($FI$2:FI93)+1,0)</f>
        <v>0</v>
      </c>
      <c r="FJ94" s="48" t="str">
        <f ca="1">IFERROR(INDEX($FH$3:$FI$400,MATCH(ROWS($FJ$3:FJ94),$FI$3:$FI$400,0),1),"")</f>
        <v/>
      </c>
      <c r="FK94" s="48">
        <f ca="1">IF(ABS(SUMIFS(DARE,DEN_G,"="&amp;FJ94,DATA,"&lt;="&amp;FINE_AC,DATA,"&gt;="&amp;INIZIO_A_PC)-SUMIFS(AVERE,DEN_G,"="&amp;FJ94,DATA,"&lt;="&amp;FINE_AC,DATA,"&gt;="&amp;INIZIO_A_PC))&gt;0,MAX($FK$2:FK93)+1,0)</f>
        <v>0</v>
      </c>
      <c r="FL94" s="48" t="str">
        <f ca="1">IF(AND(ROW()-2&lt;&gt;1,ROW()-2&lt;=$FK$1),CONCATENATE(" - ",IFERROR(INDEX($FJ$3:$FK$400,MATCH(ROWS($FL$3:FL94),$FK$3:$FK$400,0),1),"")),IFERROR(INDEX($FJ$3:$FK$400,MATCH(ROWS($FL$3:FL94),$FK$3:$FK$400,0),1),""))</f>
        <v/>
      </c>
      <c r="FM94" s="48">
        <f ca="1">IF(OR(B94="IVA ns/credito",B94="IVA NS/DEBITO",B94="IVA C/ACCONTO",B94="IMPOSTE C/ACCONTO",B94="CREDITI PER RITENUTE SUBITE",B94="CREDITI D'IMPOSTA"),MAX($FM$2:FM93)+1,0)</f>
        <v>0</v>
      </c>
      <c r="FN94" s="48" t="str">
        <f t="shared" ca="1" si="190"/>
        <v/>
      </c>
      <c r="FO94" s="48" t="str">
        <f ca="1">IFERROR(INDEX($FM$3:$FN$400,MATCH(ROWS($FO$3:FO94),$FM$3:$FM$400,0),2),"")</f>
        <v/>
      </c>
      <c r="FP94" s="48">
        <f ca="1">IF(ABS(SUMIFS(DARE,DEN_G,"="&amp;FO94,DATA,"&lt;="&amp;FINE_AC,DATA,"&gt;="&amp;INIZIO_A_PC)-SUMIFS(AVERE,DEN_G,"="&amp;FO94,DATA,"&lt;="&amp;FINE_AC,DATA,"&gt;="&amp;INIZIO_A_PC))&gt;0,MAX($FP$2:FP93)+1,0)</f>
        <v>0</v>
      </c>
      <c r="FQ94" s="48" t="str">
        <f ca="1">IF(AND(ROW()-2&lt;&gt;1,ROW()-2&lt;=$FP$1),CONCATENATE(" - ",IFERROR(INDEX($FO$3:$FP$400,MATCH(ROWS($FQ$3:FQ94),$FP$3:$FP$400,0),1),"")),IFERROR(INDEX($FO$3:$FP$400,MATCH(ROWS($FQ$3:FQ94),$FP$3:$FP$400,0),1),""))</f>
        <v/>
      </c>
    </row>
    <row r="95" spans="1:173" x14ac:dyDescent="0.3">
      <c r="A95" s="48" t="str">
        <f ca="1">IFERROR(IF($A$1=2,INDEX($DH$3:$DN$401,MATCH(ROWS(A$3:A95),$DN$3:$DN$401,0),COLUMN()),IF($A$1=1,INDEX($DQ$3:$DW$401,MATCH(ROWS(A$3:A95),$DW$3:$DW$401,0),COLUMN()),"")),"")</f>
        <v>08.00</v>
      </c>
      <c r="B95" s="48" t="str">
        <f ca="1">IFERROR(IF($A$1=2,INDEX($DH$3:$DN$401,MATCH(ROWS(B$3:B95),$DN$3:$DN$401,0),COLUMN()),IF($A$1=1,INDEX($DQ$3:$DW$400,MATCH(ROWS(B$3:B95),$DW$3:$DW$401,0),COLUMN()),"")),"")</f>
        <v>DISPONIBILITÀ LIQUIDE</v>
      </c>
      <c r="C95" s="48">
        <f ca="1">IFERROR(IF($A$1=2,INDEX($DH$3:$DN$401,MATCH(ROWS(C$3:C95),$DN$3:$DN$401,0),COLUMN()),IF($A$1=1,INDEX($DQ$3:$DW$401,MATCH(ROWS(C$3:C95),$DW$3:$DW$401,0),COLUMN()),"")),"")</f>
        <v>0</v>
      </c>
      <c r="D95" s="48">
        <f ca="1">IFERROR(IF($A$1=2,INDEX($DH$3:$DN$401,MATCH(ROWS(D$3:D95),$DN$3:$DN$401,0),COLUMN()),IF($A$1=1,INDEX($DQ$3:$DW$401,MATCH(ROWS(D$3:D95),$DW$3:$DW$401,0),COLUMN()),"")),"")</f>
        <v>0</v>
      </c>
      <c r="E95" s="48">
        <f ca="1">IFERROR(IF($A$1=2,INDEX($DH$3:$DN$401,MATCH(ROWS(E$3:E95),$DN$3:$DN$401,0),COLUMN()),IF($A$1=1,INDEX($DQ$3:$DW$401,MATCH(ROWS(E$3:E95),$DW$3:$DW$401,0),COLUMN()),"")),"")</f>
        <v>0</v>
      </c>
      <c r="F95" s="48">
        <f ca="1">IFERROR(IF($A$1=2,INDEX($DH$3:$DN$401,MATCH(ROWS(F$3:F95),$DN$3:$DN$401,0),COLUMN()),IF($A$1=1,INDEX($DQ$3:$DX$401,MATCH(ROWS(F$3:F95),$DW$3:$DW$401,0),COLUMN()),"")),"")</f>
        <v>0</v>
      </c>
      <c r="G95" s="48" t="str">
        <f t="shared" ca="1" si="150"/>
        <v>0</v>
      </c>
      <c r="H95" s="48">
        <f ca="1">IFERROR(IF($A$1=2,INDEX($DH$3:$DO$400,MATCH(ROWS(H$3:H95),$DN$3:$DN$400,0),COLUMN()),IF($A$1=1,INDEX($DQ$3:$DX$400,MATCH(ROWS(H$3:H95),$DW$3:$DW$400,0),COLUMN()),"")),"")</f>
        <v>0</v>
      </c>
      <c r="I95" s="48" t="str">
        <f t="shared" ca="1" si="151"/>
        <v/>
      </c>
      <c r="J95" s="48" t="str">
        <f t="shared" ca="1" si="152"/>
        <v/>
      </c>
      <c r="K95" s="48">
        <f t="shared" ca="1" si="153"/>
        <v>0</v>
      </c>
      <c r="L95" s="48">
        <f t="shared" ca="1" si="154"/>
        <v>0</v>
      </c>
      <c r="M95" s="48">
        <f ca="1">IFERROR(IF(IF(MID($A95,3,3)=".00",MID(A95,1,2),"")&lt;&gt;"",MAX($M$2:M94)+1,0),"")</f>
        <v>9</v>
      </c>
      <c r="N95" s="48" t="str">
        <f t="shared" ca="1" si="155"/>
        <v>08</v>
      </c>
      <c r="O95" s="48" t="str">
        <f ca="1">IF(IFERROR(INDEX($N$3:$O$300,MATCH(ROWS($O$3:O95),$M$3:$M$300,0),1),"")&lt;&gt;"",CONCATENATE(INDEX($N$3:$O$300,MATCH(ROWS($O$3:O95),$M$3:$M$300,0),1),".00"),"")</f>
        <v/>
      </c>
      <c r="P95" s="48" t="str">
        <f t="shared" ca="1" si="156"/>
        <v/>
      </c>
      <c r="Q95" s="48">
        <f ca="1">IF(M95&gt;=1,0,MAX($Q$2:Q94)+1)</f>
        <v>0</v>
      </c>
      <c r="U95" s="48" t="str">
        <f ca="1">IFERROR(INDEX(PDC,MATCH(ROWS(U$3:U95),$V$3:$V$400,0),2),"")</f>
        <v>CAPITALE SOCIALE</v>
      </c>
      <c r="V95" s="48">
        <f ca="1">IF(AND($T$1="VISUALIZZA TUTTI I CONTI",AA95&lt;&gt;""),MAX($V$2:V94)+1,IF(AND($U$2=2,AI95=$T$1),MAX($V$2:V94)+1,IF(AND($U$2=1,$T$1=AF95),MAX($V$2:V94)+1,0)))</f>
        <v>93</v>
      </c>
      <c r="Z95" s="246"/>
      <c r="AA95" s="48" t="str">
        <f t="shared" ca="1" si="157"/>
        <v>10.00</v>
      </c>
      <c r="AB95" s="48" t="str">
        <f ca="1">IFERROR(INDEX($A$3:$G$400,MATCH(ROWS(AB$3:AB95),$Q$3:$Q$400,0),1),"")</f>
        <v>10.01</v>
      </c>
      <c r="AC95" s="48" t="str">
        <f ca="1">IFERROR(INDEX($A$3:$G$400,MATCH(ROWS($AC$3:AC95),$Q$3:$Q$400,0),2),"")</f>
        <v>CAPITALE SOCIALE</v>
      </c>
      <c r="AD95" s="48" t="str">
        <f ca="1">IFERROR(INDEX($A$3:$G$400,MATCH(ROWS(AD$3:AD95),$Q$3:$Q$400,0),3),"")</f>
        <v>E</v>
      </c>
      <c r="AE95" s="48" t="str">
        <f ca="1">IFERROR(INDEX($A$3:$G$400,MATCH(ROWS(AE$3:AE95),$Q$3:$Q$400,0),4),"")</f>
        <v>A</v>
      </c>
      <c r="AF95" s="48" t="str">
        <f ca="1">IFERROR(INDEX($A$3:$G$400,MATCH(ROWS(AF$3:AF95),$Q$3:$Q$400,0),5),"")</f>
        <v>PATRIMONIO NETTO</v>
      </c>
      <c r="AG95" s="48" t="str">
        <f ca="1">IFERROR(INDEX($A$3:$G$400,MATCH(ROWS(AG$3:AG95),$Q$3:$Q$400,0),6),"")</f>
        <v>SP AVERE</v>
      </c>
      <c r="AH95" s="48" t="str">
        <f ca="1">IFERROR(INDEX($A$3:$G$400,MATCH(ROWS(AH$3:AH95),$Q$3:$Q$400,0),7),"")</f>
        <v>SP</v>
      </c>
      <c r="AI95" s="48" t="str">
        <f t="shared" ca="1" si="158"/>
        <v>PATRIMONIO NETTO</v>
      </c>
      <c r="AJ95" s="48" t="str">
        <f ca="1">IFERROR(INDEX($A$3:$H$400,MATCH(ROWS(AJ$3:AJ95),$Q$3:$Q$400,0),8),"")</f>
        <v>ppa1</v>
      </c>
      <c r="AK95" s="48">
        <f t="shared" ca="1" si="130"/>
        <v>0</v>
      </c>
      <c r="AL95" s="48">
        <f t="shared" ca="1" si="131"/>
        <v>0</v>
      </c>
      <c r="AM95" s="48">
        <f t="shared" ca="1" si="159"/>
        <v>0</v>
      </c>
      <c r="AN95" s="48" t="str">
        <f t="shared" ca="1" si="160"/>
        <v/>
      </c>
      <c r="AO95" s="48">
        <f t="shared" ca="1" si="161"/>
        <v>0</v>
      </c>
      <c r="AP95" s="48">
        <f t="shared" ca="1" si="161"/>
        <v>0</v>
      </c>
      <c r="AQ95" s="48" t="str">
        <f t="shared" ca="1" si="132"/>
        <v>CAPITALE SOCIALE</v>
      </c>
      <c r="AR95" s="48">
        <f t="shared" ca="1" si="133"/>
        <v>0</v>
      </c>
      <c r="AS95" s="48">
        <f t="shared" ca="1" si="134"/>
        <v>0</v>
      </c>
      <c r="AT95" s="48">
        <f t="shared" ca="1" si="162"/>
        <v>0</v>
      </c>
      <c r="AU95" s="48">
        <f t="shared" ca="1" si="163"/>
        <v>0</v>
      </c>
      <c r="AV95" s="48">
        <f ca="1">IF(OR(AT95&gt;0,AU95&gt;0),MAX($AV$2:AV94)+1,0)</f>
        <v>0</v>
      </c>
      <c r="AZ95" s="241" t="str">
        <f t="shared" ca="1" si="164"/>
        <v/>
      </c>
      <c r="BA95" s="48">
        <f t="shared" ca="1" si="135"/>
        <v>0</v>
      </c>
      <c r="BB95" s="48">
        <f ca="1">IFERROR(INDEX($AQ$3:$AV$220,MATCH(ROWS($BB$3:BB95),$AV$3:$AV$220,0),1),0)</f>
        <v>0</v>
      </c>
      <c r="BC95" s="48" t="str">
        <f t="shared" ca="1" si="165"/>
        <v/>
      </c>
      <c r="BD95" s="48">
        <f ca="1">IFERROR(INDEX($AQ$3:$AV$220,MATCH(ROWS($BB$3:BD95),$AV$3:$AV$220,0),4),0)</f>
        <v>0</v>
      </c>
      <c r="BE95" s="48">
        <f ca="1">IFERROR(INDEX($AQ$3:$AV$220,MATCH(ROWS($BB$3:BE95),$AV$3:$AV$220,0),5),0)</f>
        <v>0</v>
      </c>
      <c r="BG95" s="48">
        <f ca="1">IF(IF(AND(OR(INDEX(PDC,MATCH($AC95,DEN_PDC,0),6)="SP DARE",INDEX(PDC,MATCH($AC95,DEN_PDC,0),6)="SP DARE/AVERE"),SUMIFS(DARE,DEN_G,$AC95)&gt;=SUMIFS(AVERE,DEN_G,$AC95)),SUMIFS(DARE,DEN_G,$AC95)-SUMIFS(AVERE,DEN_G,$AC95),0)&gt;0,MAX($BG$2:BG94)+1,0)</f>
        <v>0</v>
      </c>
      <c r="BH95" s="48">
        <f ca="1">IF(IF(AND(OR(INDEX(PDC,MATCH($AC95,DEN_PDC,0),6)="SP AVERE",INDEX(PDC,MATCH($AC95,DEN_PDC,0),6)="SP DARE/AVERE"),SUMIFS(AVERE,DEN_G,$AC95)&gt;=SUMIFS(DARE,DEN_G,$AC95)),SUMIFS(AVERE,DEN_G,$AC95)-SUMIFS(DARE,DEN_G,$AC95),0)&gt;0,MAX(BH$2:BH94)+1,0)</f>
        <v>0</v>
      </c>
      <c r="BI95" s="48">
        <f ca="1">IF(IF(AND(OR(INDEX(PDC,MATCH($AC95,DEN_PDC,0),6)="SE DARE",INDEX(PDC,MATCH($AC95,DEN_PDC,0),6)="SE DARE/AVERE"),SUMIFS(DARE,DEN_G,$AC95)&gt;=SUMIFS(AVERE,DEN_G,$AC95)),SUMIFS(DARE,DEN_G,$AC95)-SUMIFS(AVERE,DEN_G,$AC95),0)&gt;0,MAX(BI$2:BI94)+1,0)</f>
        <v>0</v>
      </c>
      <c r="BJ95" s="48">
        <f ca="1">IF(IF(AND(OR(INDEX(PDC,MATCH($AC95,DEN_PDC,0),6)="SE AVERE",INDEX(PDC,MATCH($AC95,DEN_PDC,0),6)="SE DARE/AVERE"),SUMIFS(AVERE,DEN_G,$AC95)&gt;=SUMIFS(DARE,DEN_G,$AC95)),SUMIFS(AVERE,DEN_G,$AC95)-SUMIFS(DARE,DEN_G,$AC95),0)&gt;0,MAX(BJ$2:BJ94)+1,0)</f>
        <v>0</v>
      </c>
      <c r="BK95" s="48" t="str">
        <f ca="1">IF(AND(AND($DY$2=0,$DY$1=0),$I$1=2,ROW()&gt;$BG$1+2,ROW()&lt;=$BG$1+4),"………………..",IF(AND(OR($DY$2&gt;0,$DY$1&gt;0),$I$1=2,ROW()&gt;$BG$1+2,ROW()&lt;=$BG$1+4),"………………..",IFERROR(INDEX($AC$3:$AC$398,MATCH(ROWS(BK$3:BK95),BG$3:BG$398,0),1),"")))</f>
        <v/>
      </c>
      <c r="BL95" s="48">
        <f t="shared" ca="1" si="136"/>
        <v>0</v>
      </c>
      <c r="BM95" s="48" t="str">
        <f ca="1">IF(AND(OR($DY$2=0,$DY$1=0),$I$1=2,ROW()&gt;$BH$1+2,ROW()&lt;=$BH$1+4),"………………..",IF(AND(OR($DY$2&gt;0,$DY$1&gt;0),$I$1=2,ROW()&gt;$BH$1+2,ROW()&lt;=$BH$1+4),"………………..",IFERROR(INDEX($AC$3:$AC$400,MATCH(ROWS(BM$3:BM95),BH$3:BH$400,0),1),"")))</f>
        <v/>
      </c>
      <c r="BN95" s="48">
        <f t="shared" ca="1" si="137"/>
        <v>0</v>
      </c>
      <c r="BO95" s="48" t="str">
        <f ca="1">IF(AND(OR($DY$2=0,$DY$1=0),$I$1=2,ROW()&gt;$BI$1+2,ROW()&lt;=$BI$1+4),"………………..",IF(AND(OR($DY$2&gt;0,$DY$1&gt;0),$I$1=2,ROW()&gt;$BI$1+2,ROW()&lt;=$BI$1+4),"………………..",IFERROR(INDEX($AC$3:$AC$400,MATCH(ROWS(BO$3:BO95),BI$3:BI$400,0),1),"")))</f>
        <v/>
      </c>
      <c r="BP95" s="48">
        <f t="shared" ca="1" si="138"/>
        <v>0</v>
      </c>
      <c r="BQ95" s="48" t="str">
        <f ca="1">IF(AND(OR($DY$2=0,$DY$1=0),$I$1=2,ROW()&gt;$BJ$1+2,ROW()&lt;=$BJ$1+4),"………………..",IF(AND(OR($DY$2&gt;0,$DY$1&gt;0),$I$1=2,ROW()&gt;$BJ$1+2,ROW()&lt;=$BJ$1+4),"………………..",IFERROR(INDEX($AC$3:$AC$400,MATCH(ROWS(BQ$3:BQ95),BJ$3:BJ$400,0),1),"")))</f>
        <v/>
      </c>
      <c r="BR95" s="48">
        <f t="shared" ca="1" si="139"/>
        <v>0</v>
      </c>
      <c r="BS95" s="48">
        <f ca="1">IF(IF(AND(OR(INDEX(PDC,MATCH($AC95,DEN_PDC,0),4)="D",INDEX(PDC,MATCH($AC95,DEN_PDC,0),4)="D/A"),SUMIFS(DARE,DEN_G,$AC95)&gt;=SUMIFS(AVERE,DEN_G,$AC95)),SUMIFS(DARE,DEN_G,$AC95),IF(AND(OR(INDEX(PDC,MATCH($AC95,DEN_PDC,0),4)="A",INDEX(PDC,MATCH($AC95,DEN_PDC,0),4)="D/A"),SUMIFS(AVERE,DEN_G,$AC95)&gt;=SUMIFS(DARE,DEN_G,$AC95)),SUMIFS(AVERE,DEN_G,$AC95),))&gt;0,MAX($BS$2:BS94)+1,0)</f>
        <v>0</v>
      </c>
      <c r="BT95" s="48" t="str">
        <f ca="1">IF($CO$1=0,"",IF(AND($I$1=2,ROW()&gt;$BR$1,ROW()&lt;=$BS$1)," …………….",IF(AND($E$1=1,$BX$1=1,$I$1=2,ROW()=$BQ$1),"TOTALI",IFERROR(INDEX(PDC,MATCH(ROWS(BT$3:BT95),BS$3:BS492,0),2),""))))</f>
        <v/>
      </c>
      <c r="BU95" s="48">
        <f t="shared" ca="1" si="140"/>
        <v>0</v>
      </c>
      <c r="BV95" s="48">
        <f t="shared" ca="1" si="141"/>
        <v>0</v>
      </c>
      <c r="BW95" s="48">
        <f t="shared" ca="1" si="142"/>
        <v>0</v>
      </c>
      <c r="BX95" s="48">
        <f t="shared" ca="1" si="143"/>
        <v>0</v>
      </c>
      <c r="BY95" s="48">
        <f ca="1">IF(OR(BW95&gt;0,BX95&gt;0),MAX($BY$2:BY94)+1,0)</f>
        <v>0</v>
      </c>
      <c r="BZ95" s="48" t="str">
        <f ca="1">IFERROR(INDEX($BT$3:$BY$400,MATCH(ROWS(BZ$3:BZ95),$BY$3:$BY$400,0),1),"")</f>
        <v/>
      </c>
      <c r="CA95" s="48" t="str">
        <f ca="1">IFERROR(INDEX($BT$3:$BY$400,MATCH(ROWS(CA$3:CA95),$BY$3:$BY$400,0),4),"")</f>
        <v/>
      </c>
      <c r="CB95" s="48" t="str">
        <f ca="1">IFERROR(INDEX($BT$3:$BY$400,MATCH(ROWS(CB$3:CB95),$BY$3:$BY$400,0),5),"")</f>
        <v/>
      </c>
      <c r="CC95" s="48" t="str">
        <f t="shared" ca="1" si="144"/>
        <v/>
      </c>
      <c r="CD95" s="48">
        <f ca="1">IF(AND(OR($BF$9=2,$BF$9=3),CE95&lt;&gt;0),MAX($CD$87:CD94)+1,0)</f>
        <v>0</v>
      </c>
      <c r="CE95" s="48">
        <f ca="1">IF(OR(CE101&gt;0,CE101="_ _ _"),"a",0)</f>
        <v>0</v>
      </c>
      <c r="CF95" s="48" t="s">
        <v>773</v>
      </c>
      <c r="CG95" s="48" t="str">
        <f>CG44</f>
        <v>C)_Attivo circolante</v>
      </c>
      <c r="CH95" s="242"/>
      <c r="CJ95" s="242">
        <f ca="1">CJ97</f>
        <v>0</v>
      </c>
      <c r="CK95" s="48">
        <f ca="1">IF($CF$2=FALSE,0,IF(AND(OR($BF$9=2,$BF$9=3),CJ95&lt;&gt;0),MAX($CK$21:CK94)+1,0))</f>
        <v>0</v>
      </c>
      <c r="CM95" s="242" t="str">
        <f t="shared" ca="1" si="166"/>
        <v/>
      </c>
      <c r="CN95" s="243">
        <f t="shared" ca="1" si="167"/>
        <v>0</v>
      </c>
      <c r="CO95" s="48" t="str">
        <f t="shared" ca="1" si="168"/>
        <v/>
      </c>
      <c r="CQ95" s="247">
        <f t="shared" ca="1" si="227"/>
        <v>46753</v>
      </c>
      <c r="CR95" s="247">
        <f t="shared" ca="1" si="227"/>
        <v>47118</v>
      </c>
      <c r="CS95" s="48">
        <f t="shared" ca="1" si="223"/>
        <v>0</v>
      </c>
      <c r="CT95" s="48">
        <f t="shared" ca="1" si="224"/>
        <v>0</v>
      </c>
      <c r="CU95" s="48">
        <f ca="1">IF(SUMIFS(AVERE,DEN_G,AC95,AVERE,"&gt;"&amp;0)+SUMIFS(DARE,DEN_G,AC95,DARE,"&gt;"&amp;0)&gt;0,MAX($CU$2:CU94)+1,0)</f>
        <v>0</v>
      </c>
      <c r="CV95" s="48" t="str">
        <f ca="1">IF(IFERROR(INDEX(PDC,MATCH(ROWS($CV$3:CV95),$CU$3:$CU$400,0),2),"")="CONTO DI RISULTATO ECONOMICO","",IFERROR(INDEX(PDC,MATCH(ROWS($CV$3:CV95),$CU$3:$CU$400,0),2),""))</f>
        <v/>
      </c>
      <c r="CW95" s="48">
        <f ca="1">IFERROR(IF(CV95&lt;&gt;"",MAX($CW$2:CW94)+1,0),0)</f>
        <v>0</v>
      </c>
      <c r="CX95" s="48">
        <f t="shared" ref="CX95:CX105" ca="1" si="229">$FF$10</f>
        <v>8</v>
      </c>
      <c r="CY95" s="48" t="str">
        <f t="shared" ca="1" si="228"/>
        <v>MASTRO</v>
      </c>
      <c r="DA95" s="48" t="str">
        <f ca="1">IF(DB94="","","Num. riga")</f>
        <v/>
      </c>
      <c r="DB95" s="48" t="str">
        <f t="shared" ref="DB95" ca="1" si="230">IF(DB94="","","Data")</f>
        <v/>
      </c>
      <c r="DC95" s="48" t="str">
        <f ca="1">IF(DB94="","","Operazioni")</f>
        <v/>
      </c>
      <c r="DD95" s="48" t="str">
        <f ca="1">IF(DB94="","","Dare        ")</f>
        <v/>
      </c>
      <c r="DE95" s="48" t="str">
        <f ca="1">IF(DB94="","","Avere        ")</f>
        <v/>
      </c>
      <c r="DF95" s="48">
        <f ca="1">IF(AND(CX95=$DF$1,CX95&lt;&gt;""),0,IF(AND(DB95&lt;&gt;"",OR(DB94&lt;&gt;"",DB96&lt;&gt;"")),MAX($DF$2:DF94)+1,0))</f>
        <v>0</v>
      </c>
      <c r="DH95" s="244" t="s">
        <v>280</v>
      </c>
      <c r="DI95" s="48" t="s">
        <v>863</v>
      </c>
      <c r="DJ95" s="48" t="s">
        <v>312</v>
      </c>
      <c r="DK95" s="48" t="s">
        <v>275</v>
      </c>
      <c r="DL95" s="48" t="s">
        <v>6</v>
      </c>
      <c r="DM95" s="48" t="s">
        <v>270</v>
      </c>
      <c r="DN95" s="48">
        <f ca="1">IF(DI95&lt;&gt;"",MAX($DN$2:DN94)+1,0)</f>
        <v>77</v>
      </c>
      <c r="DO95" s="48" t="str">
        <f t="shared" ca="1" si="226"/>
        <v>pac2</v>
      </c>
      <c r="DQ95" s="227" t="s">
        <v>861</v>
      </c>
      <c r="DR95" s="48" t="s">
        <v>279</v>
      </c>
      <c r="DS95" s="48" t="s">
        <v>312</v>
      </c>
      <c r="DT95" s="48" t="s">
        <v>275</v>
      </c>
      <c r="DU95" s="48" t="s">
        <v>6</v>
      </c>
      <c r="DV95" s="48" t="s">
        <v>270</v>
      </c>
      <c r="DW95" s="48">
        <f ca="1">IF(DR95&lt;&gt;"",MAX($DW$2:DW94)+1,0)</f>
        <v>52</v>
      </c>
      <c r="DX95" s="48" t="str">
        <f t="shared" ca="1" si="217"/>
        <v>pac2</v>
      </c>
      <c r="DY95" s="48" t="str">
        <f t="shared" ca="1" si="147"/>
        <v/>
      </c>
      <c r="DZ95" s="48" t="str">
        <f t="shared" ca="1" si="170"/>
        <v/>
      </c>
      <c r="EA95" s="48" t="str">
        <f t="shared" ca="1" si="171"/>
        <v/>
      </c>
      <c r="EB95" s="48">
        <f t="shared" ca="1" si="172"/>
        <v>0</v>
      </c>
      <c r="EC95" s="48">
        <f t="shared" ca="1" si="173"/>
        <v>0</v>
      </c>
      <c r="ED95" s="48" t="str">
        <f t="shared" ca="1" si="174"/>
        <v/>
      </c>
      <c r="EE95" s="48">
        <f t="shared" ca="1" si="175"/>
        <v>0</v>
      </c>
      <c r="EF95" s="48" t="str">
        <f t="shared" ca="1" si="176"/>
        <v/>
      </c>
      <c r="EG95" s="48">
        <f t="shared" ca="1" si="177"/>
        <v>0</v>
      </c>
      <c r="EH95" s="48" t="str">
        <f t="shared" ca="1" si="178"/>
        <v/>
      </c>
      <c r="EI95" s="48">
        <f t="shared" ca="1" si="179"/>
        <v>0</v>
      </c>
      <c r="EJ95" s="48" t="str">
        <f t="shared" ca="1" si="180"/>
        <v/>
      </c>
      <c r="EK95" s="48">
        <f t="shared" ca="1" si="181"/>
        <v>0</v>
      </c>
      <c r="EL95" s="48">
        <f t="shared" ca="1" si="148"/>
        <v>0</v>
      </c>
      <c r="EM95" s="48">
        <f ca="1">IF(EL95&gt;=0,0,MAX($EM$2:EM94)+1)</f>
        <v>0</v>
      </c>
      <c r="EN95" s="48" t="str">
        <f t="shared" ca="1" si="182"/>
        <v/>
      </c>
      <c r="EO95" s="48" t="str">
        <f ca="1">IFERROR(INDEX($EM$3:$EN$400,MATCH(ROWS($EO$3:EO95),$EM$3:$EM$400,0),2),"")</f>
        <v/>
      </c>
      <c r="EP95" s="48">
        <f>ROW()</f>
        <v>95</v>
      </c>
      <c r="EQ95" s="48">
        <f t="shared" ca="1" si="149"/>
        <v>0</v>
      </c>
      <c r="ER95" s="48">
        <f ca="1">IF(ISNA(EQ95)=TRUE,MAX($ER$2:ER94)+1,0)</f>
        <v>0</v>
      </c>
      <c r="ES95" s="48" t="str">
        <f t="shared" ca="1" si="183"/>
        <v/>
      </c>
      <c r="ET95" s="48" t="str">
        <f ca="1">IFERROR(INDEX($ER$3:$ES$400,MATCH(ROWS($ET$3:ET95),$ER$3:$ER$400,0),2),"")</f>
        <v/>
      </c>
      <c r="EV95" s="48">
        <f ca="1">IFERROR(INDEX(LIBRO_GIORNALE!$O$11:$P$408,MATCH(ROWS($EV$2:EV94),LIBRO_GIORNALE!$P$11:$P$408,0),1),0)</f>
        <v>0</v>
      </c>
      <c r="EW95" s="48" t="str">
        <f t="shared" ca="1" si="184"/>
        <v>0</v>
      </c>
      <c r="EX95" s="48">
        <f t="shared" ca="1" si="185"/>
        <v>0</v>
      </c>
      <c r="EY95" s="48">
        <f ca="1">IF(EX95&gt;0,MAX($EY$2:EY94)+1,0)</f>
        <v>0</v>
      </c>
      <c r="EZ95" s="48">
        <f ca="1">IFERROR(INDEX($EX$3:$EX$400,MATCH(ROWS($EZ$3:EZ95),$EY$3:$EY$400,0),1),0)</f>
        <v>0</v>
      </c>
      <c r="FA95" s="48">
        <f ca="1">IF(EZ95&gt;0,0,MAX($FA$2:FA94)+1)</f>
        <v>93</v>
      </c>
      <c r="FB95" s="48">
        <f t="shared" ca="1" si="186"/>
        <v>0</v>
      </c>
      <c r="FC95" s="48">
        <f t="shared" ca="1" si="187"/>
        <v>93</v>
      </c>
      <c r="FD95" s="48">
        <f t="shared" ca="1" si="188"/>
        <v>93</v>
      </c>
      <c r="FE95" s="48">
        <f ca="1">IF(FD95=0,0,MAX($FE$2:FE94)+1)</f>
        <v>93</v>
      </c>
      <c r="FF95" s="48">
        <f ca="1">IFERROR(INDEX($FD$3:$FE$400,MATCH(ROWS($FF$3:FF95),$FE$3:$FE$400,0),1),"")</f>
        <v>93</v>
      </c>
      <c r="FH95" s="48">
        <f t="shared" ca="1" si="189"/>
        <v>0</v>
      </c>
      <c r="FI95" s="48">
        <f ca="1">IF(FH95&lt;&gt;0,MAX($FI$2:FI94)+1,0)</f>
        <v>0</v>
      </c>
      <c r="FJ95" s="48" t="str">
        <f ca="1">IFERROR(INDEX($FH$3:$FI$400,MATCH(ROWS($FJ$3:FJ95),$FI$3:$FI$400,0),1),"")</f>
        <v/>
      </c>
      <c r="FK95" s="48">
        <f ca="1">IF(ABS(SUMIFS(DARE,DEN_G,"="&amp;FJ95,DATA,"&lt;="&amp;FINE_AC,DATA,"&gt;="&amp;INIZIO_A_PC)-SUMIFS(AVERE,DEN_G,"="&amp;FJ95,DATA,"&lt;="&amp;FINE_AC,DATA,"&gt;="&amp;INIZIO_A_PC))&gt;0,MAX($FK$2:FK94)+1,0)</f>
        <v>0</v>
      </c>
      <c r="FL95" s="48" t="str">
        <f ca="1">IF(AND(ROW()-2&lt;&gt;1,ROW()-2&lt;=$FK$1),CONCATENATE(" - ",IFERROR(INDEX($FJ$3:$FK$400,MATCH(ROWS($FL$3:FL95),$FK$3:$FK$400,0),1),"")),IFERROR(INDEX($FJ$3:$FK$400,MATCH(ROWS($FL$3:FL95),$FK$3:$FK$400,0),1),""))</f>
        <v/>
      </c>
      <c r="FM95" s="48">
        <f ca="1">IF(OR(B95="IVA ns/credito",B95="IVA NS/DEBITO",B95="IVA C/ACCONTO",B95="IMPOSTE C/ACCONTO",B95="CREDITI PER RITENUTE SUBITE",B95="CREDITI D'IMPOSTA"),MAX($FM$2:FM94)+1,0)</f>
        <v>0</v>
      </c>
      <c r="FN95" s="48" t="str">
        <f t="shared" ca="1" si="190"/>
        <v/>
      </c>
      <c r="FO95" s="48" t="str">
        <f ca="1">IFERROR(INDEX($FM$3:$FN$400,MATCH(ROWS($FO$3:FO95),$FM$3:$FM$400,0),2),"")</f>
        <v/>
      </c>
      <c r="FP95" s="48">
        <f ca="1">IF(ABS(SUMIFS(DARE,DEN_G,"="&amp;FO95,DATA,"&lt;="&amp;FINE_AC,DATA,"&gt;="&amp;INIZIO_A_PC)-SUMIFS(AVERE,DEN_G,"="&amp;FO95,DATA,"&lt;="&amp;FINE_AC,DATA,"&gt;="&amp;INIZIO_A_PC))&gt;0,MAX($FP$2:FP94)+1,0)</f>
        <v>0</v>
      </c>
      <c r="FQ95" s="48" t="str">
        <f ca="1">IF(AND(ROW()-2&lt;&gt;1,ROW()-2&lt;=$FP$1),CONCATENATE(" - ",IFERROR(INDEX($FO$3:$FP$400,MATCH(ROWS($FQ$3:FQ95),$FP$3:$FP$400,0),1),"")),IFERROR(INDEX($FO$3:$FP$400,MATCH(ROWS($FQ$3:FQ95),$FP$3:$FP$400,0),1),""))</f>
        <v/>
      </c>
    </row>
    <row r="96" spans="1:173" x14ac:dyDescent="0.3">
      <c r="A96" s="48" t="str">
        <f ca="1">IFERROR(IF($A$1=2,INDEX($DH$3:$DN$401,MATCH(ROWS(A$3:A96),$DN$3:$DN$401,0),COLUMN()),IF($A$1=1,INDEX($DQ$3:$DW$401,MATCH(ROWS(A$3:A96),$DW$3:$DW$401,0),COLUMN()),"")),"")</f>
        <v>08.01</v>
      </c>
      <c r="B96" s="48" t="str">
        <f ca="1">IFERROR(IF($A$1=2,INDEX($DH$3:$DN$401,MATCH(ROWS(B$3:B96),$DN$3:$DN$401,0),COLUMN()),IF($A$1=1,INDEX($DQ$3:$DW$400,MATCH(ROWS(B$3:B96),$DW$3:$DW$401,0),COLUMN()),"")),"")</f>
        <v>BANCHE C/C ATTIVI</v>
      </c>
      <c r="C96" s="48" t="str">
        <f ca="1">IFERROR(IF($A$1=2,INDEX($DH$3:$DN$401,MATCH(ROWS(C$3:C96),$DN$3:$DN$401,0),COLUMN()),IF($A$1=1,INDEX($DQ$3:$DW$401,MATCH(ROWS(C$3:C96),$DW$3:$DW$401,0),COLUMN()),"")),"")</f>
        <v>F</v>
      </c>
      <c r="D96" s="48" t="str">
        <f ca="1">IFERROR(IF($A$1=2,INDEX($DH$3:$DN$401,MATCH(ROWS(D$3:D96),$DN$3:$DN$401,0),COLUMN()),IF($A$1=1,INDEX($DQ$3:$DW$401,MATCH(ROWS(D$3:D96),$DW$3:$DW$401,0),COLUMN()),"")),"")</f>
        <v>D</v>
      </c>
      <c r="E96" s="48" t="str">
        <f ca="1">IFERROR(IF($A$1=2,INDEX($DH$3:$DN$401,MATCH(ROWS(E$3:E96),$DN$3:$DN$401,0),COLUMN()),IF($A$1=1,INDEX($DQ$3:$DW$401,MATCH(ROWS(E$3:E96),$DW$3:$DW$401,0),COLUMN()),"")),"")</f>
        <v>DISPONIBILITÀ LIQUIDE</v>
      </c>
      <c r="F96" s="48" t="str">
        <f ca="1">IFERROR(IF($A$1=2,INDEX($DH$3:$DN$401,MATCH(ROWS(F$3:F96),$DN$3:$DN$401,0),COLUMN()),IF($A$1=1,INDEX($DQ$3:$DX$401,MATCH(ROWS(F$3:F96),$DW$3:$DW$401,0),COLUMN()),"")),"")</f>
        <v>SP DARE</v>
      </c>
      <c r="G96" s="48" t="str">
        <f t="shared" ca="1" si="150"/>
        <v>SP</v>
      </c>
      <c r="H96" s="48" t="str">
        <f ca="1">IFERROR(IF($A$1=2,INDEX($DH$3:$DO$400,MATCH(ROWS(H$3:H96),$DN$3:$DN$400,0),COLUMN()),IF($A$1=1,INDEX($DQ$3:$DX$400,MATCH(ROWS(H$3:H96),$DW$3:$DW$400,0),COLUMN()),"")),"")</f>
        <v>pac4</v>
      </c>
      <c r="I96" s="48" t="str">
        <f t="shared" ca="1" si="151"/>
        <v/>
      </c>
      <c r="J96" s="48" t="str">
        <f t="shared" ca="1" si="152"/>
        <v/>
      </c>
      <c r="K96" s="48">
        <f t="shared" ca="1" si="153"/>
        <v>0</v>
      </c>
      <c r="L96" s="48">
        <f t="shared" ca="1" si="154"/>
        <v>0</v>
      </c>
      <c r="M96" s="48">
        <f ca="1">IFERROR(IF(IF(MID($A96,3,3)=".00",MID(A96,1,2),"")&lt;&gt;"",MAX($M$2:M95)+1,0),"")</f>
        <v>0</v>
      </c>
      <c r="N96" s="48" t="str">
        <f t="shared" ca="1" si="155"/>
        <v/>
      </c>
      <c r="O96" s="48" t="str">
        <f ca="1">IF(IFERROR(INDEX($N$3:$O$300,MATCH(ROWS($O$3:O96),$M$3:$M$300,0),1),"")&lt;&gt;"",CONCATENATE(INDEX($N$3:$O$300,MATCH(ROWS($O$3:O96),$M$3:$M$300,0),1),".00"),"")</f>
        <v/>
      </c>
      <c r="P96" s="48" t="str">
        <f t="shared" ca="1" si="156"/>
        <v/>
      </c>
      <c r="Q96" s="48">
        <f ca="1">IF(M96&gt;=1,0,MAX($Q$2:Q95)+1)</f>
        <v>85</v>
      </c>
      <c r="U96" s="48" t="str">
        <f ca="1">IFERROR(INDEX(PDC,MATCH(ROWS(U$3:U96),$V$3:$V$400,0),2),"")</f>
        <v>RISERVA SOPRAPPREZZO AZIONI</v>
      </c>
      <c r="V96" s="48">
        <f ca="1">IF(AND($T$1="VISUALIZZA TUTTI I CONTI",AA96&lt;&gt;""),MAX($V$2:V95)+1,IF(AND($U$2=2,AI96=$T$1),MAX($V$2:V95)+1,IF(AND($U$2=1,$T$1=AF96),MAX($V$2:V95)+1,0)))</f>
        <v>94</v>
      </c>
      <c r="Z96" s="246"/>
      <c r="AA96" s="48" t="str">
        <f t="shared" ca="1" si="157"/>
        <v>10.00</v>
      </c>
      <c r="AB96" s="48" t="str">
        <f ca="1">IFERROR(INDEX($A$3:$G$400,MATCH(ROWS(AB$3:AB96),$Q$3:$Q$400,0),1),"")</f>
        <v>10.02</v>
      </c>
      <c r="AC96" s="48" t="str">
        <f ca="1">IFERROR(INDEX($A$3:$G$400,MATCH(ROWS($AC$3:AC96),$Q$3:$Q$400,0),2),"")</f>
        <v>RISERVA SOPRAPPREZZO AZIONI</v>
      </c>
      <c r="AD96" s="48" t="str">
        <f ca="1">IFERROR(INDEX($A$3:$G$400,MATCH(ROWS(AD$3:AD96),$Q$3:$Q$400,0),3),"")</f>
        <v>E</v>
      </c>
      <c r="AE96" s="48" t="str">
        <f ca="1">IFERROR(INDEX($A$3:$G$400,MATCH(ROWS(AE$3:AE96),$Q$3:$Q$400,0),4),"")</f>
        <v>A</v>
      </c>
      <c r="AF96" s="48" t="str">
        <f ca="1">IFERROR(INDEX($A$3:$G$400,MATCH(ROWS(AF$3:AF96),$Q$3:$Q$400,0),5),"")</f>
        <v>PATRIMONIO NETTO</v>
      </c>
      <c r="AG96" s="48" t="str">
        <f ca="1">IFERROR(INDEX($A$3:$G$400,MATCH(ROWS(AG$3:AG96),$Q$3:$Q$400,0),6),"")</f>
        <v>SP AVERE</v>
      </c>
      <c r="AH96" s="48" t="str">
        <f ca="1">IFERROR(INDEX($A$3:$G$400,MATCH(ROWS(AH$3:AH96),$Q$3:$Q$400,0),7),"")</f>
        <v>SP</v>
      </c>
      <c r="AI96" s="48" t="str">
        <f t="shared" ca="1" si="158"/>
        <v>PATRIMONIO NETTO</v>
      </c>
      <c r="AJ96" s="48" t="str">
        <f ca="1">IFERROR(INDEX($A$3:$H$400,MATCH(ROWS(AJ$3:AJ96),$Q$3:$Q$400,0),8),"")</f>
        <v>ppa2</v>
      </c>
      <c r="AK96" s="48">
        <f t="shared" ca="1" si="130"/>
        <v>0</v>
      </c>
      <c r="AL96" s="48">
        <f t="shared" ca="1" si="131"/>
        <v>0</v>
      </c>
      <c r="AM96" s="48">
        <f t="shared" ca="1" si="159"/>
        <v>0</v>
      </c>
      <c r="AN96" s="48" t="str">
        <f t="shared" ca="1" si="160"/>
        <v/>
      </c>
      <c r="AO96" s="48">
        <f t="shared" ca="1" si="161"/>
        <v>0</v>
      </c>
      <c r="AP96" s="48">
        <f t="shared" ca="1" si="161"/>
        <v>0</v>
      </c>
      <c r="AQ96" s="48" t="str">
        <f t="shared" ca="1" si="132"/>
        <v>RISERVA SOPRAPPREZZO AZIONI</v>
      </c>
      <c r="AR96" s="48">
        <f t="shared" ca="1" si="133"/>
        <v>0</v>
      </c>
      <c r="AS96" s="48">
        <f t="shared" ca="1" si="134"/>
        <v>0</v>
      </c>
      <c r="AT96" s="48">
        <f t="shared" ca="1" si="162"/>
        <v>0</v>
      </c>
      <c r="AU96" s="48">
        <f t="shared" ca="1" si="163"/>
        <v>0</v>
      </c>
      <c r="AV96" s="48">
        <f ca="1">IF(OR(AT96&gt;0,AU96&gt;0),MAX($AV$2:AV95)+1,0)</f>
        <v>0</v>
      </c>
      <c r="AZ96" s="241" t="str">
        <f t="shared" ca="1" si="164"/>
        <v/>
      </c>
      <c r="BA96" s="48">
        <f t="shared" ca="1" si="135"/>
        <v>0</v>
      </c>
      <c r="BB96" s="48">
        <f ca="1">IFERROR(INDEX($AQ$3:$AV$220,MATCH(ROWS($BB$3:BB96),$AV$3:$AV$220,0),1),0)</f>
        <v>0</v>
      </c>
      <c r="BC96" s="48" t="str">
        <f t="shared" ca="1" si="165"/>
        <v/>
      </c>
      <c r="BD96" s="48">
        <f ca="1">IFERROR(INDEX($AQ$3:$AV$220,MATCH(ROWS($BB$3:BD96),$AV$3:$AV$220,0),4),0)</f>
        <v>0</v>
      </c>
      <c r="BE96" s="48">
        <f ca="1">IFERROR(INDEX($AQ$3:$AV$220,MATCH(ROWS($BB$3:BE96),$AV$3:$AV$220,0),5),0)</f>
        <v>0</v>
      </c>
      <c r="BF96" s="248" t="s">
        <v>813</v>
      </c>
      <c r="BG96" s="48">
        <f ca="1">IF(IF(AND(OR(INDEX(PDC,MATCH($AC96,DEN_PDC,0),6)="SP DARE",INDEX(PDC,MATCH($AC96,DEN_PDC,0),6)="SP DARE/AVERE"),SUMIFS(DARE,DEN_G,$AC96)&gt;=SUMIFS(AVERE,DEN_G,$AC96)),SUMIFS(DARE,DEN_G,$AC96)-SUMIFS(AVERE,DEN_G,$AC96),0)&gt;0,MAX($BG$2:BG95)+1,0)</f>
        <v>0</v>
      </c>
      <c r="BH96" s="48">
        <f ca="1">IF(IF(AND(OR(INDEX(PDC,MATCH($AC96,DEN_PDC,0),6)="SP AVERE",INDEX(PDC,MATCH($AC96,DEN_PDC,0),6)="SP DARE/AVERE"),SUMIFS(AVERE,DEN_G,$AC96)&gt;=SUMIFS(DARE,DEN_G,$AC96)),SUMIFS(AVERE,DEN_G,$AC96)-SUMIFS(DARE,DEN_G,$AC96),0)&gt;0,MAX(BH$2:BH95)+1,0)</f>
        <v>0</v>
      </c>
      <c r="BI96" s="48">
        <f ca="1">IF(IF(AND(OR(INDEX(PDC,MATCH($AC96,DEN_PDC,0),6)="SE DARE",INDEX(PDC,MATCH($AC96,DEN_PDC,0),6)="SE DARE/AVERE"),SUMIFS(DARE,DEN_G,$AC96)&gt;=SUMIFS(AVERE,DEN_G,$AC96)),SUMIFS(DARE,DEN_G,$AC96)-SUMIFS(AVERE,DEN_G,$AC96),0)&gt;0,MAX(BI$2:BI95)+1,0)</f>
        <v>0</v>
      </c>
      <c r="BJ96" s="48">
        <f ca="1">IF(IF(AND(OR(INDEX(PDC,MATCH($AC96,DEN_PDC,0),6)="SE AVERE",INDEX(PDC,MATCH($AC96,DEN_PDC,0),6)="SE DARE/AVERE"),SUMIFS(AVERE,DEN_G,$AC96)&gt;=SUMIFS(DARE,DEN_G,$AC96)),SUMIFS(AVERE,DEN_G,$AC96)-SUMIFS(DARE,DEN_G,$AC96),0)&gt;0,MAX(BJ$2:BJ95)+1,0)</f>
        <v>0</v>
      </c>
      <c r="BK96" s="48" t="str">
        <f ca="1">IF(AND(AND($DY$2=0,$DY$1=0),$I$1=2,ROW()&gt;$BG$1+2,ROW()&lt;=$BG$1+4),"………………..",IF(AND(OR($DY$2&gt;0,$DY$1&gt;0),$I$1=2,ROW()&gt;$BG$1+2,ROW()&lt;=$BG$1+4),"………………..",IFERROR(INDEX($AC$3:$AC$398,MATCH(ROWS(BK$3:BK96),BG$3:BG$398,0),1),"")))</f>
        <v/>
      </c>
      <c r="BL96" s="48">
        <f t="shared" ca="1" si="136"/>
        <v>0</v>
      </c>
      <c r="BM96" s="48" t="str">
        <f ca="1">IF(AND(OR($DY$2=0,$DY$1=0),$I$1=2,ROW()&gt;$BH$1+2,ROW()&lt;=$BH$1+4),"………………..",IF(AND(OR($DY$2&gt;0,$DY$1&gt;0),$I$1=2,ROW()&gt;$BH$1+2,ROW()&lt;=$BH$1+4),"………………..",IFERROR(INDEX($AC$3:$AC$400,MATCH(ROWS(BM$3:BM96),BH$3:BH$400,0),1),"")))</f>
        <v/>
      </c>
      <c r="BN96" s="48">
        <f t="shared" ca="1" si="137"/>
        <v>0</v>
      </c>
      <c r="BO96" s="48" t="str">
        <f ca="1">IF(AND(OR($DY$2=0,$DY$1=0),$I$1=2,ROW()&gt;$BI$1+2,ROW()&lt;=$BI$1+4),"………………..",IF(AND(OR($DY$2&gt;0,$DY$1&gt;0),$I$1=2,ROW()&gt;$BI$1+2,ROW()&lt;=$BI$1+4),"………………..",IFERROR(INDEX($AC$3:$AC$400,MATCH(ROWS(BO$3:BO96),BI$3:BI$400,0),1),"")))</f>
        <v/>
      </c>
      <c r="BP96" s="48">
        <f t="shared" ca="1" si="138"/>
        <v>0</v>
      </c>
      <c r="BQ96" s="48" t="str">
        <f ca="1">IF(AND(OR($DY$2=0,$DY$1=0),$I$1=2,ROW()&gt;$BJ$1+2,ROW()&lt;=$BJ$1+4),"………………..",IF(AND(OR($DY$2&gt;0,$DY$1&gt;0),$I$1=2,ROW()&gt;$BJ$1+2,ROW()&lt;=$BJ$1+4),"………………..",IFERROR(INDEX($AC$3:$AC$400,MATCH(ROWS(BQ$3:BQ96),BJ$3:BJ$400,0),1),"")))</f>
        <v/>
      </c>
      <c r="BR96" s="48">
        <f t="shared" ca="1" si="139"/>
        <v>0</v>
      </c>
      <c r="BS96" s="48">
        <f ca="1">IF(IF(AND(OR(INDEX(PDC,MATCH($AC96,DEN_PDC,0),4)="D",INDEX(PDC,MATCH($AC96,DEN_PDC,0),4)="D/A"),SUMIFS(DARE,DEN_G,$AC96)&gt;=SUMIFS(AVERE,DEN_G,$AC96)),SUMIFS(DARE,DEN_G,$AC96),IF(AND(OR(INDEX(PDC,MATCH($AC96,DEN_PDC,0),4)="A",INDEX(PDC,MATCH($AC96,DEN_PDC,0),4)="D/A"),SUMIFS(AVERE,DEN_G,$AC96)&gt;=SUMIFS(DARE,DEN_G,$AC96)),SUMIFS(AVERE,DEN_G,$AC96),))&gt;0,MAX($BS$2:BS95)+1,0)</f>
        <v>0</v>
      </c>
      <c r="BT96" s="48" t="str">
        <f ca="1">IF($CO$1=0,"",IF(AND($I$1=2,ROW()&gt;$BR$1,ROW()&lt;=$BS$1)," …………….",IF(AND($E$1=1,$BX$1=1,$I$1=2,ROW()=$BQ$1),"TOTALI",IFERROR(INDEX(PDC,MATCH(ROWS(BT$3:BT96),BS$3:BS493,0),2),""))))</f>
        <v/>
      </c>
      <c r="BU96" s="48">
        <f t="shared" ca="1" si="140"/>
        <v>0</v>
      </c>
      <c r="BV96" s="48">
        <f t="shared" ca="1" si="141"/>
        <v>0</v>
      </c>
      <c r="BW96" s="48">
        <f t="shared" ca="1" si="142"/>
        <v>0</v>
      </c>
      <c r="BX96" s="48">
        <f t="shared" ca="1" si="143"/>
        <v>0</v>
      </c>
      <c r="BY96" s="48">
        <f ca="1">IF(OR(BW96&gt;0,BX96&gt;0),MAX($BY$2:BY95)+1,0)</f>
        <v>0</v>
      </c>
      <c r="BZ96" s="48" t="str">
        <f ca="1">IFERROR(INDEX($BT$3:$BY$400,MATCH(ROWS(BZ$3:BZ96),$BY$3:$BY$400,0),1),"")</f>
        <v/>
      </c>
      <c r="CA96" s="48" t="str">
        <f ca="1">IFERROR(INDEX($BT$3:$BY$400,MATCH(ROWS(CA$3:CA96),$BY$3:$BY$400,0),4),"")</f>
        <v/>
      </c>
      <c r="CB96" s="48" t="str">
        <f ca="1">IFERROR(INDEX($BT$3:$BY$400,MATCH(ROWS(CB$3:CB96),$BY$3:$BY$400,0),5),"")</f>
        <v/>
      </c>
      <c r="CC96" s="48" t="str">
        <f t="shared" ca="1" si="144"/>
        <v/>
      </c>
      <c r="CD96" s="48">
        <f ca="1">IF(AND(OR($BF$9=2,$BF$9=3),CE96&lt;&gt;0),MAX($CD$87:CD95)+1,0)</f>
        <v>0</v>
      </c>
      <c r="CE96" s="48">
        <f ca="1">IF(ROUND(SUMIFS(COPIA!$CA$3:$CA$400,COPIA!$CC$3:$CC$400,CF96)-SUMIFS(COPIA!$CB$3:$CB$400,COPIA!$CC$3:$CC$400,CF96),0)&lt;0,0,ROUND(SUMIFS(COPIA!$CA$3:$CA$400,COPIA!$CC$3:$CC$400,CF96)-SUMIFS(COPIA!$CB$3:$CB$400,COPIA!$CC$3:$CC$400,CF96),0))</f>
        <v>0</v>
      </c>
      <c r="CF96" s="48" t="s">
        <v>734</v>
      </c>
      <c r="CG96" s="48" t="str">
        <f>CG45</f>
        <v>__I_-_Rimanenze</v>
      </c>
      <c r="CH96" s="242">
        <f t="shared" ca="1" si="112"/>
        <v>0</v>
      </c>
      <c r="CJ96" s="242"/>
      <c r="CK96" s="48">
        <f ca="1">IF($CF$2=FALSE,0,IF(AND(OR($BF$9=2,$BF$9=3),CJ96&lt;&gt;0),MAX($CK$21:CK95)+1,0))</f>
        <v>0</v>
      </c>
      <c r="CM96" s="242" t="str">
        <f t="shared" ca="1" si="166"/>
        <v/>
      </c>
      <c r="CN96" s="243">
        <f t="shared" ca="1" si="167"/>
        <v>0</v>
      </c>
      <c r="CO96" s="48" t="str">
        <f t="shared" ca="1" si="168"/>
        <v/>
      </c>
      <c r="CQ96" s="247">
        <f t="shared" ca="1" si="227"/>
        <v>47119</v>
      </c>
      <c r="CR96" s="247">
        <f t="shared" ca="1" si="227"/>
        <v>47483</v>
      </c>
      <c r="CS96" s="48">
        <f t="shared" ca="1" si="223"/>
        <v>0</v>
      </c>
      <c r="CT96" s="48">
        <f t="shared" ca="1" si="224"/>
        <v>0</v>
      </c>
      <c r="CU96" s="48">
        <f ca="1">IF(SUMIFS(AVERE,DEN_G,AC96,AVERE,"&gt;"&amp;0)+SUMIFS(DARE,DEN_G,AC96,DARE,"&gt;"&amp;0)&gt;0,MAX($CU$2:CU95)+1,0)</f>
        <v>0</v>
      </c>
      <c r="CV96" s="48" t="str">
        <f ca="1">IF(IFERROR(INDEX(PDC,MATCH(ROWS($CV$3:CV96),$CU$3:$CU$400,0),2),"")="CONTO DI RISULTATO ECONOMICO","",IFERROR(INDEX(PDC,MATCH(ROWS($CV$3:CV96),$CU$3:$CU$400,0),2),""))</f>
        <v/>
      </c>
      <c r="CW96" s="48">
        <f ca="1">IFERROR(IF(CV96&lt;&gt;"",MAX($CW$2:CW95)+1,0),0)</f>
        <v>0</v>
      </c>
      <c r="CX96" s="48">
        <f t="shared" ca="1" si="229"/>
        <v>8</v>
      </c>
      <c r="CY96" s="48" t="str">
        <f t="shared" ca="1" si="228"/>
        <v>MASTRO</v>
      </c>
      <c r="CZ96" s="48" t="e">
        <f t="shared" ref="CZ96:CZ105" ca="1" si="231">SUM(MATCH($CY96,INDIRECT(ADDRESS(SUM(CZ95)+3,54)&amp;":"&amp;ADDRESS(400,54)),0),CZ95)</f>
        <v>#N/A</v>
      </c>
      <c r="DA96" s="48" t="str">
        <f ca="1">IFERROR(INDEX(LIBRO_GIORNALE,CZ96,1),"")</f>
        <v/>
      </c>
      <c r="DB96" s="48" t="str">
        <f t="shared" ca="1" si="212"/>
        <v/>
      </c>
      <c r="DC96" s="48" t="str">
        <f t="shared" ref="DC96:DC105" ca="1" si="232">IF(IFERROR(INDEX(LIBRO_GIORNALE,CZ96,4),"")=0,"manca la descrizione dell'operazione",IFERROR(INDEX(LIBRO_GIORNALE,CZ96,4),""))</f>
        <v/>
      </c>
      <c r="DD96" s="48" t="str">
        <f t="shared" ref="DD96:DD105" ca="1" si="233">IFERROR(IF(INDEX(LIBRO_GIORNALE,CZ96,5)&gt;0,INDEX(LIBRO_GIORNALE,CZ96,5),""),"")</f>
        <v/>
      </c>
      <c r="DE96" s="48" t="str">
        <f t="shared" ref="DE96:DE105" ca="1" si="234">IFERROR(IF(INDEX(LIBRO_GIORNALE,CZ96,6)&gt;0,INDEX(LIBRO_GIORNALE,CZ96,6),""),"")</f>
        <v/>
      </c>
      <c r="DF96" s="48">
        <f ca="1">IF(AND(CX96=$DF$1,CX96&lt;&gt;""),0,IF(AND(DB96&lt;&gt;"",OR(DB95&lt;&gt;"",DB97&lt;&gt;"")),MAX($DF$2:DF95)+1,0))</f>
        <v>0</v>
      </c>
      <c r="DH96" s="244" t="s">
        <v>77</v>
      </c>
      <c r="DI96" s="48" t="s">
        <v>370</v>
      </c>
      <c r="DJ96" s="48" t="s">
        <v>312</v>
      </c>
      <c r="DK96" s="48" t="s">
        <v>275</v>
      </c>
      <c r="DL96" s="48" t="s">
        <v>6</v>
      </c>
      <c r="DM96" s="48" t="s">
        <v>270</v>
      </c>
      <c r="DN96" s="48">
        <f ca="1">IF(DI96&lt;&gt;"",MAX($DN$2:DN95)+1,0)</f>
        <v>78</v>
      </c>
      <c r="DO96" s="48" t="str">
        <f t="shared" ca="1" si="226"/>
        <v>pac2</v>
      </c>
      <c r="DQ96" s="227" t="s">
        <v>1050</v>
      </c>
      <c r="DR96" s="48" t="s">
        <v>62</v>
      </c>
      <c r="DS96" s="48" t="s">
        <v>312</v>
      </c>
      <c r="DT96" s="48" t="s">
        <v>298</v>
      </c>
      <c r="DU96" s="48" t="s">
        <v>6</v>
      </c>
      <c r="DV96" s="48" t="s">
        <v>299</v>
      </c>
      <c r="DW96" s="48">
        <f ca="1">IF(DR96&lt;&gt;"",MAX($DW$2:DW95)+1,0)</f>
        <v>53</v>
      </c>
      <c r="DX96" s="48" t="str">
        <f ca="1">IF($BF$9=1,"pac21","pac2")</f>
        <v>pac2</v>
      </c>
      <c r="DY96" s="48" t="str">
        <f t="shared" ca="1" si="147"/>
        <v/>
      </c>
      <c r="DZ96" s="48" t="str">
        <f t="shared" ca="1" si="170"/>
        <v/>
      </c>
      <c r="EA96" s="48" t="str">
        <f t="shared" ca="1" si="171"/>
        <v/>
      </c>
      <c r="EB96" s="48">
        <f t="shared" ca="1" si="172"/>
        <v>0</v>
      </c>
      <c r="EC96" s="48">
        <f t="shared" ca="1" si="173"/>
        <v>0</v>
      </c>
      <c r="ED96" s="48" t="str">
        <f t="shared" ca="1" si="174"/>
        <v/>
      </c>
      <c r="EE96" s="48">
        <f t="shared" ca="1" si="175"/>
        <v>0</v>
      </c>
      <c r="EF96" s="48" t="str">
        <f t="shared" ca="1" si="176"/>
        <v/>
      </c>
      <c r="EG96" s="48">
        <f t="shared" ca="1" si="177"/>
        <v>0</v>
      </c>
      <c r="EH96" s="48" t="str">
        <f t="shared" ca="1" si="178"/>
        <v/>
      </c>
      <c r="EI96" s="48">
        <f t="shared" ca="1" si="179"/>
        <v>0</v>
      </c>
      <c r="EJ96" s="48" t="str">
        <f t="shared" ca="1" si="180"/>
        <v/>
      </c>
      <c r="EK96" s="48">
        <f t="shared" ca="1" si="181"/>
        <v>0</v>
      </c>
      <c r="EL96" s="48">
        <f t="shared" ca="1" si="148"/>
        <v>0</v>
      </c>
      <c r="EM96" s="48">
        <f ca="1">IF(EL96&gt;=0,0,MAX($EM$2:EM95)+1)</f>
        <v>0</v>
      </c>
      <c r="EN96" s="48" t="str">
        <f t="shared" ca="1" si="182"/>
        <v/>
      </c>
      <c r="EO96" s="48" t="str">
        <f ca="1">IFERROR(INDEX($EM$3:$EN$400,MATCH(ROWS($EO$3:EO96),$EM$3:$EM$400,0),2),"")</f>
        <v/>
      </c>
      <c r="EP96" s="48">
        <f>ROW()</f>
        <v>96</v>
      </c>
      <c r="EQ96" s="48">
        <f t="shared" ca="1" si="149"/>
        <v>0</v>
      </c>
      <c r="ER96" s="48">
        <f ca="1">IF(ISNA(EQ96)=TRUE,MAX($ER$2:ER95)+1,0)</f>
        <v>0</v>
      </c>
      <c r="ES96" s="48" t="str">
        <f t="shared" ca="1" si="183"/>
        <v/>
      </c>
      <c r="ET96" s="48" t="str">
        <f ca="1">IFERROR(INDEX($ER$3:$ES$400,MATCH(ROWS($ET$3:ET96),$ER$3:$ER$400,0),2),"")</f>
        <v/>
      </c>
      <c r="EV96" s="48">
        <f ca="1">IFERROR(INDEX(LIBRO_GIORNALE!$O$11:$P$408,MATCH(ROWS($EV$2:EV95),LIBRO_GIORNALE!$P$11:$P$408,0),1),0)</f>
        <v>0</v>
      </c>
      <c r="EW96" s="48" t="str">
        <f t="shared" ca="1" si="184"/>
        <v>0</v>
      </c>
      <c r="EX96" s="48">
        <f t="shared" ca="1" si="185"/>
        <v>0</v>
      </c>
      <c r="EY96" s="48">
        <f ca="1">IF(EX96&gt;0,MAX($EY$2:EY95)+1,0)</f>
        <v>0</v>
      </c>
      <c r="EZ96" s="48">
        <f ca="1">IFERROR(INDEX($EX$3:$EX$400,MATCH(ROWS($EZ$3:EZ96),$EY$3:$EY$400,0),1),0)</f>
        <v>0</v>
      </c>
      <c r="FA96" s="48">
        <f ca="1">IF(EZ96&gt;0,0,MAX($FA$2:FA95)+1)</f>
        <v>94</v>
      </c>
      <c r="FB96" s="48">
        <f t="shared" ca="1" si="186"/>
        <v>0</v>
      </c>
      <c r="FC96" s="48">
        <f t="shared" ca="1" si="187"/>
        <v>94</v>
      </c>
      <c r="FD96" s="48">
        <f t="shared" ca="1" si="188"/>
        <v>94</v>
      </c>
      <c r="FE96" s="48">
        <f ca="1">IF(FD96=0,0,MAX($FE$2:FE95)+1)</f>
        <v>94</v>
      </c>
      <c r="FF96" s="48">
        <f ca="1">IFERROR(INDEX($FD$3:$FE$400,MATCH(ROWS($FF$3:FF96),$FE$3:$FE$400,0),1),"")</f>
        <v>94</v>
      </c>
      <c r="FH96" s="48">
        <f t="shared" ca="1" si="189"/>
        <v>0</v>
      </c>
      <c r="FI96" s="48">
        <f ca="1">IF(FH96&lt;&gt;0,MAX($FI$2:FI95)+1,0)</f>
        <v>0</v>
      </c>
      <c r="FJ96" s="48" t="str">
        <f ca="1">IFERROR(INDEX($FH$3:$FI$400,MATCH(ROWS($FJ$3:FJ96),$FI$3:$FI$400,0),1),"")</f>
        <v/>
      </c>
      <c r="FK96" s="48">
        <f ca="1">IF(ABS(SUMIFS(DARE,DEN_G,"="&amp;FJ96,DATA,"&lt;="&amp;FINE_AC,DATA,"&gt;="&amp;INIZIO_A_PC)-SUMIFS(AVERE,DEN_G,"="&amp;FJ96,DATA,"&lt;="&amp;FINE_AC,DATA,"&gt;="&amp;INIZIO_A_PC))&gt;0,MAX($FK$2:FK95)+1,0)</f>
        <v>0</v>
      </c>
      <c r="FL96" s="48" t="str">
        <f ca="1">IF(AND(ROW()-2&lt;&gt;1,ROW()-2&lt;=$FK$1),CONCATENATE(" - ",IFERROR(INDEX($FJ$3:$FK$400,MATCH(ROWS($FL$3:FL96),$FK$3:$FK$400,0),1),"")),IFERROR(INDEX($FJ$3:$FK$400,MATCH(ROWS($FL$3:FL96),$FK$3:$FK$400,0),1),""))</f>
        <v/>
      </c>
      <c r="FM96" s="48">
        <f ca="1">IF(OR(B96="IVA ns/credito",B96="IVA NS/DEBITO",B96="IVA C/ACCONTO",B96="IMPOSTE C/ACCONTO",B96="CREDITI PER RITENUTE SUBITE",B96="CREDITI D'IMPOSTA"),MAX($FM$2:FM95)+1,0)</f>
        <v>0</v>
      </c>
      <c r="FN96" s="48" t="str">
        <f t="shared" ca="1" si="190"/>
        <v/>
      </c>
      <c r="FO96" s="48" t="str">
        <f ca="1">IFERROR(INDEX($FM$3:$FN$400,MATCH(ROWS($FO$3:FO96),$FM$3:$FM$400,0),2),"")</f>
        <v/>
      </c>
      <c r="FP96" s="48">
        <f ca="1">IF(ABS(SUMIFS(DARE,DEN_G,"="&amp;FO96,DATA,"&lt;="&amp;FINE_AC,DATA,"&gt;="&amp;INIZIO_A_PC)-SUMIFS(AVERE,DEN_G,"="&amp;FO96,DATA,"&lt;="&amp;FINE_AC,DATA,"&gt;="&amp;INIZIO_A_PC))&gt;0,MAX($FP$2:FP95)+1,0)</f>
        <v>0</v>
      </c>
      <c r="FQ96" s="48" t="str">
        <f ca="1">IF(AND(ROW()-2&lt;&gt;1,ROW()-2&lt;=$FP$1),CONCATENATE(" - ",IFERROR(INDEX($FO$3:$FP$400,MATCH(ROWS($FQ$3:FQ96),$FP$3:$FP$400,0),1),"")),IFERROR(INDEX($FO$3:$FP$400,MATCH(ROWS($FQ$3:FQ96),$FP$3:$FP$400,0),1),""))</f>
        <v/>
      </c>
    </row>
    <row r="97" spans="1:173" x14ac:dyDescent="0.3">
      <c r="A97" s="48" t="str">
        <f ca="1">IFERROR(IF($A$1=2,INDEX($DH$3:$DN$401,MATCH(ROWS(A$3:A97),$DN$3:$DN$401,0),COLUMN()),IF($A$1=1,INDEX($DQ$3:$DW$401,MATCH(ROWS(A$3:A97),$DW$3:$DW$401,0),COLUMN()),"")),"")</f>
        <v>08.02</v>
      </c>
      <c r="B97" s="48" t="str">
        <f ca="1">IFERROR(IF($A$1=2,INDEX($DH$3:$DN$401,MATCH(ROWS(B$3:B97),$DN$3:$DN$401,0),COLUMN()),IF($A$1=1,INDEX($DQ$3:$DW$400,MATCH(ROWS(B$3:B97),$DW$3:$DW$401,0),COLUMN()),"")),"")</f>
        <v>BANCA X C/VINCOLATO</v>
      </c>
      <c r="C97" s="48" t="str">
        <f ca="1">IFERROR(IF($A$1=2,INDEX($DH$3:$DN$401,MATCH(ROWS(C$3:C97),$DN$3:$DN$401,0),COLUMN()),IF($A$1=1,INDEX($DQ$3:$DW$401,MATCH(ROWS(C$3:C97),$DW$3:$DW$401,0),COLUMN()),"")),"")</f>
        <v>F</v>
      </c>
      <c r="D97" s="48" t="str">
        <f ca="1">IFERROR(IF($A$1=2,INDEX($DH$3:$DN$401,MATCH(ROWS(D$3:D97),$DN$3:$DN$401,0),COLUMN()),IF($A$1=1,INDEX($DQ$3:$DW$401,MATCH(ROWS(D$3:D97),$DW$3:$DW$401,0),COLUMN()),"")),"")</f>
        <v>D</v>
      </c>
      <c r="E97" s="48" t="str">
        <f ca="1">IFERROR(IF($A$1=2,INDEX($DH$3:$DN$401,MATCH(ROWS(E$3:E97),$DN$3:$DN$401,0),COLUMN()),IF($A$1=1,INDEX($DQ$3:$DW$401,MATCH(ROWS(E$3:E97),$DW$3:$DW$401,0),COLUMN()),"")),"")</f>
        <v>DISPONIBILITÀ LIQUIDE</v>
      </c>
      <c r="F97" s="48" t="str">
        <f ca="1">IFERROR(IF($A$1=2,INDEX($DH$3:$DN$401,MATCH(ROWS(F$3:F97),$DN$3:$DN$401,0),COLUMN()),IF($A$1=1,INDEX($DQ$3:$DX$401,MATCH(ROWS(F$3:F97),$DW$3:$DW$401,0),COLUMN()),"")),"")</f>
        <v>SP DARE</v>
      </c>
      <c r="G97" s="48" t="str">
        <f t="shared" ca="1" si="150"/>
        <v>SP</v>
      </c>
      <c r="H97" s="48" t="str">
        <f ca="1">IFERROR(IF($A$1=2,INDEX($DH$3:$DO$400,MATCH(ROWS(H$3:H97),$DN$3:$DN$400,0),COLUMN()),IF($A$1=1,INDEX($DQ$3:$DX$400,MATCH(ROWS(H$3:H97),$DW$3:$DW$400,0),COLUMN()),"")),"")</f>
        <v>pac4</v>
      </c>
      <c r="I97" s="48" t="str">
        <f t="shared" ca="1" si="151"/>
        <v/>
      </c>
      <c r="J97" s="48" t="str">
        <f t="shared" ca="1" si="152"/>
        <v/>
      </c>
      <c r="K97" s="48">
        <f t="shared" ca="1" si="153"/>
        <v>0</v>
      </c>
      <c r="L97" s="48">
        <f t="shared" ca="1" si="154"/>
        <v>0</v>
      </c>
      <c r="M97" s="48">
        <f ca="1">IFERROR(IF(IF(MID($A97,3,3)=".00",MID(A97,1,2),"")&lt;&gt;"",MAX($M$2:M96)+1,0),"")</f>
        <v>0</v>
      </c>
      <c r="N97" s="48" t="str">
        <f t="shared" ca="1" si="155"/>
        <v/>
      </c>
      <c r="O97" s="48" t="str">
        <f ca="1">IF(IFERROR(INDEX($N$3:$O$300,MATCH(ROWS($O$3:O97),$M$3:$M$300,0),1),"")&lt;&gt;"",CONCATENATE(INDEX($N$3:$O$300,MATCH(ROWS($O$3:O97),$M$3:$M$300,0),1),".00"),"")</f>
        <v/>
      </c>
      <c r="P97" s="48" t="str">
        <f t="shared" ca="1" si="156"/>
        <v/>
      </c>
      <c r="Q97" s="48">
        <f ca="1">IF(M97&gt;=1,0,MAX($Q$2:Q96)+1)</f>
        <v>86</v>
      </c>
      <c r="U97" s="48" t="str">
        <f ca="1">IFERROR(INDEX(PDC,MATCH(ROWS(U$3:U97),$V$3:$V$400,0),2),"")</f>
        <v>RISERVA DI RIVALUTAZIONE</v>
      </c>
      <c r="V97" s="48">
        <f ca="1">IF(AND($T$1="VISUALIZZA TUTTI I CONTI",AA97&lt;&gt;""),MAX($V$2:V96)+1,IF(AND($U$2=2,AI97=$T$1),MAX($V$2:V96)+1,IF(AND($U$2=1,$T$1=AF97),MAX($V$2:V96)+1,0)))</f>
        <v>95</v>
      </c>
      <c r="Z97" s="246"/>
      <c r="AA97" s="48" t="str">
        <f t="shared" ca="1" si="157"/>
        <v>10.00</v>
      </c>
      <c r="AB97" s="48" t="str">
        <f ca="1">IFERROR(INDEX($A$3:$G$400,MATCH(ROWS(AB$3:AB97),$Q$3:$Q$400,0),1),"")</f>
        <v>10.03</v>
      </c>
      <c r="AC97" s="48" t="str">
        <f ca="1">IFERROR(INDEX($A$3:$G$400,MATCH(ROWS($AC$3:AC97),$Q$3:$Q$400,0),2),"")</f>
        <v>RISERVA DI RIVALUTAZIONE</v>
      </c>
      <c r="AD97" s="48" t="str">
        <f ca="1">IFERROR(INDEX($A$3:$G$400,MATCH(ROWS(AD$3:AD97),$Q$3:$Q$400,0),3),"")</f>
        <v>E</v>
      </c>
      <c r="AE97" s="48" t="str">
        <f ca="1">IFERROR(INDEX($A$3:$G$400,MATCH(ROWS(AE$3:AE97),$Q$3:$Q$400,0),4),"")</f>
        <v>A</v>
      </c>
      <c r="AF97" s="48" t="str">
        <f ca="1">IFERROR(INDEX($A$3:$G$400,MATCH(ROWS(AF$3:AF97),$Q$3:$Q$400,0),5),"")</f>
        <v>PATRIMONIO NETTO</v>
      </c>
      <c r="AG97" s="48" t="str">
        <f ca="1">IFERROR(INDEX($A$3:$G$400,MATCH(ROWS(AG$3:AG97),$Q$3:$Q$400,0),6),"")</f>
        <v>SP AVERE</v>
      </c>
      <c r="AH97" s="48" t="str">
        <f ca="1">IFERROR(INDEX($A$3:$G$400,MATCH(ROWS(AH$3:AH97),$Q$3:$Q$400,0),7),"")</f>
        <v>SP</v>
      </c>
      <c r="AI97" s="48" t="str">
        <f t="shared" ca="1" si="158"/>
        <v>PATRIMONIO NETTO</v>
      </c>
      <c r="AJ97" s="48" t="str">
        <f ca="1">IFERROR(INDEX($A$3:$H$400,MATCH(ROWS(AJ$3:AJ97),$Q$3:$Q$400,0),8),"")</f>
        <v>ppa3</v>
      </c>
      <c r="AK97" s="48">
        <f t="shared" ca="1" si="130"/>
        <v>0</v>
      </c>
      <c r="AL97" s="48">
        <f t="shared" ca="1" si="131"/>
        <v>0</v>
      </c>
      <c r="AM97" s="48">
        <f t="shared" ca="1" si="159"/>
        <v>0</v>
      </c>
      <c r="AN97" s="48" t="str">
        <f t="shared" ca="1" si="160"/>
        <v/>
      </c>
      <c r="AO97" s="48">
        <f t="shared" ca="1" si="161"/>
        <v>0</v>
      </c>
      <c r="AP97" s="48">
        <f t="shared" ca="1" si="161"/>
        <v>0</v>
      </c>
      <c r="AQ97" s="48" t="str">
        <f t="shared" ca="1" si="132"/>
        <v>RISERVA DI RIVALUTAZIONE</v>
      </c>
      <c r="AR97" s="48">
        <f t="shared" ca="1" si="133"/>
        <v>0</v>
      </c>
      <c r="AS97" s="48">
        <f t="shared" ca="1" si="134"/>
        <v>0</v>
      </c>
      <c r="AT97" s="48">
        <f t="shared" ca="1" si="162"/>
        <v>0</v>
      </c>
      <c r="AU97" s="48">
        <f t="shared" ca="1" si="163"/>
        <v>0</v>
      </c>
      <c r="AV97" s="48">
        <f ca="1">IF(OR(AT97&gt;0,AU97&gt;0),MAX($AV$2:AV96)+1,0)</f>
        <v>0</v>
      </c>
      <c r="AZ97" s="241"/>
      <c r="BF97" s="248">
        <f ca="1">IF($AY$1&lt;&gt;0,0,SUMIFS(avere_grezzo,dest_grezzo,"="&amp;"SE AVERE",data_grezzo,"&gt;="&amp;INIZIO_A_PC,data_grezzo,"&gt;="&amp;INIZIO_ANNO_PREC,data_grezzo,"&lt;="&amp;FINE_ANNO_PREC)+SUMIFS(avere_grezzo,dest_grezzo,"="&amp;"SE DARE",data_grezzo,"&gt;="&amp;INIZIO_A_PC,data_grezzo,"&gt;="&amp;INIZIO_ANNO_PREC,data_grezzo,"&lt;="&amp;FINE_ANNO_PREC)-SUMIFS(dare_grezzo,dest_grezzo,"="&amp;"SE AVERE",data_grezzo,"&gt;="&amp;INIZIO_A_PC,data_grezzo,"&gt;="&amp;INIZIO_ANNO_PREC,data_grezzo,"&lt;="&amp;FINE_ANNO_PREC)-SUMIFS(dare_grezzo,dest_grezzo,"="&amp;"SE DARE",data_grezzo,"&gt;="&amp;INIZIO_A_PC,data_grezzo,"&gt;="&amp;INIZIO_ANNO_PREC,data_grezzo,"&lt;="&amp;FINE_ANNO_PREC))</f>
        <v>0</v>
      </c>
      <c r="BG97" s="48">
        <f ca="1">IF(IF(AND(OR(INDEX(PDC,MATCH($AC97,DEN_PDC,0),6)="SP DARE",INDEX(PDC,MATCH($AC97,DEN_PDC,0),6)="SP DARE/AVERE"),SUMIFS(DARE,DEN_G,$AC97)&gt;=SUMIFS(AVERE,DEN_G,$AC97)),SUMIFS(DARE,DEN_G,$AC97)-SUMIFS(AVERE,DEN_G,$AC97),0)&gt;0,MAX($BG$2:BG96)+1,0)</f>
        <v>0</v>
      </c>
      <c r="BH97" s="48">
        <f ca="1">IF(IF(AND(OR(INDEX(PDC,MATCH($AC97,DEN_PDC,0),6)="SP AVERE",INDEX(PDC,MATCH($AC97,DEN_PDC,0),6)="SP DARE/AVERE"),SUMIFS(AVERE,DEN_G,$AC97)&gt;=SUMIFS(DARE,DEN_G,$AC97)),SUMIFS(AVERE,DEN_G,$AC97)-SUMIFS(DARE,DEN_G,$AC97),0)&gt;0,MAX(BH$2:BH96)+1,0)</f>
        <v>0</v>
      </c>
      <c r="BI97" s="48">
        <f ca="1">IF(IF(AND(OR(INDEX(PDC,MATCH($AC97,DEN_PDC,0),6)="SE DARE",INDEX(PDC,MATCH($AC97,DEN_PDC,0),6)="SE DARE/AVERE"),SUMIFS(DARE,DEN_G,$AC97)&gt;=SUMIFS(AVERE,DEN_G,$AC97)),SUMIFS(DARE,DEN_G,$AC97)-SUMIFS(AVERE,DEN_G,$AC97),0)&gt;0,MAX(BI$2:BI96)+1,0)</f>
        <v>0</v>
      </c>
      <c r="BJ97" s="48">
        <f ca="1">IF(IF(AND(OR(INDEX(PDC,MATCH($AC97,DEN_PDC,0),6)="SE AVERE",INDEX(PDC,MATCH($AC97,DEN_PDC,0),6)="SE DARE/AVERE"),SUMIFS(AVERE,DEN_G,$AC97)&gt;=SUMIFS(DARE,DEN_G,$AC97)),SUMIFS(AVERE,DEN_G,$AC97)-SUMIFS(DARE,DEN_G,$AC97),0)&gt;0,MAX(BJ$2:BJ96)+1,0)</f>
        <v>0</v>
      </c>
      <c r="BK97" s="48" t="str">
        <f ca="1">IF(AND(AND($DY$2=0,$DY$1=0),$I$1=2,ROW()&gt;$BG$1+2,ROW()&lt;=$BG$1+4),"………………..",IF(AND(OR($DY$2&gt;0,$DY$1&gt;0),$I$1=2,ROW()&gt;$BG$1+2,ROW()&lt;=$BG$1+4),"………………..",IFERROR(INDEX($AC$3:$AC$398,MATCH(ROWS(BK$3:BK97),BG$3:BG$398,0),1),"")))</f>
        <v/>
      </c>
      <c r="BL97" s="48">
        <f t="shared" ca="1" si="136"/>
        <v>0</v>
      </c>
      <c r="BM97" s="48" t="str">
        <f ca="1">IF(AND(OR($DY$2=0,$DY$1=0),$I$1=2,ROW()&gt;$BH$1+2,ROW()&lt;=$BH$1+4),"………………..",IF(AND(OR($DY$2&gt;0,$DY$1&gt;0),$I$1=2,ROW()&gt;$BH$1+2,ROW()&lt;=$BH$1+4),"………………..",IFERROR(INDEX($AC$3:$AC$400,MATCH(ROWS(BM$3:BM97),BH$3:BH$400,0),1),"")))</f>
        <v/>
      </c>
      <c r="BN97" s="48">
        <f t="shared" ca="1" si="137"/>
        <v>0</v>
      </c>
      <c r="BO97" s="48" t="str">
        <f ca="1">IF(AND(OR($DY$2=0,$DY$1=0),$I$1=2,ROW()&gt;$BI$1+2,ROW()&lt;=$BI$1+4),"………………..",IF(AND(OR($DY$2&gt;0,$DY$1&gt;0),$I$1=2,ROW()&gt;$BI$1+2,ROW()&lt;=$BI$1+4),"………………..",IFERROR(INDEX($AC$3:$AC$400,MATCH(ROWS(BO$3:BO97),BI$3:BI$400,0),1),"")))</f>
        <v/>
      </c>
      <c r="BP97" s="48">
        <f t="shared" ca="1" si="138"/>
        <v>0</v>
      </c>
      <c r="BQ97" s="48" t="str">
        <f ca="1">IF(AND(OR($DY$2=0,$DY$1=0),$I$1=2,ROW()&gt;$BJ$1+2,ROW()&lt;=$BJ$1+4),"………………..",IF(AND(OR($DY$2&gt;0,$DY$1&gt;0),$I$1=2,ROW()&gt;$BJ$1+2,ROW()&lt;=$BJ$1+4),"………………..",IFERROR(INDEX($AC$3:$AC$400,MATCH(ROWS(BQ$3:BQ97),BJ$3:BJ$400,0),1),"")))</f>
        <v/>
      </c>
      <c r="BR97" s="48">
        <f t="shared" ca="1" si="139"/>
        <v>0</v>
      </c>
      <c r="BS97" s="48">
        <f ca="1">IF(IF(AND(OR(INDEX(PDC,MATCH($AC97,DEN_PDC,0),4)="D",INDEX(PDC,MATCH($AC97,DEN_PDC,0),4)="D/A"),SUMIFS(DARE,DEN_G,$AC97)&gt;=SUMIFS(AVERE,DEN_G,$AC97)),SUMIFS(DARE,DEN_G,$AC97),IF(AND(OR(INDEX(PDC,MATCH($AC97,DEN_PDC,0),4)="A",INDEX(PDC,MATCH($AC97,DEN_PDC,0),4)="D/A"),SUMIFS(AVERE,DEN_G,$AC97)&gt;=SUMIFS(DARE,DEN_G,$AC97)),SUMIFS(AVERE,DEN_G,$AC97),))&gt;0,MAX($BS$2:BS96)+1,0)</f>
        <v>0</v>
      </c>
      <c r="BT97" s="48" t="str">
        <f ca="1">IF($CO$1=0,"",IF(AND($I$1=2,ROW()&gt;$BR$1,ROW()&lt;=$BS$1)," …………….",IF(AND($E$1=1,$BX$1=1,$I$1=2,ROW()=$BQ$1),"TOTALI",IFERROR(INDEX(PDC,MATCH(ROWS(BT$3:BT97),BS$3:BS494,0),2),""))))</f>
        <v/>
      </c>
      <c r="BU97" s="48">
        <f t="shared" ca="1" si="140"/>
        <v>0</v>
      </c>
      <c r="BV97" s="48">
        <f t="shared" ca="1" si="141"/>
        <v>0</v>
      </c>
      <c r="BW97" s="48">
        <f t="shared" ca="1" si="142"/>
        <v>0</v>
      </c>
      <c r="BX97" s="48">
        <f t="shared" ca="1" si="143"/>
        <v>0</v>
      </c>
      <c r="BY97" s="48">
        <f ca="1">IF(OR(BW97&gt;0,BX97&gt;0),MAX($BY$2:BY96)+1,0)</f>
        <v>0</v>
      </c>
      <c r="BZ97" s="48" t="str">
        <f ca="1">IFERROR(INDEX($BT$3:$BY$400,MATCH(ROWS(BZ$3:BZ97),$BY$3:$BY$400,0),1),"")</f>
        <v/>
      </c>
      <c r="CA97" s="48" t="str">
        <f ca="1">IFERROR(INDEX($BT$3:$BY$400,MATCH(ROWS(CA$3:CA97),$BY$3:$BY$400,0),4),"")</f>
        <v/>
      </c>
      <c r="CB97" s="48" t="str">
        <f ca="1">IFERROR(INDEX($BT$3:$BY$400,MATCH(ROWS(CB$3:CB97),$BY$3:$BY$400,0),5),"")</f>
        <v/>
      </c>
      <c r="CC97" s="48" t="str">
        <f t="shared" ca="1" si="144"/>
        <v/>
      </c>
      <c r="CD97" s="48">
        <f ca="1">IF(AND(OR($BF$9=2,$BF$9=3),CE97&lt;&gt;0),MAX($CD$87:CD96)+1,0)</f>
        <v>0</v>
      </c>
      <c r="CE97" s="48">
        <f ca="1">IF(ROUND(SUMIFS(COPIA!$CA$3:$CA$400,COPIA!$CC$3:$CC$400,CF97)-SUMIFS(COPIA!$CB$3:$CB$400,COPIA!$CC$3:$CC$400,CF97),0)&lt;0,0,ROUND(SUMIFS(COPIA!$CA$3:$CA$400,COPIA!$CC$3:$CC$400,CF97)-SUMIFS(COPIA!$CB$3:$CB$400,COPIA!$CC$3:$CC$400,CF97),0))</f>
        <v>0</v>
      </c>
      <c r="CF97" s="48" t="s">
        <v>735</v>
      </c>
      <c r="CG97" s="48" t="str">
        <f>CG52</f>
        <v>_II_-_Crediti</v>
      </c>
      <c r="CH97" s="242">
        <f t="shared" ca="1" si="112"/>
        <v>0</v>
      </c>
      <c r="CJ97" s="242">
        <f ca="1">CE97</f>
        <v>0</v>
      </c>
      <c r="CK97" s="48">
        <f ca="1">IF($CF$2=FALSE,0,IF(AND(OR($BF$9=2,$BF$9=3),CJ97&lt;&gt;0),MAX($CK$21:CK96)+1,0))</f>
        <v>0</v>
      </c>
      <c r="CL97" s="48" t="s">
        <v>808</v>
      </c>
      <c r="CM97" s="242" t="str">
        <f t="shared" ca="1" si="166"/>
        <v/>
      </c>
      <c r="CN97" s="243">
        <f t="shared" ca="1" si="167"/>
        <v>0</v>
      </c>
      <c r="CO97" s="48" t="str">
        <f t="shared" ca="1" si="168"/>
        <v/>
      </c>
      <c r="CQ97" s="247">
        <f t="shared" ca="1" si="227"/>
        <v>47484</v>
      </c>
      <c r="CR97" s="247">
        <f t="shared" ca="1" si="227"/>
        <v>47848</v>
      </c>
      <c r="CS97" s="48">
        <f t="shared" ca="1" si="223"/>
        <v>0</v>
      </c>
      <c r="CT97" s="48">
        <f t="shared" ca="1" si="224"/>
        <v>0</v>
      </c>
      <c r="CU97" s="48">
        <f ca="1">IF(SUMIFS(AVERE,DEN_G,AC97,AVERE,"&gt;"&amp;0)+SUMIFS(DARE,DEN_G,AC97,DARE,"&gt;"&amp;0)&gt;0,MAX($CU$2:CU96)+1,0)</f>
        <v>0</v>
      </c>
      <c r="CV97" s="48" t="str">
        <f ca="1">IF(IFERROR(INDEX(PDC,MATCH(ROWS($CV$3:CV97),$CU$3:$CU$400,0),2),"")="CONTO DI RISULTATO ECONOMICO","",IFERROR(INDEX(PDC,MATCH(ROWS($CV$3:CV97),$CU$3:$CU$400,0),2),""))</f>
        <v/>
      </c>
      <c r="CW97" s="48">
        <f ca="1">IFERROR(IF(CV97&lt;&gt;"",MAX($CW$2:CW96)+1,0),0)</f>
        <v>0</v>
      </c>
      <c r="CX97" s="48">
        <f t="shared" ca="1" si="229"/>
        <v>8</v>
      </c>
      <c r="CY97" s="48" t="str">
        <f t="shared" ca="1" si="228"/>
        <v>MASTRO</v>
      </c>
      <c r="CZ97" s="48" t="e">
        <f t="shared" ca="1" si="231"/>
        <v>#N/A</v>
      </c>
      <c r="DA97" s="48" t="str">
        <f t="shared" ref="DA97:DA105" ca="1" si="235">IFERROR(INDEX(LIBRO_GIORNALE,CZ97,1),"")</f>
        <v/>
      </c>
      <c r="DB97" s="48" t="str">
        <f t="shared" ca="1" si="212"/>
        <v/>
      </c>
      <c r="DC97" s="48" t="str">
        <f t="shared" ca="1" si="232"/>
        <v/>
      </c>
      <c r="DD97" s="48" t="str">
        <f t="shared" ca="1" si="233"/>
        <v/>
      </c>
      <c r="DE97" s="48" t="str">
        <f t="shared" ca="1" si="234"/>
        <v/>
      </c>
      <c r="DF97" s="48">
        <f ca="1">IF(AND(CX97=$DF$1,CX97&lt;&gt;""),0,IF(AND(DB97&lt;&gt;"",OR(DB96&lt;&gt;"",DB98&lt;&gt;"")),MAX($DF$2:DF96)+1,0))</f>
        <v>0</v>
      </c>
      <c r="DH97" s="244" t="s">
        <v>372</v>
      </c>
      <c r="DI97" s="48" t="s">
        <v>74</v>
      </c>
      <c r="DJ97" s="48" t="s">
        <v>312</v>
      </c>
      <c r="DK97" s="48" t="s">
        <v>275</v>
      </c>
      <c r="DL97" s="48" t="s">
        <v>6</v>
      </c>
      <c r="DM97" s="48" t="s">
        <v>270</v>
      </c>
      <c r="DN97" s="48">
        <f ca="1">IF(DI97&lt;&gt;"",MAX($DN$2:DN96)+1,0)</f>
        <v>79</v>
      </c>
      <c r="DO97" s="48" t="str">
        <f t="shared" ca="1" si="226"/>
        <v>pac2</v>
      </c>
      <c r="DW97" s="48">
        <f>IF(DR97&lt;&gt;"",MAX($DW$2:DW96)+1,0)</f>
        <v>0</v>
      </c>
      <c r="DY97" s="48" t="str">
        <f t="shared" si="147"/>
        <v/>
      </c>
      <c r="DZ97" s="48" t="str">
        <f t="shared" ca="1" si="170"/>
        <v/>
      </c>
      <c r="EA97" s="48" t="str">
        <f t="shared" ca="1" si="171"/>
        <v/>
      </c>
      <c r="EB97" s="48">
        <f t="shared" ca="1" si="172"/>
        <v>0</v>
      </c>
      <c r="EC97" s="48">
        <f t="shared" ca="1" si="173"/>
        <v>0</v>
      </c>
      <c r="ED97" s="48" t="str">
        <f t="shared" ca="1" si="174"/>
        <v/>
      </c>
      <c r="EE97" s="48">
        <f t="shared" ca="1" si="175"/>
        <v>0</v>
      </c>
      <c r="EF97" s="48" t="str">
        <f t="shared" ca="1" si="176"/>
        <v/>
      </c>
      <c r="EG97" s="48">
        <f t="shared" ca="1" si="177"/>
        <v>0</v>
      </c>
      <c r="EH97" s="48" t="str">
        <f t="shared" ca="1" si="178"/>
        <v/>
      </c>
      <c r="EI97" s="48">
        <f t="shared" ca="1" si="179"/>
        <v>0</v>
      </c>
      <c r="EJ97" s="48" t="str">
        <f t="shared" ca="1" si="180"/>
        <v/>
      </c>
      <c r="EK97" s="48">
        <f t="shared" ca="1" si="181"/>
        <v>0</v>
      </c>
      <c r="EL97" s="48">
        <f t="shared" ca="1" si="148"/>
        <v>0</v>
      </c>
      <c r="EM97" s="48">
        <f ca="1">IF(EL97&gt;=0,0,MAX($EM$2:EM96)+1)</f>
        <v>0</v>
      </c>
      <c r="EN97" s="48" t="str">
        <f t="shared" ca="1" si="182"/>
        <v/>
      </c>
      <c r="EO97" s="48" t="str">
        <f ca="1">IFERROR(INDEX($EM$3:$EN$400,MATCH(ROWS($EO$3:EO97),$EM$3:$EM$400,0),2),"")</f>
        <v/>
      </c>
      <c r="EP97" s="48">
        <f>ROW()</f>
        <v>97</v>
      </c>
      <c r="EQ97" s="48">
        <f t="shared" ca="1" si="149"/>
        <v>0</v>
      </c>
      <c r="ER97" s="48">
        <f ca="1">IF(ISNA(EQ97)=TRUE,MAX($ER$2:ER96)+1,0)</f>
        <v>0</v>
      </c>
      <c r="ES97" s="48" t="str">
        <f t="shared" ca="1" si="183"/>
        <v/>
      </c>
      <c r="ET97" s="48" t="str">
        <f ca="1">IFERROR(INDEX($ER$3:$ES$400,MATCH(ROWS($ET$3:ET97),$ER$3:$ER$400,0),2),"")</f>
        <v/>
      </c>
      <c r="EU97" s="48">
        <f ca="1">IF(ROUND(SUMIFS(COPIA!$CA$3:$CA$400,COPIA!$CC$3:$CC$400,CF97)-SUMIFS(COPIA!$CB$3:$CB$400,COPIA!$CC$3:$CC$400,CF97),0)&lt;0,1,0)</f>
        <v>0</v>
      </c>
      <c r="EV97" s="48">
        <f ca="1">IFERROR(INDEX(LIBRO_GIORNALE!$O$11:$P$408,MATCH(ROWS($EV$2:EV96),LIBRO_GIORNALE!$P$11:$P$408,0),1),0)</f>
        <v>0</v>
      </c>
      <c r="EW97" s="48" t="str">
        <f t="shared" ca="1" si="184"/>
        <v>0</v>
      </c>
      <c r="EX97" s="48">
        <f t="shared" ca="1" si="185"/>
        <v>0</v>
      </c>
      <c r="EY97" s="48">
        <f ca="1">IF(EX97&gt;0,MAX($EY$2:EY96)+1,0)</f>
        <v>0</v>
      </c>
      <c r="EZ97" s="48">
        <f ca="1">IFERROR(INDEX($EX$3:$EX$400,MATCH(ROWS($EZ$3:EZ97),$EY$3:$EY$400,0),1),0)</f>
        <v>0</v>
      </c>
      <c r="FA97" s="48">
        <f ca="1">IF(EZ97&gt;0,0,MAX($FA$2:FA96)+1)</f>
        <v>95</v>
      </c>
      <c r="FB97" s="48">
        <f t="shared" ca="1" si="186"/>
        <v>0</v>
      </c>
      <c r="FC97" s="48">
        <f t="shared" ca="1" si="187"/>
        <v>95</v>
      </c>
      <c r="FD97" s="48">
        <f t="shared" ca="1" si="188"/>
        <v>95</v>
      </c>
      <c r="FE97" s="48">
        <f ca="1">IF(FD97=0,0,MAX($FE$2:FE96)+1)</f>
        <v>95</v>
      </c>
      <c r="FF97" s="48">
        <f ca="1">IFERROR(INDEX($FD$3:$FE$400,MATCH(ROWS($FF$3:FF97),$FE$3:$FE$400,0),1),"")</f>
        <v>95</v>
      </c>
      <c r="FH97" s="48">
        <f t="shared" ca="1" si="189"/>
        <v>0</v>
      </c>
      <c r="FI97" s="48">
        <f ca="1">IF(FH97&lt;&gt;0,MAX($FI$2:FI96)+1,0)</f>
        <v>0</v>
      </c>
      <c r="FJ97" s="48" t="str">
        <f ca="1">IFERROR(INDEX($FH$3:$FI$400,MATCH(ROWS($FJ$3:FJ97),$FI$3:$FI$400,0),1),"")</f>
        <v/>
      </c>
      <c r="FK97" s="48">
        <f ca="1">IF(ABS(SUMIFS(DARE,DEN_G,"="&amp;FJ97,DATA,"&lt;="&amp;FINE_AC,DATA,"&gt;="&amp;INIZIO_A_PC)-SUMIFS(AVERE,DEN_G,"="&amp;FJ97,DATA,"&lt;="&amp;FINE_AC,DATA,"&gt;="&amp;INIZIO_A_PC))&gt;0,MAX($FK$2:FK96)+1,0)</f>
        <v>0</v>
      </c>
      <c r="FL97" s="48" t="str">
        <f ca="1">IF(AND(ROW()-2&lt;&gt;1,ROW()-2&lt;=$FK$1),CONCATENATE(" - ",IFERROR(INDEX($FJ$3:$FK$400,MATCH(ROWS($FL$3:FL97),$FK$3:$FK$400,0),1),"")),IFERROR(INDEX($FJ$3:$FK$400,MATCH(ROWS($FL$3:FL97),$FK$3:$FK$400,0),1),""))</f>
        <v/>
      </c>
      <c r="FM97" s="48">
        <f ca="1">IF(OR(B97="IVA ns/credito",B97="IVA NS/DEBITO",B97="IVA C/ACCONTO",B97="IMPOSTE C/ACCONTO",B97="CREDITI PER RITENUTE SUBITE",B97="CREDITI D'IMPOSTA"),MAX($FM$2:FM96)+1,0)</f>
        <v>0</v>
      </c>
      <c r="FN97" s="48" t="str">
        <f t="shared" ca="1" si="190"/>
        <v/>
      </c>
      <c r="FO97" s="48" t="str">
        <f ca="1">IFERROR(INDEX($FM$3:$FN$400,MATCH(ROWS($FO$3:FO97),$FM$3:$FM$400,0),2),"")</f>
        <v/>
      </c>
      <c r="FP97" s="48">
        <f ca="1">IF(ABS(SUMIFS(DARE,DEN_G,"="&amp;FO97,DATA,"&lt;="&amp;FINE_AC,DATA,"&gt;="&amp;INIZIO_A_PC)-SUMIFS(AVERE,DEN_G,"="&amp;FO97,DATA,"&lt;="&amp;FINE_AC,DATA,"&gt;="&amp;INIZIO_A_PC))&gt;0,MAX($FP$2:FP96)+1,0)</f>
        <v>0</v>
      </c>
      <c r="FQ97" s="48" t="str">
        <f ca="1">IF(AND(ROW()-2&lt;&gt;1,ROW()-2&lt;=$FP$1),CONCATENATE(" - ",IFERROR(INDEX($FO$3:$FP$400,MATCH(ROWS($FQ$3:FQ97),$FP$3:$FP$400,0),1),"")),IFERROR(INDEX($FO$3:$FP$400,MATCH(ROWS($FQ$3:FQ97),$FP$3:$FP$400,0),1),""))</f>
        <v/>
      </c>
    </row>
    <row r="98" spans="1:173" x14ac:dyDescent="0.3">
      <c r="A98" s="48" t="str">
        <f ca="1">IFERROR(IF($A$1=2,INDEX($DH$3:$DN$401,MATCH(ROWS(A$3:A98),$DN$3:$DN$401,0),COLUMN()),IF($A$1=1,INDEX($DQ$3:$DW$401,MATCH(ROWS(A$3:A98),$DW$3:$DW$401,0),COLUMN()),"")),"")</f>
        <v>08.03</v>
      </c>
      <c r="B98" s="48" t="str">
        <f ca="1">IFERROR(IF($A$1=2,INDEX($DH$3:$DN$401,MATCH(ROWS(B$3:B98),$DN$3:$DN$401,0),COLUMN()),IF($A$1=1,INDEX($DQ$3:$DW$400,MATCH(ROWS(B$3:B98),$DW$3:$DW$401,0),COLUMN()),"")),"")</f>
        <v>C/C POSTALI</v>
      </c>
      <c r="C98" s="48" t="str">
        <f ca="1">IFERROR(IF($A$1=2,INDEX($DH$3:$DN$401,MATCH(ROWS(C$3:C98),$DN$3:$DN$401,0),COLUMN()),IF($A$1=1,INDEX($DQ$3:$DW$401,MATCH(ROWS(C$3:C98),$DW$3:$DW$401,0),COLUMN()),"")),"")</f>
        <v>F</v>
      </c>
      <c r="D98" s="48" t="str">
        <f ca="1">IFERROR(IF($A$1=2,INDEX($DH$3:$DN$401,MATCH(ROWS(D$3:D98),$DN$3:$DN$401,0),COLUMN()),IF($A$1=1,INDEX($DQ$3:$DW$401,MATCH(ROWS(D$3:D98),$DW$3:$DW$401,0),COLUMN()),"")),"")</f>
        <v>D</v>
      </c>
      <c r="E98" s="48" t="str">
        <f ca="1">IFERROR(IF($A$1=2,INDEX($DH$3:$DN$401,MATCH(ROWS(E$3:E98),$DN$3:$DN$401,0),COLUMN()),IF($A$1=1,INDEX($DQ$3:$DW$401,MATCH(ROWS(E$3:E98),$DW$3:$DW$401,0),COLUMN()),"")),"")</f>
        <v>DISPONIBILITÀ LIQUIDE</v>
      </c>
      <c r="F98" s="48" t="str">
        <f ca="1">IFERROR(IF($A$1=2,INDEX($DH$3:$DN$401,MATCH(ROWS(F$3:F98),$DN$3:$DN$401,0),COLUMN()),IF($A$1=1,INDEX($DQ$3:$DX$401,MATCH(ROWS(F$3:F98),$DW$3:$DW$401,0),COLUMN()),"")),"")</f>
        <v>SP DARE</v>
      </c>
      <c r="G98" s="48" t="str">
        <f t="shared" ca="1" si="150"/>
        <v>SP</v>
      </c>
      <c r="H98" s="48" t="str">
        <f ca="1">IFERROR(IF($A$1=2,INDEX($DH$3:$DO$400,MATCH(ROWS(H$3:H98),$DN$3:$DN$400,0),COLUMN()),IF($A$1=1,INDEX($DQ$3:$DX$400,MATCH(ROWS(H$3:H98),$DW$3:$DW$400,0),COLUMN()),"")),"")</f>
        <v>pac4</v>
      </c>
      <c r="I98" s="48" t="str">
        <f t="shared" ca="1" si="151"/>
        <v/>
      </c>
      <c r="J98" s="48" t="str">
        <f t="shared" ca="1" si="152"/>
        <v/>
      </c>
      <c r="K98" s="48">
        <f t="shared" ca="1" si="153"/>
        <v>0</v>
      </c>
      <c r="L98" s="48">
        <f t="shared" ca="1" si="154"/>
        <v>0</v>
      </c>
      <c r="M98" s="48">
        <f ca="1">IFERROR(IF(IF(MID($A98,3,3)=".00",MID(A98,1,2),"")&lt;&gt;"",MAX($M$2:M97)+1,0),"")</f>
        <v>0</v>
      </c>
      <c r="N98" s="48" t="str">
        <f t="shared" ca="1" si="155"/>
        <v/>
      </c>
      <c r="O98" s="48" t="str">
        <f ca="1">IF(IFERROR(INDEX($N$3:$O$300,MATCH(ROWS($O$3:O98),$M$3:$M$300,0),1),"")&lt;&gt;"",CONCATENATE(INDEX($N$3:$O$300,MATCH(ROWS($O$3:O98),$M$3:$M$300,0),1),".00"),"")</f>
        <v/>
      </c>
      <c r="P98" s="48" t="str">
        <f t="shared" ca="1" si="156"/>
        <v/>
      </c>
      <c r="Q98" s="48">
        <f ca="1">IF(M98&gt;=1,0,MAX($Q$2:Q97)+1)</f>
        <v>87</v>
      </c>
      <c r="U98" s="48" t="str">
        <f ca="1">IFERROR(INDEX(PDC,MATCH(ROWS(U$3:U98),$V$3:$V$400,0),2),"")</f>
        <v>RISERVA LEGALE</v>
      </c>
      <c r="V98" s="48">
        <f ca="1">IF(AND($T$1="VISUALIZZA TUTTI I CONTI",AA98&lt;&gt;""),MAX($V$2:V97)+1,IF(AND($U$2=2,AI98=$T$1),MAX($V$2:V97)+1,IF(AND($U$2=1,$T$1=AF98),MAX($V$2:V97)+1,0)))</f>
        <v>96</v>
      </c>
      <c r="Z98" s="246"/>
      <c r="AA98" s="48" t="str">
        <f t="shared" ca="1" si="157"/>
        <v>10.00</v>
      </c>
      <c r="AB98" s="48" t="str">
        <f ca="1">IFERROR(INDEX($A$3:$G$400,MATCH(ROWS(AB$3:AB98),$Q$3:$Q$400,0),1),"")</f>
        <v>10.04</v>
      </c>
      <c r="AC98" s="48" t="str">
        <f ca="1">IFERROR(INDEX($A$3:$G$400,MATCH(ROWS($AC$3:AC98),$Q$3:$Q$400,0),2),"")</f>
        <v>RISERVA LEGALE</v>
      </c>
      <c r="AD98" s="48" t="str">
        <f ca="1">IFERROR(INDEX($A$3:$G$400,MATCH(ROWS(AD$3:AD98),$Q$3:$Q$400,0),3),"")</f>
        <v>E</v>
      </c>
      <c r="AE98" s="48" t="str">
        <f ca="1">IFERROR(INDEX($A$3:$G$400,MATCH(ROWS(AE$3:AE98),$Q$3:$Q$400,0),4),"")</f>
        <v>A</v>
      </c>
      <c r="AF98" s="48" t="str">
        <f ca="1">IFERROR(INDEX($A$3:$G$400,MATCH(ROWS(AF$3:AF98),$Q$3:$Q$400,0),5),"")</f>
        <v>PATRIMONIO NETTO</v>
      </c>
      <c r="AG98" s="48" t="str">
        <f ca="1">IFERROR(INDEX($A$3:$G$400,MATCH(ROWS(AG$3:AG98),$Q$3:$Q$400,0),6),"")</f>
        <v>SP AVERE</v>
      </c>
      <c r="AH98" s="48" t="str">
        <f ca="1">IFERROR(INDEX($A$3:$G$400,MATCH(ROWS(AH$3:AH98),$Q$3:$Q$400,0),7),"")</f>
        <v>SP</v>
      </c>
      <c r="AI98" s="48" t="str">
        <f t="shared" ca="1" si="158"/>
        <v>PATRIMONIO NETTO</v>
      </c>
      <c r="AJ98" s="48" t="str">
        <f ca="1">IFERROR(INDEX($A$3:$H$400,MATCH(ROWS(AJ$3:AJ98),$Q$3:$Q$400,0),8),"")</f>
        <v>ppa4</v>
      </c>
      <c r="AK98" s="48">
        <f t="shared" ca="1" si="130"/>
        <v>0</v>
      </c>
      <c r="AL98" s="48">
        <f t="shared" ca="1" si="131"/>
        <v>0</v>
      </c>
      <c r="AM98" s="48">
        <f t="shared" ca="1" si="159"/>
        <v>0</v>
      </c>
      <c r="AN98" s="48" t="str">
        <f t="shared" ca="1" si="160"/>
        <v/>
      </c>
      <c r="AO98" s="48">
        <f t="shared" ca="1" si="161"/>
        <v>0</v>
      </c>
      <c r="AP98" s="48">
        <f t="shared" ca="1" si="161"/>
        <v>0</v>
      </c>
      <c r="AQ98" s="48" t="str">
        <f t="shared" ca="1" si="132"/>
        <v>RISERVA LEGALE</v>
      </c>
      <c r="AR98" s="48">
        <f t="shared" ca="1" si="133"/>
        <v>0</v>
      </c>
      <c r="AS98" s="48">
        <f t="shared" ca="1" si="134"/>
        <v>0</v>
      </c>
      <c r="AT98" s="48">
        <f t="shared" ca="1" si="162"/>
        <v>0</v>
      </c>
      <c r="AU98" s="48">
        <f t="shared" ca="1" si="163"/>
        <v>0</v>
      </c>
      <c r="AV98" s="48">
        <f ca="1">IF(OR(AT98&gt;0,AU98&gt;0),MAX($AV$2:AV97)+1,0)</f>
        <v>0</v>
      </c>
      <c r="AZ98" s="241" t="str">
        <f ca="1">CONCATENATE($AZ$1," A.")</f>
        <v>1 A.</v>
      </c>
      <c r="BA98" s="48">
        <f ca="1">IF(BB98&lt;&gt;"",INIZIO_AC,0)</f>
        <v>46023</v>
      </c>
      <c r="BB98" s="48">
        <f ca="1">IF(OR($AY$1&lt;&gt;0,$ES$1&gt;0,$BD$1=0),0,IF(SUMIFS(dare_grezzo,den_grezzo,"="&amp;"[perdita d'esercizio",data_grezzo,"&gt;="&amp;INIZIO_A_PC,data_grezzo,"&lt;"&amp;INIZIO_AC)&gt;0,"Perdita d'esercizio",0))</f>
        <v>0</v>
      </c>
      <c r="BC98" s="48" t="str">
        <f t="shared" ref="BC98:BC99" ca="1" si="236">IF(BB98&lt;&gt;0,"apertura del conto","")</f>
        <v/>
      </c>
      <c r="BD98" s="48">
        <f ca="1">IF(OR($CT$84=1,$AY$1&lt;&gt;0,$EL$2&gt;0,$ES$1&gt;0,$BD$1=0),0,IF(BB98&lt;&gt;"",SUMIFS(dare_grezzo,den_grezzo,"="&amp;"perdita d'esercizio",data_grezzo,"&gt;="&amp;INIZIO_A_PC,data_grezzo,"&lt;"&amp;INIZIO_AC)+SUMIFS(dare_grezzo,den_grezzo,"="&amp;"[perdita d'esercizio",data_grezzo,"&gt;="&amp;INIZIO_A_PC,data_grezzo,"&lt;"&amp;INIZIO_AC)-SUMIFS(avere_grezzo,den_grezzo,"="&amp;"[perdita d'esercizio",data_grezzo,"&gt;="&amp;INIZIO_A_PC,data_grezzo,"&lt;"&amp;INIZIO_AC),0))</f>
        <v>0</v>
      </c>
      <c r="BF98" s="248"/>
      <c r="BG98" s="48">
        <f ca="1">IF(IF(AND(OR(INDEX(PDC,MATCH($AC98,DEN_PDC,0),6)="SP DARE",INDEX(PDC,MATCH($AC98,DEN_PDC,0),6)="SP DARE/AVERE"),SUMIFS(DARE,DEN_G,$AC98)&gt;=SUMIFS(AVERE,DEN_G,$AC98)),SUMIFS(DARE,DEN_G,$AC98)-SUMIFS(AVERE,DEN_G,$AC98),0)&gt;0,MAX($BG$2:BG97)+1,0)</f>
        <v>0</v>
      </c>
      <c r="BH98" s="48">
        <f ca="1">IF(IF(AND(OR(INDEX(PDC,MATCH($AC98,DEN_PDC,0),6)="SP AVERE",INDEX(PDC,MATCH($AC98,DEN_PDC,0),6)="SP DARE/AVERE"),SUMIFS(AVERE,DEN_G,$AC98)&gt;=SUMIFS(DARE,DEN_G,$AC98)),SUMIFS(AVERE,DEN_G,$AC98)-SUMIFS(DARE,DEN_G,$AC98),0)&gt;0,MAX(BH$2:BH97)+1,0)</f>
        <v>0</v>
      </c>
      <c r="BI98" s="48">
        <f ca="1">IF(IF(AND(OR(INDEX(PDC,MATCH($AC98,DEN_PDC,0),6)="SE DARE",INDEX(PDC,MATCH($AC98,DEN_PDC,0),6)="SE DARE/AVERE"),SUMIFS(DARE,DEN_G,$AC98)&gt;=SUMIFS(AVERE,DEN_G,$AC98)),SUMIFS(DARE,DEN_G,$AC98)-SUMIFS(AVERE,DEN_G,$AC98),0)&gt;0,MAX(BI$2:BI97)+1,0)</f>
        <v>0</v>
      </c>
      <c r="BJ98" s="48">
        <f ca="1">IF(IF(AND(OR(INDEX(PDC,MATCH($AC98,DEN_PDC,0),6)="SE AVERE",INDEX(PDC,MATCH($AC98,DEN_PDC,0),6)="SE DARE/AVERE"),SUMIFS(AVERE,DEN_G,$AC98)&gt;=SUMIFS(DARE,DEN_G,$AC98)),SUMIFS(AVERE,DEN_G,$AC98)-SUMIFS(DARE,DEN_G,$AC98),0)&gt;0,MAX(BJ$2:BJ97)+1,0)</f>
        <v>0</v>
      </c>
      <c r="BK98" s="48" t="str">
        <f ca="1">IF(AND(AND($DY$2=0,$DY$1=0),$I$1=2,ROW()&gt;$BG$1+2,ROW()&lt;=$BG$1+4),"………………..",IF(AND(OR($DY$2&gt;0,$DY$1&gt;0),$I$1=2,ROW()&gt;$BG$1+2,ROW()&lt;=$BG$1+4),"………………..",IFERROR(INDEX($AC$3:$AC$398,MATCH(ROWS(BK$3:BK98),BG$3:BG$398,0),1),"")))</f>
        <v/>
      </c>
      <c r="BL98" s="48">
        <f t="shared" ca="1" si="136"/>
        <v>0</v>
      </c>
      <c r="BM98" s="48" t="str">
        <f ca="1">IF(AND(OR($DY$2=0,$DY$1=0),$I$1=2,ROW()&gt;$BH$1+2,ROW()&lt;=$BH$1+4),"………………..",IF(AND(OR($DY$2&gt;0,$DY$1&gt;0),$I$1=2,ROW()&gt;$BH$1+2,ROW()&lt;=$BH$1+4),"………………..",IFERROR(INDEX($AC$3:$AC$400,MATCH(ROWS(BM$3:BM98),BH$3:BH$400,0),1),"")))</f>
        <v/>
      </c>
      <c r="BN98" s="48">
        <f t="shared" ca="1" si="137"/>
        <v>0</v>
      </c>
      <c r="BO98" s="48" t="str">
        <f ca="1">IF(AND(OR($DY$2=0,$DY$1=0),$I$1=2,ROW()&gt;$BI$1+2,ROW()&lt;=$BI$1+4),"………………..",IF(AND(OR($DY$2&gt;0,$DY$1&gt;0),$I$1=2,ROW()&gt;$BI$1+2,ROW()&lt;=$BI$1+4),"………………..",IFERROR(INDEX($AC$3:$AC$400,MATCH(ROWS(BO$3:BO98),BI$3:BI$400,0),1),"")))</f>
        <v/>
      </c>
      <c r="BP98" s="48">
        <f t="shared" ca="1" si="138"/>
        <v>0</v>
      </c>
      <c r="BQ98" s="48" t="str">
        <f ca="1">IF(AND(OR($DY$2=0,$DY$1=0),$I$1=2,ROW()&gt;$BJ$1+2,ROW()&lt;=$BJ$1+4),"………………..",IF(AND(OR($DY$2&gt;0,$DY$1&gt;0),$I$1=2,ROW()&gt;$BJ$1+2,ROW()&lt;=$BJ$1+4),"………………..",IFERROR(INDEX($AC$3:$AC$400,MATCH(ROWS(BQ$3:BQ98),BJ$3:BJ$400,0),1),"")))</f>
        <v/>
      </c>
      <c r="BR98" s="48">
        <f t="shared" ca="1" si="139"/>
        <v>0</v>
      </c>
      <c r="BS98" s="48">
        <f ca="1">IF(IF(AND(OR(INDEX(PDC,MATCH($AC98,DEN_PDC,0),4)="D",INDEX(PDC,MATCH($AC98,DEN_PDC,0),4)="D/A"),SUMIFS(DARE,DEN_G,$AC98)&gt;=SUMIFS(AVERE,DEN_G,$AC98)),SUMIFS(DARE,DEN_G,$AC98),IF(AND(OR(INDEX(PDC,MATCH($AC98,DEN_PDC,0),4)="A",INDEX(PDC,MATCH($AC98,DEN_PDC,0),4)="D/A"),SUMIFS(AVERE,DEN_G,$AC98)&gt;=SUMIFS(DARE,DEN_G,$AC98)),SUMIFS(AVERE,DEN_G,$AC98),))&gt;0,MAX($BS$2:BS97)+1,0)</f>
        <v>0</v>
      </c>
      <c r="BT98" s="48" t="str">
        <f ca="1">IF($CO$1=0,"",IF(AND($I$1=2,ROW()&gt;$BR$1,ROW()&lt;=$BS$1)," …………….",IF(AND($E$1=1,$BX$1=1,$I$1=2,ROW()=$BQ$1),"TOTALI",IFERROR(INDEX(PDC,MATCH(ROWS(BT$3:BT98),BS$3:BS495,0),2),""))))</f>
        <v/>
      </c>
      <c r="BU98" s="48">
        <f t="shared" ca="1" si="140"/>
        <v>0</v>
      </c>
      <c r="BV98" s="48">
        <f t="shared" ca="1" si="141"/>
        <v>0</v>
      </c>
      <c r="BW98" s="48">
        <f t="shared" ca="1" si="142"/>
        <v>0</v>
      </c>
      <c r="BX98" s="48">
        <f t="shared" ca="1" si="143"/>
        <v>0</v>
      </c>
      <c r="BY98" s="48">
        <f ca="1">IF(OR(BW98&gt;0,BX98&gt;0),MAX($BY$2:BY97)+1,0)</f>
        <v>0</v>
      </c>
      <c r="BZ98" s="48" t="str">
        <f ca="1">IFERROR(INDEX($BT$3:$BY$400,MATCH(ROWS(BZ$3:BZ98),$BY$3:$BY$400,0),1),"")</f>
        <v/>
      </c>
      <c r="CA98" s="48" t="str">
        <f ca="1">IFERROR(INDEX($BT$3:$BY$400,MATCH(ROWS(CA$3:CA98),$BY$3:$BY$400,0),4),"")</f>
        <v/>
      </c>
      <c r="CB98" s="48" t="str">
        <f ca="1">IFERROR(INDEX($BT$3:$BY$400,MATCH(ROWS(CB$3:CB98),$BY$3:$BY$400,0),5),"")</f>
        <v/>
      </c>
      <c r="CC98" s="48" t="str">
        <f t="shared" ca="1" si="144"/>
        <v/>
      </c>
      <c r="CD98" s="48">
        <f ca="1">IF(AND(OR($BF$9=2,$BF$9=3),CE98&lt;&gt;0),MAX($CD$87:CD97)+1,0)</f>
        <v>0</v>
      </c>
      <c r="CE98" s="48">
        <f ca="1">ROUND(IFERROR(INDEX(BILANCIO!$I$13:$J$59,MATCH(CF98,BILANCIO!$J$13:$J$59,0),1),0),0)</f>
        <v>0</v>
      </c>
      <c r="CF98" s="48" t="s">
        <v>808</v>
      </c>
      <c r="CG98" s="48" t="str">
        <f>CG54</f>
        <v>_______di cui esigibili oltre l'esercizio</v>
      </c>
      <c r="CH98" s="242"/>
      <c r="CI98" s="48">
        <f ca="1">CE98</f>
        <v>0</v>
      </c>
      <c r="CJ98" s="242">
        <f ca="1">SUMIFS(COPIA!$CA$3:$CA$400,COPIA!$CC$3:$CC$400,CF98)-SUMIFS(COPIA!$CB$3:$CB$400,COPIA!$CC$3:$CC$400,CF98)</f>
        <v>0</v>
      </c>
      <c r="CK98" s="48">
        <f ca="1">IF($CF$2=FALSE,0,IF(AND(OR($BF$9=2,$BF$9=3),CJ98&lt;&gt;0),MAX($CK$21:CK97)+1,0))</f>
        <v>0</v>
      </c>
      <c r="CM98" s="242" t="str">
        <f t="shared" ca="1" si="166"/>
        <v/>
      </c>
      <c r="CN98" s="243">
        <f t="shared" ca="1" si="167"/>
        <v>0</v>
      </c>
      <c r="CO98" s="48" t="str">
        <f t="shared" ca="1" si="168"/>
        <v/>
      </c>
      <c r="CQ98" s="247">
        <f ca="1">CQ91</f>
        <v>47849</v>
      </c>
      <c r="CR98" s="247">
        <f t="shared" ref="CR98" ca="1" si="237">CR91</f>
        <v>48213</v>
      </c>
      <c r="CS98" s="48">
        <f t="shared" ca="1" si="223"/>
        <v>0</v>
      </c>
      <c r="CT98" s="48">
        <f t="shared" ca="1" si="224"/>
        <v>0</v>
      </c>
      <c r="CU98" s="48">
        <f ca="1">IF(SUMIFS(AVERE,DEN_G,AC98,AVERE,"&gt;"&amp;0)+SUMIFS(DARE,DEN_G,AC98,DARE,"&gt;"&amp;0)&gt;0,MAX($CU$2:CU97)+1,0)</f>
        <v>0</v>
      </c>
      <c r="CV98" s="48" t="str">
        <f ca="1">IF(IFERROR(INDEX(PDC,MATCH(ROWS($CV$3:CV98),$CU$3:$CU$400,0),2),"")="CONTO DI RISULTATO ECONOMICO","",IFERROR(INDEX(PDC,MATCH(ROWS($CV$3:CV98),$CU$3:$CU$400,0),2),""))</f>
        <v/>
      </c>
      <c r="CW98" s="48">
        <f ca="1">IFERROR(IF(CV98&lt;&gt;"",MAX($CW$2:CW97)+1,0),0)</f>
        <v>0</v>
      </c>
      <c r="CX98" s="48">
        <f t="shared" ca="1" si="229"/>
        <v>8</v>
      </c>
      <c r="CY98" s="48" t="str">
        <f t="shared" ca="1" si="228"/>
        <v>MASTRO</v>
      </c>
      <c r="CZ98" s="48" t="e">
        <f t="shared" ca="1" si="231"/>
        <v>#N/A</v>
      </c>
      <c r="DA98" s="48" t="str">
        <f t="shared" ca="1" si="235"/>
        <v/>
      </c>
      <c r="DB98" s="48" t="str">
        <f t="shared" ca="1" si="212"/>
        <v/>
      </c>
      <c r="DC98" s="48" t="str">
        <f t="shared" ca="1" si="232"/>
        <v/>
      </c>
      <c r="DD98" s="48" t="str">
        <f t="shared" ca="1" si="233"/>
        <v/>
      </c>
      <c r="DE98" s="48" t="str">
        <f t="shared" ca="1" si="234"/>
        <v/>
      </c>
      <c r="DF98" s="48">
        <f ca="1">IF(AND(CX98=$DF$1,CX98&lt;&gt;""),0,IF(AND(DB98&lt;&gt;"",OR(DB97&lt;&gt;"",DB99&lt;&gt;"")),MAX($DF$2:DF97)+1,0))</f>
        <v>0</v>
      </c>
      <c r="DH98" s="244" t="s">
        <v>78</v>
      </c>
      <c r="DI98" s="48" t="s">
        <v>371</v>
      </c>
      <c r="DJ98" s="48" t="s">
        <v>312</v>
      </c>
      <c r="DK98" s="48" t="s">
        <v>275</v>
      </c>
      <c r="DL98" s="48" t="s">
        <v>6</v>
      </c>
      <c r="DM98" s="48" t="s">
        <v>270</v>
      </c>
      <c r="DN98" s="48">
        <f ca="1">IF(DI98&lt;&gt;"",MAX($DN$2:DN97)+1,0)</f>
        <v>80</v>
      </c>
      <c r="DO98" s="48" t="str">
        <f t="shared" ca="1" si="226"/>
        <v>pac2</v>
      </c>
      <c r="DQ98" s="227" t="s">
        <v>72</v>
      </c>
      <c r="DR98" s="228" t="s">
        <v>73</v>
      </c>
      <c r="DW98" s="48">
        <f ca="1">IF(DR98&lt;&gt;"",MAX($DW$2:DW97)+1,0)</f>
        <v>54</v>
      </c>
      <c r="DY98" s="48" t="str">
        <f t="shared" ca="1" si="147"/>
        <v/>
      </c>
      <c r="DZ98" s="48" t="str">
        <f t="shared" ca="1" si="170"/>
        <v/>
      </c>
      <c r="EA98" s="48" t="str">
        <f t="shared" ca="1" si="171"/>
        <v/>
      </c>
      <c r="EB98" s="48">
        <f t="shared" ca="1" si="172"/>
        <v>0</v>
      </c>
      <c r="EC98" s="48">
        <f t="shared" ca="1" si="173"/>
        <v>0</v>
      </c>
      <c r="ED98" s="48" t="str">
        <f t="shared" ca="1" si="174"/>
        <v/>
      </c>
      <c r="EE98" s="48">
        <f t="shared" ca="1" si="175"/>
        <v>0</v>
      </c>
      <c r="EF98" s="48" t="str">
        <f t="shared" ca="1" si="176"/>
        <v/>
      </c>
      <c r="EG98" s="48">
        <f t="shared" ca="1" si="177"/>
        <v>0</v>
      </c>
      <c r="EH98" s="48" t="str">
        <f t="shared" ca="1" si="178"/>
        <v/>
      </c>
      <c r="EI98" s="48">
        <f t="shared" ca="1" si="179"/>
        <v>0</v>
      </c>
      <c r="EJ98" s="48" t="str">
        <f t="shared" ca="1" si="180"/>
        <v/>
      </c>
      <c r="EK98" s="48">
        <f t="shared" ca="1" si="181"/>
        <v>0</v>
      </c>
      <c r="EL98" s="48">
        <f t="shared" ca="1" si="148"/>
        <v>0</v>
      </c>
      <c r="EM98" s="48">
        <f ca="1">IF(EL98&gt;=0,0,MAX($EM$2:EM97)+1)</f>
        <v>0</v>
      </c>
      <c r="EN98" s="48" t="str">
        <f t="shared" ca="1" si="182"/>
        <v/>
      </c>
      <c r="EO98" s="48" t="str">
        <f ca="1">IFERROR(INDEX($EM$3:$EN$400,MATCH(ROWS($EO$3:EO98),$EM$3:$EM$400,0),2),"")</f>
        <v/>
      </c>
      <c r="EP98" s="48">
        <f>ROW()</f>
        <v>98</v>
      </c>
      <c r="EQ98" s="48">
        <f t="shared" ca="1" si="149"/>
        <v>0</v>
      </c>
      <c r="ER98" s="48">
        <f ca="1">IF(ISNA(EQ98)=TRUE,MAX($ER$2:ER97)+1,0)</f>
        <v>0</v>
      </c>
      <c r="ES98" s="48" t="str">
        <f t="shared" ca="1" si="183"/>
        <v/>
      </c>
      <c r="ET98" s="48" t="str">
        <f ca="1">IFERROR(INDEX($ER$3:$ES$400,MATCH(ROWS($ET$3:ET98),$ER$3:$ER$400,0),2),"")</f>
        <v/>
      </c>
      <c r="EV98" s="48">
        <f ca="1">IFERROR(INDEX(LIBRO_GIORNALE!$O$11:$P$408,MATCH(ROWS($EV$2:EV97),LIBRO_GIORNALE!$P$11:$P$408,0),1),0)</f>
        <v>0</v>
      </c>
      <c r="EW98" s="48" t="str">
        <f t="shared" ca="1" si="184"/>
        <v>0</v>
      </c>
      <c r="EX98" s="48">
        <f t="shared" ca="1" si="185"/>
        <v>0</v>
      </c>
      <c r="EY98" s="48">
        <f ca="1">IF(EX98&gt;0,MAX($EY$2:EY97)+1,0)</f>
        <v>0</v>
      </c>
      <c r="EZ98" s="48">
        <f ca="1">IFERROR(INDEX($EX$3:$EX$400,MATCH(ROWS($EZ$3:EZ98),$EY$3:$EY$400,0),1),0)</f>
        <v>0</v>
      </c>
      <c r="FA98" s="48">
        <f ca="1">IF(EZ98&gt;0,0,MAX($FA$2:FA97)+1)</f>
        <v>96</v>
      </c>
      <c r="FB98" s="48">
        <f t="shared" ca="1" si="186"/>
        <v>0</v>
      </c>
      <c r="FC98" s="48">
        <f t="shared" ca="1" si="187"/>
        <v>96</v>
      </c>
      <c r="FD98" s="48">
        <f t="shared" ca="1" si="188"/>
        <v>96</v>
      </c>
      <c r="FE98" s="48">
        <f ca="1">IF(FD98=0,0,MAX($FE$2:FE97)+1)</f>
        <v>96</v>
      </c>
      <c r="FF98" s="48">
        <f ca="1">IFERROR(INDEX($FD$3:$FE$400,MATCH(ROWS($FF$3:FF98),$FE$3:$FE$400,0),1),"")</f>
        <v>96</v>
      </c>
      <c r="FH98" s="48">
        <f t="shared" ca="1" si="189"/>
        <v>0</v>
      </c>
      <c r="FI98" s="48">
        <f ca="1">IF(FH98&lt;&gt;0,MAX($FI$2:FI97)+1,0)</f>
        <v>0</v>
      </c>
      <c r="FJ98" s="48" t="str">
        <f ca="1">IFERROR(INDEX($FH$3:$FI$400,MATCH(ROWS($FJ$3:FJ98),$FI$3:$FI$400,0),1),"")</f>
        <v/>
      </c>
      <c r="FK98" s="48">
        <f ca="1">IF(ABS(SUMIFS(DARE,DEN_G,"="&amp;FJ98,DATA,"&lt;="&amp;FINE_AC,DATA,"&gt;="&amp;INIZIO_A_PC)-SUMIFS(AVERE,DEN_G,"="&amp;FJ98,DATA,"&lt;="&amp;FINE_AC,DATA,"&gt;="&amp;INIZIO_A_PC))&gt;0,MAX($FK$2:FK97)+1,0)</f>
        <v>0</v>
      </c>
      <c r="FL98" s="48" t="str">
        <f ca="1">IF(AND(ROW()-2&lt;&gt;1,ROW()-2&lt;=$FK$1),CONCATENATE(" - ",IFERROR(INDEX($FJ$3:$FK$400,MATCH(ROWS($FL$3:FL98),$FK$3:$FK$400,0),1),"")),IFERROR(INDEX($FJ$3:$FK$400,MATCH(ROWS($FL$3:FL98),$FK$3:$FK$400,0),1),""))</f>
        <v/>
      </c>
      <c r="FM98" s="48">
        <f ca="1">IF(OR(B98="IVA ns/credito",B98="IVA NS/DEBITO",B98="IVA C/ACCONTO",B98="IMPOSTE C/ACCONTO",B98="CREDITI PER RITENUTE SUBITE",B98="CREDITI D'IMPOSTA"),MAX($FM$2:FM97)+1,0)</f>
        <v>0</v>
      </c>
      <c r="FN98" s="48" t="str">
        <f t="shared" ca="1" si="190"/>
        <v/>
      </c>
      <c r="FO98" s="48" t="str">
        <f ca="1">IFERROR(INDEX($FM$3:$FN$400,MATCH(ROWS($FO$3:FO98),$FM$3:$FM$400,0),2),"")</f>
        <v/>
      </c>
      <c r="FP98" s="48">
        <f ca="1">IF(ABS(SUMIFS(DARE,DEN_G,"="&amp;FO98,DATA,"&lt;="&amp;FINE_AC,DATA,"&gt;="&amp;INIZIO_A_PC)-SUMIFS(AVERE,DEN_G,"="&amp;FO98,DATA,"&lt;="&amp;FINE_AC,DATA,"&gt;="&amp;INIZIO_A_PC))&gt;0,MAX($FP$2:FP97)+1,0)</f>
        <v>0</v>
      </c>
      <c r="FQ98" s="48" t="str">
        <f ca="1">IF(AND(ROW()-2&lt;&gt;1,ROW()-2&lt;=$FP$1),CONCATENATE(" - ",IFERROR(INDEX($FO$3:$FP$400,MATCH(ROWS($FQ$3:FQ98),$FP$3:$FP$400,0),1),"")),IFERROR(INDEX($FO$3:$FP$400,MATCH(ROWS($FQ$3:FQ98),$FP$3:$FP$400,0),1),""))</f>
        <v/>
      </c>
    </row>
    <row r="99" spans="1:173" x14ac:dyDescent="0.3">
      <c r="A99" s="48" t="str">
        <f ca="1">IFERROR(IF($A$1=2,INDEX($DH$3:$DN$401,MATCH(ROWS(A$3:A99),$DN$3:$DN$401,0),COLUMN()),IF($A$1=1,INDEX($DQ$3:$DW$401,MATCH(ROWS(A$3:A99),$DW$3:$DW$401,0),COLUMN()),"")),"")</f>
        <v>08.10</v>
      </c>
      <c r="B99" s="48" t="str">
        <f ca="1">IFERROR(IF($A$1=2,INDEX($DH$3:$DN$401,MATCH(ROWS(B$3:B99),$DN$3:$DN$401,0),COLUMN()),IF($A$1=1,INDEX($DQ$3:$DW$400,MATCH(ROWS(B$3:B99),$DW$3:$DW$401,0),COLUMN()),"")),"")</f>
        <v>ASSEGNI</v>
      </c>
      <c r="C99" s="48" t="str">
        <f ca="1">IFERROR(IF($A$1=2,INDEX($DH$3:$DN$401,MATCH(ROWS(C$3:C99),$DN$3:$DN$401,0),COLUMN()),IF($A$1=1,INDEX($DQ$3:$DW$401,MATCH(ROWS(C$3:C99),$DW$3:$DW$401,0),COLUMN()),"")),"")</f>
        <v>F</v>
      </c>
      <c r="D99" s="48" t="str">
        <f ca="1">IFERROR(IF($A$1=2,INDEX($DH$3:$DN$401,MATCH(ROWS(D$3:D99),$DN$3:$DN$401,0),COLUMN()),IF($A$1=1,INDEX($DQ$3:$DW$401,MATCH(ROWS(D$3:D99),$DW$3:$DW$401,0),COLUMN()),"")),"")</f>
        <v>D</v>
      </c>
      <c r="E99" s="48" t="str">
        <f ca="1">IFERROR(IF($A$1=2,INDEX($DH$3:$DN$401,MATCH(ROWS(E$3:E99),$DN$3:$DN$401,0),COLUMN()),IF($A$1=1,INDEX($DQ$3:$DW$401,MATCH(ROWS(E$3:E99),$DW$3:$DW$401,0),COLUMN()),"")),"")</f>
        <v>DISPONIBILITÀ LIQUIDE</v>
      </c>
      <c r="F99" s="48" t="str">
        <f ca="1">IFERROR(IF($A$1=2,INDEX($DH$3:$DN$401,MATCH(ROWS(F$3:F99),$DN$3:$DN$401,0),COLUMN()),IF($A$1=1,INDEX($DQ$3:$DX$401,MATCH(ROWS(F$3:F99),$DW$3:$DW$401,0),COLUMN()),"")),"")</f>
        <v>SP DARE</v>
      </c>
      <c r="G99" s="48" t="str">
        <f t="shared" ca="1" si="150"/>
        <v>SP</v>
      </c>
      <c r="H99" s="48" t="str">
        <f ca="1">IFERROR(IF($A$1=2,INDEX($DH$3:$DO$400,MATCH(ROWS(H$3:H99),$DN$3:$DN$400,0),COLUMN()),IF($A$1=1,INDEX($DQ$3:$DX$400,MATCH(ROWS(H$3:H99),$DW$3:$DW$400,0),COLUMN()),"")),"")</f>
        <v>pac4</v>
      </c>
      <c r="I99" s="48" t="str">
        <f t="shared" ca="1" si="151"/>
        <v/>
      </c>
      <c r="J99" s="48" t="str">
        <f t="shared" ca="1" si="152"/>
        <v/>
      </c>
      <c r="K99" s="48">
        <f t="shared" ca="1" si="153"/>
        <v>0</v>
      </c>
      <c r="L99" s="48">
        <f t="shared" ca="1" si="154"/>
        <v>0</v>
      </c>
      <c r="M99" s="48">
        <f ca="1">IFERROR(IF(IF(MID($A99,3,3)=".00",MID(A99,1,2),"")&lt;&gt;"",MAX($M$2:M98)+1,0),"")</f>
        <v>0</v>
      </c>
      <c r="N99" s="48" t="str">
        <f t="shared" ca="1" si="155"/>
        <v/>
      </c>
      <c r="O99" s="48" t="str">
        <f ca="1">IF(IFERROR(INDEX($N$3:$O$300,MATCH(ROWS($O$3:O99),$M$3:$M$300,0),1),"")&lt;&gt;"",CONCATENATE(INDEX($N$3:$O$300,MATCH(ROWS($O$3:O99),$M$3:$M$300,0),1),".00"),"")</f>
        <v/>
      </c>
      <c r="P99" s="48" t="str">
        <f t="shared" ca="1" si="156"/>
        <v/>
      </c>
      <c r="Q99" s="48">
        <f ca="1">IF(M99&gt;=1,0,MAX($Q$2:Q98)+1)</f>
        <v>88</v>
      </c>
      <c r="U99" s="48" t="str">
        <f ca="1">IFERROR(INDEX(PDC,MATCH(ROWS(U$3:U99),$V$3:$V$400,0),2),"")</f>
        <v>RISERVA STATUTARIA</v>
      </c>
      <c r="V99" s="48">
        <f ca="1">IF(AND($T$1="VISUALIZZA TUTTI I CONTI",AA99&lt;&gt;""),MAX($V$2:V98)+1,IF(AND($U$2=2,AI99=$T$1),MAX($V$2:V98)+1,IF(AND($U$2=1,$T$1=AF99),MAX($V$2:V98)+1,0)))</f>
        <v>97</v>
      </c>
      <c r="Z99" s="246"/>
      <c r="AA99" s="48" t="str">
        <f t="shared" ca="1" si="157"/>
        <v>10.00</v>
      </c>
      <c r="AB99" s="48" t="str">
        <f ca="1">IFERROR(INDEX($A$3:$G$400,MATCH(ROWS(AB$3:AB99),$Q$3:$Q$400,0),1),"")</f>
        <v>10.05</v>
      </c>
      <c r="AC99" s="48" t="str">
        <f ca="1">IFERROR(INDEX($A$3:$G$400,MATCH(ROWS($AC$3:AC99),$Q$3:$Q$400,0),2),"")</f>
        <v>RISERVA STATUTARIA</v>
      </c>
      <c r="AD99" s="48" t="str">
        <f ca="1">IFERROR(INDEX($A$3:$G$400,MATCH(ROWS(AD$3:AD99),$Q$3:$Q$400,0),3),"")</f>
        <v>E</v>
      </c>
      <c r="AE99" s="48" t="str">
        <f ca="1">IFERROR(INDEX($A$3:$G$400,MATCH(ROWS(AE$3:AE99),$Q$3:$Q$400,0),4),"")</f>
        <v>A</v>
      </c>
      <c r="AF99" s="48" t="str">
        <f ca="1">IFERROR(INDEX($A$3:$G$400,MATCH(ROWS(AF$3:AF99),$Q$3:$Q$400,0),5),"")</f>
        <v>PATRIMONIO NETTO</v>
      </c>
      <c r="AG99" s="48" t="str">
        <f ca="1">IFERROR(INDEX($A$3:$G$400,MATCH(ROWS(AG$3:AG99),$Q$3:$Q$400,0),6),"")</f>
        <v>SP AVERE</v>
      </c>
      <c r="AH99" s="48" t="str">
        <f ca="1">IFERROR(INDEX($A$3:$G$400,MATCH(ROWS(AH$3:AH99),$Q$3:$Q$400,0),7),"")</f>
        <v>SP</v>
      </c>
      <c r="AI99" s="48" t="str">
        <f t="shared" ca="1" si="158"/>
        <v>PATRIMONIO NETTO</v>
      </c>
      <c r="AJ99" s="48" t="str">
        <f ca="1">IFERROR(INDEX($A$3:$H$400,MATCH(ROWS(AJ$3:AJ99),$Q$3:$Q$400,0),8),"")</f>
        <v>ppa5</v>
      </c>
      <c r="AK99" s="48">
        <f t="shared" ca="1" si="130"/>
        <v>0</v>
      </c>
      <c r="AL99" s="48">
        <f t="shared" ca="1" si="131"/>
        <v>0</v>
      </c>
      <c r="AM99" s="48">
        <f t="shared" ca="1" si="159"/>
        <v>0</v>
      </c>
      <c r="AN99" s="48" t="str">
        <f t="shared" ca="1" si="160"/>
        <v/>
      </c>
      <c r="AO99" s="48">
        <f t="shared" ca="1" si="161"/>
        <v>0</v>
      </c>
      <c r="AP99" s="48">
        <f t="shared" ca="1" si="161"/>
        <v>0</v>
      </c>
      <c r="AQ99" s="48" t="str">
        <f t="shared" ca="1" si="132"/>
        <v>RISERVA STATUTARIA</v>
      </c>
      <c r="AR99" s="48">
        <f t="shared" ca="1" si="133"/>
        <v>0</v>
      </c>
      <c r="AS99" s="48">
        <f t="shared" ca="1" si="134"/>
        <v>0</v>
      </c>
      <c r="AT99" s="48">
        <f t="shared" ca="1" si="162"/>
        <v>0</v>
      </c>
      <c r="AU99" s="48">
        <f t="shared" ca="1" si="163"/>
        <v>0</v>
      </c>
      <c r="AV99" s="48">
        <f ca="1">IF(OR(AT99&gt;0,AU99&gt;0),MAX($AV$2:AV98)+1,0)</f>
        <v>0</v>
      </c>
      <c r="AZ99" s="241" t="str">
        <f ca="1">CONCATENATE($AZ$1," A.")</f>
        <v>1 A.</v>
      </c>
      <c r="BA99" s="48">
        <f ca="1">IF(BB99&lt;&gt;"",INIZIO_AC,0)</f>
        <v>46023</v>
      </c>
      <c r="BB99" s="48">
        <f ca="1">IF(OR($AY$1&lt;&gt;0,$ES$1&gt;0,$BD$1=0),0,IF(SUMIFS(avere_grezzo,den_grezzo,"="&amp;"[utile d'esercizio",data_grezzo,"&gt;="&amp;INIZIO_A_PC,data_grezzo,"&lt;"&amp;INIZIO_AC)&gt;0,"utile d'esercizio",0))</f>
        <v>0</v>
      </c>
      <c r="BC99" s="48" t="str">
        <f t="shared" ca="1" si="236"/>
        <v/>
      </c>
      <c r="BE99" s="48">
        <f ca="1">IF(OR($CT$84=1,$AY$1&lt;&gt;0,$EL$2&gt;0,$ES$1&gt;0,$BD$1=0),0,IF(BB99&lt;&gt;"",SUMIFS(avere_grezzo,den_grezzo,"="&amp;"[utile d'esercizio",data_grezzo,"&gt;="&amp;INIZIO_A_PC,data_grezzo,"&lt;"&amp;INIZIO_AC),0)-SUMIFS(dare_grezzo,den_grezzo,"="&amp;"[utile d'esercizio",data_grezzo,"&gt;="&amp;INIZIO_A_PC,data_grezzo,"&lt;"&amp;INIZIO_AC))</f>
        <v>0</v>
      </c>
      <c r="BG99" s="48">
        <f ca="1">IF(IF(AND(OR(INDEX(PDC,MATCH($AC99,DEN_PDC,0),6)="SP DARE",INDEX(PDC,MATCH($AC99,DEN_PDC,0),6)="SP DARE/AVERE"),SUMIFS(DARE,DEN_G,$AC99)&gt;=SUMIFS(AVERE,DEN_G,$AC99)),SUMIFS(DARE,DEN_G,$AC99)-SUMIFS(AVERE,DEN_G,$AC99),0)&gt;0,MAX($BG$2:BG98)+1,0)</f>
        <v>0</v>
      </c>
      <c r="BH99" s="48">
        <f ca="1">IF(IF(AND(OR(INDEX(PDC,MATCH($AC99,DEN_PDC,0),6)="SP AVERE",INDEX(PDC,MATCH($AC99,DEN_PDC,0),6)="SP DARE/AVERE"),SUMIFS(AVERE,DEN_G,$AC99)&gt;=SUMIFS(DARE,DEN_G,$AC99)),SUMIFS(AVERE,DEN_G,$AC99)-SUMIFS(DARE,DEN_G,$AC99),0)&gt;0,MAX(BH$2:BH98)+1,0)</f>
        <v>0</v>
      </c>
      <c r="BI99" s="48">
        <f ca="1">IF(IF(AND(OR(INDEX(PDC,MATCH($AC99,DEN_PDC,0),6)="SE DARE",INDEX(PDC,MATCH($AC99,DEN_PDC,0),6)="SE DARE/AVERE"),SUMIFS(DARE,DEN_G,$AC99)&gt;=SUMIFS(AVERE,DEN_G,$AC99)),SUMIFS(DARE,DEN_G,$AC99)-SUMIFS(AVERE,DEN_G,$AC99),0)&gt;0,MAX(BI$2:BI98)+1,0)</f>
        <v>0</v>
      </c>
      <c r="BJ99" s="48">
        <f ca="1">IF(IF(AND(OR(INDEX(PDC,MATCH($AC99,DEN_PDC,0),6)="SE AVERE",INDEX(PDC,MATCH($AC99,DEN_PDC,0),6)="SE DARE/AVERE"),SUMIFS(AVERE,DEN_G,$AC99)&gt;=SUMIFS(DARE,DEN_G,$AC99)),SUMIFS(AVERE,DEN_G,$AC99)-SUMIFS(DARE,DEN_G,$AC99),0)&gt;0,MAX(BJ$2:BJ98)+1,0)</f>
        <v>0</v>
      </c>
      <c r="BK99" s="48" t="str">
        <f ca="1">IF(AND(AND($DY$2=0,$DY$1=0),$I$1=2,ROW()&gt;$BG$1+2,ROW()&lt;=$BG$1+4),"………………..",IF(AND(OR($DY$2&gt;0,$DY$1&gt;0),$I$1=2,ROW()&gt;$BG$1+2,ROW()&lt;=$BG$1+4),"………………..",IFERROR(INDEX($AC$3:$AC$398,MATCH(ROWS(BK$3:BK99),BG$3:BG$398,0),1),"")))</f>
        <v/>
      </c>
      <c r="BL99" s="48">
        <f t="shared" ca="1" si="136"/>
        <v>0</v>
      </c>
      <c r="BM99" s="48" t="str">
        <f ca="1">IF(AND(OR($DY$2=0,$DY$1=0),$I$1=2,ROW()&gt;$BH$1+2,ROW()&lt;=$BH$1+4),"………………..",IF(AND(OR($DY$2&gt;0,$DY$1&gt;0),$I$1=2,ROW()&gt;$BH$1+2,ROW()&lt;=$BH$1+4),"………………..",IFERROR(INDEX($AC$3:$AC$400,MATCH(ROWS(BM$3:BM99),BH$3:BH$400,0),1),"")))</f>
        <v/>
      </c>
      <c r="BN99" s="48">
        <f t="shared" ca="1" si="137"/>
        <v>0</v>
      </c>
      <c r="BO99" s="48" t="str">
        <f ca="1">IF(AND(OR($DY$2=0,$DY$1=0),$I$1=2,ROW()&gt;$BI$1+2,ROW()&lt;=$BI$1+4),"………………..",IF(AND(OR($DY$2&gt;0,$DY$1&gt;0),$I$1=2,ROW()&gt;$BI$1+2,ROW()&lt;=$BI$1+4),"………………..",IFERROR(INDEX($AC$3:$AC$400,MATCH(ROWS(BO$3:BO99),BI$3:BI$400,0),1),"")))</f>
        <v/>
      </c>
      <c r="BP99" s="48">
        <f t="shared" ca="1" si="138"/>
        <v>0</v>
      </c>
      <c r="BQ99" s="48" t="str">
        <f ca="1">IF(AND(OR($DY$2=0,$DY$1=0),$I$1=2,ROW()&gt;$BJ$1+2,ROW()&lt;=$BJ$1+4),"………………..",IF(AND(OR($DY$2&gt;0,$DY$1&gt;0),$I$1=2,ROW()&gt;$BJ$1+2,ROW()&lt;=$BJ$1+4),"………………..",IFERROR(INDEX($AC$3:$AC$400,MATCH(ROWS(BQ$3:BQ99),BJ$3:BJ$400,0),1),"")))</f>
        <v/>
      </c>
      <c r="BR99" s="48">
        <f t="shared" ca="1" si="139"/>
        <v>0</v>
      </c>
      <c r="BS99" s="48">
        <f ca="1">IF(IF(AND(OR(INDEX(PDC,MATCH($AC99,DEN_PDC,0),4)="D",INDEX(PDC,MATCH($AC99,DEN_PDC,0),4)="D/A"),SUMIFS(DARE,DEN_G,$AC99)&gt;=SUMIFS(AVERE,DEN_G,$AC99)),SUMIFS(DARE,DEN_G,$AC99),IF(AND(OR(INDEX(PDC,MATCH($AC99,DEN_PDC,0),4)="A",INDEX(PDC,MATCH($AC99,DEN_PDC,0),4)="D/A"),SUMIFS(AVERE,DEN_G,$AC99)&gt;=SUMIFS(DARE,DEN_G,$AC99)),SUMIFS(AVERE,DEN_G,$AC99),))&gt;0,MAX($BS$2:BS98)+1,0)</f>
        <v>0</v>
      </c>
      <c r="BT99" s="48" t="str">
        <f ca="1">IF($CO$1=0,"",IF(AND($I$1=2,ROW()&gt;$BR$1,ROW()&lt;=$BS$1)," …………….",IF(AND($E$1=1,$BX$1=1,$I$1=2,ROW()=$BQ$1),"TOTALI",IFERROR(INDEX(PDC,MATCH(ROWS(BT$3:BT99),BS$3:BS496,0),2),""))))</f>
        <v/>
      </c>
      <c r="BU99" s="48">
        <f t="shared" ca="1" si="140"/>
        <v>0</v>
      </c>
      <c r="BV99" s="48">
        <f t="shared" ca="1" si="141"/>
        <v>0</v>
      </c>
      <c r="BW99" s="48">
        <f t="shared" ca="1" si="142"/>
        <v>0</v>
      </c>
      <c r="BX99" s="48">
        <f t="shared" ca="1" si="143"/>
        <v>0</v>
      </c>
      <c r="BY99" s="48">
        <f ca="1">IF(OR(BW99&gt;0,BX99&gt;0),MAX($BY$2:BY98)+1,0)</f>
        <v>0</v>
      </c>
      <c r="BZ99" s="48" t="str">
        <f ca="1">IFERROR(INDEX($BT$3:$BY$400,MATCH(ROWS(BZ$3:BZ99),$BY$3:$BY$400,0),1),"")</f>
        <v/>
      </c>
      <c r="CA99" s="48" t="str">
        <f ca="1">IFERROR(INDEX($BT$3:$BY$400,MATCH(ROWS(CA$3:CA99),$BY$3:$BY$400,0),4),"")</f>
        <v/>
      </c>
      <c r="CB99" s="48" t="str">
        <f ca="1">IFERROR(INDEX($BT$3:$BY$400,MATCH(ROWS(CB$3:CB99),$BY$3:$BY$400,0),5),"")</f>
        <v/>
      </c>
      <c r="CC99" s="48" t="str">
        <f t="shared" ca="1" si="144"/>
        <v/>
      </c>
      <c r="CD99" s="48">
        <f ca="1">IF(AND(OR($BF$9=2,$BF$9=3),CE99&lt;&gt;0),MAX($CD$87:CD98)+1,0)</f>
        <v>0</v>
      </c>
      <c r="CE99" s="48">
        <f ca="1">IF(ROUND(SUMIFS(COPIA!$CA$3:$CA$400,COPIA!$CC$3:$CC$400,CF99)-SUMIFS(COPIA!$CB$3:$CB$400,COPIA!$CC$3:$CC$400,CF99),0)&lt;0,0,ROUND(SUMIFS(COPIA!$CA$3:$CA$400,COPIA!$CC$3:$CC$400,CF99)-SUMIFS(COPIA!$CB$3:$CB$400,COPIA!$CC$3:$CC$400,CF99),0))</f>
        <v>0</v>
      </c>
      <c r="CF99" s="48" t="s">
        <v>774</v>
      </c>
      <c r="CG99" s="48" t="str">
        <f>CG70</f>
        <v>_III_-_Attività finanziarie che non costituiscono immobilizzazioni</v>
      </c>
      <c r="CH99" s="242">
        <f t="shared" ca="1" si="112"/>
        <v>0</v>
      </c>
      <c r="CJ99" s="242"/>
      <c r="CM99" s="242" t="str">
        <f t="shared" ca="1" si="166"/>
        <v/>
      </c>
      <c r="CN99" s="243">
        <f t="shared" ca="1" si="167"/>
        <v>0</v>
      </c>
      <c r="CO99" s="48" t="str">
        <f t="shared" ca="1" si="168"/>
        <v/>
      </c>
      <c r="CQ99" s="247"/>
      <c r="CR99" s="242"/>
      <c r="CU99" s="48">
        <f ca="1">IF(SUMIFS(AVERE,DEN_G,AC99,AVERE,"&gt;"&amp;0)+SUMIFS(DARE,DEN_G,AC99,DARE,"&gt;"&amp;0)&gt;0,MAX($CU$2:CU98)+1,0)</f>
        <v>0</v>
      </c>
      <c r="CV99" s="48" t="str">
        <f ca="1">IF(IFERROR(INDEX(PDC,MATCH(ROWS($CV$3:CV99),$CU$3:$CU$400,0),2),"")="CONTO DI RISULTATO ECONOMICO","",IFERROR(INDEX(PDC,MATCH(ROWS($CV$3:CV99),$CU$3:$CU$400,0),2),""))</f>
        <v/>
      </c>
      <c r="CW99" s="48">
        <f ca="1">IFERROR(IF(CV99&lt;&gt;"",MAX($CW$2:CW98)+1,0),0)</f>
        <v>0</v>
      </c>
      <c r="CX99" s="48">
        <f t="shared" ca="1" si="229"/>
        <v>8</v>
      </c>
      <c r="CY99" s="48" t="str">
        <f t="shared" ca="1" si="228"/>
        <v>MASTRO</v>
      </c>
      <c r="CZ99" s="48" t="e">
        <f t="shared" ca="1" si="231"/>
        <v>#N/A</v>
      </c>
      <c r="DA99" s="48" t="str">
        <f t="shared" ca="1" si="235"/>
        <v/>
      </c>
      <c r="DB99" s="48" t="str">
        <f t="shared" ca="1" si="212"/>
        <v/>
      </c>
      <c r="DC99" s="48" t="str">
        <f t="shared" ca="1" si="232"/>
        <v/>
      </c>
      <c r="DD99" s="48" t="str">
        <f t="shared" ca="1" si="233"/>
        <v/>
      </c>
      <c r="DE99" s="48" t="str">
        <f t="shared" ca="1" si="234"/>
        <v/>
      </c>
      <c r="DF99" s="48">
        <f ca="1">IF(AND(CX99=$DF$1,CX99&lt;&gt;""),0,IF(AND(DB99&lt;&gt;"",OR(DB98&lt;&gt;"",DB100&lt;&gt;"")),MAX($DF$2:DF98)+1,0))</f>
        <v>0</v>
      </c>
      <c r="DH99" s="244" t="s">
        <v>924</v>
      </c>
      <c r="DI99" s="48" t="s">
        <v>864</v>
      </c>
      <c r="DJ99" s="48" t="s">
        <v>312</v>
      </c>
      <c r="DK99" s="48" t="s">
        <v>275</v>
      </c>
      <c r="DL99" s="48" t="s">
        <v>6</v>
      </c>
      <c r="DM99" s="48" t="s">
        <v>270</v>
      </c>
      <c r="DN99" s="48">
        <f ca="1">IF(DI99&lt;&gt;"",MAX($DN$2:DN98)+1,0)</f>
        <v>81</v>
      </c>
      <c r="DO99" s="48" t="str">
        <f t="shared" ref="DO99" ca="1" si="238">IF($BF$9=1,"pac25q","pac2")</f>
        <v>pac2</v>
      </c>
      <c r="DQ99" s="227" t="s">
        <v>76</v>
      </c>
      <c r="DR99" s="48" t="s">
        <v>923</v>
      </c>
      <c r="DS99" s="48" t="s">
        <v>312</v>
      </c>
      <c r="DT99" s="48" t="s">
        <v>275</v>
      </c>
      <c r="DU99" s="48" t="s">
        <v>6</v>
      </c>
      <c r="DV99" s="48" t="s">
        <v>270</v>
      </c>
      <c r="DW99" s="48">
        <f ca="1">IF(DR99&lt;&gt;"",MAX($DW$2:DW98)+1,0)</f>
        <v>55</v>
      </c>
      <c r="DX99" s="48" t="str">
        <f t="shared" ref="DX99:DX104" ca="1" si="239">IF($BF$9=1,"pac25b","pac2")</f>
        <v>pac2</v>
      </c>
      <c r="DY99" s="48" t="str">
        <f t="shared" ca="1" si="147"/>
        <v/>
      </c>
      <c r="DZ99" s="48" t="str">
        <f t="shared" ca="1" si="170"/>
        <v/>
      </c>
      <c r="EA99" s="48" t="str">
        <f t="shared" ca="1" si="171"/>
        <v/>
      </c>
      <c r="EB99" s="48">
        <f t="shared" ca="1" si="172"/>
        <v>0</v>
      </c>
      <c r="EC99" s="48">
        <f t="shared" ca="1" si="173"/>
        <v>0</v>
      </c>
      <c r="ED99" s="48" t="str">
        <f t="shared" ca="1" si="174"/>
        <v/>
      </c>
      <c r="EE99" s="48">
        <f t="shared" ca="1" si="175"/>
        <v>0</v>
      </c>
      <c r="EF99" s="48" t="str">
        <f t="shared" ca="1" si="176"/>
        <v/>
      </c>
      <c r="EG99" s="48">
        <f t="shared" ca="1" si="177"/>
        <v>0</v>
      </c>
      <c r="EH99" s="48" t="str">
        <f t="shared" ca="1" si="178"/>
        <v/>
      </c>
      <c r="EI99" s="48">
        <f t="shared" ca="1" si="179"/>
        <v>0</v>
      </c>
      <c r="EJ99" s="48" t="str">
        <f t="shared" ca="1" si="180"/>
        <v/>
      </c>
      <c r="EK99" s="48">
        <f t="shared" ca="1" si="181"/>
        <v>0</v>
      </c>
      <c r="EL99" s="48">
        <f t="shared" ca="1" si="148"/>
        <v>0</v>
      </c>
      <c r="EM99" s="48">
        <f ca="1">IF(EL99&gt;=0,0,MAX($EM$2:EM98)+1)</f>
        <v>0</v>
      </c>
      <c r="EN99" s="48" t="str">
        <f t="shared" ca="1" si="182"/>
        <v/>
      </c>
      <c r="EO99" s="48" t="str">
        <f ca="1">IFERROR(INDEX($EM$3:$EN$400,MATCH(ROWS($EO$3:EO99),$EM$3:$EM$400,0),2),"")</f>
        <v/>
      </c>
      <c r="EP99" s="48">
        <f>ROW()</f>
        <v>99</v>
      </c>
      <c r="EQ99" s="48">
        <f t="shared" ca="1" si="149"/>
        <v>0</v>
      </c>
      <c r="ER99" s="48">
        <f ca="1">IF(ISNA(EQ99)=TRUE,MAX($ER$2:ER98)+1,0)</f>
        <v>0</v>
      </c>
      <c r="ES99" s="48" t="str">
        <f t="shared" ca="1" si="183"/>
        <v/>
      </c>
      <c r="ET99" s="48" t="str">
        <f ca="1">IFERROR(INDEX($ER$3:$ES$400,MATCH(ROWS($ET$3:ET99),$ER$3:$ER$400,0),2),"")</f>
        <v/>
      </c>
      <c r="EV99" s="48">
        <f ca="1">IFERROR(INDEX(LIBRO_GIORNALE!$O$11:$P$408,MATCH(ROWS($EV$2:EV98),LIBRO_GIORNALE!$P$11:$P$408,0),1),0)</f>
        <v>0</v>
      </c>
      <c r="EW99" s="48" t="str">
        <f t="shared" ca="1" si="184"/>
        <v>0</v>
      </c>
      <c r="EX99" s="48">
        <f t="shared" ca="1" si="185"/>
        <v>0</v>
      </c>
      <c r="EY99" s="48">
        <f ca="1">IF(EX99&gt;0,MAX($EY$2:EY98)+1,0)</f>
        <v>0</v>
      </c>
      <c r="EZ99" s="48">
        <f ca="1">IFERROR(INDEX($EX$3:$EX$400,MATCH(ROWS($EZ$3:EZ99),$EY$3:$EY$400,0),1),0)</f>
        <v>0</v>
      </c>
      <c r="FA99" s="48">
        <f ca="1">IF(EZ99&gt;0,0,MAX($FA$2:FA98)+1)</f>
        <v>97</v>
      </c>
      <c r="FB99" s="48">
        <f t="shared" ca="1" si="186"/>
        <v>0</v>
      </c>
      <c r="FC99" s="48">
        <f t="shared" ca="1" si="187"/>
        <v>97</v>
      </c>
      <c r="FD99" s="48">
        <f t="shared" ca="1" si="188"/>
        <v>97</v>
      </c>
      <c r="FE99" s="48">
        <f ca="1">IF(FD99=0,0,MAX($FE$2:FE98)+1)</f>
        <v>97</v>
      </c>
      <c r="FF99" s="48">
        <f ca="1">IFERROR(INDEX($FD$3:$FE$400,MATCH(ROWS($FF$3:FF99),$FE$3:$FE$400,0),1),"")</f>
        <v>97</v>
      </c>
      <c r="FH99" s="48">
        <f t="shared" ca="1" si="189"/>
        <v>0</v>
      </c>
      <c r="FI99" s="48">
        <f ca="1">IF(FH99&lt;&gt;0,MAX($FI$2:FI98)+1,0)</f>
        <v>0</v>
      </c>
      <c r="FJ99" s="48" t="str">
        <f ca="1">IFERROR(INDEX($FH$3:$FI$400,MATCH(ROWS($FJ$3:FJ99),$FI$3:$FI$400,0),1),"")</f>
        <v/>
      </c>
      <c r="FK99" s="48">
        <f ca="1">IF(ABS(SUMIFS(DARE,DEN_G,"="&amp;FJ99,DATA,"&lt;="&amp;FINE_AC,DATA,"&gt;="&amp;INIZIO_A_PC)-SUMIFS(AVERE,DEN_G,"="&amp;FJ99,DATA,"&lt;="&amp;FINE_AC,DATA,"&gt;="&amp;INIZIO_A_PC))&gt;0,MAX($FK$2:FK98)+1,0)</f>
        <v>0</v>
      </c>
      <c r="FL99" s="48" t="str">
        <f ca="1">IF(AND(ROW()-2&lt;&gt;1,ROW()-2&lt;=$FK$1),CONCATENATE(" - ",IFERROR(INDEX($FJ$3:$FK$400,MATCH(ROWS($FL$3:FL99),$FK$3:$FK$400,0),1),"")),IFERROR(INDEX($FJ$3:$FK$400,MATCH(ROWS($FL$3:FL99),$FK$3:$FK$400,0),1),""))</f>
        <v/>
      </c>
      <c r="FM99" s="48">
        <f ca="1">IF(OR(B99="IVA ns/credito",B99="IVA NS/DEBITO",B99="IVA C/ACCONTO",B99="IMPOSTE C/ACCONTO",B99="CREDITI PER RITENUTE SUBITE",B99="CREDITI D'IMPOSTA"),MAX($FM$2:FM98)+1,0)</f>
        <v>0</v>
      </c>
      <c r="FN99" s="48" t="str">
        <f t="shared" ca="1" si="190"/>
        <v/>
      </c>
      <c r="FO99" s="48" t="str">
        <f ca="1">IFERROR(INDEX($FM$3:$FN$400,MATCH(ROWS($FO$3:FO99),$FM$3:$FM$400,0),2),"")</f>
        <v/>
      </c>
      <c r="FP99" s="48">
        <f ca="1">IF(ABS(SUMIFS(DARE,DEN_G,"="&amp;FO99,DATA,"&lt;="&amp;FINE_AC,DATA,"&gt;="&amp;INIZIO_A_PC)-SUMIFS(AVERE,DEN_G,"="&amp;FO99,DATA,"&lt;="&amp;FINE_AC,DATA,"&gt;="&amp;INIZIO_A_PC))&gt;0,MAX($FP$2:FP98)+1,0)</f>
        <v>0</v>
      </c>
      <c r="FQ99" s="48" t="str">
        <f ca="1">IF(AND(ROW()-2&lt;&gt;1,ROW()-2&lt;=$FP$1),CONCATENATE(" - ",IFERROR(INDEX($FO$3:$FP$400,MATCH(ROWS($FQ$3:FQ99),$FP$3:$FP$400,0),1),"")),IFERROR(INDEX($FO$3:$FP$400,MATCH(ROWS($FQ$3:FQ99),$FP$3:$FP$400,0),1),""))</f>
        <v/>
      </c>
    </row>
    <row r="100" spans="1:173" x14ac:dyDescent="0.3">
      <c r="A100" s="48" t="str">
        <f ca="1">IFERROR(IF($A$1=2,INDEX($DH$3:$DN$401,MATCH(ROWS(A$3:A100),$DN$3:$DN$401,0),COLUMN()),IF($A$1=1,INDEX($DQ$3:$DW$401,MATCH(ROWS(A$3:A100),$DW$3:$DW$401,0),COLUMN()),"")),"")</f>
        <v>08.20</v>
      </c>
      <c r="B100" s="48" t="str">
        <f ca="1">IFERROR(IF($A$1=2,INDEX($DH$3:$DN$401,MATCH(ROWS(B$3:B100),$DN$3:$DN$401,0),COLUMN()),IF($A$1=1,INDEX($DQ$3:$DW$400,MATCH(ROWS(B$3:B100),$DW$3:$DW$401,0),COLUMN()),"")),"")</f>
        <v>DENARO IN CASSA</v>
      </c>
      <c r="C100" s="48" t="str">
        <f ca="1">IFERROR(IF($A$1=2,INDEX($DH$3:$DN$401,MATCH(ROWS(C$3:C100),$DN$3:$DN$401,0),COLUMN()),IF($A$1=1,INDEX($DQ$3:$DW$401,MATCH(ROWS(C$3:C100),$DW$3:$DW$401,0),COLUMN()),"")),"")</f>
        <v>F</v>
      </c>
      <c r="D100" s="48" t="str">
        <f ca="1">IFERROR(IF($A$1=2,INDEX($DH$3:$DN$401,MATCH(ROWS(D$3:D100),$DN$3:$DN$401,0),COLUMN()),IF($A$1=1,INDEX($DQ$3:$DW$401,MATCH(ROWS(D$3:D100),$DW$3:$DW$401,0),COLUMN()),"")),"")</f>
        <v>D</v>
      </c>
      <c r="E100" s="48" t="str">
        <f ca="1">IFERROR(IF($A$1=2,INDEX($DH$3:$DN$401,MATCH(ROWS(E$3:E100),$DN$3:$DN$401,0),COLUMN()),IF($A$1=1,INDEX($DQ$3:$DW$401,MATCH(ROWS(E$3:E100),$DW$3:$DW$401,0),COLUMN()),"")),"")</f>
        <v>DISPONIBILITÀ LIQUIDE</v>
      </c>
      <c r="F100" s="48" t="str">
        <f ca="1">IFERROR(IF($A$1=2,INDEX($DH$3:$DN$401,MATCH(ROWS(F$3:F100),$DN$3:$DN$401,0),COLUMN()),IF($A$1=1,INDEX($DQ$3:$DX$401,MATCH(ROWS(F$3:F100),$DW$3:$DW$401,0),COLUMN()),"")),"")</f>
        <v>SP DARE</v>
      </c>
      <c r="G100" s="48" t="str">
        <f t="shared" ca="1" si="150"/>
        <v>SP</v>
      </c>
      <c r="H100" s="48" t="str">
        <f ca="1">IFERROR(IF($A$1=2,INDEX($DH$3:$DO$400,MATCH(ROWS(H$3:H100),$DN$3:$DN$400,0),COLUMN()),IF($A$1=1,INDEX($DQ$3:$DX$400,MATCH(ROWS(H$3:H100),$DW$3:$DW$400,0),COLUMN()),"")),"")</f>
        <v>pac4</v>
      </c>
      <c r="I100" s="48" t="str">
        <f t="shared" ca="1" si="151"/>
        <v/>
      </c>
      <c r="J100" s="48" t="str">
        <f t="shared" ca="1" si="152"/>
        <v/>
      </c>
      <c r="K100" s="48">
        <f t="shared" ca="1" si="153"/>
        <v>0</v>
      </c>
      <c r="L100" s="48">
        <f t="shared" ca="1" si="154"/>
        <v>0</v>
      </c>
      <c r="M100" s="48">
        <f ca="1">IFERROR(IF(IF(MID($A100,3,3)=".00",MID(A100,1,2),"")&lt;&gt;"",MAX($M$2:M99)+1,0),"")</f>
        <v>0</v>
      </c>
      <c r="N100" s="48" t="str">
        <f t="shared" ca="1" si="155"/>
        <v/>
      </c>
      <c r="O100" s="48" t="str">
        <f ca="1">IF(IFERROR(INDEX($N$3:$O$300,MATCH(ROWS($O$3:O100),$M$3:$M$300,0),1),"")&lt;&gt;"",CONCATENATE(INDEX($N$3:$O$300,MATCH(ROWS($O$3:O100),$M$3:$M$300,0),1),".00"),"")</f>
        <v/>
      </c>
      <c r="P100" s="48" t="str">
        <f t="shared" ca="1" si="156"/>
        <v/>
      </c>
      <c r="Q100" s="48">
        <f ca="1">IF(M100&gt;=1,0,MAX($Q$2:Q99)+1)</f>
        <v>89</v>
      </c>
      <c r="U100" s="48" t="str">
        <f ca="1">IFERROR(INDEX(PDC,MATCH(ROWS(U$3:U100),$V$3:$V$400,0),2),"")</f>
        <v>RISERVA STRAORDINARIA</v>
      </c>
      <c r="V100" s="48">
        <f ca="1">IF(AND($T$1="VISUALIZZA TUTTI I CONTI",AA100&lt;&gt;""),MAX($V$2:V99)+1,IF(AND($U$2=2,AI100=$T$1),MAX($V$2:V99)+1,IF(AND($U$2=1,$T$1=AF100),MAX($V$2:V99)+1,0)))</f>
        <v>98</v>
      </c>
      <c r="Z100" s="246"/>
      <c r="AA100" s="48" t="str">
        <f t="shared" ca="1" si="157"/>
        <v>10.00</v>
      </c>
      <c r="AB100" s="48" t="str">
        <f ca="1">IFERROR(INDEX($A$3:$G$400,MATCH(ROWS(AB$3:AB100),$Q$3:$Q$400,0),1),"")</f>
        <v>10.06</v>
      </c>
      <c r="AC100" s="48" t="str">
        <f ca="1">IFERROR(INDEX($A$3:$G$400,MATCH(ROWS($AC$3:AC100),$Q$3:$Q$400,0),2),"")</f>
        <v>RISERVA STRAORDINARIA</v>
      </c>
      <c r="AD100" s="48" t="str">
        <f ca="1">IFERROR(INDEX($A$3:$G$400,MATCH(ROWS(AD$3:AD100),$Q$3:$Q$400,0),3),"")</f>
        <v>E</v>
      </c>
      <c r="AE100" s="48" t="str">
        <f ca="1">IFERROR(INDEX($A$3:$G$400,MATCH(ROWS(AE$3:AE100),$Q$3:$Q$400,0),4),"")</f>
        <v>A</v>
      </c>
      <c r="AF100" s="48" t="str">
        <f ca="1">IFERROR(INDEX($A$3:$G$400,MATCH(ROWS(AF$3:AF100),$Q$3:$Q$400,0),5),"")</f>
        <v>PATRIMONIO NETTO</v>
      </c>
      <c r="AG100" s="48" t="str">
        <f ca="1">IFERROR(INDEX($A$3:$G$400,MATCH(ROWS(AG$3:AG100),$Q$3:$Q$400,0),6),"")</f>
        <v>SP AVERE</v>
      </c>
      <c r="AH100" s="48" t="str">
        <f ca="1">IFERROR(INDEX($A$3:$G$400,MATCH(ROWS(AH$3:AH100),$Q$3:$Q$400,0),7),"")</f>
        <v>SP</v>
      </c>
      <c r="AI100" s="48" t="str">
        <f t="shared" ca="1" si="158"/>
        <v>PATRIMONIO NETTO</v>
      </c>
      <c r="AJ100" s="48" t="str">
        <f ca="1">IFERROR(INDEX($A$3:$H$400,MATCH(ROWS(AJ$3:AJ100),$Q$3:$Q$400,0),8),"")</f>
        <v>ppa61</v>
      </c>
      <c r="AK100" s="48">
        <f t="shared" ca="1" si="130"/>
        <v>0</v>
      </c>
      <c r="AL100" s="48">
        <f t="shared" ca="1" si="131"/>
        <v>0</v>
      </c>
      <c r="AM100" s="48">
        <f t="shared" ca="1" si="159"/>
        <v>0</v>
      </c>
      <c r="AN100" s="48" t="str">
        <f t="shared" ca="1" si="160"/>
        <v/>
      </c>
      <c r="AO100" s="48">
        <f t="shared" ca="1" si="161"/>
        <v>0</v>
      </c>
      <c r="AP100" s="48">
        <f t="shared" ca="1" si="161"/>
        <v>0</v>
      </c>
      <c r="AQ100" s="48" t="str">
        <f t="shared" ca="1" si="132"/>
        <v>RISERVA STRAORDINARIA</v>
      </c>
      <c r="AR100" s="48">
        <f t="shared" ca="1" si="133"/>
        <v>0</v>
      </c>
      <c r="AS100" s="48">
        <f t="shared" ca="1" si="134"/>
        <v>0</v>
      </c>
      <c r="AT100" s="48">
        <f t="shared" ca="1" si="162"/>
        <v>0</v>
      </c>
      <c r="AU100" s="48">
        <f t="shared" ca="1" si="163"/>
        <v>0</v>
      </c>
      <c r="AV100" s="48">
        <f ca="1">IF(OR(AT100&gt;0,AU100&gt;0),MAX($AV$2:AV99)+1,0)</f>
        <v>0</v>
      </c>
      <c r="AZ100" s="241" t="str">
        <f ca="1">CONCATENATE($AZ$1," A.")</f>
        <v>1 A.</v>
      </c>
      <c r="BA100" s="48">
        <f ca="1">IF($I$1=2,0,IF(BB100&lt;&gt;0,INIZIO_AC,0))</f>
        <v>46023</v>
      </c>
      <c r="BB100" s="48" t="str">
        <f ca="1">IF(OR($I$1=2,AY1&lt;&gt;0),0,IF(AND($I$1=1,$BA$1&gt;0,$BF$97&gt;0),"UTILE D'ESERCIZIO",IF(AND($I$1=1,$BA$1&gt;0,$BF$97&lt;0),"PERDITA D'ESERCIZIO","")))</f>
        <v/>
      </c>
      <c r="BC100" s="48" t="str">
        <f ca="1">IF(BB100&lt;&gt;0,"apertura del conto","")</f>
        <v>apertura del conto</v>
      </c>
      <c r="BD100" s="48">
        <f ca="1">IF(AND($I$1=1,BB100="PERDITA D'ESERCIZIO",BF97&lt;0),ABS(BF97),0)</f>
        <v>0</v>
      </c>
      <c r="BE100" s="48">
        <f ca="1">IF(AND($I$1=1,BB100="UTILE D'ESERCIZIO",BF97&gt;0),ABS(BF97),0)</f>
        <v>0</v>
      </c>
      <c r="BG100" s="48">
        <f ca="1">IF(IF(AND(OR(INDEX(PDC,MATCH($AC100,DEN_PDC,0),6)="SP DARE",INDEX(PDC,MATCH($AC100,DEN_PDC,0),6)="SP DARE/AVERE"),SUMIFS(DARE,DEN_G,$AC100)&gt;=SUMIFS(AVERE,DEN_G,$AC100)),SUMIFS(DARE,DEN_G,$AC100)-SUMIFS(AVERE,DEN_G,$AC100),0)&gt;0,MAX($BG$2:BG99)+1,0)</f>
        <v>0</v>
      </c>
      <c r="BH100" s="48">
        <f ca="1">IF(IF(AND(OR(INDEX(PDC,MATCH($AC100,DEN_PDC,0),6)="SP AVERE",INDEX(PDC,MATCH($AC100,DEN_PDC,0),6)="SP DARE/AVERE"),SUMIFS(AVERE,DEN_G,$AC100)&gt;=SUMIFS(DARE,DEN_G,$AC100)),SUMIFS(AVERE,DEN_G,$AC100)-SUMIFS(DARE,DEN_G,$AC100),0)&gt;0,MAX(BH$2:BH99)+1,0)</f>
        <v>0</v>
      </c>
      <c r="BI100" s="48">
        <f ca="1">IF(IF(AND(OR(INDEX(PDC,MATCH($AC100,DEN_PDC,0),6)="SE DARE",INDEX(PDC,MATCH($AC100,DEN_PDC,0),6)="SE DARE/AVERE"),SUMIFS(DARE,DEN_G,$AC100)&gt;=SUMIFS(AVERE,DEN_G,$AC100)),SUMIFS(DARE,DEN_G,$AC100)-SUMIFS(AVERE,DEN_G,$AC100),0)&gt;0,MAX(BI$2:BI99)+1,0)</f>
        <v>0</v>
      </c>
      <c r="BJ100" s="48">
        <f ca="1">IF(IF(AND(OR(INDEX(PDC,MATCH($AC100,DEN_PDC,0),6)="SE AVERE",INDEX(PDC,MATCH($AC100,DEN_PDC,0),6)="SE DARE/AVERE"),SUMIFS(AVERE,DEN_G,$AC100)&gt;=SUMIFS(DARE,DEN_G,$AC100)),SUMIFS(AVERE,DEN_G,$AC100)-SUMIFS(DARE,DEN_G,$AC100),0)&gt;0,MAX(BJ$2:BJ99)+1,0)</f>
        <v>0</v>
      </c>
      <c r="BK100" s="48" t="str">
        <f ca="1">IF(AND(AND($DY$2=0,$DY$1=0),$I$1=2,ROW()&gt;$BG$1+2,ROW()&lt;=$BG$1+4),"………………..",IF(AND(OR($DY$2&gt;0,$DY$1&gt;0),$I$1=2,ROW()&gt;$BG$1+2,ROW()&lt;=$BG$1+4),"………………..",IFERROR(INDEX($AC$3:$AC$398,MATCH(ROWS(BK$3:BK100),BG$3:BG$398,0),1),"")))</f>
        <v/>
      </c>
      <c r="BL100" s="48">
        <f t="shared" ca="1" si="136"/>
        <v>0</v>
      </c>
      <c r="BM100" s="48" t="str">
        <f ca="1">IF(AND(OR($DY$2=0,$DY$1=0),$I$1=2,ROW()&gt;$BH$1+2,ROW()&lt;=$BH$1+4),"………………..",IF(AND(OR($DY$2&gt;0,$DY$1&gt;0),$I$1=2,ROW()&gt;$BH$1+2,ROW()&lt;=$BH$1+4),"………………..",IFERROR(INDEX($AC$3:$AC$400,MATCH(ROWS(BM$3:BM100),BH$3:BH$400,0),1),"")))</f>
        <v/>
      </c>
      <c r="BN100" s="48">
        <f t="shared" ca="1" si="137"/>
        <v>0</v>
      </c>
      <c r="BO100" s="48" t="str">
        <f ca="1">IF(AND(OR($DY$2=0,$DY$1=0),$I$1=2,ROW()&gt;$BI$1+2,ROW()&lt;=$BI$1+4),"………………..",IF(AND(OR($DY$2&gt;0,$DY$1&gt;0),$I$1=2,ROW()&gt;$BI$1+2,ROW()&lt;=$BI$1+4),"………………..",IFERROR(INDEX($AC$3:$AC$400,MATCH(ROWS(BO$3:BO100),BI$3:BI$400,0),1),"")))</f>
        <v/>
      </c>
      <c r="BP100" s="48">
        <f t="shared" ca="1" si="138"/>
        <v>0</v>
      </c>
      <c r="BQ100" s="48" t="str">
        <f ca="1">IF(AND(OR($DY$2=0,$DY$1=0),$I$1=2,ROW()&gt;$BJ$1+2,ROW()&lt;=$BJ$1+4),"………………..",IF(AND(OR($DY$2&gt;0,$DY$1&gt;0),$I$1=2,ROW()&gt;$BJ$1+2,ROW()&lt;=$BJ$1+4),"………………..",IFERROR(INDEX($AC$3:$AC$400,MATCH(ROWS(BQ$3:BQ100),BJ$3:BJ$400,0),1),"")))</f>
        <v/>
      </c>
      <c r="BR100" s="48">
        <f t="shared" ca="1" si="139"/>
        <v>0</v>
      </c>
      <c r="BS100" s="48">
        <f ca="1">IF(IF(AND(OR(INDEX(PDC,MATCH($AC100,DEN_PDC,0),4)="D",INDEX(PDC,MATCH($AC100,DEN_PDC,0),4)="D/A"),SUMIFS(DARE,DEN_G,$AC100)&gt;=SUMIFS(AVERE,DEN_G,$AC100)),SUMIFS(DARE,DEN_G,$AC100),IF(AND(OR(INDEX(PDC,MATCH($AC100,DEN_PDC,0),4)="A",INDEX(PDC,MATCH($AC100,DEN_PDC,0),4)="D/A"),SUMIFS(AVERE,DEN_G,$AC100)&gt;=SUMIFS(DARE,DEN_G,$AC100)),SUMIFS(AVERE,DEN_G,$AC100),))&gt;0,MAX($BS$2:BS99)+1,0)</f>
        <v>0</v>
      </c>
      <c r="BT100" s="48" t="str">
        <f ca="1">IF($CO$1=0,"",IF(AND($I$1=2,ROW()&gt;$BR$1,ROW()&lt;=$BS$1)," …………….",IF(AND($E$1=1,$BX$1=1,$I$1=2,ROW()=$BQ$1),"TOTALI",IFERROR(INDEX(PDC,MATCH(ROWS(BT$3:BT100),BS$3:BS497,0),2),""))))</f>
        <v/>
      </c>
      <c r="BU100" s="48">
        <f t="shared" ca="1" si="140"/>
        <v>0</v>
      </c>
      <c r="BV100" s="48">
        <f t="shared" ca="1" si="141"/>
        <v>0</v>
      </c>
      <c r="BW100" s="48">
        <f t="shared" ca="1" si="142"/>
        <v>0</v>
      </c>
      <c r="BX100" s="48">
        <f t="shared" ca="1" si="143"/>
        <v>0</v>
      </c>
      <c r="BY100" s="48">
        <f ca="1">IF(OR(BW100&gt;0,BX100&gt;0),MAX($BY$2:BY99)+1,0)</f>
        <v>0</v>
      </c>
      <c r="BZ100" s="48" t="str">
        <f ca="1">IFERROR(INDEX($BT$3:$BY$400,MATCH(ROWS(BZ$3:BZ100),$BY$3:$BY$400,0),1),"")</f>
        <v/>
      </c>
      <c r="CA100" s="48" t="str">
        <f ca="1">IFERROR(INDEX($BT$3:$BY$400,MATCH(ROWS(CA$3:CA100),$BY$3:$BY$400,0),4),"")</f>
        <v/>
      </c>
      <c r="CB100" s="48" t="str">
        <f ca="1">IFERROR(INDEX($BT$3:$BY$400,MATCH(ROWS(CB$3:CB100),$BY$3:$BY$400,0),5),"")</f>
        <v/>
      </c>
      <c r="CC100" s="48" t="str">
        <f t="shared" ca="1" si="144"/>
        <v/>
      </c>
      <c r="CD100" s="48">
        <f ca="1">IF(AND(OR($BF$9=2,$BF$9=3),CE100&lt;&gt;0),MAX($CD$87:CD99)+1,0)</f>
        <v>0</v>
      </c>
      <c r="CE100" s="48">
        <f ca="1">IF(ROUND(SUMIFS(COPIA!$CA$3:$CA$400,COPIA!$CC$3:$CC$400,CF100)-SUMIFS(COPIA!$CB$3:$CB$400,COPIA!$CC$3:$CC$400,CF100),0)&lt;0,0,ROUND(SUMIFS(COPIA!$CA$3:$CA$400,COPIA!$CC$3:$CC$400,CF100)-SUMIFS(COPIA!$CB$3:$CB$400,COPIA!$CC$3:$CC$400,CF100),0))</f>
        <v>0</v>
      </c>
      <c r="CF100" s="48" t="s">
        <v>736</v>
      </c>
      <c r="CG100" s="48" t="str">
        <f>CG79</f>
        <v>_IV_-_Disponibilità liquide</v>
      </c>
      <c r="CH100" s="242">
        <f t="shared" ca="1" si="112"/>
        <v>0</v>
      </c>
      <c r="CJ100" s="242"/>
      <c r="CM100" s="242" t="str">
        <f t="shared" ca="1" si="166"/>
        <v/>
      </c>
      <c r="CN100" s="243">
        <f t="shared" ca="1" si="167"/>
        <v>0</v>
      </c>
      <c r="CO100" s="48" t="str">
        <f t="shared" ca="1" si="168"/>
        <v/>
      </c>
      <c r="CQ100" s="242">
        <f ca="1">CR77</f>
        <v>2026</v>
      </c>
      <c r="CR100" s="242">
        <f ca="1">ABS(CS86-CT86)</f>
        <v>0</v>
      </c>
      <c r="CS100" s="48">
        <f ca="1">ABS(CS93-CT93)</f>
        <v>0</v>
      </c>
      <c r="CT100" s="48">
        <f ca="1">IF(OR(CR100&gt;0,CS100&gt;0),1,0)</f>
        <v>0</v>
      </c>
      <c r="CU100" s="48">
        <f ca="1">IF(SUMIFS(AVERE,DEN_G,AC100,AVERE,"&gt;"&amp;0)+SUMIFS(DARE,DEN_G,AC100,DARE,"&gt;"&amp;0)&gt;0,MAX($CU$2:CU99)+1,0)</f>
        <v>0</v>
      </c>
      <c r="CV100" s="48" t="str">
        <f ca="1">IF(IFERROR(INDEX(PDC,MATCH(ROWS($CV$3:CV100),$CU$3:$CU$400,0),2),"")="CONTO DI RISULTATO ECONOMICO","",IFERROR(INDEX(PDC,MATCH(ROWS($CV$3:CV100),$CU$3:$CU$400,0),2),""))</f>
        <v/>
      </c>
      <c r="CW100" s="48">
        <f ca="1">IFERROR(IF(CV100&lt;&gt;"",MAX($CW$2:CW99)+1,0),0)</f>
        <v>0</v>
      </c>
      <c r="CX100" s="48">
        <f t="shared" ca="1" si="229"/>
        <v>8</v>
      </c>
      <c r="CY100" s="48" t="str">
        <f t="shared" ca="1" si="228"/>
        <v>MASTRO</v>
      </c>
      <c r="CZ100" s="48" t="e">
        <f t="shared" ca="1" si="231"/>
        <v>#N/A</v>
      </c>
      <c r="DA100" s="48" t="str">
        <f t="shared" ca="1" si="235"/>
        <v/>
      </c>
      <c r="DB100" s="48" t="str">
        <f t="shared" ca="1" si="212"/>
        <v/>
      </c>
      <c r="DC100" s="48" t="str">
        <f t="shared" ca="1" si="232"/>
        <v/>
      </c>
      <c r="DD100" s="48" t="str">
        <f t="shared" ca="1" si="233"/>
        <v/>
      </c>
      <c r="DE100" s="48" t="str">
        <f t="shared" ca="1" si="234"/>
        <v/>
      </c>
      <c r="DF100" s="48">
        <f ca="1">IF(AND(CX100=$DF$1,CX100&lt;&gt;""),0,IF(AND(DB100&lt;&gt;"",OR(DB99&lt;&gt;"",DB101&lt;&gt;"")),MAX($DF$2:DF99)+1,0))</f>
        <v>0</v>
      </c>
      <c r="DH100" s="244" t="s">
        <v>79</v>
      </c>
      <c r="DI100" s="48" t="s">
        <v>75</v>
      </c>
      <c r="DJ100" s="48" t="s">
        <v>312</v>
      </c>
      <c r="DK100" s="48" t="s">
        <v>275</v>
      </c>
      <c r="DL100" s="48" t="s">
        <v>6</v>
      </c>
      <c r="DM100" s="48" t="s">
        <v>270</v>
      </c>
      <c r="DN100" s="48">
        <f ca="1">IF(DI100&lt;&gt;"",MAX($DN$2:DN99)+1,0)</f>
        <v>82</v>
      </c>
      <c r="DO100" s="48" t="str">
        <f ca="1">IF($BF$9=1,"pac25q","pac2")</f>
        <v>pac2</v>
      </c>
      <c r="DQ100" s="227" t="s">
        <v>368</v>
      </c>
      <c r="DR100" s="48" t="s">
        <v>862</v>
      </c>
      <c r="DS100" s="48" t="s">
        <v>312</v>
      </c>
      <c r="DT100" s="48" t="s">
        <v>275</v>
      </c>
      <c r="DU100" s="48" t="s">
        <v>6</v>
      </c>
      <c r="DV100" s="48" t="s">
        <v>270</v>
      </c>
      <c r="DW100" s="48">
        <f ca="1">IF(DR100&lt;&gt;"",MAX($DW$2:DW99)+1,0)</f>
        <v>56</v>
      </c>
      <c r="DX100" s="48" t="str">
        <f t="shared" ca="1" si="239"/>
        <v>pac2</v>
      </c>
      <c r="DY100" s="48" t="str">
        <f t="shared" ca="1" si="147"/>
        <v/>
      </c>
      <c r="DZ100" s="48" t="str">
        <f t="shared" ca="1" si="170"/>
        <v/>
      </c>
      <c r="EA100" s="48" t="str">
        <f t="shared" ca="1" si="171"/>
        <v/>
      </c>
      <c r="EB100" s="48">
        <f t="shared" ca="1" si="172"/>
        <v>0</v>
      </c>
      <c r="EC100" s="48">
        <f t="shared" ca="1" si="173"/>
        <v>0</v>
      </c>
      <c r="ED100" s="48" t="str">
        <f t="shared" ca="1" si="174"/>
        <v/>
      </c>
      <c r="EE100" s="48">
        <f t="shared" ca="1" si="175"/>
        <v>0</v>
      </c>
      <c r="EF100" s="48" t="str">
        <f t="shared" ca="1" si="176"/>
        <v/>
      </c>
      <c r="EG100" s="48">
        <f t="shared" ca="1" si="177"/>
        <v>0</v>
      </c>
      <c r="EH100" s="48" t="str">
        <f t="shared" ca="1" si="178"/>
        <v/>
      </c>
      <c r="EI100" s="48">
        <f t="shared" ca="1" si="179"/>
        <v>0</v>
      </c>
      <c r="EJ100" s="48" t="str">
        <f t="shared" ca="1" si="180"/>
        <v/>
      </c>
      <c r="EK100" s="48">
        <f t="shared" ca="1" si="181"/>
        <v>0</v>
      </c>
      <c r="EL100" s="48">
        <f t="shared" ca="1" si="148"/>
        <v>0</v>
      </c>
      <c r="EM100" s="48">
        <f ca="1">IF(EL100&gt;=0,0,MAX($EM$2:EM99)+1)</f>
        <v>0</v>
      </c>
      <c r="EN100" s="48" t="str">
        <f t="shared" ca="1" si="182"/>
        <v/>
      </c>
      <c r="EO100" s="48" t="str">
        <f ca="1">IFERROR(INDEX($EM$3:$EN$400,MATCH(ROWS($EO$3:EO100),$EM$3:$EM$400,0),2),"")</f>
        <v/>
      </c>
      <c r="EP100" s="48">
        <f>ROW()</f>
        <v>100</v>
      </c>
      <c r="EQ100" s="48">
        <f t="shared" ca="1" si="149"/>
        <v>0</v>
      </c>
      <c r="ER100" s="48">
        <f ca="1">IF(ISNA(EQ100)=TRUE,MAX($ER$2:ER99)+1,0)</f>
        <v>0</v>
      </c>
      <c r="ES100" s="48" t="str">
        <f t="shared" ca="1" si="183"/>
        <v/>
      </c>
      <c r="ET100" s="48" t="str">
        <f ca="1">IFERROR(INDEX($ER$3:$ES$400,MATCH(ROWS($ET$3:ET100),$ER$3:$ER$400,0),2),"")</f>
        <v/>
      </c>
      <c r="EV100" s="48">
        <f ca="1">IFERROR(INDEX(LIBRO_GIORNALE!$O$11:$P$408,MATCH(ROWS($EV$2:EV99),LIBRO_GIORNALE!$P$11:$P$408,0),1),0)</f>
        <v>0</v>
      </c>
      <c r="EW100" s="48" t="str">
        <f t="shared" ca="1" si="184"/>
        <v>0</v>
      </c>
      <c r="EX100" s="48">
        <f t="shared" ca="1" si="185"/>
        <v>0</v>
      </c>
      <c r="EY100" s="48">
        <f ca="1">IF(EX100&gt;0,MAX($EY$2:EY99)+1,0)</f>
        <v>0</v>
      </c>
      <c r="EZ100" s="48">
        <f ca="1">IFERROR(INDEX($EX$3:$EX$400,MATCH(ROWS($EZ$3:EZ100),$EY$3:$EY$400,0),1),0)</f>
        <v>0</v>
      </c>
      <c r="FA100" s="48">
        <f ca="1">IF(EZ100&gt;0,0,MAX($FA$2:FA99)+1)</f>
        <v>98</v>
      </c>
      <c r="FB100" s="48">
        <f t="shared" ca="1" si="186"/>
        <v>0</v>
      </c>
      <c r="FC100" s="48">
        <f t="shared" ca="1" si="187"/>
        <v>98</v>
      </c>
      <c r="FD100" s="48">
        <f t="shared" ca="1" si="188"/>
        <v>98</v>
      </c>
      <c r="FE100" s="48">
        <f ca="1">IF(FD100=0,0,MAX($FE$2:FE99)+1)</f>
        <v>98</v>
      </c>
      <c r="FF100" s="48">
        <f ca="1">IFERROR(INDEX($FD$3:$FE$400,MATCH(ROWS($FF$3:FF100),$FE$3:$FE$400,0),1),"")</f>
        <v>98</v>
      </c>
      <c r="FH100" s="48">
        <f t="shared" ca="1" si="189"/>
        <v>0</v>
      </c>
      <c r="FI100" s="48">
        <f ca="1">IF(FH100&lt;&gt;0,MAX($FI$2:FI99)+1,0)</f>
        <v>0</v>
      </c>
      <c r="FJ100" s="48" t="str">
        <f ca="1">IFERROR(INDEX($FH$3:$FI$400,MATCH(ROWS($FJ$3:FJ100),$FI$3:$FI$400,0),1),"")</f>
        <v/>
      </c>
      <c r="FK100" s="48">
        <f ca="1">IF(ABS(SUMIFS(DARE,DEN_G,"="&amp;FJ100,DATA,"&lt;="&amp;FINE_AC,DATA,"&gt;="&amp;INIZIO_A_PC)-SUMIFS(AVERE,DEN_G,"="&amp;FJ100,DATA,"&lt;="&amp;FINE_AC,DATA,"&gt;="&amp;INIZIO_A_PC))&gt;0,MAX($FK$2:FK99)+1,0)</f>
        <v>0</v>
      </c>
      <c r="FL100" s="48" t="str">
        <f ca="1">IF(AND(ROW()-2&lt;&gt;1,ROW()-2&lt;=$FK$1),CONCATENATE(" - ",IFERROR(INDEX($FJ$3:$FK$400,MATCH(ROWS($FL$3:FL100),$FK$3:$FK$400,0),1),"")),IFERROR(INDEX($FJ$3:$FK$400,MATCH(ROWS($FL$3:FL100),$FK$3:$FK$400,0),1),""))</f>
        <v/>
      </c>
      <c r="FM100" s="48">
        <f ca="1">IF(OR(B100="IVA ns/credito",B100="IVA NS/DEBITO",B100="IVA C/ACCONTO",B100="IMPOSTE C/ACCONTO",B100="CREDITI PER RITENUTE SUBITE",B100="CREDITI D'IMPOSTA"),MAX($FM$2:FM99)+1,0)</f>
        <v>0</v>
      </c>
      <c r="FN100" s="48" t="str">
        <f t="shared" ca="1" si="190"/>
        <v/>
      </c>
      <c r="FO100" s="48" t="str">
        <f ca="1">IFERROR(INDEX($FM$3:$FN$400,MATCH(ROWS($FO$3:FO100),$FM$3:$FM$400,0),2),"")</f>
        <v/>
      </c>
      <c r="FP100" s="48">
        <f ca="1">IF(ABS(SUMIFS(DARE,DEN_G,"="&amp;FO100,DATA,"&lt;="&amp;FINE_AC,DATA,"&gt;="&amp;INIZIO_A_PC)-SUMIFS(AVERE,DEN_G,"="&amp;FO100,DATA,"&lt;="&amp;FINE_AC,DATA,"&gt;="&amp;INIZIO_A_PC))&gt;0,MAX($FP$2:FP99)+1,0)</f>
        <v>0</v>
      </c>
      <c r="FQ100" s="48" t="str">
        <f ca="1">IF(AND(ROW()-2&lt;&gt;1,ROW()-2&lt;=$FP$1),CONCATENATE(" - ",IFERROR(INDEX($FO$3:$FP$400,MATCH(ROWS($FQ$3:FQ100),$FP$3:$FP$400,0),1),"")),IFERROR(INDEX($FO$3:$FP$400,MATCH(ROWS($FQ$3:FQ100),$FP$3:$FP$400,0),1),""))</f>
        <v/>
      </c>
    </row>
    <row r="101" spans="1:173" x14ac:dyDescent="0.3">
      <c r="A101" s="48" t="str">
        <f ca="1">IFERROR(IF($A$1=2,INDEX($DH$3:$DN$401,MATCH(ROWS(A$3:A101),$DN$3:$DN$401,0),COLUMN()),IF($A$1=1,INDEX($DQ$3:$DW$401,MATCH(ROWS(A$3:A101),$DW$3:$DW$401,0),COLUMN()),"")),"")</f>
        <v>08.21</v>
      </c>
      <c r="B101" s="48" t="str">
        <f ca="1">IFERROR(IF($A$1=2,INDEX($DH$3:$DN$401,MATCH(ROWS(B$3:B101),$DN$3:$DN$401,0),COLUMN()),IF($A$1=1,INDEX($DQ$3:$DW$400,MATCH(ROWS(B$3:B101),$DW$3:$DW$401,0),COLUMN()),"")),"")</f>
        <v>VALORI BOLLATI</v>
      </c>
      <c r="C101" s="48" t="str">
        <f ca="1">IFERROR(IF($A$1=2,INDEX($DH$3:$DN$401,MATCH(ROWS(C$3:C101),$DN$3:$DN$401,0),COLUMN()),IF($A$1=1,INDEX($DQ$3:$DW$401,MATCH(ROWS(C$3:C101),$DW$3:$DW$401,0),COLUMN()),"")),"")</f>
        <v>F</v>
      </c>
      <c r="D101" s="48" t="str">
        <f ca="1">IFERROR(IF($A$1=2,INDEX($DH$3:$DN$401,MATCH(ROWS(D$3:D101),$DN$3:$DN$401,0),COLUMN()),IF($A$1=1,INDEX($DQ$3:$DW$401,MATCH(ROWS(D$3:D101),$DW$3:$DW$401,0),COLUMN()),"")),"")</f>
        <v>D</v>
      </c>
      <c r="E101" s="48" t="str">
        <f ca="1">IFERROR(IF($A$1=2,INDEX($DH$3:$DN$401,MATCH(ROWS(E$3:E101),$DN$3:$DN$401,0),COLUMN()),IF($A$1=1,INDEX($DQ$3:$DW$401,MATCH(ROWS(E$3:E101),$DW$3:$DW$401,0),COLUMN()),"")),"")</f>
        <v>DISPONIBILITÀ LIQUIDE</v>
      </c>
      <c r="F101" s="48" t="str">
        <f ca="1">IFERROR(IF($A$1=2,INDEX($DH$3:$DN$401,MATCH(ROWS(F$3:F101),$DN$3:$DN$401,0),COLUMN()),IF($A$1=1,INDEX($DQ$3:$DX$401,MATCH(ROWS(F$3:F101),$DW$3:$DW$401,0),COLUMN()),"")),"")</f>
        <v>SP DARE</v>
      </c>
      <c r="G101" s="48" t="str">
        <f t="shared" ca="1" si="150"/>
        <v>SP</v>
      </c>
      <c r="H101" s="48" t="str">
        <f ca="1">IFERROR(IF($A$1=2,INDEX($DH$3:$DO$400,MATCH(ROWS(H$3:H101),$DN$3:$DN$400,0),COLUMN()),IF($A$1=1,INDEX($DQ$3:$DX$400,MATCH(ROWS(H$3:H101),$DW$3:$DW$400,0),COLUMN()),"")),"")</f>
        <v>pac4</v>
      </c>
      <c r="I101" s="48" t="str">
        <f t="shared" ca="1" si="151"/>
        <v/>
      </c>
      <c r="J101" s="48" t="str">
        <f t="shared" ca="1" si="152"/>
        <v/>
      </c>
      <c r="K101" s="48">
        <f t="shared" ca="1" si="153"/>
        <v>0</v>
      </c>
      <c r="L101" s="48">
        <f t="shared" ca="1" si="154"/>
        <v>0</v>
      </c>
      <c r="M101" s="48">
        <f ca="1">IFERROR(IF(IF(MID($A101,3,3)=".00",MID(A101,1,2),"")&lt;&gt;"",MAX($M$2:M100)+1,0),"")</f>
        <v>0</v>
      </c>
      <c r="N101" s="48" t="str">
        <f t="shared" ca="1" si="155"/>
        <v/>
      </c>
      <c r="O101" s="48" t="str">
        <f ca="1">IF(IFERROR(INDEX($N$3:$O$300,MATCH(ROWS($O$3:O101),$M$3:$M$300,0),1),"")&lt;&gt;"",CONCATENATE(INDEX($N$3:$O$300,MATCH(ROWS($O$3:O101),$M$3:$M$300,0),1),".00"),"")</f>
        <v/>
      </c>
      <c r="P101" s="48" t="str">
        <f t="shared" ca="1" si="156"/>
        <v/>
      </c>
      <c r="Q101" s="48">
        <f ca="1">IF(M101&gt;=1,0,MAX($Q$2:Q100)+1)</f>
        <v>90</v>
      </c>
      <c r="U101" s="48" t="str">
        <f ca="1">IFERROR(INDEX(PDC,MATCH(ROWS(U$3:U101),$V$3:$V$400,0),2),"")</f>
        <v>RISERVA CONGUAGLIO UTILI</v>
      </c>
      <c r="V101" s="48">
        <f ca="1">IF(AND($T$1="VISUALIZZA TUTTI I CONTI",AA101&lt;&gt;""),MAX($V$2:V100)+1,IF(AND($U$2=2,AI101=$T$1),MAX($V$2:V100)+1,IF(AND($U$2=1,$T$1=AF101),MAX($V$2:V100)+1,0)))</f>
        <v>99</v>
      </c>
      <c r="Z101" s="246"/>
      <c r="AA101" s="48" t="str">
        <f t="shared" ca="1" si="157"/>
        <v>10.00</v>
      </c>
      <c r="AB101" s="48" t="str">
        <f ca="1">IFERROR(INDEX($A$3:$G$400,MATCH(ROWS(AB$3:AB101),$Q$3:$Q$400,0),1),"")</f>
        <v>10.07</v>
      </c>
      <c r="AC101" s="48" t="str">
        <f ca="1">IFERROR(INDEX($A$3:$G$400,MATCH(ROWS($AC$3:AC101),$Q$3:$Q$400,0),2),"")</f>
        <v>RISERVA CONGUAGLIO UTILI</v>
      </c>
      <c r="AD101" s="48" t="str">
        <f ca="1">IFERROR(INDEX($A$3:$G$400,MATCH(ROWS(AD$3:AD101),$Q$3:$Q$400,0),3),"")</f>
        <v>E</v>
      </c>
      <c r="AE101" s="48" t="str">
        <f ca="1">IFERROR(INDEX($A$3:$G$400,MATCH(ROWS(AE$3:AE101),$Q$3:$Q$400,0),4),"")</f>
        <v>A</v>
      </c>
      <c r="AF101" s="48" t="str">
        <f ca="1">IFERROR(INDEX($A$3:$G$400,MATCH(ROWS(AF$3:AF101),$Q$3:$Q$400,0),5),"")</f>
        <v>PATRIMONIO NETTO</v>
      </c>
      <c r="AG101" s="48" t="str">
        <f ca="1">IFERROR(INDEX($A$3:$G$400,MATCH(ROWS(AG$3:AG101),$Q$3:$Q$400,0),6),"")</f>
        <v>SP AVERE</v>
      </c>
      <c r="AH101" s="48" t="str">
        <f ca="1">IFERROR(INDEX($A$3:$G$400,MATCH(ROWS(AH$3:AH101),$Q$3:$Q$400,0),7),"")</f>
        <v>SP</v>
      </c>
      <c r="AI101" s="48" t="str">
        <f t="shared" ca="1" si="158"/>
        <v>PATRIMONIO NETTO</v>
      </c>
      <c r="AJ101" s="48" t="str">
        <f ca="1">IFERROR(INDEX($A$3:$H$400,MATCH(ROWS(AJ$3:AJ101),$Q$3:$Q$400,0),8),"")</f>
        <v>ppa62</v>
      </c>
      <c r="AK101" s="48">
        <f t="shared" ca="1" si="130"/>
        <v>0</v>
      </c>
      <c r="AL101" s="48">
        <f t="shared" ca="1" si="131"/>
        <v>0</v>
      </c>
      <c r="AM101" s="48">
        <f t="shared" ca="1" si="159"/>
        <v>0</v>
      </c>
      <c r="AN101" s="48" t="str">
        <f t="shared" ca="1" si="160"/>
        <v/>
      </c>
      <c r="AO101" s="48">
        <f t="shared" ca="1" si="161"/>
        <v>0</v>
      </c>
      <c r="AP101" s="48">
        <f t="shared" ca="1" si="161"/>
        <v>0</v>
      </c>
      <c r="AQ101" s="48" t="str">
        <f t="shared" ca="1" si="132"/>
        <v>RISERVA CONGUAGLIO UTILI</v>
      </c>
      <c r="AR101" s="48">
        <f t="shared" ca="1" si="133"/>
        <v>0</v>
      </c>
      <c r="AS101" s="48">
        <f t="shared" ca="1" si="134"/>
        <v>0</v>
      </c>
      <c r="AT101" s="48">
        <f t="shared" ca="1" si="162"/>
        <v>0</v>
      </c>
      <c r="AU101" s="48">
        <f t="shared" ca="1" si="163"/>
        <v>0</v>
      </c>
      <c r="AV101" s="48">
        <f ca="1">IF(OR(AT101&gt;0,AU101&gt;0),MAX($AV$2:AV100)+1,0)</f>
        <v>0</v>
      </c>
      <c r="AZ101" s="241" t="str">
        <f t="shared" ref="AZ101:AZ165" si="240">CONCATENATE(ROW()-100," V.I.")</f>
        <v>1 V.I.</v>
      </c>
      <c r="BA101" s="48">
        <f t="shared" ref="BA101:BA132" ca="1" si="241">IF(AND(AL3&gt;=INIZIO_AC,AL3&gt;=INIZIO_A_PC,AL3&lt;=FINE_AC),AL3,0)</f>
        <v>0</v>
      </c>
      <c r="BB101" s="48">
        <f ca="1">IF($BA101=0,0,AM3)</f>
        <v>0</v>
      </c>
      <c r="BC101" s="48" t="str">
        <f ca="1">AN3</f>
        <v/>
      </c>
      <c r="BD101" s="48">
        <f ca="1">IF($BA101=0,0,AO3)</f>
        <v>0</v>
      </c>
      <c r="BE101" s="48">
        <f ca="1">IF($BA101=0,0,AP3)</f>
        <v>0</v>
      </c>
      <c r="BG101" s="48">
        <f ca="1">IF(IF(AND(OR(INDEX(PDC,MATCH($AC101,DEN_PDC,0),6)="SP DARE",INDEX(PDC,MATCH($AC101,DEN_PDC,0),6)="SP DARE/AVERE"),SUMIFS(DARE,DEN_G,$AC101)&gt;=SUMIFS(AVERE,DEN_G,$AC101)),SUMIFS(DARE,DEN_G,$AC101)-SUMIFS(AVERE,DEN_G,$AC101),0)&gt;0,MAX($BG$2:BG100)+1,0)</f>
        <v>0</v>
      </c>
      <c r="BH101" s="48">
        <f ca="1">IF(IF(AND(OR(INDEX(PDC,MATCH($AC101,DEN_PDC,0),6)="SP AVERE",INDEX(PDC,MATCH($AC101,DEN_PDC,0),6)="SP DARE/AVERE"),SUMIFS(AVERE,DEN_G,$AC101)&gt;=SUMIFS(DARE,DEN_G,$AC101)),SUMIFS(AVERE,DEN_G,$AC101)-SUMIFS(DARE,DEN_G,$AC101),0)&gt;0,MAX(BH$2:BH100)+1,0)</f>
        <v>0</v>
      </c>
      <c r="BI101" s="48">
        <f ca="1">IF(IF(AND(OR(INDEX(PDC,MATCH($AC101,DEN_PDC,0),6)="SE DARE",INDEX(PDC,MATCH($AC101,DEN_PDC,0),6)="SE DARE/AVERE"),SUMIFS(DARE,DEN_G,$AC101)&gt;=SUMIFS(AVERE,DEN_G,$AC101)),SUMIFS(DARE,DEN_G,$AC101)-SUMIFS(AVERE,DEN_G,$AC101),0)&gt;0,MAX(BI$2:BI100)+1,0)</f>
        <v>0</v>
      </c>
      <c r="BJ101" s="48">
        <f ca="1">IF(IF(AND(OR(INDEX(PDC,MATCH($AC101,DEN_PDC,0),6)="SE AVERE",INDEX(PDC,MATCH($AC101,DEN_PDC,0),6)="SE DARE/AVERE"),SUMIFS(AVERE,DEN_G,$AC101)&gt;=SUMIFS(DARE,DEN_G,$AC101)),SUMIFS(AVERE,DEN_G,$AC101)-SUMIFS(DARE,DEN_G,$AC101),0)&gt;0,MAX(BJ$2:BJ100)+1,0)</f>
        <v>0</v>
      </c>
      <c r="BK101" s="48" t="str">
        <f ca="1">IF(AND(AND($DY$2=0,$DY$1=0),$I$1=2,ROW()&gt;$BG$1+2,ROW()&lt;=$BG$1+4),"………………..",IF(AND(OR($DY$2&gt;0,$DY$1&gt;0),$I$1=2,ROW()&gt;$BG$1+2,ROW()&lt;=$BG$1+4),"………………..",IFERROR(INDEX($AC$3:$AC$398,MATCH(ROWS(BK$3:BK101),BG$3:BG$398,0),1),"")))</f>
        <v/>
      </c>
      <c r="BL101" s="48">
        <f t="shared" ca="1" si="136"/>
        <v>0</v>
      </c>
      <c r="BM101" s="48" t="str">
        <f ca="1">IF(AND(OR($DY$2=0,$DY$1=0),$I$1=2,ROW()&gt;$BH$1+2,ROW()&lt;=$BH$1+4),"………………..",IF(AND(OR($DY$2&gt;0,$DY$1&gt;0),$I$1=2,ROW()&gt;$BH$1+2,ROW()&lt;=$BH$1+4),"………………..",IFERROR(INDEX($AC$3:$AC$400,MATCH(ROWS(BM$3:BM101),BH$3:BH$400,0),1),"")))</f>
        <v/>
      </c>
      <c r="BN101" s="48">
        <f t="shared" ca="1" si="137"/>
        <v>0</v>
      </c>
      <c r="BO101" s="48" t="str">
        <f ca="1">IF(AND(OR($DY$2=0,$DY$1=0),$I$1=2,ROW()&gt;$BI$1+2,ROW()&lt;=$BI$1+4),"………………..",IF(AND(OR($DY$2&gt;0,$DY$1&gt;0),$I$1=2,ROW()&gt;$BI$1+2,ROW()&lt;=$BI$1+4),"………………..",IFERROR(INDEX($AC$3:$AC$400,MATCH(ROWS(BO$3:BO101),BI$3:BI$400,0),1),"")))</f>
        <v/>
      </c>
      <c r="BP101" s="48">
        <f t="shared" ca="1" si="138"/>
        <v>0</v>
      </c>
      <c r="BQ101" s="48" t="str">
        <f ca="1">IF(AND(OR($DY$2=0,$DY$1=0),$I$1=2,ROW()&gt;$BJ$1+2,ROW()&lt;=$BJ$1+4),"………………..",IF(AND(OR($DY$2&gt;0,$DY$1&gt;0),$I$1=2,ROW()&gt;$BJ$1+2,ROW()&lt;=$BJ$1+4),"………………..",IFERROR(INDEX($AC$3:$AC$400,MATCH(ROWS(BQ$3:BQ101),BJ$3:BJ$400,0),1),"")))</f>
        <v/>
      </c>
      <c r="BR101" s="48">
        <f t="shared" ca="1" si="139"/>
        <v>0</v>
      </c>
      <c r="BS101" s="48">
        <f ca="1">IF(IF(AND(OR(INDEX(PDC,MATCH($AC101,DEN_PDC,0),4)="D",INDEX(PDC,MATCH($AC101,DEN_PDC,0),4)="D/A"),SUMIFS(DARE,DEN_G,$AC101)&gt;=SUMIFS(AVERE,DEN_G,$AC101)),SUMIFS(DARE,DEN_G,$AC101),IF(AND(OR(INDEX(PDC,MATCH($AC101,DEN_PDC,0),4)="A",INDEX(PDC,MATCH($AC101,DEN_PDC,0),4)="D/A"),SUMIFS(AVERE,DEN_G,$AC101)&gt;=SUMIFS(DARE,DEN_G,$AC101)),SUMIFS(AVERE,DEN_G,$AC101),))&gt;0,MAX($BS$2:BS100)+1,0)</f>
        <v>0</v>
      </c>
      <c r="BT101" s="48" t="str">
        <f ca="1">IF($CO$1=0,"",IF(AND($I$1=2,ROW()&gt;$BR$1,ROW()&lt;=$BS$1)," …………….",IF(AND($E$1=1,$BX$1=1,$I$1=2,ROW()=$BQ$1),"TOTALI",IFERROR(INDEX(PDC,MATCH(ROWS(BT$3:BT101),BS$3:BS498,0),2),""))))</f>
        <v/>
      </c>
      <c r="BU101" s="48">
        <f t="shared" ca="1" si="140"/>
        <v>0</v>
      </c>
      <c r="BV101" s="48">
        <f t="shared" ca="1" si="141"/>
        <v>0</v>
      </c>
      <c r="BW101" s="48">
        <f t="shared" ca="1" si="142"/>
        <v>0</v>
      </c>
      <c r="BX101" s="48">
        <f t="shared" ca="1" si="143"/>
        <v>0</v>
      </c>
      <c r="BY101" s="48">
        <f ca="1">IF(OR(BW101&gt;0,BX101&gt;0),MAX($BY$2:BY100)+1,0)</f>
        <v>0</v>
      </c>
      <c r="BZ101" s="48" t="str">
        <f ca="1">IFERROR(INDEX($BT$3:$BY$400,MATCH(ROWS(BZ$3:BZ101),$BY$3:$BY$400,0),1),"")</f>
        <v/>
      </c>
      <c r="CA101" s="48" t="str">
        <f ca="1">IFERROR(INDEX($BT$3:$BY$400,MATCH(ROWS(CA$3:CA101),$BY$3:$BY$400,0),4),"")</f>
        <v/>
      </c>
      <c r="CB101" s="48" t="str">
        <f ca="1">IFERROR(INDEX($BT$3:$BY$400,MATCH(ROWS(CB$3:CB101),$BY$3:$BY$400,0),5),"")</f>
        <v/>
      </c>
      <c r="CC101" s="48" t="str">
        <f t="shared" ca="1" si="144"/>
        <v/>
      </c>
      <c r="CD101" s="48">
        <f ca="1">IF(AND(OR($BF$9=2,$BF$9=3),$CF$1=TRUE,CE101&lt;&gt;0),MAX($CD$87:CD100)+1,0)</f>
        <v>0</v>
      </c>
      <c r="CE101" s="48">
        <f ca="1">IF($I$1=1,SUM(CE96,CE97,CE99,CE100),IF(AND($I$1=2,SUM(CE96,CE97,CE99,CE100)&gt;0),"_ _ _",0))</f>
        <v>0</v>
      </c>
      <c r="CG101" s="48" t="str">
        <f>CG84</f>
        <v>_____Totale attivo circolante</v>
      </c>
      <c r="CH101" s="242">
        <f t="shared" ca="1" si="112"/>
        <v>0</v>
      </c>
      <c r="CJ101" s="242"/>
      <c r="CM101" s="242" t="str">
        <f t="shared" ca="1" si="166"/>
        <v/>
      </c>
      <c r="CN101" s="243">
        <f t="shared" ca="1" si="167"/>
        <v>0</v>
      </c>
      <c r="CO101" s="48" t="str">
        <f t="shared" ca="1" si="168"/>
        <v/>
      </c>
      <c r="CQ101" s="242">
        <f t="shared" ref="CQ101:CQ105" ca="1" si="242">CR78</f>
        <v>2027</v>
      </c>
      <c r="CR101" s="242">
        <f t="shared" ref="CR101:CR105" ca="1" si="243">ABS(CS87-CT87)</f>
        <v>0</v>
      </c>
      <c r="CS101" s="48">
        <f t="shared" ref="CS101:CS105" ca="1" si="244">ABS(CS94-CT94)</f>
        <v>0</v>
      </c>
      <c r="CT101" s="48">
        <f t="shared" ref="CT101:CT105" ca="1" si="245">IF(OR(CR101&gt;0,CS101&gt;0),1,0)</f>
        <v>0</v>
      </c>
      <c r="CU101" s="48">
        <f ca="1">IF(SUMIFS(AVERE,DEN_G,AC101,AVERE,"&gt;"&amp;0)+SUMIFS(DARE,DEN_G,AC101,DARE,"&gt;"&amp;0)&gt;0,MAX($CU$2:CU100)+1,0)</f>
        <v>0</v>
      </c>
      <c r="CV101" s="48" t="str">
        <f ca="1">IF(IFERROR(INDEX(PDC,MATCH(ROWS($CV$3:CV101),$CU$3:$CU$400,0),2),"")="CONTO DI RISULTATO ECONOMICO","",IFERROR(INDEX(PDC,MATCH(ROWS($CV$3:CV101),$CU$3:$CU$400,0),2),""))</f>
        <v/>
      </c>
      <c r="CW101" s="48">
        <f ca="1">IFERROR(IF(CV101&lt;&gt;"",MAX($CW$2:CW100)+1,0),0)</f>
        <v>0</v>
      </c>
      <c r="CX101" s="48">
        <f t="shared" ca="1" si="229"/>
        <v>8</v>
      </c>
      <c r="CY101" s="48" t="str">
        <f t="shared" ca="1" si="228"/>
        <v>MASTRO</v>
      </c>
      <c r="CZ101" s="48" t="e">
        <f t="shared" ca="1" si="231"/>
        <v>#N/A</v>
      </c>
      <c r="DA101" s="48" t="str">
        <f t="shared" ca="1" si="235"/>
        <v/>
      </c>
      <c r="DB101" s="48" t="str">
        <f t="shared" ca="1" si="212"/>
        <v/>
      </c>
      <c r="DC101" s="48" t="str">
        <f t="shared" ca="1" si="232"/>
        <v/>
      </c>
      <c r="DD101" s="48" t="str">
        <f t="shared" ca="1" si="233"/>
        <v/>
      </c>
      <c r="DE101" s="48" t="str">
        <f t="shared" ca="1" si="234"/>
        <v/>
      </c>
      <c r="DF101" s="48">
        <f ca="1">IF(AND(CX101=$DF$1,CX101&lt;&gt;""),0,IF(AND(DB101&lt;&gt;"",OR(DB100&lt;&gt;"",DB102&lt;&gt;"")),MAX($DF$2:DF100)+1,0))</f>
        <v>0</v>
      </c>
      <c r="DH101" s="244" t="s">
        <v>1087</v>
      </c>
      <c r="DI101" s="48" t="s">
        <v>73</v>
      </c>
      <c r="DJ101" s="48" t="s">
        <v>312</v>
      </c>
      <c r="DK101" s="48" t="s">
        <v>275</v>
      </c>
      <c r="DL101" s="48" t="s">
        <v>6</v>
      </c>
      <c r="DM101" s="48" t="s">
        <v>270</v>
      </c>
      <c r="DN101" s="48">
        <f ca="1">IF(DI101&lt;&gt;"",MAX($DN$2:DN100)+1,0)</f>
        <v>83</v>
      </c>
      <c r="DO101" s="48" t="str">
        <f t="shared" ref="DO101" ca="1" si="246">IF($BF$9=1,"pac25q","pac2")</f>
        <v>pac2</v>
      </c>
      <c r="DQ101" s="227" t="s">
        <v>369</v>
      </c>
      <c r="DR101" s="48" t="s">
        <v>281</v>
      </c>
      <c r="DS101" s="48" t="s">
        <v>312</v>
      </c>
      <c r="DT101" s="48" t="s">
        <v>275</v>
      </c>
      <c r="DU101" s="48" t="s">
        <v>6</v>
      </c>
      <c r="DV101" s="48" t="s">
        <v>270</v>
      </c>
      <c r="DW101" s="48">
        <f ca="1">IF(DR101&lt;&gt;"",MAX($DW$2:DW100)+1,0)</f>
        <v>57</v>
      </c>
      <c r="DX101" s="48" t="str">
        <f t="shared" ca="1" si="239"/>
        <v>pac2</v>
      </c>
      <c r="DY101" s="48" t="str">
        <f t="shared" ca="1" si="147"/>
        <v/>
      </c>
      <c r="DZ101" s="48" t="str">
        <f t="shared" ca="1" si="170"/>
        <v/>
      </c>
      <c r="EA101" s="48" t="str">
        <f t="shared" ca="1" si="171"/>
        <v/>
      </c>
      <c r="EB101" s="48">
        <f t="shared" ca="1" si="172"/>
        <v>0</v>
      </c>
      <c r="EC101" s="48">
        <f t="shared" ca="1" si="173"/>
        <v>0</v>
      </c>
      <c r="ED101" s="48" t="str">
        <f t="shared" ca="1" si="174"/>
        <v/>
      </c>
      <c r="EE101" s="48">
        <f t="shared" ca="1" si="175"/>
        <v>0</v>
      </c>
      <c r="EF101" s="48" t="str">
        <f t="shared" ca="1" si="176"/>
        <v/>
      </c>
      <c r="EG101" s="48">
        <f t="shared" ca="1" si="177"/>
        <v>0</v>
      </c>
      <c r="EH101" s="48" t="str">
        <f t="shared" ca="1" si="178"/>
        <v/>
      </c>
      <c r="EI101" s="48">
        <f t="shared" ca="1" si="179"/>
        <v>0</v>
      </c>
      <c r="EJ101" s="48" t="str">
        <f t="shared" ca="1" si="180"/>
        <v/>
      </c>
      <c r="EK101" s="48">
        <f t="shared" ca="1" si="181"/>
        <v>0</v>
      </c>
      <c r="EL101" s="48">
        <f t="shared" ca="1" si="148"/>
        <v>0</v>
      </c>
      <c r="EM101" s="48">
        <f ca="1">IF(EL101&gt;=0,0,MAX($EM$2:EM100)+1)</f>
        <v>0</v>
      </c>
      <c r="EN101" s="48" t="str">
        <f t="shared" ca="1" si="182"/>
        <v/>
      </c>
      <c r="EO101" s="48" t="str">
        <f ca="1">IFERROR(INDEX($EM$3:$EN$400,MATCH(ROWS($EO$3:EO101),$EM$3:$EM$400,0),2),"")</f>
        <v/>
      </c>
      <c r="EP101" s="48">
        <f>ROW()</f>
        <v>101</v>
      </c>
      <c r="EQ101" s="48">
        <f t="shared" ca="1" si="149"/>
        <v>0</v>
      </c>
      <c r="ER101" s="48">
        <f ca="1">IF(ISNA(EQ101)=TRUE,MAX($ER$2:ER100)+1,0)</f>
        <v>0</v>
      </c>
      <c r="ES101" s="48" t="str">
        <f t="shared" ca="1" si="183"/>
        <v/>
      </c>
      <c r="ET101" s="48" t="str">
        <f ca="1">IFERROR(INDEX($ER$3:$ES$400,MATCH(ROWS($ET$3:ET101),$ER$3:$ER$400,0),2),"")</f>
        <v/>
      </c>
      <c r="EV101" s="48">
        <f ca="1">IFERROR(INDEX(LIBRO_GIORNALE!$O$11:$P$408,MATCH(ROWS($EV$2:EV100),LIBRO_GIORNALE!$P$11:$P$408,0),1),0)</f>
        <v>0</v>
      </c>
      <c r="EW101" s="48" t="str">
        <f t="shared" ca="1" si="184"/>
        <v>0</v>
      </c>
      <c r="EX101" s="48">
        <f t="shared" ca="1" si="185"/>
        <v>0</v>
      </c>
      <c r="EY101" s="48">
        <f ca="1">IF(EX101&gt;0,MAX($EY$2:EY100)+1,0)</f>
        <v>0</v>
      </c>
      <c r="EZ101" s="48">
        <f ca="1">IFERROR(INDEX($EX$3:$EX$400,MATCH(ROWS($EZ$3:EZ101),$EY$3:$EY$400,0),1),0)</f>
        <v>0</v>
      </c>
      <c r="FA101" s="48">
        <f ca="1">IF(EZ101&gt;0,0,MAX($FA$2:FA100)+1)</f>
        <v>99</v>
      </c>
      <c r="FB101" s="48">
        <f t="shared" ca="1" si="186"/>
        <v>0</v>
      </c>
      <c r="FC101" s="48">
        <f t="shared" ca="1" si="187"/>
        <v>99</v>
      </c>
      <c r="FD101" s="48">
        <f t="shared" ca="1" si="188"/>
        <v>99</v>
      </c>
      <c r="FE101" s="48">
        <f ca="1">IF(FD101=0,0,MAX($FE$2:FE100)+1)</f>
        <v>99</v>
      </c>
      <c r="FF101" s="48">
        <f ca="1">IFERROR(INDEX($FD$3:$FE$400,MATCH(ROWS($FF$3:FF101),$FE$3:$FE$400,0),1),"")</f>
        <v>99</v>
      </c>
      <c r="FH101" s="48">
        <f t="shared" ca="1" si="189"/>
        <v>0</v>
      </c>
      <c r="FI101" s="48">
        <f ca="1">IF(FH101&lt;&gt;0,MAX($FI$2:FI100)+1,0)</f>
        <v>0</v>
      </c>
      <c r="FJ101" s="48" t="str">
        <f ca="1">IFERROR(INDEX($FH$3:$FI$400,MATCH(ROWS($FJ$3:FJ101),$FI$3:$FI$400,0),1),"")</f>
        <v/>
      </c>
      <c r="FK101" s="48">
        <f ca="1">IF(ABS(SUMIFS(DARE,DEN_G,"="&amp;FJ101,DATA,"&lt;="&amp;FINE_AC,DATA,"&gt;="&amp;INIZIO_A_PC)-SUMIFS(AVERE,DEN_G,"="&amp;FJ101,DATA,"&lt;="&amp;FINE_AC,DATA,"&gt;="&amp;INIZIO_A_PC))&gt;0,MAX($FK$2:FK100)+1,0)</f>
        <v>0</v>
      </c>
      <c r="FL101" s="48" t="str">
        <f ca="1">IF(AND(ROW()-2&lt;&gt;1,ROW()-2&lt;=$FK$1),CONCATENATE(" - ",IFERROR(INDEX($FJ$3:$FK$400,MATCH(ROWS($FL$3:FL101),$FK$3:$FK$400,0),1),"")),IFERROR(INDEX($FJ$3:$FK$400,MATCH(ROWS($FL$3:FL101),$FK$3:$FK$400,0),1),""))</f>
        <v/>
      </c>
      <c r="FM101" s="48">
        <f ca="1">IF(OR(B101="IVA ns/credito",B101="IVA NS/DEBITO",B101="IVA C/ACCONTO",B101="IMPOSTE C/ACCONTO",B101="CREDITI PER RITENUTE SUBITE",B101="CREDITI D'IMPOSTA"),MAX($FM$2:FM100)+1,0)</f>
        <v>0</v>
      </c>
      <c r="FN101" s="48" t="str">
        <f t="shared" ca="1" si="190"/>
        <v/>
      </c>
      <c r="FO101" s="48" t="str">
        <f ca="1">IFERROR(INDEX($FM$3:$FN$400,MATCH(ROWS($FO$3:FO101),$FM$3:$FM$400,0),2),"")</f>
        <v/>
      </c>
      <c r="FP101" s="48">
        <f ca="1">IF(ABS(SUMIFS(DARE,DEN_G,"="&amp;FO101,DATA,"&lt;="&amp;FINE_AC,DATA,"&gt;="&amp;INIZIO_A_PC)-SUMIFS(AVERE,DEN_G,"="&amp;FO101,DATA,"&lt;="&amp;FINE_AC,DATA,"&gt;="&amp;INIZIO_A_PC))&gt;0,MAX($FP$2:FP100)+1,0)</f>
        <v>0</v>
      </c>
      <c r="FQ101" s="48" t="str">
        <f ca="1">IF(AND(ROW()-2&lt;&gt;1,ROW()-2&lt;=$FP$1),CONCATENATE(" - ",IFERROR(INDEX($FO$3:$FP$400,MATCH(ROWS($FQ$3:FQ101),$FP$3:$FP$400,0),1),"")),IFERROR(INDEX($FO$3:$FP$400,MATCH(ROWS($FQ$3:FQ101),$FP$3:$FP$400,0),1),""))</f>
        <v/>
      </c>
    </row>
    <row r="102" spans="1:173" x14ac:dyDescent="0.3">
      <c r="A102" s="48" t="str">
        <f ca="1">IFERROR(IF($A$1=2,INDEX($DH$3:$DN$401,MATCH(ROWS(A$3:A102),$DN$3:$DN$401,0),COLUMN()),IF($A$1=1,INDEX($DQ$3:$DW$401,MATCH(ROWS(A$3:A102),$DW$3:$DW$401,0),COLUMN()),"")),"")</f>
        <v>09.00</v>
      </c>
      <c r="B102" s="48" t="str">
        <f ca="1">IFERROR(IF($A$1=2,INDEX($DH$3:$DN$401,MATCH(ROWS(B$3:B102),$DN$3:$DN$401,0),COLUMN()),IF($A$1=1,INDEX($DQ$3:$DW$400,MATCH(ROWS(B$3:B102),$DW$3:$DW$401,0),COLUMN()),"")),"")</f>
        <v>RATEI E RISCONTI ATTIVI</v>
      </c>
      <c r="C102" s="48">
        <f ca="1">IFERROR(IF($A$1=2,INDEX($DH$3:$DN$401,MATCH(ROWS(C$3:C102),$DN$3:$DN$401,0),COLUMN()),IF($A$1=1,INDEX($DQ$3:$DW$401,MATCH(ROWS(C$3:C102),$DW$3:$DW$401,0),COLUMN()),"")),"")</f>
        <v>0</v>
      </c>
      <c r="D102" s="48">
        <f ca="1">IFERROR(IF($A$1=2,INDEX($DH$3:$DN$401,MATCH(ROWS(D$3:D102),$DN$3:$DN$401,0),COLUMN()),IF($A$1=1,INDEX($DQ$3:$DW$401,MATCH(ROWS(D$3:D102),$DW$3:$DW$401,0),COLUMN()),"")),"")</f>
        <v>0</v>
      </c>
      <c r="E102" s="48">
        <f ca="1">IFERROR(IF($A$1=2,INDEX($DH$3:$DN$401,MATCH(ROWS(E$3:E102),$DN$3:$DN$401,0),COLUMN()),IF($A$1=1,INDEX($DQ$3:$DW$401,MATCH(ROWS(E$3:E102),$DW$3:$DW$401,0),COLUMN()),"")),"")</f>
        <v>0</v>
      </c>
      <c r="F102" s="48">
        <f ca="1">IFERROR(IF($A$1=2,INDEX($DH$3:$DN$401,MATCH(ROWS(F$3:F102),$DN$3:$DN$401,0),COLUMN()),IF($A$1=1,INDEX($DQ$3:$DX$401,MATCH(ROWS(F$3:F102),$DW$3:$DW$401,0),COLUMN()),"")),"")</f>
        <v>0</v>
      </c>
      <c r="G102" s="48" t="str">
        <f t="shared" ca="1" si="150"/>
        <v>0</v>
      </c>
      <c r="H102" s="48">
        <f ca="1">IFERROR(IF($A$1=2,INDEX($DH$3:$DO$400,MATCH(ROWS(H$3:H102),$DN$3:$DN$400,0),COLUMN()),IF($A$1=1,INDEX($DQ$3:$DX$400,MATCH(ROWS(H$3:H102),$DW$3:$DW$400,0),COLUMN()),"")),"")</f>
        <v>0</v>
      </c>
      <c r="I102" s="48" t="str">
        <f t="shared" ca="1" si="151"/>
        <v/>
      </c>
      <c r="J102" s="48" t="str">
        <f t="shared" ca="1" si="152"/>
        <v/>
      </c>
      <c r="K102" s="48">
        <f t="shared" ca="1" si="153"/>
        <v>0</v>
      </c>
      <c r="L102" s="48">
        <f t="shared" ca="1" si="154"/>
        <v>0</v>
      </c>
      <c r="M102" s="48">
        <f ca="1">IFERROR(IF(IF(MID($A102,3,3)=".00",MID(A102,1,2),"")&lt;&gt;"",MAX($M$2:M101)+1,0),"")</f>
        <v>10</v>
      </c>
      <c r="N102" s="48" t="str">
        <f t="shared" ca="1" si="155"/>
        <v>09</v>
      </c>
      <c r="O102" s="48" t="str">
        <f ca="1">IF(IFERROR(INDEX($N$3:$O$300,MATCH(ROWS($O$3:O102),$M$3:$M$300,0),1),"")&lt;&gt;"",CONCATENATE(INDEX($N$3:$O$300,MATCH(ROWS($O$3:O102),$M$3:$M$300,0),1),".00"),"")</f>
        <v/>
      </c>
      <c r="P102" s="48" t="str">
        <f t="shared" ca="1" si="156"/>
        <v/>
      </c>
      <c r="Q102" s="48">
        <f ca="1">IF(M102&gt;=1,0,MAX($Q$2:Q101)+1)</f>
        <v>0</v>
      </c>
      <c r="U102" s="48" t="str">
        <f ca="1">IFERROR(INDEX(PDC,MATCH(ROWS(U$3:U102),$V$3:$V$400,0),2),"")</f>
        <v>FONDO RIMBORSO SPESE</v>
      </c>
      <c r="V102" s="48">
        <f ca="1">IF(AND($T$1="VISUALIZZA TUTTI I CONTI",AA102&lt;&gt;""),MAX($V$2:V101)+1,IF(AND($U$2=2,AI102=$T$1),MAX($V$2:V101)+1,IF(AND($U$2=1,$T$1=AF102),MAX($V$2:V101)+1,0)))</f>
        <v>100</v>
      </c>
      <c r="Z102" s="246"/>
      <c r="AA102" s="48" t="str">
        <f t="shared" ca="1" si="157"/>
        <v>10.00</v>
      </c>
      <c r="AB102" s="48" t="str">
        <f ca="1">IFERROR(INDEX($A$3:$G$400,MATCH(ROWS(AB$3:AB102),$Q$3:$Q$400,0),1),"")</f>
        <v>10.09</v>
      </c>
      <c r="AC102" s="48" t="str">
        <f ca="1">IFERROR(INDEX($A$3:$G$400,MATCH(ROWS($AC$3:AC102),$Q$3:$Q$400,0),2),"")</f>
        <v>FONDO RIMBORSO SPESE</v>
      </c>
      <c r="AD102" s="48" t="str">
        <f ca="1">IFERROR(INDEX($A$3:$G$400,MATCH(ROWS(AD$3:AD102),$Q$3:$Q$400,0),3),"")</f>
        <v>E</v>
      </c>
      <c r="AE102" s="48" t="str">
        <f ca="1">IFERROR(INDEX($A$3:$G$400,MATCH(ROWS(AE$3:AE102),$Q$3:$Q$400,0),4),"")</f>
        <v>A</v>
      </c>
      <c r="AF102" s="48" t="str">
        <f ca="1">IFERROR(INDEX($A$3:$G$400,MATCH(ROWS(AF$3:AF102),$Q$3:$Q$400,0),5),"")</f>
        <v>PATRIMONIO NETTO</v>
      </c>
      <c r="AG102" s="48" t="str">
        <f ca="1">IFERROR(INDEX($A$3:$G$400,MATCH(ROWS(AG$3:AG102),$Q$3:$Q$400,0),6),"")</f>
        <v>SP AVERE</v>
      </c>
      <c r="AH102" s="48" t="str">
        <f ca="1">IFERROR(INDEX($A$3:$G$400,MATCH(ROWS(AH$3:AH102),$Q$3:$Q$400,0),7),"")</f>
        <v>SP</v>
      </c>
      <c r="AI102" s="48" t="str">
        <f t="shared" ca="1" si="158"/>
        <v>PATRIMONIO NETTO</v>
      </c>
      <c r="AJ102" s="48" t="str">
        <f ca="1">IFERROR(INDEX($A$3:$H$400,MATCH(ROWS(AJ$3:AJ102),$Q$3:$Q$400,0),8),"")</f>
        <v>ppa63</v>
      </c>
      <c r="AK102" s="48">
        <f t="shared" ca="1" si="130"/>
        <v>0</v>
      </c>
      <c r="AL102" s="48">
        <f t="shared" ca="1" si="131"/>
        <v>0</v>
      </c>
      <c r="AM102" s="48">
        <f t="shared" ca="1" si="159"/>
        <v>0</v>
      </c>
      <c r="AN102" s="48" t="str">
        <f t="shared" ca="1" si="160"/>
        <v/>
      </c>
      <c r="AO102" s="48">
        <f t="shared" ca="1" si="161"/>
        <v>0</v>
      </c>
      <c r="AP102" s="48">
        <f t="shared" ca="1" si="161"/>
        <v>0</v>
      </c>
      <c r="AQ102" s="48" t="str">
        <f t="shared" ca="1" si="132"/>
        <v>FONDO RIMBORSO SPESE</v>
      </c>
      <c r="AR102" s="48">
        <f t="shared" ca="1" si="133"/>
        <v>0</v>
      </c>
      <c r="AS102" s="48">
        <f t="shared" ca="1" si="134"/>
        <v>0</v>
      </c>
      <c r="AT102" s="48">
        <f t="shared" ca="1" si="162"/>
        <v>0</v>
      </c>
      <c r="AU102" s="48">
        <f t="shared" ca="1" si="163"/>
        <v>0</v>
      </c>
      <c r="AV102" s="48">
        <f ca="1">IF(OR(AT102&gt;0,AU102&gt;0),MAX($AV$2:AV101)+1,0)</f>
        <v>0</v>
      </c>
      <c r="AZ102" s="241" t="str">
        <f t="shared" si="240"/>
        <v>2 V.I.</v>
      </c>
      <c r="BA102" s="48">
        <f t="shared" ca="1" si="241"/>
        <v>0</v>
      </c>
      <c r="BB102" s="48">
        <f t="shared" ref="BB102:BB165" ca="1" si="247">IF($BA102=0,0,AM4)</f>
        <v>0</v>
      </c>
      <c r="BC102" s="48" t="str">
        <f t="shared" ref="BC102:BC165" ca="1" si="248">AN4</f>
        <v/>
      </c>
      <c r="BD102" s="48">
        <f t="shared" ref="BD102:BD165" ca="1" si="249">IF($BA102=0,0,AO4)</f>
        <v>0</v>
      </c>
      <c r="BE102" s="48">
        <f t="shared" ref="BE102:BE165" ca="1" si="250">IF($BA102=0,0,AP4)</f>
        <v>0</v>
      </c>
      <c r="BF102" s="48" t="s">
        <v>782</v>
      </c>
      <c r="BG102" s="48">
        <f ca="1">IF(IF(AND(OR(INDEX(PDC,MATCH($AC102,DEN_PDC,0),6)="SP DARE",INDEX(PDC,MATCH($AC102,DEN_PDC,0),6)="SP DARE/AVERE"),SUMIFS(DARE,DEN_G,$AC102)&gt;=SUMIFS(AVERE,DEN_G,$AC102)),SUMIFS(DARE,DEN_G,$AC102)-SUMIFS(AVERE,DEN_G,$AC102),0)&gt;0,MAX($BG$2:BG101)+1,0)</f>
        <v>0</v>
      </c>
      <c r="BH102" s="48">
        <f ca="1">IF(IF(AND(OR(INDEX(PDC,MATCH($AC102,DEN_PDC,0),6)="SP AVERE",INDEX(PDC,MATCH($AC102,DEN_PDC,0),6)="SP DARE/AVERE"),SUMIFS(AVERE,DEN_G,$AC102)&gt;=SUMIFS(DARE,DEN_G,$AC102)),SUMIFS(AVERE,DEN_G,$AC102)-SUMIFS(DARE,DEN_G,$AC102),0)&gt;0,MAX(BH$2:BH101)+1,0)</f>
        <v>0</v>
      </c>
      <c r="BI102" s="48">
        <f ca="1">IF(IF(AND(OR(INDEX(PDC,MATCH($AC102,DEN_PDC,0),6)="SE DARE",INDEX(PDC,MATCH($AC102,DEN_PDC,0),6)="SE DARE/AVERE"),SUMIFS(DARE,DEN_G,$AC102)&gt;=SUMIFS(AVERE,DEN_G,$AC102)),SUMIFS(DARE,DEN_G,$AC102)-SUMIFS(AVERE,DEN_G,$AC102),0)&gt;0,MAX(BI$2:BI101)+1,0)</f>
        <v>0</v>
      </c>
      <c r="BJ102" s="48">
        <f ca="1">IF(IF(AND(OR(INDEX(PDC,MATCH($AC102,DEN_PDC,0),6)="SE AVERE",INDEX(PDC,MATCH($AC102,DEN_PDC,0),6)="SE DARE/AVERE"),SUMIFS(AVERE,DEN_G,$AC102)&gt;=SUMIFS(DARE,DEN_G,$AC102)),SUMIFS(AVERE,DEN_G,$AC102)-SUMIFS(DARE,DEN_G,$AC102),0)&gt;0,MAX(BJ$2:BJ101)+1,0)</f>
        <v>0</v>
      </c>
      <c r="BK102" s="48" t="str">
        <f ca="1">IF(AND(AND($DY$2=0,$DY$1=0),$I$1=2,ROW()&gt;$BG$1+2,ROW()&lt;=$BG$1+4),"………………..",IF(AND(OR($DY$2&gt;0,$DY$1&gt;0),$I$1=2,ROW()&gt;$BG$1+2,ROW()&lt;=$BG$1+4),"………………..",IFERROR(INDEX($AC$3:$AC$398,MATCH(ROWS(BK$3:BK102),BG$3:BG$398,0),1),"")))</f>
        <v/>
      </c>
      <c r="BL102" s="48">
        <f t="shared" ca="1" si="136"/>
        <v>0</v>
      </c>
      <c r="BM102" s="48" t="str">
        <f ca="1">IF(AND(OR($DY$2=0,$DY$1=0),$I$1=2,ROW()&gt;$BH$1+2,ROW()&lt;=$BH$1+4),"………………..",IF(AND(OR($DY$2&gt;0,$DY$1&gt;0),$I$1=2,ROW()&gt;$BH$1+2,ROW()&lt;=$BH$1+4),"………………..",IFERROR(INDEX($AC$3:$AC$400,MATCH(ROWS(BM$3:BM102),BH$3:BH$400,0),1),"")))</f>
        <v/>
      </c>
      <c r="BN102" s="48">
        <f t="shared" ca="1" si="137"/>
        <v>0</v>
      </c>
      <c r="BO102" s="48" t="str">
        <f ca="1">IF(AND(OR($DY$2=0,$DY$1=0),$I$1=2,ROW()&gt;$BI$1+2,ROW()&lt;=$BI$1+4),"………………..",IF(AND(OR($DY$2&gt;0,$DY$1&gt;0),$I$1=2,ROW()&gt;$BI$1+2,ROW()&lt;=$BI$1+4),"………………..",IFERROR(INDEX($AC$3:$AC$400,MATCH(ROWS(BO$3:BO102),BI$3:BI$400,0),1),"")))</f>
        <v/>
      </c>
      <c r="BP102" s="48">
        <f t="shared" ca="1" si="138"/>
        <v>0</v>
      </c>
      <c r="BQ102" s="48" t="str">
        <f ca="1">IF(AND(OR($DY$2=0,$DY$1=0),$I$1=2,ROW()&gt;$BJ$1+2,ROW()&lt;=$BJ$1+4),"………………..",IF(AND(OR($DY$2&gt;0,$DY$1&gt;0),$I$1=2,ROW()&gt;$BJ$1+2,ROW()&lt;=$BJ$1+4),"………………..",IFERROR(INDEX($AC$3:$AC$400,MATCH(ROWS(BQ$3:BQ102),BJ$3:BJ$400,0),1),"")))</f>
        <v/>
      </c>
      <c r="BR102" s="48">
        <f t="shared" ca="1" si="139"/>
        <v>0</v>
      </c>
      <c r="BS102" s="48">
        <f ca="1">IF(IF(AND(OR(INDEX(PDC,MATCH($AC102,DEN_PDC,0),4)="D",INDEX(PDC,MATCH($AC102,DEN_PDC,0),4)="D/A"),SUMIFS(DARE,DEN_G,$AC102)&gt;=SUMIFS(AVERE,DEN_G,$AC102)),SUMIFS(DARE,DEN_G,$AC102),IF(AND(OR(INDEX(PDC,MATCH($AC102,DEN_PDC,0),4)="A",INDEX(PDC,MATCH($AC102,DEN_PDC,0),4)="D/A"),SUMIFS(AVERE,DEN_G,$AC102)&gt;=SUMIFS(DARE,DEN_G,$AC102)),SUMIFS(AVERE,DEN_G,$AC102),))&gt;0,MAX($BS$2:BS101)+1,0)</f>
        <v>0</v>
      </c>
      <c r="BT102" s="48" t="str">
        <f ca="1">IF($CO$1=0,"",IF(AND($I$1=2,ROW()&gt;$BR$1,ROW()&lt;=$BS$1)," …………….",IF(AND($E$1=1,$BX$1=1,$I$1=2,ROW()=$BQ$1),"TOTALI",IFERROR(INDEX(PDC,MATCH(ROWS(BT$3:BT102),BS$3:BS499,0),2),""))))</f>
        <v/>
      </c>
      <c r="BU102" s="48">
        <f t="shared" ca="1" si="140"/>
        <v>0</v>
      </c>
      <c r="BV102" s="48">
        <f t="shared" ca="1" si="141"/>
        <v>0</v>
      </c>
      <c r="BW102" s="48">
        <f t="shared" ca="1" si="142"/>
        <v>0</v>
      </c>
      <c r="BX102" s="48">
        <f t="shared" ca="1" si="143"/>
        <v>0</v>
      </c>
      <c r="BY102" s="48">
        <f ca="1">IF(OR(BW102&gt;0,BX102&gt;0),MAX($BY$2:BY101)+1,0)</f>
        <v>0</v>
      </c>
      <c r="BZ102" s="48" t="str">
        <f ca="1">IFERROR(INDEX($BT$3:$BY$400,MATCH(ROWS(BZ$3:BZ102),$BY$3:$BY$400,0),1),"")</f>
        <v/>
      </c>
      <c r="CA102" s="48" t="str">
        <f ca="1">IFERROR(INDEX($BT$3:$BY$400,MATCH(ROWS(CA$3:CA102),$BY$3:$BY$400,0),4),"")</f>
        <v/>
      </c>
      <c r="CB102" s="48" t="str">
        <f ca="1">IFERROR(INDEX($BT$3:$BY$400,MATCH(ROWS(CB$3:CB102),$BY$3:$BY$400,0),5),"")</f>
        <v/>
      </c>
      <c r="CC102" s="48" t="str">
        <f t="shared" ca="1" si="144"/>
        <v/>
      </c>
      <c r="CD102" s="48">
        <f ca="1">IF(AND($BF$9=2,CE102&lt;&gt;0),MAX($CD$87:CD101)+1,0)</f>
        <v>0</v>
      </c>
      <c r="CE102" s="48">
        <f ca="1">IF(ROUND(SUMIFS(COPIA!$CA$3:$CA$400,COPIA!$CC$3:$CC$400,CF102)-SUMIFS(COPIA!$CB$3:$CB$400,COPIA!$CC$3:$CC$400,CF102),0)&lt;0,0,ROUND(SUMIFS(COPIA!$CA$3:$CA$400,COPIA!$CC$3:$CC$400,CF102)-SUMIFS(COPIA!$CB$3:$CB$400,COPIA!$CC$3:$CC$400,CF102),0))</f>
        <v>0</v>
      </c>
      <c r="CF102" s="48" t="s">
        <v>647</v>
      </c>
      <c r="CG102" s="48" t="str">
        <f>CG85</f>
        <v>D) Ratei e risconti</v>
      </c>
      <c r="CH102" s="242">
        <f t="shared" ca="1" si="112"/>
        <v>0</v>
      </c>
      <c r="CJ102" s="242"/>
      <c r="CM102" s="242" t="str">
        <f t="shared" ca="1" si="166"/>
        <v/>
      </c>
      <c r="CN102" s="243">
        <f t="shared" ca="1" si="167"/>
        <v>0</v>
      </c>
      <c r="CO102" s="48" t="str">
        <f t="shared" ca="1" si="168"/>
        <v/>
      </c>
      <c r="CQ102" s="242">
        <f t="shared" ca="1" si="242"/>
        <v>2028</v>
      </c>
      <c r="CR102" s="242">
        <f t="shared" ca="1" si="243"/>
        <v>0</v>
      </c>
      <c r="CS102" s="48">
        <f t="shared" ca="1" si="244"/>
        <v>0</v>
      </c>
      <c r="CT102" s="48">
        <f t="shared" ca="1" si="245"/>
        <v>0</v>
      </c>
      <c r="CU102" s="48">
        <f ca="1">IF(SUMIFS(AVERE,DEN_G,AC102,AVERE,"&gt;"&amp;0)+SUMIFS(DARE,DEN_G,AC102,DARE,"&gt;"&amp;0)&gt;0,MAX($CU$2:CU101)+1,0)</f>
        <v>0</v>
      </c>
      <c r="CV102" s="48" t="str">
        <f ca="1">IF(IFERROR(INDEX(PDC,MATCH(ROWS($CV$3:CV102),$CU$3:$CU$400,0),2),"")="CONTO DI RISULTATO ECONOMICO","",IFERROR(INDEX(PDC,MATCH(ROWS($CV$3:CV102),$CU$3:$CU$400,0),2),""))</f>
        <v/>
      </c>
      <c r="CW102" s="48">
        <f ca="1">IFERROR(IF(CV102&lt;&gt;"",MAX($CW$2:CW101)+1,0),0)</f>
        <v>0</v>
      </c>
      <c r="CX102" s="48">
        <f t="shared" ca="1" si="229"/>
        <v>8</v>
      </c>
      <c r="CY102" s="48" t="str">
        <f t="shared" ca="1" si="228"/>
        <v>MASTRO</v>
      </c>
      <c r="CZ102" s="48" t="e">
        <f t="shared" ca="1" si="231"/>
        <v>#N/A</v>
      </c>
      <c r="DA102" s="48" t="str">
        <f t="shared" ca="1" si="235"/>
        <v/>
      </c>
      <c r="DB102" s="48" t="str">
        <f t="shared" ca="1" si="212"/>
        <v/>
      </c>
      <c r="DC102" s="48" t="str">
        <f t="shared" ca="1" si="232"/>
        <v/>
      </c>
      <c r="DD102" s="48" t="str">
        <f t="shared" ca="1" si="233"/>
        <v/>
      </c>
      <c r="DE102" s="48" t="str">
        <f t="shared" ca="1" si="234"/>
        <v/>
      </c>
      <c r="DF102" s="48">
        <f ca="1">IF(AND(CX102=$DF$1,CX102&lt;&gt;""),0,IF(AND(DB102&lt;&gt;"",OR(DB101&lt;&gt;"",DB103&lt;&gt;"")),MAX($DF$2:DF101)+1,0))</f>
        <v>0</v>
      </c>
      <c r="DH102" s="244" t="s">
        <v>925</v>
      </c>
      <c r="DI102" s="48" t="s">
        <v>373</v>
      </c>
      <c r="DJ102" s="48" t="s">
        <v>312</v>
      </c>
      <c r="DK102" s="48" t="s">
        <v>275</v>
      </c>
      <c r="DL102" s="48" t="s">
        <v>6</v>
      </c>
      <c r="DM102" s="48" t="s">
        <v>270</v>
      </c>
      <c r="DN102" s="48">
        <f ca="1">IF(DI102&lt;&gt;"",MAX($DN$2:DN101)+1,0)</f>
        <v>84</v>
      </c>
      <c r="DO102" s="48" t="str">
        <f ca="1">IF($BF$9=1,"pac22","pac2")</f>
        <v>pac2</v>
      </c>
      <c r="DQ102" s="227" t="s">
        <v>280</v>
      </c>
      <c r="DR102" s="48" t="s">
        <v>863</v>
      </c>
      <c r="DS102" s="48" t="s">
        <v>312</v>
      </c>
      <c r="DT102" s="48" t="s">
        <v>275</v>
      </c>
      <c r="DU102" s="48" t="s">
        <v>6</v>
      </c>
      <c r="DV102" s="48" t="s">
        <v>270</v>
      </c>
      <c r="DW102" s="48">
        <f ca="1">IF(DR102&lt;&gt;"",MAX($DW$2:DW101)+1,0)</f>
        <v>58</v>
      </c>
      <c r="DX102" s="48" t="str">
        <f t="shared" ca="1" si="239"/>
        <v>pac2</v>
      </c>
      <c r="DY102" s="48" t="str">
        <f t="shared" ca="1" si="147"/>
        <v/>
      </c>
      <c r="DZ102" s="48" t="str">
        <f t="shared" ca="1" si="170"/>
        <v/>
      </c>
      <c r="EA102" s="48" t="str">
        <f t="shared" ca="1" si="171"/>
        <v/>
      </c>
      <c r="EB102" s="48">
        <f t="shared" ca="1" si="172"/>
        <v>0</v>
      </c>
      <c r="EC102" s="48">
        <f t="shared" ca="1" si="173"/>
        <v>0</v>
      </c>
      <c r="ED102" s="48" t="str">
        <f t="shared" ca="1" si="174"/>
        <v/>
      </c>
      <c r="EE102" s="48">
        <f t="shared" ca="1" si="175"/>
        <v>0</v>
      </c>
      <c r="EF102" s="48" t="str">
        <f t="shared" ca="1" si="176"/>
        <v/>
      </c>
      <c r="EG102" s="48">
        <f t="shared" ca="1" si="177"/>
        <v>0</v>
      </c>
      <c r="EH102" s="48" t="str">
        <f t="shared" ca="1" si="178"/>
        <v/>
      </c>
      <c r="EI102" s="48">
        <f t="shared" ca="1" si="179"/>
        <v>0</v>
      </c>
      <c r="EJ102" s="48" t="str">
        <f t="shared" ca="1" si="180"/>
        <v/>
      </c>
      <c r="EK102" s="48">
        <f t="shared" ca="1" si="181"/>
        <v>0</v>
      </c>
      <c r="EL102" s="48">
        <f t="shared" ca="1" si="148"/>
        <v>0</v>
      </c>
      <c r="EM102" s="48">
        <f ca="1">IF(EL102&gt;=0,0,MAX($EM$2:EM101)+1)</f>
        <v>0</v>
      </c>
      <c r="EN102" s="48" t="str">
        <f t="shared" ca="1" si="182"/>
        <v/>
      </c>
      <c r="EO102" s="48" t="str">
        <f ca="1">IFERROR(INDEX($EM$3:$EN$400,MATCH(ROWS($EO$3:EO102),$EM$3:$EM$400,0),2),"")</f>
        <v/>
      </c>
      <c r="EP102" s="48">
        <f>ROW()</f>
        <v>102</v>
      </c>
      <c r="EQ102" s="48">
        <f t="shared" ca="1" si="149"/>
        <v>0</v>
      </c>
      <c r="ER102" s="48">
        <f ca="1">IF(ISNA(EQ102)=TRUE,MAX($ER$2:ER101)+1,0)</f>
        <v>0</v>
      </c>
      <c r="ES102" s="48" t="str">
        <f t="shared" ca="1" si="183"/>
        <v/>
      </c>
      <c r="ET102" s="48" t="str">
        <f ca="1">IFERROR(INDEX($ER$3:$ES$400,MATCH(ROWS($ET$3:ET102),$ER$3:$ER$400,0),2),"")</f>
        <v/>
      </c>
      <c r="EV102" s="48">
        <f ca="1">IFERROR(INDEX(LIBRO_GIORNALE!$O$11:$P$408,MATCH(ROWS($EV$2:EV101),LIBRO_GIORNALE!$P$11:$P$408,0),1),0)</f>
        <v>0</v>
      </c>
      <c r="EW102" s="48" t="str">
        <f t="shared" ca="1" si="184"/>
        <v>0</v>
      </c>
      <c r="EX102" s="48">
        <f t="shared" ca="1" si="185"/>
        <v>0</v>
      </c>
      <c r="EY102" s="48">
        <f ca="1">IF(EX102&gt;0,MAX($EY$2:EY101)+1,0)</f>
        <v>0</v>
      </c>
      <c r="EZ102" s="48">
        <f ca="1">IFERROR(INDEX($EX$3:$EX$400,MATCH(ROWS($EZ$3:EZ102),$EY$3:$EY$400,0),1),0)</f>
        <v>0</v>
      </c>
      <c r="FA102" s="48">
        <f ca="1">IF(EZ102&gt;0,0,MAX($FA$2:FA101)+1)</f>
        <v>100</v>
      </c>
      <c r="FB102" s="48">
        <f t="shared" ca="1" si="186"/>
        <v>0</v>
      </c>
      <c r="FC102" s="48">
        <f t="shared" ca="1" si="187"/>
        <v>100</v>
      </c>
      <c r="FD102" s="48">
        <f t="shared" ca="1" si="188"/>
        <v>100</v>
      </c>
      <c r="FE102" s="48">
        <f ca="1">IF(FD102=0,0,MAX($FE$2:FE101)+1)</f>
        <v>100</v>
      </c>
      <c r="FF102" s="48">
        <f ca="1">IFERROR(INDEX($FD$3:$FE$400,MATCH(ROWS($FF$3:FF102),$FE$3:$FE$400,0),1),"")</f>
        <v>100</v>
      </c>
      <c r="FH102" s="48">
        <f t="shared" ca="1" si="189"/>
        <v>0</v>
      </c>
      <c r="FI102" s="48">
        <f ca="1">IF(FH102&lt;&gt;0,MAX($FI$2:FI101)+1,0)</f>
        <v>0</v>
      </c>
      <c r="FJ102" s="48" t="str">
        <f ca="1">IFERROR(INDEX($FH$3:$FI$400,MATCH(ROWS($FJ$3:FJ102),$FI$3:$FI$400,0),1),"")</f>
        <v/>
      </c>
      <c r="FK102" s="48">
        <f ca="1">IF(ABS(SUMIFS(DARE,DEN_G,"="&amp;FJ102,DATA,"&lt;="&amp;FINE_AC,DATA,"&gt;="&amp;INIZIO_A_PC)-SUMIFS(AVERE,DEN_G,"="&amp;FJ102,DATA,"&lt;="&amp;FINE_AC,DATA,"&gt;="&amp;INIZIO_A_PC))&gt;0,MAX($FK$2:FK101)+1,0)</f>
        <v>0</v>
      </c>
      <c r="FL102" s="48" t="str">
        <f ca="1">IF(AND(ROW()-2&lt;&gt;1,ROW()-2&lt;=$FK$1),CONCATENATE(" - ",IFERROR(INDEX($FJ$3:$FK$400,MATCH(ROWS($FL$3:FL102),$FK$3:$FK$400,0),1),"")),IFERROR(INDEX($FJ$3:$FK$400,MATCH(ROWS($FL$3:FL102),$FK$3:$FK$400,0),1),""))</f>
        <v/>
      </c>
      <c r="FM102" s="48">
        <f ca="1">IF(OR(B102="IVA ns/credito",B102="IVA NS/DEBITO",B102="IVA C/ACCONTO",B102="IMPOSTE C/ACCONTO",B102="CREDITI PER RITENUTE SUBITE",B102="CREDITI D'IMPOSTA"),MAX($FM$2:FM101)+1,0)</f>
        <v>0</v>
      </c>
      <c r="FN102" s="48" t="str">
        <f t="shared" ca="1" si="190"/>
        <v/>
      </c>
      <c r="FO102" s="48" t="str">
        <f ca="1">IFERROR(INDEX($FM$3:$FN$400,MATCH(ROWS($FO$3:FO102),$FM$3:$FM$400,0),2),"")</f>
        <v/>
      </c>
      <c r="FP102" s="48">
        <f ca="1">IF(ABS(SUMIFS(DARE,DEN_G,"="&amp;FO102,DATA,"&lt;="&amp;FINE_AC,DATA,"&gt;="&amp;INIZIO_A_PC)-SUMIFS(AVERE,DEN_G,"="&amp;FO102,DATA,"&lt;="&amp;FINE_AC,DATA,"&gt;="&amp;INIZIO_A_PC))&gt;0,MAX($FP$2:FP101)+1,0)</f>
        <v>0</v>
      </c>
      <c r="FQ102" s="48" t="str">
        <f ca="1">IF(AND(ROW()-2&lt;&gt;1,ROW()-2&lt;=$FP$1),CONCATENATE(" - ",IFERROR(INDEX($FO$3:$FP$400,MATCH(ROWS($FQ$3:FQ102),$FP$3:$FP$400,0),1),"")),IFERROR(INDEX($FO$3:$FP$400,MATCH(ROWS($FQ$3:FQ102),$FP$3:$FP$400,0),1),""))</f>
        <v/>
      </c>
    </row>
    <row r="103" spans="1:173" x14ac:dyDescent="0.3">
      <c r="A103" s="48" t="str">
        <f ca="1">IFERROR(IF($A$1=2,INDEX($DH$3:$DN$401,MATCH(ROWS(A$3:A103),$DN$3:$DN$401,0),COLUMN()),IF($A$1=1,INDEX($DQ$3:$DW$401,MATCH(ROWS(A$3:A103),$DW$3:$DW$401,0),COLUMN()),"")),"")</f>
        <v>09.01</v>
      </c>
      <c r="B103" s="48" t="str">
        <f ca="1">IFERROR(IF($A$1=2,INDEX($DH$3:$DN$401,MATCH(ROWS(B$3:B103),$DN$3:$DN$401,0),COLUMN()),IF($A$1=1,INDEX($DQ$3:$DW$400,MATCH(ROWS(B$3:B103),$DW$3:$DW$401,0),COLUMN()),"")),"")</f>
        <v>RATEI ATTIVI</v>
      </c>
      <c r="C103" s="48" t="str">
        <f ca="1">IFERROR(IF($A$1=2,INDEX($DH$3:$DN$401,MATCH(ROWS(C$3:C103),$DN$3:$DN$401,0),COLUMN()),IF($A$1=1,INDEX($DQ$3:$DW$401,MATCH(ROWS(C$3:C103),$DW$3:$DW$401,0),COLUMN()),"")),"")</f>
        <v>F</v>
      </c>
      <c r="D103" s="48" t="str">
        <f ca="1">IFERROR(IF($A$1=2,INDEX($DH$3:$DN$401,MATCH(ROWS(D$3:D103),$DN$3:$DN$401,0),COLUMN()),IF($A$1=1,INDEX($DQ$3:$DW$401,MATCH(ROWS(D$3:D103),$DW$3:$DW$401,0),COLUMN()),"")),"")</f>
        <v>D</v>
      </c>
      <c r="E103" s="48" t="str">
        <f ca="1">IFERROR(IF($A$1=2,INDEX($DH$3:$DN$401,MATCH(ROWS(E$3:E103),$DN$3:$DN$401,0),COLUMN()),IF($A$1=1,INDEX($DQ$3:$DW$401,MATCH(ROWS(E$3:E103),$DW$3:$DW$401,0),COLUMN()),"")),"")</f>
        <v>RATEI, FONDI RISCHI E ONERI</v>
      </c>
      <c r="F103" s="48" t="str">
        <f ca="1">IFERROR(IF($A$1=2,INDEX($DH$3:$DN$401,MATCH(ROWS(F$3:F103),$DN$3:$DN$401,0),COLUMN()),IF($A$1=1,INDEX($DQ$3:$DX$401,MATCH(ROWS(F$3:F103),$DW$3:$DW$401,0),COLUMN()),"")),"")</f>
        <v>SP DARE</v>
      </c>
      <c r="G103" s="48" t="str">
        <f t="shared" ca="1" si="150"/>
        <v>SP</v>
      </c>
      <c r="H103" s="48" t="str">
        <f ca="1">IFERROR(IF($A$1=2,INDEX($DH$3:$DO$400,MATCH(ROWS(H$3:H103),$DN$3:$DN$400,0),COLUMN()),IF($A$1=1,INDEX($DQ$3:$DX$400,MATCH(ROWS(H$3:H103),$DW$3:$DW$400,0),COLUMN()),"")),"")</f>
        <v>pad</v>
      </c>
      <c r="I103" s="48" t="str">
        <f t="shared" ca="1" si="151"/>
        <v/>
      </c>
      <c r="J103" s="48" t="str">
        <f t="shared" ca="1" si="152"/>
        <v/>
      </c>
      <c r="K103" s="48">
        <f t="shared" ca="1" si="153"/>
        <v>0</v>
      </c>
      <c r="L103" s="48">
        <f t="shared" ca="1" si="154"/>
        <v>0</v>
      </c>
      <c r="M103" s="48">
        <f ca="1">IFERROR(IF(IF(MID($A103,3,3)=".00",MID(A103,1,2),"")&lt;&gt;"",MAX($M$2:M102)+1,0),"")</f>
        <v>0</v>
      </c>
      <c r="N103" s="48" t="str">
        <f t="shared" ca="1" si="155"/>
        <v/>
      </c>
      <c r="O103" s="48" t="str">
        <f ca="1">IF(IFERROR(INDEX($N$3:$O$300,MATCH(ROWS($O$3:O103),$M$3:$M$300,0),1),"")&lt;&gt;"",CONCATENATE(INDEX($N$3:$O$300,MATCH(ROWS($O$3:O103),$M$3:$M$300,0),1),".00"),"")</f>
        <v/>
      </c>
      <c r="P103" s="48" t="str">
        <f t="shared" ca="1" si="156"/>
        <v/>
      </c>
      <c r="Q103" s="48">
        <f ca="1">IF(M103&gt;=1,0,MAX($Q$2:Q102)+1)</f>
        <v>91</v>
      </c>
      <c r="U103" s="48" t="str">
        <f ca="1">IFERROR(INDEX(PDC,MATCH(ROWS(U$3:U103),$V$3:$V$400,0),2),"")</f>
        <v>VERSAMENTI AZIONISTI C/CAPITALE</v>
      </c>
      <c r="V103" s="48">
        <f ca="1">IF(AND($T$1="VISUALIZZA TUTTI I CONTI",AA103&lt;&gt;""),MAX($V$2:V102)+1,IF(AND($U$2=2,AI103=$T$1),MAX($V$2:V102)+1,IF(AND($U$2=1,$T$1=AF103),MAX($V$2:V102)+1,0)))</f>
        <v>101</v>
      </c>
      <c r="AA103" s="48" t="str">
        <f t="shared" ca="1" si="157"/>
        <v>10.00</v>
      </c>
      <c r="AB103" s="48" t="str">
        <f ca="1">IFERROR(INDEX($A$3:$G$400,MATCH(ROWS(AB$3:AB103),$Q$3:$Q$400,0),1),"")</f>
        <v>10.20</v>
      </c>
      <c r="AC103" s="48" t="str">
        <f ca="1">IFERROR(INDEX($A$3:$G$400,MATCH(ROWS($AC$3:AC103),$Q$3:$Q$400,0),2),"")</f>
        <v>VERSAMENTI AZIONISTI C/CAPITALE</v>
      </c>
      <c r="AD103" s="48" t="str">
        <f ca="1">IFERROR(INDEX($A$3:$G$400,MATCH(ROWS(AD$3:AD103),$Q$3:$Q$400,0),3),"")</f>
        <v>E</v>
      </c>
      <c r="AE103" s="48" t="str">
        <f ca="1">IFERROR(INDEX($A$3:$G$400,MATCH(ROWS(AE$3:AE103),$Q$3:$Q$400,0),4),"")</f>
        <v>A</v>
      </c>
      <c r="AF103" s="48" t="str">
        <f ca="1">IFERROR(INDEX($A$3:$G$400,MATCH(ROWS(AF$3:AF103),$Q$3:$Q$400,0),5),"")</f>
        <v>PATRIMONIO NETTO</v>
      </c>
      <c r="AG103" s="48" t="str">
        <f ca="1">IFERROR(INDEX($A$3:$G$400,MATCH(ROWS(AG$3:AG103),$Q$3:$Q$400,0),6),"")</f>
        <v>SP AVERE</v>
      </c>
      <c r="AH103" s="48" t="str">
        <f ca="1">IFERROR(INDEX($A$3:$G$400,MATCH(ROWS(AH$3:AH103),$Q$3:$Q$400,0),7),"")</f>
        <v>SP</v>
      </c>
      <c r="AI103" s="48" t="str">
        <f t="shared" ca="1" si="158"/>
        <v>PATRIMONIO NETTO</v>
      </c>
      <c r="AJ103" s="48" t="str">
        <f ca="1">IFERROR(INDEX($A$3:$H$400,MATCH(ROWS(AJ$3:AJ103),$Q$3:$Q$400,0),8),"")</f>
        <v>ppa64</v>
      </c>
      <c r="AK103" s="48">
        <f t="shared" ca="1" si="130"/>
        <v>0</v>
      </c>
      <c r="AL103" s="48">
        <f t="shared" ref="AL103:AL134" ca="1" si="251">IF(AND(AO103&gt;0,AP103&gt;0),0,IF(INDIRECT(ADDRESS(ROW()-92,COLUMN()-34,,,"LIBRO_GIORNALE"))&lt;INIZIO_A_PC,0,INDIRECT(ADDRESS(ROW()-92,COLUMN()-34,,,"LIBRO_GIORNALE"))))</f>
        <v>0</v>
      </c>
      <c r="AM103" s="48">
        <f ca="1">IF(AL103=0,0,IF(AND(AO103&gt;0,AP103&gt;0),0,IF(OR(INDIRECT(ADDRESS(ROW()-92,COLUMN()-34,,,"LIBRO_GIORNALE"))="CONTO DI RISULTATO ECONOMICO",AND(INDIRECT(ADDRESS(ROW()-92,COLUMN()-34,,,"LIBRO_GIORNALE"))="UTILE D'ESERCIZIO",$I$1=1,AP103&gt;0),AND(INDIRECT(ADDRESS(ROW()-92,COLUMN()-34,,,"LIBRO_GIORNALE"))="PERDITA D'ESERCIZIO",$I$1=1,AO103&gt;0)),0,INDIRECT(ADDRESS(ROW()-92,COLUMN()-34,,,"LIBRO_GIORNALE")))))</f>
        <v>0</v>
      </c>
      <c r="AN103" s="48">
        <f ca="1">IF(AND(AM103="Utile d'esercizio",AP103&gt;0),"apertura del conto",IF(AND(AM103="Perdita d'esercizio",AO103&gt;0),"apertura del conto",INDIRECT(ADDRESS(ROW()-92,COLUMN()-34,,,"LIBRO_GIORNALE"))))</f>
        <v>0</v>
      </c>
      <c r="AO103" s="48">
        <f ca="1">IFERROR(IF(OR(INDIRECT(ADDRESS(ROW()-92,4,,,"LIBRO_GIORNALE"))="",INDIRECT(ADDRESS(ROW()-92,5,,,"LIBRO_GIORNALE"))=""),0,ROUND(INDIRECT(ADDRESS(ROW()-92,COLUMN()-34,,,"LIBRO_GIORNALE")),2)),0)</f>
        <v>0</v>
      </c>
      <c r="AP103" s="48">
        <f ca="1">IFERROR(IF(OR(INDIRECT(ADDRESS(ROW()-92,4,,,"LIBRO_GIORNALE"))="",INDIRECT(ADDRESS(ROW()-92,5,,,"LIBRO_GIORNALE"))=""),0,ROUND(INDIRECT(ADDRESS(ROW()-92,COLUMN()-34,,,"LIBRO_GIORNALE")),2)),0)</f>
        <v>0</v>
      </c>
      <c r="AQ103" s="48" t="str">
        <f t="shared" ca="1" si="132"/>
        <v>VERSAMENTI AZIONISTI C/CAPITALE</v>
      </c>
      <c r="AR103" s="48">
        <f t="shared" ca="1" si="133"/>
        <v>0</v>
      </c>
      <c r="AS103" s="48">
        <f t="shared" ca="1" si="134"/>
        <v>0</v>
      </c>
      <c r="AT103" s="48">
        <f t="shared" ca="1" si="162"/>
        <v>0</v>
      </c>
      <c r="AU103" s="48">
        <f t="shared" ca="1" si="163"/>
        <v>0</v>
      </c>
      <c r="AV103" s="48">
        <f ca="1">IF(OR(AT103&gt;0,AU103&gt;0),MAX($AV$2:AV102)+1,0)</f>
        <v>0</v>
      </c>
      <c r="AZ103" s="241" t="str">
        <f t="shared" si="240"/>
        <v>3 V.I.</v>
      </c>
      <c r="BA103" s="48">
        <f t="shared" ca="1" si="241"/>
        <v>0</v>
      </c>
      <c r="BB103" s="48">
        <f t="shared" ca="1" si="247"/>
        <v>0</v>
      </c>
      <c r="BC103" s="48" t="str">
        <f t="shared" ca="1" si="248"/>
        <v/>
      </c>
      <c r="BD103" s="48">
        <f t="shared" ca="1" si="249"/>
        <v>0</v>
      </c>
      <c r="BE103" s="48">
        <f t="shared" ca="1" si="250"/>
        <v>0</v>
      </c>
      <c r="BF103" s="48">
        <v>1</v>
      </c>
      <c r="BG103" s="48">
        <f ca="1">IF(IF(AND(OR(INDEX(PDC,MATCH($AC103,DEN_PDC,0),6)="SP DARE",INDEX(PDC,MATCH($AC103,DEN_PDC,0),6)="SP DARE/AVERE"),SUMIFS(DARE,DEN_G,$AC103)&gt;=SUMIFS(AVERE,DEN_G,$AC103)),SUMIFS(DARE,DEN_G,$AC103)-SUMIFS(AVERE,DEN_G,$AC103),0)&gt;0,MAX($BG$2:BG102)+1,0)</f>
        <v>0</v>
      </c>
      <c r="BH103" s="48">
        <f ca="1">IF(IF(AND(OR(INDEX(PDC,MATCH($AC103,DEN_PDC,0),6)="SP AVERE",INDEX(PDC,MATCH($AC103,DEN_PDC,0),6)="SP DARE/AVERE"),SUMIFS(AVERE,DEN_G,$AC103)&gt;=SUMIFS(DARE,DEN_G,$AC103)),SUMIFS(AVERE,DEN_G,$AC103)-SUMIFS(DARE,DEN_G,$AC103),0)&gt;0,MAX(BH$2:BH102)+1,0)</f>
        <v>0</v>
      </c>
      <c r="BI103" s="48">
        <f ca="1">IF(IF(AND(OR(INDEX(PDC,MATCH($AC103,DEN_PDC,0),6)="SE DARE",INDEX(PDC,MATCH($AC103,DEN_PDC,0),6)="SE DARE/AVERE"),SUMIFS(DARE,DEN_G,$AC103)&gt;=SUMIFS(AVERE,DEN_G,$AC103)),SUMIFS(DARE,DEN_G,$AC103)-SUMIFS(AVERE,DEN_G,$AC103),0)&gt;0,MAX(BI$2:BI102)+1,0)</f>
        <v>0</v>
      </c>
      <c r="BJ103" s="48">
        <f ca="1">IF(IF(AND(OR(INDEX(PDC,MATCH($AC103,DEN_PDC,0),6)="SE AVERE",INDEX(PDC,MATCH($AC103,DEN_PDC,0),6)="SE DARE/AVERE"),SUMIFS(AVERE,DEN_G,$AC103)&gt;=SUMIFS(DARE,DEN_G,$AC103)),SUMIFS(AVERE,DEN_G,$AC103)-SUMIFS(DARE,DEN_G,$AC103),0)&gt;0,MAX(BJ$2:BJ102)+1,0)</f>
        <v>0</v>
      </c>
      <c r="BK103" s="48" t="str">
        <f ca="1">IF(AND(AND($DY$2=0,$DY$1=0),$I$1=2,ROW()&gt;$BG$1+2,ROW()&lt;=$BG$1+4),"………………..",IF(AND(OR($DY$2&gt;0,$DY$1&gt;0),$I$1=2,ROW()&gt;$BG$1+2,ROW()&lt;=$BG$1+4),"………………..",IFERROR(INDEX($AC$3:$AC$398,MATCH(ROWS(BK$3:BK103),BG$3:BG$398,0),1),"")))</f>
        <v/>
      </c>
      <c r="BL103" s="48">
        <f t="shared" ca="1" si="136"/>
        <v>0</v>
      </c>
      <c r="BM103" s="48" t="str">
        <f ca="1">IF(AND(OR($DY$2=0,$DY$1=0),$I$1=2,ROW()&gt;$BH$1+2,ROW()&lt;=$BH$1+4),"………………..",IF(AND(OR($DY$2&gt;0,$DY$1&gt;0),$I$1=2,ROW()&gt;$BH$1+2,ROW()&lt;=$BH$1+4),"………………..",IFERROR(INDEX($AC$3:$AC$400,MATCH(ROWS(BM$3:BM103),BH$3:BH$400,0),1),"")))</f>
        <v/>
      </c>
      <c r="BN103" s="48">
        <f t="shared" ca="1" si="137"/>
        <v>0</v>
      </c>
      <c r="BO103" s="48" t="str">
        <f ca="1">IF(AND(OR($DY$2=0,$DY$1=0),$I$1=2,ROW()&gt;$BI$1+2,ROW()&lt;=$BI$1+4),"………………..",IF(AND(OR($DY$2&gt;0,$DY$1&gt;0),$I$1=2,ROW()&gt;$BI$1+2,ROW()&lt;=$BI$1+4),"………………..",IFERROR(INDEX($AC$3:$AC$400,MATCH(ROWS(BO$3:BO103),BI$3:BI$400,0),1),"")))</f>
        <v/>
      </c>
      <c r="BP103" s="48">
        <f t="shared" ca="1" si="138"/>
        <v>0</v>
      </c>
      <c r="BQ103" s="48" t="str">
        <f ca="1">IF(AND(OR($DY$2=0,$DY$1=0),$I$1=2,ROW()&gt;$BJ$1+2,ROW()&lt;=$BJ$1+4),"………………..",IF(AND(OR($DY$2&gt;0,$DY$1&gt;0),$I$1=2,ROW()&gt;$BJ$1+2,ROW()&lt;=$BJ$1+4),"………………..",IFERROR(INDEX($AC$3:$AC$400,MATCH(ROWS(BQ$3:BQ103),BJ$3:BJ$400,0),1),"")))</f>
        <v/>
      </c>
      <c r="BR103" s="48">
        <f t="shared" ca="1" si="139"/>
        <v>0</v>
      </c>
      <c r="BS103" s="48">
        <f ca="1">IF(IF(AND(OR(INDEX(PDC,MATCH($AC103,DEN_PDC,0),4)="D",INDEX(PDC,MATCH($AC103,DEN_PDC,0),4)="D/A"),SUMIFS(DARE,DEN_G,$AC103)&gt;=SUMIFS(AVERE,DEN_G,$AC103)),SUMIFS(DARE,DEN_G,$AC103),IF(AND(OR(INDEX(PDC,MATCH($AC103,DEN_PDC,0),4)="A",INDEX(PDC,MATCH($AC103,DEN_PDC,0),4)="D/A"),SUMIFS(AVERE,DEN_G,$AC103)&gt;=SUMIFS(DARE,DEN_G,$AC103)),SUMIFS(AVERE,DEN_G,$AC103),))&gt;0,MAX($BS$2:BS102)+1,0)</f>
        <v>0</v>
      </c>
      <c r="BT103" s="48" t="str">
        <f ca="1">IF($CO$1=0,"",IF(AND($I$1=2,ROW()&gt;$BR$1,ROW()&lt;=$BS$1)," …………….",IF(AND($E$1=1,$BX$1=1,$I$1=2,ROW()=$BQ$1),"TOTALI",IFERROR(INDEX(PDC,MATCH(ROWS(BT$3:BT103),BS$3:BS400,0),2),""))))</f>
        <v/>
      </c>
      <c r="BU103" s="48">
        <f t="shared" ca="1" si="140"/>
        <v>0</v>
      </c>
      <c r="BV103" s="48">
        <f t="shared" ca="1" si="141"/>
        <v>0</v>
      </c>
      <c r="BW103" s="48">
        <f t="shared" ca="1" si="142"/>
        <v>0</v>
      </c>
      <c r="BX103" s="48">
        <f t="shared" ca="1" si="143"/>
        <v>0</v>
      </c>
      <c r="BY103" s="48">
        <f ca="1">IF(OR(BW103&gt;0,BX103&gt;0),MAX($BY$2:BY102)+1,0)</f>
        <v>0</v>
      </c>
      <c r="BZ103" s="48" t="str">
        <f ca="1">IFERROR(INDEX($BT$3:$BY$400,MATCH(ROWS(BZ$3:BZ103),$BY$3:$BY$400,0),1),"")</f>
        <v/>
      </c>
      <c r="CA103" s="48" t="str">
        <f ca="1">IFERROR(INDEX($BT$3:$BY$400,MATCH(ROWS(CA$3:CA103),$BY$3:$BY$400,0),4),"")</f>
        <v/>
      </c>
      <c r="CB103" s="48" t="str">
        <f ca="1">IFERROR(INDEX($BT$3:$BY$400,MATCH(ROWS(CB$3:CB103),$BY$3:$BY$400,0),5),"")</f>
        <v/>
      </c>
      <c r="CC103" s="48" t="str">
        <f t="shared" ca="1" si="144"/>
        <v/>
      </c>
      <c r="CD103" s="48">
        <f ca="1">IF(AY1&lt;&gt;0,0,IF($BF$9=1,0,IF(AND($I$1=2,$BF$9=2,$E$1=1,MAX($CD$166:$CD$188)&gt;=MAX($CD$88:$CD$102)),MAX($CD$166:$CD$188)+1,IF(AND($I$1=2,$BF$9=2,$E$1=1,MAX($CD$166:$CD$188)&lt;MAX($CD$88:$CD$102)),MAX($CD$88:$CD$102)+1,IF(AND($I$1=1,$BF$9=2,$F$1=1,MAX($CD$166:$CD$188)&gt;=MAX($CD$88:$CD$102)),MAX($CD$166:$CD$188)+1,IF(AND($I$1=1,$BF$9=2,$F$1=1,MAX($CD$166:$CD$188)&lt;MAX($CD$88:$CD$102)),MAX($CD$88:$CD$102)+1,0))))))</f>
        <v>0</v>
      </c>
      <c r="CE103" s="48">
        <f ca="1">IF(EU3&gt;0,0,IF(AND($I$1=1,$F$1=1),SUM(CE102,CE101,CE94,CE88),IF(AND($I$1=2,OR(CE102&gt;0,CE88&gt;0,CE94="_ _ _",CE101="_ _ _",CE247="_ _ _",CE247&lt;&gt;0)),"_ _ _",IF(AND($I$1=2,OR(CE101="_ _ _",CE94="_ _ _")),"_ _ _",0))))</f>
        <v>0</v>
      </c>
      <c r="CG103" s="48" t="str">
        <f>CG86</f>
        <v>TOTALE ATTIVO</v>
      </c>
      <c r="CH103" s="242">
        <f t="shared" ca="1" si="112"/>
        <v>0</v>
      </c>
      <c r="CJ103" s="242"/>
      <c r="CM103" s="242" t="str">
        <f t="shared" ca="1" si="166"/>
        <v/>
      </c>
      <c r="CN103" s="243">
        <f t="shared" ca="1" si="167"/>
        <v>0</v>
      </c>
      <c r="CO103" s="48" t="str">
        <f t="shared" ca="1" si="168"/>
        <v/>
      </c>
      <c r="CQ103" s="242">
        <f t="shared" ca="1" si="242"/>
        <v>2029</v>
      </c>
      <c r="CR103" s="242">
        <f t="shared" ca="1" si="243"/>
        <v>0</v>
      </c>
      <c r="CS103" s="48">
        <f t="shared" ca="1" si="244"/>
        <v>0</v>
      </c>
      <c r="CT103" s="48">
        <f t="shared" ca="1" si="245"/>
        <v>0</v>
      </c>
      <c r="CU103" s="48">
        <f ca="1">IF(SUMIFS(AVERE,DEN_G,AC103,AVERE,"&gt;"&amp;0)+SUMIFS(DARE,DEN_G,AC103,DARE,"&gt;"&amp;0)&gt;0,MAX($CU$2:CU102)+1,0)</f>
        <v>0</v>
      </c>
      <c r="CV103" s="48" t="str">
        <f ca="1">IF(IFERROR(INDEX(PDC,MATCH(ROWS($CV$3:CV103),$CU$3:$CU$400,0),2),"")="CONTO DI RISULTATO ECONOMICO","",IFERROR(INDEX(PDC,MATCH(ROWS($CV$3:CV103),$CU$3:$CU$400,0),2),""))</f>
        <v/>
      </c>
      <c r="CW103" s="48">
        <f ca="1">IFERROR(IF(CV103&lt;&gt;"",MAX($CW$2:CW102)+1,0),0)</f>
        <v>0</v>
      </c>
      <c r="CX103" s="48">
        <f t="shared" ca="1" si="229"/>
        <v>8</v>
      </c>
      <c r="CY103" s="48" t="str">
        <f t="shared" ca="1" si="228"/>
        <v>MASTRO</v>
      </c>
      <c r="CZ103" s="48" t="e">
        <f t="shared" ca="1" si="231"/>
        <v>#N/A</v>
      </c>
      <c r="DA103" s="48" t="str">
        <f t="shared" ca="1" si="235"/>
        <v/>
      </c>
      <c r="DB103" s="48" t="str">
        <f t="shared" ca="1" si="212"/>
        <v/>
      </c>
      <c r="DC103" s="48" t="str">
        <f t="shared" ca="1" si="232"/>
        <v/>
      </c>
      <c r="DD103" s="48" t="str">
        <f t="shared" ca="1" si="233"/>
        <v/>
      </c>
      <c r="DE103" s="48" t="str">
        <f t="shared" ca="1" si="234"/>
        <v/>
      </c>
      <c r="DF103" s="48">
        <f ca="1">IF(AND(CX103=$DF$1,CX103&lt;&gt;""),0,IF(AND(DB103&lt;&gt;"",OR(DB102&lt;&gt;"",DB104&lt;&gt;"")),MAX($DF$2:DF102)+1,0))</f>
        <v>0</v>
      </c>
      <c r="DH103" s="244" t="s">
        <v>926</v>
      </c>
      <c r="DI103" s="48" t="s">
        <v>374</v>
      </c>
      <c r="DJ103" s="48" t="s">
        <v>312</v>
      </c>
      <c r="DK103" s="48" t="s">
        <v>275</v>
      </c>
      <c r="DL103" s="48" t="s">
        <v>6</v>
      </c>
      <c r="DM103" s="48" t="s">
        <v>270</v>
      </c>
      <c r="DN103" s="48">
        <f ca="1">IF(DI103&lt;&gt;"",MAX($DN$2:DN102)+1,0)</f>
        <v>85</v>
      </c>
      <c r="DO103" s="48" t="str">
        <f ca="1">IF($BF$9=1,"pac23","pac2")</f>
        <v>pac2</v>
      </c>
      <c r="DQ103" s="227" t="s">
        <v>77</v>
      </c>
      <c r="DR103" s="48" t="s">
        <v>864</v>
      </c>
      <c r="DS103" s="48" t="s">
        <v>312</v>
      </c>
      <c r="DT103" s="48" t="s">
        <v>275</v>
      </c>
      <c r="DU103" s="48" t="s">
        <v>6</v>
      </c>
      <c r="DV103" s="48" t="s">
        <v>270</v>
      </c>
      <c r="DW103" s="48">
        <f ca="1">IF(DR103&lt;&gt;"",MAX($DW$2:DW102)+1,0)</f>
        <v>59</v>
      </c>
      <c r="DX103" s="48" t="str">
        <f ca="1">IF($BF$9=1,"pac25q","pac2")</f>
        <v>pac2</v>
      </c>
      <c r="DY103" s="48" t="str">
        <f t="shared" ca="1" si="147"/>
        <v/>
      </c>
      <c r="DZ103" s="48" t="str">
        <f t="shared" ca="1" si="170"/>
        <v/>
      </c>
      <c r="EA103" s="48" t="str">
        <f t="shared" ca="1" si="171"/>
        <v/>
      </c>
      <c r="EB103" s="48">
        <f t="shared" ca="1" si="172"/>
        <v>0</v>
      </c>
      <c r="EC103" s="48">
        <f t="shared" ca="1" si="173"/>
        <v>0</v>
      </c>
      <c r="ED103" s="48" t="str">
        <f t="shared" ca="1" si="174"/>
        <v/>
      </c>
      <c r="EE103" s="48">
        <f t="shared" ca="1" si="175"/>
        <v>0</v>
      </c>
      <c r="EF103" s="48" t="str">
        <f t="shared" ca="1" si="176"/>
        <v/>
      </c>
      <c r="EG103" s="48">
        <f t="shared" ca="1" si="177"/>
        <v>0</v>
      </c>
      <c r="EH103" s="48" t="str">
        <f t="shared" ca="1" si="178"/>
        <v/>
      </c>
      <c r="EI103" s="48">
        <f t="shared" ca="1" si="179"/>
        <v>0</v>
      </c>
      <c r="EJ103" s="48" t="str">
        <f t="shared" ca="1" si="180"/>
        <v/>
      </c>
      <c r="EK103" s="48">
        <f t="shared" ca="1" si="181"/>
        <v>0</v>
      </c>
      <c r="EL103" s="48">
        <f t="shared" ca="1" si="148"/>
        <v>0</v>
      </c>
      <c r="EM103" s="48">
        <f ca="1">IF(EL103&gt;=0,0,MAX($EM$2:EM102)+1)</f>
        <v>0</v>
      </c>
      <c r="EN103" s="48" t="str">
        <f t="shared" ca="1" si="182"/>
        <v/>
      </c>
      <c r="EO103" s="48" t="str">
        <f ca="1">IFERROR(INDEX($EM$3:$EN$400,MATCH(ROWS($EO$3:EO103),$EM$3:$EM$400,0),2),"")</f>
        <v/>
      </c>
      <c r="EP103" s="48">
        <f>ROW()</f>
        <v>103</v>
      </c>
      <c r="EQ103" s="48">
        <f t="shared" ca="1" si="149"/>
        <v>0</v>
      </c>
      <c r="ER103" s="48">
        <f ca="1">IF(ISNA(EQ103)=TRUE,MAX($ER$2:ER102)+1,0)</f>
        <v>0</v>
      </c>
      <c r="ES103" s="48" t="str">
        <f t="shared" ca="1" si="183"/>
        <v/>
      </c>
      <c r="ET103" s="48" t="str">
        <f ca="1">IFERROR(INDEX($ER$3:$ES$400,MATCH(ROWS($ET$3:ET103),$ER$3:$ER$400,0),2),"")</f>
        <v/>
      </c>
      <c r="EV103" s="48">
        <f ca="1">IFERROR(INDEX(LIBRO_GIORNALE!$O$11:$P$408,MATCH(ROWS($EV$2:EV102),LIBRO_GIORNALE!$P$11:$P$408,0),1),0)</f>
        <v>0</v>
      </c>
      <c r="EW103" s="48" t="str">
        <f t="shared" ca="1" si="184"/>
        <v>0</v>
      </c>
      <c r="EX103" s="48">
        <f t="shared" ca="1" si="185"/>
        <v>0</v>
      </c>
      <c r="EY103" s="48">
        <f ca="1">IF(EX103&gt;0,MAX($EY$2:EY102)+1,0)</f>
        <v>0</v>
      </c>
      <c r="EZ103" s="48">
        <f ca="1">IFERROR(INDEX($EX$3:$EX$400,MATCH(ROWS($EZ$3:EZ103),$EY$3:$EY$400,0),1),0)</f>
        <v>0</v>
      </c>
      <c r="FA103" s="48">
        <f ca="1">IF(EZ103&gt;0,0,MAX($FA$2:FA102)+1)</f>
        <v>101</v>
      </c>
      <c r="FB103" s="48">
        <f t="shared" ca="1" si="186"/>
        <v>0</v>
      </c>
      <c r="FC103" s="48">
        <f t="shared" ca="1" si="187"/>
        <v>101</v>
      </c>
      <c r="FD103" s="48">
        <f t="shared" ca="1" si="188"/>
        <v>101</v>
      </c>
      <c r="FE103" s="48">
        <f ca="1">IF(FD103=0,0,MAX($FE$2:FE102)+1)</f>
        <v>101</v>
      </c>
      <c r="FF103" s="48">
        <f ca="1">IFERROR(INDEX($FD$3:$FE$400,MATCH(ROWS($FF$3:FF103),$FE$3:$FE$400,0),1),"")</f>
        <v>101</v>
      </c>
      <c r="FG103" s="48">
        <f ca="1">IF(AND(AL103&gt;0,AL103&gt;AL104,AL104&lt;&gt;0),1,0)</f>
        <v>0</v>
      </c>
      <c r="FH103" s="48">
        <f t="shared" ca="1" si="189"/>
        <v>0</v>
      </c>
      <c r="FI103" s="48">
        <f ca="1">IF(FH103&lt;&gt;0,MAX($FI$2:FI102)+1,0)</f>
        <v>0</v>
      </c>
      <c r="FJ103" s="48" t="str">
        <f ca="1">IFERROR(INDEX($FH$3:$FI$400,MATCH(ROWS($FJ$3:FJ103),$FI$3:$FI$400,0),1),"")</f>
        <v/>
      </c>
      <c r="FK103" s="48">
        <f ca="1">IF(ABS(SUMIFS(DARE,DEN_G,"="&amp;FJ103,DATA,"&lt;="&amp;FINE_AC,DATA,"&gt;="&amp;INIZIO_A_PC)-SUMIFS(AVERE,DEN_G,"="&amp;FJ103,DATA,"&lt;="&amp;FINE_AC,DATA,"&gt;="&amp;INIZIO_A_PC))&gt;0,MAX($FK$2:FK102)+1,0)</f>
        <v>0</v>
      </c>
      <c r="FL103" s="48" t="str">
        <f ca="1">IF(AND(ROW()-2&lt;&gt;1,ROW()-2&lt;=$FK$1),CONCATENATE(" - ",IFERROR(INDEX($FJ$3:$FK$400,MATCH(ROWS($FL$3:FL103),$FK$3:$FK$400,0),1),"")),IFERROR(INDEX($FJ$3:$FK$400,MATCH(ROWS($FL$3:FL103),$FK$3:$FK$400,0),1),""))</f>
        <v/>
      </c>
      <c r="FM103" s="48">
        <f ca="1">IF(OR(B103="IVA ns/credito",B103="IVA NS/DEBITO",B103="IVA C/ACCONTO",B103="IMPOSTE C/ACCONTO",B103="CREDITI PER RITENUTE SUBITE",B103="CREDITI D'IMPOSTA"),MAX($FM$2:FM102)+1,0)</f>
        <v>0</v>
      </c>
      <c r="FN103" s="48" t="str">
        <f t="shared" ca="1" si="190"/>
        <v/>
      </c>
      <c r="FO103" s="48" t="str">
        <f ca="1">IFERROR(INDEX($FM$3:$FN$400,MATCH(ROWS($FO$3:FO103),$FM$3:$FM$400,0),2),"")</f>
        <v/>
      </c>
      <c r="FP103" s="48">
        <f ca="1">IF(ABS(SUMIFS(DARE,DEN_G,"="&amp;FO103,DATA,"&lt;="&amp;FINE_AC,DATA,"&gt;="&amp;INIZIO_A_PC)-SUMIFS(AVERE,DEN_G,"="&amp;FO103,DATA,"&lt;="&amp;FINE_AC,DATA,"&gt;="&amp;INIZIO_A_PC))&gt;0,MAX($FP$2:FP102)+1,0)</f>
        <v>0</v>
      </c>
      <c r="FQ103" s="48" t="str">
        <f ca="1">IF(AND(ROW()-2&lt;&gt;1,ROW()-2&lt;=$FP$1),CONCATENATE(" - ",IFERROR(INDEX($FO$3:$FP$400,MATCH(ROWS($FQ$3:FQ103),$FP$3:$FP$400,0),1),"")),IFERROR(INDEX($FO$3:$FP$400,MATCH(ROWS($FQ$3:FQ103),$FP$3:$FP$400,0),1),""))</f>
        <v/>
      </c>
    </row>
    <row r="104" spans="1:173" x14ac:dyDescent="0.3">
      <c r="A104" s="48" t="str">
        <f ca="1">IFERROR(IF($A$1=2,INDEX($DH$3:$DN$401,MATCH(ROWS(A$3:A104),$DN$3:$DN$401,0),COLUMN()),IF($A$1=1,INDEX($DQ$3:$DW$401,MATCH(ROWS(A$3:A104),$DW$3:$DW$401,0),COLUMN()),"")),"")</f>
        <v>09.02</v>
      </c>
      <c r="B104" s="48" t="str">
        <f ca="1">IFERROR(IF($A$1=2,INDEX($DH$3:$DN$401,MATCH(ROWS(B$3:B104),$DN$3:$DN$401,0),COLUMN()),IF($A$1=1,INDEX($DQ$3:$DW$400,MATCH(ROWS(B$3:B104),$DW$3:$DW$401,0),COLUMN()),"")),"")</f>
        <v>RISCONTI ATTIVI</v>
      </c>
      <c r="C104" s="48" t="str">
        <f ca="1">IFERROR(IF($A$1=2,INDEX($DH$3:$DN$401,MATCH(ROWS(C$3:C104),$DN$3:$DN$401,0),COLUMN()),IF($A$1=1,INDEX($DQ$3:$DW$401,MATCH(ROWS(C$3:C104),$DW$3:$DW$401,0),COLUMN()),"")),"")</f>
        <v>E</v>
      </c>
      <c r="D104" s="48" t="str">
        <f ca="1">IFERROR(IF($A$1=2,INDEX($DH$3:$DN$401,MATCH(ROWS(D$3:D104),$DN$3:$DN$401,0),COLUMN()),IF($A$1=1,INDEX($DQ$3:$DW$401,MATCH(ROWS(D$3:D104),$DW$3:$DW$401,0),COLUMN()),"")),"")</f>
        <v>D</v>
      </c>
      <c r="E104" s="48" t="str">
        <f ca="1">IFERROR(IF($A$1=2,INDEX($DH$3:$DN$401,MATCH(ROWS(E$3:E104),$DN$3:$DN$401,0),COLUMN()),IF($A$1=1,INDEX($DQ$3:$DW$401,MATCH(ROWS(E$3:E104),$DW$3:$DW$401,0),COLUMN()),"")),"")</f>
        <v>COSTI SOSPESI</v>
      </c>
      <c r="F104" s="48" t="str">
        <f ca="1">IFERROR(IF($A$1=2,INDEX($DH$3:$DN$401,MATCH(ROWS(F$3:F104),$DN$3:$DN$401,0),COLUMN()),IF($A$1=1,INDEX($DQ$3:$DX$401,MATCH(ROWS(F$3:F104),$DW$3:$DW$401,0),COLUMN()),"")),"")</f>
        <v>SP DARE</v>
      </c>
      <c r="G104" s="48" t="str">
        <f t="shared" ca="1" si="150"/>
        <v>SP</v>
      </c>
      <c r="H104" s="48" t="str">
        <f ca="1">IFERROR(IF($A$1=2,INDEX($DH$3:$DO$400,MATCH(ROWS(H$3:H104),$DN$3:$DN$400,0),COLUMN()),IF($A$1=1,INDEX($DQ$3:$DX$400,MATCH(ROWS(H$3:H104),$DW$3:$DW$400,0),COLUMN()),"")),"")</f>
        <v>pad</v>
      </c>
      <c r="I104" s="48" t="str">
        <f t="shared" ca="1" si="151"/>
        <v/>
      </c>
      <c r="J104" s="48" t="str">
        <f t="shared" ca="1" si="152"/>
        <v/>
      </c>
      <c r="K104" s="48">
        <f t="shared" ca="1" si="153"/>
        <v>0</v>
      </c>
      <c r="L104" s="48">
        <f t="shared" ca="1" si="154"/>
        <v>0</v>
      </c>
      <c r="M104" s="48">
        <f ca="1">IFERROR(IF(IF(MID($A104,3,3)=".00",MID(A104,1,2),"")&lt;&gt;"",MAX($M$2:M103)+1,0),"")</f>
        <v>0</v>
      </c>
      <c r="N104" s="48" t="str">
        <f t="shared" ca="1" si="155"/>
        <v/>
      </c>
      <c r="O104" s="48" t="str">
        <f ca="1">IF(IFERROR(INDEX($N$3:$O$300,MATCH(ROWS($O$3:O104),$M$3:$M$300,0),1),"")&lt;&gt;"",CONCATENATE(INDEX($N$3:$O$300,MATCH(ROWS($O$3:O104),$M$3:$M$300,0),1),".00"),"")</f>
        <v/>
      </c>
      <c r="P104" s="48" t="str">
        <f t="shared" ca="1" si="156"/>
        <v/>
      </c>
      <c r="Q104" s="48">
        <f ca="1">IF(M104&gt;=1,0,MAX($Q$2:Q103)+1)</f>
        <v>92</v>
      </c>
      <c r="U104" s="48" t="str">
        <f ca="1">IFERROR(INDEX(PDC,MATCH(ROWS(U$3:U104),$V$3:$V$400,0),2),"")</f>
        <v>VERSAMENTI C/AUMENTO CAPITALE</v>
      </c>
      <c r="V104" s="48">
        <f ca="1">IF(AND($T$1="VISUALIZZA TUTTI I CONTI",AA104&lt;&gt;""),MAX($V$2:V103)+1,IF(AND($U$2=2,AI104=$T$1),MAX($V$2:V103)+1,IF(AND($U$2=1,$T$1=AF104),MAX($V$2:V103)+1,0)))</f>
        <v>102</v>
      </c>
      <c r="Z104" s="246"/>
      <c r="AA104" s="48" t="str">
        <f t="shared" ca="1" si="157"/>
        <v>10.00</v>
      </c>
      <c r="AB104" s="48" t="str">
        <f ca="1">IFERROR(INDEX($A$3:$G$400,MATCH(ROWS(AB$3:AB104),$Q$3:$Q$400,0),1),"")</f>
        <v>10.21</v>
      </c>
      <c r="AC104" s="48" t="str">
        <f ca="1">IFERROR(INDEX($A$3:$G$400,MATCH(ROWS($AC$3:AC104),$Q$3:$Q$400,0),2),"")</f>
        <v>VERSAMENTI C/AUMENTO CAPITALE</v>
      </c>
      <c r="AD104" s="48" t="str">
        <f ca="1">IFERROR(INDEX($A$3:$G$400,MATCH(ROWS(AD$3:AD104),$Q$3:$Q$400,0),3),"")</f>
        <v>E</v>
      </c>
      <c r="AE104" s="48" t="str">
        <f ca="1">IFERROR(INDEX($A$3:$G$400,MATCH(ROWS(AE$3:AE104),$Q$3:$Q$400,0),4),"")</f>
        <v>A</v>
      </c>
      <c r="AF104" s="48" t="str">
        <f ca="1">IFERROR(INDEX($A$3:$G$400,MATCH(ROWS(AF$3:AF104),$Q$3:$Q$400,0),5),"")</f>
        <v>PATRIMONIO NETTO</v>
      </c>
      <c r="AG104" s="48" t="str">
        <f ca="1">IFERROR(INDEX($A$3:$G$400,MATCH(ROWS(AG$3:AG104),$Q$3:$Q$400,0),6),"")</f>
        <v>SP AVERE</v>
      </c>
      <c r="AH104" s="48" t="str">
        <f ca="1">IFERROR(INDEX($A$3:$G$400,MATCH(ROWS(AH$3:AH104),$Q$3:$Q$400,0),7),"")</f>
        <v>SP</v>
      </c>
      <c r="AI104" s="48" t="str">
        <f t="shared" ca="1" si="158"/>
        <v>PATRIMONIO NETTO</v>
      </c>
      <c r="AJ104" s="48" t="str">
        <f ca="1">IFERROR(INDEX($A$3:$H$400,MATCH(ROWS(AJ$3:AJ104),$Q$3:$Q$400,0),8),"")</f>
        <v>ppa1</v>
      </c>
      <c r="AK104" s="48">
        <f t="shared" ca="1" si="130"/>
        <v>0</v>
      </c>
      <c r="AL104" s="48">
        <f t="shared" ca="1" si="251"/>
        <v>0</v>
      </c>
      <c r="AM104" s="48">
        <f t="shared" ref="AM104:AM167" ca="1" si="252">IF(AL104=0,0,IF(AND(AO104&gt;0,AP104&gt;0),0,IF(OR(INDIRECT(ADDRESS(ROW()-92,COLUMN()-34,,,"LIBRO_GIORNALE"))="CONTO DI RISULTATO ECONOMICO",AND(INDIRECT(ADDRESS(ROW()-92,COLUMN()-34,,,"LIBRO_GIORNALE"))="UTILE D'ESERCIZIO",$I$1=1,AP104&gt;0),AND(INDIRECT(ADDRESS(ROW()-92,COLUMN()-34,,,"LIBRO_GIORNALE"))="PERDITA D'ESERCIZIO",$I$1=1,AO104&gt;0)),0,INDIRECT(ADDRESS(ROW()-92,COLUMN()-34,,,"LIBRO_GIORNALE")))))</f>
        <v>0</v>
      </c>
      <c r="AN104" s="48">
        <f t="shared" ref="AN104:AN167" ca="1" si="253">IF(AND(AM104="Utile d'esercizio",AP104&gt;0),"apertura del conto",IF(AND(AM104="Perdita d'esercizio",AO104&gt;0),"apertura del conto",INDIRECT(ADDRESS(ROW()-92,COLUMN()-34,,,"LIBRO_GIORNALE"))))</f>
        <v>0</v>
      </c>
      <c r="AO104" s="48">
        <f t="shared" ref="AO104:AP167" ca="1" si="254">IFERROR(IF(OR(INDIRECT(ADDRESS(ROW()-92,4,,,"LIBRO_GIORNALE"))="",INDIRECT(ADDRESS(ROW()-92,5,,,"LIBRO_GIORNALE"))=""),0,ROUND(INDIRECT(ADDRESS(ROW()-92,COLUMN()-34,,,"LIBRO_GIORNALE")),2)),0)</f>
        <v>0</v>
      </c>
      <c r="AP104" s="48">
        <f t="shared" ca="1" si="254"/>
        <v>0</v>
      </c>
      <c r="AQ104" s="48" t="str">
        <f t="shared" ca="1" si="132"/>
        <v>VERSAMENTI C/AUMENTO CAPITALE</v>
      </c>
      <c r="AR104" s="48">
        <f t="shared" ca="1" si="133"/>
        <v>0</v>
      </c>
      <c r="AS104" s="48">
        <f t="shared" ca="1" si="134"/>
        <v>0</v>
      </c>
      <c r="AT104" s="48">
        <f t="shared" ca="1" si="162"/>
        <v>0</v>
      </c>
      <c r="AU104" s="48">
        <f t="shared" ca="1" si="163"/>
        <v>0</v>
      </c>
      <c r="AV104" s="48">
        <f ca="1">IF(OR(AT104&gt;0,AU104&gt;0),MAX($AV$2:AV103)+1,0)</f>
        <v>0</v>
      </c>
      <c r="AZ104" s="241" t="str">
        <f t="shared" si="240"/>
        <v>4 V.I.</v>
      </c>
      <c r="BA104" s="48">
        <f t="shared" ca="1" si="241"/>
        <v>0</v>
      </c>
      <c r="BB104" s="48">
        <f t="shared" ca="1" si="247"/>
        <v>0</v>
      </c>
      <c r="BC104" s="48" t="str">
        <f t="shared" ca="1" si="248"/>
        <v/>
      </c>
      <c r="BD104" s="48">
        <f t="shared" ca="1" si="249"/>
        <v>0</v>
      </c>
      <c r="BE104" s="48">
        <f t="shared" ca="1" si="250"/>
        <v>0</v>
      </c>
      <c r="BF104" s="48">
        <v>2</v>
      </c>
      <c r="BG104" s="48">
        <f ca="1">IF(IF(AND(OR(INDEX(PDC,MATCH($AC104,DEN_PDC,0),6)="SP DARE",INDEX(PDC,MATCH($AC104,DEN_PDC,0),6)="SP DARE/AVERE"),SUMIFS(DARE,DEN_G,$AC104)&gt;=SUMIFS(AVERE,DEN_G,$AC104)),SUMIFS(DARE,DEN_G,$AC104)-SUMIFS(AVERE,DEN_G,$AC104),0)&gt;0,MAX($BG$2:BG103)+1,0)</f>
        <v>0</v>
      </c>
      <c r="BH104" s="48">
        <f ca="1">IF(IF(AND(OR(INDEX(PDC,MATCH($AC104,DEN_PDC,0),6)="SP AVERE",INDEX(PDC,MATCH($AC104,DEN_PDC,0),6)="SP DARE/AVERE"),SUMIFS(AVERE,DEN_G,$AC104)&gt;=SUMIFS(DARE,DEN_G,$AC104)),SUMIFS(AVERE,DEN_G,$AC104)-SUMIFS(DARE,DEN_G,$AC104),0)&gt;0,MAX(BH$2:BH103)+1,0)</f>
        <v>0</v>
      </c>
      <c r="BI104" s="48">
        <f ca="1">IF(IF(AND(OR(INDEX(PDC,MATCH($AC104,DEN_PDC,0),6)="SE DARE",INDEX(PDC,MATCH($AC104,DEN_PDC,0),6)="SE DARE/AVERE"),SUMIFS(DARE,DEN_G,$AC104)&gt;=SUMIFS(AVERE,DEN_G,$AC104)),SUMIFS(DARE,DEN_G,$AC104)-SUMIFS(AVERE,DEN_G,$AC104),0)&gt;0,MAX(BI$2:BI103)+1,0)</f>
        <v>0</v>
      </c>
      <c r="BJ104" s="48">
        <f ca="1">IF(IF(AND(OR(INDEX(PDC,MATCH($AC104,DEN_PDC,0),6)="SE AVERE",INDEX(PDC,MATCH($AC104,DEN_PDC,0),6)="SE DARE/AVERE"),SUMIFS(AVERE,DEN_G,$AC104)&gt;=SUMIFS(DARE,DEN_G,$AC104)),SUMIFS(AVERE,DEN_G,$AC104)-SUMIFS(DARE,DEN_G,$AC104),0)&gt;0,MAX(BJ$2:BJ103)+1,0)</f>
        <v>0</v>
      </c>
      <c r="BK104" s="48" t="str">
        <f ca="1">IF(AND(AND($DY$2=0,$DY$1=0),$I$1=2,ROW()&gt;$BG$1+2,ROW()&lt;=$BG$1+4),"………………..",IF(AND(OR($DY$2&gt;0,$DY$1&gt;0),$I$1=2,ROW()&gt;$BG$1+2,ROW()&lt;=$BG$1+4),"………………..",IFERROR(INDEX($AC$3:$AC$398,MATCH(ROWS(BK$3:BK104),BG$3:BG$398,0),1),"")))</f>
        <v/>
      </c>
      <c r="BL104" s="48">
        <f t="shared" ca="1" si="136"/>
        <v>0</v>
      </c>
      <c r="BM104" s="48" t="str">
        <f ca="1">IF(AND(OR($DY$2=0,$DY$1=0),$I$1=2,ROW()&gt;$BH$1+2,ROW()&lt;=$BH$1+4),"………………..",IF(AND(OR($DY$2&gt;0,$DY$1&gt;0),$I$1=2,ROW()&gt;$BH$1+2,ROW()&lt;=$BH$1+4),"………………..",IFERROR(INDEX($AC$3:$AC$400,MATCH(ROWS(BM$3:BM104),BH$3:BH$400,0),1),"")))</f>
        <v/>
      </c>
      <c r="BN104" s="48">
        <f t="shared" ca="1" si="137"/>
        <v>0</v>
      </c>
      <c r="BO104" s="48" t="str">
        <f ca="1">IF(AND(OR($DY$2=0,$DY$1=0),$I$1=2,ROW()&gt;$BI$1+2,ROW()&lt;=$BI$1+4),"………………..",IF(AND(OR($DY$2&gt;0,$DY$1&gt;0),$I$1=2,ROW()&gt;$BI$1+2,ROW()&lt;=$BI$1+4),"………………..",IFERROR(INDEX($AC$3:$AC$400,MATCH(ROWS(BO$3:BO104),BI$3:BI$400,0),1),"")))</f>
        <v/>
      </c>
      <c r="BP104" s="48">
        <f t="shared" ca="1" si="138"/>
        <v>0</v>
      </c>
      <c r="BQ104" s="48" t="str">
        <f ca="1">IF(AND(OR($DY$2=0,$DY$1=0),$I$1=2,ROW()&gt;$BJ$1+2,ROW()&lt;=$BJ$1+4),"………………..",IF(AND(OR($DY$2&gt;0,$DY$1&gt;0),$I$1=2,ROW()&gt;$BJ$1+2,ROW()&lt;=$BJ$1+4),"………………..",IFERROR(INDEX($AC$3:$AC$400,MATCH(ROWS(BQ$3:BQ104),BJ$3:BJ$400,0),1),"")))</f>
        <v/>
      </c>
      <c r="BR104" s="48">
        <f t="shared" ca="1" si="139"/>
        <v>0</v>
      </c>
      <c r="BS104" s="48">
        <f ca="1">IF(IF(AND(OR(INDEX(PDC,MATCH($AC104,DEN_PDC,0),4)="D",INDEX(PDC,MATCH($AC104,DEN_PDC,0),4)="D/A"),SUMIFS(DARE,DEN_G,$AC104)&gt;=SUMIFS(AVERE,DEN_G,$AC104)),SUMIFS(DARE,DEN_G,$AC104),IF(AND(OR(INDEX(PDC,MATCH($AC104,DEN_PDC,0),4)="A",INDEX(PDC,MATCH($AC104,DEN_PDC,0),4)="D/A"),SUMIFS(AVERE,DEN_G,$AC104)&gt;=SUMIFS(DARE,DEN_G,$AC104)),SUMIFS(AVERE,DEN_G,$AC104),))&gt;0,MAX($BS$2:BS103)+1,0)</f>
        <v>0</v>
      </c>
      <c r="BT104" s="48" t="str">
        <f ca="1">IF($CO$1=0,"",IF(AND($I$1=2,ROW()&gt;$BR$1,ROW()&lt;=$BS$1)," …………….",IF(AND($E$1=1,$BX$1=1,$I$1=2,ROW()=$BQ$1),"TOTALI",IFERROR(INDEX(PDC,MATCH(ROWS(BT$3:BT104),BS$3:BS501,0),2),""))))</f>
        <v/>
      </c>
      <c r="BU104" s="48">
        <f t="shared" ca="1" si="140"/>
        <v>0</v>
      </c>
      <c r="BV104" s="48">
        <f t="shared" ca="1" si="141"/>
        <v>0</v>
      </c>
      <c r="BW104" s="48">
        <f t="shared" ca="1" si="142"/>
        <v>0</v>
      </c>
      <c r="BX104" s="48">
        <f t="shared" ca="1" si="143"/>
        <v>0</v>
      </c>
      <c r="BY104" s="48">
        <f ca="1">IF(OR(BW104&gt;0,BX104&gt;0),MAX($BY$2:BY103)+1,0)</f>
        <v>0</v>
      </c>
      <c r="BZ104" s="48" t="str">
        <f ca="1">IFERROR(INDEX($BT$3:$BY$400,MATCH(ROWS(BZ$3:BZ104),$BY$3:$BY$400,0),1),"")</f>
        <v/>
      </c>
      <c r="CA104" s="48" t="str">
        <f ca="1">IFERROR(INDEX($BT$3:$BY$400,MATCH(ROWS(CA$3:CA104),$BY$3:$BY$400,0),4),"")</f>
        <v/>
      </c>
      <c r="CB104" s="48" t="str">
        <f ca="1">IFERROR(INDEX($BT$3:$BY$400,MATCH(ROWS(CB$3:CB104),$BY$3:$BY$400,0),5),"")</f>
        <v/>
      </c>
      <c r="CC104" s="48" t="str">
        <f t="shared" ca="1" si="144"/>
        <v/>
      </c>
      <c r="CD104" s="48">
        <f ca="1">IF(AND($BF$9=1,CE104&gt;0),MAX($CD$87:CD103)+1,0)</f>
        <v>0</v>
      </c>
      <c r="CJ104" s="242"/>
      <c r="CM104" s="242" t="str">
        <f t="shared" ca="1" si="166"/>
        <v/>
      </c>
      <c r="CN104" s="243">
        <f t="shared" ca="1" si="167"/>
        <v>0</v>
      </c>
      <c r="CO104" s="48" t="str">
        <f t="shared" ca="1" si="168"/>
        <v/>
      </c>
      <c r="CQ104" s="242">
        <f t="shared" ca="1" si="242"/>
        <v>2030</v>
      </c>
      <c r="CR104" s="242">
        <f t="shared" ca="1" si="243"/>
        <v>0</v>
      </c>
      <c r="CS104" s="48">
        <f t="shared" ca="1" si="244"/>
        <v>0</v>
      </c>
      <c r="CT104" s="48">
        <f t="shared" ca="1" si="245"/>
        <v>0</v>
      </c>
      <c r="CU104" s="48">
        <f ca="1">IF(SUMIFS(AVERE,DEN_G,AC104,AVERE,"&gt;"&amp;0)+SUMIFS(DARE,DEN_G,AC104,DARE,"&gt;"&amp;0)&gt;0,MAX($CU$2:CU103)+1,0)</f>
        <v>0</v>
      </c>
      <c r="CV104" s="48" t="str">
        <f ca="1">IF(IFERROR(INDEX(PDC,MATCH(ROWS($CV$3:CV104),$CU$3:$CU$400,0),2),"")="CONTO DI RISULTATO ECONOMICO","",IFERROR(INDEX(PDC,MATCH(ROWS($CV$3:CV104),$CU$3:$CU$400,0),2),""))</f>
        <v/>
      </c>
      <c r="CW104" s="48">
        <f ca="1">IFERROR(IF(CV104&lt;&gt;"",MAX($CW$2:CW103)+1,0),0)</f>
        <v>0</v>
      </c>
      <c r="CX104" s="48">
        <f t="shared" ca="1" si="229"/>
        <v>8</v>
      </c>
      <c r="CY104" s="48" t="str">
        <f t="shared" ca="1" si="228"/>
        <v>MASTRO</v>
      </c>
      <c r="CZ104" s="48" t="e">
        <f t="shared" ca="1" si="231"/>
        <v>#N/A</v>
      </c>
      <c r="DA104" s="48" t="str">
        <f t="shared" ca="1" si="235"/>
        <v/>
      </c>
      <c r="DB104" s="48" t="str">
        <f t="shared" ca="1" si="212"/>
        <v/>
      </c>
      <c r="DC104" s="48" t="str">
        <f t="shared" ca="1" si="232"/>
        <v/>
      </c>
      <c r="DD104" s="48" t="str">
        <f t="shared" ca="1" si="233"/>
        <v/>
      </c>
      <c r="DE104" s="48" t="str">
        <f t="shared" ca="1" si="234"/>
        <v/>
      </c>
      <c r="DF104" s="48">
        <f ca="1">IF(AND(CX104=$DF$1,CX104&lt;&gt;""),0,IF(AND(DB104&lt;&gt;"",OR(DB103&lt;&gt;"",DB105&lt;&gt;"")),MAX($DF$2:DF103)+1,0))</f>
        <v>0</v>
      </c>
      <c r="DH104" s="244" t="s">
        <v>927</v>
      </c>
      <c r="DI104" s="48" t="s">
        <v>1139</v>
      </c>
      <c r="DJ104" s="48" t="s">
        <v>312</v>
      </c>
      <c r="DK104" s="48" t="s">
        <v>275</v>
      </c>
      <c r="DL104" s="48" t="s">
        <v>6</v>
      </c>
      <c r="DM104" s="48" t="s">
        <v>270</v>
      </c>
      <c r="DN104" s="48">
        <f ca="1">IF(DI104&lt;&gt;"",MAX($DN$2:DN103)+1,0)</f>
        <v>86</v>
      </c>
      <c r="DO104" s="48" t="str">
        <f ca="1">IF($BF$9=1,"pac24","pac2")</f>
        <v>pac2</v>
      </c>
      <c r="DQ104" s="227" t="s">
        <v>372</v>
      </c>
      <c r="DR104" s="48" t="s">
        <v>74</v>
      </c>
      <c r="DS104" s="48" t="s">
        <v>312</v>
      </c>
      <c r="DT104" s="48" t="s">
        <v>275</v>
      </c>
      <c r="DU104" s="48" t="s">
        <v>6</v>
      </c>
      <c r="DV104" s="48" t="s">
        <v>270</v>
      </c>
      <c r="DW104" s="48">
        <f ca="1">IF(DR104&lt;&gt;"",MAX($DW$2:DW103)+1,0)</f>
        <v>60</v>
      </c>
      <c r="DX104" s="48" t="str">
        <f t="shared" ca="1" si="239"/>
        <v>pac2</v>
      </c>
      <c r="DY104" s="48" t="str">
        <f t="shared" ca="1" si="147"/>
        <v/>
      </c>
      <c r="DZ104" s="48" t="str">
        <f t="shared" ca="1" si="170"/>
        <v/>
      </c>
      <c r="EA104" s="48" t="str">
        <f t="shared" ca="1" si="171"/>
        <v/>
      </c>
      <c r="EB104" s="48">
        <f t="shared" ca="1" si="172"/>
        <v>0</v>
      </c>
      <c r="EC104" s="48">
        <f t="shared" ca="1" si="173"/>
        <v>0</v>
      </c>
      <c r="ED104" s="48" t="str">
        <f t="shared" ca="1" si="174"/>
        <v/>
      </c>
      <c r="EE104" s="48">
        <f t="shared" ca="1" si="175"/>
        <v>0</v>
      </c>
      <c r="EF104" s="48" t="str">
        <f t="shared" ca="1" si="176"/>
        <v/>
      </c>
      <c r="EG104" s="48">
        <f t="shared" ca="1" si="177"/>
        <v>0</v>
      </c>
      <c r="EH104" s="48" t="str">
        <f t="shared" ca="1" si="178"/>
        <v/>
      </c>
      <c r="EI104" s="48">
        <f t="shared" ca="1" si="179"/>
        <v>0</v>
      </c>
      <c r="EJ104" s="48" t="str">
        <f t="shared" ca="1" si="180"/>
        <v/>
      </c>
      <c r="EK104" s="48">
        <f t="shared" ca="1" si="181"/>
        <v>0</v>
      </c>
      <c r="EL104" s="48">
        <f t="shared" ca="1" si="148"/>
        <v>0</v>
      </c>
      <c r="EM104" s="48">
        <f ca="1">IF(EL104&gt;=0,0,MAX($EM$2:EM103)+1)</f>
        <v>0</v>
      </c>
      <c r="EN104" s="48" t="str">
        <f t="shared" ca="1" si="182"/>
        <v/>
      </c>
      <c r="EO104" s="48" t="str">
        <f ca="1">IFERROR(INDEX($EM$3:$EN$400,MATCH(ROWS($EO$3:EO104),$EM$3:$EM$400,0),2),"")</f>
        <v/>
      </c>
      <c r="EP104" s="48">
        <f>ROW()</f>
        <v>104</v>
      </c>
      <c r="EQ104" s="48">
        <f t="shared" ca="1" si="149"/>
        <v>0</v>
      </c>
      <c r="ER104" s="48">
        <f ca="1">IF(ISNA(EQ104)=TRUE,MAX($ER$2:ER103)+1,0)</f>
        <v>0</v>
      </c>
      <c r="ES104" s="48" t="str">
        <f t="shared" ca="1" si="183"/>
        <v/>
      </c>
      <c r="ET104" s="48" t="str">
        <f ca="1">IFERROR(INDEX($ER$3:$ES$400,MATCH(ROWS($ET$3:ET104),$ER$3:$ER$400,0),2),"")</f>
        <v/>
      </c>
      <c r="EV104" s="48">
        <f ca="1">IFERROR(INDEX(LIBRO_GIORNALE!$O$11:$P$408,MATCH(ROWS($EV$2:EV103),LIBRO_GIORNALE!$P$11:$P$408,0),1),0)</f>
        <v>0</v>
      </c>
      <c r="EW104" s="48" t="str">
        <f t="shared" ca="1" si="184"/>
        <v>0</v>
      </c>
      <c r="EX104" s="48">
        <f t="shared" ca="1" si="185"/>
        <v>0</v>
      </c>
      <c r="EY104" s="48">
        <f ca="1">IF(EX104&gt;0,MAX($EY$2:EY103)+1,0)</f>
        <v>0</v>
      </c>
      <c r="EZ104" s="48">
        <f ca="1">IFERROR(INDEX($EX$3:$EX$400,MATCH(ROWS($EZ$3:EZ104),$EY$3:$EY$400,0),1),0)</f>
        <v>0</v>
      </c>
      <c r="FA104" s="48">
        <f ca="1">IF(EZ104&gt;0,0,MAX($FA$2:FA103)+1)</f>
        <v>102</v>
      </c>
      <c r="FB104" s="48">
        <f t="shared" ca="1" si="186"/>
        <v>0</v>
      </c>
      <c r="FC104" s="48">
        <f t="shared" ca="1" si="187"/>
        <v>102</v>
      </c>
      <c r="FD104" s="48">
        <f t="shared" ca="1" si="188"/>
        <v>102</v>
      </c>
      <c r="FE104" s="48">
        <f ca="1">IF(FD104=0,0,MAX($FE$2:FE103)+1)</f>
        <v>102</v>
      </c>
      <c r="FF104" s="48">
        <f ca="1">IFERROR(INDEX($FD$3:$FE$400,MATCH(ROWS($FF$3:FF104),$FE$3:$FE$400,0),1),"")</f>
        <v>102</v>
      </c>
      <c r="FG104" s="48">
        <f t="shared" ref="FG104:FG167" ca="1" si="255">IF(AND(AL104&gt;0,AL104&gt;AL105,AL105&lt;&gt;0),1,0)</f>
        <v>0</v>
      </c>
      <c r="FH104" s="48">
        <f t="shared" ca="1" si="189"/>
        <v>0</v>
      </c>
      <c r="FI104" s="48">
        <f ca="1">IF(FH104&lt;&gt;0,MAX($FI$2:FI103)+1,0)</f>
        <v>0</v>
      </c>
      <c r="FJ104" s="48" t="str">
        <f ca="1">IFERROR(INDEX($FH$3:$FI$400,MATCH(ROWS($FJ$3:FJ104),$FI$3:$FI$400,0),1),"")</f>
        <v/>
      </c>
      <c r="FK104" s="48">
        <f ca="1">IF(ABS(SUMIFS(DARE,DEN_G,"="&amp;FJ104,DATA,"&lt;="&amp;FINE_AC,DATA,"&gt;="&amp;INIZIO_A_PC)-SUMIFS(AVERE,DEN_G,"="&amp;FJ104,DATA,"&lt;="&amp;FINE_AC,DATA,"&gt;="&amp;INIZIO_A_PC))&gt;0,MAX($FK$2:FK103)+1,0)</f>
        <v>0</v>
      </c>
      <c r="FL104" s="48" t="str">
        <f ca="1">IF(AND(ROW()-2&lt;&gt;1,ROW()-2&lt;=$FK$1),CONCATENATE(" - ",IFERROR(INDEX($FJ$3:$FK$400,MATCH(ROWS($FL$3:FL104),$FK$3:$FK$400,0),1),"")),IFERROR(INDEX($FJ$3:$FK$400,MATCH(ROWS($FL$3:FL104),$FK$3:$FK$400,0),1),""))</f>
        <v/>
      </c>
      <c r="FM104" s="48">
        <f ca="1">IF(OR(B104="IVA ns/credito",B104="IVA NS/DEBITO",B104="IVA C/ACCONTO",B104="IMPOSTE C/ACCONTO",B104="CREDITI PER RITENUTE SUBITE",B104="CREDITI D'IMPOSTA"),MAX($FM$2:FM103)+1,0)</f>
        <v>0</v>
      </c>
      <c r="FN104" s="48" t="str">
        <f t="shared" ca="1" si="190"/>
        <v/>
      </c>
      <c r="FO104" s="48" t="str">
        <f ca="1">IFERROR(INDEX($FM$3:$FN$400,MATCH(ROWS($FO$3:FO104),$FM$3:$FM$400,0),2),"")</f>
        <v/>
      </c>
      <c r="FP104" s="48">
        <f ca="1">IF(ABS(SUMIFS(DARE,DEN_G,"="&amp;FO104,DATA,"&lt;="&amp;FINE_AC,DATA,"&gt;="&amp;INIZIO_A_PC)-SUMIFS(AVERE,DEN_G,"="&amp;FO104,DATA,"&lt;="&amp;FINE_AC,DATA,"&gt;="&amp;INIZIO_A_PC))&gt;0,MAX($FP$2:FP103)+1,0)</f>
        <v>0</v>
      </c>
      <c r="FQ104" s="48" t="str">
        <f ca="1">IF(AND(ROW()-2&lt;&gt;1,ROW()-2&lt;=$FP$1),CONCATENATE(" - ",IFERROR(INDEX($FO$3:$FP$400,MATCH(ROWS($FQ$3:FQ104),$FP$3:$FP$400,0),1),"")),IFERROR(INDEX($FO$3:$FP$400,MATCH(ROWS($FQ$3:FQ104),$FP$3:$FP$400,0),1),""))</f>
        <v/>
      </c>
    </row>
    <row r="105" spans="1:173" x14ac:dyDescent="0.3">
      <c r="A105" s="48" t="str">
        <f ca="1">IFERROR(IF($A$1=2,INDEX($DH$3:$DN$401,MATCH(ROWS(A$3:A105),$DN$3:$DN$401,0),COLUMN()),IF($A$1=1,INDEX($DQ$3:$DW$401,MATCH(ROWS(A$3:A105),$DW$3:$DW$401,0),COLUMN()),"")),"")</f>
        <v>10.00</v>
      </c>
      <c r="B105" s="48" t="str">
        <f ca="1">IFERROR(IF($A$1=2,INDEX($DH$3:$DN$401,MATCH(ROWS(B$3:B105),$DN$3:$DN$401,0),COLUMN()),IF($A$1=1,INDEX($DQ$3:$DW$400,MATCH(ROWS(B$3:B105),$DW$3:$DW$401,0),COLUMN()),"")),"")</f>
        <v>PATRIMONIO NETTO</v>
      </c>
      <c r="C105" s="48">
        <f ca="1">IFERROR(IF($A$1=2,INDEX($DH$3:$DN$401,MATCH(ROWS(C$3:C105),$DN$3:$DN$401,0),COLUMN()),IF($A$1=1,INDEX($DQ$3:$DW$401,MATCH(ROWS(C$3:C105),$DW$3:$DW$401,0),COLUMN()),"")),"")</f>
        <v>0</v>
      </c>
      <c r="D105" s="48">
        <f ca="1">IFERROR(IF($A$1=2,INDEX($DH$3:$DN$401,MATCH(ROWS(D$3:D105),$DN$3:$DN$401,0),COLUMN()),IF($A$1=1,INDEX($DQ$3:$DW$401,MATCH(ROWS(D$3:D105),$DW$3:$DW$401,0),COLUMN()),"")),"")</f>
        <v>0</v>
      </c>
      <c r="E105" s="48">
        <f ca="1">IFERROR(IF($A$1=2,INDEX($DH$3:$DN$401,MATCH(ROWS(E$3:E105),$DN$3:$DN$401,0),COLUMN()),IF($A$1=1,INDEX($DQ$3:$DW$401,MATCH(ROWS(E$3:E105),$DW$3:$DW$401,0),COLUMN()),"")),"")</f>
        <v>0</v>
      </c>
      <c r="F105" s="48">
        <f ca="1">IFERROR(IF($A$1=2,INDEX($DH$3:$DN$401,MATCH(ROWS(F$3:F105),$DN$3:$DN$401,0),COLUMN()),IF($A$1=1,INDEX($DQ$3:$DX$401,MATCH(ROWS(F$3:F105),$DW$3:$DW$401,0),COLUMN()),"")),"")</f>
        <v>0</v>
      </c>
      <c r="G105" s="48" t="str">
        <f t="shared" ca="1" si="150"/>
        <v>0</v>
      </c>
      <c r="H105" s="48">
        <f ca="1">IFERROR(IF($A$1=2,INDEX($DH$3:$DO$400,MATCH(ROWS(H$3:H105),$DN$3:$DN$400,0),COLUMN()),IF($A$1=1,INDEX($DQ$3:$DX$400,MATCH(ROWS(H$3:H105),$DW$3:$DW$400,0),COLUMN()),"")),"")</f>
        <v>0</v>
      </c>
      <c r="I105" s="48" t="str">
        <f t="shared" ca="1" si="151"/>
        <v/>
      </c>
      <c r="J105" s="48" t="str">
        <f t="shared" ca="1" si="152"/>
        <v/>
      </c>
      <c r="K105" s="48">
        <f t="shared" ca="1" si="153"/>
        <v>0</v>
      </c>
      <c r="L105" s="48">
        <f t="shared" ca="1" si="154"/>
        <v>0</v>
      </c>
      <c r="M105" s="48">
        <f ca="1">IFERROR(IF(IF(MID($A105,3,3)=".00",MID(A105,1,2),"")&lt;&gt;"",MAX($M$2:M104)+1,0),"")</f>
        <v>11</v>
      </c>
      <c r="N105" s="48" t="str">
        <f t="shared" ca="1" si="155"/>
        <v>10</v>
      </c>
      <c r="O105" s="48" t="str">
        <f ca="1">IF(IFERROR(INDEX($N$3:$O$300,MATCH(ROWS($O$3:O105),$M$3:$M$300,0),1),"")&lt;&gt;"",CONCATENATE(INDEX($N$3:$O$300,MATCH(ROWS($O$3:O105),$M$3:$M$300,0),1),".00"),"")</f>
        <v/>
      </c>
      <c r="P105" s="48" t="str">
        <f t="shared" ca="1" si="156"/>
        <v/>
      </c>
      <c r="Q105" s="48">
        <f ca="1">IF(M105&gt;=1,0,MAX($Q$2:Q104)+1)</f>
        <v>0</v>
      </c>
      <c r="U105" s="48" t="str">
        <f ca="1">IFERROR(INDEX(PDC,MATCH(ROWS(U$3:U105),$V$3:$V$400,0),2),"")</f>
        <v>UTILI A NUOVO</v>
      </c>
      <c r="V105" s="48">
        <f ca="1">IF(AND($T$1="VISUALIZZA TUTTI I CONTI",AA105&lt;&gt;""),MAX($V$2:V104)+1,IF(AND($U$2=2,AI105=$T$1),MAX($V$2:V104)+1,IF(AND($U$2=1,$T$1=AF105),MAX($V$2:V104)+1,0)))</f>
        <v>103</v>
      </c>
      <c r="Z105" s="246"/>
      <c r="AA105" s="48" t="str">
        <f t="shared" ca="1" si="157"/>
        <v>10.00</v>
      </c>
      <c r="AB105" s="48" t="str">
        <f ca="1">IFERROR(INDEX($A$3:$G$400,MATCH(ROWS(AB$3:AB105),$Q$3:$Q$400,0),1),"")</f>
        <v>10.30</v>
      </c>
      <c r="AC105" s="48" t="str">
        <f ca="1">IFERROR(INDEX($A$3:$G$400,MATCH(ROWS($AC$3:AC105),$Q$3:$Q$400,0),2),"")</f>
        <v>UTILI A NUOVO</v>
      </c>
      <c r="AD105" s="48" t="str">
        <f ca="1">IFERROR(INDEX($A$3:$G$400,MATCH(ROWS(AD$3:AD105),$Q$3:$Q$400,0),3),"")</f>
        <v>E</v>
      </c>
      <c r="AE105" s="48" t="str">
        <f ca="1">IFERROR(INDEX($A$3:$G$400,MATCH(ROWS(AE$3:AE105),$Q$3:$Q$400,0),4),"")</f>
        <v>A</v>
      </c>
      <c r="AF105" s="48" t="str">
        <f ca="1">IFERROR(INDEX($A$3:$G$400,MATCH(ROWS(AF$3:AF105),$Q$3:$Q$400,0),5),"")</f>
        <v>PATRIMONIO NETTO</v>
      </c>
      <c r="AG105" s="48" t="str">
        <f ca="1">IFERROR(INDEX($A$3:$G$400,MATCH(ROWS(AG$3:AG105),$Q$3:$Q$400,0),6),"")</f>
        <v>SP AVERE</v>
      </c>
      <c r="AH105" s="48" t="str">
        <f ca="1">IFERROR(INDEX($A$3:$G$400,MATCH(ROWS(AH$3:AH105),$Q$3:$Q$400,0),7),"")</f>
        <v>SP</v>
      </c>
      <c r="AI105" s="48" t="str">
        <f t="shared" ca="1" si="158"/>
        <v>PATRIMONIO NETTO</v>
      </c>
      <c r="AJ105" s="48" t="str">
        <f ca="1">IFERROR(INDEX($A$3:$H$400,MATCH(ROWS(AJ$3:AJ105),$Q$3:$Q$400,0),8),"")</f>
        <v>ppa8</v>
      </c>
      <c r="AK105" s="48">
        <f t="shared" ca="1" si="130"/>
        <v>0</v>
      </c>
      <c r="AL105" s="48">
        <f t="shared" ca="1" si="251"/>
        <v>0</v>
      </c>
      <c r="AM105" s="48">
        <f t="shared" ca="1" si="252"/>
        <v>0</v>
      </c>
      <c r="AN105" s="48">
        <f t="shared" ca="1" si="253"/>
        <v>0</v>
      </c>
      <c r="AO105" s="48">
        <f t="shared" ca="1" si="254"/>
        <v>0</v>
      </c>
      <c r="AP105" s="48">
        <f t="shared" ca="1" si="254"/>
        <v>0</v>
      </c>
      <c r="AQ105" s="48" t="str">
        <f t="shared" ca="1" si="132"/>
        <v>UTILI A NUOVO</v>
      </c>
      <c r="AR105" s="48">
        <f t="shared" ca="1" si="133"/>
        <v>0</v>
      </c>
      <c r="AS105" s="48">
        <f t="shared" ca="1" si="134"/>
        <v>0</v>
      </c>
      <c r="AT105" s="48">
        <f t="shared" ca="1" si="162"/>
        <v>0</v>
      </c>
      <c r="AU105" s="48">
        <f t="shared" ca="1" si="163"/>
        <v>0</v>
      </c>
      <c r="AV105" s="48">
        <f ca="1">IF(OR(AT105&gt;0,AU105&gt;0),MAX($AV$2:AV104)+1,0)</f>
        <v>0</v>
      </c>
      <c r="AZ105" s="241" t="str">
        <f t="shared" si="240"/>
        <v>5 V.I.</v>
      </c>
      <c r="BA105" s="48">
        <f t="shared" ca="1" si="241"/>
        <v>0</v>
      </c>
      <c r="BB105" s="48">
        <f t="shared" ca="1" si="247"/>
        <v>0</v>
      </c>
      <c r="BC105" s="48" t="str">
        <f t="shared" ca="1" si="248"/>
        <v/>
      </c>
      <c r="BD105" s="48">
        <f t="shared" ca="1" si="249"/>
        <v>0</v>
      </c>
      <c r="BE105" s="48">
        <f t="shared" ca="1" si="250"/>
        <v>0</v>
      </c>
      <c r="BF105" s="48">
        <v>3</v>
      </c>
      <c r="BG105" s="48">
        <f ca="1">IF(IF(AND(OR(INDEX(PDC,MATCH($AC105,DEN_PDC,0),6)="SP DARE",INDEX(PDC,MATCH($AC105,DEN_PDC,0),6)="SP DARE/AVERE"),SUMIFS(DARE,DEN_G,$AC105)&gt;=SUMIFS(AVERE,DEN_G,$AC105)),SUMIFS(DARE,DEN_G,$AC105)-SUMIFS(AVERE,DEN_G,$AC105),0)&gt;0,MAX($BG$2:BG104)+1,0)</f>
        <v>0</v>
      </c>
      <c r="BH105" s="48">
        <f ca="1">IF(IF(AND(OR(INDEX(PDC,MATCH($AC105,DEN_PDC,0),6)="SP AVERE",INDEX(PDC,MATCH($AC105,DEN_PDC,0),6)="SP DARE/AVERE"),SUMIFS(AVERE,DEN_G,$AC105)&gt;=SUMIFS(DARE,DEN_G,$AC105)),SUMIFS(AVERE,DEN_G,$AC105)-SUMIFS(DARE,DEN_G,$AC105),0)&gt;0,MAX(BH$2:BH104)+1,0)</f>
        <v>0</v>
      </c>
      <c r="BI105" s="48">
        <f ca="1">IF(IF(AND(OR(INDEX(PDC,MATCH($AC105,DEN_PDC,0),6)="SE DARE",INDEX(PDC,MATCH($AC105,DEN_PDC,0),6)="SE DARE/AVERE"),SUMIFS(DARE,DEN_G,$AC105)&gt;=SUMIFS(AVERE,DEN_G,$AC105)),SUMIFS(DARE,DEN_G,$AC105)-SUMIFS(AVERE,DEN_G,$AC105),0)&gt;0,MAX(BI$2:BI104)+1,0)</f>
        <v>0</v>
      </c>
      <c r="BJ105" s="48">
        <f ca="1">IF(IF(AND(OR(INDEX(PDC,MATCH($AC105,DEN_PDC,0),6)="SE AVERE",INDEX(PDC,MATCH($AC105,DEN_PDC,0),6)="SE DARE/AVERE"),SUMIFS(AVERE,DEN_G,$AC105)&gt;=SUMIFS(DARE,DEN_G,$AC105)),SUMIFS(AVERE,DEN_G,$AC105)-SUMIFS(DARE,DEN_G,$AC105),0)&gt;0,MAX(BJ$2:BJ104)+1,0)</f>
        <v>0</v>
      </c>
      <c r="BK105" s="48" t="str">
        <f ca="1">IF(AND(AND($DY$2=0,$DY$1=0),$I$1=2,ROW()&gt;$BG$1+2,ROW()&lt;=$BG$1+4),"………………..",IF(AND(OR($DY$2&gt;0,$DY$1&gt;0),$I$1=2,ROW()&gt;$BG$1+2,ROW()&lt;=$BG$1+4),"………………..",IFERROR(INDEX($AC$3:$AC$398,MATCH(ROWS(BK$3:BK105),BG$3:BG$398,0),1),"")))</f>
        <v/>
      </c>
      <c r="BL105" s="48">
        <f t="shared" ca="1" si="136"/>
        <v>0</v>
      </c>
      <c r="BM105" s="48" t="str">
        <f ca="1">IF(AND(OR($DY$2=0,$DY$1=0),$I$1=2,ROW()&gt;$BH$1+2,ROW()&lt;=$BH$1+4),"………………..",IF(AND(OR($DY$2&gt;0,$DY$1&gt;0),$I$1=2,ROW()&gt;$BH$1+2,ROW()&lt;=$BH$1+4),"………………..",IFERROR(INDEX($AC$3:$AC$400,MATCH(ROWS(BM$3:BM105),BH$3:BH$400,0),1),"")))</f>
        <v/>
      </c>
      <c r="BN105" s="48">
        <f t="shared" ca="1" si="137"/>
        <v>0</v>
      </c>
      <c r="BO105" s="48" t="str">
        <f ca="1">IF(AND(OR($DY$2=0,$DY$1=0),$I$1=2,ROW()&gt;$BI$1+2,ROW()&lt;=$BI$1+4),"………………..",IF(AND(OR($DY$2&gt;0,$DY$1&gt;0),$I$1=2,ROW()&gt;$BI$1+2,ROW()&lt;=$BI$1+4),"………………..",IFERROR(INDEX($AC$3:$AC$400,MATCH(ROWS(BO$3:BO105),BI$3:BI$400,0),1),"")))</f>
        <v/>
      </c>
      <c r="BP105" s="48">
        <f t="shared" ca="1" si="138"/>
        <v>0</v>
      </c>
      <c r="BQ105" s="48" t="str">
        <f ca="1">IF(AND(OR($DY$2=0,$DY$1=0),$I$1=2,ROW()&gt;$BJ$1+2,ROW()&lt;=$BJ$1+4),"………………..",IF(AND(OR($DY$2&gt;0,$DY$1&gt;0),$I$1=2,ROW()&gt;$BJ$1+2,ROW()&lt;=$BJ$1+4),"………………..",IFERROR(INDEX($AC$3:$AC$400,MATCH(ROWS(BQ$3:BQ105),BJ$3:BJ$400,0),1),"")))</f>
        <v/>
      </c>
      <c r="BR105" s="48">
        <f t="shared" ca="1" si="139"/>
        <v>0</v>
      </c>
      <c r="BS105" s="48">
        <f ca="1">IF(IF(AND(OR(INDEX(PDC,MATCH($AC105,DEN_PDC,0),4)="D",INDEX(PDC,MATCH($AC105,DEN_PDC,0),4)="D/A"),SUMIFS(DARE,DEN_G,$AC105)&gt;=SUMIFS(AVERE,DEN_G,$AC105)),SUMIFS(DARE,DEN_G,$AC105),IF(AND(OR(INDEX(PDC,MATCH($AC105,DEN_PDC,0),4)="A",INDEX(PDC,MATCH($AC105,DEN_PDC,0),4)="D/A"),SUMIFS(AVERE,DEN_G,$AC105)&gt;=SUMIFS(DARE,DEN_G,$AC105)),SUMIFS(AVERE,DEN_G,$AC105),))&gt;0,MAX($BS$2:BS104)+1,0)</f>
        <v>0</v>
      </c>
      <c r="BT105" s="48" t="str">
        <f ca="1">IF($CO$1=0,"",IF(AND($I$1=2,ROW()&gt;$BR$1,ROW()&lt;=$BS$1)," …………….",IF(AND($E$1=1,$BX$1=1,$I$1=2,ROW()=$BQ$1),"TOTALI",IFERROR(INDEX(PDC,MATCH(ROWS(BT$3:BT105),BS$3:BS502,0),2),""))))</f>
        <v/>
      </c>
      <c r="BU105" s="48">
        <f t="shared" ca="1" si="140"/>
        <v>0</v>
      </c>
      <c r="BV105" s="48">
        <f t="shared" ca="1" si="141"/>
        <v>0</v>
      </c>
      <c r="BW105" s="48">
        <f t="shared" ca="1" si="142"/>
        <v>0</v>
      </c>
      <c r="BX105" s="48">
        <f t="shared" ca="1" si="143"/>
        <v>0</v>
      </c>
      <c r="BY105" s="48">
        <f ca="1">IF(OR(BW105&gt;0,BX105&gt;0),MAX($BY$2:BY104)+1,0)</f>
        <v>0</v>
      </c>
      <c r="BZ105" s="48" t="str">
        <f ca="1">IFERROR(INDEX($BT$3:$BY$400,MATCH(ROWS(BZ$3:BZ105),$BY$3:$BY$400,0),1),"")</f>
        <v/>
      </c>
      <c r="CA105" s="48" t="str">
        <f ca="1">IFERROR(INDEX($BT$3:$BY$400,MATCH(ROWS(CA$3:CA105),$BY$3:$BY$400,0),4),"")</f>
        <v/>
      </c>
      <c r="CB105" s="48" t="str">
        <f ca="1">IFERROR(INDEX($BT$3:$BY$400,MATCH(ROWS(CB$3:CB105),$BY$3:$BY$400,0),5),"")</f>
        <v/>
      </c>
      <c r="CC105" s="48" t="str">
        <f t="shared" ca="1" si="144"/>
        <v/>
      </c>
      <c r="CD105" s="48">
        <f ca="1">IF(AND($BF$9=1,CE105&gt;0),MAX($CD$104:CD104)+1,0)</f>
        <v>0</v>
      </c>
      <c r="CG105" s="48" t="s">
        <v>775</v>
      </c>
      <c r="CJ105" s="242"/>
      <c r="CM105" s="242" t="str">
        <f t="shared" ca="1" si="166"/>
        <v/>
      </c>
      <c r="CN105" s="243">
        <f t="shared" ca="1" si="167"/>
        <v>0</v>
      </c>
      <c r="CO105" s="48" t="str">
        <f t="shared" ca="1" si="168"/>
        <v/>
      </c>
      <c r="CQ105" s="242">
        <f t="shared" ca="1" si="242"/>
        <v>2031</v>
      </c>
      <c r="CR105" s="242">
        <f t="shared" ca="1" si="243"/>
        <v>0</v>
      </c>
      <c r="CS105" s="48">
        <f t="shared" ca="1" si="244"/>
        <v>0</v>
      </c>
      <c r="CT105" s="48">
        <f t="shared" ca="1" si="245"/>
        <v>0</v>
      </c>
      <c r="CU105" s="48">
        <f ca="1">IF(SUMIFS(AVERE,DEN_G,AC105,AVERE,"&gt;"&amp;0)+SUMIFS(DARE,DEN_G,AC105,DARE,"&gt;"&amp;0)&gt;0,MAX($CU$2:CU104)+1,0)</f>
        <v>0</v>
      </c>
      <c r="CV105" s="48" t="str">
        <f ca="1">IF(IFERROR(INDEX(PDC,MATCH(ROWS($CV$3:CV105),$CU$3:$CU$400,0),2),"")="CONTO DI RISULTATO ECONOMICO","",IFERROR(INDEX(PDC,MATCH(ROWS($CV$3:CV105),$CU$3:$CU$400,0),2),""))</f>
        <v/>
      </c>
      <c r="CW105" s="48">
        <f ca="1">IFERROR(IF(CV105&lt;&gt;"",MAX($CW$2:CW104)+1,0),0)</f>
        <v>0</v>
      </c>
      <c r="CX105" s="48">
        <f t="shared" ca="1" si="229"/>
        <v>8</v>
      </c>
      <c r="CY105" s="48" t="str">
        <f t="shared" ca="1" si="228"/>
        <v>MASTRO</v>
      </c>
      <c r="CZ105" s="48" t="e">
        <f t="shared" ca="1" si="231"/>
        <v>#N/A</v>
      </c>
      <c r="DA105" s="48" t="str">
        <f t="shared" ca="1" si="235"/>
        <v/>
      </c>
      <c r="DB105" s="48" t="str">
        <f t="shared" ca="1" si="212"/>
        <v/>
      </c>
      <c r="DC105" s="48" t="str">
        <f t="shared" ca="1" si="232"/>
        <v/>
      </c>
      <c r="DD105" s="48" t="str">
        <f t="shared" ca="1" si="233"/>
        <v/>
      </c>
      <c r="DE105" s="48" t="str">
        <f t="shared" ca="1" si="234"/>
        <v/>
      </c>
      <c r="DF105" s="48">
        <f ca="1">IF(AND(CX105=$DF$1,CX105&lt;&gt;""),0,IF(AND(DB105&lt;&gt;"",OR(DB104&lt;&gt;"",DB106&lt;&gt;"")),MAX($DF$2:DF104)+1,0))</f>
        <v>0</v>
      </c>
      <c r="DH105" s="244" t="s">
        <v>80</v>
      </c>
      <c r="DI105" s="48" t="s">
        <v>865</v>
      </c>
      <c r="DJ105" s="48" t="s">
        <v>312</v>
      </c>
      <c r="DK105" s="48" t="s">
        <v>275</v>
      </c>
      <c r="DL105" s="48" t="s">
        <v>6</v>
      </c>
      <c r="DM105" s="48" t="s">
        <v>270</v>
      </c>
      <c r="DN105" s="48">
        <f ca="1">IF(DI105&lt;&gt;"",MAX($DN$2:DN104)+1,0)</f>
        <v>87</v>
      </c>
      <c r="DO105" s="48" t="str">
        <f ca="1">IF($BF$9=1,"pac25q","pac2")</f>
        <v>pac2</v>
      </c>
      <c r="DQ105" s="227" t="s">
        <v>78</v>
      </c>
      <c r="DR105" s="48" t="s">
        <v>75</v>
      </c>
      <c r="DS105" s="48" t="s">
        <v>312</v>
      </c>
      <c r="DT105" s="48" t="s">
        <v>275</v>
      </c>
      <c r="DU105" s="48" t="s">
        <v>6</v>
      </c>
      <c r="DV105" s="48" t="s">
        <v>270</v>
      </c>
      <c r="DW105" s="48">
        <f ca="1">IF(DR105&lt;&gt;"",MAX($DW$2:DW104)+1,0)</f>
        <v>61</v>
      </c>
      <c r="DX105" s="48" t="str">
        <f ca="1">IF($BF$9=1,"pac25q","pac2")</f>
        <v>pac2</v>
      </c>
      <c r="DY105" s="48" t="str">
        <f t="shared" ca="1" si="147"/>
        <v/>
      </c>
      <c r="DZ105" s="48" t="str">
        <f t="shared" ca="1" si="170"/>
        <v/>
      </c>
      <c r="EA105" s="48" t="str">
        <f t="shared" ca="1" si="171"/>
        <v/>
      </c>
      <c r="EB105" s="48">
        <f t="shared" ca="1" si="172"/>
        <v>0</v>
      </c>
      <c r="EC105" s="48">
        <f t="shared" ca="1" si="173"/>
        <v>0</v>
      </c>
      <c r="ED105" s="48" t="str">
        <f t="shared" ca="1" si="174"/>
        <v/>
      </c>
      <c r="EE105" s="48">
        <f t="shared" ca="1" si="175"/>
        <v>0</v>
      </c>
      <c r="EF105" s="48" t="str">
        <f t="shared" ca="1" si="176"/>
        <v/>
      </c>
      <c r="EG105" s="48">
        <f t="shared" ca="1" si="177"/>
        <v>0</v>
      </c>
      <c r="EH105" s="48" t="str">
        <f t="shared" ca="1" si="178"/>
        <v/>
      </c>
      <c r="EI105" s="48">
        <f t="shared" ca="1" si="179"/>
        <v>0</v>
      </c>
      <c r="EJ105" s="48" t="str">
        <f t="shared" ca="1" si="180"/>
        <v/>
      </c>
      <c r="EK105" s="48">
        <f t="shared" ca="1" si="181"/>
        <v>0</v>
      </c>
      <c r="EL105" s="48">
        <f t="shared" ca="1" si="148"/>
        <v>0</v>
      </c>
      <c r="EM105" s="48">
        <f ca="1">IF(EL105&gt;=0,0,MAX($EM$2:EM104)+1)</f>
        <v>0</v>
      </c>
      <c r="EN105" s="48" t="str">
        <f t="shared" ca="1" si="182"/>
        <v/>
      </c>
      <c r="EO105" s="48" t="str">
        <f ca="1">IFERROR(INDEX($EM$3:$EN$400,MATCH(ROWS($EO$3:EO105),$EM$3:$EM$400,0),2),"")</f>
        <v/>
      </c>
      <c r="EP105" s="48">
        <f>ROW()</f>
        <v>105</v>
      </c>
      <c r="EQ105" s="48">
        <f t="shared" ca="1" si="149"/>
        <v>0</v>
      </c>
      <c r="ER105" s="48">
        <f ca="1">IF(ISNA(EQ105)=TRUE,MAX($ER$2:ER104)+1,0)</f>
        <v>0</v>
      </c>
      <c r="ES105" s="48" t="str">
        <f t="shared" ca="1" si="183"/>
        <v/>
      </c>
      <c r="ET105" s="48" t="str">
        <f ca="1">IFERROR(INDEX($ER$3:$ES$400,MATCH(ROWS($ET$3:ET105),$ER$3:$ER$400,0),2),"")</f>
        <v/>
      </c>
      <c r="EV105" s="48">
        <f ca="1">IFERROR(INDEX(LIBRO_GIORNALE!$O$11:$P$408,MATCH(ROWS($EV$2:EV104),LIBRO_GIORNALE!$P$11:$P$408,0),1),0)</f>
        <v>0</v>
      </c>
      <c r="EW105" s="48" t="str">
        <f t="shared" ca="1" si="184"/>
        <v>0</v>
      </c>
      <c r="EX105" s="48">
        <f t="shared" ca="1" si="185"/>
        <v>0</v>
      </c>
      <c r="EY105" s="48">
        <f ca="1">IF(EX105&gt;0,MAX($EY$2:EY104)+1,0)</f>
        <v>0</v>
      </c>
      <c r="EZ105" s="48">
        <f ca="1">IFERROR(INDEX($EX$3:$EX$400,MATCH(ROWS($EZ$3:EZ105),$EY$3:$EY$400,0),1),0)</f>
        <v>0</v>
      </c>
      <c r="FA105" s="48">
        <f ca="1">IF(EZ105&gt;0,0,MAX($FA$2:FA104)+1)</f>
        <v>103</v>
      </c>
      <c r="FB105" s="48">
        <f t="shared" ca="1" si="186"/>
        <v>0</v>
      </c>
      <c r="FC105" s="48">
        <f t="shared" ca="1" si="187"/>
        <v>103</v>
      </c>
      <c r="FD105" s="48">
        <f t="shared" ca="1" si="188"/>
        <v>103</v>
      </c>
      <c r="FE105" s="48">
        <f ca="1">IF(FD105=0,0,MAX($FE$2:FE104)+1)</f>
        <v>103</v>
      </c>
      <c r="FF105" s="48">
        <f ca="1">IFERROR(INDEX($FD$3:$FE$400,MATCH(ROWS($FF$3:FF105),$FE$3:$FE$400,0),1),"")</f>
        <v>103</v>
      </c>
      <c r="FG105" s="48">
        <f t="shared" ca="1" si="255"/>
        <v>0</v>
      </c>
      <c r="FH105" s="48">
        <f t="shared" ca="1" si="189"/>
        <v>0</v>
      </c>
      <c r="FI105" s="48">
        <f ca="1">IF(FH105&lt;&gt;0,MAX($FI$2:FI104)+1,0)</f>
        <v>0</v>
      </c>
      <c r="FJ105" s="48" t="str">
        <f ca="1">IFERROR(INDEX($FH$3:$FI$400,MATCH(ROWS($FJ$3:FJ105),$FI$3:$FI$400,0),1),"")</f>
        <v/>
      </c>
      <c r="FK105" s="48">
        <f ca="1">IF(ABS(SUMIFS(DARE,DEN_G,"="&amp;FJ105,DATA,"&lt;="&amp;FINE_AC,DATA,"&gt;="&amp;INIZIO_A_PC)-SUMIFS(AVERE,DEN_G,"="&amp;FJ105,DATA,"&lt;="&amp;FINE_AC,DATA,"&gt;="&amp;INIZIO_A_PC))&gt;0,MAX($FK$2:FK104)+1,0)</f>
        <v>0</v>
      </c>
      <c r="FL105" s="48" t="str">
        <f ca="1">IF(AND(ROW()-2&lt;&gt;1,ROW()-2&lt;=$FK$1),CONCATENATE(" - ",IFERROR(INDEX($FJ$3:$FK$400,MATCH(ROWS($FL$3:FL105),$FK$3:$FK$400,0),1),"")),IFERROR(INDEX($FJ$3:$FK$400,MATCH(ROWS($FL$3:FL105),$FK$3:$FK$400,0),1),""))</f>
        <v/>
      </c>
      <c r="FM105" s="48">
        <f ca="1">IF(OR(B105="IVA ns/credito",B105="IVA NS/DEBITO",B105="IVA C/ACCONTO",B105="IMPOSTE C/ACCONTO",B105="CREDITI PER RITENUTE SUBITE",B105="CREDITI D'IMPOSTA"),MAX($FM$2:FM104)+1,0)</f>
        <v>0</v>
      </c>
      <c r="FN105" s="48" t="str">
        <f t="shared" ca="1" si="190"/>
        <v/>
      </c>
      <c r="FO105" s="48" t="str">
        <f ca="1">IFERROR(INDEX($FM$3:$FN$400,MATCH(ROWS($FO$3:FO105),$FM$3:$FM$400,0),2),"")</f>
        <v/>
      </c>
      <c r="FP105" s="48">
        <f ca="1">IF(ABS(SUMIFS(DARE,DEN_G,"="&amp;FO105,DATA,"&lt;="&amp;FINE_AC,DATA,"&gt;="&amp;INIZIO_A_PC)-SUMIFS(AVERE,DEN_G,"="&amp;FO105,DATA,"&lt;="&amp;FINE_AC,DATA,"&gt;="&amp;INIZIO_A_PC))&gt;0,MAX($FP$2:FP104)+1,0)</f>
        <v>0</v>
      </c>
      <c r="FQ105" s="48" t="str">
        <f ca="1">IF(AND(ROW()-2&lt;&gt;1,ROW()-2&lt;=$FP$1),CONCATENATE(" - ",IFERROR(INDEX($FO$3:$FP$400,MATCH(ROWS($FQ$3:FQ105),$FP$3:$FP$400,0),1),"")),IFERROR(INDEX($FO$3:$FP$400,MATCH(ROWS($FQ$3:FQ105),$FP$3:$FP$400,0),1),""))</f>
        <v/>
      </c>
    </row>
    <row r="106" spans="1:173" x14ac:dyDescent="0.3">
      <c r="A106" s="48" t="str">
        <f ca="1">IFERROR(IF($A$1=2,INDEX($DH$3:$DN$401,MATCH(ROWS(A$3:A106),$DN$3:$DN$401,0),COLUMN()),IF($A$1=1,INDEX($DQ$3:$DW$401,MATCH(ROWS(A$3:A106),$DW$3:$DW$401,0),COLUMN()),"")),"")</f>
        <v>10.01</v>
      </c>
      <c r="B106" s="48" t="str">
        <f ca="1">IFERROR(IF($A$1=2,INDEX($DH$3:$DN$401,MATCH(ROWS(B$3:B106),$DN$3:$DN$401,0),COLUMN()),IF($A$1=1,INDEX($DQ$3:$DW$400,MATCH(ROWS(B$3:B106),$DW$3:$DW$401,0),COLUMN()),"")),"")</f>
        <v>CAPITALE SOCIALE</v>
      </c>
      <c r="C106" s="48" t="str">
        <f ca="1">IFERROR(IF($A$1=2,INDEX($DH$3:$DN$401,MATCH(ROWS(C$3:C106),$DN$3:$DN$401,0),COLUMN()),IF($A$1=1,INDEX($DQ$3:$DW$401,MATCH(ROWS(C$3:C106),$DW$3:$DW$401,0),COLUMN()),"")),"")</f>
        <v>E</v>
      </c>
      <c r="D106" s="48" t="str">
        <f ca="1">IFERROR(IF($A$1=2,INDEX($DH$3:$DN$401,MATCH(ROWS(D$3:D106),$DN$3:$DN$401,0),COLUMN()),IF($A$1=1,INDEX($DQ$3:$DW$401,MATCH(ROWS(D$3:D106),$DW$3:$DW$401,0),COLUMN()),"")),"")</f>
        <v>A</v>
      </c>
      <c r="E106" s="48" t="str">
        <f ca="1">IFERROR(IF($A$1=2,INDEX($DH$3:$DN$401,MATCH(ROWS(E$3:E106),$DN$3:$DN$401,0),COLUMN()),IF($A$1=1,INDEX($DQ$3:$DW$401,MATCH(ROWS(E$3:E106),$DW$3:$DW$401,0),COLUMN()),"")),"")</f>
        <v>PATRIMONIO NETTO</v>
      </c>
      <c r="F106" s="48" t="str">
        <f ca="1">IFERROR(IF($A$1=2,INDEX($DH$3:$DN$401,MATCH(ROWS(F$3:F106),$DN$3:$DN$401,0),COLUMN()),IF($A$1=1,INDEX($DQ$3:$DX$401,MATCH(ROWS(F$3:F106),$DW$3:$DW$401,0),COLUMN()),"")),"")</f>
        <v>SP AVERE</v>
      </c>
      <c r="G106" s="48" t="str">
        <f t="shared" ca="1" si="150"/>
        <v>SP</v>
      </c>
      <c r="H106" s="48" t="str">
        <f ca="1">IFERROR(IF($A$1=2,INDEX($DH$3:$DO$400,MATCH(ROWS(H$3:H106),$DN$3:$DN$400,0),COLUMN()),IF($A$1=1,INDEX($DQ$3:$DX$400,MATCH(ROWS(H$3:H106),$DW$3:$DW$400,0),COLUMN()),"")),"")</f>
        <v>ppa1</v>
      </c>
      <c r="I106" s="48" t="str">
        <f t="shared" ca="1" si="151"/>
        <v/>
      </c>
      <c r="J106" s="48" t="str">
        <f t="shared" ca="1" si="152"/>
        <v/>
      </c>
      <c r="K106" s="48">
        <f t="shared" ca="1" si="153"/>
        <v>0</v>
      </c>
      <c r="L106" s="48">
        <f t="shared" ca="1" si="154"/>
        <v>0</v>
      </c>
      <c r="M106" s="48">
        <f ca="1">IFERROR(IF(IF(MID($A106,3,3)=".00",MID(A106,1,2),"")&lt;&gt;"",MAX($M$2:M105)+1,0),"")</f>
        <v>0</v>
      </c>
      <c r="N106" s="48" t="str">
        <f t="shared" ca="1" si="155"/>
        <v/>
      </c>
      <c r="O106" s="48" t="str">
        <f ca="1">IF(IFERROR(INDEX($N$3:$O$300,MATCH(ROWS($O$3:O106),$M$3:$M$300,0),1),"")&lt;&gt;"",CONCATENATE(INDEX($N$3:$O$300,MATCH(ROWS($O$3:O106),$M$3:$M$300,0),1),".00"),"")</f>
        <v/>
      </c>
      <c r="P106" s="48" t="str">
        <f t="shared" ca="1" si="156"/>
        <v/>
      </c>
      <c r="Q106" s="48">
        <f ca="1">IF(M106&gt;=1,0,MAX($Q$2:Q105)+1)</f>
        <v>93</v>
      </c>
      <c r="U106" s="48" t="str">
        <f ca="1">IFERROR(INDEX(PDC,MATCH(ROWS(U$3:U106),$V$3:$V$400,0),2),"")</f>
        <v>PERDITE A NUOVO</v>
      </c>
      <c r="V106" s="48">
        <f ca="1">IF(AND($T$1="VISUALIZZA TUTTI I CONTI",AA106&lt;&gt;""),MAX($V$2:V105)+1,IF(AND($U$2=2,AI106=$T$1),MAX($V$2:V105)+1,IF(AND($U$2=1,$T$1=AF106),MAX($V$2:V105)+1,0)))</f>
        <v>104</v>
      </c>
      <c r="Z106" s="246"/>
      <c r="AA106" s="48" t="str">
        <f t="shared" ca="1" si="157"/>
        <v>10.00</v>
      </c>
      <c r="AB106" s="48" t="str">
        <f ca="1">IFERROR(INDEX($A$3:$G$400,MATCH(ROWS(AB$3:AB106),$Q$3:$Q$400,0),1),"")</f>
        <v>10.31</v>
      </c>
      <c r="AC106" s="48" t="str">
        <f ca="1">IFERROR(INDEX($A$3:$G$400,MATCH(ROWS($AC$3:AC106),$Q$3:$Q$400,0),2),"")</f>
        <v>PERDITE A NUOVO</v>
      </c>
      <c r="AD106" s="48" t="str">
        <f ca="1">IFERROR(INDEX($A$3:$G$400,MATCH(ROWS(AD$3:AD106),$Q$3:$Q$400,0),3),"")</f>
        <v>E</v>
      </c>
      <c r="AE106" s="48" t="str">
        <f ca="1">IFERROR(INDEX($A$3:$G$400,MATCH(ROWS(AE$3:AE106),$Q$3:$Q$400,0),4),"")</f>
        <v>D</v>
      </c>
      <c r="AF106" s="48" t="str">
        <f ca="1">IFERROR(INDEX($A$3:$G$400,MATCH(ROWS(AF$3:AF106),$Q$3:$Q$400,0),5),"")</f>
        <v>PATRIMONIO NETTO</v>
      </c>
      <c r="AG106" s="48" t="str">
        <f ca="1">IFERROR(INDEX($A$3:$G$400,MATCH(ROWS(AG$3:AG106),$Q$3:$Q$400,0),6),"")</f>
        <v>SP DARE</v>
      </c>
      <c r="AH106" s="48" t="str">
        <f ca="1">IFERROR(INDEX($A$3:$G$400,MATCH(ROWS(AH$3:AH106),$Q$3:$Q$400,0),7),"")</f>
        <v>SP</v>
      </c>
      <c r="AI106" s="48" t="str">
        <f t="shared" ca="1" si="158"/>
        <v>PATRIMONIO NETTO</v>
      </c>
      <c r="AJ106" s="48" t="str">
        <f ca="1">IFERROR(INDEX($A$3:$H$400,MATCH(ROWS(AJ$3:AJ106),$Q$3:$Q$400,0),8),"")</f>
        <v>ppa8</v>
      </c>
      <c r="AK106" s="48">
        <f t="shared" ca="1" si="130"/>
        <v>0</v>
      </c>
      <c r="AL106" s="48">
        <f t="shared" ca="1" si="251"/>
        <v>0</v>
      </c>
      <c r="AM106" s="48">
        <f t="shared" ca="1" si="252"/>
        <v>0</v>
      </c>
      <c r="AN106" s="48">
        <f t="shared" ca="1" si="253"/>
        <v>0</v>
      </c>
      <c r="AO106" s="48">
        <f t="shared" ca="1" si="254"/>
        <v>0</v>
      </c>
      <c r="AP106" s="48">
        <f t="shared" ca="1" si="254"/>
        <v>0</v>
      </c>
      <c r="AQ106" s="48" t="str">
        <f t="shared" ca="1" si="132"/>
        <v>PERDITE A NUOVO</v>
      </c>
      <c r="AR106" s="48">
        <f t="shared" ca="1" si="133"/>
        <v>0</v>
      </c>
      <c r="AS106" s="48">
        <f t="shared" ca="1" si="134"/>
        <v>0</v>
      </c>
      <c r="AT106" s="48">
        <f t="shared" ca="1" si="162"/>
        <v>0</v>
      </c>
      <c r="AU106" s="48">
        <f t="shared" ca="1" si="163"/>
        <v>0</v>
      </c>
      <c r="AV106" s="48">
        <f ca="1">IF(OR(AT106&gt;0,AU106&gt;0),MAX($AV$2:AV105)+1,0)</f>
        <v>0</v>
      </c>
      <c r="AZ106" s="241" t="str">
        <f t="shared" si="240"/>
        <v>6 V.I.</v>
      </c>
      <c r="BA106" s="48">
        <f t="shared" ca="1" si="241"/>
        <v>0</v>
      </c>
      <c r="BB106" s="48">
        <f t="shared" ca="1" si="247"/>
        <v>0</v>
      </c>
      <c r="BC106" s="48" t="str">
        <f t="shared" ca="1" si="248"/>
        <v/>
      </c>
      <c r="BD106" s="48">
        <f t="shared" ca="1" si="249"/>
        <v>0</v>
      </c>
      <c r="BE106" s="48">
        <f t="shared" ca="1" si="250"/>
        <v>0</v>
      </c>
      <c r="BF106" s="48">
        <v>4</v>
      </c>
      <c r="BG106" s="48">
        <f ca="1">IF(IF(AND(OR(INDEX(PDC,MATCH($AC106,DEN_PDC,0),6)="SP DARE",INDEX(PDC,MATCH($AC106,DEN_PDC,0),6)="SP DARE/AVERE"),SUMIFS(DARE,DEN_G,$AC106)&gt;=SUMIFS(AVERE,DEN_G,$AC106)),SUMIFS(DARE,DEN_G,$AC106)-SUMIFS(AVERE,DEN_G,$AC106),0)&gt;0,MAX($BG$2:BG105)+1,0)</f>
        <v>0</v>
      </c>
      <c r="BH106" s="48">
        <f ca="1">IF(IF(AND(OR(INDEX(PDC,MATCH($AC106,DEN_PDC,0),6)="SP AVERE",INDEX(PDC,MATCH($AC106,DEN_PDC,0),6)="SP DARE/AVERE"),SUMIFS(AVERE,DEN_G,$AC106)&gt;=SUMIFS(DARE,DEN_G,$AC106)),SUMIFS(AVERE,DEN_G,$AC106)-SUMIFS(DARE,DEN_G,$AC106),0)&gt;0,MAX(BH$2:BH105)+1,0)</f>
        <v>0</v>
      </c>
      <c r="BI106" s="48">
        <f ca="1">IF(IF(AND(OR(INDEX(PDC,MATCH($AC106,DEN_PDC,0),6)="SE DARE",INDEX(PDC,MATCH($AC106,DEN_PDC,0),6)="SE DARE/AVERE"),SUMIFS(DARE,DEN_G,$AC106)&gt;=SUMIFS(AVERE,DEN_G,$AC106)),SUMIFS(DARE,DEN_G,$AC106)-SUMIFS(AVERE,DEN_G,$AC106),0)&gt;0,MAX(BI$2:BI105)+1,0)</f>
        <v>0</v>
      </c>
      <c r="BJ106" s="48">
        <f ca="1">IF(IF(AND(OR(INDEX(PDC,MATCH($AC106,DEN_PDC,0),6)="SE AVERE",INDEX(PDC,MATCH($AC106,DEN_PDC,0),6)="SE DARE/AVERE"),SUMIFS(AVERE,DEN_G,$AC106)&gt;=SUMIFS(DARE,DEN_G,$AC106)),SUMIFS(AVERE,DEN_G,$AC106)-SUMIFS(DARE,DEN_G,$AC106),0)&gt;0,MAX(BJ$2:BJ105)+1,0)</f>
        <v>0</v>
      </c>
      <c r="BK106" s="48" t="str">
        <f ca="1">IF(AND(AND($DY$2=0,$DY$1=0),$I$1=2,ROW()&gt;$BG$1+2,ROW()&lt;=$BG$1+4),"………………..",IF(AND(OR($DY$2&gt;0,$DY$1&gt;0),$I$1=2,ROW()&gt;$BG$1+2,ROW()&lt;=$BG$1+4),"………………..",IFERROR(INDEX($AC$3:$AC$398,MATCH(ROWS(BK$3:BK106),BG$3:BG$398,0),1),"")))</f>
        <v/>
      </c>
      <c r="BL106" s="48">
        <f t="shared" ca="1" si="136"/>
        <v>0</v>
      </c>
      <c r="BM106" s="48" t="str">
        <f ca="1">IF(AND(OR($DY$2=0,$DY$1=0),$I$1=2,ROW()&gt;$BH$1+2,ROW()&lt;=$BH$1+4),"………………..",IF(AND(OR($DY$2&gt;0,$DY$1&gt;0),$I$1=2,ROW()&gt;$BH$1+2,ROW()&lt;=$BH$1+4),"………………..",IFERROR(INDEX($AC$3:$AC$400,MATCH(ROWS(BM$3:BM106),BH$3:BH$400,0),1),"")))</f>
        <v/>
      </c>
      <c r="BN106" s="48">
        <f t="shared" ca="1" si="137"/>
        <v>0</v>
      </c>
      <c r="BO106" s="48" t="str">
        <f ca="1">IF(AND(OR($DY$2=0,$DY$1=0),$I$1=2,ROW()&gt;$BI$1+2,ROW()&lt;=$BI$1+4),"………………..",IF(AND(OR($DY$2&gt;0,$DY$1&gt;0),$I$1=2,ROW()&gt;$BI$1+2,ROW()&lt;=$BI$1+4),"………………..",IFERROR(INDEX($AC$3:$AC$400,MATCH(ROWS(BO$3:BO106),BI$3:BI$400,0),1),"")))</f>
        <v/>
      </c>
      <c r="BP106" s="48">
        <f t="shared" ca="1" si="138"/>
        <v>0</v>
      </c>
      <c r="BQ106" s="48" t="str">
        <f ca="1">IF(AND(OR($DY$2=0,$DY$1=0),$I$1=2,ROW()&gt;$BJ$1+2,ROW()&lt;=$BJ$1+4),"………………..",IF(AND(OR($DY$2&gt;0,$DY$1&gt;0),$I$1=2,ROW()&gt;$BJ$1+2,ROW()&lt;=$BJ$1+4),"………………..",IFERROR(INDEX($AC$3:$AC$400,MATCH(ROWS(BQ$3:BQ106),BJ$3:BJ$400,0),1),"")))</f>
        <v/>
      </c>
      <c r="BR106" s="48">
        <f t="shared" ca="1" si="139"/>
        <v>0</v>
      </c>
      <c r="BS106" s="48">
        <f ca="1">IF(IF(AND(OR(INDEX(PDC,MATCH($AC106,DEN_PDC,0),4)="D",INDEX(PDC,MATCH($AC106,DEN_PDC,0),4)="D/A"),SUMIFS(DARE,DEN_G,$AC106)&gt;=SUMIFS(AVERE,DEN_G,$AC106)),SUMIFS(DARE,DEN_G,$AC106),IF(AND(OR(INDEX(PDC,MATCH($AC106,DEN_PDC,0),4)="A",INDEX(PDC,MATCH($AC106,DEN_PDC,0),4)="D/A"),SUMIFS(AVERE,DEN_G,$AC106)&gt;=SUMIFS(DARE,DEN_G,$AC106)),SUMIFS(AVERE,DEN_G,$AC106),))&gt;0,MAX($BS$2:BS105)+1,0)</f>
        <v>0</v>
      </c>
      <c r="BT106" s="48" t="str">
        <f ca="1">IF($CO$1=0,"",IF(AND($I$1=2,ROW()&gt;$BR$1,ROW()&lt;=$BS$1)," …………….",IF(AND($E$1=1,$BX$1=1,$I$1=2,ROW()=$BQ$1),"TOTALI",IFERROR(INDEX(PDC,MATCH(ROWS(BT$3:BT106),BS$3:BS503,0),2),""))))</f>
        <v/>
      </c>
      <c r="BU106" s="48">
        <f t="shared" ca="1" si="140"/>
        <v>0</v>
      </c>
      <c r="BV106" s="48">
        <f t="shared" ca="1" si="141"/>
        <v>0</v>
      </c>
      <c r="BW106" s="48">
        <f t="shared" ca="1" si="142"/>
        <v>0</v>
      </c>
      <c r="BX106" s="48">
        <f t="shared" ca="1" si="143"/>
        <v>0</v>
      </c>
      <c r="BY106" s="48">
        <f ca="1">IF(OR(BW106&gt;0,BX106&gt;0),MAX($BY$2:BY105)+1,0)</f>
        <v>0</v>
      </c>
      <c r="BZ106" s="48" t="str">
        <f ca="1">IFERROR(INDEX($BT$3:$BY$400,MATCH(ROWS(BZ$3:BZ106),$BY$3:$BY$400,0),1),"")</f>
        <v/>
      </c>
      <c r="CA106" s="48" t="str">
        <f ca="1">IFERROR(INDEX($BT$3:$BY$400,MATCH(ROWS(CA$3:CA106),$BY$3:$BY$400,0),4),"")</f>
        <v/>
      </c>
      <c r="CB106" s="48" t="str">
        <f ca="1">IFERROR(INDEX($BT$3:$BY$400,MATCH(ROWS(CB$3:CB106),$BY$3:$BY$400,0),5),"")</f>
        <v/>
      </c>
      <c r="CC106" s="48" t="str">
        <f t="shared" ca="1" si="144"/>
        <v/>
      </c>
      <c r="CD106" s="48">
        <f ca="1">IF(AND($BF$9=1,CE106&lt;&gt;0),MAX($CD$104:CD105)+1,0)</f>
        <v>0</v>
      </c>
      <c r="CE106" s="48">
        <f ca="1">IF(OR(CE123&lt;&gt;0,CE123="_ _ _"),"A",0)</f>
        <v>0</v>
      </c>
      <c r="CG106" s="242" t="s">
        <v>544</v>
      </c>
      <c r="CJ106" s="242"/>
      <c r="CM106" s="242" t="str">
        <f t="shared" ca="1" si="166"/>
        <v/>
      </c>
      <c r="CN106" s="243">
        <f t="shared" ca="1" si="167"/>
        <v>0</v>
      </c>
      <c r="CO106" s="48" t="str">
        <f t="shared" ca="1" si="168"/>
        <v/>
      </c>
      <c r="CQ106" s="242"/>
      <c r="CR106" s="242"/>
      <c r="CU106" s="48">
        <f ca="1">IF(SUMIFS(AVERE,DEN_G,AC106,AVERE,"&gt;"&amp;0)+SUMIFS(DARE,DEN_G,AC106,DARE,"&gt;"&amp;0)&gt;0,MAX($CU$2:CU105)+1,0)</f>
        <v>0</v>
      </c>
      <c r="CV106" s="48" t="str">
        <f ca="1">IF(IFERROR(INDEX(PDC,MATCH(ROWS($CV$3:CV106),$CU$3:$CU$400,0),2),"")="CONTO DI RISULTATO ECONOMICO","",IFERROR(INDEX(PDC,MATCH(ROWS($CV$3:CV106),$CU$3:$CU$400,0),2),""))</f>
        <v/>
      </c>
      <c r="CW106" s="48">
        <f ca="1">IFERROR(IF(CV106&lt;&gt;"",MAX($CW$2:CW105)+1,0),0)</f>
        <v>0</v>
      </c>
      <c r="CY106" s="48" t="s">
        <v>500</v>
      </c>
      <c r="DB106" s="48" t="str">
        <f t="shared" ref="DB106" ca="1" si="256">IF(CX105=$DF$1,"","MASTRO")</f>
        <v>MASTRO</v>
      </c>
      <c r="DF106" s="48">
        <f ca="1">IF(AND(CX106=$DF$1,CX106&lt;&gt;""),0,IF(AND(DB106&lt;&gt;"",OR(DB105&lt;&gt;"",DB107&lt;&gt;"")),MAX($DF$2:DF105)+1,0))</f>
        <v>0</v>
      </c>
      <c r="DH106" s="244"/>
      <c r="DJ106" s="48" t="s">
        <v>312</v>
      </c>
      <c r="DK106" s="48" t="s">
        <v>275</v>
      </c>
      <c r="DL106" s="48" t="s">
        <v>6</v>
      </c>
      <c r="DM106" s="48" t="s">
        <v>270</v>
      </c>
      <c r="DN106" s="48">
        <f>IF(DI106&lt;&gt;"",MAX($DN$2:DN105)+1,0)</f>
        <v>0</v>
      </c>
      <c r="DO106" s="48" t="str">
        <f t="shared" ref="DO106:DO109" ca="1" si="257">IF($BF$9=1,"pac25q","pac2")</f>
        <v>pac2</v>
      </c>
      <c r="DQ106" s="227" t="s">
        <v>924</v>
      </c>
      <c r="DR106" s="48" t="s">
        <v>371</v>
      </c>
      <c r="DS106" s="48" t="s">
        <v>312</v>
      </c>
      <c r="DT106" s="48" t="s">
        <v>275</v>
      </c>
      <c r="DU106" s="48" t="s">
        <v>6</v>
      </c>
      <c r="DV106" s="48" t="s">
        <v>270</v>
      </c>
      <c r="DW106" s="48">
        <f ca="1">IF(DR106&lt;&gt;"",MAX($DW$2:DW105)+1,0)</f>
        <v>62</v>
      </c>
      <c r="DX106" s="48" t="str">
        <f ca="1">IF($BF$9=1,"pac25b","pac2")</f>
        <v>pac2</v>
      </c>
      <c r="DY106" s="48" t="str">
        <f t="shared" ca="1" si="147"/>
        <v/>
      </c>
      <c r="DZ106" s="48" t="str">
        <f t="shared" ca="1" si="170"/>
        <v/>
      </c>
      <c r="EA106" s="48" t="str">
        <f t="shared" ca="1" si="171"/>
        <v/>
      </c>
      <c r="EB106" s="48">
        <f t="shared" ca="1" si="172"/>
        <v>0</v>
      </c>
      <c r="EC106" s="48">
        <f t="shared" ca="1" si="173"/>
        <v>0</v>
      </c>
      <c r="ED106" s="48" t="str">
        <f t="shared" ca="1" si="174"/>
        <v/>
      </c>
      <c r="EE106" s="48">
        <f t="shared" ca="1" si="175"/>
        <v>0</v>
      </c>
      <c r="EF106" s="48" t="str">
        <f t="shared" ca="1" si="176"/>
        <v/>
      </c>
      <c r="EG106" s="48">
        <f t="shared" ca="1" si="177"/>
        <v>0</v>
      </c>
      <c r="EH106" s="48" t="str">
        <f t="shared" ca="1" si="178"/>
        <v/>
      </c>
      <c r="EI106" s="48">
        <f t="shared" ca="1" si="179"/>
        <v>0</v>
      </c>
      <c r="EJ106" s="48" t="str">
        <f t="shared" ca="1" si="180"/>
        <v/>
      </c>
      <c r="EK106" s="48">
        <f t="shared" ca="1" si="181"/>
        <v>0</v>
      </c>
      <c r="EL106" s="48">
        <f t="shared" ca="1" si="148"/>
        <v>0</v>
      </c>
      <c r="EM106" s="48">
        <f ca="1">IF(EL106&gt;=0,0,MAX($EM$2:EM105)+1)</f>
        <v>0</v>
      </c>
      <c r="EN106" s="48" t="str">
        <f t="shared" ca="1" si="182"/>
        <v/>
      </c>
      <c r="EO106" s="48" t="str">
        <f ca="1">IFERROR(INDEX($EM$3:$EN$400,MATCH(ROWS($EO$3:EO106),$EM$3:$EM$400,0),2),"")</f>
        <v/>
      </c>
      <c r="EP106" s="48">
        <f>ROW()</f>
        <v>106</v>
      </c>
      <c r="EQ106" s="48">
        <f t="shared" ca="1" si="149"/>
        <v>0</v>
      </c>
      <c r="ER106" s="48">
        <f ca="1">IF(ISNA(EQ106)=TRUE,MAX($ER$2:ER105)+1,0)</f>
        <v>0</v>
      </c>
      <c r="ES106" s="48" t="str">
        <f t="shared" ca="1" si="183"/>
        <v/>
      </c>
      <c r="ET106" s="48" t="str">
        <f ca="1">IFERROR(INDEX($ER$3:$ES$400,MATCH(ROWS($ET$3:ET106),$ER$3:$ER$400,0),2),"")</f>
        <v/>
      </c>
      <c r="EV106" s="48">
        <f ca="1">IFERROR(INDEX(LIBRO_GIORNALE!$O$11:$P$408,MATCH(ROWS($EV$2:EV105),LIBRO_GIORNALE!$P$11:$P$408,0),1),0)</f>
        <v>0</v>
      </c>
      <c r="EW106" s="48" t="str">
        <f t="shared" ca="1" si="184"/>
        <v>0</v>
      </c>
      <c r="EX106" s="48">
        <f t="shared" ca="1" si="185"/>
        <v>0</v>
      </c>
      <c r="EY106" s="48">
        <f ca="1">IF(EX106&gt;0,MAX($EY$2:EY105)+1,0)</f>
        <v>0</v>
      </c>
      <c r="EZ106" s="48">
        <f ca="1">IFERROR(INDEX($EX$3:$EX$400,MATCH(ROWS($EZ$3:EZ106),$EY$3:$EY$400,0),1),0)</f>
        <v>0</v>
      </c>
      <c r="FA106" s="48">
        <f ca="1">IF(EZ106&gt;0,0,MAX($FA$2:FA105)+1)</f>
        <v>104</v>
      </c>
      <c r="FB106" s="48">
        <f t="shared" ca="1" si="186"/>
        <v>0</v>
      </c>
      <c r="FC106" s="48">
        <f t="shared" ca="1" si="187"/>
        <v>104</v>
      </c>
      <c r="FD106" s="48">
        <f t="shared" ca="1" si="188"/>
        <v>104</v>
      </c>
      <c r="FE106" s="48">
        <f ca="1">IF(FD106=0,0,MAX($FE$2:FE105)+1)</f>
        <v>104</v>
      </c>
      <c r="FF106" s="48">
        <f ca="1">IFERROR(INDEX($FD$3:$FE$400,MATCH(ROWS($FF$3:FF106),$FE$3:$FE$400,0),1),"")</f>
        <v>104</v>
      </c>
      <c r="FG106" s="48">
        <f t="shared" ca="1" si="255"/>
        <v>0</v>
      </c>
      <c r="FH106" s="48">
        <f t="shared" ca="1" si="189"/>
        <v>0</v>
      </c>
      <c r="FI106" s="48">
        <f ca="1">IF(FH106&lt;&gt;0,MAX($FI$2:FI105)+1,0)</f>
        <v>0</v>
      </c>
      <c r="FJ106" s="48" t="str">
        <f ca="1">IFERROR(INDEX($FH$3:$FI$400,MATCH(ROWS($FJ$3:FJ106),$FI$3:$FI$400,0),1),"")</f>
        <v/>
      </c>
      <c r="FK106" s="48">
        <f ca="1">IF(ABS(SUMIFS(DARE,DEN_G,"="&amp;FJ106,DATA,"&lt;="&amp;FINE_AC,DATA,"&gt;="&amp;INIZIO_A_PC)-SUMIFS(AVERE,DEN_G,"="&amp;FJ106,DATA,"&lt;="&amp;FINE_AC,DATA,"&gt;="&amp;INIZIO_A_PC))&gt;0,MAX($FK$2:FK105)+1,0)</f>
        <v>0</v>
      </c>
      <c r="FL106" s="48" t="str">
        <f ca="1">IF(AND(ROW()-2&lt;&gt;1,ROW()-2&lt;=$FK$1),CONCATENATE(" - ",IFERROR(INDEX($FJ$3:$FK$400,MATCH(ROWS($FL$3:FL106),$FK$3:$FK$400,0),1),"")),IFERROR(INDEX($FJ$3:$FK$400,MATCH(ROWS($FL$3:FL106),$FK$3:$FK$400,0),1),""))</f>
        <v/>
      </c>
      <c r="FM106" s="48">
        <f ca="1">IF(OR(B106="IVA ns/credito",B106="IVA NS/DEBITO",B106="IVA C/ACCONTO",B106="IMPOSTE C/ACCONTO",B106="CREDITI PER RITENUTE SUBITE",B106="CREDITI D'IMPOSTA"),MAX($FM$2:FM105)+1,0)</f>
        <v>0</v>
      </c>
      <c r="FN106" s="48" t="str">
        <f t="shared" ca="1" si="190"/>
        <v/>
      </c>
      <c r="FO106" s="48" t="str">
        <f ca="1">IFERROR(INDEX($FM$3:$FN$400,MATCH(ROWS($FO$3:FO106),$FM$3:$FM$400,0),2),"")</f>
        <v/>
      </c>
      <c r="FP106" s="48">
        <f ca="1">IF(ABS(SUMIFS(DARE,DEN_G,"="&amp;FO106,DATA,"&lt;="&amp;FINE_AC,DATA,"&gt;="&amp;INIZIO_A_PC)-SUMIFS(AVERE,DEN_G,"="&amp;FO106,DATA,"&lt;="&amp;FINE_AC,DATA,"&gt;="&amp;INIZIO_A_PC))&gt;0,MAX($FP$2:FP105)+1,0)</f>
        <v>0</v>
      </c>
      <c r="FQ106" s="48" t="str">
        <f ca="1">IF(AND(ROW()-2&lt;&gt;1,ROW()-2&lt;=$FP$1),CONCATENATE(" - ",IFERROR(INDEX($FO$3:$FP$400,MATCH(ROWS($FQ$3:FQ106),$FP$3:$FP$400,0),1),"")),IFERROR(INDEX($FO$3:$FP$400,MATCH(ROWS($FQ$3:FQ106),$FP$3:$FP$400,0),1),""))</f>
        <v/>
      </c>
    </row>
    <row r="107" spans="1:173" x14ac:dyDescent="0.3">
      <c r="A107" s="48" t="str">
        <f ca="1">IFERROR(IF($A$1=2,INDEX($DH$3:$DN$401,MATCH(ROWS(A$3:A107),$DN$3:$DN$401,0),COLUMN()),IF($A$1=1,INDEX($DQ$3:$DW$401,MATCH(ROWS(A$3:A107),$DW$3:$DW$401,0),COLUMN()),"")),"")</f>
        <v>10.02</v>
      </c>
      <c r="B107" s="48" t="str">
        <f ca="1">IFERROR(IF($A$1=2,INDEX($DH$3:$DN$401,MATCH(ROWS(B$3:B107),$DN$3:$DN$401,0),COLUMN()),IF($A$1=1,INDEX($DQ$3:$DW$400,MATCH(ROWS(B$3:B107),$DW$3:$DW$401,0),COLUMN()),"")),"")</f>
        <v>RISERVA SOPRAPPREZZO AZIONI</v>
      </c>
      <c r="C107" s="48" t="str">
        <f ca="1">IFERROR(IF($A$1=2,INDEX($DH$3:$DN$401,MATCH(ROWS(C$3:C107),$DN$3:$DN$401,0),COLUMN()),IF($A$1=1,INDEX($DQ$3:$DW$401,MATCH(ROWS(C$3:C107),$DW$3:$DW$401,0),COLUMN()),"")),"")</f>
        <v>E</v>
      </c>
      <c r="D107" s="48" t="str">
        <f ca="1">IFERROR(IF($A$1=2,INDEX($DH$3:$DN$401,MATCH(ROWS(D$3:D107),$DN$3:$DN$401,0),COLUMN()),IF($A$1=1,INDEX($DQ$3:$DW$401,MATCH(ROWS(D$3:D107),$DW$3:$DW$401,0),COLUMN()),"")),"")</f>
        <v>A</v>
      </c>
      <c r="E107" s="48" t="str">
        <f ca="1">IFERROR(IF($A$1=2,INDEX($DH$3:$DN$401,MATCH(ROWS(E$3:E107),$DN$3:$DN$401,0),COLUMN()),IF($A$1=1,INDEX($DQ$3:$DW$401,MATCH(ROWS(E$3:E107),$DW$3:$DW$401,0),COLUMN()),"")),"")</f>
        <v>PATRIMONIO NETTO</v>
      </c>
      <c r="F107" s="48" t="str">
        <f ca="1">IFERROR(IF($A$1=2,INDEX($DH$3:$DN$401,MATCH(ROWS(F$3:F107),$DN$3:$DN$401,0),COLUMN()),IF($A$1=1,INDEX($DQ$3:$DX$401,MATCH(ROWS(F$3:F107),$DW$3:$DW$401,0),COLUMN()),"")),"")</f>
        <v>SP AVERE</v>
      </c>
      <c r="G107" s="48" t="str">
        <f t="shared" ca="1" si="150"/>
        <v>SP</v>
      </c>
      <c r="H107" s="48" t="str">
        <f ca="1">IFERROR(IF($A$1=2,INDEX($DH$3:$DO$400,MATCH(ROWS(H$3:H107),$DN$3:$DN$400,0),COLUMN()),IF($A$1=1,INDEX($DQ$3:$DX$400,MATCH(ROWS(H$3:H107),$DW$3:$DW$400,0),COLUMN()),"")),"")</f>
        <v>ppa2</v>
      </c>
      <c r="I107" s="48" t="str">
        <f t="shared" ca="1" si="151"/>
        <v/>
      </c>
      <c r="J107" s="48" t="str">
        <f t="shared" ca="1" si="152"/>
        <v/>
      </c>
      <c r="K107" s="48">
        <f t="shared" ca="1" si="153"/>
        <v>0</v>
      </c>
      <c r="L107" s="48">
        <f t="shared" ca="1" si="154"/>
        <v>0</v>
      </c>
      <c r="M107" s="48">
        <f ca="1">IFERROR(IF(IF(MID($A107,3,3)=".00",MID(A107,1,2),"")&lt;&gt;"",MAX($M$2:M106)+1,0),"")</f>
        <v>0</v>
      </c>
      <c r="N107" s="48" t="str">
        <f t="shared" ca="1" si="155"/>
        <v/>
      </c>
      <c r="O107" s="48" t="str">
        <f ca="1">IF(IFERROR(INDEX($N$3:$O$300,MATCH(ROWS($O$3:O107),$M$3:$M$300,0),1),"")&lt;&gt;"",CONCATENATE(INDEX($N$3:$O$300,MATCH(ROWS($O$3:O107),$M$3:$M$300,0),1),".00"),"")</f>
        <v/>
      </c>
      <c r="P107" s="48" t="str">
        <f t="shared" ca="1" si="156"/>
        <v/>
      </c>
      <c r="Q107" s="48">
        <f ca="1">IF(M107&gt;=1,0,MAX($Q$2:Q106)+1)</f>
        <v>94</v>
      </c>
      <c r="U107" s="48" t="str">
        <f ca="1">IFERROR(INDEX(PDC,MATCH(ROWS(U$3:U107),$V$3:$V$400,0),2),"")</f>
        <v>UTILE D'ESERCIZIO</v>
      </c>
      <c r="V107" s="48">
        <f ca="1">IF(AND($T$1="VISUALIZZA TUTTI I CONTI",AA107&lt;&gt;""),MAX($V$2:V106)+1,IF(AND($U$2=2,AI107=$T$1),MAX($V$2:V106)+1,IF(AND($U$2=1,$T$1=AF107),MAX($V$2:V106)+1,0)))</f>
        <v>105</v>
      </c>
      <c r="Z107" s="246"/>
      <c r="AA107" s="48" t="str">
        <f t="shared" ca="1" si="157"/>
        <v>10.00</v>
      </c>
      <c r="AB107" s="48" t="str">
        <f ca="1">IFERROR(INDEX($A$3:$G$400,MATCH(ROWS(AB$3:AB107),$Q$3:$Q$400,0),1),"")</f>
        <v>10.40</v>
      </c>
      <c r="AC107" s="48" t="str">
        <f ca="1">IFERROR(INDEX($A$3:$G$400,MATCH(ROWS($AC$3:AC107),$Q$3:$Q$400,0),2),"")</f>
        <v>UTILE D'ESERCIZIO</v>
      </c>
      <c r="AD107" s="48" t="str">
        <f ca="1">IFERROR(INDEX($A$3:$G$400,MATCH(ROWS(AD$3:AD107),$Q$3:$Q$400,0),3),"")</f>
        <v>E</v>
      </c>
      <c r="AE107" s="48" t="str">
        <f ca="1">IFERROR(INDEX($A$3:$G$400,MATCH(ROWS(AE$3:AE107),$Q$3:$Q$400,0),4),"")</f>
        <v>A</v>
      </c>
      <c r="AF107" s="48" t="str">
        <f ca="1">IFERROR(INDEX($A$3:$G$400,MATCH(ROWS(AF$3:AF107),$Q$3:$Q$400,0),5),"")</f>
        <v>PATRIMONIO NETTO</v>
      </c>
      <c r="AG107" s="48" t="str">
        <f ca="1">IFERROR(INDEX($A$3:$G$400,MATCH(ROWS(AG$3:AG107),$Q$3:$Q$400,0),6),"")</f>
        <v>SP AVERE</v>
      </c>
      <c r="AH107" s="48" t="str">
        <f ca="1">IFERROR(INDEX($A$3:$G$400,MATCH(ROWS(AH$3:AH107),$Q$3:$Q$400,0),7),"")</f>
        <v>SP</v>
      </c>
      <c r="AI107" s="48" t="str">
        <f t="shared" ca="1" si="158"/>
        <v>PATRIMONIO NETTO</v>
      </c>
      <c r="AJ107" s="48" t="str">
        <f ca="1">IFERROR(INDEX($A$3:$H$400,MATCH(ROWS(AJ$3:AJ107),$Q$3:$Q$400,0),8),"")</f>
        <v>ppa9</v>
      </c>
      <c r="AK107" s="48">
        <f t="shared" ca="1" si="130"/>
        <v>0</v>
      </c>
      <c r="AL107" s="48">
        <f t="shared" ca="1" si="251"/>
        <v>0</v>
      </c>
      <c r="AM107" s="48">
        <f t="shared" ca="1" si="252"/>
        <v>0</v>
      </c>
      <c r="AN107" s="48">
        <f t="shared" ca="1" si="253"/>
        <v>0</v>
      </c>
      <c r="AO107" s="48">
        <f t="shared" ca="1" si="254"/>
        <v>0</v>
      </c>
      <c r="AP107" s="48">
        <f t="shared" ca="1" si="254"/>
        <v>0</v>
      </c>
      <c r="AQ107" s="48" t="str">
        <f t="shared" ca="1" si="132"/>
        <v>UTILE D'ESERCIZIO</v>
      </c>
      <c r="AR107" s="48">
        <f t="shared" ca="1" si="133"/>
        <v>0</v>
      </c>
      <c r="AS107" s="48">
        <f t="shared" ca="1" si="134"/>
        <v>0</v>
      </c>
      <c r="AT107" s="48">
        <f t="shared" ca="1" si="162"/>
        <v>0</v>
      </c>
      <c r="AU107" s="48">
        <f t="shared" ca="1" si="163"/>
        <v>0</v>
      </c>
      <c r="AV107" s="48">
        <f ca="1">IF(OR(AT107&gt;0,AU107&gt;0),MAX($AV$2:AV106)+1,0)</f>
        <v>0</v>
      </c>
      <c r="AZ107" s="241" t="str">
        <f t="shared" si="240"/>
        <v>7 V.I.</v>
      </c>
      <c r="BA107" s="48">
        <f t="shared" ca="1" si="241"/>
        <v>0</v>
      </c>
      <c r="BB107" s="48">
        <f t="shared" ca="1" si="247"/>
        <v>0</v>
      </c>
      <c r="BC107" s="48" t="str">
        <f t="shared" ca="1" si="248"/>
        <v/>
      </c>
      <c r="BD107" s="48">
        <f t="shared" ca="1" si="249"/>
        <v>0</v>
      </c>
      <c r="BE107" s="48">
        <f t="shared" ca="1" si="250"/>
        <v>0</v>
      </c>
      <c r="BF107" s="48">
        <v>5</v>
      </c>
      <c r="BG107" s="48">
        <f ca="1">IF(IF(AND(OR(INDEX(PDC,MATCH($AC107,DEN_PDC,0),6)="SP DARE",INDEX(PDC,MATCH($AC107,DEN_PDC,0),6)="SP DARE/AVERE"),SUMIFS(DARE,DEN_G,$AC107)&gt;=SUMIFS(AVERE,DEN_G,$AC107)),SUMIFS(DARE,DEN_G,$AC107)-SUMIFS(AVERE,DEN_G,$AC107),0)&gt;0,MAX($BG$2:BG106)+1,0)</f>
        <v>0</v>
      </c>
      <c r="BH107" s="48">
        <f ca="1">IF(IF(AND(OR(INDEX(PDC,MATCH($AC107,DEN_PDC,0),6)="SP AVERE",INDEX(PDC,MATCH($AC107,DEN_PDC,0),6)="SP DARE/AVERE"),SUMIFS(AVERE,DEN_G,$AC107)&gt;=SUMIFS(DARE,DEN_G,$AC107)),SUMIFS(AVERE,DEN_G,$AC107)-SUMIFS(DARE,DEN_G,$AC107),0)&gt;0,MAX(BH$2:BH106)+1,0)</f>
        <v>0</v>
      </c>
      <c r="BI107" s="48">
        <f ca="1">IF(IF(AND(OR(INDEX(PDC,MATCH($AC107,DEN_PDC,0),6)="SE DARE",INDEX(PDC,MATCH($AC107,DEN_PDC,0),6)="SE DARE/AVERE"),SUMIFS(DARE,DEN_G,$AC107)&gt;=SUMIFS(AVERE,DEN_G,$AC107)),SUMIFS(DARE,DEN_G,$AC107)-SUMIFS(AVERE,DEN_G,$AC107),0)&gt;0,MAX(BI$2:BI106)+1,0)</f>
        <v>0</v>
      </c>
      <c r="BJ107" s="48">
        <f ca="1">IF(IF(AND(OR(INDEX(PDC,MATCH($AC107,DEN_PDC,0),6)="SE AVERE",INDEX(PDC,MATCH($AC107,DEN_PDC,0),6)="SE DARE/AVERE"),SUMIFS(AVERE,DEN_G,$AC107)&gt;=SUMIFS(DARE,DEN_G,$AC107)),SUMIFS(AVERE,DEN_G,$AC107)-SUMIFS(DARE,DEN_G,$AC107),0)&gt;0,MAX(BJ$2:BJ106)+1,0)</f>
        <v>0</v>
      </c>
      <c r="BK107" s="48" t="str">
        <f ca="1">IF(AND(AND($DY$2=0,$DY$1=0),$I$1=2,ROW()&gt;$BG$1+2,ROW()&lt;=$BG$1+4),"………………..",IF(AND(OR($DY$2&gt;0,$DY$1&gt;0),$I$1=2,ROW()&gt;$BG$1+2,ROW()&lt;=$BG$1+4),"………………..",IFERROR(INDEX($AC$3:$AC$398,MATCH(ROWS(BK$3:BK107),BG$3:BG$398,0),1),"")))</f>
        <v/>
      </c>
      <c r="BL107" s="48">
        <f t="shared" ca="1" si="136"/>
        <v>0</v>
      </c>
      <c r="BM107" s="48" t="str">
        <f ca="1">IF(AND(OR($DY$2=0,$DY$1=0),$I$1=2,ROW()&gt;$BH$1+2,ROW()&lt;=$BH$1+4),"………………..",IF(AND(OR($DY$2&gt;0,$DY$1&gt;0),$I$1=2,ROW()&gt;$BH$1+2,ROW()&lt;=$BH$1+4),"………………..",IFERROR(INDEX($AC$3:$AC$400,MATCH(ROWS(BM$3:BM107),BH$3:BH$400,0),1),"")))</f>
        <v/>
      </c>
      <c r="BN107" s="48">
        <f t="shared" ca="1" si="137"/>
        <v>0</v>
      </c>
      <c r="BO107" s="48" t="str">
        <f ca="1">IF(AND(OR($DY$2=0,$DY$1=0),$I$1=2,ROW()&gt;$BI$1+2,ROW()&lt;=$BI$1+4),"………………..",IF(AND(OR($DY$2&gt;0,$DY$1&gt;0),$I$1=2,ROW()&gt;$BI$1+2,ROW()&lt;=$BI$1+4),"………………..",IFERROR(INDEX($AC$3:$AC$400,MATCH(ROWS(BO$3:BO107),BI$3:BI$400,0),1),"")))</f>
        <v/>
      </c>
      <c r="BP107" s="48">
        <f t="shared" ca="1" si="138"/>
        <v>0</v>
      </c>
      <c r="BQ107" s="48" t="str">
        <f ca="1">IF(AND(OR($DY$2=0,$DY$1=0),$I$1=2,ROW()&gt;$BJ$1+2,ROW()&lt;=$BJ$1+4),"………………..",IF(AND(OR($DY$2&gt;0,$DY$1&gt;0),$I$1=2,ROW()&gt;$BJ$1+2,ROW()&lt;=$BJ$1+4),"………………..",IFERROR(INDEX($AC$3:$AC$400,MATCH(ROWS(BQ$3:BQ107),BJ$3:BJ$400,0),1),"")))</f>
        <v/>
      </c>
      <c r="BR107" s="48">
        <f t="shared" ca="1" si="139"/>
        <v>0</v>
      </c>
      <c r="BS107" s="48">
        <f ca="1">IF(IF(AND(OR(INDEX(PDC,MATCH($AC107,DEN_PDC,0),4)="D",INDEX(PDC,MATCH($AC107,DEN_PDC,0),4)="D/A"),SUMIFS(DARE,DEN_G,$AC107)&gt;=SUMIFS(AVERE,DEN_G,$AC107)),SUMIFS(DARE,DEN_G,$AC107),IF(AND(OR(INDEX(PDC,MATCH($AC107,DEN_PDC,0),4)="A",INDEX(PDC,MATCH($AC107,DEN_PDC,0),4)="D/A"),SUMIFS(AVERE,DEN_G,$AC107)&gt;=SUMIFS(DARE,DEN_G,$AC107)),SUMIFS(AVERE,DEN_G,$AC107),))&gt;0,MAX($BS$2:BS106)+1,0)</f>
        <v>0</v>
      </c>
      <c r="BT107" s="48" t="str">
        <f ca="1">IF($CO$1=0,"",IF(AND($I$1=2,ROW()&gt;$BR$1,ROW()&lt;=$BS$1)," …………….",IF(AND($E$1=1,$BX$1=1,$I$1=2,ROW()=$BQ$1),"TOTALI",IFERROR(INDEX(PDC,MATCH(ROWS(BT$3:BT107),BS$3:BS504,0),2),""))))</f>
        <v/>
      </c>
      <c r="BU107" s="48">
        <f t="shared" ca="1" si="140"/>
        <v>0</v>
      </c>
      <c r="BV107" s="48">
        <f t="shared" ca="1" si="141"/>
        <v>0</v>
      </c>
      <c r="BW107" s="48">
        <f t="shared" ca="1" si="142"/>
        <v>0</v>
      </c>
      <c r="BX107" s="48">
        <f t="shared" ca="1" si="143"/>
        <v>0</v>
      </c>
      <c r="BY107" s="48">
        <f ca="1">IF(OR(BW107&gt;0,BX107&gt;0),MAX($BY$2:BY106)+1,0)</f>
        <v>0</v>
      </c>
      <c r="BZ107" s="48" t="str">
        <f ca="1">IFERROR(INDEX($BT$3:$BY$400,MATCH(ROWS(BZ$3:BZ107),$BY$3:$BY$400,0),1),"")</f>
        <v/>
      </c>
      <c r="CA107" s="48" t="str">
        <f ca="1">IFERROR(INDEX($BT$3:$BY$400,MATCH(ROWS(CA$3:CA107),$BY$3:$BY$400,0),4),"")</f>
        <v/>
      </c>
      <c r="CB107" s="48" t="str">
        <f ca="1">IFERROR(INDEX($BT$3:$BY$400,MATCH(ROWS(CB$3:CB107),$BY$3:$BY$400,0),5),"")</f>
        <v/>
      </c>
      <c r="CC107" s="48" t="str">
        <f t="shared" ca="1" si="144"/>
        <v/>
      </c>
      <c r="CD107" s="48">
        <f ca="1">IF(AND($BF$9=1,CE107&lt;&gt;0),MAX($CD$104:CD106)+1,0)</f>
        <v>0</v>
      </c>
      <c r="CE107" s="48">
        <f ca="1">IF(ROUND(SUMIFS(COPIA!$CB$3:$CB$400,COPIA!$CC$3:$CC$400,CF107)-SUMIFS(COPIA!$CA$3:$CA$400,COPIA!$CC$3:$CC$400,CF107),0)&lt;0,0,ROUND(SUMIFS(COPIA!$CB$3:$CB$400,COPIA!$CC$3:$CC$400,CF107)-SUMIFS(COPIA!$CA$3:$CA$400,COPIA!$CC$3:$CC$400,CF107),0))</f>
        <v>0</v>
      </c>
      <c r="CF107" s="48" t="s">
        <v>649</v>
      </c>
      <c r="CG107" s="242" t="s">
        <v>781</v>
      </c>
      <c r="CH107" s="48">
        <f ca="1">CE107</f>
        <v>0</v>
      </c>
      <c r="CJ107" s="242"/>
      <c r="CM107" s="242" t="str">
        <f t="shared" ca="1" si="166"/>
        <v/>
      </c>
      <c r="CN107" s="243">
        <f t="shared" ca="1" si="167"/>
        <v>0</v>
      </c>
      <c r="CO107" s="48" t="str">
        <f t="shared" ca="1" si="168"/>
        <v/>
      </c>
      <c r="CQ107" s="242">
        <f ca="1">AR1-1</f>
        <v>2025</v>
      </c>
      <c r="CR107" s="242"/>
      <c r="CT107" s="48">
        <f ca="1">IFERROR(INDEX(CQ100:CT105,MATCH(CQ107,CQ100:CQ105,0),4),0)</f>
        <v>0</v>
      </c>
      <c r="CU107" s="48">
        <f ca="1">IF(SUMIFS(AVERE,DEN_G,AC107,AVERE,"&gt;"&amp;0)+SUMIFS(DARE,DEN_G,AC107,DARE,"&gt;"&amp;0)&gt;0,MAX($CU$2:CU106)+1,0)</f>
        <v>0</v>
      </c>
      <c r="CV107" s="48" t="str">
        <f ca="1">IF(IFERROR(INDEX(PDC,MATCH(ROWS($CV$3:CV107),$CU$3:$CU$400,0),2),"")="CONTO DI RISULTATO ECONOMICO","",IFERROR(INDEX(PDC,MATCH(ROWS($CV$3:CV107),$CU$3:$CU$400,0),2),""))</f>
        <v/>
      </c>
      <c r="CW107" s="48">
        <f ca="1">IFERROR(IF(CV107&lt;&gt;"",MAX($CW$2:CW106)+1,0),0)</f>
        <v>0</v>
      </c>
      <c r="CX107" s="48">
        <f ca="1">$FF$11</f>
        <v>9</v>
      </c>
      <c r="CY107" s="48" t="str">
        <f t="shared" ref="CY107:CY118" ca="1" si="258">IF(ISERROR(INDEX($CV$3:$CX$1302,MATCH(CX107,$CW$3:$CW$1302,0),1)),"MASTRO",INDEX($CV$3:$CX$1302,MATCH(CX107,$CW$3:$CW$1302,0),1))</f>
        <v>MASTRO</v>
      </c>
      <c r="DA107" s="48" t="str">
        <f>IF(CY106="MASTRO","Conto n.","")</f>
        <v>Conto n.</v>
      </c>
      <c r="DB107" s="48" t="str">
        <f ca="1">IF(CY107=0,"",INDEX(PDC,MATCH(DC107,DEN_PDC,0),1))</f>
        <v/>
      </c>
      <c r="DC107" s="48" t="str">
        <f ca="1">IF(OR(CY107=0,CY107="mastro"),"",CY107)</f>
        <v/>
      </c>
      <c r="DD107" s="48" t="str">
        <f ca="1">IF(AND($DA$2=TRUE,OR(INDEX(PDC,MATCH($DC107,DEN_PDC,0),4)="A",INDEX(PDC,MATCH($DC107,DEN_PDC,0),4)="D/A"),SUMIFS(AVERE,DEN_G,"="&amp;$DC107,DATA,"&lt;="&amp;FINE_AC,DATA,"&gt;="&amp;INIZIO_AC)&gt;SUMIFS(DARE,DEN_G,"="&amp;$DC107,DATA,"&lt;="&amp;FINE_AC,DATA,"&gt;="&amp;INIZIO_AC)),CONCATENATE("s ",FIXED(ABS(SUMIFS(AVERE,DEN_G,"="&amp;$DC107,DATA,"&lt;="&amp;FINE_AC,DATA,"&gt;="&amp;INIZIO_AC)-SUMIFS(DARE,DEN_G,"="&amp;$DC107,DATA,"&lt;="&amp;FINE_AC,DATA,"&gt;="&amp;INIZIO_AC)),2)),"")</f>
        <v/>
      </c>
      <c r="DE107" s="48" t="str">
        <f ca="1">IF(AND($DA$2=TRUE,OR(INDEX(PDC,MATCH($DC107,DEN_PDC,0),4)="D",INDEX(PDC,MATCH($DC107,DEN_PDC,0),4)="D/A"),SUMIFS(DARE,DEN_G,"="&amp;$DC107,DATA,"&lt;="&amp;FINE_AC,DATA,"&gt;="&amp;INIZIO_AC)&gt;SUMIFS(AVERE,DEN_G,"="&amp;$DC107,DATA,"&lt;="&amp;FINE_AC,DATA,"&gt;="&amp;INIZIO_AC)),CONCATENATE("s ",FIXED(ABS(SUMIFS(DARE,DEN_G,"="&amp;$DC107,DATA,"&lt;="&amp;FINE_AC,DATA,"&gt;="&amp;INIZIO_AC)-SUMIFS(AVERE,DEN_G,"="&amp;$DC107,DATA,"&lt;="&amp;FINE_AC,DATA,"&gt;="&amp;INIZIO_AC)),2)),"")</f>
        <v/>
      </c>
      <c r="DF107" s="48">
        <f ca="1">IF(AND(CX107=$DF$1,CX107&lt;&gt;""),0,IF(AND(DB107&lt;&gt;"",OR(DB106&lt;&gt;"",DB108&lt;&gt;"")),MAX($DF$2:DF106)+1,0))</f>
        <v>0</v>
      </c>
      <c r="DH107" s="244" t="s">
        <v>282</v>
      </c>
      <c r="DI107" s="48" t="s">
        <v>375</v>
      </c>
      <c r="DJ107" s="48" t="s">
        <v>312</v>
      </c>
      <c r="DK107" s="48" t="s">
        <v>275</v>
      </c>
      <c r="DL107" s="48" t="s">
        <v>6</v>
      </c>
      <c r="DM107" s="48" t="s">
        <v>270</v>
      </c>
      <c r="DN107" s="48">
        <f ca="1">IF(DI107&lt;&gt;"",MAX($DN$2:DN106)+1,0)</f>
        <v>88</v>
      </c>
      <c r="DO107" s="48" t="str">
        <f t="shared" ca="1" si="257"/>
        <v>pac2</v>
      </c>
      <c r="DQ107" s="227" t="s">
        <v>79</v>
      </c>
      <c r="DR107" s="48" t="s">
        <v>73</v>
      </c>
      <c r="DS107" s="48" t="s">
        <v>312</v>
      </c>
      <c r="DT107" s="48" t="s">
        <v>275</v>
      </c>
      <c r="DU107" s="48" t="s">
        <v>6</v>
      </c>
      <c r="DV107" s="48" t="s">
        <v>270</v>
      </c>
      <c r="DW107" s="48">
        <f ca="1">IF(DR107&lt;&gt;"",MAX($DW$2:DW106)+1,0)</f>
        <v>63</v>
      </c>
      <c r="DX107" s="48" t="str">
        <f ca="1">IF($BF$9=1,"pac25q","pac2")</f>
        <v>pac2</v>
      </c>
      <c r="DY107" s="48" t="str">
        <f t="shared" ca="1" si="147"/>
        <v/>
      </c>
      <c r="DZ107" s="48" t="str">
        <f t="shared" ca="1" si="170"/>
        <v/>
      </c>
      <c r="EA107" s="48" t="str">
        <f t="shared" ca="1" si="171"/>
        <v/>
      </c>
      <c r="EB107" s="48">
        <f t="shared" ca="1" si="172"/>
        <v>0</v>
      </c>
      <c r="EC107" s="48">
        <f t="shared" ca="1" si="173"/>
        <v>0</v>
      </c>
      <c r="ED107" s="48" t="str">
        <f t="shared" ca="1" si="174"/>
        <v/>
      </c>
      <c r="EE107" s="48">
        <f t="shared" ca="1" si="175"/>
        <v>0</v>
      </c>
      <c r="EF107" s="48" t="str">
        <f t="shared" ca="1" si="176"/>
        <v/>
      </c>
      <c r="EG107" s="48">
        <f t="shared" ca="1" si="177"/>
        <v>0</v>
      </c>
      <c r="EH107" s="48" t="str">
        <f t="shared" ca="1" si="178"/>
        <v/>
      </c>
      <c r="EI107" s="48">
        <f t="shared" ca="1" si="179"/>
        <v>0</v>
      </c>
      <c r="EJ107" s="48" t="str">
        <f t="shared" ca="1" si="180"/>
        <v/>
      </c>
      <c r="EK107" s="48">
        <f t="shared" ca="1" si="181"/>
        <v>0</v>
      </c>
      <c r="EL107" s="48">
        <f t="shared" ca="1" si="148"/>
        <v>0</v>
      </c>
      <c r="EM107" s="48">
        <f ca="1">IF(EL107&gt;=0,0,MAX($EM$2:EM106)+1)</f>
        <v>0</v>
      </c>
      <c r="EN107" s="48" t="str">
        <f t="shared" ca="1" si="182"/>
        <v/>
      </c>
      <c r="EO107" s="48" t="str">
        <f ca="1">IFERROR(INDEX($EM$3:$EN$400,MATCH(ROWS($EO$3:EO107),$EM$3:$EM$400,0),2),"")</f>
        <v/>
      </c>
      <c r="EP107" s="48">
        <f>ROW()</f>
        <v>107</v>
      </c>
      <c r="EQ107" s="48">
        <f t="shared" ca="1" si="149"/>
        <v>0</v>
      </c>
      <c r="ER107" s="48">
        <f ca="1">IF(ISNA(EQ107)=TRUE,MAX($ER$2:ER106)+1,0)</f>
        <v>0</v>
      </c>
      <c r="ES107" s="48" t="str">
        <f t="shared" ca="1" si="183"/>
        <v/>
      </c>
      <c r="ET107" s="48" t="str">
        <f ca="1">IFERROR(INDEX($ER$3:$ES$400,MATCH(ROWS($ET$3:ET107),$ER$3:$ER$400,0),2),"")</f>
        <v/>
      </c>
      <c r="EV107" s="48">
        <f ca="1">IFERROR(INDEX(LIBRO_GIORNALE!$O$11:$P$408,MATCH(ROWS($EV$2:EV106),LIBRO_GIORNALE!$P$11:$P$408,0),1),0)</f>
        <v>0</v>
      </c>
      <c r="EW107" s="48" t="str">
        <f t="shared" ca="1" si="184"/>
        <v>0</v>
      </c>
      <c r="EX107" s="48">
        <f t="shared" ca="1" si="185"/>
        <v>0</v>
      </c>
      <c r="EY107" s="48">
        <f ca="1">IF(EX107&gt;0,MAX($EY$2:EY106)+1,0)</f>
        <v>0</v>
      </c>
      <c r="EZ107" s="48">
        <f ca="1">IFERROR(INDEX($EX$3:$EX$400,MATCH(ROWS($EZ$3:EZ107),$EY$3:$EY$400,0),1),0)</f>
        <v>0</v>
      </c>
      <c r="FA107" s="48">
        <f ca="1">IF(EZ107&gt;0,0,MAX($FA$2:FA106)+1)</f>
        <v>105</v>
      </c>
      <c r="FB107" s="48">
        <f t="shared" ca="1" si="186"/>
        <v>0</v>
      </c>
      <c r="FC107" s="48">
        <f t="shared" ca="1" si="187"/>
        <v>105</v>
      </c>
      <c r="FD107" s="48">
        <f t="shared" ca="1" si="188"/>
        <v>105</v>
      </c>
      <c r="FE107" s="48">
        <f ca="1">IF(FD107=0,0,MAX($FE$2:FE106)+1)</f>
        <v>105</v>
      </c>
      <c r="FF107" s="48">
        <f ca="1">IFERROR(INDEX($FD$3:$FE$400,MATCH(ROWS($FF$3:FF107),$FE$3:$FE$400,0),1),"")</f>
        <v>105</v>
      </c>
      <c r="FG107" s="48">
        <f t="shared" ca="1" si="255"/>
        <v>0</v>
      </c>
      <c r="FH107" s="48">
        <f t="shared" ca="1" si="189"/>
        <v>0</v>
      </c>
      <c r="FI107" s="48">
        <f ca="1">IF(FH107&lt;&gt;0,MAX($FI$2:FI106)+1,0)</f>
        <v>0</v>
      </c>
      <c r="FJ107" s="48" t="str">
        <f ca="1">IFERROR(INDEX($FH$3:$FI$400,MATCH(ROWS($FJ$3:FJ107),$FI$3:$FI$400,0),1),"")</f>
        <v/>
      </c>
      <c r="FK107" s="48">
        <f ca="1">IF(ABS(SUMIFS(DARE,DEN_G,"="&amp;FJ107,DATA,"&lt;="&amp;FINE_AC,DATA,"&gt;="&amp;INIZIO_A_PC)-SUMIFS(AVERE,DEN_G,"="&amp;FJ107,DATA,"&lt;="&amp;FINE_AC,DATA,"&gt;="&amp;INIZIO_A_PC))&gt;0,MAX($FK$2:FK106)+1,0)</f>
        <v>0</v>
      </c>
      <c r="FL107" s="48" t="str">
        <f ca="1">IF(AND(ROW()-2&lt;&gt;1,ROW()-2&lt;=$FK$1),CONCATENATE(" - ",IFERROR(INDEX($FJ$3:$FK$400,MATCH(ROWS($FL$3:FL107),$FK$3:$FK$400,0),1),"")),IFERROR(INDEX($FJ$3:$FK$400,MATCH(ROWS($FL$3:FL107),$FK$3:$FK$400,0),1),""))</f>
        <v/>
      </c>
      <c r="FM107" s="48">
        <f ca="1">IF(OR(B107="IVA ns/credito",B107="IVA NS/DEBITO",B107="IVA C/ACCONTO",B107="IMPOSTE C/ACCONTO",B107="CREDITI PER RITENUTE SUBITE",B107="CREDITI D'IMPOSTA"),MAX($FM$2:FM106)+1,0)</f>
        <v>0</v>
      </c>
      <c r="FN107" s="48" t="str">
        <f t="shared" ca="1" si="190"/>
        <v/>
      </c>
      <c r="FO107" s="48" t="str">
        <f ca="1">IFERROR(INDEX($FM$3:$FN$400,MATCH(ROWS($FO$3:FO107),$FM$3:$FM$400,0),2),"")</f>
        <v/>
      </c>
      <c r="FP107" s="48">
        <f ca="1">IF(ABS(SUMIFS(DARE,DEN_G,"="&amp;FO107,DATA,"&lt;="&amp;FINE_AC,DATA,"&gt;="&amp;INIZIO_A_PC)-SUMIFS(AVERE,DEN_G,"="&amp;FO107,DATA,"&lt;="&amp;FINE_AC,DATA,"&gt;="&amp;INIZIO_A_PC))&gt;0,MAX($FP$2:FP106)+1,0)</f>
        <v>0</v>
      </c>
      <c r="FQ107" s="48" t="str">
        <f ca="1">IF(AND(ROW()-2&lt;&gt;1,ROW()-2&lt;=$FP$1),CONCATENATE(" - ",IFERROR(INDEX($FO$3:$FP$400,MATCH(ROWS($FQ$3:FQ107),$FP$3:$FP$400,0),1),"")),IFERROR(INDEX($FO$3:$FP$400,MATCH(ROWS($FQ$3:FQ107),$FP$3:$FP$400,0),1),""))</f>
        <v/>
      </c>
    </row>
    <row r="108" spans="1:173" x14ac:dyDescent="0.3">
      <c r="A108" s="48" t="str">
        <f ca="1">IFERROR(IF($A$1=2,INDEX($DH$3:$DN$401,MATCH(ROWS(A$3:A108),$DN$3:$DN$401,0),COLUMN()),IF($A$1=1,INDEX($DQ$3:$DW$401,MATCH(ROWS(A$3:A108),$DW$3:$DW$401,0),COLUMN()),"")),"")</f>
        <v>10.03</v>
      </c>
      <c r="B108" s="48" t="str">
        <f ca="1">IFERROR(IF($A$1=2,INDEX($DH$3:$DN$401,MATCH(ROWS(B$3:B108),$DN$3:$DN$401,0),COLUMN()),IF($A$1=1,INDEX($DQ$3:$DW$400,MATCH(ROWS(B$3:B108),$DW$3:$DW$401,0),COLUMN()),"")),"")</f>
        <v>RISERVA DI RIVALUTAZIONE</v>
      </c>
      <c r="C108" s="48" t="str">
        <f ca="1">IFERROR(IF($A$1=2,INDEX($DH$3:$DN$401,MATCH(ROWS(C$3:C108),$DN$3:$DN$401,0),COLUMN()),IF($A$1=1,INDEX($DQ$3:$DW$401,MATCH(ROWS(C$3:C108),$DW$3:$DW$401,0),COLUMN()),"")),"")</f>
        <v>E</v>
      </c>
      <c r="D108" s="48" t="str">
        <f ca="1">IFERROR(IF($A$1=2,INDEX($DH$3:$DN$401,MATCH(ROWS(D$3:D108),$DN$3:$DN$401,0),COLUMN()),IF($A$1=1,INDEX($DQ$3:$DW$401,MATCH(ROWS(D$3:D108),$DW$3:$DW$401,0),COLUMN()),"")),"")</f>
        <v>A</v>
      </c>
      <c r="E108" s="48" t="str">
        <f ca="1">IFERROR(IF($A$1=2,INDEX($DH$3:$DN$401,MATCH(ROWS(E$3:E108),$DN$3:$DN$401,0),COLUMN()),IF($A$1=1,INDEX($DQ$3:$DW$401,MATCH(ROWS(E$3:E108),$DW$3:$DW$401,0),COLUMN()),"")),"")</f>
        <v>PATRIMONIO NETTO</v>
      </c>
      <c r="F108" s="48" t="str">
        <f ca="1">IFERROR(IF($A$1=2,INDEX($DH$3:$DN$401,MATCH(ROWS(F$3:F108),$DN$3:$DN$401,0),COLUMN()),IF($A$1=1,INDEX($DQ$3:$DX$401,MATCH(ROWS(F$3:F108),$DW$3:$DW$401,0),COLUMN()),"")),"")</f>
        <v>SP AVERE</v>
      </c>
      <c r="G108" s="48" t="str">
        <f t="shared" ca="1" si="150"/>
        <v>SP</v>
      </c>
      <c r="H108" s="48" t="str">
        <f ca="1">IFERROR(IF($A$1=2,INDEX($DH$3:$DO$400,MATCH(ROWS(H$3:H108),$DN$3:$DN$400,0),COLUMN()),IF($A$1=1,INDEX($DQ$3:$DX$400,MATCH(ROWS(H$3:H108),$DW$3:$DW$400,0),COLUMN()),"")),"")</f>
        <v>ppa3</v>
      </c>
      <c r="I108" s="48" t="str">
        <f t="shared" ca="1" si="151"/>
        <v/>
      </c>
      <c r="J108" s="48" t="str">
        <f t="shared" ca="1" si="152"/>
        <v/>
      </c>
      <c r="K108" s="48">
        <f t="shared" ca="1" si="153"/>
        <v>0</v>
      </c>
      <c r="L108" s="48">
        <f t="shared" ca="1" si="154"/>
        <v>0</v>
      </c>
      <c r="M108" s="48">
        <f ca="1">IFERROR(IF(IF(MID($A108,3,3)=".00",MID(A108,1,2),"")&lt;&gt;"",MAX($M$2:M107)+1,0),"")</f>
        <v>0</v>
      </c>
      <c r="N108" s="48" t="str">
        <f t="shared" ca="1" si="155"/>
        <v/>
      </c>
      <c r="O108" s="48" t="str">
        <f ca="1">IF(IFERROR(INDEX($N$3:$O$300,MATCH(ROWS($O$3:O108),$M$3:$M$300,0),1),"")&lt;&gt;"",CONCATENATE(INDEX($N$3:$O$300,MATCH(ROWS($O$3:O108),$M$3:$M$300,0),1),".00"),"")</f>
        <v/>
      </c>
      <c r="P108" s="48" t="str">
        <f t="shared" ca="1" si="156"/>
        <v/>
      </c>
      <c r="Q108" s="48">
        <f ca="1">IF(M108&gt;=1,0,MAX($Q$2:Q107)+1)</f>
        <v>95</v>
      </c>
      <c r="U108" s="48" t="str">
        <f ca="1">IFERROR(INDEX(PDC,MATCH(ROWS(U$3:U108),$V$3:$V$400,0),2),"")</f>
        <v>PERDITA D'ESERCIZIO</v>
      </c>
      <c r="V108" s="48">
        <f ca="1">IF(AND($T$1="VISUALIZZA TUTTI I CONTI",AA108&lt;&gt;""),MAX($V$2:V107)+1,IF(AND($U$2=2,AI108=$T$1),MAX($V$2:V107)+1,IF(AND($U$2=1,$T$1=AF108),MAX($V$2:V107)+1,0)))</f>
        <v>106</v>
      </c>
      <c r="Z108" s="246"/>
      <c r="AA108" s="48" t="str">
        <f t="shared" ca="1" si="157"/>
        <v>10.00</v>
      </c>
      <c r="AB108" s="48" t="str">
        <f ca="1">IFERROR(INDEX($A$3:$G$400,MATCH(ROWS(AB$3:AB108),$Q$3:$Q$400,0),1),"")</f>
        <v>10.41</v>
      </c>
      <c r="AC108" s="48" t="str">
        <f ca="1">IFERROR(INDEX($A$3:$G$400,MATCH(ROWS($AC$3:AC108),$Q$3:$Q$400,0),2),"")</f>
        <v>PERDITA D'ESERCIZIO</v>
      </c>
      <c r="AD108" s="48" t="str">
        <f ca="1">IFERROR(INDEX($A$3:$G$400,MATCH(ROWS(AD$3:AD108),$Q$3:$Q$400,0),3),"")</f>
        <v>E</v>
      </c>
      <c r="AE108" s="48" t="str">
        <f ca="1">IFERROR(INDEX($A$3:$G$400,MATCH(ROWS(AE$3:AE108),$Q$3:$Q$400,0),4),"")</f>
        <v>D</v>
      </c>
      <c r="AF108" s="48" t="str">
        <f ca="1">IFERROR(INDEX($A$3:$G$400,MATCH(ROWS(AF$3:AF108),$Q$3:$Q$400,0),5),"")</f>
        <v>PATRIMONIO NETTO</v>
      </c>
      <c r="AG108" s="48" t="str">
        <f ca="1">IFERROR(INDEX($A$3:$G$400,MATCH(ROWS(AG$3:AG108),$Q$3:$Q$400,0),6),"")</f>
        <v>SP DARE</v>
      </c>
      <c r="AH108" s="48" t="str">
        <f ca="1">IFERROR(INDEX($A$3:$G$400,MATCH(ROWS(AH$3:AH108),$Q$3:$Q$400,0),7),"")</f>
        <v>SP</v>
      </c>
      <c r="AI108" s="48" t="str">
        <f t="shared" ca="1" si="158"/>
        <v>PATRIMONIO NETTO</v>
      </c>
      <c r="AJ108" s="48" t="str">
        <f ca="1">IFERROR(INDEX($A$3:$H$400,MATCH(ROWS(AJ$3:AJ108),$Q$3:$Q$400,0),8),"")</f>
        <v>ppa9</v>
      </c>
      <c r="AK108" s="48">
        <f t="shared" ca="1" si="130"/>
        <v>0</v>
      </c>
      <c r="AL108" s="48">
        <f t="shared" ca="1" si="251"/>
        <v>0</v>
      </c>
      <c r="AM108" s="48">
        <f t="shared" ca="1" si="252"/>
        <v>0</v>
      </c>
      <c r="AN108" s="48">
        <f t="shared" ca="1" si="253"/>
        <v>0</v>
      </c>
      <c r="AO108" s="48">
        <f t="shared" ca="1" si="254"/>
        <v>0</v>
      </c>
      <c r="AP108" s="48">
        <f t="shared" ca="1" si="254"/>
        <v>0</v>
      </c>
      <c r="AQ108" s="48" t="str">
        <f t="shared" ca="1" si="132"/>
        <v>PERDITA D'ESERCIZIO</v>
      </c>
      <c r="AR108" s="48">
        <f t="shared" ca="1" si="133"/>
        <v>0</v>
      </c>
      <c r="AS108" s="48">
        <f t="shared" ca="1" si="134"/>
        <v>0</v>
      </c>
      <c r="AT108" s="48">
        <f t="shared" ca="1" si="162"/>
        <v>0</v>
      </c>
      <c r="AU108" s="48">
        <f t="shared" ca="1" si="163"/>
        <v>0</v>
      </c>
      <c r="AV108" s="48">
        <f ca="1">IF(OR(AT108&gt;0,AU108&gt;0),MAX($AV$2:AV107)+1,0)</f>
        <v>0</v>
      </c>
      <c r="AZ108" s="241" t="str">
        <f t="shared" si="240"/>
        <v>8 V.I.</v>
      </c>
      <c r="BA108" s="48">
        <f t="shared" ca="1" si="241"/>
        <v>0</v>
      </c>
      <c r="BB108" s="48">
        <f t="shared" ca="1" si="247"/>
        <v>0</v>
      </c>
      <c r="BC108" s="48" t="str">
        <f t="shared" ca="1" si="248"/>
        <v/>
      </c>
      <c r="BD108" s="48">
        <f t="shared" ca="1" si="249"/>
        <v>0</v>
      </c>
      <c r="BE108" s="48">
        <f t="shared" ca="1" si="250"/>
        <v>0</v>
      </c>
      <c r="BF108" s="48">
        <v>6</v>
      </c>
      <c r="BG108" s="48">
        <f ca="1">IF(IF(AND(OR(INDEX(PDC,MATCH($AC108,DEN_PDC,0),6)="SP DARE",INDEX(PDC,MATCH($AC108,DEN_PDC,0),6)="SP DARE/AVERE"),SUMIFS(DARE,DEN_G,$AC108)&gt;=SUMIFS(AVERE,DEN_G,$AC108)),SUMIFS(DARE,DEN_G,$AC108)-SUMIFS(AVERE,DEN_G,$AC108),0)&gt;0,MAX($BG$2:BG107)+1,0)</f>
        <v>0</v>
      </c>
      <c r="BH108" s="48">
        <f ca="1">IF(IF(AND(OR(INDEX(PDC,MATCH($AC108,DEN_PDC,0),6)="SP AVERE",INDEX(PDC,MATCH($AC108,DEN_PDC,0),6)="SP DARE/AVERE"),SUMIFS(AVERE,DEN_G,$AC108)&gt;=SUMIFS(DARE,DEN_G,$AC108)),SUMIFS(AVERE,DEN_G,$AC108)-SUMIFS(DARE,DEN_G,$AC108),0)&gt;0,MAX(BH$2:BH107)+1,0)</f>
        <v>0</v>
      </c>
      <c r="BI108" s="48">
        <f ca="1">IF(IF(AND(OR(INDEX(PDC,MATCH($AC108,DEN_PDC,0),6)="SE DARE",INDEX(PDC,MATCH($AC108,DEN_PDC,0),6)="SE DARE/AVERE"),SUMIFS(DARE,DEN_G,$AC108)&gt;=SUMIFS(AVERE,DEN_G,$AC108)),SUMIFS(DARE,DEN_G,$AC108)-SUMIFS(AVERE,DEN_G,$AC108),0)&gt;0,MAX(BI$2:BI107)+1,0)</f>
        <v>0</v>
      </c>
      <c r="BJ108" s="48">
        <f ca="1">IF(IF(AND(OR(INDEX(PDC,MATCH($AC108,DEN_PDC,0),6)="SE AVERE",INDEX(PDC,MATCH($AC108,DEN_PDC,0),6)="SE DARE/AVERE"),SUMIFS(AVERE,DEN_G,$AC108)&gt;=SUMIFS(DARE,DEN_G,$AC108)),SUMIFS(AVERE,DEN_G,$AC108)-SUMIFS(DARE,DEN_G,$AC108),0)&gt;0,MAX(BJ$2:BJ107)+1,0)</f>
        <v>0</v>
      </c>
      <c r="BK108" s="48" t="str">
        <f ca="1">IF(AND(AND($DY$2=0,$DY$1=0),$I$1=2,ROW()&gt;$BG$1+2,ROW()&lt;=$BG$1+4),"………………..",IF(AND(OR($DY$2&gt;0,$DY$1&gt;0),$I$1=2,ROW()&gt;$BG$1+2,ROW()&lt;=$BG$1+4),"………………..",IFERROR(INDEX($AC$3:$AC$398,MATCH(ROWS(BK$3:BK108),BG$3:BG$398,0),1),"")))</f>
        <v/>
      </c>
      <c r="BL108" s="48">
        <f t="shared" ca="1" si="136"/>
        <v>0</v>
      </c>
      <c r="BM108" s="48" t="str">
        <f ca="1">IF(AND(OR($DY$2=0,$DY$1=0),$I$1=2,ROW()&gt;$BH$1+2,ROW()&lt;=$BH$1+4),"………………..",IF(AND(OR($DY$2&gt;0,$DY$1&gt;0),$I$1=2,ROW()&gt;$BH$1+2,ROW()&lt;=$BH$1+4),"………………..",IFERROR(INDEX($AC$3:$AC$400,MATCH(ROWS(BM$3:BM108),BH$3:BH$400,0),1),"")))</f>
        <v/>
      </c>
      <c r="BN108" s="48">
        <f t="shared" ca="1" si="137"/>
        <v>0</v>
      </c>
      <c r="BO108" s="48" t="str">
        <f ca="1">IF(AND(OR($DY$2=0,$DY$1=0),$I$1=2,ROW()&gt;$BI$1+2,ROW()&lt;=$BI$1+4),"………………..",IF(AND(OR($DY$2&gt;0,$DY$1&gt;0),$I$1=2,ROW()&gt;$BI$1+2,ROW()&lt;=$BI$1+4),"………………..",IFERROR(INDEX($AC$3:$AC$400,MATCH(ROWS(BO$3:BO108),BI$3:BI$400,0),1),"")))</f>
        <v/>
      </c>
      <c r="BP108" s="48">
        <f t="shared" ca="1" si="138"/>
        <v>0</v>
      </c>
      <c r="BQ108" s="48" t="str">
        <f ca="1">IF(AND(OR($DY$2=0,$DY$1=0),$I$1=2,ROW()&gt;$BJ$1+2,ROW()&lt;=$BJ$1+4),"………………..",IF(AND(OR($DY$2&gt;0,$DY$1&gt;0),$I$1=2,ROW()&gt;$BJ$1+2,ROW()&lt;=$BJ$1+4),"………………..",IFERROR(INDEX($AC$3:$AC$400,MATCH(ROWS(BQ$3:BQ108),BJ$3:BJ$400,0),1),"")))</f>
        <v/>
      </c>
      <c r="BR108" s="48">
        <f t="shared" ca="1" si="139"/>
        <v>0</v>
      </c>
      <c r="BS108" s="48">
        <f ca="1">IF(IF(AND(OR(INDEX(PDC,MATCH($AC108,DEN_PDC,0),4)="D",INDEX(PDC,MATCH($AC108,DEN_PDC,0),4)="D/A"),SUMIFS(DARE,DEN_G,$AC108)&gt;=SUMIFS(AVERE,DEN_G,$AC108)),SUMIFS(DARE,DEN_G,$AC108),IF(AND(OR(INDEX(PDC,MATCH($AC108,DEN_PDC,0),4)="A",INDEX(PDC,MATCH($AC108,DEN_PDC,0),4)="D/A"),SUMIFS(AVERE,DEN_G,$AC108)&gt;=SUMIFS(DARE,DEN_G,$AC108)),SUMIFS(AVERE,DEN_G,$AC108),))&gt;0,MAX($BS$2:BS107)+1,0)</f>
        <v>0</v>
      </c>
      <c r="BT108" s="48" t="str">
        <f ca="1">IF($CO$1=0,"",IF(AND($I$1=2,ROW()&gt;$BR$1,ROW()&lt;=$BS$1)," …………….",IF(AND($E$1=1,$BX$1=1,$I$1=2,ROW()=$BQ$1),"TOTALI",IFERROR(INDEX(PDC,MATCH(ROWS(BT$3:BT108),BS$3:BS505,0),2),""))))</f>
        <v/>
      </c>
      <c r="BU108" s="48">
        <f t="shared" ca="1" si="140"/>
        <v>0</v>
      </c>
      <c r="BV108" s="48">
        <f t="shared" ca="1" si="141"/>
        <v>0</v>
      </c>
      <c r="BW108" s="48">
        <f t="shared" ca="1" si="142"/>
        <v>0</v>
      </c>
      <c r="BX108" s="48">
        <f t="shared" ca="1" si="143"/>
        <v>0</v>
      </c>
      <c r="BY108" s="48">
        <f ca="1">IF(OR(BW108&gt;0,BX108&gt;0),MAX($BY$2:BY107)+1,0)</f>
        <v>0</v>
      </c>
      <c r="BZ108" s="48" t="str">
        <f ca="1">IFERROR(INDEX($BT$3:$BY$400,MATCH(ROWS(BZ$3:BZ108),$BY$3:$BY$400,0),1),"")</f>
        <v/>
      </c>
      <c r="CA108" s="48" t="str">
        <f ca="1">IFERROR(INDEX($BT$3:$BY$400,MATCH(ROWS(CA$3:CA108),$BY$3:$BY$400,0),4),"")</f>
        <v/>
      </c>
      <c r="CB108" s="48" t="str">
        <f ca="1">IFERROR(INDEX($BT$3:$BY$400,MATCH(ROWS(CB$3:CB108),$BY$3:$BY$400,0),5),"")</f>
        <v/>
      </c>
      <c r="CC108" s="48" t="str">
        <f t="shared" ca="1" si="144"/>
        <v/>
      </c>
      <c r="CD108" s="48">
        <f ca="1">IF(AND($BF$9=1,CE108&lt;&gt;0),MAX($CD$104:CD107)+1,0)</f>
        <v>0</v>
      </c>
      <c r="CE108" s="48">
        <f ca="1">IF(ROUND(SUMIFS(COPIA!$CB$3:$CB$400,COPIA!$CC$3:$CC$400,CF108)-SUMIFS(COPIA!$CA$3:$CA$400,COPIA!$CC$3:$CC$400,CF108),0)&lt;0,0,ROUND(SUMIFS(COPIA!$CB$3:$CB$400,COPIA!$CC$3:$CC$400,CF108)-SUMIFS(COPIA!$CA$3:$CA$400,COPIA!$CC$3:$CC$400,CF108),0))</f>
        <v>0</v>
      </c>
      <c r="CF108" s="48" t="s">
        <v>650</v>
      </c>
      <c r="CG108" s="242" t="s">
        <v>546</v>
      </c>
      <c r="CH108" s="48">
        <f t="shared" ref="CH108:CH171" ca="1" si="259">CE108</f>
        <v>0</v>
      </c>
      <c r="CJ108" s="242"/>
      <c r="CM108" s="242" t="str">
        <f t="shared" ca="1" si="166"/>
        <v/>
      </c>
      <c r="CN108" s="243">
        <f t="shared" ca="1" si="167"/>
        <v>0</v>
      </c>
      <c r="CO108" s="48" t="str">
        <f t="shared" ca="1" si="168"/>
        <v/>
      </c>
      <c r="CQ108" s="242"/>
      <c r="CR108" s="242"/>
      <c r="CU108" s="48">
        <f ca="1">IF(SUMIFS(AVERE,DEN_G,AC108,AVERE,"&gt;"&amp;0)+SUMIFS(DARE,DEN_G,AC108,DARE,"&gt;"&amp;0)&gt;0,MAX($CU$2:CU107)+1,0)</f>
        <v>0</v>
      </c>
      <c r="CV108" s="48" t="str">
        <f ca="1">IF(IFERROR(INDEX(PDC,MATCH(ROWS($CV$3:CV108),$CU$3:$CU$400,0),2),"")="CONTO DI RISULTATO ECONOMICO","",IFERROR(INDEX(PDC,MATCH(ROWS($CV$3:CV108),$CU$3:$CU$400,0),2),""))</f>
        <v/>
      </c>
      <c r="CW108" s="48">
        <f ca="1">IFERROR(IF(CV108&lt;&gt;"",MAX($CW$2:CW107)+1,0),0)</f>
        <v>0</v>
      </c>
      <c r="CX108" s="48">
        <f t="shared" ref="CX108:CX118" ca="1" si="260">$FF$11</f>
        <v>9</v>
      </c>
      <c r="CY108" s="48" t="str">
        <f t="shared" ca="1" si="258"/>
        <v>MASTRO</v>
      </c>
      <c r="DA108" s="48" t="str">
        <f ca="1">IF(DB107="","","Num. riga")</f>
        <v/>
      </c>
      <c r="DB108" s="48" t="str">
        <f t="shared" ref="DB108" ca="1" si="261">IF(DB107="","","Data")</f>
        <v/>
      </c>
      <c r="DC108" s="48" t="str">
        <f ca="1">IF(DB107="","","Operazioni")</f>
        <v/>
      </c>
      <c r="DD108" s="48" t="str">
        <f ca="1">IF(DB107="","","Dare        ")</f>
        <v/>
      </c>
      <c r="DE108" s="48" t="str">
        <f ca="1">IF(DB107="","","Avere        ")</f>
        <v/>
      </c>
      <c r="DF108" s="48">
        <f ca="1">IF(AND(CX108=$DF$1,CX108&lt;&gt;""),0,IF(AND(DB108&lt;&gt;"",OR(DB107&lt;&gt;"",DB109&lt;&gt;"")),MAX($DF$2:DF107)+1,0))</f>
        <v>0</v>
      </c>
      <c r="DH108" s="244" t="s">
        <v>1088</v>
      </c>
      <c r="DI108" s="48" t="s">
        <v>1017</v>
      </c>
      <c r="DJ108" s="48" t="s">
        <v>312</v>
      </c>
      <c r="DK108" s="48" t="s">
        <v>275</v>
      </c>
      <c r="DL108" s="48" t="s">
        <v>6</v>
      </c>
      <c r="DM108" s="48" t="s">
        <v>270</v>
      </c>
      <c r="DO108" s="48" t="str">
        <f t="shared" ca="1" si="257"/>
        <v>pac2</v>
      </c>
      <c r="DQ108" s="227" t="s">
        <v>80</v>
      </c>
      <c r="DR108" s="48" t="s">
        <v>865</v>
      </c>
      <c r="DS108" s="48" t="s">
        <v>312</v>
      </c>
      <c r="DT108" s="48" t="s">
        <v>275</v>
      </c>
      <c r="DU108" s="48" t="s">
        <v>6</v>
      </c>
      <c r="DV108" s="48" t="s">
        <v>270</v>
      </c>
      <c r="DW108" s="48">
        <f ca="1">IF(DR108&lt;&gt;"",MAX($DW$2:DW107)+1,0)</f>
        <v>64</v>
      </c>
      <c r="DX108" s="48" t="str">
        <f ca="1">IF($BF$9=1,"pac25q","pac2")</f>
        <v>pac2</v>
      </c>
      <c r="DY108" s="48" t="str">
        <f t="shared" ca="1" si="147"/>
        <v/>
      </c>
      <c r="DZ108" s="48" t="str">
        <f t="shared" ca="1" si="170"/>
        <v/>
      </c>
      <c r="EA108" s="48" t="str">
        <f t="shared" ca="1" si="171"/>
        <v/>
      </c>
      <c r="EB108" s="48">
        <f t="shared" ca="1" si="172"/>
        <v>0</v>
      </c>
      <c r="EC108" s="48">
        <f t="shared" ca="1" si="173"/>
        <v>0</v>
      </c>
      <c r="ED108" s="48" t="str">
        <f t="shared" ca="1" si="174"/>
        <v/>
      </c>
      <c r="EE108" s="48">
        <f t="shared" ca="1" si="175"/>
        <v>0</v>
      </c>
      <c r="EF108" s="48" t="str">
        <f t="shared" ca="1" si="176"/>
        <v/>
      </c>
      <c r="EG108" s="48">
        <f t="shared" ca="1" si="177"/>
        <v>0</v>
      </c>
      <c r="EH108" s="48" t="str">
        <f t="shared" ca="1" si="178"/>
        <v/>
      </c>
      <c r="EI108" s="48">
        <f t="shared" ca="1" si="179"/>
        <v>0</v>
      </c>
      <c r="EJ108" s="48" t="str">
        <f t="shared" ca="1" si="180"/>
        <v/>
      </c>
      <c r="EK108" s="48">
        <f t="shared" ca="1" si="181"/>
        <v>0</v>
      </c>
      <c r="EL108" s="48">
        <f t="shared" ca="1" si="148"/>
        <v>0</v>
      </c>
      <c r="EM108" s="48">
        <f ca="1">IF(EL108&gt;=0,0,MAX($EM$2:EM107)+1)</f>
        <v>0</v>
      </c>
      <c r="EN108" s="48" t="str">
        <f t="shared" ca="1" si="182"/>
        <v/>
      </c>
      <c r="EO108" s="48" t="str">
        <f ca="1">IFERROR(INDEX($EM$3:$EN$400,MATCH(ROWS($EO$3:EO108),$EM$3:$EM$400,0),2),"")</f>
        <v/>
      </c>
      <c r="EP108" s="48">
        <f>ROW()</f>
        <v>108</v>
      </c>
      <c r="EQ108" s="48">
        <f t="shared" ca="1" si="149"/>
        <v>0</v>
      </c>
      <c r="ER108" s="48">
        <f ca="1">IF(ISNA(EQ108)=TRUE,MAX($ER$2:ER107)+1,0)</f>
        <v>0</v>
      </c>
      <c r="ES108" s="48" t="str">
        <f t="shared" ca="1" si="183"/>
        <v/>
      </c>
      <c r="ET108" s="48" t="str">
        <f ca="1">IFERROR(INDEX($ER$3:$ES$400,MATCH(ROWS($ET$3:ET108),$ER$3:$ER$400,0),2),"")</f>
        <v/>
      </c>
      <c r="EV108" s="48">
        <f ca="1">IFERROR(INDEX(LIBRO_GIORNALE!$O$11:$P$408,MATCH(ROWS($EV$2:EV107),LIBRO_GIORNALE!$P$11:$P$408,0),1),0)</f>
        <v>0</v>
      </c>
      <c r="EW108" s="48" t="str">
        <f t="shared" ca="1" si="184"/>
        <v>0</v>
      </c>
      <c r="EX108" s="48">
        <f t="shared" ca="1" si="185"/>
        <v>0</v>
      </c>
      <c r="EY108" s="48">
        <f ca="1">IF(EX108&gt;0,MAX($EY$2:EY107)+1,0)</f>
        <v>0</v>
      </c>
      <c r="EZ108" s="48">
        <f ca="1">IFERROR(INDEX($EX$3:$EX$400,MATCH(ROWS($EZ$3:EZ108),$EY$3:$EY$400,0),1),0)</f>
        <v>0</v>
      </c>
      <c r="FA108" s="48">
        <f ca="1">IF(EZ108&gt;0,0,MAX($FA$2:FA107)+1)</f>
        <v>106</v>
      </c>
      <c r="FB108" s="48">
        <f t="shared" ca="1" si="186"/>
        <v>0</v>
      </c>
      <c r="FC108" s="48">
        <f t="shared" ca="1" si="187"/>
        <v>106</v>
      </c>
      <c r="FD108" s="48">
        <f t="shared" ca="1" si="188"/>
        <v>106</v>
      </c>
      <c r="FE108" s="48">
        <f ca="1">IF(FD108=0,0,MAX($FE$2:FE107)+1)</f>
        <v>106</v>
      </c>
      <c r="FF108" s="48">
        <f ca="1">IFERROR(INDEX($FD$3:$FE$400,MATCH(ROWS($FF$3:FF108),$FE$3:$FE$400,0),1),"")</f>
        <v>106</v>
      </c>
      <c r="FG108" s="48">
        <f t="shared" ca="1" si="255"/>
        <v>0</v>
      </c>
      <c r="FH108" s="48">
        <f t="shared" ca="1" si="189"/>
        <v>0</v>
      </c>
      <c r="FI108" s="48">
        <f ca="1">IF(FH108&lt;&gt;0,MAX($FI$2:FI107)+1,0)</f>
        <v>0</v>
      </c>
      <c r="FJ108" s="48" t="str">
        <f ca="1">IFERROR(INDEX($FH$3:$FI$400,MATCH(ROWS($FJ$3:FJ108),$FI$3:$FI$400,0),1),"")</f>
        <v/>
      </c>
      <c r="FK108" s="48">
        <f ca="1">IF(ABS(SUMIFS(DARE,DEN_G,"="&amp;FJ108,DATA,"&lt;="&amp;FINE_AC,DATA,"&gt;="&amp;INIZIO_A_PC)-SUMIFS(AVERE,DEN_G,"="&amp;FJ108,DATA,"&lt;="&amp;FINE_AC,DATA,"&gt;="&amp;INIZIO_A_PC))&gt;0,MAX($FK$2:FK107)+1,0)</f>
        <v>0</v>
      </c>
      <c r="FL108" s="48" t="str">
        <f ca="1">IF(AND(ROW()-2&lt;&gt;1,ROW()-2&lt;=$FK$1),CONCATENATE(" - ",IFERROR(INDEX($FJ$3:$FK$400,MATCH(ROWS($FL$3:FL108),$FK$3:$FK$400,0),1),"")),IFERROR(INDEX($FJ$3:$FK$400,MATCH(ROWS($FL$3:FL108),$FK$3:$FK$400,0),1),""))</f>
        <v/>
      </c>
      <c r="FM108" s="48">
        <f ca="1">IF(OR(B108="IVA ns/credito",B108="IVA NS/DEBITO",B108="IVA C/ACCONTO",B108="IMPOSTE C/ACCONTO",B108="CREDITI PER RITENUTE SUBITE",B108="CREDITI D'IMPOSTA"),MAX($FM$2:FM107)+1,0)</f>
        <v>0</v>
      </c>
      <c r="FN108" s="48" t="str">
        <f t="shared" ca="1" si="190"/>
        <v/>
      </c>
      <c r="FO108" s="48" t="str">
        <f ca="1">IFERROR(INDEX($FM$3:$FN$400,MATCH(ROWS($FO$3:FO108),$FM$3:$FM$400,0),2),"")</f>
        <v/>
      </c>
      <c r="FP108" s="48">
        <f ca="1">IF(ABS(SUMIFS(DARE,DEN_G,"="&amp;FO108,DATA,"&lt;="&amp;FINE_AC,DATA,"&gt;="&amp;INIZIO_A_PC)-SUMIFS(AVERE,DEN_G,"="&amp;FO108,DATA,"&lt;="&amp;FINE_AC,DATA,"&gt;="&amp;INIZIO_A_PC))&gt;0,MAX($FP$2:FP107)+1,0)</f>
        <v>0</v>
      </c>
      <c r="FQ108" s="48" t="str">
        <f ca="1">IF(AND(ROW()-2&lt;&gt;1,ROW()-2&lt;=$FP$1),CONCATENATE(" - ",IFERROR(INDEX($FO$3:$FP$400,MATCH(ROWS($FQ$3:FQ108),$FP$3:$FP$400,0),1),"")),IFERROR(INDEX($FO$3:$FP$400,MATCH(ROWS($FQ$3:FQ108),$FP$3:$FP$400,0),1),""))</f>
        <v/>
      </c>
    </row>
    <row r="109" spans="1:173" x14ac:dyDescent="0.3">
      <c r="A109" s="48" t="str">
        <f ca="1">IFERROR(IF($A$1=2,INDEX($DH$3:$DN$401,MATCH(ROWS(A$3:A109),$DN$3:$DN$401,0),COLUMN()),IF($A$1=1,INDEX($DQ$3:$DW$401,MATCH(ROWS(A$3:A109),$DW$3:$DW$401,0),COLUMN()),"")),"")</f>
        <v>10.04</v>
      </c>
      <c r="B109" s="48" t="str">
        <f ca="1">IFERROR(IF($A$1=2,INDEX($DH$3:$DN$401,MATCH(ROWS(B$3:B109),$DN$3:$DN$401,0),COLUMN()),IF($A$1=1,INDEX($DQ$3:$DW$400,MATCH(ROWS(B$3:B109),$DW$3:$DW$401,0),COLUMN()),"")),"")</f>
        <v>RISERVA LEGALE</v>
      </c>
      <c r="C109" s="48" t="str">
        <f ca="1">IFERROR(IF($A$1=2,INDEX($DH$3:$DN$401,MATCH(ROWS(C$3:C109),$DN$3:$DN$401,0),COLUMN()),IF($A$1=1,INDEX($DQ$3:$DW$401,MATCH(ROWS(C$3:C109),$DW$3:$DW$401,0),COLUMN()),"")),"")</f>
        <v>E</v>
      </c>
      <c r="D109" s="48" t="str">
        <f ca="1">IFERROR(IF($A$1=2,INDEX($DH$3:$DN$401,MATCH(ROWS(D$3:D109),$DN$3:$DN$401,0),COLUMN()),IF($A$1=1,INDEX($DQ$3:$DW$401,MATCH(ROWS(D$3:D109),$DW$3:$DW$401,0),COLUMN()),"")),"")</f>
        <v>A</v>
      </c>
      <c r="E109" s="48" t="str">
        <f ca="1">IFERROR(IF($A$1=2,INDEX($DH$3:$DN$401,MATCH(ROWS(E$3:E109),$DN$3:$DN$401,0),COLUMN()),IF($A$1=1,INDEX($DQ$3:$DW$401,MATCH(ROWS(E$3:E109),$DW$3:$DW$401,0),COLUMN()),"")),"")</f>
        <v>PATRIMONIO NETTO</v>
      </c>
      <c r="F109" s="48" t="str">
        <f ca="1">IFERROR(IF($A$1=2,INDEX($DH$3:$DN$401,MATCH(ROWS(F$3:F109),$DN$3:$DN$401,0),COLUMN()),IF($A$1=1,INDEX($DQ$3:$DX$401,MATCH(ROWS(F$3:F109),$DW$3:$DW$401,0),COLUMN()),"")),"")</f>
        <v>SP AVERE</v>
      </c>
      <c r="G109" s="48" t="str">
        <f t="shared" ca="1" si="150"/>
        <v>SP</v>
      </c>
      <c r="H109" s="48" t="str">
        <f ca="1">IFERROR(IF($A$1=2,INDEX($DH$3:$DO$400,MATCH(ROWS(H$3:H109),$DN$3:$DN$400,0),COLUMN()),IF($A$1=1,INDEX($DQ$3:$DX$400,MATCH(ROWS(H$3:H109),$DW$3:$DW$400,0),COLUMN()),"")),"")</f>
        <v>ppa4</v>
      </c>
      <c r="I109" s="48" t="str">
        <f t="shared" ca="1" si="151"/>
        <v/>
      </c>
      <c r="J109" s="48" t="str">
        <f t="shared" ca="1" si="152"/>
        <v/>
      </c>
      <c r="K109" s="48">
        <f t="shared" ca="1" si="153"/>
        <v>0</v>
      </c>
      <c r="L109" s="48">
        <f t="shared" ca="1" si="154"/>
        <v>0</v>
      </c>
      <c r="M109" s="48">
        <f ca="1">IFERROR(IF(IF(MID($A109,3,3)=".00",MID(A109,1,2),"")&lt;&gt;"",MAX($M$2:M108)+1,0),"")</f>
        <v>0</v>
      </c>
      <c r="N109" s="48" t="str">
        <f t="shared" ca="1" si="155"/>
        <v/>
      </c>
      <c r="O109" s="48" t="str">
        <f ca="1">IF(IFERROR(INDEX($N$3:$O$300,MATCH(ROWS($O$3:O109),$M$3:$M$300,0),1),"")&lt;&gt;"",CONCATENATE(INDEX($N$3:$O$300,MATCH(ROWS($O$3:O109),$M$3:$M$300,0),1),".00"),"")</f>
        <v/>
      </c>
      <c r="P109" s="48" t="str">
        <f t="shared" ca="1" si="156"/>
        <v/>
      </c>
      <c r="Q109" s="48">
        <f ca="1">IF(M109&gt;=1,0,MAX($Q$2:Q108)+1)</f>
        <v>96</v>
      </c>
      <c r="U109" s="48" t="str">
        <f ca="1">IFERROR(INDEX(PDC,MATCH(ROWS(U$3:U109),$V$3:$V$400,0),2),"")</f>
        <v>RISERVA NEGATIVA PER AZIONI PROPRIE</v>
      </c>
      <c r="V109" s="48">
        <f ca="1">IF(AND($T$1="VISUALIZZA TUTTI I CONTI",AA109&lt;&gt;""),MAX($V$2:V108)+1,IF(AND($U$2=2,AI109=$T$1),MAX($V$2:V108)+1,IF(AND($U$2=1,$T$1=AF109),MAX($V$2:V108)+1,0)))</f>
        <v>107</v>
      </c>
      <c r="Z109" s="246"/>
      <c r="AA109" s="48" t="str">
        <f t="shared" ca="1" si="157"/>
        <v>10.00</v>
      </c>
      <c r="AB109" s="48" t="str">
        <f ca="1">IFERROR(INDEX($A$3:$G$400,MATCH(ROWS(AB$3:AB109),$Q$3:$Q$400,0),1),"")</f>
        <v>10.42</v>
      </c>
      <c r="AC109" s="48" t="str">
        <f ca="1">IFERROR(INDEX($A$3:$G$400,MATCH(ROWS($AC$3:AC109),$Q$3:$Q$400,0),2),"")</f>
        <v>RISERVA NEGATIVA PER AZIONI PROPRIE</v>
      </c>
      <c r="AD109" s="48" t="str">
        <f ca="1">IFERROR(INDEX($A$3:$G$400,MATCH(ROWS(AD$3:AD109),$Q$3:$Q$400,0),3),"")</f>
        <v>E</v>
      </c>
      <c r="AE109" s="48" t="str">
        <f ca="1">IFERROR(INDEX($A$3:$G$400,MATCH(ROWS(AE$3:AE109),$Q$3:$Q$400,0),4),"")</f>
        <v>D</v>
      </c>
      <c r="AF109" s="48" t="str">
        <f ca="1">IFERROR(INDEX($A$3:$G$400,MATCH(ROWS(AF$3:AF109),$Q$3:$Q$400,0),5),"")</f>
        <v>PATRIMONIO NETTO</v>
      </c>
      <c r="AG109" s="48" t="str">
        <f ca="1">IFERROR(INDEX($A$3:$G$400,MATCH(ROWS(AG$3:AG109),$Q$3:$Q$400,0),6),"")</f>
        <v>SP DARE</v>
      </c>
      <c r="AH109" s="48" t="str">
        <f ca="1">IFERROR(INDEX($A$3:$G$400,MATCH(ROWS(AH$3:AH109),$Q$3:$Q$400,0),7),"")</f>
        <v>SP</v>
      </c>
      <c r="AI109" s="48" t="str">
        <f t="shared" ca="1" si="158"/>
        <v>PATRIMONIO NETTO</v>
      </c>
      <c r="AJ109" s="48" t="str">
        <f ca="1">IFERROR(INDEX($A$3:$H$400,MATCH(ROWS(AJ$3:AJ109),$Q$3:$Q$400,0),8),"")</f>
        <v>ppa10</v>
      </c>
      <c r="AK109" s="48">
        <f t="shared" ca="1" si="130"/>
        <v>0</v>
      </c>
      <c r="AL109" s="48">
        <f t="shared" ca="1" si="251"/>
        <v>0</v>
      </c>
      <c r="AM109" s="48">
        <f t="shared" ca="1" si="252"/>
        <v>0</v>
      </c>
      <c r="AN109" s="48">
        <f t="shared" ca="1" si="253"/>
        <v>0</v>
      </c>
      <c r="AO109" s="48">
        <f t="shared" ca="1" si="254"/>
        <v>0</v>
      </c>
      <c r="AP109" s="48">
        <f t="shared" ca="1" si="254"/>
        <v>0</v>
      </c>
      <c r="AQ109" s="48" t="str">
        <f t="shared" ca="1" si="132"/>
        <v>RISERVA NEGATIVA PER AZIONI PROPRIE</v>
      </c>
      <c r="AR109" s="48">
        <f t="shared" ca="1" si="133"/>
        <v>0</v>
      </c>
      <c r="AS109" s="48">
        <f t="shared" ca="1" si="134"/>
        <v>0</v>
      </c>
      <c r="AT109" s="48">
        <f t="shared" ca="1" si="162"/>
        <v>0</v>
      </c>
      <c r="AU109" s="48">
        <f t="shared" ca="1" si="163"/>
        <v>0</v>
      </c>
      <c r="AV109" s="48">
        <f ca="1">IF(OR(AT109&gt;0,AU109&gt;0),MAX($AV$2:AV108)+1,0)</f>
        <v>0</v>
      </c>
      <c r="AZ109" s="241" t="str">
        <f t="shared" si="240"/>
        <v>9 V.I.</v>
      </c>
      <c r="BA109" s="48">
        <f t="shared" ca="1" si="241"/>
        <v>0</v>
      </c>
      <c r="BB109" s="48">
        <f t="shared" ca="1" si="247"/>
        <v>0</v>
      </c>
      <c r="BC109" s="48" t="str">
        <f t="shared" ca="1" si="248"/>
        <v/>
      </c>
      <c r="BD109" s="48">
        <f t="shared" ca="1" si="249"/>
        <v>0</v>
      </c>
      <c r="BE109" s="48">
        <f t="shared" ca="1" si="250"/>
        <v>0</v>
      </c>
      <c r="BF109" s="48">
        <v>7</v>
      </c>
      <c r="BG109" s="48">
        <f ca="1">IF(IF(AND(OR(INDEX(PDC,MATCH($AC109,DEN_PDC,0),6)="SP DARE",INDEX(PDC,MATCH($AC109,DEN_PDC,0),6)="SP DARE/AVERE"),SUMIFS(DARE,DEN_G,$AC109)&gt;=SUMIFS(AVERE,DEN_G,$AC109)),SUMIFS(DARE,DEN_G,$AC109)-SUMIFS(AVERE,DEN_G,$AC109),0)&gt;0,MAX($BG$2:BG108)+1,0)</f>
        <v>0</v>
      </c>
      <c r="BH109" s="48">
        <f ca="1">IF(IF(AND(OR(INDEX(PDC,MATCH($AC109,DEN_PDC,0),6)="SP AVERE",INDEX(PDC,MATCH($AC109,DEN_PDC,0),6)="SP DARE/AVERE"),SUMIFS(AVERE,DEN_G,$AC109)&gt;=SUMIFS(DARE,DEN_G,$AC109)),SUMIFS(AVERE,DEN_G,$AC109)-SUMIFS(DARE,DEN_G,$AC109),0)&gt;0,MAX(BH$2:BH108)+1,0)</f>
        <v>0</v>
      </c>
      <c r="BI109" s="48">
        <f ca="1">IF(IF(AND(OR(INDEX(PDC,MATCH($AC109,DEN_PDC,0),6)="SE DARE",INDEX(PDC,MATCH($AC109,DEN_PDC,0),6)="SE DARE/AVERE"),SUMIFS(DARE,DEN_G,$AC109)&gt;=SUMIFS(AVERE,DEN_G,$AC109)),SUMIFS(DARE,DEN_G,$AC109)-SUMIFS(AVERE,DEN_G,$AC109),0)&gt;0,MAX(BI$2:BI108)+1,0)</f>
        <v>0</v>
      </c>
      <c r="BJ109" s="48">
        <f ca="1">IF(IF(AND(OR(INDEX(PDC,MATCH($AC109,DEN_PDC,0),6)="SE AVERE",INDEX(PDC,MATCH($AC109,DEN_PDC,0),6)="SE DARE/AVERE"),SUMIFS(AVERE,DEN_G,$AC109)&gt;=SUMIFS(DARE,DEN_G,$AC109)),SUMIFS(AVERE,DEN_G,$AC109)-SUMIFS(DARE,DEN_G,$AC109),0)&gt;0,MAX(BJ$2:BJ108)+1,0)</f>
        <v>0</v>
      </c>
      <c r="BK109" s="48" t="str">
        <f ca="1">IF(AND(AND($DY$2=0,$DY$1=0),$I$1=2,ROW()&gt;$BG$1+2,ROW()&lt;=$BG$1+4),"………………..",IF(AND(OR($DY$2&gt;0,$DY$1&gt;0),$I$1=2,ROW()&gt;$BG$1+2,ROW()&lt;=$BG$1+4),"………………..",IFERROR(INDEX($AC$3:$AC$398,MATCH(ROWS(BK$3:BK109),BG$3:BG$398,0),1),"")))</f>
        <v/>
      </c>
      <c r="BL109" s="48">
        <f t="shared" ca="1" si="136"/>
        <v>0</v>
      </c>
      <c r="BM109" s="48" t="str">
        <f ca="1">IF(AND(OR($DY$2=0,$DY$1=0),$I$1=2,ROW()&gt;$BH$1+2,ROW()&lt;=$BH$1+4),"………………..",IF(AND(OR($DY$2&gt;0,$DY$1&gt;0),$I$1=2,ROW()&gt;$BH$1+2,ROW()&lt;=$BH$1+4),"………………..",IFERROR(INDEX($AC$3:$AC$400,MATCH(ROWS(BM$3:BM109),BH$3:BH$400,0),1),"")))</f>
        <v/>
      </c>
      <c r="BN109" s="48">
        <f t="shared" ca="1" si="137"/>
        <v>0</v>
      </c>
      <c r="BO109" s="48" t="str">
        <f ca="1">IF(AND(OR($DY$2=0,$DY$1=0),$I$1=2,ROW()&gt;$BI$1+2,ROW()&lt;=$BI$1+4),"………………..",IF(AND(OR($DY$2&gt;0,$DY$1&gt;0),$I$1=2,ROW()&gt;$BI$1+2,ROW()&lt;=$BI$1+4),"………………..",IFERROR(INDEX($AC$3:$AC$400,MATCH(ROWS(BO$3:BO109),BI$3:BI$400,0),1),"")))</f>
        <v/>
      </c>
      <c r="BP109" s="48">
        <f t="shared" ca="1" si="138"/>
        <v>0</v>
      </c>
      <c r="BQ109" s="48" t="str">
        <f ca="1">IF(AND(OR($DY$2=0,$DY$1=0),$I$1=2,ROW()&gt;$BJ$1+2,ROW()&lt;=$BJ$1+4),"………………..",IF(AND(OR($DY$2&gt;0,$DY$1&gt;0),$I$1=2,ROW()&gt;$BJ$1+2,ROW()&lt;=$BJ$1+4),"………………..",IFERROR(INDEX($AC$3:$AC$400,MATCH(ROWS(BQ$3:BQ109),BJ$3:BJ$400,0),1),"")))</f>
        <v/>
      </c>
      <c r="BR109" s="48">
        <f t="shared" ca="1" si="139"/>
        <v>0</v>
      </c>
      <c r="BS109" s="48">
        <f ca="1">IF(IF(AND(OR(INDEX(PDC,MATCH($AC109,DEN_PDC,0),4)="D",INDEX(PDC,MATCH($AC109,DEN_PDC,0),4)="D/A"),SUMIFS(DARE,DEN_G,$AC109)&gt;=SUMIFS(AVERE,DEN_G,$AC109)),SUMIFS(DARE,DEN_G,$AC109),IF(AND(OR(INDEX(PDC,MATCH($AC109,DEN_PDC,0),4)="A",INDEX(PDC,MATCH($AC109,DEN_PDC,0),4)="D/A"),SUMIFS(AVERE,DEN_G,$AC109)&gt;=SUMIFS(DARE,DEN_G,$AC109)),SUMIFS(AVERE,DEN_G,$AC109),))&gt;0,MAX($BS$2:BS108)+1,0)</f>
        <v>0</v>
      </c>
      <c r="BT109" s="48" t="str">
        <f ca="1">IF($CO$1=0,"",IF(AND($I$1=2,ROW()&gt;$BR$1,ROW()&lt;=$BS$1)," …………….",IF(AND($E$1=1,$BX$1=1,$I$1=2,ROW()=$BQ$1),"TOTALI",IFERROR(INDEX(PDC,MATCH(ROWS(BT$3:BT109),BS$3:BS506,0),2),""))))</f>
        <v/>
      </c>
      <c r="BU109" s="48">
        <f t="shared" ca="1" si="140"/>
        <v>0</v>
      </c>
      <c r="BV109" s="48">
        <f t="shared" ca="1" si="141"/>
        <v>0</v>
      </c>
      <c r="BW109" s="48">
        <f t="shared" ca="1" si="142"/>
        <v>0</v>
      </c>
      <c r="BX109" s="48">
        <f t="shared" ca="1" si="143"/>
        <v>0</v>
      </c>
      <c r="BY109" s="48">
        <f ca="1">IF(OR(BW109&gt;0,BX109&gt;0),MAX($BY$2:BY108)+1,0)</f>
        <v>0</v>
      </c>
      <c r="BZ109" s="48" t="str">
        <f ca="1">IFERROR(INDEX($BT$3:$BY$400,MATCH(ROWS(BZ$3:BZ109),$BY$3:$BY$400,0),1),"")</f>
        <v/>
      </c>
      <c r="CA109" s="48" t="str">
        <f ca="1">IFERROR(INDEX($BT$3:$BY$400,MATCH(ROWS(CA$3:CA109),$BY$3:$BY$400,0),4),"")</f>
        <v/>
      </c>
      <c r="CB109" s="48" t="str">
        <f ca="1">IFERROR(INDEX($BT$3:$BY$400,MATCH(ROWS(CB$3:CB109),$BY$3:$BY$400,0),5),"")</f>
        <v/>
      </c>
      <c r="CC109" s="48" t="str">
        <f t="shared" ca="1" si="144"/>
        <v/>
      </c>
      <c r="CD109" s="48">
        <f ca="1">IF(AND($BF$9=1,CE109&lt;&gt;0),MAX($CD$104:CD108)+1,0)</f>
        <v>0</v>
      </c>
      <c r="CE109" s="48">
        <f ca="1">IF(ROUND(SUMIFS(COPIA!$CB$3:$CB$400,COPIA!$CC$3:$CC$400,CF109)-SUMIFS(COPIA!$CA$3:$CA$400,COPIA!$CC$3:$CC$400,CF109),0)&lt;0,0,ROUND(SUMIFS(COPIA!$CB$3:$CB$400,COPIA!$CC$3:$CC$400,CF109)-SUMIFS(COPIA!$CA$3:$CA$400,COPIA!$CC$3:$CC$400,CF109),0))</f>
        <v>0</v>
      </c>
      <c r="CF109" s="48" t="s">
        <v>651</v>
      </c>
      <c r="CG109" s="242" t="s">
        <v>547</v>
      </c>
      <c r="CH109" s="48">
        <f t="shared" ca="1" si="259"/>
        <v>0</v>
      </c>
      <c r="CJ109" s="242"/>
      <c r="CM109" s="242" t="str">
        <f t="shared" ca="1" si="166"/>
        <v/>
      </c>
      <c r="CN109" s="243">
        <f t="shared" ca="1" si="167"/>
        <v>0</v>
      </c>
      <c r="CO109" s="48" t="str">
        <f t="shared" ca="1" si="168"/>
        <v/>
      </c>
      <c r="CQ109" s="242"/>
      <c r="CR109" s="242"/>
      <c r="CU109" s="48">
        <f ca="1">IF(SUMIFS(AVERE,DEN_G,AC109,AVERE,"&gt;"&amp;0)+SUMIFS(DARE,DEN_G,AC109,DARE,"&gt;"&amp;0)&gt;0,MAX($CU$2:CU108)+1,0)</f>
        <v>0</v>
      </c>
      <c r="CV109" s="48" t="str">
        <f ca="1">IF(IFERROR(INDEX(PDC,MATCH(ROWS($CV$3:CV109),$CU$3:$CU$400,0),2),"")="CONTO DI RISULTATO ECONOMICO","",IFERROR(INDEX(PDC,MATCH(ROWS($CV$3:CV109),$CU$3:$CU$400,0),2),""))</f>
        <v/>
      </c>
      <c r="CW109" s="48">
        <f ca="1">IFERROR(IF(CV109&lt;&gt;"",MAX($CW$2:CW108)+1,0),0)</f>
        <v>0</v>
      </c>
      <c r="CX109" s="48">
        <f t="shared" ca="1" si="260"/>
        <v>9</v>
      </c>
      <c r="CY109" s="48" t="str">
        <f t="shared" ca="1" si="258"/>
        <v>MASTRO</v>
      </c>
      <c r="CZ109" s="48" t="e">
        <f t="shared" ref="CZ109:CZ118" ca="1" si="262">SUM(MATCH($CY109,INDIRECT(ADDRESS(SUM(CZ108)+3,54)&amp;":"&amp;ADDRESS(400,54)),0),CZ108)</f>
        <v>#N/A</v>
      </c>
      <c r="DA109" s="48" t="str">
        <f ca="1">IFERROR(INDEX(LIBRO_GIORNALE,CZ109,1),"")</f>
        <v/>
      </c>
      <c r="DB109" s="48" t="str">
        <f t="shared" ca="1" si="212"/>
        <v/>
      </c>
      <c r="DC109" s="48" t="str">
        <f t="shared" ref="DC109:DC118" ca="1" si="263">IF(IFERROR(INDEX(LIBRO_GIORNALE,CZ109,4),"")=0,"manca la descrizione dell'operazione",IFERROR(INDEX(LIBRO_GIORNALE,CZ109,4),""))</f>
        <v/>
      </c>
      <c r="DD109" s="48" t="str">
        <f t="shared" ref="DD109:DD118" ca="1" si="264">IFERROR(IF(INDEX(LIBRO_GIORNALE,CZ109,5)&gt;0,INDEX(LIBRO_GIORNALE,CZ109,5),""),"")</f>
        <v/>
      </c>
      <c r="DE109" s="48" t="str">
        <f t="shared" ref="DE109:DE118" ca="1" si="265">IFERROR(IF(INDEX(LIBRO_GIORNALE,CZ109,6)&gt;0,INDEX(LIBRO_GIORNALE,CZ109,6),""),"")</f>
        <v/>
      </c>
      <c r="DF109" s="48">
        <f ca="1">IF(AND(CX109=$DF$1,CX109&lt;&gt;""),0,IF(AND(DB109&lt;&gt;"",OR(DB108&lt;&gt;"",DB110&lt;&gt;"")),MAX($DF$2:DF108)+1,0))</f>
        <v>0</v>
      </c>
      <c r="DH109" s="244" t="s">
        <v>1089</v>
      </c>
      <c r="DI109" s="48" t="s">
        <v>376</v>
      </c>
      <c r="DJ109" s="48" t="s">
        <v>312</v>
      </c>
      <c r="DK109" s="48" t="s">
        <v>275</v>
      </c>
      <c r="DL109" s="48" t="s">
        <v>6</v>
      </c>
      <c r="DM109" s="48" t="s">
        <v>270</v>
      </c>
      <c r="DN109" s="48">
        <f ca="1">IF(DI109&lt;&gt;"",MAX($DN$2:DN108)+1,0)</f>
        <v>89</v>
      </c>
      <c r="DO109" s="48" t="str">
        <f t="shared" ca="1" si="257"/>
        <v>pac2</v>
      </c>
      <c r="DQ109" s="227" t="s">
        <v>1052</v>
      </c>
      <c r="DR109" s="48" t="s">
        <v>1051</v>
      </c>
      <c r="DS109" s="48" t="s">
        <v>312</v>
      </c>
      <c r="DT109" s="48" t="s">
        <v>275</v>
      </c>
      <c r="DU109" s="48" t="s">
        <v>6</v>
      </c>
      <c r="DV109" s="48" t="s">
        <v>270</v>
      </c>
      <c r="DW109" s="48">
        <f ca="1">IF(DR109&lt;&gt;"",MAX($DW$2:DW108)+1,0)</f>
        <v>65</v>
      </c>
      <c r="DX109" s="48" t="str">
        <f ca="1">IF($BF$9=1,"pac25q","pac2")</f>
        <v>pac2</v>
      </c>
      <c r="DY109" s="48" t="str">
        <f t="shared" ca="1" si="147"/>
        <v/>
      </c>
      <c r="DZ109" s="48" t="str">
        <f t="shared" ca="1" si="170"/>
        <v/>
      </c>
      <c r="EA109" s="48" t="str">
        <f t="shared" ca="1" si="171"/>
        <v/>
      </c>
      <c r="EB109" s="48">
        <f t="shared" ca="1" si="172"/>
        <v>0</v>
      </c>
      <c r="EC109" s="48">
        <f t="shared" ca="1" si="173"/>
        <v>0</v>
      </c>
      <c r="ED109" s="48" t="str">
        <f t="shared" ca="1" si="174"/>
        <v/>
      </c>
      <c r="EE109" s="48">
        <f t="shared" ca="1" si="175"/>
        <v>0</v>
      </c>
      <c r="EF109" s="48" t="str">
        <f t="shared" ca="1" si="176"/>
        <v/>
      </c>
      <c r="EG109" s="48">
        <f t="shared" ca="1" si="177"/>
        <v>0</v>
      </c>
      <c r="EH109" s="48" t="str">
        <f t="shared" ca="1" si="178"/>
        <v/>
      </c>
      <c r="EI109" s="48">
        <f t="shared" ca="1" si="179"/>
        <v>0</v>
      </c>
      <c r="EJ109" s="48" t="str">
        <f t="shared" ca="1" si="180"/>
        <v/>
      </c>
      <c r="EK109" s="48">
        <f t="shared" ca="1" si="181"/>
        <v>0</v>
      </c>
      <c r="EL109" s="48">
        <f t="shared" ca="1" si="148"/>
        <v>0</v>
      </c>
      <c r="EM109" s="48">
        <f ca="1">IF(EL109&gt;=0,0,MAX($EM$2:EM108)+1)</f>
        <v>0</v>
      </c>
      <c r="EN109" s="48" t="str">
        <f t="shared" ca="1" si="182"/>
        <v/>
      </c>
      <c r="EO109" s="48" t="str">
        <f ca="1">IFERROR(INDEX($EM$3:$EN$400,MATCH(ROWS($EO$3:EO109),$EM$3:$EM$400,0),2),"")</f>
        <v/>
      </c>
      <c r="EP109" s="48">
        <f>ROW()</f>
        <v>109</v>
      </c>
      <c r="EQ109" s="48">
        <f t="shared" ca="1" si="149"/>
        <v>0</v>
      </c>
      <c r="ER109" s="48">
        <f ca="1">IF(ISNA(EQ109)=TRUE,MAX($ER$2:ER108)+1,0)</f>
        <v>0</v>
      </c>
      <c r="ES109" s="48" t="str">
        <f t="shared" ca="1" si="183"/>
        <v/>
      </c>
      <c r="ET109" s="48" t="str">
        <f ca="1">IFERROR(INDEX($ER$3:$ES$400,MATCH(ROWS($ET$3:ET109),$ER$3:$ER$400,0),2),"")</f>
        <v/>
      </c>
      <c r="EV109" s="48">
        <f ca="1">IFERROR(INDEX(LIBRO_GIORNALE!$O$11:$P$408,MATCH(ROWS($EV$2:EV108),LIBRO_GIORNALE!$P$11:$P$408,0),1),0)</f>
        <v>0</v>
      </c>
      <c r="EW109" s="48" t="str">
        <f t="shared" ca="1" si="184"/>
        <v>0</v>
      </c>
      <c r="EX109" s="48">
        <f t="shared" ca="1" si="185"/>
        <v>0</v>
      </c>
      <c r="EY109" s="48">
        <f ca="1">IF(EX109&gt;0,MAX($EY$2:EY108)+1,0)</f>
        <v>0</v>
      </c>
      <c r="EZ109" s="48">
        <f ca="1">IFERROR(INDEX($EX$3:$EX$400,MATCH(ROWS($EZ$3:EZ109),$EY$3:$EY$400,0),1),0)</f>
        <v>0</v>
      </c>
      <c r="FA109" s="48">
        <f ca="1">IF(EZ109&gt;0,0,MAX($FA$2:FA108)+1)</f>
        <v>107</v>
      </c>
      <c r="FB109" s="48">
        <f t="shared" ca="1" si="186"/>
        <v>0</v>
      </c>
      <c r="FC109" s="48">
        <f t="shared" ca="1" si="187"/>
        <v>107</v>
      </c>
      <c r="FD109" s="48">
        <f t="shared" ca="1" si="188"/>
        <v>107</v>
      </c>
      <c r="FE109" s="48">
        <f ca="1">IF(FD109=0,0,MAX($FE$2:FE108)+1)</f>
        <v>107</v>
      </c>
      <c r="FF109" s="48">
        <f ca="1">IFERROR(INDEX($FD$3:$FE$400,MATCH(ROWS($FF$3:FF109),$FE$3:$FE$400,0),1),"")</f>
        <v>107</v>
      </c>
      <c r="FG109" s="48">
        <f t="shared" ca="1" si="255"/>
        <v>0</v>
      </c>
      <c r="FH109" s="48">
        <f t="shared" ca="1" si="189"/>
        <v>0</v>
      </c>
      <c r="FI109" s="48">
        <f ca="1">IF(FH109&lt;&gt;0,MAX($FI$2:FI108)+1,0)</f>
        <v>0</v>
      </c>
      <c r="FJ109" s="48" t="str">
        <f ca="1">IFERROR(INDEX($FH$3:$FI$400,MATCH(ROWS($FJ$3:FJ109),$FI$3:$FI$400,0),1),"")</f>
        <v/>
      </c>
      <c r="FK109" s="48">
        <f ca="1">IF(ABS(SUMIFS(DARE,DEN_G,"="&amp;FJ109,DATA,"&lt;="&amp;FINE_AC,DATA,"&gt;="&amp;INIZIO_A_PC)-SUMIFS(AVERE,DEN_G,"="&amp;FJ109,DATA,"&lt;="&amp;FINE_AC,DATA,"&gt;="&amp;INIZIO_A_PC))&gt;0,MAX($FK$2:FK108)+1,0)</f>
        <v>0</v>
      </c>
      <c r="FL109" s="48" t="str">
        <f ca="1">IF(AND(ROW()-2&lt;&gt;1,ROW()-2&lt;=$FK$1),CONCATENATE(" - ",IFERROR(INDEX($FJ$3:$FK$400,MATCH(ROWS($FL$3:FL109),$FK$3:$FK$400,0),1),"")),IFERROR(INDEX($FJ$3:$FK$400,MATCH(ROWS($FL$3:FL109),$FK$3:$FK$400,0),1),""))</f>
        <v/>
      </c>
      <c r="FM109" s="48">
        <f ca="1">IF(OR(B109="IVA ns/credito",B109="IVA NS/DEBITO",B109="IVA C/ACCONTO",B109="IMPOSTE C/ACCONTO",B109="CREDITI PER RITENUTE SUBITE",B109="CREDITI D'IMPOSTA"),MAX($FM$2:FM108)+1,0)</f>
        <v>0</v>
      </c>
      <c r="FN109" s="48" t="str">
        <f t="shared" ca="1" si="190"/>
        <v/>
      </c>
      <c r="FO109" s="48" t="str">
        <f ca="1">IFERROR(INDEX($FM$3:$FN$400,MATCH(ROWS($FO$3:FO109),$FM$3:$FM$400,0),2),"")</f>
        <v/>
      </c>
      <c r="FP109" s="48">
        <f ca="1">IF(ABS(SUMIFS(DARE,DEN_G,"="&amp;FO109,DATA,"&lt;="&amp;FINE_AC,DATA,"&gt;="&amp;INIZIO_A_PC)-SUMIFS(AVERE,DEN_G,"="&amp;FO109,DATA,"&lt;="&amp;FINE_AC,DATA,"&gt;="&amp;INIZIO_A_PC))&gt;0,MAX($FP$2:FP108)+1,0)</f>
        <v>0</v>
      </c>
      <c r="FQ109" s="48" t="str">
        <f ca="1">IF(AND(ROW()-2&lt;&gt;1,ROW()-2&lt;=$FP$1),CONCATENATE(" - ",IFERROR(INDEX($FO$3:$FP$400,MATCH(ROWS($FQ$3:FQ109),$FP$3:$FP$400,0),1),"")),IFERROR(INDEX($FO$3:$FP$400,MATCH(ROWS($FQ$3:FQ109),$FP$3:$FP$400,0),1),""))</f>
        <v/>
      </c>
    </row>
    <row r="110" spans="1:173" x14ac:dyDescent="0.3">
      <c r="A110" s="48" t="str">
        <f ca="1">IFERROR(IF($A$1=2,INDEX($DH$3:$DN$401,MATCH(ROWS(A$3:A110),$DN$3:$DN$401,0),COLUMN()),IF($A$1=1,INDEX($DQ$3:$DW$401,MATCH(ROWS(A$3:A110),$DW$3:$DW$401,0),COLUMN()),"")),"")</f>
        <v>10.05</v>
      </c>
      <c r="B110" s="48" t="str">
        <f ca="1">IFERROR(IF($A$1=2,INDEX($DH$3:$DN$401,MATCH(ROWS(B$3:B110),$DN$3:$DN$401,0),COLUMN()),IF($A$1=1,INDEX($DQ$3:$DW$400,MATCH(ROWS(B$3:B110),$DW$3:$DW$401,0),COLUMN()),"")),"")</f>
        <v>RISERVA STATUTARIA</v>
      </c>
      <c r="C110" s="48" t="str">
        <f ca="1">IFERROR(IF($A$1=2,INDEX($DH$3:$DN$401,MATCH(ROWS(C$3:C110),$DN$3:$DN$401,0),COLUMN()),IF($A$1=1,INDEX($DQ$3:$DW$401,MATCH(ROWS(C$3:C110),$DW$3:$DW$401,0),COLUMN()),"")),"")</f>
        <v>E</v>
      </c>
      <c r="D110" s="48" t="str">
        <f ca="1">IFERROR(IF($A$1=2,INDEX($DH$3:$DN$401,MATCH(ROWS(D$3:D110),$DN$3:$DN$401,0),COLUMN()),IF($A$1=1,INDEX($DQ$3:$DW$401,MATCH(ROWS(D$3:D110),$DW$3:$DW$401,0),COLUMN()),"")),"")</f>
        <v>A</v>
      </c>
      <c r="E110" s="48" t="str">
        <f ca="1">IFERROR(IF($A$1=2,INDEX($DH$3:$DN$401,MATCH(ROWS(E$3:E110),$DN$3:$DN$401,0),COLUMN()),IF($A$1=1,INDEX($DQ$3:$DW$401,MATCH(ROWS(E$3:E110),$DW$3:$DW$401,0),COLUMN()),"")),"")</f>
        <v>PATRIMONIO NETTO</v>
      </c>
      <c r="F110" s="48" t="str">
        <f ca="1">IFERROR(IF($A$1=2,INDEX($DH$3:$DN$401,MATCH(ROWS(F$3:F110),$DN$3:$DN$401,0),COLUMN()),IF($A$1=1,INDEX($DQ$3:$DX$401,MATCH(ROWS(F$3:F110),$DW$3:$DW$401,0),COLUMN()),"")),"")</f>
        <v>SP AVERE</v>
      </c>
      <c r="G110" s="48" t="str">
        <f t="shared" ca="1" si="150"/>
        <v>SP</v>
      </c>
      <c r="H110" s="48" t="str">
        <f ca="1">IFERROR(IF($A$1=2,INDEX($DH$3:$DO$400,MATCH(ROWS(H$3:H110),$DN$3:$DN$400,0),COLUMN()),IF($A$1=1,INDEX($DQ$3:$DX$400,MATCH(ROWS(H$3:H110),$DW$3:$DW$400,0),COLUMN()),"")),"")</f>
        <v>ppa5</v>
      </c>
      <c r="I110" s="48" t="str">
        <f t="shared" ca="1" si="151"/>
        <v/>
      </c>
      <c r="J110" s="48" t="str">
        <f t="shared" ca="1" si="152"/>
        <v/>
      </c>
      <c r="K110" s="48">
        <f t="shared" ca="1" si="153"/>
        <v>0</v>
      </c>
      <c r="L110" s="48">
        <f t="shared" ca="1" si="154"/>
        <v>0</v>
      </c>
      <c r="M110" s="48">
        <f ca="1">IFERROR(IF(IF(MID($A110,3,3)=".00",MID(A110,1,2),"")&lt;&gt;"",MAX($M$2:M109)+1,0),"")</f>
        <v>0</v>
      </c>
      <c r="N110" s="48" t="str">
        <f t="shared" ca="1" si="155"/>
        <v/>
      </c>
      <c r="O110" s="48" t="str">
        <f ca="1">IF(IFERROR(INDEX($N$3:$O$300,MATCH(ROWS($O$3:O110),$M$3:$M$300,0),1),"")&lt;&gt;"",CONCATENATE(INDEX($N$3:$O$300,MATCH(ROWS($O$3:O110),$M$3:$M$300,0),1),".00"),"")</f>
        <v/>
      </c>
      <c r="P110" s="48" t="str">
        <f t="shared" ca="1" si="156"/>
        <v/>
      </c>
      <c r="Q110" s="48">
        <f ca="1">IF(M110&gt;=1,0,MAX($Q$2:Q109)+1)</f>
        <v>97</v>
      </c>
      <c r="U110" s="48" t="str">
        <f ca="1">IFERROR(INDEX(PDC,MATCH(ROWS(U$3:U110),$V$3:$V$400,0),2),"")</f>
        <v>FONDO PER IMPOSTE</v>
      </c>
      <c r="V110" s="48">
        <f ca="1">IF(AND($T$1="VISUALIZZA TUTTI I CONTI",AA110&lt;&gt;""),MAX($V$2:V109)+1,IF(AND($U$2=2,AI110=$T$1),MAX($V$2:V109)+1,IF(AND($U$2=1,$T$1=AF110),MAX($V$2:V109)+1,0)))</f>
        <v>108</v>
      </c>
      <c r="Z110" s="246"/>
      <c r="AA110" s="48" t="str">
        <f t="shared" ca="1" si="157"/>
        <v>11.00</v>
      </c>
      <c r="AB110" s="48" t="str">
        <f ca="1">IFERROR(INDEX($A$3:$G$400,MATCH(ROWS(AB$3:AB110),$Q$3:$Q$400,0),1),"")</f>
        <v>11.01</v>
      </c>
      <c r="AC110" s="48" t="str">
        <f ca="1">IFERROR(INDEX($A$3:$G$400,MATCH(ROWS($AC$3:AC110),$Q$3:$Q$400,0),2),"")</f>
        <v>FONDO PER IMPOSTE</v>
      </c>
      <c r="AD110" s="48" t="str">
        <f ca="1">IFERROR(INDEX($A$3:$G$400,MATCH(ROWS(AD$3:AD110),$Q$3:$Q$400,0),3),"")</f>
        <v>F</v>
      </c>
      <c r="AE110" s="48" t="str">
        <f ca="1">IFERROR(INDEX($A$3:$G$400,MATCH(ROWS(AE$3:AE110),$Q$3:$Q$400,0),4),"")</f>
        <v>A</v>
      </c>
      <c r="AF110" s="48" t="str">
        <f ca="1">IFERROR(INDEX($A$3:$G$400,MATCH(ROWS(AF$3:AF110),$Q$3:$Q$400,0),5),"")</f>
        <v>RATEI, FONDI RISCHI E ONERI</v>
      </c>
      <c r="AG110" s="48" t="str">
        <f ca="1">IFERROR(INDEX($A$3:$G$400,MATCH(ROWS(AG$3:AG110),$Q$3:$Q$400,0),6),"")</f>
        <v>SP AVERE</v>
      </c>
      <c r="AH110" s="48" t="str">
        <f ca="1">IFERROR(INDEX($A$3:$G$400,MATCH(ROWS(AH$3:AH110),$Q$3:$Q$400,0),7),"")</f>
        <v>SP</v>
      </c>
      <c r="AI110" s="48" t="str">
        <f t="shared" ca="1" si="158"/>
        <v>FONDI PER RISCHI E ONERI</v>
      </c>
      <c r="AJ110" s="48" t="str">
        <f ca="1">IFERROR(INDEX($A$3:$H$400,MATCH(ROWS(AJ$3:AJ110),$Q$3:$Q$400,0),8),"")</f>
        <v>ppb</v>
      </c>
      <c r="AK110" s="48">
        <f t="shared" ca="1" si="130"/>
        <v>0</v>
      </c>
      <c r="AL110" s="48">
        <f t="shared" ca="1" si="251"/>
        <v>0</v>
      </c>
      <c r="AM110" s="48">
        <f t="shared" ca="1" si="252"/>
        <v>0</v>
      </c>
      <c r="AN110" s="48">
        <f t="shared" ca="1" si="253"/>
        <v>0</v>
      </c>
      <c r="AO110" s="48">
        <f t="shared" ca="1" si="254"/>
        <v>0</v>
      </c>
      <c r="AP110" s="48">
        <f t="shared" ca="1" si="254"/>
        <v>0</v>
      </c>
      <c r="AQ110" s="48" t="str">
        <f t="shared" ca="1" si="132"/>
        <v>FONDO PER IMPOSTE</v>
      </c>
      <c r="AR110" s="48">
        <f t="shared" ca="1" si="133"/>
        <v>0</v>
      </c>
      <c r="AS110" s="48">
        <f t="shared" ca="1" si="134"/>
        <v>0</v>
      </c>
      <c r="AT110" s="48">
        <f t="shared" ca="1" si="162"/>
        <v>0</v>
      </c>
      <c r="AU110" s="48">
        <f t="shared" ca="1" si="163"/>
        <v>0</v>
      </c>
      <c r="AV110" s="48">
        <f ca="1">IF(OR(AT110&gt;0,AU110&gt;0),MAX($AV$2:AV109)+1,0)</f>
        <v>0</v>
      </c>
      <c r="AZ110" s="241" t="str">
        <f t="shared" si="240"/>
        <v>10 V.I.</v>
      </c>
      <c r="BA110" s="48">
        <f t="shared" ca="1" si="241"/>
        <v>0</v>
      </c>
      <c r="BB110" s="48">
        <f t="shared" ca="1" si="247"/>
        <v>0</v>
      </c>
      <c r="BC110" s="48" t="str">
        <f t="shared" ca="1" si="248"/>
        <v/>
      </c>
      <c r="BD110" s="48">
        <f t="shared" ca="1" si="249"/>
        <v>0</v>
      </c>
      <c r="BE110" s="48">
        <f t="shared" ca="1" si="250"/>
        <v>0</v>
      </c>
      <c r="BF110" s="48">
        <v>8</v>
      </c>
      <c r="BG110" s="48">
        <f ca="1">IF(IF(AND(OR(INDEX(PDC,MATCH($AC110,DEN_PDC,0),6)="SP DARE",INDEX(PDC,MATCH($AC110,DEN_PDC,0),6)="SP DARE/AVERE"),SUMIFS(DARE,DEN_G,$AC110)&gt;=SUMIFS(AVERE,DEN_G,$AC110)),SUMIFS(DARE,DEN_G,$AC110)-SUMIFS(AVERE,DEN_G,$AC110),0)&gt;0,MAX($BG$2:BG109)+1,0)</f>
        <v>0</v>
      </c>
      <c r="BH110" s="48">
        <f ca="1">IF(IF(AND(OR(INDEX(PDC,MATCH($AC110,DEN_PDC,0),6)="SP AVERE",INDEX(PDC,MATCH($AC110,DEN_PDC,0),6)="SP DARE/AVERE"),SUMIFS(AVERE,DEN_G,$AC110)&gt;=SUMIFS(DARE,DEN_G,$AC110)),SUMIFS(AVERE,DEN_G,$AC110)-SUMIFS(DARE,DEN_G,$AC110),0)&gt;0,MAX(BH$2:BH109)+1,0)</f>
        <v>0</v>
      </c>
      <c r="BI110" s="48">
        <f ca="1">IF(IF(AND(OR(INDEX(PDC,MATCH($AC110,DEN_PDC,0),6)="SE DARE",INDEX(PDC,MATCH($AC110,DEN_PDC,0),6)="SE DARE/AVERE"),SUMIFS(DARE,DEN_G,$AC110)&gt;=SUMIFS(AVERE,DEN_G,$AC110)),SUMIFS(DARE,DEN_G,$AC110)-SUMIFS(AVERE,DEN_G,$AC110),0)&gt;0,MAX(BI$2:BI109)+1,0)</f>
        <v>0</v>
      </c>
      <c r="BJ110" s="48">
        <f ca="1">IF(IF(AND(OR(INDEX(PDC,MATCH($AC110,DEN_PDC,0),6)="SE AVERE",INDEX(PDC,MATCH($AC110,DEN_PDC,0),6)="SE DARE/AVERE"),SUMIFS(AVERE,DEN_G,$AC110)&gt;=SUMIFS(DARE,DEN_G,$AC110)),SUMIFS(AVERE,DEN_G,$AC110)-SUMIFS(DARE,DEN_G,$AC110),0)&gt;0,MAX(BJ$2:BJ109)+1,0)</f>
        <v>0</v>
      </c>
      <c r="BK110" s="48" t="str">
        <f ca="1">IF(AND(AND($DY$2=0,$DY$1=0),$I$1=2,ROW()&gt;$BG$1+2,ROW()&lt;=$BG$1+4),"………………..",IF(AND(OR($DY$2&gt;0,$DY$1&gt;0),$I$1=2,ROW()&gt;$BG$1+2,ROW()&lt;=$BG$1+4),"………………..",IFERROR(INDEX($AC$3:$AC$398,MATCH(ROWS(BK$3:BK110),BG$3:BG$398,0),1),"")))</f>
        <v/>
      </c>
      <c r="BL110" s="48">
        <f t="shared" ca="1" si="136"/>
        <v>0</v>
      </c>
      <c r="BM110" s="48" t="str">
        <f ca="1">IF(AND(OR($DY$2=0,$DY$1=0),$I$1=2,ROW()&gt;$BH$1+2,ROW()&lt;=$BH$1+4),"………………..",IF(AND(OR($DY$2&gt;0,$DY$1&gt;0),$I$1=2,ROW()&gt;$BH$1+2,ROW()&lt;=$BH$1+4),"………………..",IFERROR(INDEX($AC$3:$AC$400,MATCH(ROWS(BM$3:BM110),BH$3:BH$400,0),1),"")))</f>
        <v/>
      </c>
      <c r="BN110" s="48">
        <f t="shared" ca="1" si="137"/>
        <v>0</v>
      </c>
      <c r="BO110" s="48" t="str">
        <f ca="1">IF(AND(OR($DY$2=0,$DY$1=0),$I$1=2,ROW()&gt;$BI$1+2,ROW()&lt;=$BI$1+4),"………………..",IF(AND(OR($DY$2&gt;0,$DY$1&gt;0),$I$1=2,ROW()&gt;$BI$1+2,ROW()&lt;=$BI$1+4),"………………..",IFERROR(INDEX($AC$3:$AC$400,MATCH(ROWS(BO$3:BO110),BI$3:BI$400,0),1),"")))</f>
        <v/>
      </c>
      <c r="BP110" s="48">
        <f t="shared" ca="1" si="138"/>
        <v>0</v>
      </c>
      <c r="BQ110" s="48" t="str">
        <f ca="1">IF(AND(OR($DY$2=0,$DY$1=0),$I$1=2,ROW()&gt;$BJ$1+2,ROW()&lt;=$BJ$1+4),"………………..",IF(AND(OR($DY$2&gt;0,$DY$1&gt;0),$I$1=2,ROW()&gt;$BJ$1+2,ROW()&lt;=$BJ$1+4),"………………..",IFERROR(INDEX($AC$3:$AC$400,MATCH(ROWS(BQ$3:BQ110),BJ$3:BJ$400,0),1),"")))</f>
        <v/>
      </c>
      <c r="BR110" s="48">
        <f t="shared" ca="1" si="139"/>
        <v>0</v>
      </c>
      <c r="BS110" s="48">
        <f ca="1">IF(IF(AND(OR(INDEX(PDC,MATCH($AC110,DEN_PDC,0),4)="D",INDEX(PDC,MATCH($AC110,DEN_PDC,0),4)="D/A"),SUMIFS(DARE,DEN_G,$AC110)&gt;=SUMIFS(AVERE,DEN_G,$AC110)),SUMIFS(DARE,DEN_G,$AC110),IF(AND(OR(INDEX(PDC,MATCH($AC110,DEN_PDC,0),4)="A",INDEX(PDC,MATCH($AC110,DEN_PDC,0),4)="D/A"),SUMIFS(AVERE,DEN_G,$AC110)&gt;=SUMIFS(DARE,DEN_G,$AC110)),SUMIFS(AVERE,DEN_G,$AC110),))&gt;0,MAX($BS$2:BS109)+1,0)</f>
        <v>0</v>
      </c>
      <c r="BT110" s="48" t="str">
        <f ca="1">IF($CO$1=0,"",IF(AND($I$1=2,ROW()&gt;$BR$1,ROW()&lt;=$BS$1)," …………….",IF(AND($E$1=1,$BX$1=1,$I$1=2,ROW()=$BQ$1),"TOTALI",IFERROR(INDEX(PDC,MATCH(ROWS(BT$3:BT110),BS$3:BS507,0),2),""))))</f>
        <v/>
      </c>
      <c r="BU110" s="48">
        <f t="shared" ca="1" si="140"/>
        <v>0</v>
      </c>
      <c r="BV110" s="48">
        <f t="shared" ca="1" si="141"/>
        <v>0</v>
      </c>
      <c r="BW110" s="48">
        <f t="shared" ca="1" si="142"/>
        <v>0</v>
      </c>
      <c r="BX110" s="48">
        <f t="shared" ca="1" si="143"/>
        <v>0</v>
      </c>
      <c r="BY110" s="48">
        <f ca="1">IF(OR(BW110&gt;0,BX110&gt;0),MAX($BY$2:BY109)+1,0)</f>
        <v>0</v>
      </c>
      <c r="BZ110" s="48" t="str">
        <f ca="1">IFERROR(INDEX($BT$3:$BY$400,MATCH(ROWS(BZ$3:BZ110),$BY$3:$BY$400,0),1),"")</f>
        <v/>
      </c>
      <c r="CA110" s="48" t="str">
        <f ca="1">IFERROR(INDEX($BT$3:$BY$400,MATCH(ROWS(CA$3:CA110),$BY$3:$BY$400,0),4),"")</f>
        <v/>
      </c>
      <c r="CB110" s="48" t="str">
        <f ca="1">IFERROR(INDEX($BT$3:$BY$400,MATCH(ROWS(CB$3:CB110),$BY$3:$BY$400,0),5),"")</f>
        <v/>
      </c>
      <c r="CC110" s="48" t="str">
        <f t="shared" ca="1" si="144"/>
        <v/>
      </c>
      <c r="CD110" s="48">
        <f ca="1">IF(AND($BF$9=1,CE110&lt;&gt;0),MAX($CD$104:CD109)+1,0)</f>
        <v>0</v>
      </c>
      <c r="CE110" s="48">
        <f ca="1">IF(ROUND(SUMIFS(COPIA!$CB$3:$CB$400,COPIA!$CC$3:$CC$400,CF110)-SUMIFS(COPIA!$CA$3:$CA$400,COPIA!$CC$3:$CC$400,CF110),0)&lt;0,0,ROUND(SUMIFS(COPIA!$CB$3:$CB$400,COPIA!$CC$3:$CC$400,CF110)-SUMIFS(COPIA!$CA$3:$CA$400,COPIA!$CC$3:$CC$400,CF110),0))</f>
        <v>0</v>
      </c>
      <c r="CF110" s="48" t="s">
        <v>652</v>
      </c>
      <c r="CG110" s="242" t="s">
        <v>545</v>
      </c>
      <c r="CH110" s="48">
        <f t="shared" ca="1" si="259"/>
        <v>0</v>
      </c>
      <c r="CJ110" s="242"/>
      <c r="CM110" s="242" t="str">
        <f t="shared" ca="1" si="166"/>
        <v/>
      </c>
      <c r="CN110" s="243">
        <f t="shared" ca="1" si="167"/>
        <v>0</v>
      </c>
      <c r="CO110" s="48" t="str">
        <f t="shared" ca="1" si="168"/>
        <v/>
      </c>
      <c r="CQ110" s="242"/>
      <c r="CR110" s="242"/>
      <c r="CU110" s="48">
        <f ca="1">IF(SUMIFS(AVERE,DEN_G,AC110,AVERE,"&gt;"&amp;0)+SUMIFS(DARE,DEN_G,AC110,DARE,"&gt;"&amp;0)&gt;0,MAX($CU$2:CU109)+1,0)</f>
        <v>0</v>
      </c>
      <c r="CV110" s="48" t="str">
        <f ca="1">IF(IFERROR(INDEX(PDC,MATCH(ROWS($CV$3:CV110),$CU$3:$CU$400,0),2),"")="CONTO DI RISULTATO ECONOMICO","",IFERROR(INDEX(PDC,MATCH(ROWS($CV$3:CV110),$CU$3:$CU$400,0),2),""))</f>
        <v/>
      </c>
      <c r="CW110" s="48">
        <f ca="1">IFERROR(IF(CV110&lt;&gt;"",MAX($CW$2:CW109)+1,0),0)</f>
        <v>0</v>
      </c>
      <c r="CX110" s="48">
        <f t="shared" ca="1" si="260"/>
        <v>9</v>
      </c>
      <c r="CY110" s="48" t="str">
        <f t="shared" ca="1" si="258"/>
        <v>MASTRO</v>
      </c>
      <c r="CZ110" s="48" t="e">
        <f t="shared" ca="1" si="262"/>
        <v>#N/A</v>
      </c>
      <c r="DA110" s="48" t="str">
        <f t="shared" ref="DA110:DA118" ca="1" si="266">IFERROR(INDEX(LIBRO_GIORNALE,CZ110,1),"")</f>
        <v/>
      </c>
      <c r="DB110" s="48" t="str">
        <f t="shared" ca="1" si="212"/>
        <v/>
      </c>
      <c r="DC110" s="48" t="str">
        <f t="shared" ca="1" si="263"/>
        <v/>
      </c>
      <c r="DD110" s="48" t="str">
        <f t="shared" ca="1" si="264"/>
        <v/>
      </c>
      <c r="DE110" s="48" t="str">
        <f t="shared" ca="1" si="265"/>
        <v/>
      </c>
      <c r="DF110" s="48">
        <f ca="1">IF(AND(CX110=$DF$1,CX110&lt;&gt;""),0,IF(AND(DB110&lt;&gt;"",OR(DB109&lt;&gt;"",DB111&lt;&gt;"")),MAX($DF$2:DF109)+1,0))</f>
        <v>0</v>
      </c>
      <c r="DH110" s="244" t="s">
        <v>377</v>
      </c>
      <c r="DI110" s="228" t="s">
        <v>378</v>
      </c>
      <c r="DN110" s="48">
        <f ca="1">IF(DI110&lt;&gt;"",MAX($DN$2:DN109)+1,0)</f>
        <v>90</v>
      </c>
      <c r="DQ110" s="227" t="s">
        <v>81</v>
      </c>
      <c r="DR110" s="228" t="s">
        <v>82</v>
      </c>
      <c r="DW110" s="48">
        <f ca="1">IF(DR110&lt;&gt;"",MAX($DW$2:DW109)+1,0)</f>
        <v>66</v>
      </c>
      <c r="DY110" s="48" t="str">
        <f t="shared" ca="1" si="147"/>
        <v/>
      </c>
      <c r="DZ110" s="48" t="str">
        <f t="shared" ca="1" si="170"/>
        <v/>
      </c>
      <c r="EA110" s="48" t="str">
        <f t="shared" ca="1" si="171"/>
        <v/>
      </c>
      <c r="EB110" s="48">
        <f t="shared" ca="1" si="172"/>
        <v>0</v>
      </c>
      <c r="EC110" s="48">
        <f t="shared" ca="1" si="173"/>
        <v>0</v>
      </c>
      <c r="ED110" s="48" t="str">
        <f t="shared" ca="1" si="174"/>
        <v/>
      </c>
      <c r="EE110" s="48">
        <f t="shared" ca="1" si="175"/>
        <v>0</v>
      </c>
      <c r="EF110" s="48" t="str">
        <f t="shared" ca="1" si="176"/>
        <v/>
      </c>
      <c r="EG110" s="48">
        <f t="shared" ca="1" si="177"/>
        <v>0</v>
      </c>
      <c r="EH110" s="48" t="str">
        <f t="shared" ca="1" si="178"/>
        <v/>
      </c>
      <c r="EI110" s="48">
        <f t="shared" ca="1" si="179"/>
        <v>0</v>
      </c>
      <c r="EJ110" s="48" t="str">
        <f t="shared" ca="1" si="180"/>
        <v/>
      </c>
      <c r="EK110" s="48">
        <f t="shared" ca="1" si="181"/>
        <v>0</v>
      </c>
      <c r="EL110" s="48">
        <f t="shared" ca="1" si="148"/>
        <v>0</v>
      </c>
      <c r="EM110" s="48">
        <f ca="1">IF(EL110&gt;=0,0,MAX($EM$2:EM109)+1)</f>
        <v>0</v>
      </c>
      <c r="EN110" s="48" t="str">
        <f t="shared" ca="1" si="182"/>
        <v/>
      </c>
      <c r="EO110" s="48" t="str">
        <f ca="1">IFERROR(INDEX($EM$3:$EN$400,MATCH(ROWS($EO$3:EO110),$EM$3:$EM$400,0),2),"")</f>
        <v/>
      </c>
      <c r="EP110" s="48">
        <f>ROW()</f>
        <v>110</v>
      </c>
      <c r="EQ110" s="48">
        <f t="shared" ca="1" si="149"/>
        <v>0</v>
      </c>
      <c r="ER110" s="48">
        <f ca="1">IF(ISNA(EQ110)=TRUE,MAX($ER$2:ER109)+1,0)</f>
        <v>0</v>
      </c>
      <c r="ES110" s="48" t="str">
        <f t="shared" ca="1" si="183"/>
        <v/>
      </c>
      <c r="ET110" s="48" t="str">
        <f ca="1">IFERROR(INDEX($ER$3:$ES$400,MATCH(ROWS($ET$3:ET110),$ER$3:$ER$400,0),2),"")</f>
        <v/>
      </c>
      <c r="EV110" s="48">
        <f ca="1">IFERROR(INDEX(LIBRO_GIORNALE!$O$11:$P$408,MATCH(ROWS($EV$2:EV109),LIBRO_GIORNALE!$P$11:$P$408,0),1),0)</f>
        <v>0</v>
      </c>
      <c r="EW110" s="48" t="str">
        <f t="shared" ca="1" si="184"/>
        <v>0</v>
      </c>
      <c r="EX110" s="48">
        <f t="shared" ca="1" si="185"/>
        <v>0</v>
      </c>
      <c r="EY110" s="48">
        <f ca="1">IF(EX110&gt;0,MAX($EY$2:EY109)+1,0)</f>
        <v>0</v>
      </c>
      <c r="EZ110" s="48">
        <f ca="1">IFERROR(INDEX($EX$3:$EX$400,MATCH(ROWS($EZ$3:EZ110),$EY$3:$EY$400,0),1),0)</f>
        <v>0</v>
      </c>
      <c r="FA110" s="48">
        <f ca="1">IF(EZ110&gt;0,0,MAX($FA$2:FA109)+1)</f>
        <v>108</v>
      </c>
      <c r="FB110" s="48">
        <f t="shared" ca="1" si="186"/>
        <v>0</v>
      </c>
      <c r="FC110" s="48">
        <f t="shared" ca="1" si="187"/>
        <v>108</v>
      </c>
      <c r="FD110" s="48">
        <f t="shared" ca="1" si="188"/>
        <v>108</v>
      </c>
      <c r="FE110" s="48">
        <f ca="1">IF(FD110=0,0,MAX($FE$2:FE109)+1)</f>
        <v>108</v>
      </c>
      <c r="FF110" s="48">
        <f ca="1">IFERROR(INDEX($FD$3:$FE$400,MATCH(ROWS($FF$3:FF110),$FE$3:$FE$400,0),1),"")</f>
        <v>108</v>
      </c>
      <c r="FG110" s="48">
        <f t="shared" ca="1" si="255"/>
        <v>0</v>
      </c>
      <c r="FH110" s="48">
        <f t="shared" ca="1" si="189"/>
        <v>0</v>
      </c>
      <c r="FI110" s="48">
        <f ca="1">IF(FH110&lt;&gt;0,MAX($FI$2:FI109)+1,0)</f>
        <v>0</v>
      </c>
      <c r="FJ110" s="48" t="str">
        <f ca="1">IFERROR(INDEX($FH$3:$FI$400,MATCH(ROWS($FJ$3:FJ110),$FI$3:$FI$400,0),1),"")</f>
        <v/>
      </c>
      <c r="FK110" s="48">
        <f ca="1">IF(ABS(SUMIFS(DARE,DEN_G,"="&amp;FJ110,DATA,"&lt;="&amp;FINE_AC,DATA,"&gt;="&amp;INIZIO_A_PC)-SUMIFS(AVERE,DEN_G,"="&amp;FJ110,DATA,"&lt;="&amp;FINE_AC,DATA,"&gt;="&amp;INIZIO_A_PC))&gt;0,MAX($FK$2:FK109)+1,0)</f>
        <v>0</v>
      </c>
      <c r="FL110" s="48" t="str">
        <f ca="1">IF(AND(ROW()-2&lt;&gt;1,ROW()-2&lt;=$FK$1),CONCATENATE(" - ",IFERROR(INDEX($FJ$3:$FK$400,MATCH(ROWS($FL$3:FL110),$FK$3:$FK$400,0),1),"")),IFERROR(INDEX($FJ$3:$FK$400,MATCH(ROWS($FL$3:FL110),$FK$3:$FK$400,0),1),""))</f>
        <v/>
      </c>
      <c r="FM110" s="48">
        <f ca="1">IF(OR(B110="IVA ns/credito",B110="IVA NS/DEBITO",B110="IVA C/ACCONTO",B110="IMPOSTE C/ACCONTO",B110="CREDITI PER RITENUTE SUBITE",B110="CREDITI D'IMPOSTA"),MAX($FM$2:FM109)+1,0)</f>
        <v>0</v>
      </c>
      <c r="FN110" s="48" t="str">
        <f t="shared" ca="1" si="190"/>
        <v/>
      </c>
      <c r="FO110" s="48" t="str">
        <f ca="1">IFERROR(INDEX($FM$3:$FN$400,MATCH(ROWS($FO$3:FO110),$FM$3:$FM$400,0),2),"")</f>
        <v/>
      </c>
      <c r="FP110" s="48">
        <f ca="1">IF(ABS(SUMIFS(DARE,DEN_G,"="&amp;FO110,DATA,"&lt;="&amp;FINE_AC,DATA,"&gt;="&amp;INIZIO_A_PC)-SUMIFS(AVERE,DEN_G,"="&amp;FO110,DATA,"&lt;="&amp;FINE_AC,DATA,"&gt;="&amp;INIZIO_A_PC))&gt;0,MAX($FP$2:FP109)+1,0)</f>
        <v>0</v>
      </c>
      <c r="FQ110" s="48" t="str">
        <f ca="1">IF(AND(ROW()-2&lt;&gt;1,ROW()-2&lt;=$FP$1),CONCATENATE(" - ",IFERROR(INDEX($FO$3:$FP$400,MATCH(ROWS($FQ$3:FQ110),$FP$3:$FP$400,0),1),"")),IFERROR(INDEX($FO$3:$FP$400,MATCH(ROWS($FQ$3:FQ110),$FP$3:$FP$400,0),1),""))</f>
        <v/>
      </c>
    </row>
    <row r="111" spans="1:173" x14ac:dyDescent="0.3">
      <c r="A111" s="48" t="str">
        <f ca="1">IFERROR(IF($A$1=2,INDEX($DH$3:$DN$401,MATCH(ROWS(A$3:A111),$DN$3:$DN$401,0),COLUMN()),IF($A$1=1,INDEX($DQ$3:$DW$401,MATCH(ROWS(A$3:A111),$DW$3:$DW$401,0),COLUMN()),"")),"")</f>
        <v>10.06</v>
      </c>
      <c r="B111" s="48" t="str">
        <f ca="1">IFERROR(IF($A$1=2,INDEX($DH$3:$DN$401,MATCH(ROWS(B$3:B111),$DN$3:$DN$401,0),COLUMN()),IF($A$1=1,INDEX($DQ$3:$DW$400,MATCH(ROWS(B$3:B111),$DW$3:$DW$401,0),COLUMN()),"")),"")</f>
        <v>RISERVA STRAORDINARIA</v>
      </c>
      <c r="C111" s="48" t="str">
        <f ca="1">IFERROR(IF($A$1=2,INDEX($DH$3:$DN$401,MATCH(ROWS(C$3:C111),$DN$3:$DN$401,0),COLUMN()),IF($A$1=1,INDEX($DQ$3:$DW$401,MATCH(ROWS(C$3:C111),$DW$3:$DW$401,0),COLUMN()),"")),"")</f>
        <v>E</v>
      </c>
      <c r="D111" s="48" t="str">
        <f ca="1">IFERROR(IF($A$1=2,INDEX($DH$3:$DN$401,MATCH(ROWS(D$3:D111),$DN$3:$DN$401,0),COLUMN()),IF($A$1=1,INDEX($DQ$3:$DW$401,MATCH(ROWS(D$3:D111),$DW$3:$DW$401,0),COLUMN()),"")),"")</f>
        <v>A</v>
      </c>
      <c r="E111" s="48" t="str">
        <f ca="1">IFERROR(IF($A$1=2,INDEX($DH$3:$DN$401,MATCH(ROWS(E$3:E111),$DN$3:$DN$401,0),COLUMN()),IF($A$1=1,INDEX($DQ$3:$DW$401,MATCH(ROWS(E$3:E111),$DW$3:$DW$401,0),COLUMN()),"")),"")</f>
        <v>PATRIMONIO NETTO</v>
      </c>
      <c r="F111" s="48" t="str">
        <f ca="1">IFERROR(IF($A$1=2,INDEX($DH$3:$DN$401,MATCH(ROWS(F$3:F111),$DN$3:$DN$401,0),COLUMN()),IF($A$1=1,INDEX($DQ$3:$DX$401,MATCH(ROWS(F$3:F111),$DW$3:$DW$401,0),COLUMN()),"")),"")</f>
        <v>SP AVERE</v>
      </c>
      <c r="G111" s="48" t="str">
        <f t="shared" ca="1" si="150"/>
        <v>SP</v>
      </c>
      <c r="H111" s="48" t="str">
        <f ca="1">IFERROR(IF($A$1=2,INDEX($DH$3:$DO$400,MATCH(ROWS(H$3:H111),$DN$3:$DN$400,0),COLUMN()),IF($A$1=1,INDEX($DQ$3:$DX$400,MATCH(ROWS(H$3:H111),$DW$3:$DW$400,0),COLUMN()),"")),"")</f>
        <v>ppa61</v>
      </c>
      <c r="I111" s="48" t="str">
        <f t="shared" ca="1" si="151"/>
        <v/>
      </c>
      <c r="J111" s="48" t="str">
        <f t="shared" ca="1" si="152"/>
        <v/>
      </c>
      <c r="K111" s="48">
        <f t="shared" ca="1" si="153"/>
        <v>0</v>
      </c>
      <c r="L111" s="48">
        <f t="shared" ca="1" si="154"/>
        <v>0</v>
      </c>
      <c r="M111" s="48">
        <f ca="1">IFERROR(IF(IF(MID($A111,3,3)=".00",MID(A111,1,2),"")&lt;&gt;"",MAX($M$2:M110)+1,0),"")</f>
        <v>0</v>
      </c>
      <c r="N111" s="48" t="str">
        <f t="shared" ca="1" si="155"/>
        <v/>
      </c>
      <c r="O111" s="48" t="str">
        <f ca="1">IF(IFERROR(INDEX($N$3:$O$300,MATCH(ROWS($O$3:O111),$M$3:$M$300,0),1),"")&lt;&gt;"",CONCATENATE(INDEX($N$3:$O$300,MATCH(ROWS($O$3:O111),$M$3:$M$300,0),1),".00"),"")</f>
        <v/>
      </c>
      <c r="P111" s="48" t="str">
        <f t="shared" ca="1" si="156"/>
        <v/>
      </c>
      <c r="Q111" s="48">
        <f ca="1">IF(M111&gt;=1,0,MAX($Q$2:Q110)+1)</f>
        <v>98</v>
      </c>
      <c r="U111" s="48" t="str">
        <f ca="1">IFERROR(INDEX(PDC,MATCH(ROWS(U$3:U111),$V$3:$V$400,0),2),"")</f>
        <v>FONDO RESPONSABILITÀ CIVILE</v>
      </c>
      <c r="V111" s="48">
        <f ca="1">IF(AND($T$1="VISUALIZZA TUTTI I CONTI",AA111&lt;&gt;""),MAX($V$2:V110)+1,IF(AND($U$2=2,AI111=$T$1),MAX($V$2:V110)+1,IF(AND($U$2=1,$T$1=AF111),MAX($V$2:V110)+1,0)))</f>
        <v>109</v>
      </c>
      <c r="Z111" s="246"/>
      <c r="AA111" s="48" t="str">
        <f t="shared" ca="1" si="157"/>
        <v>11.00</v>
      </c>
      <c r="AB111" s="48" t="str">
        <f ca="1">IFERROR(INDEX($A$3:$G$400,MATCH(ROWS(AB$3:AB111),$Q$3:$Q$400,0),1),"")</f>
        <v>11.03</v>
      </c>
      <c r="AC111" s="48" t="str">
        <f ca="1">IFERROR(INDEX($A$3:$G$400,MATCH(ROWS($AC$3:AC111),$Q$3:$Q$400,0),2),"")</f>
        <v>FONDO RESPONSABILITÀ CIVILE</v>
      </c>
      <c r="AD111" s="48" t="str">
        <f ca="1">IFERROR(INDEX($A$3:$G$400,MATCH(ROWS(AD$3:AD111),$Q$3:$Q$400,0),3),"")</f>
        <v>F</v>
      </c>
      <c r="AE111" s="48" t="str">
        <f ca="1">IFERROR(INDEX($A$3:$G$400,MATCH(ROWS(AE$3:AE111),$Q$3:$Q$400,0),4),"")</f>
        <v>A</v>
      </c>
      <c r="AF111" s="48" t="str">
        <f ca="1">IFERROR(INDEX($A$3:$G$400,MATCH(ROWS(AF$3:AF111),$Q$3:$Q$400,0),5),"")</f>
        <v>RATEI, FONDI RISCHI E ONERI</v>
      </c>
      <c r="AG111" s="48" t="str">
        <f ca="1">IFERROR(INDEX($A$3:$G$400,MATCH(ROWS(AG$3:AG111),$Q$3:$Q$400,0),6),"")</f>
        <v>SP AVERE</v>
      </c>
      <c r="AH111" s="48" t="str">
        <f ca="1">IFERROR(INDEX($A$3:$G$400,MATCH(ROWS(AH$3:AH111),$Q$3:$Q$400,0),7),"")</f>
        <v>SP</v>
      </c>
      <c r="AI111" s="48" t="str">
        <f t="shared" ca="1" si="158"/>
        <v>FONDI PER RISCHI E ONERI</v>
      </c>
      <c r="AJ111" s="48" t="str">
        <f ca="1">IFERROR(INDEX($A$3:$H$400,MATCH(ROWS(AJ$3:AJ111),$Q$3:$Q$400,0),8),"")</f>
        <v>ppb</v>
      </c>
      <c r="AK111" s="48">
        <f t="shared" ca="1" si="130"/>
        <v>0</v>
      </c>
      <c r="AL111" s="48">
        <f t="shared" ca="1" si="251"/>
        <v>0</v>
      </c>
      <c r="AM111" s="48">
        <f t="shared" ca="1" si="252"/>
        <v>0</v>
      </c>
      <c r="AN111" s="48">
        <f t="shared" ca="1" si="253"/>
        <v>0</v>
      </c>
      <c r="AO111" s="48">
        <f t="shared" ca="1" si="254"/>
        <v>0</v>
      </c>
      <c r="AP111" s="48">
        <f t="shared" ca="1" si="254"/>
        <v>0</v>
      </c>
      <c r="AQ111" s="48" t="str">
        <f t="shared" ca="1" si="132"/>
        <v>FONDO RESPONSABILITÀ CIVILE</v>
      </c>
      <c r="AR111" s="48">
        <f t="shared" ca="1" si="133"/>
        <v>0</v>
      </c>
      <c r="AS111" s="48">
        <f t="shared" ca="1" si="134"/>
        <v>0</v>
      </c>
      <c r="AT111" s="48">
        <f t="shared" ca="1" si="162"/>
        <v>0</v>
      </c>
      <c r="AU111" s="48">
        <f t="shared" ca="1" si="163"/>
        <v>0</v>
      </c>
      <c r="AV111" s="48">
        <f ca="1">IF(OR(AT111&gt;0,AU111&gt;0),MAX($AV$2:AV110)+1,0)</f>
        <v>0</v>
      </c>
      <c r="AZ111" s="241" t="str">
        <f t="shared" si="240"/>
        <v>11 V.I.</v>
      </c>
      <c r="BA111" s="48">
        <f t="shared" ca="1" si="241"/>
        <v>0</v>
      </c>
      <c r="BB111" s="48">
        <f t="shared" ca="1" si="247"/>
        <v>0</v>
      </c>
      <c r="BC111" s="48" t="str">
        <f t="shared" ca="1" si="248"/>
        <v/>
      </c>
      <c r="BD111" s="48">
        <f t="shared" ca="1" si="249"/>
        <v>0</v>
      </c>
      <c r="BE111" s="48">
        <f t="shared" ca="1" si="250"/>
        <v>0</v>
      </c>
      <c r="BF111" s="48">
        <v>9</v>
      </c>
      <c r="BG111" s="48">
        <f ca="1">IF(IF(AND(OR(INDEX(PDC,MATCH($AC111,DEN_PDC,0),6)="SP DARE",INDEX(PDC,MATCH($AC111,DEN_PDC,0),6)="SP DARE/AVERE"),SUMIFS(DARE,DEN_G,$AC111)&gt;=SUMIFS(AVERE,DEN_G,$AC111)),SUMIFS(DARE,DEN_G,$AC111)-SUMIFS(AVERE,DEN_G,$AC111),0)&gt;0,MAX($BG$2:BG110)+1,0)</f>
        <v>0</v>
      </c>
      <c r="BH111" s="48">
        <f ca="1">IF(IF(AND(OR(INDEX(PDC,MATCH($AC111,DEN_PDC,0),6)="SP AVERE",INDEX(PDC,MATCH($AC111,DEN_PDC,0),6)="SP DARE/AVERE"),SUMIFS(AVERE,DEN_G,$AC111)&gt;=SUMIFS(DARE,DEN_G,$AC111)),SUMIFS(AVERE,DEN_G,$AC111)-SUMIFS(DARE,DEN_G,$AC111),0)&gt;0,MAX(BH$2:BH110)+1,0)</f>
        <v>0</v>
      </c>
      <c r="BI111" s="48">
        <f ca="1">IF(IF(AND(OR(INDEX(PDC,MATCH($AC111,DEN_PDC,0),6)="SE DARE",INDEX(PDC,MATCH($AC111,DEN_PDC,0),6)="SE DARE/AVERE"),SUMIFS(DARE,DEN_G,$AC111)&gt;=SUMIFS(AVERE,DEN_G,$AC111)),SUMIFS(DARE,DEN_G,$AC111)-SUMIFS(AVERE,DEN_G,$AC111),0)&gt;0,MAX(BI$2:BI110)+1,0)</f>
        <v>0</v>
      </c>
      <c r="BJ111" s="48">
        <f ca="1">IF(IF(AND(OR(INDEX(PDC,MATCH($AC111,DEN_PDC,0),6)="SE AVERE",INDEX(PDC,MATCH($AC111,DEN_PDC,0),6)="SE DARE/AVERE"),SUMIFS(AVERE,DEN_G,$AC111)&gt;=SUMIFS(DARE,DEN_G,$AC111)),SUMIFS(AVERE,DEN_G,$AC111)-SUMIFS(DARE,DEN_G,$AC111),0)&gt;0,MAX(BJ$2:BJ110)+1,0)</f>
        <v>0</v>
      </c>
      <c r="BK111" s="48" t="str">
        <f ca="1">IF(AND(AND($DY$2=0,$DY$1=0),$I$1=2,ROW()&gt;$BG$1+2,ROW()&lt;=$BG$1+4),"………………..",IF(AND(OR($DY$2&gt;0,$DY$1&gt;0),$I$1=2,ROW()&gt;$BG$1+2,ROW()&lt;=$BG$1+4),"………………..",IFERROR(INDEX($AC$3:$AC$398,MATCH(ROWS(BK$3:BK111),BG$3:BG$398,0),1),"")))</f>
        <v/>
      </c>
      <c r="BL111" s="48">
        <f t="shared" ca="1" si="136"/>
        <v>0</v>
      </c>
      <c r="BM111" s="48" t="str">
        <f ca="1">IF(AND(OR($DY$2=0,$DY$1=0),$I$1=2,ROW()&gt;$BH$1+2,ROW()&lt;=$BH$1+4),"………………..",IF(AND(OR($DY$2&gt;0,$DY$1&gt;0),$I$1=2,ROW()&gt;$BH$1+2,ROW()&lt;=$BH$1+4),"………………..",IFERROR(INDEX($AC$3:$AC$400,MATCH(ROWS(BM$3:BM111),BH$3:BH$400,0),1),"")))</f>
        <v/>
      </c>
      <c r="BN111" s="48">
        <f t="shared" ca="1" si="137"/>
        <v>0</v>
      </c>
      <c r="BO111" s="48" t="str">
        <f ca="1">IF(AND(OR($DY$2=0,$DY$1=0),$I$1=2,ROW()&gt;$BI$1+2,ROW()&lt;=$BI$1+4),"………………..",IF(AND(OR($DY$2&gt;0,$DY$1&gt;0),$I$1=2,ROW()&gt;$BI$1+2,ROW()&lt;=$BI$1+4),"………………..",IFERROR(INDEX($AC$3:$AC$400,MATCH(ROWS(BO$3:BO111),BI$3:BI$400,0),1),"")))</f>
        <v/>
      </c>
      <c r="BP111" s="48">
        <f t="shared" ca="1" si="138"/>
        <v>0</v>
      </c>
      <c r="BQ111" s="48" t="str">
        <f ca="1">IF(AND(OR($DY$2=0,$DY$1=0),$I$1=2,ROW()&gt;$BJ$1+2,ROW()&lt;=$BJ$1+4),"………………..",IF(AND(OR($DY$2&gt;0,$DY$1&gt;0),$I$1=2,ROW()&gt;$BJ$1+2,ROW()&lt;=$BJ$1+4),"………………..",IFERROR(INDEX($AC$3:$AC$400,MATCH(ROWS(BQ$3:BQ111),BJ$3:BJ$400,0),1),"")))</f>
        <v/>
      </c>
      <c r="BR111" s="48">
        <f t="shared" ca="1" si="139"/>
        <v>0</v>
      </c>
      <c r="BS111" s="48">
        <f ca="1">IF(IF(AND(OR(INDEX(PDC,MATCH($AC111,DEN_PDC,0),4)="D",INDEX(PDC,MATCH($AC111,DEN_PDC,0),4)="D/A"),SUMIFS(DARE,DEN_G,$AC111)&gt;=SUMIFS(AVERE,DEN_G,$AC111)),SUMIFS(DARE,DEN_G,$AC111),IF(AND(OR(INDEX(PDC,MATCH($AC111,DEN_PDC,0),4)="A",INDEX(PDC,MATCH($AC111,DEN_PDC,0),4)="D/A"),SUMIFS(AVERE,DEN_G,$AC111)&gt;=SUMIFS(DARE,DEN_G,$AC111)),SUMIFS(AVERE,DEN_G,$AC111),))&gt;0,MAX($BS$2:BS110)+1,0)</f>
        <v>0</v>
      </c>
      <c r="BT111" s="48" t="str">
        <f ca="1">IF($CO$1=0,"",IF(AND($I$1=2,ROW()&gt;$BR$1,ROW()&lt;=$BS$1)," …………….",IF(AND($E$1=1,$BX$1=1,$I$1=2,ROW()=$BQ$1),"TOTALI",IFERROR(INDEX(PDC,MATCH(ROWS(BT$3:BT111),BS$3:BS508,0),2),""))))</f>
        <v/>
      </c>
      <c r="BU111" s="48">
        <f t="shared" ca="1" si="140"/>
        <v>0</v>
      </c>
      <c r="BV111" s="48">
        <f t="shared" ca="1" si="141"/>
        <v>0</v>
      </c>
      <c r="BW111" s="48">
        <f t="shared" ca="1" si="142"/>
        <v>0</v>
      </c>
      <c r="BX111" s="48">
        <f t="shared" ca="1" si="143"/>
        <v>0</v>
      </c>
      <c r="BY111" s="48">
        <f ca="1">IF(OR(BW111&gt;0,BX111&gt;0),MAX($BY$2:BY110)+1,0)</f>
        <v>0</v>
      </c>
      <c r="BZ111" s="48" t="str">
        <f ca="1">IFERROR(INDEX($BT$3:$BY$400,MATCH(ROWS(BZ$3:BZ111),$BY$3:$BY$400,0),1),"")</f>
        <v/>
      </c>
      <c r="CA111" s="48" t="str">
        <f ca="1">IFERROR(INDEX($BT$3:$BY$400,MATCH(ROWS(CA$3:CA111),$BY$3:$BY$400,0),4),"")</f>
        <v/>
      </c>
      <c r="CB111" s="48" t="str">
        <f ca="1">IFERROR(INDEX($BT$3:$BY$400,MATCH(ROWS(CB$3:CB111),$BY$3:$BY$400,0),5),"")</f>
        <v/>
      </c>
      <c r="CC111" s="48" t="str">
        <f t="shared" ca="1" si="144"/>
        <v/>
      </c>
      <c r="CD111" s="48">
        <f ca="1">IF(AND($BF$9=1,CE111&lt;&gt;0),MAX($CD$104:CD110)+1,0)</f>
        <v>0</v>
      </c>
      <c r="CE111" s="48">
        <f ca="1">IF(ROUND(SUMIFS(COPIA!$CB$3:$CB$400,COPIA!$CC$3:$CC$400,CF111)-SUMIFS(COPIA!$CA$3:$CA$400,COPIA!$CC$3:$CC$400,CF111),0)&lt;0,0,ROUND(SUMIFS(COPIA!$CB$3:$CB$400,COPIA!$CC$3:$CC$400,CF111)-SUMIFS(COPIA!$CA$3:$CA$400,COPIA!$CC$3:$CC$400,CF111),0))</f>
        <v>0</v>
      </c>
      <c r="CF111" s="48" t="s">
        <v>653</v>
      </c>
      <c r="CG111" s="242" t="s">
        <v>548</v>
      </c>
      <c r="CH111" s="48">
        <f t="shared" ca="1" si="259"/>
        <v>0</v>
      </c>
      <c r="CJ111" s="242"/>
      <c r="CM111" s="242" t="str">
        <f t="shared" ca="1" si="166"/>
        <v/>
      </c>
      <c r="CN111" s="243">
        <f t="shared" ca="1" si="167"/>
        <v>0</v>
      </c>
      <c r="CO111" s="48" t="str">
        <f t="shared" ca="1" si="168"/>
        <v/>
      </c>
      <c r="CQ111" s="242"/>
      <c r="CR111" s="242"/>
      <c r="CU111" s="48">
        <f ca="1">IF(SUMIFS(AVERE,DEN_G,AC111,AVERE,"&gt;"&amp;0)+SUMIFS(DARE,DEN_G,AC111,DARE,"&gt;"&amp;0)&gt;0,MAX($CU$2:CU110)+1,0)</f>
        <v>0</v>
      </c>
      <c r="CV111" s="48" t="str">
        <f ca="1">IF(IFERROR(INDEX(PDC,MATCH(ROWS($CV$3:CV111),$CU$3:$CU$400,0),2),"")="CONTO DI RISULTATO ECONOMICO","",IFERROR(INDEX(PDC,MATCH(ROWS($CV$3:CV111),$CU$3:$CU$400,0),2),""))</f>
        <v/>
      </c>
      <c r="CW111" s="48">
        <f ca="1">IFERROR(IF(CV111&lt;&gt;"",MAX($CW$2:CW110)+1,0),0)</f>
        <v>0</v>
      </c>
      <c r="CX111" s="48">
        <f t="shared" ca="1" si="260"/>
        <v>9</v>
      </c>
      <c r="CY111" s="48" t="str">
        <f t="shared" ca="1" si="258"/>
        <v>MASTRO</v>
      </c>
      <c r="CZ111" s="48" t="e">
        <f t="shared" ca="1" si="262"/>
        <v>#N/A</v>
      </c>
      <c r="DA111" s="48" t="str">
        <f t="shared" ca="1" si="266"/>
        <v/>
      </c>
      <c r="DB111" s="48" t="str">
        <f t="shared" ca="1" si="212"/>
        <v/>
      </c>
      <c r="DC111" s="48" t="str">
        <f t="shared" ca="1" si="263"/>
        <v/>
      </c>
      <c r="DD111" s="48" t="str">
        <f t="shared" ca="1" si="264"/>
        <v/>
      </c>
      <c r="DE111" s="48" t="str">
        <f t="shared" ca="1" si="265"/>
        <v/>
      </c>
      <c r="DF111" s="48">
        <f ca="1">IF(AND(CX111=$DF$1,CX111&lt;&gt;""),0,IF(AND(DB111&lt;&gt;"",OR(DB110&lt;&gt;"",DB112&lt;&gt;"")),MAX($DF$2:DF110)+1,0))</f>
        <v>0</v>
      </c>
      <c r="DH111" s="244" t="s">
        <v>379</v>
      </c>
      <c r="DI111" s="48" t="s">
        <v>380</v>
      </c>
      <c r="DJ111" s="48" t="s">
        <v>311</v>
      </c>
      <c r="DK111" s="48" t="s">
        <v>275</v>
      </c>
      <c r="DL111" s="48" t="s">
        <v>13</v>
      </c>
      <c r="DM111" s="48" t="s">
        <v>270</v>
      </c>
      <c r="DN111" s="48">
        <f ca="1">IF(DI111&lt;&gt;"",MAX($DN$2:DN110)+1,0)</f>
        <v>91</v>
      </c>
      <c r="DO111" s="48" t="str">
        <f ca="1">IF($BF$9=1,"pac34","pac3")</f>
        <v>pac3</v>
      </c>
      <c r="DQ111" s="227" t="s">
        <v>85</v>
      </c>
      <c r="DR111" s="48" t="s">
        <v>83</v>
      </c>
      <c r="DS111" s="48" t="s">
        <v>312</v>
      </c>
      <c r="DT111" s="48" t="s">
        <v>275</v>
      </c>
      <c r="DU111" s="48" t="s">
        <v>82</v>
      </c>
      <c r="DV111" s="48" t="s">
        <v>270</v>
      </c>
      <c r="DW111" s="48">
        <f ca="1">IF(DR111&lt;&gt;"",MAX($DW$2:DW110)+1,0)</f>
        <v>67</v>
      </c>
      <c r="DX111" s="48" t="str">
        <f ca="1">IF($BF$9=1,"pac41","pac4")</f>
        <v>pac4</v>
      </c>
      <c r="DY111" s="48" t="str">
        <f t="shared" ca="1" si="147"/>
        <v/>
      </c>
      <c r="DZ111" s="48" t="str">
        <f t="shared" ca="1" si="170"/>
        <v/>
      </c>
      <c r="EA111" s="48" t="str">
        <f t="shared" ca="1" si="171"/>
        <v/>
      </c>
      <c r="EB111" s="48">
        <f t="shared" ca="1" si="172"/>
        <v>0</v>
      </c>
      <c r="EC111" s="48">
        <f t="shared" ca="1" si="173"/>
        <v>0</v>
      </c>
      <c r="ED111" s="48" t="str">
        <f t="shared" ca="1" si="174"/>
        <v/>
      </c>
      <c r="EE111" s="48">
        <f t="shared" ca="1" si="175"/>
        <v>0</v>
      </c>
      <c r="EF111" s="48" t="str">
        <f t="shared" ca="1" si="176"/>
        <v/>
      </c>
      <c r="EG111" s="48">
        <f t="shared" ca="1" si="177"/>
        <v>0</v>
      </c>
      <c r="EH111" s="48" t="str">
        <f t="shared" ca="1" si="178"/>
        <v/>
      </c>
      <c r="EI111" s="48">
        <f t="shared" ca="1" si="179"/>
        <v>0</v>
      </c>
      <c r="EJ111" s="48" t="str">
        <f t="shared" ca="1" si="180"/>
        <v/>
      </c>
      <c r="EK111" s="48">
        <f t="shared" ca="1" si="181"/>
        <v>0</v>
      </c>
      <c r="EL111" s="48">
        <f t="shared" ca="1" si="148"/>
        <v>0</v>
      </c>
      <c r="EM111" s="48">
        <f ca="1">IF(EL111&gt;=0,0,MAX($EM$2:EM110)+1)</f>
        <v>0</v>
      </c>
      <c r="EN111" s="48" t="str">
        <f t="shared" ca="1" si="182"/>
        <v/>
      </c>
      <c r="EO111" s="48" t="str">
        <f ca="1">IFERROR(INDEX($EM$3:$EN$400,MATCH(ROWS($EO$3:EO111),$EM$3:$EM$400,0),2),"")</f>
        <v/>
      </c>
      <c r="EP111" s="48">
        <f>ROW()</f>
        <v>111</v>
      </c>
      <c r="EQ111" s="48">
        <f t="shared" ca="1" si="149"/>
        <v>0</v>
      </c>
      <c r="ER111" s="48">
        <f ca="1">IF(ISNA(EQ111)=TRUE,MAX($ER$2:ER110)+1,0)</f>
        <v>0</v>
      </c>
      <c r="ES111" s="48" t="str">
        <f t="shared" ca="1" si="183"/>
        <v/>
      </c>
      <c r="ET111" s="48" t="str">
        <f ca="1">IFERROR(INDEX($ER$3:$ES$400,MATCH(ROWS($ET$3:ET111),$ER$3:$ER$400,0),2),"")</f>
        <v/>
      </c>
      <c r="EV111" s="48">
        <f ca="1">IFERROR(INDEX(LIBRO_GIORNALE!$O$11:$P$408,MATCH(ROWS($EV$2:EV110),LIBRO_GIORNALE!$P$11:$P$408,0),1),0)</f>
        <v>0</v>
      </c>
      <c r="EW111" s="48" t="str">
        <f t="shared" ca="1" si="184"/>
        <v>0</v>
      </c>
      <c r="EX111" s="48">
        <f t="shared" ca="1" si="185"/>
        <v>0</v>
      </c>
      <c r="EY111" s="48">
        <f ca="1">IF(EX111&gt;0,MAX($EY$2:EY110)+1,0)</f>
        <v>0</v>
      </c>
      <c r="EZ111" s="48">
        <f ca="1">IFERROR(INDEX($EX$3:$EX$400,MATCH(ROWS($EZ$3:EZ111),$EY$3:$EY$400,0),1),0)</f>
        <v>0</v>
      </c>
      <c r="FA111" s="48">
        <f ca="1">IF(EZ111&gt;0,0,MAX($FA$2:FA110)+1)</f>
        <v>109</v>
      </c>
      <c r="FB111" s="48">
        <f t="shared" ca="1" si="186"/>
        <v>0</v>
      </c>
      <c r="FC111" s="48">
        <f t="shared" ca="1" si="187"/>
        <v>109</v>
      </c>
      <c r="FD111" s="48">
        <f t="shared" ca="1" si="188"/>
        <v>109</v>
      </c>
      <c r="FE111" s="48">
        <f ca="1">IF(FD111=0,0,MAX($FE$2:FE110)+1)</f>
        <v>109</v>
      </c>
      <c r="FF111" s="48">
        <f ca="1">IFERROR(INDEX($FD$3:$FE$400,MATCH(ROWS($FF$3:FF111),$FE$3:$FE$400,0),1),"")</f>
        <v>109</v>
      </c>
      <c r="FG111" s="48">
        <f t="shared" ca="1" si="255"/>
        <v>0</v>
      </c>
      <c r="FH111" s="48">
        <f t="shared" ca="1" si="189"/>
        <v>0</v>
      </c>
      <c r="FI111" s="48">
        <f ca="1">IF(FH111&lt;&gt;0,MAX($FI$2:FI110)+1,0)</f>
        <v>0</v>
      </c>
      <c r="FJ111" s="48" t="str">
        <f ca="1">IFERROR(INDEX($FH$3:$FI$400,MATCH(ROWS($FJ$3:FJ111),$FI$3:$FI$400,0),1),"")</f>
        <v/>
      </c>
      <c r="FK111" s="48">
        <f ca="1">IF(ABS(SUMIFS(DARE,DEN_G,"="&amp;FJ111,DATA,"&lt;="&amp;FINE_AC,DATA,"&gt;="&amp;INIZIO_A_PC)-SUMIFS(AVERE,DEN_G,"="&amp;FJ111,DATA,"&lt;="&amp;FINE_AC,DATA,"&gt;="&amp;INIZIO_A_PC))&gt;0,MAX($FK$2:FK110)+1,0)</f>
        <v>0</v>
      </c>
      <c r="FL111" s="48" t="str">
        <f ca="1">IF(AND(ROW()-2&lt;&gt;1,ROW()-2&lt;=$FK$1),CONCATENATE(" - ",IFERROR(INDEX($FJ$3:$FK$400,MATCH(ROWS($FL$3:FL111),$FK$3:$FK$400,0),1),"")),IFERROR(INDEX($FJ$3:$FK$400,MATCH(ROWS($FL$3:FL111),$FK$3:$FK$400,0),1),""))</f>
        <v/>
      </c>
      <c r="FM111" s="48">
        <f ca="1">IF(OR(B111="IVA ns/credito",B111="IVA NS/DEBITO",B111="IVA C/ACCONTO",B111="IMPOSTE C/ACCONTO",B111="CREDITI PER RITENUTE SUBITE",B111="CREDITI D'IMPOSTA"),MAX($FM$2:FM110)+1,0)</f>
        <v>0</v>
      </c>
      <c r="FN111" s="48" t="str">
        <f t="shared" ca="1" si="190"/>
        <v/>
      </c>
      <c r="FO111" s="48" t="str">
        <f ca="1">IFERROR(INDEX($FM$3:$FN$400,MATCH(ROWS($FO$3:FO111),$FM$3:$FM$400,0),2),"")</f>
        <v/>
      </c>
      <c r="FP111" s="48">
        <f ca="1">IF(ABS(SUMIFS(DARE,DEN_G,"="&amp;FO111,DATA,"&lt;="&amp;FINE_AC,DATA,"&gt;="&amp;INIZIO_A_PC)-SUMIFS(AVERE,DEN_G,"="&amp;FO111,DATA,"&lt;="&amp;FINE_AC,DATA,"&gt;="&amp;INIZIO_A_PC))&gt;0,MAX($FP$2:FP110)+1,0)</f>
        <v>0</v>
      </c>
      <c r="FQ111" s="48" t="str">
        <f ca="1">IF(AND(ROW()-2&lt;&gt;1,ROW()-2&lt;=$FP$1),CONCATENATE(" - ",IFERROR(INDEX($FO$3:$FP$400,MATCH(ROWS($FQ$3:FQ111),$FP$3:$FP$400,0),1),"")),IFERROR(INDEX($FO$3:$FP$400,MATCH(ROWS($FQ$3:FQ111),$FP$3:$FP$400,0),1),""))</f>
        <v/>
      </c>
    </row>
    <row r="112" spans="1:173" x14ac:dyDescent="0.3">
      <c r="A112" s="48" t="str">
        <f ca="1">IFERROR(IF($A$1=2,INDEX($DH$3:$DN$401,MATCH(ROWS(A$3:A112),$DN$3:$DN$401,0),COLUMN()),IF($A$1=1,INDEX($DQ$3:$DW$401,MATCH(ROWS(A$3:A112),$DW$3:$DW$401,0),COLUMN()),"")),"")</f>
        <v>10.07</v>
      </c>
      <c r="B112" s="48" t="str">
        <f ca="1">IFERROR(IF($A$1=2,INDEX($DH$3:$DN$401,MATCH(ROWS(B$3:B112),$DN$3:$DN$401,0),COLUMN()),IF($A$1=1,INDEX($DQ$3:$DW$400,MATCH(ROWS(B$3:B112),$DW$3:$DW$401,0),COLUMN()),"")),"")</f>
        <v>RISERVA CONGUAGLIO UTILI</v>
      </c>
      <c r="C112" s="48" t="str">
        <f ca="1">IFERROR(IF($A$1=2,INDEX($DH$3:$DN$401,MATCH(ROWS(C$3:C112),$DN$3:$DN$401,0),COLUMN()),IF($A$1=1,INDEX($DQ$3:$DW$401,MATCH(ROWS(C$3:C112),$DW$3:$DW$401,0),COLUMN()),"")),"")</f>
        <v>E</v>
      </c>
      <c r="D112" s="48" t="str">
        <f ca="1">IFERROR(IF($A$1=2,INDEX($DH$3:$DN$401,MATCH(ROWS(D$3:D112),$DN$3:$DN$401,0),COLUMN()),IF($A$1=1,INDEX($DQ$3:$DW$401,MATCH(ROWS(D$3:D112),$DW$3:$DW$401,0),COLUMN()),"")),"")</f>
        <v>A</v>
      </c>
      <c r="E112" s="48" t="str">
        <f ca="1">IFERROR(IF($A$1=2,INDEX($DH$3:$DN$401,MATCH(ROWS(E$3:E112),$DN$3:$DN$401,0),COLUMN()),IF($A$1=1,INDEX($DQ$3:$DW$401,MATCH(ROWS(E$3:E112),$DW$3:$DW$401,0),COLUMN()),"")),"")</f>
        <v>PATRIMONIO NETTO</v>
      </c>
      <c r="F112" s="48" t="str">
        <f ca="1">IFERROR(IF($A$1=2,INDEX($DH$3:$DN$401,MATCH(ROWS(F$3:F112),$DN$3:$DN$401,0),COLUMN()),IF($A$1=1,INDEX($DQ$3:$DX$401,MATCH(ROWS(F$3:F112),$DW$3:$DW$401,0),COLUMN()),"")),"")</f>
        <v>SP AVERE</v>
      </c>
      <c r="G112" s="48" t="str">
        <f t="shared" ca="1" si="150"/>
        <v>SP</v>
      </c>
      <c r="H112" s="48" t="str">
        <f ca="1">IFERROR(IF($A$1=2,INDEX($DH$3:$DO$400,MATCH(ROWS(H$3:H112),$DN$3:$DN$400,0),COLUMN()),IF($A$1=1,INDEX($DQ$3:$DX$400,MATCH(ROWS(H$3:H112),$DW$3:$DW$400,0),COLUMN()),"")),"")</f>
        <v>ppa62</v>
      </c>
      <c r="I112" s="48" t="str">
        <f t="shared" ca="1" si="151"/>
        <v/>
      </c>
      <c r="J112" s="48" t="str">
        <f t="shared" ca="1" si="152"/>
        <v/>
      </c>
      <c r="K112" s="48">
        <f t="shared" ca="1" si="153"/>
        <v>0</v>
      </c>
      <c r="L112" s="48">
        <f t="shared" ca="1" si="154"/>
        <v>0</v>
      </c>
      <c r="M112" s="48">
        <f ca="1">IFERROR(IF(IF(MID($A112,3,3)=".00",MID(A112,1,2),"")&lt;&gt;"",MAX($M$2:M111)+1,0),"")</f>
        <v>0</v>
      </c>
      <c r="N112" s="48" t="str">
        <f t="shared" ca="1" si="155"/>
        <v/>
      </c>
      <c r="O112" s="48" t="str">
        <f ca="1">IF(IFERROR(INDEX($N$3:$O$300,MATCH(ROWS($O$3:O112),$M$3:$M$300,0),1),"")&lt;&gt;"",CONCATENATE(INDEX($N$3:$O$300,MATCH(ROWS($O$3:O112),$M$3:$M$300,0),1),".00"),"")</f>
        <v/>
      </c>
      <c r="P112" s="48" t="str">
        <f t="shared" ca="1" si="156"/>
        <v/>
      </c>
      <c r="Q112" s="48">
        <f ca="1">IF(M112&gt;=1,0,MAX($Q$2:Q111)+1)</f>
        <v>99</v>
      </c>
      <c r="U112" s="48" t="str">
        <f ca="1">IFERROR(INDEX(PDC,MATCH(ROWS(U$3:U112),$V$3:$V$400,0),2),"")</f>
        <v>FONDO MANUTENZIONI PROGRAMMATE</v>
      </c>
      <c r="V112" s="48">
        <f ca="1">IF(AND($T$1="VISUALIZZA TUTTI I CONTI",AA112&lt;&gt;""),MAX($V$2:V111)+1,IF(AND($U$2=2,AI112=$T$1),MAX($V$2:V111)+1,IF(AND($U$2=1,$T$1=AF112),MAX($V$2:V111)+1,0)))</f>
        <v>110</v>
      </c>
      <c r="Z112" s="246"/>
      <c r="AA112" s="48" t="str">
        <f t="shared" ca="1" si="157"/>
        <v>11.00</v>
      </c>
      <c r="AB112" s="48" t="str">
        <f ca="1">IFERROR(INDEX($A$3:$G$400,MATCH(ROWS(AB$3:AB112),$Q$3:$Q$400,0),1),"")</f>
        <v>11.10</v>
      </c>
      <c r="AC112" s="48" t="str">
        <f ca="1">IFERROR(INDEX($A$3:$G$400,MATCH(ROWS($AC$3:AC112),$Q$3:$Q$400,0),2),"")</f>
        <v>FONDO MANUTENZIONI PROGRAMMATE</v>
      </c>
      <c r="AD112" s="48" t="str">
        <f ca="1">IFERROR(INDEX($A$3:$G$400,MATCH(ROWS(AD$3:AD112),$Q$3:$Q$400,0),3),"")</f>
        <v>F</v>
      </c>
      <c r="AE112" s="48" t="str">
        <f ca="1">IFERROR(INDEX($A$3:$G$400,MATCH(ROWS(AE$3:AE112),$Q$3:$Q$400,0),4),"")</f>
        <v>A</v>
      </c>
      <c r="AF112" s="48" t="str">
        <f ca="1">IFERROR(INDEX($A$3:$G$400,MATCH(ROWS(AF$3:AF112),$Q$3:$Q$400,0),5),"")</f>
        <v>RATEI, FONDI RISCHI E ONERI</v>
      </c>
      <c r="AG112" s="48" t="str">
        <f ca="1">IFERROR(INDEX($A$3:$G$400,MATCH(ROWS(AG$3:AG112),$Q$3:$Q$400,0),6),"")</f>
        <v>SP AVERE</v>
      </c>
      <c r="AH112" s="48" t="str">
        <f ca="1">IFERROR(INDEX($A$3:$G$400,MATCH(ROWS(AH$3:AH112),$Q$3:$Q$400,0),7),"")</f>
        <v>SP</v>
      </c>
      <c r="AI112" s="48" t="str">
        <f t="shared" ca="1" si="158"/>
        <v>FONDI PER RISCHI E ONERI</v>
      </c>
      <c r="AJ112" s="48" t="str">
        <f ca="1">IFERROR(INDEX($A$3:$H$400,MATCH(ROWS(AJ$3:AJ112),$Q$3:$Q$400,0),8),"")</f>
        <v>ppb</v>
      </c>
      <c r="AK112" s="48">
        <f t="shared" ca="1" si="130"/>
        <v>0</v>
      </c>
      <c r="AL112" s="48">
        <f t="shared" ca="1" si="251"/>
        <v>0</v>
      </c>
      <c r="AM112" s="48">
        <f t="shared" ca="1" si="252"/>
        <v>0</v>
      </c>
      <c r="AN112" s="48">
        <f t="shared" ca="1" si="253"/>
        <v>0</v>
      </c>
      <c r="AO112" s="48">
        <f t="shared" ca="1" si="254"/>
        <v>0</v>
      </c>
      <c r="AP112" s="48">
        <f t="shared" ca="1" si="254"/>
        <v>0</v>
      </c>
      <c r="AQ112" s="48" t="str">
        <f t="shared" ca="1" si="132"/>
        <v>FONDO MANUTENZIONI PROGRAMMATE</v>
      </c>
      <c r="AR112" s="48">
        <f t="shared" ca="1" si="133"/>
        <v>0</v>
      </c>
      <c r="AS112" s="48">
        <f t="shared" ca="1" si="134"/>
        <v>0</v>
      </c>
      <c r="AT112" s="48">
        <f t="shared" ca="1" si="162"/>
        <v>0</v>
      </c>
      <c r="AU112" s="48">
        <f t="shared" ca="1" si="163"/>
        <v>0</v>
      </c>
      <c r="AV112" s="48">
        <f ca="1">IF(OR(AT112&gt;0,AU112&gt;0),MAX($AV$2:AV111)+1,0)</f>
        <v>0</v>
      </c>
      <c r="AZ112" s="241" t="str">
        <f t="shared" si="240"/>
        <v>12 V.I.</v>
      </c>
      <c r="BA112" s="48">
        <f t="shared" ca="1" si="241"/>
        <v>0</v>
      </c>
      <c r="BB112" s="48">
        <f t="shared" ca="1" si="247"/>
        <v>0</v>
      </c>
      <c r="BC112" s="48" t="str">
        <f t="shared" ca="1" si="248"/>
        <v/>
      </c>
      <c r="BD112" s="48">
        <f t="shared" ca="1" si="249"/>
        <v>0</v>
      </c>
      <c r="BE112" s="48">
        <f t="shared" ca="1" si="250"/>
        <v>0</v>
      </c>
      <c r="BF112" s="48">
        <v>10</v>
      </c>
      <c r="BG112" s="48">
        <f ca="1">IF(IF(AND(OR(INDEX(PDC,MATCH($AC112,DEN_PDC,0),6)="SP DARE",INDEX(PDC,MATCH($AC112,DEN_PDC,0),6)="SP DARE/AVERE"),SUMIFS(DARE,DEN_G,$AC112)&gt;=SUMIFS(AVERE,DEN_G,$AC112)),SUMIFS(DARE,DEN_G,$AC112)-SUMIFS(AVERE,DEN_G,$AC112),0)&gt;0,MAX($BG$2:BG111)+1,0)</f>
        <v>0</v>
      </c>
      <c r="BH112" s="48">
        <f ca="1">IF(IF(AND(OR(INDEX(PDC,MATCH($AC112,DEN_PDC,0),6)="SP AVERE",INDEX(PDC,MATCH($AC112,DEN_PDC,0),6)="SP DARE/AVERE"),SUMIFS(AVERE,DEN_G,$AC112)&gt;=SUMIFS(DARE,DEN_G,$AC112)),SUMIFS(AVERE,DEN_G,$AC112)-SUMIFS(DARE,DEN_G,$AC112),0)&gt;0,MAX(BH$2:BH111)+1,0)</f>
        <v>0</v>
      </c>
      <c r="BI112" s="48">
        <f ca="1">IF(IF(AND(OR(INDEX(PDC,MATCH($AC112,DEN_PDC,0),6)="SE DARE",INDEX(PDC,MATCH($AC112,DEN_PDC,0),6)="SE DARE/AVERE"),SUMIFS(DARE,DEN_G,$AC112)&gt;=SUMIFS(AVERE,DEN_G,$AC112)),SUMIFS(DARE,DEN_G,$AC112)-SUMIFS(AVERE,DEN_G,$AC112),0)&gt;0,MAX(BI$2:BI111)+1,0)</f>
        <v>0</v>
      </c>
      <c r="BJ112" s="48">
        <f ca="1">IF(IF(AND(OR(INDEX(PDC,MATCH($AC112,DEN_PDC,0),6)="SE AVERE",INDEX(PDC,MATCH($AC112,DEN_PDC,0),6)="SE DARE/AVERE"),SUMIFS(AVERE,DEN_G,$AC112)&gt;=SUMIFS(DARE,DEN_G,$AC112)),SUMIFS(AVERE,DEN_G,$AC112)-SUMIFS(DARE,DEN_G,$AC112),0)&gt;0,MAX(BJ$2:BJ111)+1,0)</f>
        <v>0</v>
      </c>
      <c r="BK112" s="48" t="str">
        <f ca="1">IF(AND(AND($DY$2=0,$DY$1=0),$I$1=2,ROW()&gt;$BG$1+2,ROW()&lt;=$BG$1+4),"………………..",IF(AND(OR($DY$2&gt;0,$DY$1&gt;0),$I$1=2,ROW()&gt;$BG$1+2,ROW()&lt;=$BG$1+4),"………………..",IFERROR(INDEX($AC$3:$AC$398,MATCH(ROWS(BK$3:BK112),BG$3:BG$398,0),1),"")))</f>
        <v/>
      </c>
      <c r="BL112" s="48">
        <f t="shared" ca="1" si="136"/>
        <v>0</v>
      </c>
      <c r="BM112" s="48" t="str">
        <f ca="1">IF(AND(OR($DY$2=0,$DY$1=0),$I$1=2,ROW()&gt;$BH$1+2,ROW()&lt;=$BH$1+4),"………………..",IF(AND(OR($DY$2&gt;0,$DY$1&gt;0),$I$1=2,ROW()&gt;$BH$1+2,ROW()&lt;=$BH$1+4),"………………..",IFERROR(INDEX($AC$3:$AC$400,MATCH(ROWS(BM$3:BM112),BH$3:BH$400,0),1),"")))</f>
        <v/>
      </c>
      <c r="BN112" s="48">
        <f t="shared" ca="1" si="137"/>
        <v>0</v>
      </c>
      <c r="BO112" s="48" t="str">
        <f ca="1">IF(AND(OR($DY$2=0,$DY$1=0),$I$1=2,ROW()&gt;$BI$1+2,ROW()&lt;=$BI$1+4),"………………..",IF(AND(OR($DY$2&gt;0,$DY$1&gt;0),$I$1=2,ROW()&gt;$BI$1+2,ROW()&lt;=$BI$1+4),"………………..",IFERROR(INDEX($AC$3:$AC$400,MATCH(ROWS(BO$3:BO112),BI$3:BI$400,0),1),"")))</f>
        <v/>
      </c>
      <c r="BP112" s="48">
        <f t="shared" ca="1" si="138"/>
        <v>0</v>
      </c>
      <c r="BQ112" s="48" t="str">
        <f ca="1">IF(AND(OR($DY$2=0,$DY$1=0),$I$1=2,ROW()&gt;$BJ$1+2,ROW()&lt;=$BJ$1+4),"………………..",IF(AND(OR($DY$2&gt;0,$DY$1&gt;0),$I$1=2,ROW()&gt;$BJ$1+2,ROW()&lt;=$BJ$1+4),"………………..",IFERROR(INDEX($AC$3:$AC$400,MATCH(ROWS(BQ$3:BQ112),BJ$3:BJ$400,0),1),"")))</f>
        <v/>
      </c>
      <c r="BR112" s="48">
        <f t="shared" ca="1" si="139"/>
        <v>0</v>
      </c>
      <c r="BS112" s="48">
        <f ca="1">IF(IF(AND(OR(INDEX(PDC,MATCH($AC112,DEN_PDC,0),4)="D",INDEX(PDC,MATCH($AC112,DEN_PDC,0),4)="D/A"),SUMIFS(DARE,DEN_G,$AC112)&gt;=SUMIFS(AVERE,DEN_G,$AC112)),SUMIFS(DARE,DEN_G,$AC112),IF(AND(OR(INDEX(PDC,MATCH($AC112,DEN_PDC,0),4)="A",INDEX(PDC,MATCH($AC112,DEN_PDC,0),4)="D/A"),SUMIFS(AVERE,DEN_G,$AC112)&gt;=SUMIFS(DARE,DEN_G,$AC112)),SUMIFS(AVERE,DEN_G,$AC112),))&gt;0,MAX($BS$2:BS111)+1,0)</f>
        <v>0</v>
      </c>
      <c r="BT112" s="48" t="str">
        <f ca="1">IF($CO$1=0,"",IF(AND($I$1=2,ROW()&gt;$BR$1,ROW()&lt;=$BS$1)," …………….",IF(AND($E$1=1,$BX$1=1,$I$1=2,ROW()=$BQ$1),"TOTALI",IFERROR(INDEX(PDC,MATCH(ROWS(BT$3:BT112),BS$3:BS509,0),2),""))))</f>
        <v/>
      </c>
      <c r="BU112" s="48">
        <f t="shared" ca="1" si="140"/>
        <v>0</v>
      </c>
      <c r="BV112" s="48">
        <f t="shared" ca="1" si="141"/>
        <v>0</v>
      </c>
      <c r="BW112" s="48">
        <f t="shared" ca="1" si="142"/>
        <v>0</v>
      </c>
      <c r="BX112" s="48">
        <f t="shared" ca="1" si="143"/>
        <v>0</v>
      </c>
      <c r="BY112" s="48">
        <f ca="1">IF(OR(BW112&gt;0,BX112&gt;0),MAX($BY$2:BY111)+1,0)</f>
        <v>0</v>
      </c>
      <c r="BZ112" s="48" t="str">
        <f ca="1">IFERROR(INDEX($BT$3:$BY$400,MATCH(ROWS(BZ$3:BZ112),$BY$3:$BY$400,0),1),"")</f>
        <v/>
      </c>
      <c r="CA112" s="48" t="str">
        <f ca="1">IFERROR(INDEX($BT$3:$BY$400,MATCH(ROWS(CA$3:CA112),$BY$3:$BY$400,0),4),"")</f>
        <v/>
      </c>
      <c r="CB112" s="48" t="str">
        <f ca="1">IFERROR(INDEX($BT$3:$BY$400,MATCH(ROWS(CB$3:CB112),$BY$3:$BY$400,0),5),"")</f>
        <v/>
      </c>
      <c r="CC112" s="48" t="str">
        <f t="shared" ca="1" si="144"/>
        <v/>
      </c>
      <c r="CD112" s="48">
        <f ca="1">IF(AND($BF$9=1,CE112&lt;&gt;0),MAX($CD$104:CD111)+1,0)</f>
        <v>0</v>
      </c>
      <c r="CE112" s="48">
        <f ca="1">IF(SUM(CE113:CE119)&lt;&gt;0,"A",0)</f>
        <v>0</v>
      </c>
      <c r="CG112" s="242" t="s">
        <v>780</v>
      </c>
      <c r="CJ112" s="242"/>
      <c r="CM112" s="242" t="str">
        <f t="shared" ca="1" si="166"/>
        <v/>
      </c>
      <c r="CN112" s="243">
        <f t="shared" ca="1" si="167"/>
        <v>0</v>
      </c>
      <c r="CO112" s="48" t="str">
        <f t="shared" ca="1" si="168"/>
        <v/>
      </c>
      <c r="CQ112" s="242"/>
      <c r="CR112" s="242"/>
      <c r="CU112" s="48">
        <f ca="1">IF(SUMIFS(AVERE,DEN_G,AC112,AVERE,"&gt;"&amp;0)+SUMIFS(DARE,DEN_G,AC112,DARE,"&gt;"&amp;0)&gt;0,MAX($CU$2:CU111)+1,0)</f>
        <v>0</v>
      </c>
      <c r="CV112" s="48" t="str">
        <f ca="1">IF(IFERROR(INDEX(PDC,MATCH(ROWS($CV$3:CV112),$CU$3:$CU$400,0),2),"")="CONTO DI RISULTATO ECONOMICO","",IFERROR(INDEX(PDC,MATCH(ROWS($CV$3:CV112),$CU$3:$CU$400,0),2),""))</f>
        <v/>
      </c>
      <c r="CW112" s="48">
        <f ca="1">IFERROR(IF(CV112&lt;&gt;"",MAX($CW$2:CW111)+1,0),0)</f>
        <v>0</v>
      </c>
      <c r="CX112" s="48">
        <f t="shared" ca="1" si="260"/>
        <v>9</v>
      </c>
      <c r="CY112" s="48" t="str">
        <f t="shared" ca="1" si="258"/>
        <v>MASTRO</v>
      </c>
      <c r="CZ112" s="48" t="e">
        <f t="shared" ca="1" si="262"/>
        <v>#N/A</v>
      </c>
      <c r="DA112" s="48" t="str">
        <f t="shared" ca="1" si="266"/>
        <v/>
      </c>
      <c r="DB112" s="48" t="str">
        <f t="shared" ca="1" si="212"/>
        <v/>
      </c>
      <c r="DC112" s="48" t="str">
        <f t="shared" ca="1" si="263"/>
        <v/>
      </c>
      <c r="DD112" s="48" t="str">
        <f t="shared" ca="1" si="264"/>
        <v/>
      </c>
      <c r="DE112" s="48" t="str">
        <f t="shared" ca="1" si="265"/>
        <v/>
      </c>
      <c r="DF112" s="48">
        <f ca="1">IF(AND(CX112=$DF$1,CX112&lt;&gt;""),0,IF(AND(DB112&lt;&gt;"",OR(DB111&lt;&gt;"",DB113&lt;&gt;"")),MAX($DF$2:DF111)+1,0))</f>
        <v>0</v>
      </c>
      <c r="DH112" s="244" t="s">
        <v>1090</v>
      </c>
      <c r="DI112" s="48" t="s">
        <v>381</v>
      </c>
      <c r="DJ112" s="48" t="s">
        <v>311</v>
      </c>
      <c r="DK112" s="48" t="s">
        <v>275</v>
      </c>
      <c r="DL112" s="48" t="s">
        <v>13</v>
      </c>
      <c r="DM112" s="48" t="s">
        <v>270</v>
      </c>
      <c r="DN112" s="48">
        <f ca="1">IF(DI112&lt;&gt;"",MAX($DN$2:DN111)+1,0)</f>
        <v>92</v>
      </c>
      <c r="DO112" s="48" t="str">
        <f ca="1">IF($BF$9=1,"pac36","pac3")</f>
        <v>pac3</v>
      </c>
      <c r="DQ112" s="227" t="s">
        <v>382</v>
      </c>
      <c r="DR112" s="48" t="s">
        <v>84</v>
      </c>
      <c r="DS112" s="48" t="s">
        <v>312</v>
      </c>
      <c r="DT112" s="48" t="s">
        <v>275</v>
      </c>
      <c r="DU112" s="48" t="s">
        <v>82</v>
      </c>
      <c r="DV112" s="48" t="s">
        <v>270</v>
      </c>
      <c r="DW112" s="48">
        <f ca="1">IF(DR112&lt;&gt;"",MAX($DW$2:DW111)+1,0)</f>
        <v>68</v>
      </c>
      <c r="DX112" s="48" t="str">
        <f ca="1">IF($BF$9=1,"pac41","pac4")</f>
        <v>pac4</v>
      </c>
      <c r="DY112" s="48" t="str">
        <f t="shared" ca="1" si="147"/>
        <v/>
      </c>
      <c r="DZ112" s="48" t="str">
        <f t="shared" ca="1" si="170"/>
        <v/>
      </c>
      <c r="EA112" s="48" t="str">
        <f t="shared" ca="1" si="171"/>
        <v/>
      </c>
      <c r="EB112" s="48">
        <f t="shared" ca="1" si="172"/>
        <v>0</v>
      </c>
      <c r="EC112" s="48">
        <f t="shared" ca="1" si="173"/>
        <v>0</v>
      </c>
      <c r="ED112" s="48" t="str">
        <f t="shared" ca="1" si="174"/>
        <v/>
      </c>
      <c r="EE112" s="48">
        <f t="shared" ca="1" si="175"/>
        <v>0</v>
      </c>
      <c r="EF112" s="48" t="str">
        <f t="shared" ca="1" si="176"/>
        <v/>
      </c>
      <c r="EG112" s="48">
        <f t="shared" ca="1" si="177"/>
        <v>0</v>
      </c>
      <c r="EH112" s="48" t="str">
        <f t="shared" ca="1" si="178"/>
        <v/>
      </c>
      <c r="EI112" s="48">
        <f t="shared" ca="1" si="179"/>
        <v>0</v>
      </c>
      <c r="EJ112" s="48" t="str">
        <f t="shared" ca="1" si="180"/>
        <v/>
      </c>
      <c r="EK112" s="48">
        <f t="shared" ca="1" si="181"/>
        <v>0</v>
      </c>
      <c r="EL112" s="48">
        <f t="shared" ca="1" si="148"/>
        <v>0</v>
      </c>
      <c r="EM112" s="48">
        <f ca="1">IF(EL112&gt;=0,0,MAX($EM$2:EM111)+1)</f>
        <v>0</v>
      </c>
      <c r="EN112" s="48" t="str">
        <f t="shared" ca="1" si="182"/>
        <v/>
      </c>
      <c r="EO112" s="48" t="str">
        <f ca="1">IFERROR(INDEX($EM$3:$EN$400,MATCH(ROWS($EO$3:EO112),$EM$3:$EM$400,0),2),"")</f>
        <v/>
      </c>
      <c r="EP112" s="48">
        <f>ROW()</f>
        <v>112</v>
      </c>
      <c r="EQ112" s="48">
        <f t="shared" ca="1" si="149"/>
        <v>0</v>
      </c>
      <c r="ER112" s="48">
        <f ca="1">IF(ISNA(EQ112)=TRUE,MAX($ER$2:ER111)+1,0)</f>
        <v>0</v>
      </c>
      <c r="ES112" s="48" t="str">
        <f t="shared" ca="1" si="183"/>
        <v/>
      </c>
      <c r="ET112" s="48" t="str">
        <f ca="1">IFERROR(INDEX($ER$3:$ES$400,MATCH(ROWS($ET$3:ET112),$ER$3:$ER$400,0),2),"")</f>
        <v/>
      </c>
      <c r="EV112" s="48">
        <f ca="1">IFERROR(INDEX(LIBRO_GIORNALE!$O$11:$P$408,MATCH(ROWS($EV$2:EV111),LIBRO_GIORNALE!$P$11:$P$408,0),1),0)</f>
        <v>0</v>
      </c>
      <c r="EW112" s="48" t="str">
        <f t="shared" ca="1" si="184"/>
        <v>0</v>
      </c>
      <c r="EX112" s="48">
        <f t="shared" ca="1" si="185"/>
        <v>0</v>
      </c>
      <c r="EY112" s="48">
        <f ca="1">IF(EX112&gt;0,MAX($EY$2:EY111)+1,0)</f>
        <v>0</v>
      </c>
      <c r="EZ112" s="48">
        <f ca="1">IFERROR(INDEX($EX$3:$EX$400,MATCH(ROWS($EZ$3:EZ112),$EY$3:$EY$400,0),1),0)</f>
        <v>0</v>
      </c>
      <c r="FA112" s="48">
        <f ca="1">IF(EZ112&gt;0,0,MAX($FA$2:FA111)+1)</f>
        <v>110</v>
      </c>
      <c r="FB112" s="48">
        <f t="shared" ca="1" si="186"/>
        <v>0</v>
      </c>
      <c r="FC112" s="48">
        <f t="shared" ca="1" si="187"/>
        <v>110</v>
      </c>
      <c r="FD112" s="48">
        <f t="shared" ca="1" si="188"/>
        <v>110</v>
      </c>
      <c r="FE112" s="48">
        <f ca="1">IF(FD112=0,0,MAX($FE$2:FE111)+1)</f>
        <v>110</v>
      </c>
      <c r="FF112" s="48">
        <f ca="1">IFERROR(INDEX($FD$3:$FE$400,MATCH(ROWS($FF$3:FF112),$FE$3:$FE$400,0),1),"")</f>
        <v>110</v>
      </c>
      <c r="FG112" s="48">
        <f t="shared" ca="1" si="255"/>
        <v>0</v>
      </c>
      <c r="FH112" s="48">
        <f t="shared" ca="1" si="189"/>
        <v>0</v>
      </c>
      <c r="FI112" s="48">
        <f ca="1">IF(FH112&lt;&gt;0,MAX($FI$2:FI111)+1,0)</f>
        <v>0</v>
      </c>
      <c r="FJ112" s="48" t="str">
        <f ca="1">IFERROR(INDEX($FH$3:$FI$400,MATCH(ROWS($FJ$3:FJ112),$FI$3:$FI$400,0),1),"")</f>
        <v/>
      </c>
      <c r="FK112" s="48">
        <f ca="1">IF(ABS(SUMIFS(DARE,DEN_G,"="&amp;FJ112,DATA,"&lt;="&amp;FINE_AC,DATA,"&gt;="&amp;INIZIO_A_PC)-SUMIFS(AVERE,DEN_G,"="&amp;FJ112,DATA,"&lt;="&amp;FINE_AC,DATA,"&gt;="&amp;INIZIO_A_PC))&gt;0,MAX($FK$2:FK111)+1,0)</f>
        <v>0</v>
      </c>
      <c r="FL112" s="48" t="str">
        <f ca="1">IF(AND(ROW()-2&lt;&gt;1,ROW()-2&lt;=$FK$1),CONCATENATE(" - ",IFERROR(INDEX($FJ$3:$FK$400,MATCH(ROWS($FL$3:FL112),$FK$3:$FK$400,0),1),"")),IFERROR(INDEX($FJ$3:$FK$400,MATCH(ROWS($FL$3:FL112),$FK$3:$FK$400,0),1),""))</f>
        <v/>
      </c>
      <c r="FM112" s="48">
        <f ca="1">IF(OR(B112="IVA ns/credito",B112="IVA NS/DEBITO",B112="IVA C/ACCONTO",B112="IMPOSTE C/ACCONTO",B112="CREDITI PER RITENUTE SUBITE",B112="CREDITI D'IMPOSTA"),MAX($FM$2:FM111)+1,0)</f>
        <v>0</v>
      </c>
      <c r="FN112" s="48" t="str">
        <f t="shared" ca="1" si="190"/>
        <v/>
      </c>
      <c r="FO112" s="48" t="str">
        <f ca="1">IFERROR(INDEX($FM$3:$FN$400,MATCH(ROWS($FO$3:FO112),$FM$3:$FM$400,0),2),"")</f>
        <v/>
      </c>
      <c r="FP112" s="48">
        <f ca="1">IF(ABS(SUMIFS(DARE,DEN_G,"="&amp;FO112,DATA,"&lt;="&amp;FINE_AC,DATA,"&gt;="&amp;INIZIO_A_PC)-SUMIFS(AVERE,DEN_G,"="&amp;FO112,DATA,"&lt;="&amp;FINE_AC,DATA,"&gt;="&amp;INIZIO_A_PC))&gt;0,MAX($FP$2:FP111)+1,0)</f>
        <v>0</v>
      </c>
      <c r="FQ112" s="48" t="str">
        <f ca="1">IF(AND(ROW()-2&lt;&gt;1,ROW()-2&lt;=$FP$1),CONCATENATE(" - ",IFERROR(INDEX($FO$3:$FP$400,MATCH(ROWS($FQ$3:FQ112),$FP$3:$FP$400,0),1),"")),IFERROR(INDEX($FO$3:$FP$400,MATCH(ROWS($FQ$3:FQ112),$FP$3:$FP$400,0),1),""))</f>
        <v/>
      </c>
    </row>
    <row r="113" spans="1:173" x14ac:dyDescent="0.3">
      <c r="A113" s="48" t="str">
        <f ca="1">IFERROR(IF($A$1=2,INDEX($DH$3:$DN$401,MATCH(ROWS(A$3:A113),$DN$3:$DN$401,0),COLUMN()),IF($A$1=1,INDEX($DQ$3:$DW$401,MATCH(ROWS(A$3:A113),$DW$3:$DW$401,0),COLUMN()),"")),"")</f>
        <v>10.09</v>
      </c>
      <c r="B113" s="48" t="str">
        <f ca="1">IFERROR(IF($A$1=2,INDEX($DH$3:$DN$401,MATCH(ROWS(B$3:B113),$DN$3:$DN$401,0),COLUMN()),IF($A$1=1,INDEX($DQ$3:$DW$400,MATCH(ROWS(B$3:B113),$DW$3:$DW$401,0),COLUMN()),"")),"")</f>
        <v>FONDO RIMBORSO SPESE</v>
      </c>
      <c r="C113" s="48" t="str">
        <f ca="1">IFERROR(IF($A$1=2,INDEX($DH$3:$DN$401,MATCH(ROWS(C$3:C113),$DN$3:$DN$401,0),COLUMN()),IF($A$1=1,INDEX($DQ$3:$DW$401,MATCH(ROWS(C$3:C113),$DW$3:$DW$401,0),COLUMN()),"")),"")</f>
        <v>E</v>
      </c>
      <c r="D113" s="48" t="str">
        <f ca="1">IFERROR(IF($A$1=2,INDEX($DH$3:$DN$401,MATCH(ROWS(D$3:D113),$DN$3:$DN$401,0),COLUMN()),IF($A$1=1,INDEX($DQ$3:$DW$401,MATCH(ROWS(D$3:D113),$DW$3:$DW$401,0),COLUMN()),"")),"")</f>
        <v>A</v>
      </c>
      <c r="E113" s="48" t="str">
        <f ca="1">IFERROR(IF($A$1=2,INDEX($DH$3:$DN$401,MATCH(ROWS(E$3:E113),$DN$3:$DN$401,0),COLUMN()),IF($A$1=1,INDEX($DQ$3:$DW$401,MATCH(ROWS(E$3:E113),$DW$3:$DW$401,0),COLUMN()),"")),"")</f>
        <v>PATRIMONIO NETTO</v>
      </c>
      <c r="F113" s="48" t="str">
        <f ca="1">IFERROR(IF($A$1=2,INDEX($DH$3:$DN$401,MATCH(ROWS(F$3:F113),$DN$3:$DN$401,0),COLUMN()),IF($A$1=1,INDEX($DQ$3:$DX$401,MATCH(ROWS(F$3:F113),$DW$3:$DW$401,0),COLUMN()),"")),"")</f>
        <v>SP AVERE</v>
      </c>
      <c r="G113" s="48" t="str">
        <f t="shared" ca="1" si="150"/>
        <v>SP</v>
      </c>
      <c r="H113" s="48" t="str">
        <f ca="1">IFERROR(IF($A$1=2,INDEX($DH$3:$DO$400,MATCH(ROWS(H$3:H113),$DN$3:$DN$400,0),COLUMN()),IF($A$1=1,INDEX($DQ$3:$DX$400,MATCH(ROWS(H$3:H113),$DW$3:$DW$400,0),COLUMN()),"")),"")</f>
        <v>ppa63</v>
      </c>
      <c r="I113" s="48" t="str">
        <f t="shared" ca="1" si="151"/>
        <v/>
      </c>
      <c r="J113" s="48" t="str">
        <f t="shared" ca="1" si="152"/>
        <v/>
      </c>
      <c r="K113" s="48">
        <f t="shared" ca="1" si="153"/>
        <v>0</v>
      </c>
      <c r="L113" s="48">
        <f t="shared" ca="1" si="154"/>
        <v>0</v>
      </c>
      <c r="M113" s="48">
        <f ca="1">IFERROR(IF(IF(MID($A113,3,3)=".00",MID(A113,1,2),"")&lt;&gt;"",MAX($M$2:M112)+1,0),"")</f>
        <v>0</v>
      </c>
      <c r="N113" s="48" t="str">
        <f t="shared" ca="1" si="155"/>
        <v/>
      </c>
      <c r="O113" s="48" t="str">
        <f ca="1">IF(IFERROR(INDEX($N$3:$O$300,MATCH(ROWS($O$3:O113),$M$3:$M$300,0),1),"")&lt;&gt;"",CONCATENATE(INDEX($N$3:$O$300,MATCH(ROWS($O$3:O113),$M$3:$M$300,0),1),".00"),"")</f>
        <v/>
      </c>
      <c r="P113" s="48" t="str">
        <f t="shared" ca="1" si="156"/>
        <v/>
      </c>
      <c r="Q113" s="48">
        <f ca="1">IF(M113&gt;=1,0,MAX($Q$2:Q112)+1)</f>
        <v>100</v>
      </c>
      <c r="U113" s="48" t="str">
        <f ca="1">IFERROR(INDEX(PDC,MATCH(ROWS(U$3:U113),$V$3:$V$400,0),2),"")</f>
        <v>FONDO GARANZIA PRODOTTI</v>
      </c>
      <c r="V113" s="48">
        <f ca="1">IF(AND($T$1="VISUALIZZA TUTTI I CONTI",AA113&lt;&gt;""),MAX($V$2:V112)+1,IF(AND($U$2=2,AI113=$T$1),MAX($V$2:V112)+1,IF(AND($U$2=1,$T$1=AF113),MAX($V$2:V112)+1,0)))</f>
        <v>111</v>
      </c>
      <c r="Z113" s="246"/>
      <c r="AA113" s="48" t="str">
        <f t="shared" ca="1" si="157"/>
        <v>11.00</v>
      </c>
      <c r="AB113" s="48" t="str">
        <f ca="1">IFERROR(INDEX($A$3:$G$400,MATCH(ROWS(AB$3:AB113),$Q$3:$Q$400,0),1),"")</f>
        <v>11.11</v>
      </c>
      <c r="AC113" s="48" t="str">
        <f ca="1">IFERROR(INDEX($A$3:$G$400,MATCH(ROWS($AC$3:AC113),$Q$3:$Q$400,0),2),"")</f>
        <v>FONDO GARANZIA PRODOTTI</v>
      </c>
      <c r="AD113" s="48" t="str">
        <f ca="1">IFERROR(INDEX($A$3:$G$400,MATCH(ROWS(AD$3:AD113),$Q$3:$Q$400,0),3),"")</f>
        <v>F</v>
      </c>
      <c r="AE113" s="48" t="str">
        <f ca="1">IFERROR(INDEX($A$3:$G$400,MATCH(ROWS(AE$3:AE113),$Q$3:$Q$400,0),4),"")</f>
        <v>A</v>
      </c>
      <c r="AF113" s="48" t="str">
        <f ca="1">IFERROR(INDEX($A$3:$G$400,MATCH(ROWS(AF$3:AF113),$Q$3:$Q$400,0),5),"")</f>
        <v>RATEI, FONDI RISCHI E ONERI</v>
      </c>
      <c r="AG113" s="48" t="str">
        <f ca="1">IFERROR(INDEX($A$3:$G$400,MATCH(ROWS(AG$3:AG113),$Q$3:$Q$400,0),6),"")</f>
        <v>SP AVERE</v>
      </c>
      <c r="AH113" s="48" t="str">
        <f ca="1">IFERROR(INDEX($A$3:$G$400,MATCH(ROWS(AH$3:AH113),$Q$3:$Q$400,0),7),"")</f>
        <v>SP</v>
      </c>
      <c r="AI113" s="48" t="str">
        <f t="shared" ca="1" si="158"/>
        <v>FONDI PER RISCHI E ONERI</v>
      </c>
      <c r="AJ113" s="48" t="str">
        <f ca="1">IFERROR(INDEX($A$3:$H$400,MATCH(ROWS(AJ$3:AJ113),$Q$3:$Q$400,0),8),"")</f>
        <v>ppb</v>
      </c>
      <c r="AK113" s="48">
        <f t="shared" ca="1" si="130"/>
        <v>0</v>
      </c>
      <c r="AL113" s="48">
        <f t="shared" ca="1" si="251"/>
        <v>0</v>
      </c>
      <c r="AM113" s="48">
        <f t="shared" ca="1" si="252"/>
        <v>0</v>
      </c>
      <c r="AN113" s="48">
        <f t="shared" ca="1" si="253"/>
        <v>0</v>
      </c>
      <c r="AO113" s="48">
        <f t="shared" ca="1" si="254"/>
        <v>0</v>
      </c>
      <c r="AP113" s="48">
        <f t="shared" ca="1" si="254"/>
        <v>0</v>
      </c>
      <c r="AQ113" s="48" t="str">
        <f t="shared" ca="1" si="132"/>
        <v>FONDO GARANZIA PRODOTTI</v>
      </c>
      <c r="AR113" s="48">
        <f t="shared" ca="1" si="133"/>
        <v>0</v>
      </c>
      <c r="AS113" s="48">
        <f t="shared" ca="1" si="134"/>
        <v>0</v>
      </c>
      <c r="AT113" s="48">
        <f t="shared" ca="1" si="162"/>
        <v>0</v>
      </c>
      <c r="AU113" s="48">
        <f t="shared" ca="1" si="163"/>
        <v>0</v>
      </c>
      <c r="AV113" s="48">
        <f ca="1">IF(OR(AT113&gt;0,AU113&gt;0),MAX($AV$2:AV112)+1,0)</f>
        <v>0</v>
      </c>
      <c r="AZ113" s="241" t="str">
        <f t="shared" si="240"/>
        <v>13 V.I.</v>
      </c>
      <c r="BA113" s="48">
        <f t="shared" ca="1" si="241"/>
        <v>0</v>
      </c>
      <c r="BB113" s="48">
        <f t="shared" ca="1" si="247"/>
        <v>0</v>
      </c>
      <c r="BC113" s="48" t="str">
        <f t="shared" ca="1" si="248"/>
        <v/>
      </c>
      <c r="BD113" s="48">
        <f t="shared" ca="1" si="249"/>
        <v>0</v>
      </c>
      <c r="BE113" s="48">
        <f t="shared" ca="1" si="250"/>
        <v>0</v>
      </c>
      <c r="BF113" s="48">
        <v>11</v>
      </c>
      <c r="BG113" s="48">
        <f ca="1">IF(IF(AND(OR(INDEX(PDC,MATCH($AC113,DEN_PDC,0),6)="SP DARE",INDEX(PDC,MATCH($AC113,DEN_PDC,0),6)="SP DARE/AVERE"),SUMIFS(DARE,DEN_G,$AC113)&gt;=SUMIFS(AVERE,DEN_G,$AC113)),SUMIFS(DARE,DEN_G,$AC113)-SUMIFS(AVERE,DEN_G,$AC113),0)&gt;0,MAX($BG$2:BG112)+1,0)</f>
        <v>0</v>
      </c>
      <c r="BH113" s="48">
        <f ca="1">IF(IF(AND(OR(INDEX(PDC,MATCH($AC113,DEN_PDC,0),6)="SP AVERE",INDEX(PDC,MATCH($AC113,DEN_PDC,0),6)="SP DARE/AVERE"),SUMIFS(AVERE,DEN_G,$AC113)&gt;=SUMIFS(DARE,DEN_G,$AC113)),SUMIFS(AVERE,DEN_G,$AC113)-SUMIFS(DARE,DEN_G,$AC113),0)&gt;0,MAX(BH$2:BH112)+1,0)</f>
        <v>0</v>
      </c>
      <c r="BI113" s="48">
        <f ca="1">IF(IF(AND(OR(INDEX(PDC,MATCH($AC113,DEN_PDC,0),6)="SE DARE",INDEX(PDC,MATCH($AC113,DEN_PDC,0),6)="SE DARE/AVERE"),SUMIFS(DARE,DEN_G,$AC113)&gt;=SUMIFS(AVERE,DEN_G,$AC113)),SUMIFS(DARE,DEN_G,$AC113)-SUMIFS(AVERE,DEN_G,$AC113),0)&gt;0,MAX(BI$2:BI112)+1,0)</f>
        <v>0</v>
      </c>
      <c r="BJ113" s="48">
        <f ca="1">IF(IF(AND(OR(INDEX(PDC,MATCH($AC113,DEN_PDC,0),6)="SE AVERE",INDEX(PDC,MATCH($AC113,DEN_PDC,0),6)="SE DARE/AVERE"),SUMIFS(AVERE,DEN_G,$AC113)&gt;=SUMIFS(DARE,DEN_G,$AC113)),SUMIFS(AVERE,DEN_G,$AC113)-SUMIFS(DARE,DEN_G,$AC113),0)&gt;0,MAX(BJ$2:BJ112)+1,0)</f>
        <v>0</v>
      </c>
      <c r="BK113" s="48" t="str">
        <f ca="1">IF(AND(AND($DY$2=0,$DY$1=0),$I$1=2,ROW()&gt;$BG$1+2,ROW()&lt;=$BG$1+4),"………………..",IF(AND(OR($DY$2&gt;0,$DY$1&gt;0),$I$1=2,ROW()&gt;$BG$1+2,ROW()&lt;=$BG$1+4),"………………..",IFERROR(INDEX($AC$3:$AC$398,MATCH(ROWS(BK$3:BK113),BG$3:BG$398,0),1),"")))</f>
        <v/>
      </c>
      <c r="BL113" s="48">
        <f t="shared" ca="1" si="136"/>
        <v>0</v>
      </c>
      <c r="BM113" s="48" t="str">
        <f ca="1">IF(AND(OR($DY$2=0,$DY$1=0),$I$1=2,ROW()&gt;$BH$1+2,ROW()&lt;=$BH$1+4),"………………..",IF(AND(OR($DY$2&gt;0,$DY$1&gt;0),$I$1=2,ROW()&gt;$BH$1+2,ROW()&lt;=$BH$1+4),"………………..",IFERROR(INDEX($AC$3:$AC$400,MATCH(ROWS(BM$3:BM113),BH$3:BH$400,0),1),"")))</f>
        <v/>
      </c>
      <c r="BN113" s="48">
        <f t="shared" ca="1" si="137"/>
        <v>0</v>
      </c>
      <c r="BO113" s="48" t="str">
        <f ca="1">IF(AND(OR($DY$2=0,$DY$1=0),$I$1=2,ROW()&gt;$BI$1+2,ROW()&lt;=$BI$1+4),"………………..",IF(AND(OR($DY$2&gt;0,$DY$1&gt;0),$I$1=2,ROW()&gt;$BI$1+2,ROW()&lt;=$BI$1+4),"………………..",IFERROR(INDEX($AC$3:$AC$400,MATCH(ROWS(BO$3:BO113),BI$3:BI$400,0),1),"")))</f>
        <v/>
      </c>
      <c r="BP113" s="48">
        <f t="shared" ca="1" si="138"/>
        <v>0</v>
      </c>
      <c r="BQ113" s="48" t="str">
        <f ca="1">IF(AND(OR($DY$2=0,$DY$1=0),$I$1=2,ROW()&gt;$BJ$1+2,ROW()&lt;=$BJ$1+4),"………………..",IF(AND(OR($DY$2&gt;0,$DY$1&gt;0),$I$1=2,ROW()&gt;$BJ$1+2,ROW()&lt;=$BJ$1+4),"………………..",IFERROR(INDEX($AC$3:$AC$400,MATCH(ROWS(BQ$3:BQ113),BJ$3:BJ$400,0),1),"")))</f>
        <v/>
      </c>
      <c r="BR113" s="48">
        <f t="shared" ca="1" si="139"/>
        <v>0</v>
      </c>
      <c r="BS113" s="48">
        <f ca="1">IF(IF(AND(OR(INDEX(PDC,MATCH($AC113,DEN_PDC,0),4)="D",INDEX(PDC,MATCH($AC113,DEN_PDC,0),4)="D/A"),SUMIFS(DARE,DEN_G,$AC113)&gt;=SUMIFS(AVERE,DEN_G,$AC113)),SUMIFS(DARE,DEN_G,$AC113),IF(AND(OR(INDEX(PDC,MATCH($AC113,DEN_PDC,0),4)="A",INDEX(PDC,MATCH($AC113,DEN_PDC,0),4)="D/A"),SUMIFS(AVERE,DEN_G,$AC113)&gt;=SUMIFS(DARE,DEN_G,$AC113)),SUMIFS(AVERE,DEN_G,$AC113),))&gt;0,MAX($BS$2:BS112)+1,0)</f>
        <v>0</v>
      </c>
      <c r="BT113" s="48" t="str">
        <f ca="1">IF($CO$1=0,"",IF(AND($I$1=2,ROW()&gt;$BR$1,ROW()&lt;=$BS$1)," …………….",IF(AND($E$1=1,$BX$1=1,$I$1=2,ROW()=$BQ$1),"TOTALI",IFERROR(INDEX(PDC,MATCH(ROWS(BT$3:BT113),BS$3:BS510,0),2),""))))</f>
        <v/>
      </c>
      <c r="BU113" s="48">
        <f t="shared" ca="1" si="140"/>
        <v>0</v>
      </c>
      <c r="BV113" s="48">
        <f t="shared" ca="1" si="141"/>
        <v>0</v>
      </c>
      <c r="BW113" s="48">
        <f t="shared" ca="1" si="142"/>
        <v>0</v>
      </c>
      <c r="BX113" s="48">
        <f t="shared" ca="1" si="143"/>
        <v>0</v>
      </c>
      <c r="BY113" s="48">
        <f ca="1">IF(OR(BW113&gt;0,BX113&gt;0),MAX($BY$2:BY112)+1,0)</f>
        <v>0</v>
      </c>
      <c r="BZ113" s="48" t="str">
        <f ca="1">IFERROR(INDEX($BT$3:$BY$400,MATCH(ROWS(BZ$3:BZ113),$BY$3:$BY$400,0),1),"")</f>
        <v/>
      </c>
      <c r="CA113" s="48" t="str">
        <f ca="1">IFERROR(INDEX($BT$3:$BY$400,MATCH(ROWS(CA$3:CA113),$BY$3:$BY$400,0),4),"")</f>
        <v/>
      </c>
      <c r="CB113" s="48" t="str">
        <f ca="1">IFERROR(INDEX($BT$3:$BY$400,MATCH(ROWS(CB$3:CB113),$BY$3:$BY$400,0),5),"")</f>
        <v/>
      </c>
      <c r="CC113" s="48" t="str">
        <f t="shared" ca="1" si="144"/>
        <v/>
      </c>
      <c r="CD113" s="48">
        <f ca="1">IF(AND($BF$9=1,CE113&lt;&gt;0),MAX($CD$104:CD112)+1,0)</f>
        <v>0</v>
      </c>
      <c r="CE113" s="48">
        <f ca="1">IF(ROUND(SUMIFS(COPIA!$CB$3:$CB$400,COPIA!$CC$3:$CC$400,CF113)-SUMIFS(COPIA!$CA$3:$CA$400,COPIA!$CC$3:$CC$400,CF113),0)&lt;0,0,ROUND(SUMIFS(COPIA!$CB$3:$CB$400,COPIA!$CC$3:$CC$400,CF113)-SUMIFS(COPIA!$CA$3:$CA$400,COPIA!$CC$3:$CC$400,CF113),0))</f>
        <v>0</v>
      </c>
      <c r="CF113" s="48" t="s">
        <v>740</v>
      </c>
      <c r="CG113" s="242" t="str">
        <f ca="1">CG173</f>
        <v>_______Riserva straordinaria</v>
      </c>
      <c r="CH113" s="48">
        <f t="shared" ca="1" si="259"/>
        <v>0</v>
      </c>
      <c r="CJ113" s="242"/>
      <c r="CM113" s="242" t="str">
        <f t="shared" ca="1" si="166"/>
        <v/>
      </c>
      <c r="CN113" s="243">
        <f t="shared" ca="1" si="167"/>
        <v>0</v>
      </c>
      <c r="CO113" s="48" t="str">
        <f t="shared" ca="1" si="168"/>
        <v/>
      </c>
      <c r="CQ113" s="242"/>
      <c r="CR113" s="242"/>
      <c r="CU113" s="48">
        <f ca="1">IF(SUMIFS(AVERE,DEN_G,AC113,AVERE,"&gt;"&amp;0)+SUMIFS(DARE,DEN_G,AC113,DARE,"&gt;"&amp;0)&gt;0,MAX($CU$2:CU112)+1,0)</f>
        <v>0</v>
      </c>
      <c r="CV113" s="48" t="str">
        <f ca="1">IF(IFERROR(INDEX(PDC,MATCH(ROWS($CV$3:CV113),$CU$3:$CU$400,0),2),"")="CONTO DI RISULTATO ECONOMICO","",IFERROR(INDEX(PDC,MATCH(ROWS($CV$3:CV113),$CU$3:$CU$400,0),2),""))</f>
        <v/>
      </c>
      <c r="CW113" s="48">
        <f ca="1">IFERROR(IF(CV113&lt;&gt;"",MAX($CW$2:CW112)+1,0),0)</f>
        <v>0</v>
      </c>
      <c r="CX113" s="48">
        <f t="shared" ca="1" si="260"/>
        <v>9</v>
      </c>
      <c r="CY113" s="48" t="str">
        <f t="shared" ca="1" si="258"/>
        <v>MASTRO</v>
      </c>
      <c r="CZ113" s="48" t="e">
        <f t="shared" ca="1" si="262"/>
        <v>#N/A</v>
      </c>
      <c r="DA113" s="48" t="str">
        <f t="shared" ca="1" si="266"/>
        <v/>
      </c>
      <c r="DB113" s="48" t="str">
        <f t="shared" ca="1" si="212"/>
        <v/>
      </c>
      <c r="DC113" s="48" t="str">
        <f t="shared" ca="1" si="263"/>
        <v/>
      </c>
      <c r="DD113" s="48" t="str">
        <f t="shared" ca="1" si="264"/>
        <v/>
      </c>
      <c r="DE113" s="48" t="str">
        <f t="shared" ca="1" si="265"/>
        <v/>
      </c>
      <c r="DF113" s="48">
        <f ca="1">IF(AND(CX113=$DF$1,CX113&lt;&gt;""),0,IF(AND(DB113&lt;&gt;"",OR(DB112&lt;&gt;"",DB114&lt;&gt;"")),MAX($DF$2:DF112)+1,0))</f>
        <v>0</v>
      </c>
      <c r="DH113" s="244" t="s">
        <v>81</v>
      </c>
      <c r="DI113" s="228" t="s">
        <v>82</v>
      </c>
      <c r="DN113" s="48">
        <f ca="1">IF(DI113&lt;&gt;"",MAX($DN$2:DN112)+1,0)</f>
        <v>93</v>
      </c>
      <c r="DQ113" s="227" t="s">
        <v>866</v>
      </c>
      <c r="DR113" s="48" t="s">
        <v>86</v>
      </c>
      <c r="DS113" s="48" t="s">
        <v>312</v>
      </c>
      <c r="DT113" s="48" t="s">
        <v>275</v>
      </c>
      <c r="DU113" s="48" t="s">
        <v>82</v>
      </c>
      <c r="DV113" s="48" t="s">
        <v>270</v>
      </c>
      <c r="DW113" s="48">
        <f ca="1">IF(DR113&lt;&gt;"",MAX($DW$2:DW112)+1,0)</f>
        <v>69</v>
      </c>
      <c r="DX113" s="48" t="str">
        <f ca="1">IF($BF$9=1,"pac42","pac4")</f>
        <v>pac4</v>
      </c>
      <c r="DY113" s="48" t="str">
        <f t="shared" ca="1" si="147"/>
        <v/>
      </c>
      <c r="DZ113" s="48" t="str">
        <f t="shared" ca="1" si="170"/>
        <v/>
      </c>
      <c r="EA113" s="48" t="str">
        <f t="shared" ca="1" si="171"/>
        <v/>
      </c>
      <c r="EB113" s="48">
        <f t="shared" ca="1" si="172"/>
        <v>0</v>
      </c>
      <c r="EC113" s="48">
        <f t="shared" ca="1" si="173"/>
        <v>0</v>
      </c>
      <c r="ED113" s="48" t="str">
        <f t="shared" ca="1" si="174"/>
        <v/>
      </c>
      <c r="EE113" s="48">
        <f t="shared" ca="1" si="175"/>
        <v>0</v>
      </c>
      <c r="EF113" s="48" t="str">
        <f t="shared" ca="1" si="176"/>
        <v/>
      </c>
      <c r="EG113" s="48">
        <f t="shared" ca="1" si="177"/>
        <v>0</v>
      </c>
      <c r="EH113" s="48" t="str">
        <f t="shared" ca="1" si="178"/>
        <v/>
      </c>
      <c r="EI113" s="48">
        <f t="shared" ca="1" si="179"/>
        <v>0</v>
      </c>
      <c r="EJ113" s="48" t="str">
        <f t="shared" ca="1" si="180"/>
        <v/>
      </c>
      <c r="EK113" s="48">
        <f t="shared" ca="1" si="181"/>
        <v>0</v>
      </c>
      <c r="EL113" s="48">
        <f t="shared" ca="1" si="148"/>
        <v>0</v>
      </c>
      <c r="EM113" s="48">
        <f ca="1">IF(EL113&gt;=0,0,MAX($EM$2:EM112)+1)</f>
        <v>0</v>
      </c>
      <c r="EN113" s="48" t="str">
        <f t="shared" ca="1" si="182"/>
        <v/>
      </c>
      <c r="EO113" s="48" t="str">
        <f ca="1">IFERROR(INDEX($EM$3:$EN$400,MATCH(ROWS($EO$3:EO113),$EM$3:$EM$400,0),2),"")</f>
        <v/>
      </c>
      <c r="EP113" s="48">
        <f>ROW()</f>
        <v>113</v>
      </c>
      <c r="EQ113" s="48">
        <f t="shared" ca="1" si="149"/>
        <v>0</v>
      </c>
      <c r="ER113" s="48">
        <f ca="1">IF(ISNA(EQ113)=TRUE,MAX($ER$2:ER112)+1,0)</f>
        <v>0</v>
      </c>
      <c r="ES113" s="48" t="str">
        <f t="shared" ca="1" si="183"/>
        <v/>
      </c>
      <c r="ET113" s="48" t="str">
        <f ca="1">IFERROR(INDEX($ER$3:$ES$400,MATCH(ROWS($ET$3:ET113),$ER$3:$ER$400,0),2),"")</f>
        <v/>
      </c>
      <c r="EV113" s="48">
        <f ca="1">IFERROR(INDEX(LIBRO_GIORNALE!$O$11:$P$408,MATCH(ROWS($EV$2:EV112),LIBRO_GIORNALE!$P$11:$P$408,0),1),0)</f>
        <v>0</v>
      </c>
      <c r="EW113" s="48" t="str">
        <f t="shared" ca="1" si="184"/>
        <v>0</v>
      </c>
      <c r="EX113" s="48">
        <f t="shared" ca="1" si="185"/>
        <v>0</v>
      </c>
      <c r="EY113" s="48">
        <f ca="1">IF(EX113&gt;0,MAX($EY$2:EY112)+1,0)</f>
        <v>0</v>
      </c>
      <c r="EZ113" s="48">
        <f ca="1">IFERROR(INDEX($EX$3:$EX$400,MATCH(ROWS($EZ$3:EZ113),$EY$3:$EY$400,0),1),0)</f>
        <v>0</v>
      </c>
      <c r="FA113" s="48">
        <f ca="1">IF(EZ113&gt;0,0,MAX($FA$2:FA112)+1)</f>
        <v>111</v>
      </c>
      <c r="FB113" s="48">
        <f t="shared" ca="1" si="186"/>
        <v>0</v>
      </c>
      <c r="FC113" s="48">
        <f t="shared" ca="1" si="187"/>
        <v>111</v>
      </c>
      <c r="FD113" s="48">
        <f t="shared" ca="1" si="188"/>
        <v>111</v>
      </c>
      <c r="FE113" s="48">
        <f ca="1">IF(FD113=0,0,MAX($FE$2:FE112)+1)</f>
        <v>111</v>
      </c>
      <c r="FF113" s="48">
        <f ca="1">IFERROR(INDEX($FD$3:$FE$400,MATCH(ROWS($FF$3:FF113),$FE$3:$FE$400,0),1),"")</f>
        <v>111</v>
      </c>
      <c r="FG113" s="48">
        <f t="shared" ca="1" si="255"/>
        <v>0</v>
      </c>
      <c r="FH113" s="48">
        <f t="shared" ca="1" si="189"/>
        <v>0</v>
      </c>
      <c r="FI113" s="48">
        <f ca="1">IF(FH113&lt;&gt;0,MAX($FI$2:FI112)+1,0)</f>
        <v>0</v>
      </c>
      <c r="FJ113" s="48" t="str">
        <f ca="1">IFERROR(INDEX($FH$3:$FI$400,MATCH(ROWS($FJ$3:FJ113),$FI$3:$FI$400,0),1),"")</f>
        <v/>
      </c>
      <c r="FK113" s="48">
        <f ca="1">IF(ABS(SUMIFS(DARE,DEN_G,"="&amp;FJ113,DATA,"&lt;="&amp;FINE_AC,DATA,"&gt;="&amp;INIZIO_A_PC)-SUMIFS(AVERE,DEN_G,"="&amp;FJ113,DATA,"&lt;="&amp;FINE_AC,DATA,"&gt;="&amp;INIZIO_A_PC))&gt;0,MAX($FK$2:FK112)+1,0)</f>
        <v>0</v>
      </c>
      <c r="FL113" s="48" t="str">
        <f ca="1">IF(AND(ROW()-2&lt;&gt;1,ROW()-2&lt;=$FK$1),CONCATENATE(" - ",IFERROR(INDEX($FJ$3:$FK$400,MATCH(ROWS($FL$3:FL113),$FK$3:$FK$400,0),1),"")),IFERROR(INDEX($FJ$3:$FK$400,MATCH(ROWS($FL$3:FL113),$FK$3:$FK$400,0),1),""))</f>
        <v/>
      </c>
      <c r="FM113" s="48">
        <f ca="1">IF(OR(B113="IVA ns/credito",B113="IVA NS/DEBITO",B113="IVA C/ACCONTO",B113="IMPOSTE C/ACCONTO",B113="CREDITI PER RITENUTE SUBITE",B113="CREDITI D'IMPOSTA"),MAX($FM$2:FM112)+1,0)</f>
        <v>0</v>
      </c>
      <c r="FN113" s="48" t="str">
        <f t="shared" ca="1" si="190"/>
        <v/>
      </c>
      <c r="FO113" s="48" t="str">
        <f ca="1">IFERROR(INDEX($FM$3:$FN$400,MATCH(ROWS($FO$3:FO113),$FM$3:$FM$400,0),2),"")</f>
        <v/>
      </c>
      <c r="FP113" s="48">
        <f ca="1">IF(ABS(SUMIFS(DARE,DEN_G,"="&amp;FO113,DATA,"&lt;="&amp;FINE_AC,DATA,"&gt;="&amp;INIZIO_A_PC)-SUMIFS(AVERE,DEN_G,"="&amp;FO113,DATA,"&lt;="&amp;FINE_AC,DATA,"&gt;="&amp;INIZIO_A_PC))&gt;0,MAX($FP$2:FP112)+1,0)</f>
        <v>0</v>
      </c>
      <c r="FQ113" s="48" t="str">
        <f ca="1">IF(AND(ROW()-2&lt;&gt;1,ROW()-2&lt;=$FP$1),CONCATENATE(" - ",IFERROR(INDEX($FO$3:$FP$400,MATCH(ROWS($FQ$3:FQ113),$FP$3:$FP$400,0),1),"")),IFERROR(INDEX($FO$3:$FP$400,MATCH(ROWS($FQ$3:FQ113),$FP$3:$FP$400,0),1),""))</f>
        <v/>
      </c>
    </row>
    <row r="114" spans="1:173" x14ac:dyDescent="0.3">
      <c r="A114" s="48" t="str">
        <f ca="1">IFERROR(IF($A$1=2,INDEX($DH$3:$DN$401,MATCH(ROWS(A$3:A114),$DN$3:$DN$401,0),COLUMN()),IF($A$1=1,INDEX($DQ$3:$DW$401,MATCH(ROWS(A$3:A114),$DW$3:$DW$401,0),COLUMN()),"")),"")</f>
        <v>10.20</v>
      </c>
      <c r="B114" s="48" t="str">
        <f ca="1">IFERROR(IF($A$1=2,INDEX($DH$3:$DN$401,MATCH(ROWS(B$3:B114),$DN$3:$DN$401,0),COLUMN()),IF($A$1=1,INDEX($DQ$3:$DW$400,MATCH(ROWS(B$3:B114),$DW$3:$DW$401,0),COLUMN()),"")),"")</f>
        <v>VERSAMENTI AZIONISTI C/CAPITALE</v>
      </c>
      <c r="C114" s="48" t="str">
        <f ca="1">IFERROR(IF($A$1=2,INDEX($DH$3:$DN$401,MATCH(ROWS(C$3:C114),$DN$3:$DN$401,0),COLUMN()),IF($A$1=1,INDEX($DQ$3:$DW$401,MATCH(ROWS(C$3:C114),$DW$3:$DW$401,0),COLUMN()),"")),"")</f>
        <v>E</v>
      </c>
      <c r="D114" s="48" t="str">
        <f ca="1">IFERROR(IF($A$1=2,INDEX($DH$3:$DN$401,MATCH(ROWS(D$3:D114),$DN$3:$DN$401,0),COLUMN()),IF($A$1=1,INDEX($DQ$3:$DW$401,MATCH(ROWS(D$3:D114),$DW$3:$DW$401,0),COLUMN()),"")),"")</f>
        <v>A</v>
      </c>
      <c r="E114" s="48" t="str">
        <f ca="1">IFERROR(IF($A$1=2,INDEX($DH$3:$DN$401,MATCH(ROWS(E$3:E114),$DN$3:$DN$401,0),COLUMN()),IF($A$1=1,INDEX($DQ$3:$DW$401,MATCH(ROWS(E$3:E114),$DW$3:$DW$401,0),COLUMN()),"")),"")</f>
        <v>PATRIMONIO NETTO</v>
      </c>
      <c r="F114" s="48" t="str">
        <f ca="1">IFERROR(IF($A$1=2,INDEX($DH$3:$DN$401,MATCH(ROWS(F$3:F114),$DN$3:$DN$401,0),COLUMN()),IF($A$1=1,INDEX($DQ$3:$DX$401,MATCH(ROWS(F$3:F114),$DW$3:$DW$401,0),COLUMN()),"")),"")</f>
        <v>SP AVERE</v>
      </c>
      <c r="G114" s="48" t="str">
        <f t="shared" ca="1" si="150"/>
        <v>SP</v>
      </c>
      <c r="H114" s="48" t="str">
        <f ca="1">IFERROR(IF($A$1=2,INDEX($DH$3:$DO$400,MATCH(ROWS(H$3:H114),$DN$3:$DN$400,0),COLUMN()),IF($A$1=1,INDEX($DQ$3:$DX$400,MATCH(ROWS(H$3:H114),$DW$3:$DW$400,0),COLUMN()),"")),"")</f>
        <v>ppa64</v>
      </c>
      <c r="I114" s="48" t="str">
        <f t="shared" ca="1" si="151"/>
        <v/>
      </c>
      <c r="J114" s="48" t="str">
        <f t="shared" ca="1" si="152"/>
        <v/>
      </c>
      <c r="K114" s="48">
        <f t="shared" ca="1" si="153"/>
        <v>0</v>
      </c>
      <c r="L114" s="48">
        <f t="shared" ca="1" si="154"/>
        <v>0</v>
      </c>
      <c r="M114" s="48">
        <f ca="1">IFERROR(IF(IF(MID($A114,3,3)=".00",MID(A114,1,2),"")&lt;&gt;"",MAX($M$2:M113)+1,0),"")</f>
        <v>0</v>
      </c>
      <c r="N114" s="48" t="str">
        <f t="shared" ca="1" si="155"/>
        <v/>
      </c>
      <c r="O114" s="48" t="str">
        <f ca="1">IF(IFERROR(INDEX($N$3:$O$300,MATCH(ROWS($O$3:O114),$M$3:$M$300,0),1),"")&lt;&gt;"",CONCATENATE(INDEX($N$3:$O$300,MATCH(ROWS($O$3:O114),$M$3:$M$300,0),1),".00"),"")</f>
        <v/>
      </c>
      <c r="P114" s="48" t="str">
        <f t="shared" ca="1" si="156"/>
        <v/>
      </c>
      <c r="Q114" s="48">
        <f ca="1">IF(M114&gt;=1,0,MAX($Q$2:Q113)+1)</f>
        <v>101</v>
      </c>
      <c r="U114" s="48" t="str">
        <f ca="1">IFERROR(INDEX(PDC,MATCH(ROWS(U$3:U114),$V$3:$V$400,0),2),"")</f>
        <v>DEBITI PER TFR</v>
      </c>
      <c r="V114" s="48">
        <f ca="1">IF(AND($T$1="VISUALIZZA TUTTI I CONTI",AA114&lt;&gt;""),MAX($V$2:V113)+1,IF(AND($U$2=2,AI114=$T$1),MAX($V$2:V113)+1,IF(AND($U$2=1,$T$1=AF114),MAX($V$2:V113)+1,0)))</f>
        <v>112</v>
      </c>
      <c r="Z114" s="246"/>
      <c r="AA114" s="48" t="str">
        <f t="shared" ca="1" si="157"/>
        <v>12.00</v>
      </c>
      <c r="AB114" s="48" t="str">
        <f ca="1">IFERROR(INDEX($A$3:$G$400,MATCH(ROWS(AB$3:AB114),$Q$3:$Q$400,0),1),"")</f>
        <v>12.01</v>
      </c>
      <c r="AC114" s="48" t="str">
        <f ca="1">IFERROR(INDEX($A$3:$G$400,MATCH(ROWS($AC$3:AC114),$Q$3:$Q$400,0),2),"")</f>
        <v>DEBITI PER TFR</v>
      </c>
      <c r="AD114" s="48" t="str">
        <f ca="1">IFERROR(INDEX($A$3:$G$400,MATCH(ROWS(AD$3:AD114),$Q$3:$Q$400,0),3),"")</f>
        <v>F</v>
      </c>
      <c r="AE114" s="48" t="str">
        <f ca="1">IFERROR(INDEX($A$3:$G$400,MATCH(ROWS(AE$3:AE114),$Q$3:$Q$400,0),4),"")</f>
        <v>A</v>
      </c>
      <c r="AF114" s="48" t="str">
        <f ca="1">IFERROR(INDEX($A$3:$G$400,MATCH(ROWS(AF$3:AF114),$Q$3:$Q$400,0),5),"")</f>
        <v>DEBITI</v>
      </c>
      <c r="AG114" s="48" t="str">
        <f ca="1">IFERROR(INDEX($A$3:$G$400,MATCH(ROWS(AG$3:AG114),$Q$3:$Q$400,0),6),"")</f>
        <v>SP AVERE</v>
      </c>
      <c r="AH114" s="48" t="str">
        <f ca="1">IFERROR(INDEX($A$3:$G$400,MATCH(ROWS(AH$3:AH114),$Q$3:$Q$400,0),7),"")</f>
        <v>SP</v>
      </c>
      <c r="AI114" s="48" t="str">
        <f t="shared" ca="1" si="158"/>
        <v>TRATTAMENTO FINE RAPPORTO</v>
      </c>
      <c r="AJ114" s="48" t="str">
        <f ca="1">IFERROR(INDEX($A$3:$H$400,MATCH(ROWS(AJ$3:AJ114),$Q$3:$Q$400,0),8),"")</f>
        <v>ppc</v>
      </c>
      <c r="AK114" s="48">
        <f t="shared" ca="1" si="130"/>
        <v>0</v>
      </c>
      <c r="AL114" s="48">
        <f t="shared" ca="1" si="251"/>
        <v>0</v>
      </c>
      <c r="AM114" s="48">
        <f t="shared" ca="1" si="252"/>
        <v>0</v>
      </c>
      <c r="AN114" s="48">
        <f t="shared" ca="1" si="253"/>
        <v>0</v>
      </c>
      <c r="AO114" s="48">
        <f t="shared" ca="1" si="254"/>
        <v>0</v>
      </c>
      <c r="AP114" s="48">
        <f t="shared" ca="1" si="254"/>
        <v>0</v>
      </c>
      <c r="AQ114" s="48" t="str">
        <f t="shared" ca="1" si="132"/>
        <v>DEBITI PER TFR</v>
      </c>
      <c r="AR114" s="48">
        <f t="shared" ca="1" si="133"/>
        <v>0</v>
      </c>
      <c r="AS114" s="48">
        <f t="shared" ca="1" si="134"/>
        <v>0</v>
      </c>
      <c r="AT114" s="48">
        <f t="shared" ca="1" si="162"/>
        <v>0</v>
      </c>
      <c r="AU114" s="48">
        <f t="shared" ca="1" si="163"/>
        <v>0</v>
      </c>
      <c r="AV114" s="48">
        <f ca="1">IF(OR(AT114&gt;0,AU114&gt;0),MAX($AV$2:AV113)+1,0)</f>
        <v>0</v>
      </c>
      <c r="AZ114" s="241" t="str">
        <f t="shared" si="240"/>
        <v>14 V.I.</v>
      </c>
      <c r="BA114" s="48">
        <f t="shared" ca="1" si="241"/>
        <v>0</v>
      </c>
      <c r="BB114" s="48">
        <f t="shared" ca="1" si="247"/>
        <v>0</v>
      </c>
      <c r="BC114" s="48" t="str">
        <f t="shared" ca="1" si="248"/>
        <v/>
      </c>
      <c r="BD114" s="48">
        <f t="shared" ca="1" si="249"/>
        <v>0</v>
      </c>
      <c r="BE114" s="48">
        <f t="shared" ca="1" si="250"/>
        <v>0</v>
      </c>
      <c r="BF114" s="48">
        <v>12</v>
      </c>
      <c r="BG114" s="48">
        <f ca="1">IF(IF(AND(OR(INDEX(PDC,MATCH($AC114,DEN_PDC,0),6)="SP DARE",INDEX(PDC,MATCH($AC114,DEN_PDC,0),6)="SP DARE/AVERE"),SUMIFS(DARE,DEN_G,$AC114)&gt;=SUMIFS(AVERE,DEN_G,$AC114)),SUMIFS(DARE,DEN_G,$AC114)-SUMIFS(AVERE,DEN_G,$AC114),0)&gt;0,MAX($BG$2:BG113)+1,0)</f>
        <v>0</v>
      </c>
      <c r="BH114" s="48">
        <f ca="1">IF(IF(AND(OR(INDEX(PDC,MATCH($AC114,DEN_PDC,0),6)="SP AVERE",INDEX(PDC,MATCH($AC114,DEN_PDC,0),6)="SP DARE/AVERE"),SUMIFS(AVERE,DEN_G,$AC114)&gt;=SUMIFS(DARE,DEN_G,$AC114)),SUMIFS(AVERE,DEN_G,$AC114)-SUMIFS(DARE,DEN_G,$AC114),0)&gt;0,MAX(BH$2:BH113)+1,0)</f>
        <v>0</v>
      </c>
      <c r="BI114" s="48">
        <f ca="1">IF(IF(AND(OR(INDEX(PDC,MATCH($AC114,DEN_PDC,0),6)="SE DARE",INDEX(PDC,MATCH($AC114,DEN_PDC,0),6)="SE DARE/AVERE"),SUMIFS(DARE,DEN_G,$AC114)&gt;=SUMIFS(AVERE,DEN_G,$AC114)),SUMIFS(DARE,DEN_G,$AC114)-SUMIFS(AVERE,DEN_G,$AC114),0)&gt;0,MAX(BI$2:BI113)+1,0)</f>
        <v>0</v>
      </c>
      <c r="BJ114" s="48">
        <f ca="1">IF(IF(AND(OR(INDEX(PDC,MATCH($AC114,DEN_PDC,0),6)="SE AVERE",INDEX(PDC,MATCH($AC114,DEN_PDC,0),6)="SE DARE/AVERE"),SUMIFS(AVERE,DEN_G,$AC114)&gt;=SUMIFS(DARE,DEN_G,$AC114)),SUMIFS(AVERE,DEN_G,$AC114)-SUMIFS(DARE,DEN_G,$AC114),0)&gt;0,MAX(BJ$2:BJ113)+1,0)</f>
        <v>0</v>
      </c>
      <c r="BK114" s="48" t="str">
        <f ca="1">IF(AND(AND($DY$2=0,$DY$1=0),$I$1=2,ROW()&gt;$BG$1+2,ROW()&lt;=$BG$1+4),"………………..",IF(AND(OR($DY$2&gt;0,$DY$1&gt;0),$I$1=2,ROW()&gt;$BG$1+2,ROW()&lt;=$BG$1+4),"………………..",IFERROR(INDEX($AC$3:$AC$398,MATCH(ROWS(BK$3:BK114),BG$3:BG$398,0),1),"")))</f>
        <v/>
      </c>
      <c r="BL114" s="48">
        <f t="shared" ca="1" si="136"/>
        <v>0</v>
      </c>
      <c r="BM114" s="48" t="str">
        <f ca="1">IF(AND(OR($DY$2=0,$DY$1=0),$I$1=2,ROW()&gt;$BH$1+2,ROW()&lt;=$BH$1+4),"………………..",IF(AND(OR($DY$2&gt;0,$DY$1&gt;0),$I$1=2,ROW()&gt;$BH$1+2,ROW()&lt;=$BH$1+4),"………………..",IFERROR(INDEX($AC$3:$AC$400,MATCH(ROWS(BM$3:BM114),BH$3:BH$400,0),1),"")))</f>
        <v/>
      </c>
      <c r="BN114" s="48">
        <f t="shared" ca="1" si="137"/>
        <v>0</v>
      </c>
      <c r="BO114" s="48" t="str">
        <f ca="1">IF(AND(OR($DY$2=0,$DY$1=0),$I$1=2,ROW()&gt;$BI$1+2,ROW()&lt;=$BI$1+4),"………………..",IF(AND(OR($DY$2&gt;0,$DY$1&gt;0),$I$1=2,ROW()&gt;$BI$1+2,ROW()&lt;=$BI$1+4),"………………..",IFERROR(INDEX($AC$3:$AC$400,MATCH(ROWS(BO$3:BO114),BI$3:BI$400,0),1),"")))</f>
        <v/>
      </c>
      <c r="BP114" s="48">
        <f t="shared" ca="1" si="138"/>
        <v>0</v>
      </c>
      <c r="BQ114" s="48" t="str">
        <f ca="1">IF(AND(OR($DY$2=0,$DY$1=0),$I$1=2,ROW()&gt;$BJ$1+2,ROW()&lt;=$BJ$1+4),"………………..",IF(AND(OR($DY$2&gt;0,$DY$1&gt;0),$I$1=2,ROW()&gt;$BJ$1+2,ROW()&lt;=$BJ$1+4),"………………..",IFERROR(INDEX($AC$3:$AC$400,MATCH(ROWS(BQ$3:BQ114),BJ$3:BJ$400,0),1),"")))</f>
        <v/>
      </c>
      <c r="BR114" s="48">
        <f t="shared" ca="1" si="139"/>
        <v>0</v>
      </c>
      <c r="BS114" s="48">
        <f ca="1">IF(IF(AND(OR(INDEX(PDC,MATCH($AC114,DEN_PDC,0),4)="D",INDEX(PDC,MATCH($AC114,DEN_PDC,0),4)="D/A"),SUMIFS(DARE,DEN_G,$AC114)&gt;=SUMIFS(AVERE,DEN_G,$AC114)),SUMIFS(DARE,DEN_G,$AC114),IF(AND(OR(INDEX(PDC,MATCH($AC114,DEN_PDC,0),4)="A",INDEX(PDC,MATCH($AC114,DEN_PDC,0),4)="D/A"),SUMIFS(AVERE,DEN_G,$AC114)&gt;=SUMIFS(DARE,DEN_G,$AC114)),SUMIFS(AVERE,DEN_G,$AC114),))&gt;0,MAX($BS$2:BS113)+1,0)</f>
        <v>0</v>
      </c>
      <c r="BT114" s="48" t="str">
        <f ca="1">IF($CO$1=0,"",IF(AND($I$1=2,ROW()&gt;$BR$1,ROW()&lt;=$BS$1)," …………….",IF(AND($E$1=1,$BX$1=1,$I$1=2,ROW()=$BQ$1),"TOTALI",IFERROR(INDEX(PDC,MATCH(ROWS(BT$3:BT114),BS$3:BS511,0),2),""))))</f>
        <v/>
      </c>
      <c r="BU114" s="48">
        <f t="shared" ca="1" si="140"/>
        <v>0</v>
      </c>
      <c r="BV114" s="48">
        <f t="shared" ca="1" si="141"/>
        <v>0</v>
      </c>
      <c r="BW114" s="48">
        <f t="shared" ca="1" si="142"/>
        <v>0</v>
      </c>
      <c r="BX114" s="48">
        <f t="shared" ca="1" si="143"/>
        <v>0</v>
      </c>
      <c r="BY114" s="48">
        <f ca="1">IF(OR(BW114&gt;0,BX114&gt;0),MAX($BY$2:BY113)+1,0)</f>
        <v>0</v>
      </c>
      <c r="BZ114" s="48" t="str">
        <f ca="1">IFERROR(INDEX($BT$3:$BY$400,MATCH(ROWS(BZ$3:BZ114),$BY$3:$BY$400,0),1),"")</f>
        <v/>
      </c>
      <c r="CA114" s="48" t="str">
        <f ca="1">IFERROR(INDEX($BT$3:$BY$400,MATCH(ROWS(CA$3:CA114),$BY$3:$BY$400,0),4),"")</f>
        <v/>
      </c>
      <c r="CB114" s="48" t="str">
        <f ca="1">IFERROR(INDEX($BT$3:$BY$400,MATCH(ROWS(CB$3:CB114),$BY$3:$BY$400,0),5),"")</f>
        <v/>
      </c>
      <c r="CC114" s="48" t="str">
        <f t="shared" ca="1" si="144"/>
        <v/>
      </c>
      <c r="CD114" s="48">
        <f ca="1">IF(AND($BF$9=1,CE114&lt;&gt;0),MAX($CD$104:CD113)+1,0)</f>
        <v>0</v>
      </c>
      <c r="CE114" s="48">
        <f ca="1">IF(ROUND(SUMIFS(COPIA!$CB$3:$CB$400,COPIA!$CC$3:$CC$400,CF114)-SUMIFS(COPIA!$CA$3:$CA$400,COPIA!$CC$3:$CC$400,CF114),0)&lt;0,0,ROUND(SUMIFS(COPIA!$CB$3:$CB$400,COPIA!$CC$3:$CC$400,CF114)-SUMIFS(COPIA!$CA$3:$CA$400,COPIA!$CC$3:$CC$400,CF114),0))</f>
        <v>0</v>
      </c>
      <c r="CF114" s="48" t="s">
        <v>741</v>
      </c>
      <c r="CG114" s="242" t="s">
        <v>959</v>
      </c>
      <c r="CH114" s="48">
        <f t="shared" ca="1" si="259"/>
        <v>0</v>
      </c>
      <c r="CJ114" s="242"/>
      <c r="CM114" s="242" t="str">
        <f t="shared" ca="1" si="166"/>
        <v/>
      </c>
      <c r="CN114" s="243">
        <f t="shared" ca="1" si="167"/>
        <v>0</v>
      </c>
      <c r="CO114" s="48" t="str">
        <f t="shared" ca="1" si="168"/>
        <v/>
      </c>
      <c r="CQ114" s="242"/>
      <c r="CR114" s="242"/>
      <c r="CU114" s="48">
        <f ca="1">IF(SUMIFS(AVERE,DEN_G,AC114,AVERE,"&gt;"&amp;0)+SUMIFS(DARE,DEN_G,AC114,DARE,"&gt;"&amp;0)&gt;0,MAX($CU$2:CU113)+1,0)</f>
        <v>0</v>
      </c>
      <c r="CV114" s="48" t="str">
        <f ca="1">IF(IFERROR(INDEX(PDC,MATCH(ROWS($CV$3:CV114),$CU$3:$CU$400,0),2),"")="CONTO DI RISULTATO ECONOMICO","",IFERROR(INDEX(PDC,MATCH(ROWS($CV$3:CV114),$CU$3:$CU$400,0),2),""))</f>
        <v/>
      </c>
      <c r="CW114" s="48">
        <f ca="1">IFERROR(IF(CV114&lt;&gt;"",MAX($CW$2:CW113)+1,0),0)</f>
        <v>0</v>
      </c>
      <c r="CX114" s="48">
        <f t="shared" ca="1" si="260"/>
        <v>9</v>
      </c>
      <c r="CY114" s="48" t="str">
        <f t="shared" ca="1" si="258"/>
        <v>MASTRO</v>
      </c>
      <c r="CZ114" s="48" t="e">
        <f t="shared" ca="1" si="262"/>
        <v>#N/A</v>
      </c>
      <c r="DA114" s="48" t="str">
        <f t="shared" ca="1" si="266"/>
        <v/>
      </c>
      <c r="DB114" s="48" t="str">
        <f t="shared" ca="1" si="212"/>
        <v/>
      </c>
      <c r="DC114" s="48" t="str">
        <f t="shared" ca="1" si="263"/>
        <v/>
      </c>
      <c r="DD114" s="48" t="str">
        <f t="shared" ca="1" si="264"/>
        <v/>
      </c>
      <c r="DE114" s="48" t="str">
        <f t="shared" ca="1" si="265"/>
        <v/>
      </c>
      <c r="DF114" s="48">
        <f ca="1">IF(AND(CX114=$DF$1,CX114&lt;&gt;""),0,IF(AND(DB114&lt;&gt;"",OR(DB113&lt;&gt;"",DB115&lt;&gt;"")),MAX($DF$2:DF113)+1,0))</f>
        <v>0</v>
      </c>
      <c r="DH114" s="244" t="s">
        <v>85</v>
      </c>
      <c r="DI114" s="48" t="s">
        <v>83</v>
      </c>
      <c r="DJ114" s="48" t="s">
        <v>312</v>
      </c>
      <c r="DK114" s="48" t="s">
        <v>275</v>
      </c>
      <c r="DL114" s="48" t="s">
        <v>82</v>
      </c>
      <c r="DM114" s="48" t="s">
        <v>270</v>
      </c>
      <c r="DN114" s="48">
        <f ca="1">IF(DI114&lt;&gt;"",MAX($DN$2:DN113)+1,0)</f>
        <v>94</v>
      </c>
      <c r="DO114" s="48" t="str">
        <f ca="1">IF($BF$9=1,"pac41","pac4")</f>
        <v>pac4</v>
      </c>
      <c r="DQ114" s="227" t="s">
        <v>867</v>
      </c>
      <c r="DR114" s="48" t="s">
        <v>87</v>
      </c>
      <c r="DS114" s="48" t="s">
        <v>312</v>
      </c>
      <c r="DT114" s="48" t="s">
        <v>275</v>
      </c>
      <c r="DU114" s="48" t="s">
        <v>82</v>
      </c>
      <c r="DV114" s="48" t="s">
        <v>270</v>
      </c>
      <c r="DW114" s="48">
        <f ca="1">IF(DR114&lt;&gt;"",MAX($DW$2:DW113)+1,0)</f>
        <v>70</v>
      </c>
      <c r="DX114" s="48" t="str">
        <f ca="1">IF($BF$9=1,"pac43","pac4")</f>
        <v>pac4</v>
      </c>
      <c r="DY114" s="48" t="str">
        <f t="shared" ca="1" si="147"/>
        <v/>
      </c>
      <c r="DZ114" s="48" t="str">
        <f t="shared" ca="1" si="170"/>
        <v/>
      </c>
      <c r="EA114" s="48" t="str">
        <f t="shared" ca="1" si="171"/>
        <v/>
      </c>
      <c r="EB114" s="48">
        <f t="shared" ca="1" si="172"/>
        <v>0</v>
      </c>
      <c r="EC114" s="48">
        <f t="shared" ca="1" si="173"/>
        <v>0</v>
      </c>
      <c r="ED114" s="48" t="str">
        <f t="shared" ca="1" si="174"/>
        <v/>
      </c>
      <c r="EE114" s="48">
        <f t="shared" ca="1" si="175"/>
        <v>0</v>
      </c>
      <c r="EF114" s="48" t="str">
        <f t="shared" ca="1" si="176"/>
        <v/>
      </c>
      <c r="EG114" s="48">
        <f t="shared" ca="1" si="177"/>
        <v>0</v>
      </c>
      <c r="EH114" s="48" t="str">
        <f t="shared" ca="1" si="178"/>
        <v/>
      </c>
      <c r="EI114" s="48">
        <f t="shared" ca="1" si="179"/>
        <v>0</v>
      </c>
      <c r="EJ114" s="48" t="str">
        <f t="shared" ca="1" si="180"/>
        <v/>
      </c>
      <c r="EK114" s="48">
        <f t="shared" ca="1" si="181"/>
        <v>0</v>
      </c>
      <c r="EL114" s="48">
        <f t="shared" ca="1" si="148"/>
        <v>0</v>
      </c>
      <c r="EM114" s="48">
        <f ca="1">IF(EL114&gt;=0,0,MAX($EM$2:EM113)+1)</f>
        <v>0</v>
      </c>
      <c r="EN114" s="48" t="str">
        <f t="shared" ca="1" si="182"/>
        <v/>
      </c>
      <c r="EO114" s="48" t="str">
        <f ca="1">IFERROR(INDEX($EM$3:$EN$400,MATCH(ROWS($EO$3:EO114),$EM$3:$EM$400,0),2),"")</f>
        <v/>
      </c>
      <c r="EP114" s="48">
        <f>ROW()</f>
        <v>114</v>
      </c>
      <c r="EQ114" s="48">
        <f t="shared" ca="1" si="149"/>
        <v>0</v>
      </c>
      <c r="ER114" s="48">
        <f ca="1">IF(ISNA(EQ114)=TRUE,MAX($ER$2:ER113)+1,0)</f>
        <v>0</v>
      </c>
      <c r="ES114" s="48" t="str">
        <f t="shared" ca="1" si="183"/>
        <v/>
      </c>
      <c r="ET114" s="48" t="str">
        <f ca="1">IFERROR(INDEX($ER$3:$ES$400,MATCH(ROWS($ET$3:ET114),$ER$3:$ER$400,0),2),"")</f>
        <v/>
      </c>
      <c r="EV114" s="48">
        <f ca="1">IFERROR(INDEX(LIBRO_GIORNALE!$O$11:$P$408,MATCH(ROWS($EV$2:EV113),LIBRO_GIORNALE!$P$11:$P$408,0),1),0)</f>
        <v>0</v>
      </c>
      <c r="EW114" s="48" t="str">
        <f t="shared" ca="1" si="184"/>
        <v>0</v>
      </c>
      <c r="EX114" s="48">
        <f t="shared" ca="1" si="185"/>
        <v>0</v>
      </c>
      <c r="EY114" s="48">
        <f ca="1">IF(EX114&gt;0,MAX($EY$2:EY113)+1,0)</f>
        <v>0</v>
      </c>
      <c r="EZ114" s="48">
        <f ca="1">IFERROR(INDEX($EX$3:$EX$400,MATCH(ROWS($EZ$3:EZ114),$EY$3:$EY$400,0),1),0)</f>
        <v>0</v>
      </c>
      <c r="FA114" s="48">
        <f ca="1">IF(EZ114&gt;0,0,MAX($FA$2:FA113)+1)</f>
        <v>112</v>
      </c>
      <c r="FB114" s="48">
        <f t="shared" ca="1" si="186"/>
        <v>0</v>
      </c>
      <c r="FC114" s="48">
        <f t="shared" ca="1" si="187"/>
        <v>112</v>
      </c>
      <c r="FD114" s="48">
        <f t="shared" ca="1" si="188"/>
        <v>112</v>
      </c>
      <c r="FE114" s="48">
        <f ca="1">IF(FD114=0,0,MAX($FE$2:FE113)+1)</f>
        <v>112</v>
      </c>
      <c r="FF114" s="48">
        <f ca="1">IFERROR(INDEX($FD$3:$FE$400,MATCH(ROWS($FF$3:FF114),$FE$3:$FE$400,0),1),"")</f>
        <v>112</v>
      </c>
      <c r="FG114" s="48">
        <f t="shared" ca="1" si="255"/>
        <v>0</v>
      </c>
      <c r="FH114" s="48">
        <f t="shared" ca="1" si="189"/>
        <v>0</v>
      </c>
      <c r="FI114" s="48">
        <f ca="1">IF(FH114&lt;&gt;0,MAX($FI$2:FI113)+1,0)</f>
        <v>0</v>
      </c>
      <c r="FJ114" s="48" t="str">
        <f ca="1">IFERROR(INDEX($FH$3:$FI$400,MATCH(ROWS($FJ$3:FJ114),$FI$3:$FI$400,0),1),"")</f>
        <v/>
      </c>
      <c r="FK114" s="48">
        <f ca="1">IF(ABS(SUMIFS(DARE,DEN_G,"="&amp;FJ114,DATA,"&lt;="&amp;FINE_AC,DATA,"&gt;="&amp;INIZIO_A_PC)-SUMIFS(AVERE,DEN_G,"="&amp;FJ114,DATA,"&lt;="&amp;FINE_AC,DATA,"&gt;="&amp;INIZIO_A_PC))&gt;0,MAX($FK$2:FK113)+1,0)</f>
        <v>0</v>
      </c>
      <c r="FL114" s="48" t="str">
        <f ca="1">IF(AND(ROW()-2&lt;&gt;1,ROW()-2&lt;=$FK$1),CONCATENATE(" - ",IFERROR(INDEX($FJ$3:$FK$400,MATCH(ROWS($FL$3:FL114),$FK$3:$FK$400,0),1),"")),IFERROR(INDEX($FJ$3:$FK$400,MATCH(ROWS($FL$3:FL114),$FK$3:$FK$400,0),1),""))</f>
        <v/>
      </c>
      <c r="FM114" s="48">
        <f ca="1">IF(OR(B114="IVA ns/credito",B114="IVA NS/DEBITO",B114="IVA C/ACCONTO",B114="IMPOSTE C/ACCONTO",B114="CREDITI PER RITENUTE SUBITE",B114="CREDITI D'IMPOSTA"),MAX($FM$2:FM113)+1,0)</f>
        <v>0</v>
      </c>
      <c r="FN114" s="48" t="str">
        <f t="shared" ca="1" si="190"/>
        <v/>
      </c>
      <c r="FO114" s="48" t="str">
        <f ca="1">IFERROR(INDEX($FM$3:$FN$400,MATCH(ROWS($FO$3:FO114),$FM$3:$FM$400,0),2),"")</f>
        <v/>
      </c>
      <c r="FP114" s="48">
        <f ca="1">IF(ABS(SUMIFS(DARE,DEN_G,"="&amp;FO114,DATA,"&lt;="&amp;FINE_AC,DATA,"&gt;="&amp;INIZIO_A_PC)-SUMIFS(AVERE,DEN_G,"="&amp;FO114,DATA,"&lt;="&amp;FINE_AC,DATA,"&gt;="&amp;INIZIO_A_PC))&gt;0,MAX($FP$2:FP113)+1,0)</f>
        <v>0</v>
      </c>
      <c r="FQ114" s="48" t="str">
        <f ca="1">IF(AND(ROW()-2&lt;&gt;1,ROW()-2&lt;=$FP$1),CONCATENATE(" - ",IFERROR(INDEX($FO$3:$FP$400,MATCH(ROWS($FQ$3:FQ114),$FP$3:$FP$400,0),1),"")),IFERROR(INDEX($FO$3:$FP$400,MATCH(ROWS($FQ$3:FQ114),$FP$3:$FP$400,0),1),""))</f>
        <v/>
      </c>
    </row>
    <row r="115" spans="1:173" x14ac:dyDescent="0.3">
      <c r="A115" s="48" t="str">
        <f ca="1">IFERROR(IF($A$1=2,INDEX($DH$3:$DN$401,MATCH(ROWS(A$3:A115),$DN$3:$DN$401,0),COLUMN()),IF($A$1=1,INDEX($DQ$3:$DW$401,MATCH(ROWS(A$3:A115),$DW$3:$DW$401,0),COLUMN()),"")),"")</f>
        <v>10.21</v>
      </c>
      <c r="B115" s="48" t="str">
        <f ca="1">IFERROR(IF($A$1=2,INDEX($DH$3:$DN$401,MATCH(ROWS(B$3:B115),$DN$3:$DN$401,0),COLUMN()),IF($A$1=1,INDEX($DQ$3:$DW$400,MATCH(ROWS(B$3:B115),$DW$3:$DW$401,0),COLUMN()),"")),"")</f>
        <v>VERSAMENTI C/AUMENTO CAPITALE</v>
      </c>
      <c r="C115" s="48" t="str">
        <f ca="1">IFERROR(IF($A$1=2,INDEX($DH$3:$DN$401,MATCH(ROWS(C$3:C115),$DN$3:$DN$401,0),COLUMN()),IF($A$1=1,INDEX($DQ$3:$DW$401,MATCH(ROWS(C$3:C115),$DW$3:$DW$401,0),COLUMN()),"")),"")</f>
        <v>E</v>
      </c>
      <c r="D115" s="48" t="str">
        <f ca="1">IFERROR(IF($A$1=2,INDEX($DH$3:$DN$401,MATCH(ROWS(D$3:D115),$DN$3:$DN$401,0),COLUMN()),IF($A$1=1,INDEX($DQ$3:$DW$401,MATCH(ROWS(D$3:D115),$DW$3:$DW$401,0),COLUMN()),"")),"")</f>
        <v>A</v>
      </c>
      <c r="E115" s="48" t="str">
        <f ca="1">IFERROR(IF($A$1=2,INDEX($DH$3:$DN$401,MATCH(ROWS(E$3:E115),$DN$3:$DN$401,0),COLUMN()),IF($A$1=1,INDEX($DQ$3:$DW$401,MATCH(ROWS(E$3:E115),$DW$3:$DW$401,0),COLUMN()),"")),"")</f>
        <v>PATRIMONIO NETTO</v>
      </c>
      <c r="F115" s="48" t="str">
        <f ca="1">IFERROR(IF($A$1=2,INDEX($DH$3:$DN$401,MATCH(ROWS(F$3:F115),$DN$3:$DN$401,0),COLUMN()),IF($A$1=1,INDEX($DQ$3:$DX$401,MATCH(ROWS(F$3:F115),$DW$3:$DW$401,0),COLUMN()),"")),"")</f>
        <v>SP AVERE</v>
      </c>
      <c r="G115" s="48" t="str">
        <f t="shared" ca="1" si="150"/>
        <v>SP</v>
      </c>
      <c r="H115" s="48" t="str">
        <f ca="1">IFERROR(IF($A$1=2,INDEX($DH$3:$DO$400,MATCH(ROWS(H$3:H115),$DN$3:$DN$400,0),COLUMN()),IF($A$1=1,INDEX($DQ$3:$DX$400,MATCH(ROWS(H$3:H115),$DW$3:$DW$400,0),COLUMN()),"")),"")</f>
        <v>ppa1</v>
      </c>
      <c r="I115" s="48" t="str">
        <f t="shared" ca="1" si="151"/>
        <v/>
      </c>
      <c r="J115" s="48" t="str">
        <f t="shared" ca="1" si="152"/>
        <v/>
      </c>
      <c r="K115" s="48">
        <f t="shared" ca="1" si="153"/>
        <v>0</v>
      </c>
      <c r="L115" s="48">
        <f t="shared" ca="1" si="154"/>
        <v>0</v>
      </c>
      <c r="M115" s="48">
        <f ca="1">IFERROR(IF(IF(MID($A115,3,3)=".00",MID(A115,1,2),"")&lt;&gt;"",MAX($M$2:M114)+1,0),"")</f>
        <v>0</v>
      </c>
      <c r="N115" s="48" t="str">
        <f t="shared" ca="1" si="155"/>
        <v/>
      </c>
      <c r="O115" s="48" t="str">
        <f ca="1">IF(IFERROR(INDEX($N$3:$O$300,MATCH(ROWS($O$3:O115),$M$3:$M$300,0),1),"")&lt;&gt;"",CONCATENATE(INDEX($N$3:$O$300,MATCH(ROWS($O$3:O115),$M$3:$M$300,0),1),".00"),"")</f>
        <v/>
      </c>
      <c r="P115" s="48" t="str">
        <f t="shared" ca="1" si="156"/>
        <v/>
      </c>
      <c r="Q115" s="48">
        <f ca="1">IF(M115&gt;=1,0,MAX($Q$2:Q114)+1)</f>
        <v>102</v>
      </c>
      <c r="U115" s="48" t="str">
        <f ca="1">IFERROR(INDEX(PDC,MATCH(ROWS(U$3:U115),$V$3:$V$400,0),2),"")</f>
        <v>PRESTITI OBBLIGAZIONARI</v>
      </c>
      <c r="V115" s="48">
        <f ca="1">IF(AND($T$1="VISUALIZZA TUTTI I CONTI",AA115&lt;&gt;""),MAX($V$2:V114)+1,IF(AND($U$2=2,AI115=$T$1),MAX($V$2:V114)+1,IF(AND($U$2=1,$T$1=AF115),MAX($V$2:V114)+1,0)))</f>
        <v>113</v>
      </c>
      <c r="Z115" s="246"/>
      <c r="AA115" s="48" t="str">
        <f t="shared" ca="1" si="157"/>
        <v>13.00</v>
      </c>
      <c r="AB115" s="48" t="str">
        <f ca="1">IFERROR(INDEX($A$3:$G$400,MATCH(ROWS(AB$3:AB115),$Q$3:$Q$400,0),1),"")</f>
        <v>13.01</v>
      </c>
      <c r="AC115" s="48" t="str">
        <f ca="1">IFERROR(INDEX($A$3:$G$400,MATCH(ROWS($AC$3:AC115),$Q$3:$Q$400,0),2),"")</f>
        <v>PRESTITI OBBLIGAZIONARI</v>
      </c>
      <c r="AD115" s="48" t="str">
        <f ca="1">IFERROR(INDEX($A$3:$G$400,MATCH(ROWS(AD$3:AD115),$Q$3:$Q$400,0),3),"")</f>
        <v>F</v>
      </c>
      <c r="AE115" s="48" t="str">
        <f ca="1">IFERROR(INDEX($A$3:$G$400,MATCH(ROWS(AE$3:AE115),$Q$3:$Q$400,0),4),"")</f>
        <v>A</v>
      </c>
      <c r="AF115" s="48" t="str">
        <f ca="1">IFERROR(INDEX($A$3:$G$400,MATCH(ROWS(AF$3:AF115),$Q$3:$Q$400,0),5),"")</f>
        <v>DEBITI</v>
      </c>
      <c r="AG115" s="48" t="str">
        <f ca="1">IFERROR(INDEX($A$3:$G$400,MATCH(ROWS(AG$3:AG115),$Q$3:$Q$400,0),6),"")</f>
        <v>SP AVERE</v>
      </c>
      <c r="AH115" s="48" t="str">
        <f ca="1">IFERROR(INDEX($A$3:$G$400,MATCH(ROWS(AH$3:AH115),$Q$3:$Q$400,0),7),"")</f>
        <v>SP</v>
      </c>
      <c r="AI115" s="48" t="str">
        <f t="shared" ca="1" si="158"/>
        <v>DEBITI FINANZIARI</v>
      </c>
      <c r="AJ115" s="48" t="str">
        <f ca="1">IFERROR(INDEX($A$3:$H$400,MATCH(ROWS(AJ$3:AJ115),$Q$3:$Q$400,0),8),"")</f>
        <v>ppd</v>
      </c>
      <c r="AK115" s="48">
        <f t="shared" ca="1" si="130"/>
        <v>0</v>
      </c>
      <c r="AL115" s="48">
        <f t="shared" ca="1" si="251"/>
        <v>0</v>
      </c>
      <c r="AM115" s="48">
        <f t="shared" ca="1" si="252"/>
        <v>0</v>
      </c>
      <c r="AN115" s="48">
        <f t="shared" ca="1" si="253"/>
        <v>0</v>
      </c>
      <c r="AO115" s="48">
        <f t="shared" ca="1" si="254"/>
        <v>0</v>
      </c>
      <c r="AP115" s="48">
        <f t="shared" ca="1" si="254"/>
        <v>0</v>
      </c>
      <c r="AQ115" s="48" t="str">
        <f t="shared" ca="1" si="132"/>
        <v>PRESTITI OBBLIGAZIONARI</v>
      </c>
      <c r="AR115" s="48">
        <f t="shared" ca="1" si="133"/>
        <v>0</v>
      </c>
      <c r="AS115" s="48">
        <f t="shared" ca="1" si="134"/>
        <v>0</v>
      </c>
      <c r="AT115" s="48">
        <f t="shared" ca="1" si="162"/>
        <v>0</v>
      </c>
      <c r="AU115" s="48">
        <f t="shared" ca="1" si="163"/>
        <v>0</v>
      </c>
      <c r="AV115" s="48">
        <f ca="1">IF(OR(AT115&gt;0,AU115&gt;0),MAX($AV$2:AV114)+1,0)</f>
        <v>0</v>
      </c>
      <c r="AZ115" s="241" t="str">
        <f t="shared" si="240"/>
        <v>15 V.I.</v>
      </c>
      <c r="BA115" s="48">
        <f t="shared" ca="1" si="241"/>
        <v>0</v>
      </c>
      <c r="BB115" s="48">
        <f t="shared" ca="1" si="247"/>
        <v>0</v>
      </c>
      <c r="BC115" s="48" t="str">
        <f t="shared" ca="1" si="248"/>
        <v/>
      </c>
      <c r="BD115" s="48">
        <f t="shared" ca="1" si="249"/>
        <v>0</v>
      </c>
      <c r="BE115" s="48">
        <f t="shared" ca="1" si="250"/>
        <v>0</v>
      </c>
      <c r="BF115" s="48">
        <v>13</v>
      </c>
      <c r="BG115" s="48">
        <f ca="1">IF(IF(AND(OR(INDEX(PDC,MATCH($AC115,DEN_PDC,0),6)="SP DARE",INDEX(PDC,MATCH($AC115,DEN_PDC,0),6)="SP DARE/AVERE"),SUMIFS(DARE,DEN_G,$AC115)&gt;=SUMIFS(AVERE,DEN_G,$AC115)),SUMIFS(DARE,DEN_G,$AC115)-SUMIFS(AVERE,DEN_G,$AC115),0)&gt;0,MAX($BG$2:BG114)+1,0)</f>
        <v>0</v>
      </c>
      <c r="BH115" s="48">
        <f ca="1">IF(IF(AND(OR(INDEX(PDC,MATCH($AC115,DEN_PDC,0),6)="SP AVERE",INDEX(PDC,MATCH($AC115,DEN_PDC,0),6)="SP DARE/AVERE"),SUMIFS(AVERE,DEN_G,$AC115)&gt;=SUMIFS(DARE,DEN_G,$AC115)),SUMIFS(AVERE,DEN_G,$AC115)-SUMIFS(DARE,DEN_G,$AC115),0)&gt;0,MAX(BH$2:BH114)+1,0)</f>
        <v>0</v>
      </c>
      <c r="BI115" s="48">
        <f ca="1">IF(IF(AND(OR(INDEX(PDC,MATCH($AC115,DEN_PDC,0),6)="SE DARE",INDEX(PDC,MATCH($AC115,DEN_PDC,0),6)="SE DARE/AVERE"),SUMIFS(DARE,DEN_G,$AC115)&gt;=SUMIFS(AVERE,DEN_G,$AC115)),SUMIFS(DARE,DEN_G,$AC115)-SUMIFS(AVERE,DEN_G,$AC115),0)&gt;0,MAX(BI$2:BI114)+1,0)</f>
        <v>0</v>
      </c>
      <c r="BJ115" s="48">
        <f ca="1">IF(IF(AND(OR(INDEX(PDC,MATCH($AC115,DEN_PDC,0),6)="SE AVERE",INDEX(PDC,MATCH($AC115,DEN_PDC,0),6)="SE DARE/AVERE"),SUMIFS(AVERE,DEN_G,$AC115)&gt;=SUMIFS(DARE,DEN_G,$AC115)),SUMIFS(AVERE,DEN_G,$AC115)-SUMIFS(DARE,DEN_G,$AC115),0)&gt;0,MAX(BJ$2:BJ114)+1,0)</f>
        <v>0</v>
      </c>
      <c r="BK115" s="48" t="str">
        <f ca="1">IF(AND(AND($DY$2=0,$DY$1=0),$I$1=2,ROW()&gt;$BG$1+2,ROW()&lt;=$BG$1+4),"………………..",IF(AND(OR($DY$2&gt;0,$DY$1&gt;0),$I$1=2,ROW()&gt;$BG$1+2,ROW()&lt;=$BG$1+4),"………………..",IFERROR(INDEX($AC$3:$AC$398,MATCH(ROWS(BK$3:BK115),BG$3:BG$398,0),1),"")))</f>
        <v/>
      </c>
      <c r="BL115" s="48">
        <f t="shared" ca="1" si="136"/>
        <v>0</v>
      </c>
      <c r="BM115" s="48" t="str">
        <f ca="1">IF(AND(OR($DY$2=0,$DY$1=0),$I$1=2,ROW()&gt;$BH$1+2,ROW()&lt;=$BH$1+4),"………………..",IF(AND(OR($DY$2&gt;0,$DY$1&gt;0),$I$1=2,ROW()&gt;$BH$1+2,ROW()&lt;=$BH$1+4),"………………..",IFERROR(INDEX($AC$3:$AC$400,MATCH(ROWS(BM$3:BM115),BH$3:BH$400,0),1),"")))</f>
        <v/>
      </c>
      <c r="BN115" s="48">
        <f t="shared" ca="1" si="137"/>
        <v>0</v>
      </c>
      <c r="BO115" s="48" t="str">
        <f ca="1">IF(AND(OR($DY$2=0,$DY$1=0),$I$1=2,ROW()&gt;$BI$1+2,ROW()&lt;=$BI$1+4),"………………..",IF(AND(OR($DY$2&gt;0,$DY$1&gt;0),$I$1=2,ROW()&gt;$BI$1+2,ROW()&lt;=$BI$1+4),"………………..",IFERROR(INDEX($AC$3:$AC$400,MATCH(ROWS(BO$3:BO115),BI$3:BI$400,0),1),"")))</f>
        <v/>
      </c>
      <c r="BP115" s="48">
        <f t="shared" ca="1" si="138"/>
        <v>0</v>
      </c>
      <c r="BQ115" s="48" t="str">
        <f ca="1">IF(AND(OR($DY$2=0,$DY$1=0),$I$1=2,ROW()&gt;$BJ$1+2,ROW()&lt;=$BJ$1+4),"………………..",IF(AND(OR($DY$2&gt;0,$DY$1&gt;0),$I$1=2,ROW()&gt;$BJ$1+2,ROW()&lt;=$BJ$1+4),"………………..",IFERROR(INDEX($AC$3:$AC$400,MATCH(ROWS(BQ$3:BQ115),BJ$3:BJ$400,0),1),"")))</f>
        <v/>
      </c>
      <c r="BR115" s="48">
        <f t="shared" ca="1" si="139"/>
        <v>0</v>
      </c>
      <c r="BS115" s="48">
        <f ca="1">IF(IF(AND(OR(INDEX(PDC,MATCH($AC115,DEN_PDC,0),4)="D",INDEX(PDC,MATCH($AC115,DEN_PDC,0),4)="D/A"),SUMIFS(DARE,DEN_G,$AC115)&gt;=SUMIFS(AVERE,DEN_G,$AC115)),SUMIFS(DARE,DEN_G,$AC115),IF(AND(OR(INDEX(PDC,MATCH($AC115,DEN_PDC,0),4)="A",INDEX(PDC,MATCH($AC115,DEN_PDC,0),4)="D/A"),SUMIFS(AVERE,DEN_G,$AC115)&gt;=SUMIFS(DARE,DEN_G,$AC115)),SUMIFS(AVERE,DEN_G,$AC115),))&gt;0,MAX($BS$2:BS114)+1,0)</f>
        <v>0</v>
      </c>
      <c r="BT115" s="48" t="str">
        <f ca="1">IF($CO$1=0,"",IF(AND($I$1=2,ROW()&gt;$BR$1,ROW()&lt;=$BS$1)," …………….",IF(AND($E$1=1,$BX$1=1,$I$1=2,ROW()=$BQ$1),"TOTALI",IFERROR(INDEX(PDC,MATCH(ROWS(BT$3:BT115),BS$3:BS512,0),2),""))))</f>
        <v/>
      </c>
      <c r="BU115" s="48">
        <f t="shared" ca="1" si="140"/>
        <v>0</v>
      </c>
      <c r="BV115" s="48">
        <f t="shared" ca="1" si="141"/>
        <v>0</v>
      </c>
      <c r="BW115" s="48">
        <f t="shared" ca="1" si="142"/>
        <v>0</v>
      </c>
      <c r="BX115" s="48">
        <f t="shared" ca="1" si="143"/>
        <v>0</v>
      </c>
      <c r="BY115" s="48">
        <f ca="1">IF(OR(BW115&gt;0,BX115&gt;0),MAX($BY$2:BY114)+1,0)</f>
        <v>0</v>
      </c>
      <c r="BZ115" s="48" t="str">
        <f ca="1">IFERROR(INDEX($BT$3:$BY$400,MATCH(ROWS(BZ$3:BZ115),$BY$3:$BY$400,0),1),"")</f>
        <v/>
      </c>
      <c r="CA115" s="48" t="str">
        <f ca="1">IFERROR(INDEX($BT$3:$BY$400,MATCH(ROWS(CA$3:CA115),$BY$3:$BY$400,0),4),"")</f>
        <v/>
      </c>
      <c r="CB115" s="48" t="str">
        <f ca="1">IFERROR(INDEX($BT$3:$BY$400,MATCH(ROWS(CB$3:CB115),$BY$3:$BY$400,0),5),"")</f>
        <v/>
      </c>
      <c r="CC115" s="48" t="str">
        <f t="shared" ca="1" si="144"/>
        <v/>
      </c>
      <c r="CD115" s="48">
        <f ca="1">IF(AND($BF$9=1,CE115&lt;&gt;0),MAX($CD$104:CD114)+1,0)</f>
        <v>0</v>
      </c>
      <c r="CE115" s="48">
        <f ca="1">IF(ROUND(SUMIFS(COPIA!$CB$3:$CB$400,COPIA!$CC$3:$CC$400,CF115)-SUMIFS(COPIA!$CA$3:$CA$400,COPIA!$CC$3:$CC$400,CF115),0)&lt;0,0,ROUND(SUMIFS(COPIA!$CB$3:$CB$400,COPIA!$CC$3:$CC$400,CF115)-SUMIFS(COPIA!$CA$3:$CA$400,COPIA!$CC$3:$CC$400,CF115),0))</f>
        <v>0</v>
      </c>
      <c r="CF115" s="48" t="s">
        <v>742</v>
      </c>
      <c r="CG115" s="242" t="s">
        <v>772</v>
      </c>
      <c r="CH115" s="48">
        <f t="shared" ca="1" si="259"/>
        <v>0</v>
      </c>
      <c r="CJ115" s="242"/>
      <c r="CM115" s="242" t="str">
        <f t="shared" ca="1" si="166"/>
        <v/>
      </c>
      <c r="CN115" s="243">
        <f t="shared" ca="1" si="167"/>
        <v>0</v>
      </c>
      <c r="CO115" s="48" t="str">
        <f t="shared" ca="1" si="168"/>
        <v/>
      </c>
      <c r="CQ115" s="242"/>
      <c r="CR115" s="242"/>
      <c r="CU115" s="48">
        <f ca="1">IF(SUMIFS(AVERE,DEN_G,AC115,AVERE,"&gt;"&amp;0)+SUMIFS(DARE,DEN_G,AC115,DARE,"&gt;"&amp;0)&gt;0,MAX($CU$2:CU114)+1,0)</f>
        <v>0</v>
      </c>
      <c r="CV115" s="48" t="str">
        <f ca="1">IF(IFERROR(INDEX(PDC,MATCH(ROWS($CV$3:CV115),$CU$3:$CU$400,0),2),"")="CONTO DI RISULTATO ECONOMICO","",IFERROR(INDEX(PDC,MATCH(ROWS($CV$3:CV115),$CU$3:$CU$400,0),2),""))</f>
        <v/>
      </c>
      <c r="CW115" s="48">
        <f ca="1">IFERROR(IF(CV115&lt;&gt;"",MAX($CW$2:CW114)+1,0),0)</f>
        <v>0</v>
      </c>
      <c r="CX115" s="48">
        <f t="shared" ca="1" si="260"/>
        <v>9</v>
      </c>
      <c r="CY115" s="48" t="str">
        <f t="shared" ca="1" si="258"/>
        <v>MASTRO</v>
      </c>
      <c r="CZ115" s="48" t="e">
        <f t="shared" ca="1" si="262"/>
        <v>#N/A</v>
      </c>
      <c r="DA115" s="48" t="str">
        <f t="shared" ca="1" si="266"/>
        <v/>
      </c>
      <c r="DB115" s="48" t="str">
        <f t="shared" ca="1" si="212"/>
        <v/>
      </c>
      <c r="DC115" s="48" t="str">
        <f t="shared" ca="1" si="263"/>
        <v/>
      </c>
      <c r="DD115" s="48" t="str">
        <f t="shared" ca="1" si="264"/>
        <v/>
      </c>
      <c r="DE115" s="48" t="str">
        <f t="shared" ca="1" si="265"/>
        <v/>
      </c>
      <c r="DF115" s="48">
        <f ca="1">IF(AND(CX115=$DF$1,CX115&lt;&gt;""),0,IF(AND(DB115&lt;&gt;"",OR(DB114&lt;&gt;"",DB116&lt;&gt;"")),MAX($DF$2:DF114)+1,0))</f>
        <v>0</v>
      </c>
      <c r="DH115" s="244" t="s">
        <v>382</v>
      </c>
      <c r="DI115" s="48" t="str">
        <f ca="1">IF(INDIRECT(ADDRESS(11,11,,,"piano_dei_conti"))&lt;&gt;"",SUBSTITUTE(CONCATENATE(SUBSTITUTE(UPPER(INDIRECT(ADDRESS(11,11,,,"piano_dei_conti"))),"C/C","")," C/VINCOLATO"),"  "," "),"BANCA X C/VINCOLATO")</f>
        <v>BANCA X C/VINCOLATO</v>
      </c>
      <c r="DJ115" s="48" t="s">
        <v>312</v>
      </c>
      <c r="DK115" s="48" t="s">
        <v>275</v>
      </c>
      <c r="DL115" s="48" t="s">
        <v>82</v>
      </c>
      <c r="DM115" s="48" t="s">
        <v>270</v>
      </c>
      <c r="DN115" s="48">
        <f ca="1">IF(DI115&lt;&gt;"",MAX($DN$2:DN114)+1,0)</f>
        <v>95</v>
      </c>
      <c r="DO115" s="48" t="str">
        <f t="shared" ref="DO115:DO116" ca="1" si="267">IF($BF$9=1,"pac41","pac4")</f>
        <v>pac4</v>
      </c>
      <c r="DQ115" s="227" t="s">
        <v>868</v>
      </c>
      <c r="DR115" s="48" t="s">
        <v>88</v>
      </c>
      <c r="DS115" s="48" t="s">
        <v>312</v>
      </c>
      <c r="DT115" s="48" t="s">
        <v>275</v>
      </c>
      <c r="DU115" s="48" t="s">
        <v>82</v>
      </c>
      <c r="DV115" s="48" t="s">
        <v>270</v>
      </c>
      <c r="DW115" s="48">
        <f ca="1">IF(DR115&lt;&gt;"",MAX($DW$2:DW114)+1,0)</f>
        <v>71</v>
      </c>
      <c r="DX115" s="48" t="str">
        <f ca="1">IF($BF$9=1,"pac43","pac4")</f>
        <v>pac4</v>
      </c>
      <c r="DY115" s="48" t="str">
        <f t="shared" ca="1" si="147"/>
        <v/>
      </c>
      <c r="DZ115" s="48" t="str">
        <f t="shared" ca="1" si="170"/>
        <v/>
      </c>
      <c r="EA115" s="48" t="str">
        <f t="shared" ca="1" si="171"/>
        <v/>
      </c>
      <c r="EB115" s="48">
        <f t="shared" ca="1" si="172"/>
        <v>0</v>
      </c>
      <c r="EC115" s="48">
        <f t="shared" ca="1" si="173"/>
        <v>0</v>
      </c>
      <c r="ED115" s="48" t="str">
        <f t="shared" ca="1" si="174"/>
        <v/>
      </c>
      <c r="EE115" s="48">
        <f t="shared" ca="1" si="175"/>
        <v>0</v>
      </c>
      <c r="EF115" s="48" t="str">
        <f t="shared" ca="1" si="176"/>
        <v/>
      </c>
      <c r="EG115" s="48">
        <f t="shared" ca="1" si="177"/>
        <v>0</v>
      </c>
      <c r="EH115" s="48" t="str">
        <f t="shared" ca="1" si="178"/>
        <v/>
      </c>
      <c r="EI115" s="48">
        <f t="shared" ca="1" si="179"/>
        <v>0</v>
      </c>
      <c r="EJ115" s="48" t="str">
        <f t="shared" ca="1" si="180"/>
        <v/>
      </c>
      <c r="EK115" s="48">
        <f t="shared" ca="1" si="181"/>
        <v>0</v>
      </c>
      <c r="EL115" s="48">
        <f t="shared" ca="1" si="148"/>
        <v>0</v>
      </c>
      <c r="EM115" s="48">
        <f ca="1">IF(EL115&gt;=0,0,MAX($EM$2:EM114)+1)</f>
        <v>0</v>
      </c>
      <c r="EN115" s="48" t="str">
        <f t="shared" ca="1" si="182"/>
        <v/>
      </c>
      <c r="EO115" s="48" t="str">
        <f ca="1">IFERROR(INDEX($EM$3:$EN$400,MATCH(ROWS($EO$3:EO115),$EM$3:$EM$400,0),2),"")</f>
        <v/>
      </c>
      <c r="EP115" s="48">
        <f>ROW()</f>
        <v>115</v>
      </c>
      <c r="EQ115" s="48">
        <f t="shared" ca="1" si="149"/>
        <v>0</v>
      </c>
      <c r="ER115" s="48">
        <f ca="1">IF(ISNA(EQ115)=TRUE,MAX($ER$2:ER114)+1,0)</f>
        <v>0</v>
      </c>
      <c r="ES115" s="48" t="str">
        <f t="shared" ca="1" si="183"/>
        <v/>
      </c>
      <c r="ET115" s="48" t="str">
        <f ca="1">IFERROR(INDEX($ER$3:$ES$400,MATCH(ROWS($ET$3:ET115),$ER$3:$ER$400,0),2),"")</f>
        <v/>
      </c>
      <c r="EV115" s="48">
        <f ca="1">IFERROR(INDEX(LIBRO_GIORNALE!$O$11:$P$408,MATCH(ROWS($EV$2:EV114),LIBRO_GIORNALE!$P$11:$P$408,0),1),0)</f>
        <v>0</v>
      </c>
      <c r="EW115" s="48" t="str">
        <f t="shared" ca="1" si="184"/>
        <v>0</v>
      </c>
      <c r="EX115" s="48">
        <f t="shared" ca="1" si="185"/>
        <v>0</v>
      </c>
      <c r="EY115" s="48">
        <f ca="1">IF(EX115&gt;0,MAX($EY$2:EY114)+1,0)</f>
        <v>0</v>
      </c>
      <c r="EZ115" s="48">
        <f ca="1">IFERROR(INDEX($EX$3:$EX$400,MATCH(ROWS($EZ$3:EZ115),$EY$3:$EY$400,0),1),0)</f>
        <v>0</v>
      </c>
      <c r="FA115" s="48">
        <f ca="1">IF(EZ115&gt;0,0,MAX($FA$2:FA114)+1)</f>
        <v>113</v>
      </c>
      <c r="FB115" s="48">
        <f t="shared" ca="1" si="186"/>
        <v>0</v>
      </c>
      <c r="FC115" s="48">
        <f t="shared" ca="1" si="187"/>
        <v>113</v>
      </c>
      <c r="FD115" s="48">
        <f t="shared" ca="1" si="188"/>
        <v>113</v>
      </c>
      <c r="FE115" s="48">
        <f ca="1">IF(FD115=0,0,MAX($FE$2:FE114)+1)</f>
        <v>113</v>
      </c>
      <c r="FF115" s="48">
        <f ca="1">IFERROR(INDEX($FD$3:$FE$400,MATCH(ROWS($FF$3:FF115),$FE$3:$FE$400,0),1),"")</f>
        <v>113</v>
      </c>
      <c r="FG115" s="48">
        <f t="shared" ca="1" si="255"/>
        <v>0</v>
      </c>
      <c r="FH115" s="48">
        <f t="shared" ca="1" si="189"/>
        <v>0</v>
      </c>
      <c r="FI115" s="48">
        <f ca="1">IF(FH115&lt;&gt;0,MAX($FI$2:FI114)+1,0)</f>
        <v>0</v>
      </c>
      <c r="FJ115" s="48" t="str">
        <f ca="1">IFERROR(INDEX($FH$3:$FI$400,MATCH(ROWS($FJ$3:FJ115),$FI$3:$FI$400,0),1),"")</f>
        <v/>
      </c>
      <c r="FK115" s="48">
        <f ca="1">IF(ABS(SUMIFS(DARE,DEN_G,"="&amp;FJ115,DATA,"&lt;="&amp;FINE_AC,DATA,"&gt;="&amp;INIZIO_A_PC)-SUMIFS(AVERE,DEN_G,"="&amp;FJ115,DATA,"&lt;="&amp;FINE_AC,DATA,"&gt;="&amp;INIZIO_A_PC))&gt;0,MAX($FK$2:FK114)+1,0)</f>
        <v>0</v>
      </c>
      <c r="FL115" s="48" t="str">
        <f ca="1">IF(AND(ROW()-2&lt;&gt;1,ROW()-2&lt;=$FK$1),CONCATENATE(" - ",IFERROR(INDEX($FJ$3:$FK$400,MATCH(ROWS($FL$3:FL115),$FK$3:$FK$400,0),1),"")),IFERROR(INDEX($FJ$3:$FK$400,MATCH(ROWS($FL$3:FL115),$FK$3:$FK$400,0),1),""))</f>
        <v/>
      </c>
      <c r="FM115" s="48">
        <f ca="1">IF(OR(B115="IVA ns/credito",B115="IVA NS/DEBITO",B115="IVA C/ACCONTO",B115="IMPOSTE C/ACCONTO",B115="CREDITI PER RITENUTE SUBITE",B115="CREDITI D'IMPOSTA"),MAX($FM$2:FM114)+1,0)</f>
        <v>0</v>
      </c>
      <c r="FN115" s="48" t="str">
        <f t="shared" ca="1" si="190"/>
        <v/>
      </c>
      <c r="FO115" s="48" t="str">
        <f ca="1">IFERROR(INDEX($FM$3:$FN$400,MATCH(ROWS($FO$3:FO115),$FM$3:$FM$400,0),2),"")</f>
        <v/>
      </c>
      <c r="FP115" s="48">
        <f ca="1">IF(ABS(SUMIFS(DARE,DEN_G,"="&amp;FO115,DATA,"&lt;="&amp;FINE_AC,DATA,"&gt;="&amp;INIZIO_A_PC)-SUMIFS(AVERE,DEN_G,"="&amp;FO115,DATA,"&lt;="&amp;FINE_AC,DATA,"&gt;="&amp;INIZIO_A_PC))&gt;0,MAX($FP$2:FP114)+1,0)</f>
        <v>0</v>
      </c>
      <c r="FQ115" s="48" t="str">
        <f ca="1">IF(AND(ROW()-2&lt;&gt;1,ROW()-2&lt;=$FP$1),CONCATENATE(" - ",IFERROR(INDEX($FO$3:$FP$400,MATCH(ROWS($FQ$3:FQ115),$FP$3:$FP$400,0),1),"")),IFERROR(INDEX($FO$3:$FP$400,MATCH(ROWS($FQ$3:FQ115),$FP$3:$FP$400,0),1),""))</f>
        <v/>
      </c>
    </row>
    <row r="116" spans="1:173" x14ac:dyDescent="0.3">
      <c r="A116" s="48" t="str">
        <f ca="1">IFERROR(IF($A$1=2,INDEX($DH$3:$DN$401,MATCH(ROWS(A$3:A116),$DN$3:$DN$401,0),COLUMN()),IF($A$1=1,INDEX($DQ$3:$DW$401,MATCH(ROWS(A$3:A116),$DW$3:$DW$401,0),COLUMN()),"")),"")</f>
        <v>10.30</v>
      </c>
      <c r="B116" s="48" t="str">
        <f ca="1">IFERROR(IF($A$1=2,INDEX($DH$3:$DN$401,MATCH(ROWS(B$3:B116),$DN$3:$DN$401,0),COLUMN()),IF($A$1=1,INDEX($DQ$3:$DW$400,MATCH(ROWS(B$3:B116),$DW$3:$DW$401,0),COLUMN()),"")),"")</f>
        <v>UTILI A NUOVO</v>
      </c>
      <c r="C116" s="48" t="str">
        <f ca="1">IFERROR(IF($A$1=2,INDEX($DH$3:$DN$401,MATCH(ROWS(C$3:C116),$DN$3:$DN$401,0),COLUMN()),IF($A$1=1,INDEX($DQ$3:$DW$401,MATCH(ROWS(C$3:C116),$DW$3:$DW$401,0),COLUMN()),"")),"")</f>
        <v>E</v>
      </c>
      <c r="D116" s="48" t="str">
        <f ca="1">IFERROR(IF($A$1=2,INDEX($DH$3:$DN$401,MATCH(ROWS(D$3:D116),$DN$3:$DN$401,0),COLUMN()),IF($A$1=1,INDEX($DQ$3:$DW$401,MATCH(ROWS(D$3:D116),$DW$3:$DW$401,0),COLUMN()),"")),"")</f>
        <v>A</v>
      </c>
      <c r="E116" s="48" t="str">
        <f ca="1">IFERROR(IF($A$1=2,INDEX($DH$3:$DN$401,MATCH(ROWS(E$3:E116),$DN$3:$DN$401,0),COLUMN()),IF($A$1=1,INDEX($DQ$3:$DW$401,MATCH(ROWS(E$3:E116),$DW$3:$DW$401,0),COLUMN()),"")),"")</f>
        <v>PATRIMONIO NETTO</v>
      </c>
      <c r="F116" s="48" t="str">
        <f ca="1">IFERROR(IF($A$1=2,INDEX($DH$3:$DN$401,MATCH(ROWS(F$3:F116),$DN$3:$DN$401,0),COLUMN()),IF($A$1=1,INDEX($DQ$3:$DX$401,MATCH(ROWS(F$3:F116),$DW$3:$DW$401,0),COLUMN()),"")),"")</f>
        <v>SP AVERE</v>
      </c>
      <c r="G116" s="48" t="str">
        <f t="shared" ca="1" si="150"/>
        <v>SP</v>
      </c>
      <c r="H116" s="48" t="str">
        <f ca="1">IFERROR(IF($A$1=2,INDEX($DH$3:$DO$400,MATCH(ROWS(H$3:H116),$DN$3:$DN$400,0),COLUMN()),IF($A$1=1,INDEX($DQ$3:$DX$400,MATCH(ROWS(H$3:H116),$DW$3:$DW$400,0),COLUMN()),"")),"")</f>
        <v>ppa8</v>
      </c>
      <c r="I116" s="48" t="str">
        <f t="shared" ca="1" si="151"/>
        <v/>
      </c>
      <c r="J116" s="48" t="str">
        <f t="shared" ca="1" si="152"/>
        <v/>
      </c>
      <c r="K116" s="48">
        <f t="shared" ca="1" si="153"/>
        <v>0</v>
      </c>
      <c r="L116" s="48">
        <f t="shared" ca="1" si="154"/>
        <v>0</v>
      </c>
      <c r="M116" s="48">
        <f ca="1">IFERROR(IF(IF(MID($A116,3,3)=".00",MID(A116,1,2),"")&lt;&gt;"",MAX($M$2:M115)+1,0),"")</f>
        <v>0</v>
      </c>
      <c r="N116" s="48" t="str">
        <f t="shared" ca="1" si="155"/>
        <v/>
      </c>
      <c r="O116" s="48" t="str">
        <f ca="1">IF(IFERROR(INDEX($N$3:$O$300,MATCH(ROWS($O$3:O116),$M$3:$M$300,0),1),"")&lt;&gt;"",CONCATENATE(INDEX($N$3:$O$300,MATCH(ROWS($O$3:O116),$M$3:$M$300,0),1),".00"),"")</f>
        <v/>
      </c>
      <c r="P116" s="48" t="str">
        <f t="shared" ca="1" si="156"/>
        <v/>
      </c>
      <c r="Q116" s="48">
        <f ca="1">IF(M116&gt;=1,0,MAX($Q$2:Q115)+1)</f>
        <v>103</v>
      </c>
      <c r="U116" s="48" t="str">
        <f ca="1">IFERROR(INDEX(PDC,MATCH(ROWS(U$3:U116),$V$3:$V$400,0),2),"")</f>
        <v>PRESTITI OBBLIGAZIONARI CONVERTIBILI</v>
      </c>
      <c r="V116" s="48">
        <f ca="1">IF(AND($T$1="VISUALIZZA TUTTI I CONTI",AA116&lt;&gt;""),MAX($V$2:V115)+1,IF(AND($U$2=2,AI116=$T$1),MAX($V$2:V115)+1,IF(AND($U$2=1,$T$1=AF116),MAX($V$2:V115)+1,0)))</f>
        <v>114</v>
      </c>
      <c r="Z116" s="246"/>
      <c r="AA116" s="48" t="str">
        <f t="shared" ca="1" si="157"/>
        <v>13.00</v>
      </c>
      <c r="AB116" s="48" t="str">
        <f ca="1">IFERROR(INDEX($A$3:$G$400,MATCH(ROWS(AB$3:AB116),$Q$3:$Q$400,0),1),"")</f>
        <v>13.02</v>
      </c>
      <c r="AC116" s="48" t="str">
        <f ca="1">IFERROR(INDEX($A$3:$G$400,MATCH(ROWS($AC$3:AC116),$Q$3:$Q$400,0),2),"")</f>
        <v>PRESTITI OBBLIGAZIONARI CONVERTIBILI</v>
      </c>
      <c r="AD116" s="48" t="str">
        <f ca="1">IFERROR(INDEX($A$3:$G$400,MATCH(ROWS(AD$3:AD116),$Q$3:$Q$400,0),3),"")</f>
        <v>F</v>
      </c>
      <c r="AE116" s="48" t="str">
        <f ca="1">IFERROR(INDEX($A$3:$G$400,MATCH(ROWS(AE$3:AE116),$Q$3:$Q$400,0),4),"")</f>
        <v>A</v>
      </c>
      <c r="AF116" s="48" t="str">
        <f ca="1">IFERROR(INDEX($A$3:$G$400,MATCH(ROWS(AF$3:AF116),$Q$3:$Q$400,0),5),"")</f>
        <v>DEBITI</v>
      </c>
      <c r="AG116" s="48" t="str">
        <f ca="1">IFERROR(INDEX($A$3:$G$400,MATCH(ROWS(AG$3:AG116),$Q$3:$Q$400,0),6),"")</f>
        <v>SP AVERE</v>
      </c>
      <c r="AH116" s="48" t="str">
        <f ca="1">IFERROR(INDEX($A$3:$G$400,MATCH(ROWS(AH$3:AH116),$Q$3:$Q$400,0),7),"")</f>
        <v>SP</v>
      </c>
      <c r="AI116" s="48" t="str">
        <f t="shared" ca="1" si="158"/>
        <v>DEBITI FINANZIARI</v>
      </c>
      <c r="AJ116" s="48" t="str">
        <f ca="1">IFERROR(INDEX($A$3:$H$400,MATCH(ROWS(AJ$3:AJ116),$Q$3:$Q$400,0),8),"")</f>
        <v>ppd</v>
      </c>
      <c r="AK116" s="48">
        <f t="shared" ca="1" si="130"/>
        <v>0</v>
      </c>
      <c r="AL116" s="48">
        <f t="shared" ca="1" si="251"/>
        <v>0</v>
      </c>
      <c r="AM116" s="48">
        <f t="shared" ca="1" si="252"/>
        <v>0</v>
      </c>
      <c r="AN116" s="48">
        <f t="shared" ca="1" si="253"/>
        <v>0</v>
      </c>
      <c r="AO116" s="48">
        <f t="shared" ca="1" si="254"/>
        <v>0</v>
      </c>
      <c r="AP116" s="48">
        <f t="shared" ca="1" si="254"/>
        <v>0</v>
      </c>
      <c r="AQ116" s="48" t="str">
        <f t="shared" ca="1" si="132"/>
        <v>PRESTITI OBBLIGAZIONARI CONVERTIBILI</v>
      </c>
      <c r="AR116" s="48">
        <f t="shared" ca="1" si="133"/>
        <v>0</v>
      </c>
      <c r="AS116" s="48">
        <f t="shared" ca="1" si="134"/>
        <v>0</v>
      </c>
      <c r="AT116" s="48">
        <f t="shared" ca="1" si="162"/>
        <v>0</v>
      </c>
      <c r="AU116" s="48">
        <f t="shared" ca="1" si="163"/>
        <v>0</v>
      </c>
      <c r="AV116" s="48">
        <f ca="1">IF(OR(AT116&gt;0,AU116&gt;0),MAX($AV$2:AV115)+1,0)</f>
        <v>0</v>
      </c>
      <c r="AZ116" s="241" t="str">
        <f t="shared" si="240"/>
        <v>16 V.I.</v>
      </c>
      <c r="BA116" s="48">
        <f t="shared" ca="1" si="241"/>
        <v>0</v>
      </c>
      <c r="BB116" s="48">
        <f t="shared" ca="1" si="247"/>
        <v>0</v>
      </c>
      <c r="BC116" s="48" t="str">
        <f t="shared" ca="1" si="248"/>
        <v/>
      </c>
      <c r="BD116" s="48">
        <f t="shared" ca="1" si="249"/>
        <v>0</v>
      </c>
      <c r="BE116" s="48">
        <f t="shared" ca="1" si="250"/>
        <v>0</v>
      </c>
      <c r="BF116" s="48">
        <v>14</v>
      </c>
      <c r="BG116" s="48">
        <f ca="1">IF(IF(AND(OR(INDEX(PDC,MATCH($AC116,DEN_PDC,0),6)="SP DARE",INDEX(PDC,MATCH($AC116,DEN_PDC,0),6)="SP DARE/AVERE"),SUMIFS(DARE,DEN_G,$AC116)&gt;=SUMIFS(AVERE,DEN_G,$AC116)),SUMIFS(DARE,DEN_G,$AC116)-SUMIFS(AVERE,DEN_G,$AC116),0)&gt;0,MAX($BG$2:BG115)+1,0)</f>
        <v>0</v>
      </c>
      <c r="BH116" s="48">
        <f ca="1">IF(IF(AND(OR(INDEX(PDC,MATCH($AC116,DEN_PDC,0),6)="SP AVERE",INDEX(PDC,MATCH($AC116,DEN_PDC,0),6)="SP DARE/AVERE"),SUMIFS(AVERE,DEN_G,$AC116)&gt;=SUMIFS(DARE,DEN_G,$AC116)),SUMIFS(AVERE,DEN_G,$AC116)-SUMIFS(DARE,DEN_G,$AC116),0)&gt;0,MAX(BH$2:BH115)+1,0)</f>
        <v>0</v>
      </c>
      <c r="BI116" s="48">
        <f ca="1">IF(IF(AND(OR(INDEX(PDC,MATCH($AC116,DEN_PDC,0),6)="SE DARE",INDEX(PDC,MATCH($AC116,DEN_PDC,0),6)="SE DARE/AVERE"),SUMIFS(DARE,DEN_G,$AC116)&gt;=SUMIFS(AVERE,DEN_G,$AC116)),SUMIFS(DARE,DEN_G,$AC116)-SUMIFS(AVERE,DEN_G,$AC116),0)&gt;0,MAX(BI$2:BI115)+1,0)</f>
        <v>0</v>
      </c>
      <c r="BJ116" s="48">
        <f ca="1">IF(IF(AND(OR(INDEX(PDC,MATCH($AC116,DEN_PDC,0),6)="SE AVERE",INDEX(PDC,MATCH($AC116,DEN_PDC,0),6)="SE DARE/AVERE"),SUMIFS(AVERE,DEN_G,$AC116)&gt;=SUMIFS(DARE,DEN_G,$AC116)),SUMIFS(AVERE,DEN_G,$AC116)-SUMIFS(DARE,DEN_G,$AC116),0)&gt;0,MAX(BJ$2:BJ115)+1,0)</f>
        <v>0</v>
      </c>
      <c r="BK116" s="48" t="str">
        <f ca="1">IF(AND(AND($DY$2=0,$DY$1=0),$I$1=2,ROW()&gt;$BG$1+2,ROW()&lt;=$BG$1+4),"………………..",IF(AND(OR($DY$2&gt;0,$DY$1&gt;0),$I$1=2,ROW()&gt;$BG$1+2,ROW()&lt;=$BG$1+4),"………………..",IFERROR(INDEX($AC$3:$AC$398,MATCH(ROWS(BK$3:BK116),BG$3:BG$398,0),1),"")))</f>
        <v/>
      </c>
      <c r="BL116" s="48">
        <f t="shared" ca="1" si="136"/>
        <v>0</v>
      </c>
      <c r="BM116" s="48" t="str">
        <f ca="1">IF(AND(OR($DY$2=0,$DY$1=0),$I$1=2,ROW()&gt;$BH$1+2,ROW()&lt;=$BH$1+4),"………………..",IF(AND(OR($DY$2&gt;0,$DY$1&gt;0),$I$1=2,ROW()&gt;$BH$1+2,ROW()&lt;=$BH$1+4),"………………..",IFERROR(INDEX($AC$3:$AC$400,MATCH(ROWS(BM$3:BM116),BH$3:BH$400,0),1),"")))</f>
        <v/>
      </c>
      <c r="BN116" s="48">
        <f t="shared" ca="1" si="137"/>
        <v>0</v>
      </c>
      <c r="BO116" s="48" t="str">
        <f ca="1">IF(AND(OR($DY$2=0,$DY$1=0),$I$1=2,ROW()&gt;$BI$1+2,ROW()&lt;=$BI$1+4),"………………..",IF(AND(OR($DY$2&gt;0,$DY$1&gt;0),$I$1=2,ROW()&gt;$BI$1+2,ROW()&lt;=$BI$1+4),"………………..",IFERROR(INDEX($AC$3:$AC$400,MATCH(ROWS(BO$3:BO116),BI$3:BI$400,0),1),"")))</f>
        <v/>
      </c>
      <c r="BP116" s="48">
        <f t="shared" ca="1" si="138"/>
        <v>0</v>
      </c>
      <c r="BQ116" s="48" t="str">
        <f ca="1">IF(AND(OR($DY$2=0,$DY$1=0),$I$1=2,ROW()&gt;$BJ$1+2,ROW()&lt;=$BJ$1+4),"………………..",IF(AND(OR($DY$2&gt;0,$DY$1&gt;0),$I$1=2,ROW()&gt;$BJ$1+2,ROW()&lt;=$BJ$1+4),"………………..",IFERROR(INDEX($AC$3:$AC$400,MATCH(ROWS(BQ$3:BQ116),BJ$3:BJ$400,0),1),"")))</f>
        <v/>
      </c>
      <c r="BR116" s="48">
        <f t="shared" ca="1" si="139"/>
        <v>0</v>
      </c>
      <c r="BS116" s="48">
        <f ca="1">IF(IF(AND(OR(INDEX(PDC,MATCH($AC116,DEN_PDC,0),4)="D",INDEX(PDC,MATCH($AC116,DEN_PDC,0),4)="D/A"),SUMIFS(DARE,DEN_G,$AC116)&gt;=SUMIFS(AVERE,DEN_G,$AC116)),SUMIFS(DARE,DEN_G,$AC116),IF(AND(OR(INDEX(PDC,MATCH($AC116,DEN_PDC,0),4)="A",INDEX(PDC,MATCH($AC116,DEN_PDC,0),4)="D/A"),SUMIFS(AVERE,DEN_G,$AC116)&gt;=SUMIFS(DARE,DEN_G,$AC116)),SUMIFS(AVERE,DEN_G,$AC116),))&gt;0,MAX($BS$2:BS115)+1,0)</f>
        <v>0</v>
      </c>
      <c r="BT116" s="48" t="str">
        <f ca="1">IF($CO$1=0,"",IF(AND($I$1=2,ROW()&gt;$BR$1,ROW()&lt;=$BS$1)," …………….",IF(AND($E$1=1,$BX$1=1,$I$1=2,ROW()=$BQ$1),"TOTALI",IFERROR(INDEX(PDC,MATCH(ROWS(BT$3:BT116),BS$3:BS513,0),2),""))))</f>
        <v/>
      </c>
      <c r="BU116" s="48">
        <f t="shared" ca="1" si="140"/>
        <v>0</v>
      </c>
      <c r="BV116" s="48">
        <f t="shared" ca="1" si="141"/>
        <v>0</v>
      </c>
      <c r="BW116" s="48">
        <f t="shared" ca="1" si="142"/>
        <v>0</v>
      </c>
      <c r="BX116" s="48">
        <f t="shared" ca="1" si="143"/>
        <v>0</v>
      </c>
      <c r="BY116" s="48">
        <f ca="1">IF(OR(BW116&gt;0,BX116&gt;0),MAX($BY$2:BY115)+1,0)</f>
        <v>0</v>
      </c>
      <c r="BZ116" s="48" t="str">
        <f ca="1">IFERROR(INDEX($BT$3:$BY$400,MATCH(ROWS(BZ$3:BZ116),$BY$3:$BY$400,0),1),"")</f>
        <v/>
      </c>
      <c r="CA116" s="48" t="str">
        <f ca="1">IFERROR(INDEX($BT$3:$BY$400,MATCH(ROWS(CA$3:CA116),$BY$3:$BY$400,0),4),"")</f>
        <v/>
      </c>
      <c r="CB116" s="48" t="str">
        <f ca="1">IFERROR(INDEX($BT$3:$BY$400,MATCH(ROWS(CB$3:CB116),$BY$3:$BY$400,0),5),"")</f>
        <v/>
      </c>
      <c r="CC116" s="48" t="str">
        <f t="shared" ca="1" si="144"/>
        <v/>
      </c>
      <c r="CD116" s="48">
        <f ca="1">IF(AND($BF$9=1,CE116&lt;&gt;0),MAX($CD$104:CD115)+1,0)</f>
        <v>0</v>
      </c>
      <c r="CE116" s="48">
        <f ca="1">IF(ROUND(SUMIFS(COPIA!$CB$3:$CB$400,COPIA!$CC$3:$CC$400,CF116)-SUMIFS(COPIA!$CA$3:$CA$400,COPIA!$CC$3:$CC$400,CF116),0)&lt;0,0,ROUND(SUMIFS(COPIA!$CB$3:$CB$400,COPIA!$CC$3:$CC$400,CF116)-SUMIFS(COPIA!$CA$3:$CA$400,COPIA!$CC$3:$CC$400,CF116),0))</f>
        <v>0</v>
      </c>
      <c r="CF116" s="48" t="s">
        <v>743</v>
      </c>
      <c r="CG116" s="242" t="str">
        <f ca="1">CG176</f>
        <v>_______Versamenti azionisti c/capitale</v>
      </c>
      <c r="CH116" s="48">
        <f t="shared" ca="1" si="259"/>
        <v>0</v>
      </c>
      <c r="CJ116" s="242"/>
      <c r="CM116" s="242" t="str">
        <f t="shared" ca="1" si="166"/>
        <v/>
      </c>
      <c r="CN116" s="243">
        <f t="shared" ca="1" si="167"/>
        <v>0</v>
      </c>
      <c r="CO116" s="48" t="str">
        <f t="shared" ca="1" si="168"/>
        <v/>
      </c>
      <c r="CQ116" s="242"/>
      <c r="CR116" s="242"/>
      <c r="CU116" s="48">
        <f ca="1">IF(SUMIFS(AVERE,DEN_G,AC116,AVERE,"&gt;"&amp;0)+SUMIFS(DARE,DEN_G,AC116,DARE,"&gt;"&amp;0)&gt;0,MAX($CU$2:CU115)+1,0)</f>
        <v>0</v>
      </c>
      <c r="CV116" s="48" t="str">
        <f ca="1">IF(IFERROR(INDEX(PDC,MATCH(ROWS($CV$3:CV116),$CU$3:$CU$400,0),2),"")="CONTO DI RISULTATO ECONOMICO","",IFERROR(INDEX(PDC,MATCH(ROWS($CV$3:CV116),$CU$3:$CU$400,0),2),""))</f>
        <v/>
      </c>
      <c r="CW116" s="48">
        <f ca="1">IFERROR(IF(CV116&lt;&gt;"",MAX($CW$2:CW115)+1,0),0)</f>
        <v>0</v>
      </c>
      <c r="CX116" s="48">
        <f t="shared" ca="1" si="260"/>
        <v>9</v>
      </c>
      <c r="CY116" s="48" t="str">
        <f t="shared" ca="1" si="258"/>
        <v>MASTRO</v>
      </c>
      <c r="CZ116" s="48" t="e">
        <f t="shared" ca="1" si="262"/>
        <v>#N/A</v>
      </c>
      <c r="DA116" s="48" t="str">
        <f t="shared" ca="1" si="266"/>
        <v/>
      </c>
      <c r="DB116" s="48" t="str">
        <f t="shared" ca="1" si="212"/>
        <v/>
      </c>
      <c r="DC116" s="48" t="str">
        <f t="shared" ca="1" si="263"/>
        <v/>
      </c>
      <c r="DD116" s="48" t="str">
        <f t="shared" ca="1" si="264"/>
        <v/>
      </c>
      <c r="DE116" s="48" t="str">
        <f t="shared" ca="1" si="265"/>
        <v/>
      </c>
      <c r="DF116" s="48">
        <f ca="1">IF(AND(CX116=$DF$1,CX116&lt;&gt;""),0,IF(AND(DB116&lt;&gt;"",OR(DB115&lt;&gt;"",DB117&lt;&gt;"")),MAX($DF$2:DF115)+1,0))</f>
        <v>0</v>
      </c>
      <c r="DH116" s="244" t="s">
        <v>1091</v>
      </c>
      <c r="DI116" s="48" t="s">
        <v>84</v>
      </c>
      <c r="DJ116" s="48" t="s">
        <v>312</v>
      </c>
      <c r="DK116" s="48" t="s">
        <v>275</v>
      </c>
      <c r="DL116" s="48" t="s">
        <v>82</v>
      </c>
      <c r="DM116" s="48" t="s">
        <v>270</v>
      </c>
      <c r="DN116" s="48">
        <f ca="1">IF(DI116&lt;&gt;"",MAX($DN$2:DN115)+1,0)</f>
        <v>96</v>
      </c>
      <c r="DO116" s="48" t="str">
        <f t="shared" ca="1" si="267"/>
        <v>pac4</v>
      </c>
      <c r="DQ116" s="227" t="s">
        <v>90</v>
      </c>
      <c r="DR116" s="228" t="s">
        <v>89</v>
      </c>
      <c r="DW116" s="48">
        <f ca="1">IF(DR116&lt;&gt;"",MAX($DW$2:DW115)+1,0)</f>
        <v>72</v>
      </c>
      <c r="DY116" s="48" t="str">
        <f t="shared" ca="1" si="147"/>
        <v/>
      </c>
      <c r="DZ116" s="48" t="str">
        <f t="shared" ca="1" si="170"/>
        <v/>
      </c>
      <c r="EA116" s="48" t="str">
        <f t="shared" ca="1" si="171"/>
        <v/>
      </c>
      <c r="EB116" s="48">
        <f t="shared" ca="1" si="172"/>
        <v>0</v>
      </c>
      <c r="EC116" s="48">
        <f t="shared" ca="1" si="173"/>
        <v>0</v>
      </c>
      <c r="ED116" s="48" t="str">
        <f t="shared" ca="1" si="174"/>
        <v/>
      </c>
      <c r="EE116" s="48">
        <f t="shared" ca="1" si="175"/>
        <v>0</v>
      </c>
      <c r="EF116" s="48" t="str">
        <f t="shared" ca="1" si="176"/>
        <v/>
      </c>
      <c r="EG116" s="48">
        <f t="shared" ca="1" si="177"/>
        <v>0</v>
      </c>
      <c r="EH116" s="48" t="str">
        <f t="shared" ca="1" si="178"/>
        <v/>
      </c>
      <c r="EI116" s="48">
        <f t="shared" ca="1" si="179"/>
        <v>0</v>
      </c>
      <c r="EJ116" s="48" t="str">
        <f t="shared" ca="1" si="180"/>
        <v/>
      </c>
      <c r="EK116" s="48">
        <f t="shared" ca="1" si="181"/>
        <v>0</v>
      </c>
      <c r="EL116" s="48">
        <f t="shared" ca="1" si="148"/>
        <v>0</v>
      </c>
      <c r="EM116" s="48">
        <f ca="1">IF(EL116&gt;=0,0,MAX($EM$2:EM115)+1)</f>
        <v>0</v>
      </c>
      <c r="EN116" s="48" t="str">
        <f t="shared" ca="1" si="182"/>
        <v/>
      </c>
      <c r="EO116" s="48" t="str">
        <f ca="1">IFERROR(INDEX($EM$3:$EN$400,MATCH(ROWS($EO$3:EO116),$EM$3:$EM$400,0),2),"")</f>
        <v/>
      </c>
      <c r="EP116" s="48">
        <f>ROW()</f>
        <v>116</v>
      </c>
      <c r="EQ116" s="48">
        <f t="shared" ca="1" si="149"/>
        <v>0</v>
      </c>
      <c r="ER116" s="48">
        <f ca="1">IF(ISNA(EQ116)=TRUE,MAX($ER$2:ER115)+1,0)</f>
        <v>0</v>
      </c>
      <c r="ES116" s="48" t="str">
        <f t="shared" ca="1" si="183"/>
        <v/>
      </c>
      <c r="ET116" s="48" t="str">
        <f ca="1">IFERROR(INDEX($ER$3:$ES$400,MATCH(ROWS($ET$3:ET116),$ER$3:$ER$400,0),2),"")</f>
        <v/>
      </c>
      <c r="EV116" s="48">
        <f ca="1">IFERROR(INDEX(LIBRO_GIORNALE!$O$11:$P$408,MATCH(ROWS($EV$2:EV115),LIBRO_GIORNALE!$P$11:$P$408,0),1),0)</f>
        <v>0</v>
      </c>
      <c r="EW116" s="48" t="str">
        <f t="shared" ca="1" si="184"/>
        <v>0</v>
      </c>
      <c r="EX116" s="48">
        <f t="shared" ca="1" si="185"/>
        <v>0</v>
      </c>
      <c r="EY116" s="48">
        <f ca="1">IF(EX116&gt;0,MAX($EY$2:EY115)+1,0)</f>
        <v>0</v>
      </c>
      <c r="EZ116" s="48">
        <f ca="1">IFERROR(INDEX($EX$3:$EX$400,MATCH(ROWS($EZ$3:EZ116),$EY$3:$EY$400,0),1),0)</f>
        <v>0</v>
      </c>
      <c r="FA116" s="48">
        <f ca="1">IF(EZ116&gt;0,0,MAX($FA$2:FA115)+1)</f>
        <v>114</v>
      </c>
      <c r="FB116" s="48">
        <f t="shared" ca="1" si="186"/>
        <v>0</v>
      </c>
      <c r="FC116" s="48">
        <f t="shared" ca="1" si="187"/>
        <v>114</v>
      </c>
      <c r="FD116" s="48">
        <f t="shared" ca="1" si="188"/>
        <v>114</v>
      </c>
      <c r="FE116" s="48">
        <f ca="1">IF(FD116=0,0,MAX($FE$2:FE115)+1)</f>
        <v>114</v>
      </c>
      <c r="FF116" s="48">
        <f ca="1">IFERROR(INDEX($FD$3:$FE$400,MATCH(ROWS($FF$3:FF116),$FE$3:$FE$400,0),1),"")</f>
        <v>114</v>
      </c>
      <c r="FG116" s="48">
        <f t="shared" ca="1" si="255"/>
        <v>0</v>
      </c>
      <c r="FH116" s="48">
        <f t="shared" ca="1" si="189"/>
        <v>0</v>
      </c>
      <c r="FI116" s="48">
        <f ca="1">IF(FH116&lt;&gt;0,MAX($FI$2:FI115)+1,0)</f>
        <v>0</v>
      </c>
      <c r="FJ116" s="48" t="str">
        <f ca="1">IFERROR(INDEX($FH$3:$FI$400,MATCH(ROWS($FJ$3:FJ116),$FI$3:$FI$400,0),1),"")</f>
        <v/>
      </c>
      <c r="FK116" s="48">
        <f ca="1">IF(ABS(SUMIFS(DARE,DEN_G,"="&amp;FJ116,DATA,"&lt;="&amp;FINE_AC,DATA,"&gt;="&amp;INIZIO_A_PC)-SUMIFS(AVERE,DEN_G,"="&amp;FJ116,DATA,"&lt;="&amp;FINE_AC,DATA,"&gt;="&amp;INIZIO_A_PC))&gt;0,MAX($FK$2:FK115)+1,0)</f>
        <v>0</v>
      </c>
      <c r="FL116" s="48" t="str">
        <f ca="1">IF(AND(ROW()-2&lt;&gt;1,ROW()-2&lt;=$FK$1),CONCATENATE(" - ",IFERROR(INDEX($FJ$3:$FK$400,MATCH(ROWS($FL$3:FL116),$FK$3:$FK$400,0),1),"")),IFERROR(INDEX($FJ$3:$FK$400,MATCH(ROWS($FL$3:FL116),$FK$3:$FK$400,0),1),""))</f>
        <v/>
      </c>
      <c r="FM116" s="48">
        <f ca="1">IF(OR(B116="IVA ns/credito",B116="IVA NS/DEBITO",B116="IVA C/ACCONTO",B116="IMPOSTE C/ACCONTO",B116="CREDITI PER RITENUTE SUBITE",B116="CREDITI D'IMPOSTA"),MAX($FM$2:FM115)+1,0)</f>
        <v>0</v>
      </c>
      <c r="FN116" s="48" t="str">
        <f t="shared" ca="1" si="190"/>
        <v/>
      </c>
      <c r="FO116" s="48" t="str">
        <f ca="1">IFERROR(INDEX($FM$3:$FN$400,MATCH(ROWS($FO$3:FO116),$FM$3:$FM$400,0),2),"")</f>
        <v/>
      </c>
      <c r="FP116" s="48">
        <f ca="1">IF(ABS(SUMIFS(DARE,DEN_G,"="&amp;FO116,DATA,"&lt;="&amp;FINE_AC,DATA,"&gt;="&amp;INIZIO_A_PC)-SUMIFS(AVERE,DEN_G,"="&amp;FO116,DATA,"&lt;="&amp;FINE_AC,DATA,"&gt;="&amp;INIZIO_A_PC))&gt;0,MAX($FP$2:FP115)+1,0)</f>
        <v>0</v>
      </c>
      <c r="FQ116" s="48" t="str">
        <f ca="1">IF(AND(ROW()-2&lt;&gt;1,ROW()-2&lt;=$FP$1),CONCATENATE(" - ",IFERROR(INDEX($FO$3:$FP$400,MATCH(ROWS($FQ$3:FQ116),$FP$3:$FP$400,0),1),"")),IFERROR(INDEX($FO$3:$FP$400,MATCH(ROWS($FQ$3:FQ116),$FP$3:$FP$400,0),1),""))</f>
        <v/>
      </c>
    </row>
    <row r="117" spans="1:173" x14ac:dyDescent="0.3">
      <c r="A117" s="48" t="str">
        <f ca="1">IFERROR(IF($A$1=2,INDEX($DH$3:$DN$401,MATCH(ROWS(A$3:A117),$DN$3:$DN$401,0),COLUMN()),IF($A$1=1,INDEX($DQ$3:$DW$401,MATCH(ROWS(A$3:A117),$DW$3:$DW$401,0),COLUMN()),"")),"")</f>
        <v>10.31</v>
      </c>
      <c r="B117" s="48" t="str">
        <f ca="1">IFERROR(IF($A$1=2,INDEX($DH$3:$DN$401,MATCH(ROWS(B$3:B117),$DN$3:$DN$401,0),COLUMN()),IF($A$1=1,INDEX($DQ$3:$DW$400,MATCH(ROWS(B$3:B117),$DW$3:$DW$401,0),COLUMN()),"")),"")</f>
        <v>PERDITE A NUOVO</v>
      </c>
      <c r="C117" s="48" t="str">
        <f ca="1">IFERROR(IF($A$1=2,INDEX($DH$3:$DN$401,MATCH(ROWS(C$3:C117),$DN$3:$DN$401,0),COLUMN()),IF($A$1=1,INDEX($DQ$3:$DW$401,MATCH(ROWS(C$3:C117),$DW$3:$DW$401,0),COLUMN()),"")),"")</f>
        <v>E</v>
      </c>
      <c r="D117" s="48" t="str">
        <f ca="1">IFERROR(IF($A$1=2,INDEX($DH$3:$DN$401,MATCH(ROWS(D$3:D117),$DN$3:$DN$401,0),COLUMN()),IF($A$1=1,INDEX($DQ$3:$DW$401,MATCH(ROWS(D$3:D117),$DW$3:$DW$401,0),COLUMN()),"")),"")</f>
        <v>D</v>
      </c>
      <c r="E117" s="48" t="str">
        <f ca="1">IFERROR(IF($A$1=2,INDEX($DH$3:$DN$401,MATCH(ROWS(E$3:E117),$DN$3:$DN$401,0),COLUMN()),IF($A$1=1,INDEX($DQ$3:$DW$401,MATCH(ROWS(E$3:E117),$DW$3:$DW$401,0),COLUMN()),"")),"")</f>
        <v>PATRIMONIO NETTO</v>
      </c>
      <c r="F117" s="48" t="str">
        <f ca="1">IFERROR(IF($A$1=2,INDEX($DH$3:$DN$401,MATCH(ROWS(F$3:F117),$DN$3:$DN$401,0),COLUMN()),IF($A$1=1,INDEX($DQ$3:$DX$401,MATCH(ROWS(F$3:F117),$DW$3:$DW$401,0),COLUMN()),"")),"")</f>
        <v>SP DARE</v>
      </c>
      <c r="G117" s="48" t="str">
        <f t="shared" ca="1" si="150"/>
        <v>SP</v>
      </c>
      <c r="H117" s="48" t="str">
        <f ca="1">IFERROR(IF($A$1=2,INDEX($DH$3:$DO$400,MATCH(ROWS(H$3:H117),$DN$3:$DN$400,0),COLUMN()),IF($A$1=1,INDEX($DQ$3:$DX$400,MATCH(ROWS(H$3:H117),$DW$3:$DW$400,0),COLUMN()),"")),"")</f>
        <v>ppa8</v>
      </c>
      <c r="I117" s="48" t="str">
        <f t="shared" ca="1" si="151"/>
        <v/>
      </c>
      <c r="J117" s="48" t="str">
        <f t="shared" ca="1" si="152"/>
        <v/>
      </c>
      <c r="K117" s="48">
        <f t="shared" ca="1" si="153"/>
        <v>0</v>
      </c>
      <c r="L117" s="48">
        <f t="shared" ca="1" si="154"/>
        <v>0</v>
      </c>
      <c r="M117" s="48">
        <f ca="1">IFERROR(IF(IF(MID($A117,3,3)=".00",MID(A117,1,2),"")&lt;&gt;"",MAX($M$2:M116)+1,0),"")</f>
        <v>0</v>
      </c>
      <c r="N117" s="48" t="str">
        <f t="shared" ca="1" si="155"/>
        <v/>
      </c>
      <c r="O117" s="48" t="str">
        <f ca="1">IF(IFERROR(INDEX($N$3:$O$300,MATCH(ROWS($O$3:O117),$M$3:$M$300,0),1),"")&lt;&gt;"",CONCATENATE(INDEX($N$3:$O$300,MATCH(ROWS($O$3:O117),$M$3:$M$300,0),1),".00"),"")</f>
        <v/>
      </c>
      <c r="P117" s="48" t="str">
        <f t="shared" ca="1" si="156"/>
        <v/>
      </c>
      <c r="Q117" s="48">
        <f ca="1">IF(M117&gt;=1,0,MAX($Q$2:Q116)+1)</f>
        <v>104</v>
      </c>
      <c r="U117" s="48" t="str">
        <f ca="1">IFERROR(INDEX(PDC,MATCH(ROWS(U$3:U117),$V$3:$V$400,0),2),"")</f>
        <v>MUTUI PASSIVI</v>
      </c>
      <c r="V117" s="48">
        <f ca="1">IF(AND($T$1="VISUALIZZA TUTTI I CONTI",AA117&lt;&gt;""),MAX($V$2:V116)+1,IF(AND($U$2=2,AI117=$T$1),MAX($V$2:V116)+1,IF(AND($U$2=1,$T$1=AF117),MAX($V$2:V116)+1,0)))</f>
        <v>115</v>
      </c>
      <c r="Z117" s="246"/>
      <c r="AA117" s="48" t="str">
        <f t="shared" ca="1" si="157"/>
        <v>13.00</v>
      </c>
      <c r="AB117" s="48" t="str">
        <f ca="1">IFERROR(INDEX($A$3:$G$400,MATCH(ROWS(AB$3:AB117),$Q$3:$Q$400,0),1),"")</f>
        <v>13.03</v>
      </c>
      <c r="AC117" s="48" t="str">
        <f ca="1">IFERROR(INDEX($A$3:$G$400,MATCH(ROWS($AC$3:AC117),$Q$3:$Q$400,0),2),"")</f>
        <v>MUTUI PASSIVI</v>
      </c>
      <c r="AD117" s="48" t="str">
        <f ca="1">IFERROR(INDEX($A$3:$G$400,MATCH(ROWS(AD$3:AD117),$Q$3:$Q$400,0),3),"")</f>
        <v>F</v>
      </c>
      <c r="AE117" s="48" t="str">
        <f ca="1">IFERROR(INDEX($A$3:$G$400,MATCH(ROWS(AE$3:AE117),$Q$3:$Q$400,0),4),"")</f>
        <v>A</v>
      </c>
      <c r="AF117" s="48" t="str">
        <f ca="1">IFERROR(INDEX($A$3:$G$400,MATCH(ROWS(AF$3:AF117),$Q$3:$Q$400,0),5),"")</f>
        <v>DEBITI</v>
      </c>
      <c r="AG117" s="48" t="str">
        <f ca="1">IFERROR(INDEX($A$3:$G$400,MATCH(ROWS(AG$3:AG117),$Q$3:$Q$400,0),6),"")</f>
        <v>SP AVERE</v>
      </c>
      <c r="AH117" s="48" t="str">
        <f ca="1">IFERROR(INDEX($A$3:$G$400,MATCH(ROWS(AH$3:AH117),$Q$3:$Q$400,0),7),"")</f>
        <v>SP</v>
      </c>
      <c r="AI117" s="48" t="str">
        <f t="shared" ca="1" si="158"/>
        <v>DEBITI FINANZIARI</v>
      </c>
      <c r="AJ117" s="48" t="str">
        <f ca="1">IFERROR(INDEX($A$3:$H$400,MATCH(ROWS(AJ$3:AJ117),$Q$3:$Q$400,0),8),"")</f>
        <v>ppd</v>
      </c>
      <c r="AK117" s="48">
        <f t="shared" ca="1" si="130"/>
        <v>0</v>
      </c>
      <c r="AL117" s="48">
        <f t="shared" ca="1" si="251"/>
        <v>0</v>
      </c>
      <c r="AM117" s="48">
        <f t="shared" ca="1" si="252"/>
        <v>0</v>
      </c>
      <c r="AN117" s="48">
        <f t="shared" ca="1" si="253"/>
        <v>0</v>
      </c>
      <c r="AO117" s="48">
        <f t="shared" ca="1" si="254"/>
        <v>0</v>
      </c>
      <c r="AP117" s="48">
        <f t="shared" ca="1" si="254"/>
        <v>0</v>
      </c>
      <c r="AQ117" s="48" t="str">
        <f t="shared" ca="1" si="132"/>
        <v>MUTUI PASSIVI</v>
      </c>
      <c r="AR117" s="48">
        <f t="shared" ca="1" si="133"/>
        <v>0</v>
      </c>
      <c r="AS117" s="48">
        <f t="shared" ca="1" si="134"/>
        <v>0</v>
      </c>
      <c r="AT117" s="48">
        <f t="shared" ca="1" si="162"/>
        <v>0</v>
      </c>
      <c r="AU117" s="48">
        <f t="shared" ca="1" si="163"/>
        <v>0</v>
      </c>
      <c r="AV117" s="48">
        <f ca="1">IF(OR(AT117&gt;0,AU117&gt;0),MAX($AV$2:AV116)+1,0)</f>
        <v>0</v>
      </c>
      <c r="AZ117" s="241" t="str">
        <f t="shared" si="240"/>
        <v>17 V.I.</v>
      </c>
      <c r="BA117" s="48">
        <f t="shared" ca="1" si="241"/>
        <v>0</v>
      </c>
      <c r="BB117" s="48">
        <f t="shared" ca="1" si="247"/>
        <v>0</v>
      </c>
      <c r="BC117" s="48" t="str">
        <f t="shared" ca="1" si="248"/>
        <v/>
      </c>
      <c r="BD117" s="48">
        <f t="shared" ca="1" si="249"/>
        <v>0</v>
      </c>
      <c r="BE117" s="48">
        <f t="shared" ca="1" si="250"/>
        <v>0</v>
      </c>
      <c r="BF117" s="48">
        <v>15</v>
      </c>
      <c r="BG117" s="48">
        <f ca="1">IF(IF(AND(OR(INDEX(PDC,MATCH($AC117,DEN_PDC,0),6)="SP DARE",INDEX(PDC,MATCH($AC117,DEN_PDC,0),6)="SP DARE/AVERE"),SUMIFS(DARE,DEN_G,$AC117)&gt;=SUMIFS(AVERE,DEN_G,$AC117)),SUMIFS(DARE,DEN_G,$AC117)-SUMIFS(AVERE,DEN_G,$AC117),0)&gt;0,MAX($BG$2:BG116)+1,0)</f>
        <v>0</v>
      </c>
      <c r="BH117" s="48">
        <f ca="1">IF(IF(AND(OR(INDEX(PDC,MATCH($AC117,DEN_PDC,0),6)="SP AVERE",INDEX(PDC,MATCH($AC117,DEN_PDC,0),6)="SP DARE/AVERE"),SUMIFS(AVERE,DEN_G,$AC117)&gt;=SUMIFS(DARE,DEN_G,$AC117)),SUMIFS(AVERE,DEN_G,$AC117)-SUMIFS(DARE,DEN_G,$AC117),0)&gt;0,MAX(BH$2:BH116)+1,0)</f>
        <v>0</v>
      </c>
      <c r="BI117" s="48">
        <f ca="1">IF(IF(AND(OR(INDEX(PDC,MATCH($AC117,DEN_PDC,0),6)="SE DARE",INDEX(PDC,MATCH($AC117,DEN_PDC,0),6)="SE DARE/AVERE"),SUMIFS(DARE,DEN_G,$AC117)&gt;=SUMIFS(AVERE,DEN_G,$AC117)),SUMIFS(DARE,DEN_G,$AC117)-SUMIFS(AVERE,DEN_G,$AC117),0)&gt;0,MAX(BI$2:BI116)+1,0)</f>
        <v>0</v>
      </c>
      <c r="BJ117" s="48">
        <f ca="1">IF(IF(AND(OR(INDEX(PDC,MATCH($AC117,DEN_PDC,0),6)="SE AVERE",INDEX(PDC,MATCH($AC117,DEN_PDC,0),6)="SE DARE/AVERE"),SUMIFS(AVERE,DEN_G,$AC117)&gt;=SUMIFS(DARE,DEN_G,$AC117)),SUMIFS(AVERE,DEN_G,$AC117)-SUMIFS(DARE,DEN_G,$AC117),0)&gt;0,MAX(BJ$2:BJ116)+1,0)</f>
        <v>0</v>
      </c>
      <c r="BK117" s="48" t="str">
        <f ca="1">IF(AND(AND($DY$2=0,$DY$1=0),$I$1=2,ROW()&gt;$BG$1+2,ROW()&lt;=$BG$1+4),"………………..",IF(AND(OR($DY$2&gt;0,$DY$1&gt;0),$I$1=2,ROW()&gt;$BG$1+2,ROW()&lt;=$BG$1+4),"………………..",IFERROR(INDEX($AC$3:$AC$398,MATCH(ROWS(BK$3:BK117),BG$3:BG$398,0),1),"")))</f>
        <v/>
      </c>
      <c r="BL117" s="48">
        <f t="shared" ca="1" si="136"/>
        <v>0</v>
      </c>
      <c r="BM117" s="48" t="str">
        <f ca="1">IF(AND(OR($DY$2=0,$DY$1=0),$I$1=2,ROW()&gt;$BH$1+2,ROW()&lt;=$BH$1+4),"………………..",IF(AND(OR($DY$2&gt;0,$DY$1&gt;0),$I$1=2,ROW()&gt;$BH$1+2,ROW()&lt;=$BH$1+4),"………………..",IFERROR(INDEX($AC$3:$AC$400,MATCH(ROWS(BM$3:BM117),BH$3:BH$400,0),1),"")))</f>
        <v/>
      </c>
      <c r="BN117" s="48">
        <f t="shared" ca="1" si="137"/>
        <v>0</v>
      </c>
      <c r="BO117" s="48" t="str">
        <f ca="1">IF(AND(OR($DY$2=0,$DY$1=0),$I$1=2,ROW()&gt;$BI$1+2,ROW()&lt;=$BI$1+4),"………………..",IF(AND(OR($DY$2&gt;0,$DY$1&gt;0),$I$1=2,ROW()&gt;$BI$1+2,ROW()&lt;=$BI$1+4),"………………..",IFERROR(INDEX($AC$3:$AC$400,MATCH(ROWS(BO$3:BO117),BI$3:BI$400,0),1),"")))</f>
        <v/>
      </c>
      <c r="BP117" s="48">
        <f t="shared" ca="1" si="138"/>
        <v>0</v>
      </c>
      <c r="BQ117" s="48" t="str">
        <f ca="1">IF(AND(OR($DY$2=0,$DY$1=0),$I$1=2,ROW()&gt;$BJ$1+2,ROW()&lt;=$BJ$1+4),"………………..",IF(AND(OR($DY$2&gt;0,$DY$1&gt;0),$I$1=2,ROW()&gt;$BJ$1+2,ROW()&lt;=$BJ$1+4),"………………..",IFERROR(INDEX($AC$3:$AC$400,MATCH(ROWS(BQ$3:BQ117),BJ$3:BJ$400,0),1),"")))</f>
        <v/>
      </c>
      <c r="BR117" s="48">
        <f t="shared" ca="1" si="139"/>
        <v>0</v>
      </c>
      <c r="BS117" s="48">
        <f ca="1">IF(IF(AND(OR(INDEX(PDC,MATCH($AC117,DEN_PDC,0),4)="D",INDEX(PDC,MATCH($AC117,DEN_PDC,0),4)="D/A"),SUMIFS(DARE,DEN_G,$AC117)&gt;=SUMIFS(AVERE,DEN_G,$AC117)),SUMIFS(DARE,DEN_G,$AC117),IF(AND(OR(INDEX(PDC,MATCH($AC117,DEN_PDC,0),4)="A",INDEX(PDC,MATCH($AC117,DEN_PDC,0),4)="D/A"),SUMIFS(AVERE,DEN_G,$AC117)&gt;=SUMIFS(DARE,DEN_G,$AC117)),SUMIFS(AVERE,DEN_G,$AC117),))&gt;0,MAX($BS$2:BS116)+1,0)</f>
        <v>0</v>
      </c>
      <c r="BT117" s="48" t="str">
        <f ca="1">IF($CO$1=0,"",IF(AND($I$1=2,ROW()&gt;$BR$1,ROW()&lt;=$BS$1)," …………….",IF(AND($E$1=1,$BX$1=1,$I$1=2,ROW()=$BQ$1),"TOTALI",IFERROR(INDEX(PDC,MATCH(ROWS(BT$3:BT117),BS$3:BS514,0),2),""))))</f>
        <v/>
      </c>
      <c r="BU117" s="48">
        <f t="shared" ca="1" si="140"/>
        <v>0</v>
      </c>
      <c r="BV117" s="48">
        <f t="shared" ca="1" si="141"/>
        <v>0</v>
      </c>
      <c r="BW117" s="48">
        <f t="shared" ca="1" si="142"/>
        <v>0</v>
      </c>
      <c r="BX117" s="48">
        <f t="shared" ca="1" si="143"/>
        <v>0</v>
      </c>
      <c r="BY117" s="48">
        <f ca="1">IF(OR(BW117&gt;0,BX117&gt;0),MAX($BY$2:BY116)+1,0)</f>
        <v>0</v>
      </c>
      <c r="BZ117" s="48" t="str">
        <f ca="1">IFERROR(INDEX($BT$3:$BY$400,MATCH(ROWS(BZ$3:BZ117),$BY$3:$BY$400,0),1),"")</f>
        <v/>
      </c>
      <c r="CA117" s="48" t="str">
        <f ca="1">IFERROR(INDEX($BT$3:$BY$400,MATCH(ROWS(CA$3:CA117),$BY$3:$BY$400,0),4),"")</f>
        <v/>
      </c>
      <c r="CB117" s="48" t="str">
        <f ca="1">IFERROR(INDEX($BT$3:$BY$400,MATCH(ROWS(CB$3:CB117),$BY$3:$BY$400,0),5),"")</f>
        <v/>
      </c>
      <c r="CC117" s="48" t="str">
        <f t="shared" ca="1" si="144"/>
        <v/>
      </c>
      <c r="CD117" s="48">
        <f ca="1">IF(AND($BF$9=1,CE117&lt;&gt;0),MAX($CD$104:CD116)+1,0)</f>
        <v>0</v>
      </c>
      <c r="CE117" s="48">
        <f ca="1">IF(ROUND(SUMIFS(COPIA!$CB$3:$CB$400,COPIA!$CC$3:$CC$400,CF117)-SUMIFS(COPIA!$CA$3:$CA$400,COPIA!$CC$3:$CC$400,CF117),0)&lt;0,0,ROUND(SUMIFS(COPIA!$CB$3:$CB$400,COPIA!$CC$3:$CC$400,CF117)-SUMIFS(COPIA!$CA$3:$CA$400,COPIA!$CC$3:$CC$400,CF117),0))</f>
        <v>0</v>
      </c>
      <c r="CG117" s="242" t="s">
        <v>771</v>
      </c>
      <c r="CH117" s="48">
        <f t="shared" ca="1" si="259"/>
        <v>0</v>
      </c>
      <c r="CJ117" s="242"/>
      <c r="CM117" s="242" t="str">
        <f t="shared" ca="1" si="166"/>
        <v/>
      </c>
      <c r="CN117" s="243">
        <f t="shared" ca="1" si="167"/>
        <v>0</v>
      </c>
      <c r="CO117" s="48" t="str">
        <f t="shared" ca="1" si="168"/>
        <v/>
      </c>
      <c r="CQ117" s="242"/>
      <c r="CR117" s="242"/>
      <c r="CU117" s="48">
        <f ca="1">IF(SUMIFS(AVERE,DEN_G,AC117,AVERE,"&gt;"&amp;0)+SUMIFS(DARE,DEN_G,AC117,DARE,"&gt;"&amp;0)&gt;0,MAX($CU$2:CU116)+1,0)</f>
        <v>0</v>
      </c>
      <c r="CV117" s="48" t="str">
        <f ca="1">IF(IFERROR(INDEX(PDC,MATCH(ROWS($CV$3:CV117),$CU$3:$CU$400,0),2),"")="CONTO DI RISULTATO ECONOMICO","",IFERROR(INDEX(PDC,MATCH(ROWS($CV$3:CV117),$CU$3:$CU$400,0),2),""))</f>
        <v/>
      </c>
      <c r="CW117" s="48">
        <f ca="1">IFERROR(IF(CV117&lt;&gt;"",MAX($CW$2:CW116)+1,0),0)</f>
        <v>0</v>
      </c>
      <c r="CX117" s="48">
        <f t="shared" ca="1" si="260"/>
        <v>9</v>
      </c>
      <c r="CY117" s="48" t="str">
        <f t="shared" ca="1" si="258"/>
        <v>MASTRO</v>
      </c>
      <c r="CZ117" s="48" t="e">
        <f t="shared" ca="1" si="262"/>
        <v>#N/A</v>
      </c>
      <c r="DA117" s="48" t="str">
        <f t="shared" ca="1" si="266"/>
        <v/>
      </c>
      <c r="DB117" s="48" t="str">
        <f t="shared" ca="1" si="212"/>
        <v/>
      </c>
      <c r="DC117" s="48" t="str">
        <f t="shared" ca="1" si="263"/>
        <v/>
      </c>
      <c r="DD117" s="48" t="str">
        <f t="shared" ca="1" si="264"/>
        <v/>
      </c>
      <c r="DE117" s="48" t="str">
        <f t="shared" ca="1" si="265"/>
        <v/>
      </c>
      <c r="DF117" s="48">
        <f ca="1">IF(AND(CX117=$DF$1,CX117&lt;&gt;""),0,IF(AND(DB117&lt;&gt;"",OR(DB116&lt;&gt;"",DB118&lt;&gt;"")),MAX($DF$2:DF116)+1,0))</f>
        <v>0</v>
      </c>
      <c r="DH117" s="244" t="s">
        <v>866</v>
      </c>
      <c r="DI117" s="48" t="s">
        <v>86</v>
      </c>
      <c r="DJ117" s="48" t="s">
        <v>312</v>
      </c>
      <c r="DK117" s="48" t="s">
        <v>275</v>
      </c>
      <c r="DL117" s="48" t="s">
        <v>82</v>
      </c>
      <c r="DM117" s="48" t="s">
        <v>270</v>
      </c>
      <c r="DN117" s="48">
        <f ca="1">IF(DI117&lt;&gt;"",MAX($DN$2:DN116)+1,0)</f>
        <v>97</v>
      </c>
      <c r="DO117" s="48" t="str">
        <f ca="1">IF($BF$9=1,"pac42","pac4")</f>
        <v>pac4</v>
      </c>
      <c r="DQ117" s="227" t="s">
        <v>93</v>
      </c>
      <c r="DR117" s="48" t="s">
        <v>91</v>
      </c>
      <c r="DS117" s="48" t="s">
        <v>312</v>
      </c>
      <c r="DT117" s="48" t="s">
        <v>275</v>
      </c>
      <c r="DU117" s="48" t="s">
        <v>272</v>
      </c>
      <c r="DV117" s="48" t="s">
        <v>270</v>
      </c>
      <c r="DW117" s="48">
        <f ca="1">IF(DR117&lt;&gt;"",MAX($DW$2:DW116)+1,0)</f>
        <v>73</v>
      </c>
      <c r="DX117" s="48" t="str">
        <f ca="1">IF($BF$9=1,"pad",IF(AND($BF$9=2,$DJ$1=FALSE),"pad","pac2"))</f>
        <v>pad</v>
      </c>
      <c r="DY117" s="48" t="str">
        <f t="shared" ca="1" si="147"/>
        <v/>
      </c>
      <c r="DZ117" s="48" t="str">
        <f t="shared" ca="1" si="170"/>
        <v/>
      </c>
      <c r="EA117" s="48" t="str">
        <f t="shared" ca="1" si="171"/>
        <v/>
      </c>
      <c r="EB117" s="48">
        <f t="shared" ca="1" si="172"/>
        <v>0</v>
      </c>
      <c r="EC117" s="48">
        <f t="shared" ca="1" si="173"/>
        <v>0</v>
      </c>
      <c r="ED117" s="48" t="str">
        <f t="shared" ca="1" si="174"/>
        <v/>
      </c>
      <c r="EE117" s="48">
        <f t="shared" ca="1" si="175"/>
        <v>0</v>
      </c>
      <c r="EF117" s="48" t="str">
        <f t="shared" ca="1" si="176"/>
        <v/>
      </c>
      <c r="EG117" s="48">
        <f t="shared" ca="1" si="177"/>
        <v>0</v>
      </c>
      <c r="EH117" s="48" t="str">
        <f t="shared" ca="1" si="178"/>
        <v/>
      </c>
      <c r="EI117" s="48">
        <f t="shared" ca="1" si="179"/>
        <v>0</v>
      </c>
      <c r="EJ117" s="48" t="str">
        <f t="shared" ca="1" si="180"/>
        <v/>
      </c>
      <c r="EK117" s="48">
        <f t="shared" ca="1" si="181"/>
        <v>0</v>
      </c>
      <c r="EL117" s="48">
        <f t="shared" ca="1" si="148"/>
        <v>0</v>
      </c>
      <c r="EM117" s="48">
        <f ca="1">IF(EL117&gt;=0,0,MAX($EM$2:EM116)+1)</f>
        <v>0</v>
      </c>
      <c r="EN117" s="48" t="str">
        <f t="shared" ca="1" si="182"/>
        <v/>
      </c>
      <c r="EO117" s="48" t="str">
        <f ca="1">IFERROR(INDEX($EM$3:$EN$400,MATCH(ROWS($EO$3:EO117),$EM$3:$EM$400,0),2),"")</f>
        <v/>
      </c>
      <c r="EP117" s="48">
        <f>ROW()</f>
        <v>117</v>
      </c>
      <c r="EQ117" s="48">
        <f t="shared" ca="1" si="149"/>
        <v>0</v>
      </c>
      <c r="ER117" s="48">
        <f ca="1">IF(ISNA(EQ117)=TRUE,MAX($ER$2:ER116)+1,0)</f>
        <v>0</v>
      </c>
      <c r="ES117" s="48" t="str">
        <f t="shared" ca="1" si="183"/>
        <v/>
      </c>
      <c r="ET117" s="48" t="str">
        <f ca="1">IFERROR(INDEX($ER$3:$ES$400,MATCH(ROWS($ET$3:ET117),$ER$3:$ER$400,0),2),"")</f>
        <v/>
      </c>
      <c r="EV117" s="48">
        <f ca="1">IFERROR(INDEX(LIBRO_GIORNALE!$O$11:$P$408,MATCH(ROWS($EV$2:EV116),LIBRO_GIORNALE!$P$11:$P$408,0),1),0)</f>
        <v>0</v>
      </c>
      <c r="EW117" s="48" t="str">
        <f t="shared" ca="1" si="184"/>
        <v>0</v>
      </c>
      <c r="EX117" s="48">
        <f t="shared" ca="1" si="185"/>
        <v>0</v>
      </c>
      <c r="EY117" s="48">
        <f ca="1">IF(EX117&gt;0,MAX($EY$2:EY116)+1,0)</f>
        <v>0</v>
      </c>
      <c r="EZ117" s="48">
        <f ca="1">IFERROR(INDEX($EX$3:$EX$400,MATCH(ROWS($EZ$3:EZ117),$EY$3:$EY$400,0),1),0)</f>
        <v>0</v>
      </c>
      <c r="FA117" s="48">
        <f ca="1">IF(EZ117&gt;0,0,MAX($FA$2:FA116)+1)</f>
        <v>115</v>
      </c>
      <c r="FB117" s="48">
        <f t="shared" ca="1" si="186"/>
        <v>0</v>
      </c>
      <c r="FC117" s="48">
        <f t="shared" ca="1" si="187"/>
        <v>115</v>
      </c>
      <c r="FD117" s="48">
        <f t="shared" ca="1" si="188"/>
        <v>115</v>
      </c>
      <c r="FE117" s="48">
        <f ca="1">IF(FD117=0,0,MAX($FE$2:FE116)+1)</f>
        <v>115</v>
      </c>
      <c r="FF117" s="48">
        <f ca="1">IFERROR(INDEX($FD$3:$FE$400,MATCH(ROWS($FF$3:FF117),$FE$3:$FE$400,0),1),"")</f>
        <v>115</v>
      </c>
      <c r="FG117" s="48">
        <f t="shared" ca="1" si="255"/>
        <v>0</v>
      </c>
      <c r="FH117" s="48">
        <f t="shared" ca="1" si="189"/>
        <v>0</v>
      </c>
      <c r="FI117" s="48">
        <f ca="1">IF(FH117&lt;&gt;0,MAX($FI$2:FI116)+1,0)</f>
        <v>0</v>
      </c>
      <c r="FJ117" s="48" t="str">
        <f ca="1">IFERROR(INDEX($FH$3:$FI$400,MATCH(ROWS($FJ$3:FJ117),$FI$3:$FI$400,0),1),"")</f>
        <v/>
      </c>
      <c r="FK117" s="48">
        <f ca="1">IF(ABS(SUMIFS(DARE,DEN_G,"="&amp;FJ117,DATA,"&lt;="&amp;FINE_AC,DATA,"&gt;="&amp;INIZIO_A_PC)-SUMIFS(AVERE,DEN_G,"="&amp;FJ117,DATA,"&lt;="&amp;FINE_AC,DATA,"&gt;="&amp;INIZIO_A_PC))&gt;0,MAX($FK$2:FK116)+1,0)</f>
        <v>0</v>
      </c>
      <c r="FL117" s="48" t="str">
        <f ca="1">IF(AND(ROW()-2&lt;&gt;1,ROW()-2&lt;=$FK$1),CONCATENATE(" - ",IFERROR(INDEX($FJ$3:$FK$400,MATCH(ROWS($FL$3:FL117),$FK$3:$FK$400,0),1),"")),IFERROR(INDEX($FJ$3:$FK$400,MATCH(ROWS($FL$3:FL117),$FK$3:$FK$400,0),1),""))</f>
        <v/>
      </c>
      <c r="FM117" s="48">
        <f ca="1">IF(OR(B117="IVA ns/credito",B117="IVA NS/DEBITO",B117="IVA C/ACCONTO",B117="IMPOSTE C/ACCONTO",B117="CREDITI PER RITENUTE SUBITE",B117="CREDITI D'IMPOSTA"),MAX($FM$2:FM116)+1,0)</f>
        <v>0</v>
      </c>
      <c r="FN117" s="48" t="str">
        <f t="shared" ca="1" si="190"/>
        <v/>
      </c>
      <c r="FO117" s="48" t="str">
        <f ca="1">IFERROR(INDEX($FM$3:$FN$400,MATCH(ROWS($FO$3:FO117),$FM$3:$FM$400,0),2),"")</f>
        <v/>
      </c>
      <c r="FP117" s="48">
        <f ca="1">IF(ABS(SUMIFS(DARE,DEN_G,"="&amp;FO117,DATA,"&lt;="&amp;FINE_AC,DATA,"&gt;="&amp;INIZIO_A_PC)-SUMIFS(AVERE,DEN_G,"="&amp;FO117,DATA,"&lt;="&amp;FINE_AC,DATA,"&gt;="&amp;INIZIO_A_PC))&gt;0,MAX($FP$2:FP116)+1,0)</f>
        <v>0</v>
      </c>
      <c r="FQ117" s="48" t="str">
        <f ca="1">IF(AND(ROW()-2&lt;&gt;1,ROW()-2&lt;=$FP$1),CONCATENATE(" - ",IFERROR(INDEX($FO$3:$FP$400,MATCH(ROWS($FQ$3:FQ117),$FP$3:$FP$400,0),1),"")),IFERROR(INDEX($FO$3:$FP$400,MATCH(ROWS($FQ$3:FQ117),$FP$3:$FP$400,0),1),""))</f>
        <v/>
      </c>
    </row>
    <row r="118" spans="1:173" x14ac:dyDescent="0.3">
      <c r="A118" s="48" t="str">
        <f ca="1">IFERROR(IF($A$1=2,INDEX($DH$3:$DN$401,MATCH(ROWS(A$3:A118),$DN$3:$DN$401,0),COLUMN()),IF($A$1=1,INDEX($DQ$3:$DW$401,MATCH(ROWS(A$3:A118),$DW$3:$DW$401,0),COLUMN()),"")),"")</f>
        <v>10.40</v>
      </c>
      <c r="B118" s="48" t="str">
        <f ca="1">IFERROR(IF($A$1=2,INDEX($DH$3:$DN$401,MATCH(ROWS(B$3:B118),$DN$3:$DN$401,0),COLUMN()),IF($A$1=1,INDEX($DQ$3:$DW$400,MATCH(ROWS(B$3:B118),$DW$3:$DW$401,0),COLUMN()),"")),"")</f>
        <v>UTILE D'ESERCIZIO</v>
      </c>
      <c r="C118" s="48" t="str">
        <f ca="1">IFERROR(IF($A$1=2,INDEX($DH$3:$DN$401,MATCH(ROWS(C$3:C118),$DN$3:$DN$401,0),COLUMN()),IF($A$1=1,INDEX($DQ$3:$DW$401,MATCH(ROWS(C$3:C118),$DW$3:$DW$401,0),COLUMN()),"")),"")</f>
        <v>E</v>
      </c>
      <c r="D118" s="48" t="str">
        <f ca="1">IFERROR(IF($A$1=2,INDEX($DH$3:$DN$401,MATCH(ROWS(D$3:D118),$DN$3:$DN$401,0),COLUMN()),IF($A$1=1,INDEX($DQ$3:$DW$401,MATCH(ROWS(D$3:D118),$DW$3:$DW$401,0),COLUMN()),"")),"")</f>
        <v>A</v>
      </c>
      <c r="E118" s="48" t="str">
        <f ca="1">IFERROR(IF($A$1=2,INDEX($DH$3:$DN$401,MATCH(ROWS(E$3:E118),$DN$3:$DN$401,0),COLUMN()),IF($A$1=1,INDEX($DQ$3:$DW$401,MATCH(ROWS(E$3:E118),$DW$3:$DW$401,0),COLUMN()),"")),"")</f>
        <v>PATRIMONIO NETTO</v>
      </c>
      <c r="F118" s="48" t="str">
        <f ca="1">IFERROR(IF($A$1=2,INDEX($DH$3:$DN$401,MATCH(ROWS(F$3:F118),$DN$3:$DN$401,0),COLUMN()),IF($A$1=1,INDEX($DQ$3:$DX$401,MATCH(ROWS(F$3:F118),$DW$3:$DW$401,0),COLUMN()),"")),"")</f>
        <v>SP AVERE</v>
      </c>
      <c r="G118" s="48" t="str">
        <f t="shared" ca="1" si="150"/>
        <v>SP</v>
      </c>
      <c r="H118" s="48" t="str">
        <f ca="1">IFERROR(IF($A$1=2,INDEX($DH$3:$DO$400,MATCH(ROWS(H$3:H118),$DN$3:$DN$400,0),COLUMN()),IF($A$1=1,INDEX($DQ$3:$DX$400,MATCH(ROWS(H$3:H118),$DW$3:$DW$400,0),COLUMN()),"")),"")</f>
        <v>ppa9</v>
      </c>
      <c r="I118" s="48" t="str">
        <f t="shared" ca="1" si="151"/>
        <v/>
      </c>
      <c r="J118" s="48" t="str">
        <f t="shared" ca="1" si="152"/>
        <v/>
      </c>
      <c r="K118" s="48">
        <f t="shared" ca="1" si="153"/>
        <v>0</v>
      </c>
      <c r="L118" s="48">
        <f t="shared" ca="1" si="154"/>
        <v>0</v>
      </c>
      <c r="M118" s="48">
        <f ca="1">IFERROR(IF(IF(MID($A118,3,3)=".00",MID(A118,1,2),"")&lt;&gt;"",MAX($M$2:M117)+1,0),"")</f>
        <v>0</v>
      </c>
      <c r="N118" s="48" t="str">
        <f t="shared" ca="1" si="155"/>
        <v/>
      </c>
      <c r="O118" s="48" t="str">
        <f ca="1">IF(IFERROR(INDEX($N$3:$O$300,MATCH(ROWS($O$3:O118),$M$3:$M$300,0),1),"")&lt;&gt;"",CONCATENATE(INDEX($N$3:$O$300,MATCH(ROWS($O$3:O118),$M$3:$M$300,0),1),".00"),"")</f>
        <v/>
      </c>
      <c r="P118" s="48" t="str">
        <f t="shared" ca="1" si="156"/>
        <v/>
      </c>
      <c r="Q118" s="48">
        <f ca="1">IF(M118&gt;=1,0,MAX($Q$2:Q117)+1)</f>
        <v>105</v>
      </c>
      <c r="U118" s="48" t="str">
        <f ca="1">IFERROR(INDEX(PDC,MATCH(ROWS(U$3:U118),$V$3:$V$400,0),2),"")</f>
        <v>BANCHE C/RI.BA. SBF</v>
      </c>
      <c r="V118" s="48">
        <f ca="1">IF(AND($T$1="VISUALIZZA TUTTI I CONTI",AA118&lt;&gt;""),MAX($V$2:V117)+1,IF(AND($U$2=2,AI118=$T$1),MAX($V$2:V117)+1,IF(AND($U$2=1,$T$1=AF118),MAX($V$2:V117)+1,0)))</f>
        <v>116</v>
      </c>
      <c r="Z118" s="246"/>
      <c r="AA118" s="48" t="str">
        <f t="shared" ca="1" si="157"/>
        <v>13.00</v>
      </c>
      <c r="AB118" s="48" t="str">
        <f ca="1">IFERROR(INDEX($A$3:$G$400,MATCH(ROWS(AB$3:AB118),$Q$3:$Q$400,0),1),"")</f>
        <v>13.10</v>
      </c>
      <c r="AC118" s="48" t="str">
        <f ca="1">IFERROR(INDEX($A$3:$G$400,MATCH(ROWS($AC$3:AC118),$Q$3:$Q$400,0),2),"")</f>
        <v>BANCHE C/RI.BA. SBF</v>
      </c>
      <c r="AD118" s="48" t="str">
        <f ca="1">IFERROR(INDEX($A$3:$G$400,MATCH(ROWS(AD$3:AD118),$Q$3:$Q$400,0),3),"")</f>
        <v>F</v>
      </c>
      <c r="AE118" s="48" t="str">
        <f ca="1">IFERROR(INDEX($A$3:$G$400,MATCH(ROWS(AE$3:AE118),$Q$3:$Q$400,0),4),"")</f>
        <v>A</v>
      </c>
      <c r="AF118" s="48" t="str">
        <f ca="1">IFERROR(INDEX($A$3:$G$400,MATCH(ROWS(AF$3:AF118),$Q$3:$Q$400,0),5),"")</f>
        <v>DEBITI</v>
      </c>
      <c r="AG118" s="48" t="str">
        <f ca="1">IFERROR(INDEX($A$3:$G$400,MATCH(ROWS(AG$3:AG118),$Q$3:$Q$400,0),6),"")</f>
        <v>SP AVERE</v>
      </c>
      <c r="AH118" s="48" t="str">
        <f ca="1">IFERROR(INDEX($A$3:$G$400,MATCH(ROWS(AH$3:AH118),$Q$3:$Q$400,0),7),"")</f>
        <v>SP</v>
      </c>
      <c r="AI118" s="48" t="str">
        <f t="shared" ca="1" si="158"/>
        <v>DEBITI FINANZIARI</v>
      </c>
      <c r="AJ118" s="48" t="str">
        <f ca="1">IFERROR(INDEX($A$3:$H$400,MATCH(ROWS(AJ$3:AJ118),$Q$3:$Q$400,0),8),"")</f>
        <v>ppd</v>
      </c>
      <c r="AK118" s="48">
        <f t="shared" ca="1" si="130"/>
        <v>0</v>
      </c>
      <c r="AL118" s="48">
        <f t="shared" ca="1" si="251"/>
        <v>0</v>
      </c>
      <c r="AM118" s="48">
        <f t="shared" ca="1" si="252"/>
        <v>0</v>
      </c>
      <c r="AN118" s="48">
        <f t="shared" ca="1" si="253"/>
        <v>0</v>
      </c>
      <c r="AO118" s="48">
        <f t="shared" ca="1" si="254"/>
        <v>0</v>
      </c>
      <c r="AP118" s="48">
        <f t="shared" ca="1" si="254"/>
        <v>0</v>
      </c>
      <c r="AQ118" s="48" t="str">
        <f t="shared" ca="1" si="132"/>
        <v>BANCHE C/RI.BA. SBF</v>
      </c>
      <c r="AR118" s="48">
        <f t="shared" ca="1" si="133"/>
        <v>0</v>
      </c>
      <c r="AS118" s="48">
        <f t="shared" ca="1" si="134"/>
        <v>0</v>
      </c>
      <c r="AT118" s="48">
        <f t="shared" ca="1" si="162"/>
        <v>0</v>
      </c>
      <c r="AU118" s="48">
        <f t="shared" ca="1" si="163"/>
        <v>0</v>
      </c>
      <c r="AV118" s="48">
        <f ca="1">IF(OR(AT118&gt;0,AU118&gt;0),MAX($AV$2:AV117)+1,0)</f>
        <v>0</v>
      </c>
      <c r="AZ118" s="241" t="str">
        <f t="shared" si="240"/>
        <v>18 V.I.</v>
      </c>
      <c r="BA118" s="48">
        <f t="shared" ca="1" si="241"/>
        <v>0</v>
      </c>
      <c r="BB118" s="48">
        <f t="shared" ca="1" si="247"/>
        <v>0</v>
      </c>
      <c r="BC118" s="48" t="str">
        <f t="shared" ca="1" si="248"/>
        <v/>
      </c>
      <c r="BD118" s="48">
        <f t="shared" ca="1" si="249"/>
        <v>0</v>
      </c>
      <c r="BE118" s="48">
        <f t="shared" ca="1" si="250"/>
        <v>0</v>
      </c>
      <c r="BF118" s="48">
        <v>16</v>
      </c>
      <c r="BG118" s="48">
        <f ca="1">IF(IF(AND(OR(INDEX(PDC,MATCH($AC118,DEN_PDC,0),6)="SP DARE",INDEX(PDC,MATCH($AC118,DEN_PDC,0),6)="SP DARE/AVERE"),SUMIFS(DARE,DEN_G,$AC118)&gt;=SUMIFS(AVERE,DEN_G,$AC118)),SUMIFS(DARE,DEN_G,$AC118)-SUMIFS(AVERE,DEN_G,$AC118),0)&gt;0,MAX($BG$2:BG117)+1,0)</f>
        <v>0</v>
      </c>
      <c r="BH118" s="48">
        <f ca="1">IF(IF(AND(OR(INDEX(PDC,MATCH($AC118,DEN_PDC,0),6)="SP AVERE",INDEX(PDC,MATCH($AC118,DEN_PDC,0),6)="SP DARE/AVERE"),SUMIFS(AVERE,DEN_G,$AC118)&gt;=SUMIFS(DARE,DEN_G,$AC118)),SUMIFS(AVERE,DEN_G,$AC118)-SUMIFS(DARE,DEN_G,$AC118),0)&gt;0,MAX(BH$2:BH117)+1,0)</f>
        <v>0</v>
      </c>
      <c r="BI118" s="48">
        <f ca="1">IF(IF(AND(OR(INDEX(PDC,MATCH($AC118,DEN_PDC,0),6)="SE DARE",INDEX(PDC,MATCH($AC118,DEN_PDC,0),6)="SE DARE/AVERE"),SUMIFS(DARE,DEN_G,$AC118)&gt;=SUMIFS(AVERE,DEN_G,$AC118)),SUMIFS(DARE,DEN_G,$AC118)-SUMIFS(AVERE,DEN_G,$AC118),0)&gt;0,MAX(BI$2:BI117)+1,0)</f>
        <v>0</v>
      </c>
      <c r="BJ118" s="48">
        <f ca="1">IF(IF(AND(OR(INDEX(PDC,MATCH($AC118,DEN_PDC,0),6)="SE AVERE",INDEX(PDC,MATCH($AC118,DEN_PDC,0),6)="SE DARE/AVERE"),SUMIFS(AVERE,DEN_G,$AC118)&gt;=SUMIFS(DARE,DEN_G,$AC118)),SUMIFS(AVERE,DEN_G,$AC118)-SUMIFS(DARE,DEN_G,$AC118),0)&gt;0,MAX(BJ$2:BJ117)+1,0)</f>
        <v>0</v>
      </c>
      <c r="BK118" s="48" t="str">
        <f ca="1">IF(AND(AND($DY$2=0,$DY$1=0),$I$1=2,ROW()&gt;$BG$1+2,ROW()&lt;=$BG$1+4),"………………..",IF(AND(OR($DY$2&gt;0,$DY$1&gt;0),$I$1=2,ROW()&gt;$BG$1+2,ROW()&lt;=$BG$1+4),"………………..",IFERROR(INDEX($AC$3:$AC$398,MATCH(ROWS(BK$3:BK118),BG$3:BG$398,0),1),"")))</f>
        <v/>
      </c>
      <c r="BL118" s="48">
        <f t="shared" ca="1" si="136"/>
        <v>0</v>
      </c>
      <c r="BM118" s="48" t="str">
        <f ca="1">IF(AND(OR($DY$2=0,$DY$1=0),$I$1=2,ROW()&gt;$BH$1+2,ROW()&lt;=$BH$1+4),"………………..",IF(AND(OR($DY$2&gt;0,$DY$1&gt;0),$I$1=2,ROW()&gt;$BH$1+2,ROW()&lt;=$BH$1+4),"………………..",IFERROR(INDEX($AC$3:$AC$400,MATCH(ROWS(BM$3:BM118),BH$3:BH$400,0),1),"")))</f>
        <v/>
      </c>
      <c r="BN118" s="48">
        <f t="shared" ca="1" si="137"/>
        <v>0</v>
      </c>
      <c r="BO118" s="48" t="str">
        <f ca="1">IF(AND(OR($DY$2=0,$DY$1=0),$I$1=2,ROW()&gt;$BI$1+2,ROW()&lt;=$BI$1+4),"………………..",IF(AND(OR($DY$2&gt;0,$DY$1&gt;0),$I$1=2,ROW()&gt;$BI$1+2,ROW()&lt;=$BI$1+4),"………………..",IFERROR(INDEX($AC$3:$AC$400,MATCH(ROWS(BO$3:BO118),BI$3:BI$400,0),1),"")))</f>
        <v/>
      </c>
      <c r="BP118" s="48">
        <f t="shared" ca="1" si="138"/>
        <v>0</v>
      </c>
      <c r="BQ118" s="48" t="str">
        <f ca="1">IF(AND(OR($DY$2=0,$DY$1=0),$I$1=2,ROW()&gt;$BJ$1+2,ROW()&lt;=$BJ$1+4),"………………..",IF(AND(OR($DY$2&gt;0,$DY$1&gt;0),$I$1=2,ROW()&gt;$BJ$1+2,ROW()&lt;=$BJ$1+4),"………………..",IFERROR(INDEX($AC$3:$AC$400,MATCH(ROWS(BQ$3:BQ118),BJ$3:BJ$400,0),1),"")))</f>
        <v/>
      </c>
      <c r="BR118" s="48">
        <f t="shared" ca="1" si="139"/>
        <v>0</v>
      </c>
      <c r="BS118" s="48">
        <f ca="1">IF(IF(AND(OR(INDEX(PDC,MATCH($AC118,DEN_PDC,0),4)="D",INDEX(PDC,MATCH($AC118,DEN_PDC,0),4)="D/A"),SUMIFS(DARE,DEN_G,$AC118)&gt;=SUMIFS(AVERE,DEN_G,$AC118)),SUMIFS(DARE,DEN_G,$AC118),IF(AND(OR(INDEX(PDC,MATCH($AC118,DEN_PDC,0),4)="A",INDEX(PDC,MATCH($AC118,DEN_PDC,0),4)="D/A"),SUMIFS(AVERE,DEN_G,$AC118)&gt;=SUMIFS(DARE,DEN_G,$AC118)),SUMIFS(AVERE,DEN_G,$AC118),))&gt;0,MAX($BS$2:BS117)+1,0)</f>
        <v>0</v>
      </c>
      <c r="BT118" s="48" t="str">
        <f ca="1">IF($CO$1=0,"",IF(AND($I$1=2,ROW()&gt;$BR$1,ROW()&lt;=$BS$1)," …………….",IF(AND($E$1=1,$BX$1=1,$I$1=2,ROW()=$BQ$1),"TOTALI",IFERROR(INDEX(PDC,MATCH(ROWS(BT$3:BT118),BS$3:BS515,0),2),""))))</f>
        <v/>
      </c>
      <c r="BU118" s="48">
        <f t="shared" ca="1" si="140"/>
        <v>0</v>
      </c>
      <c r="BV118" s="48">
        <f t="shared" ca="1" si="141"/>
        <v>0</v>
      </c>
      <c r="BW118" s="48">
        <f t="shared" ca="1" si="142"/>
        <v>0</v>
      </c>
      <c r="BX118" s="48">
        <f t="shared" ca="1" si="143"/>
        <v>0</v>
      </c>
      <c r="BY118" s="48">
        <f ca="1">IF(OR(BW118&gt;0,BX118&gt;0),MAX($BY$2:BY117)+1,0)</f>
        <v>0</v>
      </c>
      <c r="BZ118" s="48" t="str">
        <f ca="1">IFERROR(INDEX($BT$3:$BY$400,MATCH(ROWS(BZ$3:BZ118),$BY$3:$BY$400,0),1),"")</f>
        <v/>
      </c>
      <c r="CA118" s="48" t="str">
        <f ca="1">IFERROR(INDEX($BT$3:$BY$400,MATCH(ROWS(CA$3:CA118),$BY$3:$BY$400,0),4),"")</f>
        <v/>
      </c>
      <c r="CB118" s="48" t="str">
        <f ca="1">IFERROR(INDEX($BT$3:$BY$400,MATCH(ROWS(CB$3:CB118),$BY$3:$BY$400,0),5),"")</f>
        <v/>
      </c>
      <c r="CC118" s="48" t="str">
        <f t="shared" ca="1" si="144"/>
        <v/>
      </c>
      <c r="CD118" s="48">
        <f ca="1">IF(AND($BF$9=1,CE118&lt;&gt;0),MAX($CD$104:CD117)+1,0)</f>
        <v>0</v>
      </c>
      <c r="CE118" s="48">
        <f ca="1">IF(ROUND(SUMIFS(COPIA!$CB$3:$CB$400,COPIA!$CC$3:$CC$400,CF118)-SUMIFS(COPIA!$CA$3:$CA$400,COPIA!$CC$3:$CC$400,CF118),0)&lt;0,0,ROUND(SUMIFS(COPIA!$CB$3:$CB$400,COPIA!$CC$3:$CC$400,CF118)-SUMIFS(COPIA!$CA$3:$CA$400,COPIA!$CC$3:$CC$400,CF118),0))</f>
        <v>0</v>
      </c>
      <c r="CF118" s="48" t="s">
        <v>744</v>
      </c>
      <c r="CG118" s="242" t="s">
        <v>770</v>
      </c>
      <c r="CH118" s="48">
        <f t="shared" ca="1" si="259"/>
        <v>0</v>
      </c>
      <c r="CJ118" s="242"/>
      <c r="CM118" s="242" t="str">
        <f t="shared" ca="1" si="166"/>
        <v/>
      </c>
      <c r="CN118" s="243">
        <f t="shared" ca="1" si="167"/>
        <v>0</v>
      </c>
      <c r="CO118" s="48" t="str">
        <f t="shared" ca="1" si="168"/>
        <v/>
      </c>
      <c r="CQ118" s="242"/>
      <c r="CR118" s="242"/>
      <c r="CU118" s="48">
        <f ca="1">IF(SUMIFS(AVERE,DEN_G,AC118,AVERE,"&gt;"&amp;0)+SUMIFS(DARE,DEN_G,AC118,DARE,"&gt;"&amp;0)&gt;0,MAX($CU$2:CU117)+1,0)</f>
        <v>0</v>
      </c>
      <c r="CV118" s="48" t="str">
        <f ca="1">IF(IFERROR(INDEX(PDC,MATCH(ROWS($CV$3:CV118),$CU$3:$CU$400,0),2),"")="CONTO DI RISULTATO ECONOMICO","",IFERROR(INDEX(PDC,MATCH(ROWS($CV$3:CV118),$CU$3:$CU$400,0),2),""))</f>
        <v/>
      </c>
      <c r="CW118" s="48">
        <f ca="1">IFERROR(IF(CV118&lt;&gt;"",MAX($CW$2:CW117)+1,0),0)</f>
        <v>0</v>
      </c>
      <c r="CX118" s="48">
        <f t="shared" ca="1" si="260"/>
        <v>9</v>
      </c>
      <c r="CY118" s="48" t="str">
        <f t="shared" ca="1" si="258"/>
        <v>MASTRO</v>
      </c>
      <c r="CZ118" s="48" t="e">
        <f t="shared" ca="1" si="262"/>
        <v>#N/A</v>
      </c>
      <c r="DA118" s="48" t="str">
        <f t="shared" ca="1" si="266"/>
        <v/>
      </c>
      <c r="DB118" s="48" t="str">
        <f t="shared" ca="1" si="212"/>
        <v/>
      </c>
      <c r="DC118" s="48" t="str">
        <f t="shared" ca="1" si="263"/>
        <v/>
      </c>
      <c r="DD118" s="48" t="str">
        <f t="shared" ca="1" si="264"/>
        <v/>
      </c>
      <c r="DE118" s="48" t="str">
        <f t="shared" ca="1" si="265"/>
        <v/>
      </c>
      <c r="DF118" s="48">
        <f ca="1">IF(AND(CX118=$DF$1,CX118&lt;&gt;""),0,IF(AND(DB118&lt;&gt;"",OR(DB117&lt;&gt;"",DB119&lt;&gt;"")),MAX($DF$2:DF117)+1,0))</f>
        <v>0</v>
      </c>
      <c r="DH118" s="244" t="s">
        <v>867</v>
      </c>
      <c r="DI118" s="48" t="s">
        <v>87</v>
      </c>
      <c r="DJ118" s="48" t="s">
        <v>312</v>
      </c>
      <c r="DK118" s="48" t="s">
        <v>275</v>
      </c>
      <c r="DL118" s="48" t="s">
        <v>82</v>
      </c>
      <c r="DM118" s="48" t="s">
        <v>270</v>
      </c>
      <c r="DN118" s="48">
        <f ca="1">IF(DI118&lt;&gt;"",MAX($DN$2:DN117)+1,0)</f>
        <v>98</v>
      </c>
      <c r="DO118" s="48" t="str">
        <f ca="1">IF($BF$9=1,"pac43","pac4")</f>
        <v>pac4</v>
      </c>
      <c r="DQ118" s="227" t="s">
        <v>94</v>
      </c>
      <c r="DR118" s="48" t="s">
        <v>92</v>
      </c>
      <c r="DS118" s="48" t="s">
        <v>311</v>
      </c>
      <c r="DT118" s="48" t="s">
        <v>275</v>
      </c>
      <c r="DU118" s="48" t="s">
        <v>13</v>
      </c>
      <c r="DV118" s="48" t="s">
        <v>270</v>
      </c>
      <c r="DW118" s="48">
        <f ca="1">IF(DR118&lt;&gt;"",MAX($DW$2:DW117)+1,0)</f>
        <v>74</v>
      </c>
      <c r="DX118" s="48" t="str">
        <f ca="1">IF($BF$9=1,"pad",IF(AND($BF$9=2,$DJ$1=FALSE),"pad","pac2"))</f>
        <v>pad</v>
      </c>
      <c r="DY118" s="48" t="str">
        <f t="shared" ca="1" si="147"/>
        <v/>
      </c>
      <c r="DZ118" s="48" t="str">
        <f t="shared" ca="1" si="170"/>
        <v/>
      </c>
      <c r="EA118" s="48" t="str">
        <f t="shared" ca="1" si="171"/>
        <v/>
      </c>
      <c r="EB118" s="48">
        <f t="shared" ca="1" si="172"/>
        <v>0</v>
      </c>
      <c r="EC118" s="48">
        <f t="shared" ca="1" si="173"/>
        <v>0</v>
      </c>
      <c r="ED118" s="48" t="str">
        <f t="shared" ca="1" si="174"/>
        <v/>
      </c>
      <c r="EE118" s="48">
        <f t="shared" ca="1" si="175"/>
        <v>0</v>
      </c>
      <c r="EF118" s="48" t="str">
        <f t="shared" ca="1" si="176"/>
        <v/>
      </c>
      <c r="EG118" s="48">
        <f t="shared" ca="1" si="177"/>
        <v>0</v>
      </c>
      <c r="EH118" s="48" t="str">
        <f t="shared" ca="1" si="178"/>
        <v/>
      </c>
      <c r="EI118" s="48">
        <f t="shared" ca="1" si="179"/>
        <v>0</v>
      </c>
      <c r="EJ118" s="48" t="str">
        <f t="shared" ca="1" si="180"/>
        <v/>
      </c>
      <c r="EK118" s="48">
        <f t="shared" ca="1" si="181"/>
        <v>0</v>
      </c>
      <c r="EL118" s="48">
        <f t="shared" ca="1" si="148"/>
        <v>0</v>
      </c>
      <c r="EM118" s="48">
        <f ca="1">IF(EL118&gt;=0,0,MAX($EM$2:EM117)+1)</f>
        <v>0</v>
      </c>
      <c r="EN118" s="48" t="str">
        <f t="shared" ca="1" si="182"/>
        <v/>
      </c>
      <c r="EO118" s="48" t="str">
        <f ca="1">IFERROR(INDEX($EM$3:$EN$400,MATCH(ROWS($EO$3:EO118),$EM$3:$EM$400,0),2),"")</f>
        <v/>
      </c>
      <c r="EP118" s="48">
        <f>ROW()</f>
        <v>118</v>
      </c>
      <c r="EQ118" s="48">
        <f t="shared" ca="1" si="149"/>
        <v>0</v>
      </c>
      <c r="ER118" s="48">
        <f ca="1">IF(ISNA(EQ118)=TRUE,MAX($ER$2:ER117)+1,0)</f>
        <v>0</v>
      </c>
      <c r="ES118" s="48" t="str">
        <f t="shared" ca="1" si="183"/>
        <v/>
      </c>
      <c r="ET118" s="48" t="str">
        <f ca="1">IFERROR(INDEX($ER$3:$ES$400,MATCH(ROWS($ET$3:ET118),$ER$3:$ER$400,0),2),"")</f>
        <v/>
      </c>
      <c r="EV118" s="48">
        <f ca="1">IFERROR(INDEX(LIBRO_GIORNALE!$O$11:$P$408,MATCH(ROWS($EV$2:EV117),LIBRO_GIORNALE!$P$11:$P$408,0),1),0)</f>
        <v>0</v>
      </c>
      <c r="EW118" s="48" t="str">
        <f t="shared" ca="1" si="184"/>
        <v>0</v>
      </c>
      <c r="EX118" s="48">
        <f t="shared" ca="1" si="185"/>
        <v>0</v>
      </c>
      <c r="EY118" s="48">
        <f ca="1">IF(EX118&gt;0,MAX($EY$2:EY117)+1,0)</f>
        <v>0</v>
      </c>
      <c r="EZ118" s="48">
        <f ca="1">IFERROR(INDEX($EX$3:$EX$400,MATCH(ROWS($EZ$3:EZ118),$EY$3:$EY$400,0),1),0)</f>
        <v>0</v>
      </c>
      <c r="FA118" s="48">
        <f ca="1">IF(EZ118&gt;0,0,MAX($FA$2:FA117)+1)</f>
        <v>116</v>
      </c>
      <c r="FB118" s="48">
        <f t="shared" ca="1" si="186"/>
        <v>0</v>
      </c>
      <c r="FC118" s="48">
        <f t="shared" ca="1" si="187"/>
        <v>116</v>
      </c>
      <c r="FD118" s="48">
        <f t="shared" ca="1" si="188"/>
        <v>116</v>
      </c>
      <c r="FE118" s="48">
        <f ca="1">IF(FD118=0,0,MAX($FE$2:FE117)+1)</f>
        <v>116</v>
      </c>
      <c r="FF118" s="48">
        <f ca="1">IFERROR(INDEX($FD$3:$FE$400,MATCH(ROWS($FF$3:FF118),$FE$3:$FE$400,0),1),"")</f>
        <v>116</v>
      </c>
      <c r="FG118" s="48">
        <f t="shared" ca="1" si="255"/>
        <v>0</v>
      </c>
      <c r="FH118" s="48">
        <f t="shared" ca="1" si="189"/>
        <v>0</v>
      </c>
      <c r="FI118" s="48">
        <f ca="1">IF(FH118&lt;&gt;0,MAX($FI$2:FI117)+1,0)</f>
        <v>0</v>
      </c>
      <c r="FJ118" s="48" t="str">
        <f ca="1">IFERROR(INDEX($FH$3:$FI$400,MATCH(ROWS($FJ$3:FJ118),$FI$3:$FI$400,0),1),"")</f>
        <v/>
      </c>
      <c r="FK118" s="48">
        <f ca="1">IF(ABS(SUMIFS(DARE,DEN_G,"="&amp;FJ118,DATA,"&lt;="&amp;FINE_AC,DATA,"&gt;="&amp;INIZIO_A_PC)-SUMIFS(AVERE,DEN_G,"="&amp;FJ118,DATA,"&lt;="&amp;FINE_AC,DATA,"&gt;="&amp;INIZIO_A_PC))&gt;0,MAX($FK$2:FK117)+1,0)</f>
        <v>0</v>
      </c>
      <c r="FL118" s="48" t="str">
        <f ca="1">IF(AND(ROW()-2&lt;&gt;1,ROW()-2&lt;=$FK$1),CONCATENATE(" - ",IFERROR(INDEX($FJ$3:$FK$400,MATCH(ROWS($FL$3:FL118),$FK$3:$FK$400,0),1),"")),IFERROR(INDEX($FJ$3:$FK$400,MATCH(ROWS($FL$3:FL118),$FK$3:$FK$400,0),1),""))</f>
        <v/>
      </c>
      <c r="FM118" s="48">
        <f ca="1">IF(OR(B118="IVA ns/credito",B118="IVA NS/DEBITO",B118="IVA C/ACCONTO",B118="IMPOSTE C/ACCONTO",B118="CREDITI PER RITENUTE SUBITE",B118="CREDITI D'IMPOSTA"),MAX($FM$2:FM117)+1,0)</f>
        <v>0</v>
      </c>
      <c r="FN118" s="48" t="str">
        <f t="shared" ca="1" si="190"/>
        <v/>
      </c>
      <c r="FO118" s="48" t="str">
        <f ca="1">IFERROR(INDEX($FM$3:$FN$400,MATCH(ROWS($FO$3:FO118),$FM$3:$FM$400,0),2),"")</f>
        <v/>
      </c>
      <c r="FP118" s="48">
        <f ca="1">IF(ABS(SUMIFS(DARE,DEN_G,"="&amp;FO118,DATA,"&lt;="&amp;FINE_AC,DATA,"&gt;="&amp;INIZIO_A_PC)-SUMIFS(AVERE,DEN_G,"="&amp;FO118,DATA,"&lt;="&amp;FINE_AC,DATA,"&gt;="&amp;INIZIO_A_PC))&gt;0,MAX($FP$2:FP117)+1,0)</f>
        <v>0</v>
      </c>
      <c r="FQ118" s="48" t="str">
        <f ca="1">IF(AND(ROW()-2&lt;&gt;1,ROW()-2&lt;=$FP$1),CONCATENATE(" - ",IFERROR(INDEX($FO$3:$FP$400,MATCH(ROWS($FQ$3:FQ118),$FP$3:$FP$400,0),1),"")),IFERROR(INDEX($FO$3:$FP$400,MATCH(ROWS($FQ$3:FQ118),$FP$3:$FP$400,0),1),""))</f>
        <v/>
      </c>
    </row>
    <row r="119" spans="1:173" x14ac:dyDescent="0.3">
      <c r="A119" s="48" t="str">
        <f ca="1">IFERROR(IF($A$1=2,INDEX($DH$3:$DN$401,MATCH(ROWS(A$3:A119),$DN$3:$DN$401,0),COLUMN()),IF($A$1=1,INDEX($DQ$3:$DW$401,MATCH(ROWS(A$3:A119),$DW$3:$DW$401,0),COLUMN()),"")),"")</f>
        <v>10.41</v>
      </c>
      <c r="B119" s="48" t="str">
        <f ca="1">IFERROR(IF($A$1=2,INDEX($DH$3:$DN$401,MATCH(ROWS(B$3:B119),$DN$3:$DN$401,0),COLUMN()),IF($A$1=1,INDEX($DQ$3:$DW$400,MATCH(ROWS(B$3:B119),$DW$3:$DW$401,0),COLUMN()),"")),"")</f>
        <v>PERDITA D'ESERCIZIO</v>
      </c>
      <c r="C119" s="48" t="str">
        <f ca="1">IFERROR(IF($A$1=2,INDEX($DH$3:$DN$401,MATCH(ROWS(C$3:C119),$DN$3:$DN$401,0),COLUMN()),IF($A$1=1,INDEX($DQ$3:$DW$401,MATCH(ROWS(C$3:C119),$DW$3:$DW$401,0),COLUMN()),"")),"")</f>
        <v>E</v>
      </c>
      <c r="D119" s="48" t="str">
        <f ca="1">IFERROR(IF($A$1=2,INDEX($DH$3:$DN$401,MATCH(ROWS(D$3:D119),$DN$3:$DN$401,0),COLUMN()),IF($A$1=1,INDEX($DQ$3:$DW$401,MATCH(ROWS(D$3:D119),$DW$3:$DW$401,0),COLUMN()),"")),"")</f>
        <v>D</v>
      </c>
      <c r="E119" s="48" t="str">
        <f ca="1">IFERROR(IF($A$1=2,INDEX($DH$3:$DN$401,MATCH(ROWS(E$3:E119),$DN$3:$DN$401,0),COLUMN()),IF($A$1=1,INDEX($DQ$3:$DW$401,MATCH(ROWS(E$3:E119),$DW$3:$DW$401,0),COLUMN()),"")),"")</f>
        <v>PATRIMONIO NETTO</v>
      </c>
      <c r="F119" s="48" t="str">
        <f ca="1">IFERROR(IF($A$1=2,INDEX($DH$3:$DN$401,MATCH(ROWS(F$3:F119),$DN$3:$DN$401,0),COLUMN()),IF($A$1=1,INDEX($DQ$3:$DX$401,MATCH(ROWS(F$3:F119),$DW$3:$DW$401,0),COLUMN()),"")),"")</f>
        <v>SP DARE</v>
      </c>
      <c r="G119" s="48" t="str">
        <f t="shared" ca="1" si="150"/>
        <v>SP</v>
      </c>
      <c r="H119" s="48" t="str">
        <f ca="1">IFERROR(IF($A$1=2,INDEX($DH$3:$DO$400,MATCH(ROWS(H$3:H119),$DN$3:$DN$400,0),COLUMN()),IF($A$1=1,INDEX($DQ$3:$DX$400,MATCH(ROWS(H$3:H119),$DW$3:$DW$400,0),COLUMN()),"")),"")</f>
        <v>ppa9</v>
      </c>
      <c r="I119" s="48" t="str">
        <f t="shared" ca="1" si="151"/>
        <v/>
      </c>
      <c r="J119" s="48" t="str">
        <f t="shared" ca="1" si="152"/>
        <v/>
      </c>
      <c r="K119" s="48">
        <f t="shared" ca="1" si="153"/>
        <v>0</v>
      </c>
      <c r="L119" s="48">
        <f t="shared" ca="1" si="154"/>
        <v>0</v>
      </c>
      <c r="M119" s="48">
        <f ca="1">IFERROR(IF(IF(MID($A119,3,3)=".00",MID(A119,1,2),"")&lt;&gt;"",MAX($M$2:M118)+1,0),"")</f>
        <v>0</v>
      </c>
      <c r="N119" s="48" t="str">
        <f t="shared" ca="1" si="155"/>
        <v/>
      </c>
      <c r="O119" s="48" t="str">
        <f ca="1">IF(IFERROR(INDEX($N$3:$O$300,MATCH(ROWS($O$3:O119),$M$3:$M$300,0),1),"")&lt;&gt;"",CONCATENATE(INDEX($N$3:$O$300,MATCH(ROWS($O$3:O119),$M$3:$M$300,0),1),".00"),"")</f>
        <v/>
      </c>
      <c r="P119" s="48" t="str">
        <f t="shared" ca="1" si="156"/>
        <v/>
      </c>
      <c r="Q119" s="48">
        <f ca="1">IF(M119&gt;=1,0,MAX($Q$2:Q118)+1)</f>
        <v>106</v>
      </c>
      <c r="U119" s="48" t="str">
        <f ca="1">IFERROR(INDEX(PDC,MATCH(ROWS(U$3:U119),$V$3:$V$400,0),2),"")</f>
        <v>BANCHE C/ANTICIPI SU FATTURE</v>
      </c>
      <c r="V119" s="48">
        <f ca="1">IF(AND($T$1="VISUALIZZA TUTTI I CONTI",AA119&lt;&gt;""),MAX($V$2:V118)+1,IF(AND($U$2=2,AI119=$T$1),MAX($V$2:V118)+1,IF(AND($U$2=1,$T$1=AF119),MAX($V$2:V118)+1,0)))</f>
        <v>117</v>
      </c>
      <c r="Z119" s="246"/>
      <c r="AA119" s="48" t="str">
        <f t="shared" ca="1" si="157"/>
        <v>13.00</v>
      </c>
      <c r="AB119" s="48" t="str">
        <f ca="1">IFERROR(INDEX($A$3:$G$400,MATCH(ROWS(AB$3:AB119),$Q$3:$Q$400,0),1),"")</f>
        <v>13.11</v>
      </c>
      <c r="AC119" s="48" t="str">
        <f ca="1">IFERROR(INDEX($A$3:$G$400,MATCH(ROWS($AC$3:AC119),$Q$3:$Q$400,0),2),"")</f>
        <v>BANCHE C/ANTICIPI SU FATTURE</v>
      </c>
      <c r="AD119" s="48" t="str">
        <f ca="1">IFERROR(INDEX($A$3:$G$400,MATCH(ROWS(AD$3:AD119),$Q$3:$Q$400,0),3),"")</f>
        <v>F</v>
      </c>
      <c r="AE119" s="48" t="str">
        <f ca="1">IFERROR(INDEX($A$3:$G$400,MATCH(ROWS(AE$3:AE119),$Q$3:$Q$400,0),4),"")</f>
        <v>A</v>
      </c>
      <c r="AF119" s="48" t="str">
        <f ca="1">IFERROR(INDEX($A$3:$G$400,MATCH(ROWS(AF$3:AF119),$Q$3:$Q$400,0),5),"")</f>
        <v>DEBITI</v>
      </c>
      <c r="AG119" s="48" t="str">
        <f ca="1">IFERROR(INDEX($A$3:$G$400,MATCH(ROWS(AG$3:AG119),$Q$3:$Q$400,0),6),"")</f>
        <v>SP AVERE</v>
      </c>
      <c r="AH119" s="48" t="str">
        <f ca="1">IFERROR(INDEX($A$3:$G$400,MATCH(ROWS(AH$3:AH119),$Q$3:$Q$400,0),7),"")</f>
        <v>SP</v>
      </c>
      <c r="AI119" s="48" t="str">
        <f t="shared" ca="1" si="158"/>
        <v>DEBITI FINANZIARI</v>
      </c>
      <c r="AJ119" s="48" t="str">
        <f ca="1">IFERROR(INDEX($A$3:$H$400,MATCH(ROWS(AJ$3:AJ119),$Q$3:$Q$400,0),8),"")</f>
        <v>ppd</v>
      </c>
      <c r="AK119" s="48">
        <f t="shared" ca="1" si="130"/>
        <v>0</v>
      </c>
      <c r="AL119" s="48">
        <f t="shared" ca="1" si="251"/>
        <v>0</v>
      </c>
      <c r="AM119" s="48">
        <f t="shared" ca="1" si="252"/>
        <v>0</v>
      </c>
      <c r="AN119" s="48">
        <f t="shared" ca="1" si="253"/>
        <v>0</v>
      </c>
      <c r="AO119" s="48">
        <f t="shared" ca="1" si="254"/>
        <v>0</v>
      </c>
      <c r="AP119" s="48">
        <f t="shared" ca="1" si="254"/>
        <v>0</v>
      </c>
      <c r="AQ119" s="48" t="str">
        <f t="shared" ca="1" si="132"/>
        <v>BANCHE C/ANTICIPI SU FATTURE</v>
      </c>
      <c r="AR119" s="48">
        <f t="shared" ca="1" si="133"/>
        <v>0</v>
      </c>
      <c r="AS119" s="48">
        <f t="shared" ca="1" si="134"/>
        <v>0</v>
      </c>
      <c r="AT119" s="48">
        <f t="shared" ca="1" si="162"/>
        <v>0</v>
      </c>
      <c r="AU119" s="48">
        <f t="shared" ca="1" si="163"/>
        <v>0</v>
      </c>
      <c r="AV119" s="48">
        <f ca="1">IF(OR(AT119&gt;0,AU119&gt;0),MAX($AV$2:AV118)+1,0)</f>
        <v>0</v>
      </c>
      <c r="AZ119" s="241" t="str">
        <f t="shared" si="240"/>
        <v>19 V.I.</v>
      </c>
      <c r="BA119" s="48">
        <f t="shared" ca="1" si="241"/>
        <v>0</v>
      </c>
      <c r="BB119" s="48">
        <f t="shared" ca="1" si="247"/>
        <v>0</v>
      </c>
      <c r="BC119" s="48" t="str">
        <f t="shared" ca="1" si="248"/>
        <v/>
      </c>
      <c r="BD119" s="48">
        <f t="shared" ca="1" si="249"/>
        <v>0</v>
      </c>
      <c r="BE119" s="48">
        <f t="shared" ca="1" si="250"/>
        <v>0</v>
      </c>
      <c r="BF119" s="48">
        <v>17</v>
      </c>
      <c r="BG119" s="48">
        <f ca="1">IF(IF(AND(OR(INDEX(PDC,MATCH($AC119,DEN_PDC,0),6)="SP DARE",INDEX(PDC,MATCH($AC119,DEN_PDC,0),6)="SP DARE/AVERE"),SUMIFS(DARE,DEN_G,$AC119)&gt;=SUMIFS(AVERE,DEN_G,$AC119)),SUMIFS(DARE,DEN_G,$AC119)-SUMIFS(AVERE,DEN_G,$AC119),0)&gt;0,MAX($BG$2:BG118)+1,0)</f>
        <v>0</v>
      </c>
      <c r="BH119" s="48">
        <f ca="1">IF(IF(AND(OR(INDEX(PDC,MATCH($AC119,DEN_PDC,0),6)="SP AVERE",INDEX(PDC,MATCH($AC119,DEN_PDC,0),6)="SP DARE/AVERE"),SUMIFS(AVERE,DEN_G,$AC119)&gt;=SUMIFS(DARE,DEN_G,$AC119)),SUMIFS(AVERE,DEN_G,$AC119)-SUMIFS(DARE,DEN_G,$AC119),0)&gt;0,MAX(BH$2:BH118)+1,0)</f>
        <v>0</v>
      </c>
      <c r="BI119" s="48">
        <f ca="1">IF(IF(AND(OR(INDEX(PDC,MATCH($AC119,DEN_PDC,0),6)="SE DARE",INDEX(PDC,MATCH($AC119,DEN_PDC,0),6)="SE DARE/AVERE"),SUMIFS(DARE,DEN_G,$AC119)&gt;=SUMIFS(AVERE,DEN_G,$AC119)),SUMIFS(DARE,DEN_G,$AC119)-SUMIFS(AVERE,DEN_G,$AC119),0)&gt;0,MAX(BI$2:BI118)+1,0)</f>
        <v>0</v>
      </c>
      <c r="BJ119" s="48">
        <f ca="1">IF(IF(AND(OR(INDEX(PDC,MATCH($AC119,DEN_PDC,0),6)="SE AVERE",INDEX(PDC,MATCH($AC119,DEN_PDC,0),6)="SE DARE/AVERE"),SUMIFS(AVERE,DEN_G,$AC119)&gt;=SUMIFS(DARE,DEN_G,$AC119)),SUMIFS(AVERE,DEN_G,$AC119)-SUMIFS(DARE,DEN_G,$AC119),0)&gt;0,MAX(BJ$2:BJ118)+1,0)</f>
        <v>0</v>
      </c>
      <c r="BK119" s="48" t="str">
        <f ca="1">IF(AND(AND($DY$2=0,$DY$1=0),$I$1=2,ROW()&gt;$BG$1+2,ROW()&lt;=$BG$1+4),"………………..",IF(AND(OR($DY$2&gt;0,$DY$1&gt;0),$I$1=2,ROW()&gt;$BG$1+2,ROW()&lt;=$BG$1+4),"………………..",IFERROR(INDEX($AC$3:$AC$398,MATCH(ROWS(BK$3:BK119),BG$3:BG$398,0),1),"")))</f>
        <v/>
      </c>
      <c r="BL119" s="48">
        <f t="shared" ca="1" si="136"/>
        <v>0</v>
      </c>
      <c r="BM119" s="48" t="str">
        <f ca="1">IF(AND(OR($DY$2=0,$DY$1=0),$I$1=2,ROW()&gt;$BH$1+2,ROW()&lt;=$BH$1+4),"………………..",IF(AND(OR($DY$2&gt;0,$DY$1&gt;0),$I$1=2,ROW()&gt;$BH$1+2,ROW()&lt;=$BH$1+4),"………………..",IFERROR(INDEX($AC$3:$AC$400,MATCH(ROWS(BM$3:BM119),BH$3:BH$400,0),1),"")))</f>
        <v/>
      </c>
      <c r="BN119" s="48">
        <f t="shared" ca="1" si="137"/>
        <v>0</v>
      </c>
      <c r="BO119" s="48" t="str">
        <f ca="1">IF(AND(OR($DY$2=0,$DY$1=0),$I$1=2,ROW()&gt;$BI$1+2,ROW()&lt;=$BI$1+4),"………………..",IF(AND(OR($DY$2&gt;0,$DY$1&gt;0),$I$1=2,ROW()&gt;$BI$1+2,ROW()&lt;=$BI$1+4),"………………..",IFERROR(INDEX($AC$3:$AC$400,MATCH(ROWS(BO$3:BO119),BI$3:BI$400,0),1),"")))</f>
        <v/>
      </c>
      <c r="BP119" s="48">
        <f t="shared" ca="1" si="138"/>
        <v>0</v>
      </c>
      <c r="BQ119" s="48" t="str">
        <f ca="1">IF(AND(OR($DY$2=0,$DY$1=0),$I$1=2,ROW()&gt;$BJ$1+2,ROW()&lt;=$BJ$1+4),"………………..",IF(AND(OR($DY$2&gt;0,$DY$1&gt;0),$I$1=2,ROW()&gt;$BJ$1+2,ROW()&lt;=$BJ$1+4),"………………..",IFERROR(INDEX($AC$3:$AC$400,MATCH(ROWS(BQ$3:BQ119),BJ$3:BJ$400,0),1),"")))</f>
        <v/>
      </c>
      <c r="BR119" s="48">
        <f t="shared" ca="1" si="139"/>
        <v>0</v>
      </c>
      <c r="BS119" s="48">
        <f ca="1">IF(IF(AND(OR(INDEX(PDC,MATCH($AC119,DEN_PDC,0),4)="D",INDEX(PDC,MATCH($AC119,DEN_PDC,0),4)="D/A"),SUMIFS(DARE,DEN_G,$AC119)&gt;=SUMIFS(AVERE,DEN_G,$AC119)),SUMIFS(DARE,DEN_G,$AC119),IF(AND(OR(INDEX(PDC,MATCH($AC119,DEN_PDC,0),4)="A",INDEX(PDC,MATCH($AC119,DEN_PDC,0),4)="D/A"),SUMIFS(AVERE,DEN_G,$AC119)&gt;=SUMIFS(DARE,DEN_G,$AC119)),SUMIFS(AVERE,DEN_G,$AC119),))&gt;0,MAX($BS$2:BS118)+1,0)</f>
        <v>0</v>
      </c>
      <c r="BT119" s="48" t="str">
        <f ca="1">IF($CO$1=0,"",IF(AND($I$1=2,ROW()&gt;$BR$1,ROW()&lt;=$BS$1)," …………….",IF(AND($E$1=1,$BX$1=1,$I$1=2,ROW()=$BQ$1),"TOTALI",IFERROR(INDEX(PDC,MATCH(ROWS(BT$3:BT119),BS$3:BS516,0),2),""))))</f>
        <v/>
      </c>
      <c r="BU119" s="48">
        <f t="shared" ca="1" si="140"/>
        <v>0</v>
      </c>
      <c r="BV119" s="48">
        <f t="shared" ca="1" si="141"/>
        <v>0</v>
      </c>
      <c r="BW119" s="48">
        <f t="shared" ca="1" si="142"/>
        <v>0</v>
      </c>
      <c r="BX119" s="48">
        <f t="shared" ca="1" si="143"/>
        <v>0</v>
      </c>
      <c r="BY119" s="48">
        <f ca="1">IF(OR(BW119&gt;0,BX119&gt;0),MAX($BY$2:BY118)+1,0)</f>
        <v>0</v>
      </c>
      <c r="BZ119" s="48" t="str">
        <f ca="1">IFERROR(INDEX($BT$3:$BY$400,MATCH(ROWS(BZ$3:BZ119),$BY$3:$BY$400,0),1),"")</f>
        <v/>
      </c>
      <c r="CA119" s="48" t="str">
        <f ca="1">IFERROR(INDEX($BT$3:$BY$400,MATCH(ROWS(CA$3:CA119),$BY$3:$BY$400,0),4),"")</f>
        <v/>
      </c>
      <c r="CB119" s="48" t="str">
        <f ca="1">IFERROR(INDEX($BT$3:$BY$400,MATCH(ROWS(CB$3:CB119),$BY$3:$BY$400,0),5),"")</f>
        <v/>
      </c>
      <c r="CC119" s="48" t="str">
        <f t="shared" ca="1" si="144"/>
        <v/>
      </c>
      <c r="CD119" s="48">
        <f ca="1">IF(EU3&gt;0,0,IF(AND($BF$9=1,CE119&lt;&gt;0),MAX($CD$104:CD118)+1,0))</f>
        <v>0</v>
      </c>
      <c r="CE119" s="48">
        <f ca="1">IF(EU3&gt;0,0,IF(AY1&lt;&gt;0,0,IF(AND($F$1=1,AND(CE86&lt;&gt;0,CE86&lt;&gt;SUM(CE107:CE111,CE113:CE118,CE120:CE122,CE129,CE130,CE162,CE163))),CE86-SUM(CE107:CE111,CE113:CE118,CE120:CE122,CE129,CE130,CE162,CE163),0)))</f>
        <v>0</v>
      </c>
      <c r="CG119" s="242" t="s">
        <v>834</v>
      </c>
      <c r="CH119" s="48">
        <f t="shared" ca="1" si="259"/>
        <v>0</v>
      </c>
      <c r="CJ119" s="242"/>
      <c r="CM119" s="242" t="str">
        <f t="shared" ca="1" si="166"/>
        <v/>
      </c>
      <c r="CN119" s="243">
        <f t="shared" ca="1" si="167"/>
        <v>0</v>
      </c>
      <c r="CO119" s="48" t="str">
        <f t="shared" ca="1" si="168"/>
        <v/>
      </c>
      <c r="CQ119" s="242"/>
      <c r="CR119" s="242"/>
      <c r="CU119" s="48">
        <f ca="1">IF(SUMIFS(AVERE,DEN_G,AC119,AVERE,"&gt;"&amp;0)+SUMIFS(DARE,DEN_G,AC119,DARE,"&gt;"&amp;0)&gt;0,MAX($CU$2:CU118)+1,0)</f>
        <v>0</v>
      </c>
      <c r="CV119" s="48" t="str">
        <f ca="1">IF(IFERROR(INDEX(PDC,MATCH(ROWS($CV$3:CV119),$CU$3:$CU$400,0),2),"")="CONTO DI RISULTATO ECONOMICO","",IFERROR(INDEX(PDC,MATCH(ROWS($CV$3:CV119),$CU$3:$CU$400,0),2),""))</f>
        <v/>
      </c>
      <c r="CW119" s="48">
        <f ca="1">IFERROR(IF(CV119&lt;&gt;"",MAX($CW$2:CW118)+1,0),0)</f>
        <v>0</v>
      </c>
      <c r="CY119" s="48" t="s">
        <v>500</v>
      </c>
      <c r="DB119" s="48" t="str">
        <f t="shared" ref="DB119" ca="1" si="268">IF(CX118=$DF$1,"","MASTRO")</f>
        <v>MASTRO</v>
      </c>
      <c r="DF119" s="48">
        <f ca="1">IF(AND(CX119=$DF$1,CX119&lt;&gt;""),0,IF(AND(DB119&lt;&gt;"",OR(DB118&lt;&gt;"",DB120&lt;&gt;"")),MAX($DF$2:DF118)+1,0))</f>
        <v>0</v>
      </c>
      <c r="DH119" s="244" t="s">
        <v>868</v>
      </c>
      <c r="DI119" s="48" t="s">
        <v>88</v>
      </c>
      <c r="DJ119" s="48" t="s">
        <v>312</v>
      </c>
      <c r="DK119" s="48" t="s">
        <v>275</v>
      </c>
      <c r="DL119" s="48" t="s">
        <v>82</v>
      </c>
      <c r="DM119" s="48" t="s">
        <v>270</v>
      </c>
      <c r="DN119" s="48">
        <f ca="1">IF(DI119&lt;&gt;"",MAX($DN$2:DN118)+1,0)</f>
        <v>99</v>
      </c>
      <c r="DO119" s="48" t="str">
        <f ca="1">IF($BF$9=1,"pac43","pac4")</f>
        <v>pac4</v>
      </c>
      <c r="DQ119" s="227" t="s">
        <v>95</v>
      </c>
      <c r="DR119" s="228" t="s">
        <v>4</v>
      </c>
      <c r="DW119" s="48">
        <f ca="1">IF(DR119&lt;&gt;"",MAX($DW$2:DW118)+1,0)</f>
        <v>75</v>
      </c>
      <c r="DY119" s="48" t="str">
        <f t="shared" ca="1" si="147"/>
        <v/>
      </c>
      <c r="DZ119" s="48" t="str">
        <f t="shared" ca="1" si="170"/>
        <v/>
      </c>
      <c r="EA119" s="48" t="str">
        <f t="shared" ca="1" si="171"/>
        <v/>
      </c>
      <c r="EB119" s="48">
        <f t="shared" ca="1" si="172"/>
        <v>0</v>
      </c>
      <c r="EC119" s="48">
        <f t="shared" ca="1" si="173"/>
        <v>0</v>
      </c>
      <c r="ED119" s="48" t="str">
        <f t="shared" ca="1" si="174"/>
        <v/>
      </c>
      <c r="EE119" s="48">
        <f t="shared" ca="1" si="175"/>
        <v>0</v>
      </c>
      <c r="EF119" s="48" t="str">
        <f t="shared" ca="1" si="176"/>
        <v/>
      </c>
      <c r="EG119" s="48">
        <f t="shared" ca="1" si="177"/>
        <v>0</v>
      </c>
      <c r="EH119" s="48" t="str">
        <f t="shared" ca="1" si="178"/>
        <v/>
      </c>
      <c r="EI119" s="48">
        <f t="shared" ca="1" si="179"/>
        <v>0</v>
      </c>
      <c r="EJ119" s="48" t="str">
        <f t="shared" ca="1" si="180"/>
        <v/>
      </c>
      <c r="EK119" s="48">
        <f t="shared" ca="1" si="181"/>
        <v>0</v>
      </c>
      <c r="EL119" s="48">
        <f t="shared" ca="1" si="148"/>
        <v>0</v>
      </c>
      <c r="EM119" s="48">
        <f ca="1">IF(EL119&gt;=0,0,MAX($EM$2:EM118)+1)</f>
        <v>0</v>
      </c>
      <c r="EN119" s="48" t="str">
        <f t="shared" ca="1" si="182"/>
        <v/>
      </c>
      <c r="EO119" s="48" t="str">
        <f ca="1">IFERROR(INDEX($EM$3:$EN$400,MATCH(ROWS($EO$3:EO119),$EM$3:$EM$400,0),2),"")</f>
        <v/>
      </c>
      <c r="EP119" s="48">
        <f>ROW()</f>
        <v>119</v>
      </c>
      <c r="EQ119" s="48">
        <f t="shared" ca="1" si="149"/>
        <v>0</v>
      </c>
      <c r="ER119" s="48">
        <f ca="1">IF(ISNA(EQ119)=TRUE,MAX($ER$2:ER118)+1,0)</f>
        <v>0</v>
      </c>
      <c r="ES119" s="48" t="str">
        <f t="shared" ca="1" si="183"/>
        <v/>
      </c>
      <c r="ET119" s="48" t="str">
        <f ca="1">IFERROR(INDEX($ER$3:$ES$400,MATCH(ROWS($ET$3:ET119),$ER$3:$ER$400,0),2),"")</f>
        <v/>
      </c>
      <c r="EV119" s="48">
        <f ca="1">IFERROR(INDEX(LIBRO_GIORNALE!$O$11:$P$408,MATCH(ROWS($EV$2:EV118),LIBRO_GIORNALE!$P$11:$P$408,0),1),0)</f>
        <v>0</v>
      </c>
      <c r="EW119" s="48" t="str">
        <f t="shared" ca="1" si="184"/>
        <v>0</v>
      </c>
      <c r="EX119" s="48">
        <f t="shared" ca="1" si="185"/>
        <v>0</v>
      </c>
      <c r="EY119" s="48">
        <f ca="1">IF(EX119&gt;0,MAX($EY$2:EY118)+1,0)</f>
        <v>0</v>
      </c>
      <c r="EZ119" s="48">
        <f ca="1">IFERROR(INDEX($EX$3:$EX$400,MATCH(ROWS($EZ$3:EZ119),$EY$3:$EY$400,0),1),0)</f>
        <v>0</v>
      </c>
      <c r="FA119" s="48">
        <f ca="1">IF(EZ119&gt;0,0,MAX($FA$2:FA118)+1)</f>
        <v>117</v>
      </c>
      <c r="FB119" s="48">
        <f t="shared" ca="1" si="186"/>
        <v>0</v>
      </c>
      <c r="FC119" s="48">
        <f t="shared" ca="1" si="187"/>
        <v>117</v>
      </c>
      <c r="FD119" s="48">
        <f t="shared" ca="1" si="188"/>
        <v>117</v>
      </c>
      <c r="FE119" s="48">
        <f ca="1">IF(FD119=0,0,MAX($FE$2:FE118)+1)</f>
        <v>117</v>
      </c>
      <c r="FF119" s="48">
        <f ca="1">IFERROR(INDEX($FD$3:$FE$400,MATCH(ROWS($FF$3:FF119),$FE$3:$FE$400,0),1),"")</f>
        <v>117</v>
      </c>
      <c r="FG119" s="48">
        <f t="shared" ca="1" si="255"/>
        <v>0</v>
      </c>
      <c r="FH119" s="48">
        <f t="shared" ca="1" si="189"/>
        <v>0</v>
      </c>
      <c r="FI119" s="48">
        <f ca="1">IF(FH119&lt;&gt;0,MAX($FI$2:FI118)+1,0)</f>
        <v>0</v>
      </c>
      <c r="FJ119" s="48" t="str">
        <f ca="1">IFERROR(INDEX($FH$3:$FI$400,MATCH(ROWS($FJ$3:FJ119),$FI$3:$FI$400,0),1),"")</f>
        <v/>
      </c>
      <c r="FK119" s="48">
        <f ca="1">IF(ABS(SUMIFS(DARE,DEN_G,"="&amp;FJ119,DATA,"&lt;="&amp;FINE_AC,DATA,"&gt;="&amp;INIZIO_A_PC)-SUMIFS(AVERE,DEN_G,"="&amp;FJ119,DATA,"&lt;="&amp;FINE_AC,DATA,"&gt;="&amp;INIZIO_A_PC))&gt;0,MAX($FK$2:FK118)+1,0)</f>
        <v>0</v>
      </c>
      <c r="FL119" s="48" t="str">
        <f ca="1">IF(AND(ROW()-2&lt;&gt;1,ROW()-2&lt;=$FK$1),CONCATENATE(" - ",IFERROR(INDEX($FJ$3:$FK$400,MATCH(ROWS($FL$3:FL119),$FK$3:$FK$400,0),1),"")),IFERROR(INDEX($FJ$3:$FK$400,MATCH(ROWS($FL$3:FL119),$FK$3:$FK$400,0),1),""))</f>
        <v/>
      </c>
      <c r="FM119" s="48">
        <f ca="1">IF(OR(B119="IVA ns/credito",B119="IVA NS/DEBITO",B119="IVA C/ACCONTO",B119="IMPOSTE C/ACCONTO",B119="CREDITI PER RITENUTE SUBITE",B119="CREDITI D'IMPOSTA"),MAX($FM$2:FM118)+1,0)</f>
        <v>0</v>
      </c>
      <c r="FN119" s="48" t="str">
        <f t="shared" ca="1" si="190"/>
        <v/>
      </c>
      <c r="FO119" s="48" t="str">
        <f ca="1">IFERROR(INDEX($FM$3:$FN$400,MATCH(ROWS($FO$3:FO119),$FM$3:$FM$400,0),2),"")</f>
        <v/>
      </c>
      <c r="FP119" s="48">
        <f ca="1">IF(ABS(SUMIFS(DARE,DEN_G,"="&amp;FO119,DATA,"&lt;="&amp;FINE_AC,DATA,"&gt;="&amp;INIZIO_A_PC)-SUMIFS(AVERE,DEN_G,"="&amp;FO119,DATA,"&lt;="&amp;FINE_AC,DATA,"&gt;="&amp;INIZIO_A_PC))&gt;0,MAX($FP$2:FP118)+1,0)</f>
        <v>0</v>
      </c>
      <c r="FQ119" s="48" t="str">
        <f ca="1">IF(AND(ROW()-2&lt;&gt;1,ROW()-2&lt;=$FP$1),CONCATENATE(" - ",IFERROR(INDEX($FO$3:$FP$400,MATCH(ROWS($FQ$3:FQ119),$FP$3:$FP$400,0),1),"")),IFERROR(INDEX($FO$3:$FP$400,MATCH(ROWS($FQ$3:FQ119),$FP$3:$FP$400,0),1),""))</f>
        <v/>
      </c>
    </row>
    <row r="120" spans="1:173" x14ac:dyDescent="0.3">
      <c r="A120" s="48" t="str">
        <f ca="1">IFERROR(IF($A$1=2,INDEX($DH$3:$DN$401,MATCH(ROWS(A$3:A120),$DN$3:$DN$401,0),COLUMN()),IF($A$1=1,INDEX($DQ$3:$DW$401,MATCH(ROWS(A$3:A120),$DW$3:$DW$401,0),COLUMN()),"")),"")</f>
        <v>10.42</v>
      </c>
      <c r="B120" s="48" t="str">
        <f ca="1">IFERROR(IF($A$1=2,INDEX($DH$3:$DN$401,MATCH(ROWS(B$3:B120),$DN$3:$DN$401,0),COLUMN()),IF($A$1=1,INDEX($DQ$3:$DW$400,MATCH(ROWS(B$3:B120),$DW$3:$DW$401,0),COLUMN()),"")),"")</f>
        <v>RISERVA NEGATIVA PER AZIONI PROPRIE</v>
      </c>
      <c r="C120" s="48" t="str">
        <f ca="1">IFERROR(IF($A$1=2,INDEX($DH$3:$DN$401,MATCH(ROWS(C$3:C120),$DN$3:$DN$401,0),COLUMN()),IF($A$1=1,INDEX($DQ$3:$DW$401,MATCH(ROWS(C$3:C120),$DW$3:$DW$401,0),COLUMN()),"")),"")</f>
        <v>E</v>
      </c>
      <c r="D120" s="48" t="str">
        <f ca="1">IFERROR(IF($A$1=2,INDEX($DH$3:$DN$401,MATCH(ROWS(D$3:D120),$DN$3:$DN$401,0),COLUMN()),IF($A$1=1,INDEX($DQ$3:$DW$401,MATCH(ROWS(D$3:D120),$DW$3:$DW$401,0),COLUMN()),"")),"")</f>
        <v>D</v>
      </c>
      <c r="E120" s="48" t="str">
        <f ca="1">IFERROR(IF($A$1=2,INDEX($DH$3:$DN$401,MATCH(ROWS(E$3:E120),$DN$3:$DN$401,0),COLUMN()),IF($A$1=1,INDEX($DQ$3:$DW$401,MATCH(ROWS(E$3:E120),$DW$3:$DW$401,0),COLUMN()),"")),"")</f>
        <v>PATRIMONIO NETTO</v>
      </c>
      <c r="F120" s="48" t="str">
        <f ca="1">IFERROR(IF($A$1=2,INDEX($DH$3:$DN$401,MATCH(ROWS(F$3:F120),$DN$3:$DN$401,0),COLUMN()),IF($A$1=1,INDEX($DQ$3:$DX$401,MATCH(ROWS(F$3:F120),$DW$3:$DW$401,0),COLUMN()),"")),"")</f>
        <v>SP DARE</v>
      </c>
      <c r="G120" s="48" t="str">
        <f t="shared" ca="1" si="150"/>
        <v>SP</v>
      </c>
      <c r="H120" s="48" t="str">
        <f ca="1">IFERROR(IF($A$1=2,INDEX($DH$3:$DO$400,MATCH(ROWS(H$3:H120),$DN$3:$DN$400,0),COLUMN()),IF($A$1=1,INDEX($DQ$3:$DX$400,MATCH(ROWS(H$3:H120),$DW$3:$DW$400,0),COLUMN()),"")),"")</f>
        <v>ppa10</v>
      </c>
      <c r="I120" s="48" t="str">
        <f t="shared" ca="1" si="151"/>
        <v/>
      </c>
      <c r="J120" s="48" t="str">
        <f t="shared" ca="1" si="152"/>
        <v/>
      </c>
      <c r="K120" s="48">
        <f t="shared" ca="1" si="153"/>
        <v>0</v>
      </c>
      <c r="L120" s="48">
        <f t="shared" ca="1" si="154"/>
        <v>0</v>
      </c>
      <c r="M120" s="48">
        <f ca="1">IFERROR(IF(IF(MID($A120,3,3)=".00",MID(A120,1,2),"")&lt;&gt;"",MAX($M$2:M119)+1,0),"")</f>
        <v>0</v>
      </c>
      <c r="N120" s="48" t="str">
        <f t="shared" ca="1" si="155"/>
        <v/>
      </c>
      <c r="O120" s="48" t="str">
        <f ca="1">IF(IFERROR(INDEX($N$3:$O$300,MATCH(ROWS($O$3:O120),$M$3:$M$300,0),1),"")&lt;&gt;"",CONCATENATE(INDEX($N$3:$O$300,MATCH(ROWS($O$3:O120),$M$3:$M$300,0),1),".00"),"")</f>
        <v/>
      </c>
      <c r="P120" s="48" t="str">
        <f t="shared" ca="1" si="156"/>
        <v/>
      </c>
      <c r="Q120" s="48">
        <f ca="1">IF(M120&gt;=1,0,MAX($Q$2:Q119)+1)</f>
        <v>107</v>
      </c>
      <c r="U120" s="48" t="str">
        <f ca="1">IFERROR(INDEX(PDC,MATCH(ROWS(U$3:U120),$V$3:$V$400,0),2),"")</f>
        <v>SOVVENZIONI BANCARIE</v>
      </c>
      <c r="V120" s="48">
        <f ca="1">IF(AND($T$1="VISUALIZZA TUTTI I CONTI",AA120&lt;&gt;""),MAX($V$2:V119)+1,IF(AND($U$2=2,AI120=$T$1),MAX($V$2:V119)+1,IF(AND($U$2=1,$T$1=AF120),MAX($V$2:V119)+1,0)))</f>
        <v>118</v>
      </c>
      <c r="Z120" s="246"/>
      <c r="AA120" s="48" t="str">
        <f t="shared" ca="1" si="157"/>
        <v>13.00</v>
      </c>
      <c r="AB120" s="48" t="str">
        <f ca="1">IFERROR(INDEX($A$3:$G$400,MATCH(ROWS(AB$3:AB120),$Q$3:$Q$400,0),1),"")</f>
        <v>13.15</v>
      </c>
      <c r="AC120" s="48" t="str">
        <f ca="1">IFERROR(INDEX($A$3:$G$400,MATCH(ROWS($AC$3:AC120),$Q$3:$Q$400,0),2),"")</f>
        <v>SOVVENZIONI BANCARIE</v>
      </c>
      <c r="AD120" s="48" t="str">
        <f ca="1">IFERROR(INDEX($A$3:$G$400,MATCH(ROWS(AD$3:AD120),$Q$3:$Q$400,0),3),"")</f>
        <v>F</v>
      </c>
      <c r="AE120" s="48" t="str">
        <f ca="1">IFERROR(INDEX($A$3:$G$400,MATCH(ROWS(AE$3:AE120),$Q$3:$Q$400,0),4),"")</f>
        <v>A</v>
      </c>
      <c r="AF120" s="48" t="str">
        <f ca="1">IFERROR(INDEX($A$3:$G$400,MATCH(ROWS(AF$3:AF120),$Q$3:$Q$400,0),5),"")</f>
        <v>DEBITI</v>
      </c>
      <c r="AG120" s="48" t="str">
        <f ca="1">IFERROR(INDEX($A$3:$G$400,MATCH(ROWS(AG$3:AG120),$Q$3:$Q$400,0),6),"")</f>
        <v>SP AVERE</v>
      </c>
      <c r="AH120" s="48" t="str">
        <f ca="1">IFERROR(INDEX($A$3:$G$400,MATCH(ROWS(AH$3:AH120),$Q$3:$Q$400,0),7),"")</f>
        <v>SP</v>
      </c>
      <c r="AI120" s="48" t="str">
        <f t="shared" ca="1" si="158"/>
        <v>DEBITI FINANZIARI</v>
      </c>
      <c r="AJ120" s="48" t="str">
        <f ca="1">IFERROR(INDEX($A$3:$H$400,MATCH(ROWS(AJ$3:AJ120),$Q$3:$Q$400,0),8),"")</f>
        <v>ppd</v>
      </c>
      <c r="AK120" s="48">
        <f t="shared" ca="1" si="130"/>
        <v>0</v>
      </c>
      <c r="AL120" s="48">
        <f t="shared" ca="1" si="251"/>
        <v>0</v>
      </c>
      <c r="AM120" s="48">
        <f t="shared" ca="1" si="252"/>
        <v>0</v>
      </c>
      <c r="AN120" s="48">
        <f t="shared" ca="1" si="253"/>
        <v>0</v>
      </c>
      <c r="AO120" s="48">
        <f t="shared" ca="1" si="254"/>
        <v>0</v>
      </c>
      <c r="AP120" s="48">
        <f t="shared" ca="1" si="254"/>
        <v>0</v>
      </c>
      <c r="AQ120" s="48" t="str">
        <f t="shared" ca="1" si="132"/>
        <v>SOVVENZIONI BANCARIE</v>
      </c>
      <c r="AR120" s="48">
        <f t="shared" ca="1" si="133"/>
        <v>0</v>
      </c>
      <c r="AS120" s="48">
        <f t="shared" ca="1" si="134"/>
        <v>0</v>
      </c>
      <c r="AT120" s="48">
        <f t="shared" ca="1" si="162"/>
        <v>0</v>
      </c>
      <c r="AU120" s="48">
        <f t="shared" ca="1" si="163"/>
        <v>0</v>
      </c>
      <c r="AV120" s="48">
        <f ca="1">IF(OR(AT120&gt;0,AU120&gt;0),MAX($AV$2:AV119)+1,0)</f>
        <v>0</v>
      </c>
      <c r="AZ120" s="241" t="str">
        <f t="shared" si="240"/>
        <v>20 V.I.</v>
      </c>
      <c r="BA120" s="48">
        <f t="shared" ca="1" si="241"/>
        <v>0</v>
      </c>
      <c r="BB120" s="48">
        <f t="shared" ca="1" si="247"/>
        <v>0</v>
      </c>
      <c r="BC120" s="48" t="str">
        <f t="shared" ca="1" si="248"/>
        <v/>
      </c>
      <c r="BD120" s="48">
        <f t="shared" ca="1" si="249"/>
        <v>0</v>
      </c>
      <c r="BE120" s="48">
        <f t="shared" ca="1" si="250"/>
        <v>0</v>
      </c>
      <c r="BF120" s="48">
        <v>18</v>
      </c>
      <c r="BG120" s="48">
        <f ca="1">IF(IF(AND(OR(INDEX(PDC,MATCH($AC120,DEN_PDC,0),6)="SP DARE",INDEX(PDC,MATCH($AC120,DEN_PDC,0),6)="SP DARE/AVERE"),SUMIFS(DARE,DEN_G,$AC120)&gt;=SUMIFS(AVERE,DEN_G,$AC120)),SUMIFS(DARE,DEN_G,$AC120)-SUMIFS(AVERE,DEN_G,$AC120),0)&gt;0,MAX($BG$2:BG119)+1,0)</f>
        <v>0</v>
      </c>
      <c r="BH120" s="48">
        <f ca="1">IF(IF(AND(OR(INDEX(PDC,MATCH($AC120,DEN_PDC,0),6)="SP AVERE",INDEX(PDC,MATCH($AC120,DEN_PDC,0),6)="SP DARE/AVERE"),SUMIFS(AVERE,DEN_G,$AC120)&gt;=SUMIFS(DARE,DEN_G,$AC120)),SUMIFS(AVERE,DEN_G,$AC120)-SUMIFS(DARE,DEN_G,$AC120),0)&gt;0,MAX(BH$2:BH119)+1,0)</f>
        <v>0</v>
      </c>
      <c r="BI120" s="48">
        <f ca="1">IF(IF(AND(OR(INDEX(PDC,MATCH($AC120,DEN_PDC,0),6)="SE DARE",INDEX(PDC,MATCH($AC120,DEN_PDC,0),6)="SE DARE/AVERE"),SUMIFS(DARE,DEN_G,$AC120)&gt;=SUMIFS(AVERE,DEN_G,$AC120)),SUMIFS(DARE,DEN_G,$AC120)-SUMIFS(AVERE,DEN_G,$AC120),0)&gt;0,MAX(BI$2:BI119)+1,0)</f>
        <v>0</v>
      </c>
      <c r="BJ120" s="48">
        <f ca="1">IF(IF(AND(OR(INDEX(PDC,MATCH($AC120,DEN_PDC,0),6)="SE AVERE",INDEX(PDC,MATCH($AC120,DEN_PDC,0),6)="SE DARE/AVERE"),SUMIFS(AVERE,DEN_G,$AC120)&gt;=SUMIFS(DARE,DEN_G,$AC120)),SUMIFS(AVERE,DEN_G,$AC120)-SUMIFS(DARE,DEN_G,$AC120),0)&gt;0,MAX(BJ$2:BJ119)+1,0)</f>
        <v>0</v>
      </c>
      <c r="BK120" s="48" t="str">
        <f ca="1">IF(AND(AND($DY$2=0,$DY$1=0),$I$1=2,ROW()&gt;$BG$1+2,ROW()&lt;=$BG$1+4),"………………..",IF(AND(OR($DY$2&gt;0,$DY$1&gt;0),$I$1=2,ROW()&gt;$BG$1+2,ROW()&lt;=$BG$1+4),"………………..",IFERROR(INDEX($AC$3:$AC$398,MATCH(ROWS(BK$3:BK120),BG$3:BG$398,0),1),"")))</f>
        <v/>
      </c>
      <c r="BL120" s="48">
        <f t="shared" ca="1" si="136"/>
        <v>0</v>
      </c>
      <c r="BM120" s="48" t="str">
        <f ca="1">IF(AND(OR($DY$2=0,$DY$1=0),$I$1=2,ROW()&gt;$BH$1+2,ROW()&lt;=$BH$1+4),"………………..",IF(AND(OR($DY$2&gt;0,$DY$1&gt;0),$I$1=2,ROW()&gt;$BH$1+2,ROW()&lt;=$BH$1+4),"………………..",IFERROR(INDEX($AC$3:$AC$400,MATCH(ROWS(BM$3:BM120),BH$3:BH$400,0),1),"")))</f>
        <v/>
      </c>
      <c r="BN120" s="48">
        <f t="shared" ca="1" si="137"/>
        <v>0</v>
      </c>
      <c r="BO120" s="48" t="str">
        <f ca="1">IF(AND(OR($DY$2=0,$DY$1=0),$I$1=2,ROW()&gt;$BI$1+2,ROW()&lt;=$BI$1+4),"………………..",IF(AND(OR($DY$2&gt;0,$DY$1&gt;0),$I$1=2,ROW()&gt;$BI$1+2,ROW()&lt;=$BI$1+4),"………………..",IFERROR(INDEX($AC$3:$AC$400,MATCH(ROWS(BO$3:BO120),BI$3:BI$400,0),1),"")))</f>
        <v/>
      </c>
      <c r="BP120" s="48">
        <f t="shared" ca="1" si="138"/>
        <v>0</v>
      </c>
      <c r="BQ120" s="48" t="str">
        <f ca="1">IF(AND(OR($DY$2=0,$DY$1=0),$I$1=2,ROW()&gt;$BJ$1+2,ROW()&lt;=$BJ$1+4),"………………..",IF(AND(OR($DY$2&gt;0,$DY$1&gt;0),$I$1=2,ROW()&gt;$BJ$1+2,ROW()&lt;=$BJ$1+4),"………………..",IFERROR(INDEX($AC$3:$AC$400,MATCH(ROWS(BQ$3:BQ120),BJ$3:BJ$400,0),1),"")))</f>
        <v/>
      </c>
      <c r="BR120" s="48">
        <f t="shared" ca="1" si="139"/>
        <v>0</v>
      </c>
      <c r="BS120" s="48">
        <f ca="1">IF(IF(AND(OR(INDEX(PDC,MATCH($AC120,DEN_PDC,0),4)="D",INDEX(PDC,MATCH($AC120,DEN_PDC,0),4)="D/A"),SUMIFS(DARE,DEN_G,$AC120)&gt;=SUMIFS(AVERE,DEN_G,$AC120)),SUMIFS(DARE,DEN_G,$AC120),IF(AND(OR(INDEX(PDC,MATCH($AC120,DEN_PDC,0),4)="A",INDEX(PDC,MATCH($AC120,DEN_PDC,0),4)="D/A"),SUMIFS(AVERE,DEN_G,$AC120)&gt;=SUMIFS(DARE,DEN_G,$AC120)),SUMIFS(AVERE,DEN_G,$AC120),))&gt;0,MAX($BS$2:BS119)+1,0)</f>
        <v>0</v>
      </c>
      <c r="BT120" s="48" t="str">
        <f ca="1">IF($CO$1=0,"",IF(AND($I$1=2,ROW()&gt;$BR$1,ROW()&lt;=$BS$1)," …………….",IF(AND($E$1=1,$BX$1=1,$I$1=2,ROW()=$BQ$1),"TOTALI",IFERROR(INDEX(PDC,MATCH(ROWS(BT$3:BT120),BS$3:BS517,0),2),""))))</f>
        <v/>
      </c>
      <c r="BU120" s="48">
        <f t="shared" ca="1" si="140"/>
        <v>0</v>
      </c>
      <c r="BV120" s="48">
        <f t="shared" ca="1" si="141"/>
        <v>0</v>
      </c>
      <c r="BW120" s="48">
        <f t="shared" ca="1" si="142"/>
        <v>0</v>
      </c>
      <c r="BX120" s="48">
        <f t="shared" ca="1" si="143"/>
        <v>0</v>
      </c>
      <c r="BY120" s="48">
        <f ca="1">IF(OR(BW120&gt;0,BX120&gt;0),MAX($BY$2:BY119)+1,0)</f>
        <v>0</v>
      </c>
      <c r="BZ120" s="48" t="str">
        <f ca="1">IFERROR(INDEX($BT$3:$BY$400,MATCH(ROWS(BZ$3:BZ120),$BY$3:$BY$400,0),1),"")</f>
        <v/>
      </c>
      <c r="CA120" s="48" t="str">
        <f ca="1">IFERROR(INDEX($BT$3:$BY$400,MATCH(ROWS(CA$3:CA120),$BY$3:$BY$400,0),4),"")</f>
        <v/>
      </c>
      <c r="CB120" s="48" t="str">
        <f ca="1">IFERROR(INDEX($BT$3:$BY$400,MATCH(ROWS(CB$3:CB120),$BY$3:$BY$400,0),5),"")</f>
        <v/>
      </c>
      <c r="CC120" s="48" t="str">
        <f t="shared" ca="1" si="144"/>
        <v/>
      </c>
      <c r="CD120" s="48">
        <f ca="1">IF(AND($BF$9=1,CE120&lt;&gt;0),MAX($CD$104:CD119)+1,0)</f>
        <v>0</v>
      </c>
      <c r="CE120" s="48">
        <f ca="1">SUM(ROUND(SUMIFS(COPIA!$CB$3:$CB$400,COPIA!$CC$3:$CC$400,CF120)-SUMIFS(COPIA!$CA$3:$CA$400,COPIA!$CC$3:$CC$400,CF120),0))</f>
        <v>0</v>
      </c>
      <c r="CF120" s="48" t="s">
        <v>654</v>
      </c>
      <c r="CG120" s="242" t="str">
        <f ca="1">IF(CE120&lt;0,"VIII - Perdite portate a nuovo","VIII - Utili portati a nuovo")</f>
        <v>VIII - Utili portati a nuovo</v>
      </c>
      <c r="CH120" s="48">
        <f t="shared" ca="1" si="259"/>
        <v>0</v>
      </c>
      <c r="CJ120" s="242"/>
      <c r="CM120" s="242" t="str">
        <f t="shared" ca="1" si="166"/>
        <v/>
      </c>
      <c r="CN120" s="243">
        <f t="shared" ca="1" si="167"/>
        <v>0</v>
      </c>
      <c r="CO120" s="48" t="str">
        <f t="shared" ca="1" si="168"/>
        <v/>
      </c>
      <c r="CQ120" s="242"/>
      <c r="CR120" s="242"/>
      <c r="CU120" s="48">
        <f ca="1">IF(SUMIFS(AVERE,DEN_G,AC120,AVERE,"&gt;"&amp;0)+SUMIFS(DARE,DEN_G,AC120,DARE,"&gt;"&amp;0)&gt;0,MAX($CU$2:CU119)+1,0)</f>
        <v>0</v>
      </c>
      <c r="CV120" s="48" t="str">
        <f ca="1">IF(IFERROR(INDEX(PDC,MATCH(ROWS($CV$3:CV120),$CU$3:$CU$400,0),2),"")="CONTO DI RISULTATO ECONOMICO","",IFERROR(INDEX(PDC,MATCH(ROWS($CV$3:CV120),$CU$3:$CU$400,0),2),""))</f>
        <v/>
      </c>
      <c r="CW120" s="48">
        <f ca="1">IFERROR(IF(CV120&lt;&gt;"",MAX($CW$2:CW119)+1,0),0)</f>
        <v>0</v>
      </c>
      <c r="CX120" s="48">
        <f ca="1">$FF$12</f>
        <v>10</v>
      </c>
      <c r="CY120" s="48" t="str">
        <f t="shared" ref="CY120:CY131" ca="1" si="269">IF(ISERROR(INDEX($CV$3:$CX$1302,MATCH(CX120,$CW$3:$CW$1302,0),1)),"MASTRO",INDEX($CV$3:$CX$1302,MATCH(CX120,$CW$3:$CW$1302,0),1))</f>
        <v>MASTRO</v>
      </c>
      <c r="DA120" s="48" t="str">
        <f>IF(CY119="MASTRO","Conto n.","")</f>
        <v>Conto n.</v>
      </c>
      <c r="DB120" s="48" t="str">
        <f ca="1">IF(CY120=0,"",INDEX(PDC,MATCH(DC120,DEN_PDC,0),1))</f>
        <v/>
      </c>
      <c r="DC120" s="48" t="str">
        <f ca="1">IF(OR(CY120=0,CY120="mastro"),"",CY120)</f>
        <v/>
      </c>
      <c r="DD120" s="48" t="str">
        <f ca="1">IF(AND($DA$2=TRUE,OR(INDEX(PDC,MATCH($DC120,DEN_PDC,0),4)="A",INDEX(PDC,MATCH($DC120,DEN_PDC,0),4)="D/A"),SUMIFS(AVERE,DEN_G,"="&amp;$DC120,DATA,"&lt;="&amp;FINE_AC,DATA,"&gt;="&amp;INIZIO_AC)&gt;SUMIFS(DARE,DEN_G,"="&amp;$DC120,DATA,"&lt;="&amp;FINE_AC,DATA,"&gt;="&amp;INIZIO_AC)),CONCATENATE("s ",FIXED(ABS(SUMIFS(AVERE,DEN_G,"="&amp;$DC120,DATA,"&lt;="&amp;FINE_AC,DATA,"&gt;="&amp;INIZIO_AC)-SUMIFS(DARE,DEN_G,"="&amp;$DC120,DATA,"&lt;="&amp;FINE_AC,DATA,"&gt;="&amp;INIZIO_AC)),2)),"")</f>
        <v/>
      </c>
      <c r="DE120" s="48" t="str">
        <f ca="1">IF(AND($DA$2=TRUE,OR(INDEX(PDC,MATCH($DC120,DEN_PDC,0),4)="D",INDEX(PDC,MATCH($DC120,DEN_PDC,0),4)="D/A"),SUMIFS(DARE,DEN_G,"="&amp;$DC120,DATA,"&lt;="&amp;FINE_AC,DATA,"&gt;="&amp;INIZIO_AC)&gt;SUMIFS(AVERE,DEN_G,"="&amp;$DC120,DATA,"&lt;="&amp;FINE_AC,DATA,"&gt;="&amp;INIZIO_AC)),CONCATENATE("s ",FIXED(ABS(SUMIFS(DARE,DEN_G,"="&amp;$DC120,DATA,"&lt;="&amp;FINE_AC,DATA,"&gt;="&amp;INIZIO_AC)-SUMIFS(AVERE,DEN_G,"="&amp;$DC120,DATA,"&lt;="&amp;FINE_AC,DATA,"&gt;="&amp;INIZIO_AC)),2)),"")</f>
        <v/>
      </c>
      <c r="DF120" s="48">
        <f ca="1">IF(AND(CX120=$DF$1,CX120&lt;&gt;""),0,IF(AND(DB120&lt;&gt;"",OR(DB119&lt;&gt;"",DB121&lt;&gt;"")),MAX($DF$2:DF119)+1,0))</f>
        <v>0</v>
      </c>
      <c r="DH120" s="244" t="s">
        <v>90</v>
      </c>
      <c r="DI120" s="228" t="s">
        <v>89</v>
      </c>
      <c r="DN120" s="48">
        <f ca="1">IF(DI120&lt;&gt;"",MAX($DN$2:DN119)+1,0)</f>
        <v>100</v>
      </c>
      <c r="DQ120" s="227" t="s">
        <v>96</v>
      </c>
      <c r="DR120" s="48" t="s">
        <v>383</v>
      </c>
      <c r="DS120" s="48" t="s">
        <v>311</v>
      </c>
      <c r="DT120" s="48" t="s">
        <v>298</v>
      </c>
      <c r="DU120" s="48" t="s">
        <v>4</v>
      </c>
      <c r="DV120" s="48" t="s">
        <v>299</v>
      </c>
      <c r="DW120" s="48">
        <f ca="1">IF(DR120&lt;&gt;"",MAX($DW$2:DW119)+1,0)</f>
        <v>76</v>
      </c>
      <c r="DX120" s="48" t="s">
        <v>649</v>
      </c>
      <c r="DY120" s="48" t="str">
        <f t="shared" ca="1" si="147"/>
        <v/>
      </c>
      <c r="DZ120" s="48" t="str">
        <f t="shared" ca="1" si="170"/>
        <v/>
      </c>
      <c r="EA120" s="48" t="str">
        <f t="shared" ca="1" si="171"/>
        <v/>
      </c>
      <c r="EB120" s="48">
        <f t="shared" ca="1" si="172"/>
        <v>0</v>
      </c>
      <c r="EC120" s="48">
        <f t="shared" ca="1" si="173"/>
        <v>0</v>
      </c>
      <c r="ED120" s="48" t="str">
        <f t="shared" ca="1" si="174"/>
        <v/>
      </c>
      <c r="EE120" s="48">
        <f t="shared" ca="1" si="175"/>
        <v>0</v>
      </c>
      <c r="EF120" s="48" t="str">
        <f t="shared" ca="1" si="176"/>
        <v/>
      </c>
      <c r="EG120" s="48">
        <f t="shared" ca="1" si="177"/>
        <v>0</v>
      </c>
      <c r="EH120" s="48" t="str">
        <f t="shared" ca="1" si="178"/>
        <v/>
      </c>
      <c r="EI120" s="48">
        <f t="shared" ca="1" si="179"/>
        <v>0</v>
      </c>
      <c r="EJ120" s="48" t="str">
        <f t="shared" ca="1" si="180"/>
        <v/>
      </c>
      <c r="EK120" s="48">
        <f t="shared" ca="1" si="181"/>
        <v>0</v>
      </c>
      <c r="EL120" s="48">
        <f t="shared" ca="1" si="148"/>
        <v>0</v>
      </c>
      <c r="EM120" s="48">
        <f ca="1">IF(EL120&gt;=0,0,MAX($EM$2:EM119)+1)</f>
        <v>0</v>
      </c>
      <c r="EN120" s="48" t="str">
        <f t="shared" ca="1" si="182"/>
        <v/>
      </c>
      <c r="EO120" s="48" t="str">
        <f ca="1">IFERROR(INDEX($EM$3:$EN$400,MATCH(ROWS($EO$3:EO120),$EM$3:$EM$400,0),2),"")</f>
        <v/>
      </c>
      <c r="EP120" s="48">
        <f>ROW()</f>
        <v>120</v>
      </c>
      <c r="EQ120" s="48">
        <f t="shared" ca="1" si="149"/>
        <v>0</v>
      </c>
      <c r="ER120" s="48">
        <f ca="1">IF(ISNA(EQ120)=TRUE,MAX($ER$2:ER119)+1,0)</f>
        <v>0</v>
      </c>
      <c r="ES120" s="48" t="str">
        <f t="shared" ca="1" si="183"/>
        <v/>
      </c>
      <c r="ET120" s="48" t="str">
        <f ca="1">IFERROR(INDEX($ER$3:$ES$400,MATCH(ROWS($ET$3:ET120),$ER$3:$ER$400,0),2),"")</f>
        <v/>
      </c>
      <c r="EV120" s="48">
        <f ca="1">IFERROR(INDEX(LIBRO_GIORNALE!$O$11:$P$408,MATCH(ROWS($EV$2:EV119),LIBRO_GIORNALE!$P$11:$P$408,0),1),0)</f>
        <v>0</v>
      </c>
      <c r="EW120" s="48" t="str">
        <f t="shared" ca="1" si="184"/>
        <v>0</v>
      </c>
      <c r="EX120" s="48">
        <f t="shared" ca="1" si="185"/>
        <v>0</v>
      </c>
      <c r="EY120" s="48">
        <f ca="1">IF(EX120&gt;0,MAX($EY$2:EY119)+1,0)</f>
        <v>0</v>
      </c>
      <c r="EZ120" s="48">
        <f ca="1">IFERROR(INDEX($EX$3:$EX$400,MATCH(ROWS($EZ$3:EZ120),$EY$3:$EY$400,0),1),0)</f>
        <v>0</v>
      </c>
      <c r="FA120" s="48">
        <f ca="1">IF(EZ120&gt;0,0,MAX($FA$2:FA119)+1)</f>
        <v>118</v>
      </c>
      <c r="FB120" s="48">
        <f t="shared" ca="1" si="186"/>
        <v>0</v>
      </c>
      <c r="FC120" s="48">
        <f t="shared" ca="1" si="187"/>
        <v>118</v>
      </c>
      <c r="FD120" s="48">
        <f t="shared" ca="1" si="188"/>
        <v>118</v>
      </c>
      <c r="FE120" s="48">
        <f ca="1">IF(FD120=0,0,MAX($FE$2:FE119)+1)</f>
        <v>118</v>
      </c>
      <c r="FF120" s="48">
        <f ca="1">IFERROR(INDEX($FD$3:$FE$400,MATCH(ROWS($FF$3:FF120),$FE$3:$FE$400,0),1),"")</f>
        <v>118</v>
      </c>
      <c r="FG120" s="48">
        <f t="shared" ca="1" si="255"/>
        <v>0</v>
      </c>
      <c r="FH120" s="48">
        <f t="shared" ca="1" si="189"/>
        <v>0</v>
      </c>
      <c r="FI120" s="48">
        <f ca="1">IF(FH120&lt;&gt;0,MAX($FI$2:FI119)+1,0)</f>
        <v>0</v>
      </c>
      <c r="FJ120" s="48" t="str">
        <f ca="1">IFERROR(INDEX($FH$3:$FI$400,MATCH(ROWS($FJ$3:FJ120),$FI$3:$FI$400,0),1),"")</f>
        <v/>
      </c>
      <c r="FK120" s="48">
        <f ca="1">IF(ABS(SUMIFS(DARE,DEN_G,"="&amp;FJ120,DATA,"&lt;="&amp;FINE_AC,DATA,"&gt;="&amp;INIZIO_A_PC)-SUMIFS(AVERE,DEN_G,"="&amp;FJ120,DATA,"&lt;="&amp;FINE_AC,DATA,"&gt;="&amp;INIZIO_A_PC))&gt;0,MAX($FK$2:FK119)+1,0)</f>
        <v>0</v>
      </c>
      <c r="FL120" s="48" t="str">
        <f ca="1">IF(AND(ROW()-2&lt;&gt;1,ROW()-2&lt;=$FK$1),CONCATENATE(" - ",IFERROR(INDEX($FJ$3:$FK$400,MATCH(ROWS($FL$3:FL120),$FK$3:$FK$400,0),1),"")),IFERROR(INDEX($FJ$3:$FK$400,MATCH(ROWS($FL$3:FL120),$FK$3:$FK$400,0),1),""))</f>
        <v/>
      </c>
      <c r="FM120" s="48">
        <f ca="1">IF(OR(B120="IVA ns/credito",B120="IVA NS/DEBITO",B120="IVA C/ACCONTO",B120="IMPOSTE C/ACCONTO",B120="CREDITI PER RITENUTE SUBITE",B120="CREDITI D'IMPOSTA"),MAX($FM$2:FM119)+1,0)</f>
        <v>0</v>
      </c>
      <c r="FN120" s="48" t="str">
        <f t="shared" ca="1" si="190"/>
        <v/>
      </c>
      <c r="FO120" s="48" t="str">
        <f ca="1">IFERROR(INDEX($FM$3:$FN$400,MATCH(ROWS($FO$3:FO120),$FM$3:$FM$400,0),2),"")</f>
        <v/>
      </c>
      <c r="FP120" s="48">
        <f ca="1">IF(ABS(SUMIFS(DARE,DEN_G,"="&amp;FO120,DATA,"&lt;="&amp;FINE_AC,DATA,"&gt;="&amp;INIZIO_A_PC)-SUMIFS(AVERE,DEN_G,"="&amp;FO120,DATA,"&lt;="&amp;FINE_AC,DATA,"&gt;="&amp;INIZIO_A_PC))&gt;0,MAX($FP$2:FP119)+1,0)</f>
        <v>0</v>
      </c>
      <c r="FQ120" s="48" t="str">
        <f ca="1">IF(AND(ROW()-2&lt;&gt;1,ROW()-2&lt;=$FP$1),CONCATENATE(" - ",IFERROR(INDEX($FO$3:$FP$400,MATCH(ROWS($FQ$3:FQ120),$FP$3:$FP$400,0),1),"")),IFERROR(INDEX($FO$3:$FP$400,MATCH(ROWS($FQ$3:FQ120),$FP$3:$FP$400,0),1),""))</f>
        <v/>
      </c>
    </row>
    <row r="121" spans="1:173" x14ac:dyDescent="0.3">
      <c r="A121" s="48" t="str">
        <f ca="1">IFERROR(IF($A$1=2,INDEX($DH$3:$DN$401,MATCH(ROWS(A$3:A121),$DN$3:$DN$401,0),COLUMN()),IF($A$1=1,INDEX($DQ$3:$DW$401,MATCH(ROWS(A$3:A121),$DW$3:$DW$401,0),COLUMN()),"")),"")</f>
        <v>11.00</v>
      </c>
      <c r="B121" s="48" t="str">
        <f ca="1">IFERROR(IF($A$1=2,INDEX($DH$3:$DN$401,MATCH(ROWS(B$3:B121),$DN$3:$DN$401,0),COLUMN()),IF($A$1=1,INDEX($DQ$3:$DW$400,MATCH(ROWS(B$3:B121),$DW$3:$DW$401,0),COLUMN()),"")),"")</f>
        <v>FONDI PER RISCHI E ONERI</v>
      </c>
      <c r="C121" s="48">
        <f ca="1">IFERROR(IF($A$1=2,INDEX($DH$3:$DN$401,MATCH(ROWS(C$3:C121),$DN$3:$DN$401,0),COLUMN()),IF($A$1=1,INDEX($DQ$3:$DW$401,MATCH(ROWS(C$3:C121),$DW$3:$DW$401,0),COLUMN()),"")),"")</f>
        <v>0</v>
      </c>
      <c r="D121" s="48">
        <f ca="1">IFERROR(IF($A$1=2,INDEX($DH$3:$DN$401,MATCH(ROWS(D$3:D121),$DN$3:$DN$401,0),COLUMN()),IF($A$1=1,INDEX($DQ$3:$DW$401,MATCH(ROWS(D$3:D121),$DW$3:$DW$401,0),COLUMN()),"")),"")</f>
        <v>0</v>
      </c>
      <c r="E121" s="48">
        <f ca="1">IFERROR(IF($A$1=2,INDEX($DH$3:$DN$401,MATCH(ROWS(E$3:E121),$DN$3:$DN$401,0),COLUMN()),IF($A$1=1,INDEX($DQ$3:$DW$401,MATCH(ROWS(E$3:E121),$DW$3:$DW$401,0),COLUMN()),"")),"")</f>
        <v>0</v>
      </c>
      <c r="F121" s="48">
        <f ca="1">IFERROR(IF($A$1=2,INDEX($DH$3:$DN$401,MATCH(ROWS(F$3:F121),$DN$3:$DN$401,0),COLUMN()),IF($A$1=1,INDEX($DQ$3:$DX$401,MATCH(ROWS(F$3:F121),$DW$3:$DW$401,0),COLUMN()),"")),"")</f>
        <v>0</v>
      </c>
      <c r="G121" s="48" t="str">
        <f t="shared" ca="1" si="150"/>
        <v>0</v>
      </c>
      <c r="H121" s="48">
        <f ca="1">IFERROR(IF($A$1=2,INDEX($DH$3:$DO$400,MATCH(ROWS(H$3:H121),$DN$3:$DN$400,0),COLUMN()),IF($A$1=1,INDEX($DQ$3:$DX$400,MATCH(ROWS(H$3:H121),$DW$3:$DW$400,0),COLUMN()),"")),"")</f>
        <v>0</v>
      </c>
      <c r="I121" s="48" t="str">
        <f t="shared" ca="1" si="151"/>
        <v/>
      </c>
      <c r="J121" s="48" t="str">
        <f t="shared" ca="1" si="152"/>
        <v/>
      </c>
      <c r="K121" s="48">
        <f t="shared" ca="1" si="153"/>
        <v>0</v>
      </c>
      <c r="L121" s="48">
        <f t="shared" ca="1" si="154"/>
        <v>0</v>
      </c>
      <c r="M121" s="48">
        <f ca="1">IFERROR(IF(IF(MID($A121,3,3)=".00",MID(A121,1,2),"")&lt;&gt;"",MAX($M$2:M120)+1,0),"")</f>
        <v>12</v>
      </c>
      <c r="N121" s="48" t="str">
        <f t="shared" ca="1" si="155"/>
        <v>11</v>
      </c>
      <c r="O121" s="48" t="str">
        <f ca="1">IF(IFERROR(INDEX($N$3:$O$300,MATCH(ROWS($O$3:O121),$M$3:$M$300,0),1),"")&lt;&gt;"",CONCATENATE(INDEX($N$3:$O$300,MATCH(ROWS($O$3:O121),$M$3:$M$300,0),1),".00"),"")</f>
        <v/>
      </c>
      <c r="P121" s="48" t="str">
        <f t="shared" ca="1" si="156"/>
        <v/>
      </c>
      <c r="Q121" s="48">
        <f ca="1">IF(M121&gt;=1,0,MAX($Q$2:Q120)+1)</f>
        <v>0</v>
      </c>
      <c r="U121" s="48" t="str">
        <f ca="1">IFERROR(INDEX(PDC,MATCH(ROWS(U$3:U121),$V$3:$V$400,0),2),"")</f>
        <v>BANCHE C/C PASSIVI</v>
      </c>
      <c r="V121" s="48">
        <f ca="1">IF(AND($T$1="VISUALIZZA TUTTI I CONTI",AA121&lt;&gt;""),MAX($V$2:V120)+1,IF(AND($U$2=2,AI121=$T$1),MAX($V$2:V120)+1,IF(AND($U$2=1,$T$1=AF121),MAX($V$2:V120)+1,0)))</f>
        <v>119</v>
      </c>
      <c r="Z121" s="246"/>
      <c r="AA121" s="48" t="str">
        <f t="shared" ca="1" si="157"/>
        <v>13.00</v>
      </c>
      <c r="AB121" s="48" t="str">
        <f ca="1">IFERROR(INDEX($A$3:$G$400,MATCH(ROWS(AB$3:AB121),$Q$3:$Q$400,0),1),"")</f>
        <v>13.20</v>
      </c>
      <c r="AC121" s="48" t="str">
        <f ca="1">IFERROR(INDEX($A$3:$G$400,MATCH(ROWS($AC$3:AC121),$Q$3:$Q$400,0),2),"")</f>
        <v>BANCHE C/C PASSIVI</v>
      </c>
      <c r="AD121" s="48" t="str">
        <f ca="1">IFERROR(INDEX($A$3:$G$400,MATCH(ROWS(AD$3:AD121),$Q$3:$Q$400,0),3),"")</f>
        <v>F</v>
      </c>
      <c r="AE121" s="48" t="str">
        <f ca="1">IFERROR(INDEX($A$3:$G$400,MATCH(ROWS(AE$3:AE121),$Q$3:$Q$400,0),4),"")</f>
        <v>A</v>
      </c>
      <c r="AF121" s="48" t="str">
        <f ca="1">IFERROR(INDEX($A$3:$G$400,MATCH(ROWS(AF$3:AF121),$Q$3:$Q$400,0),5),"")</f>
        <v>DEBITI</v>
      </c>
      <c r="AG121" s="48" t="str">
        <f ca="1">IFERROR(INDEX($A$3:$G$400,MATCH(ROWS(AG$3:AG121),$Q$3:$Q$400,0),6),"")</f>
        <v>SP AVERE</v>
      </c>
      <c r="AH121" s="48" t="str">
        <f ca="1">IFERROR(INDEX($A$3:$G$400,MATCH(ROWS(AH$3:AH121),$Q$3:$Q$400,0),7),"")</f>
        <v>SP</v>
      </c>
      <c r="AI121" s="48" t="str">
        <f t="shared" ca="1" si="158"/>
        <v>DEBITI FINANZIARI</v>
      </c>
      <c r="AJ121" s="48" t="str">
        <f ca="1">IFERROR(INDEX($A$3:$H$400,MATCH(ROWS(AJ$3:AJ121),$Q$3:$Q$400,0),8),"")</f>
        <v>ppd</v>
      </c>
      <c r="AK121" s="48">
        <f t="shared" ca="1" si="130"/>
        <v>0</v>
      </c>
      <c r="AL121" s="48">
        <f t="shared" ca="1" si="251"/>
        <v>0</v>
      </c>
      <c r="AM121" s="48">
        <f t="shared" ca="1" si="252"/>
        <v>0</v>
      </c>
      <c r="AN121" s="48">
        <f t="shared" ca="1" si="253"/>
        <v>0</v>
      </c>
      <c r="AO121" s="48">
        <f t="shared" ca="1" si="254"/>
        <v>0</v>
      </c>
      <c r="AP121" s="48">
        <f t="shared" ca="1" si="254"/>
        <v>0</v>
      </c>
      <c r="AQ121" s="48" t="str">
        <f t="shared" ca="1" si="132"/>
        <v>BANCHE C/C PASSIVI</v>
      </c>
      <c r="AR121" s="48">
        <f t="shared" ca="1" si="133"/>
        <v>0</v>
      </c>
      <c r="AS121" s="48">
        <f t="shared" ca="1" si="134"/>
        <v>0</v>
      </c>
      <c r="AT121" s="48">
        <f t="shared" ca="1" si="162"/>
        <v>0</v>
      </c>
      <c r="AU121" s="48">
        <f t="shared" ca="1" si="163"/>
        <v>0</v>
      </c>
      <c r="AV121" s="48">
        <f ca="1">IF(OR(AT121&gt;0,AU121&gt;0),MAX($AV$2:AV120)+1,0)</f>
        <v>0</v>
      </c>
      <c r="AZ121" s="241" t="str">
        <f t="shared" si="240"/>
        <v>21 V.I.</v>
      </c>
      <c r="BA121" s="48">
        <f t="shared" ca="1" si="241"/>
        <v>0</v>
      </c>
      <c r="BB121" s="48">
        <f t="shared" ca="1" si="247"/>
        <v>0</v>
      </c>
      <c r="BC121" s="48" t="str">
        <f t="shared" ca="1" si="248"/>
        <v/>
      </c>
      <c r="BD121" s="48">
        <f t="shared" ca="1" si="249"/>
        <v>0</v>
      </c>
      <c r="BE121" s="48">
        <f t="shared" ca="1" si="250"/>
        <v>0</v>
      </c>
      <c r="BF121" s="48">
        <v>19</v>
      </c>
      <c r="BG121" s="48">
        <f ca="1">IF(IF(AND(OR(INDEX(PDC,MATCH($AC121,DEN_PDC,0),6)="SP DARE",INDEX(PDC,MATCH($AC121,DEN_PDC,0),6)="SP DARE/AVERE"),SUMIFS(DARE,DEN_G,$AC121)&gt;=SUMIFS(AVERE,DEN_G,$AC121)),SUMIFS(DARE,DEN_G,$AC121)-SUMIFS(AVERE,DEN_G,$AC121),0)&gt;0,MAX($BG$2:BG120)+1,0)</f>
        <v>0</v>
      </c>
      <c r="BH121" s="48">
        <f ca="1">IF(IF(AND(OR(INDEX(PDC,MATCH($AC121,DEN_PDC,0),6)="SP AVERE",INDEX(PDC,MATCH($AC121,DEN_PDC,0),6)="SP DARE/AVERE"),SUMIFS(AVERE,DEN_G,$AC121)&gt;=SUMIFS(DARE,DEN_G,$AC121)),SUMIFS(AVERE,DEN_G,$AC121)-SUMIFS(DARE,DEN_G,$AC121),0)&gt;0,MAX(BH$2:BH120)+1,0)</f>
        <v>0</v>
      </c>
      <c r="BI121" s="48">
        <f ca="1">IF(IF(AND(OR(INDEX(PDC,MATCH($AC121,DEN_PDC,0),6)="SE DARE",INDEX(PDC,MATCH($AC121,DEN_PDC,0),6)="SE DARE/AVERE"),SUMIFS(DARE,DEN_G,$AC121)&gt;=SUMIFS(AVERE,DEN_G,$AC121)),SUMIFS(DARE,DEN_G,$AC121)-SUMIFS(AVERE,DEN_G,$AC121),0)&gt;0,MAX(BI$2:BI120)+1,0)</f>
        <v>0</v>
      </c>
      <c r="BJ121" s="48">
        <f ca="1">IF(IF(AND(OR(INDEX(PDC,MATCH($AC121,DEN_PDC,0),6)="SE AVERE",INDEX(PDC,MATCH($AC121,DEN_PDC,0),6)="SE DARE/AVERE"),SUMIFS(AVERE,DEN_G,$AC121)&gt;=SUMIFS(DARE,DEN_G,$AC121)),SUMIFS(AVERE,DEN_G,$AC121)-SUMIFS(DARE,DEN_G,$AC121),0)&gt;0,MAX(BJ$2:BJ120)+1,0)</f>
        <v>0</v>
      </c>
      <c r="BK121" s="48" t="str">
        <f ca="1">IF(AND(AND($DY$2=0,$DY$1=0),$I$1=2,ROW()&gt;$BG$1+2,ROW()&lt;=$BG$1+4),"………………..",IF(AND(OR($DY$2&gt;0,$DY$1&gt;0),$I$1=2,ROW()&gt;$BG$1+2,ROW()&lt;=$BG$1+4),"………………..",IFERROR(INDEX($AC$3:$AC$398,MATCH(ROWS(BK$3:BK121),BG$3:BG$398,0),1),"")))</f>
        <v/>
      </c>
      <c r="BL121" s="48">
        <f t="shared" ca="1" si="136"/>
        <v>0</v>
      </c>
      <c r="BM121" s="48" t="str">
        <f ca="1">IF(AND(OR($DY$2=0,$DY$1=0),$I$1=2,ROW()&gt;$BH$1+2,ROW()&lt;=$BH$1+4),"………………..",IF(AND(OR($DY$2&gt;0,$DY$1&gt;0),$I$1=2,ROW()&gt;$BH$1+2,ROW()&lt;=$BH$1+4),"………………..",IFERROR(INDEX($AC$3:$AC$400,MATCH(ROWS(BM$3:BM121),BH$3:BH$400,0),1),"")))</f>
        <v/>
      </c>
      <c r="BN121" s="48">
        <f t="shared" ca="1" si="137"/>
        <v>0</v>
      </c>
      <c r="BO121" s="48" t="str">
        <f ca="1">IF(AND(OR($DY$2=0,$DY$1=0),$I$1=2,ROW()&gt;$BI$1+2,ROW()&lt;=$BI$1+4),"………………..",IF(AND(OR($DY$2&gt;0,$DY$1&gt;0),$I$1=2,ROW()&gt;$BI$1+2,ROW()&lt;=$BI$1+4),"………………..",IFERROR(INDEX($AC$3:$AC$400,MATCH(ROWS(BO$3:BO121),BI$3:BI$400,0),1),"")))</f>
        <v/>
      </c>
      <c r="BP121" s="48">
        <f t="shared" ca="1" si="138"/>
        <v>0</v>
      </c>
      <c r="BQ121" s="48" t="str">
        <f ca="1">IF(AND(OR($DY$2=0,$DY$1=0),$I$1=2,ROW()&gt;$BJ$1+2,ROW()&lt;=$BJ$1+4),"………………..",IF(AND(OR($DY$2&gt;0,$DY$1&gt;0),$I$1=2,ROW()&gt;$BJ$1+2,ROW()&lt;=$BJ$1+4),"………………..",IFERROR(INDEX($AC$3:$AC$400,MATCH(ROWS(BQ$3:BQ121),BJ$3:BJ$400,0),1),"")))</f>
        <v/>
      </c>
      <c r="BR121" s="48">
        <f t="shared" ca="1" si="139"/>
        <v>0</v>
      </c>
      <c r="BS121" s="48">
        <f ca="1">IF(IF(AND(OR(INDEX(PDC,MATCH($AC121,DEN_PDC,0),4)="D",INDEX(PDC,MATCH($AC121,DEN_PDC,0),4)="D/A"),SUMIFS(DARE,DEN_G,$AC121)&gt;=SUMIFS(AVERE,DEN_G,$AC121)),SUMIFS(DARE,DEN_G,$AC121),IF(AND(OR(INDEX(PDC,MATCH($AC121,DEN_PDC,0),4)="A",INDEX(PDC,MATCH($AC121,DEN_PDC,0),4)="D/A"),SUMIFS(AVERE,DEN_G,$AC121)&gt;=SUMIFS(DARE,DEN_G,$AC121)),SUMIFS(AVERE,DEN_G,$AC121),))&gt;0,MAX($BS$2:BS120)+1,0)</f>
        <v>0</v>
      </c>
      <c r="BT121" s="48" t="str">
        <f ca="1">IF($CO$1=0,"",IF(AND($I$1=2,ROW()&gt;$BR$1,ROW()&lt;=$BS$1)," …………….",IF(AND($E$1=1,$BX$1=1,$I$1=2,ROW()=$BQ$1),"TOTALI",IFERROR(INDEX(PDC,MATCH(ROWS(BT$3:BT121),BS$3:BS518,0),2),""))))</f>
        <v/>
      </c>
      <c r="BU121" s="48">
        <f t="shared" ca="1" si="140"/>
        <v>0</v>
      </c>
      <c r="BV121" s="48">
        <f t="shared" ca="1" si="141"/>
        <v>0</v>
      </c>
      <c r="BW121" s="48">
        <f t="shared" ca="1" si="142"/>
        <v>0</v>
      </c>
      <c r="BX121" s="48">
        <f t="shared" ca="1" si="143"/>
        <v>0</v>
      </c>
      <c r="BY121" s="48">
        <f ca="1">IF(OR(BW121&gt;0,BX121&gt;0),MAX($BY$2:BY120)+1,0)</f>
        <v>0</v>
      </c>
      <c r="BZ121" s="48" t="str">
        <f ca="1">IFERROR(INDEX($BT$3:$BY$400,MATCH(ROWS(BZ$3:BZ121),$BY$3:$BY$400,0),1),"")</f>
        <v/>
      </c>
      <c r="CA121" s="48" t="str">
        <f ca="1">IFERROR(INDEX($BT$3:$BY$400,MATCH(ROWS(CA$3:CA121),$BY$3:$BY$400,0),4),"")</f>
        <v/>
      </c>
      <c r="CB121" s="48" t="str">
        <f ca="1">IFERROR(INDEX($BT$3:$BY$400,MATCH(ROWS(CB$3:CB121),$BY$3:$BY$400,0),5),"")</f>
        <v/>
      </c>
      <c r="CC121" s="48" t="str">
        <f t="shared" ca="1" si="144"/>
        <v/>
      </c>
      <c r="CD121" s="48">
        <f ca="1">IF(AND($BF$9=1,CE121&lt;&gt;0),MAX($CD$104:CD120)+1,0)</f>
        <v>0</v>
      </c>
      <c r="CE121" s="48">
        <f ca="1">IF(AY1&lt;&gt;0,0,IF($I$1=1,SUM(CH247,ROUND(SUMIFS($CB$3:$CB$400,$CC$3:$CC$400,CF121)-SUMIFS($CA$3:$CA$400,$CC$3:CC400,CF121),0)),IF(AND($I$1=2,$CT$84=0,$ES$1=0,$EL$2=0,$BD$1=1),ROUND(SUM(-DY1,DY2,SUMIFS(COPIA!$CB$3:$CB$400,COPIA!$CC$3:$CC$400,CF121)-SUMIFS(COPIA!$CA$3:$CA$400,COPIA!$CC$3:$CC$400,CF121)),0),0)))</f>
        <v>0</v>
      </c>
      <c r="CF121" s="48" t="s">
        <v>655</v>
      </c>
      <c r="CG121" s="242" t="str">
        <f ca="1">IF(CE121&lt;0,"IX _- Perdita d'esercizio","IX _- Utile d'esercizio")</f>
        <v>IX _- Utile d'esercizio</v>
      </c>
      <c r="CH121" s="48">
        <f t="shared" ca="1" si="259"/>
        <v>0</v>
      </c>
      <c r="CJ121" s="242"/>
      <c r="CM121" s="242" t="str">
        <f t="shared" ca="1" si="166"/>
        <v/>
      </c>
      <c r="CN121" s="243">
        <f t="shared" ca="1" si="167"/>
        <v>0</v>
      </c>
      <c r="CO121" s="48" t="str">
        <f t="shared" ca="1" si="168"/>
        <v/>
      </c>
      <c r="CQ121" s="242"/>
      <c r="CR121" s="242"/>
      <c r="CU121" s="48">
        <f ca="1">IF(SUMIFS(AVERE,DEN_G,AC121,AVERE,"&gt;"&amp;0)+SUMIFS(DARE,DEN_G,AC121,DARE,"&gt;"&amp;0)&gt;0,MAX($CU$2:CU120)+1,0)</f>
        <v>0</v>
      </c>
      <c r="CV121" s="48" t="str">
        <f ca="1">IF(IFERROR(INDEX(PDC,MATCH(ROWS($CV$3:CV121),$CU$3:$CU$400,0),2),"")="CONTO DI RISULTATO ECONOMICO","",IFERROR(INDEX(PDC,MATCH(ROWS($CV$3:CV121),$CU$3:$CU$400,0),2),""))</f>
        <v/>
      </c>
      <c r="CW121" s="48">
        <f ca="1">IFERROR(IF(CV121&lt;&gt;"",MAX($CW$2:CW120)+1,0),0)</f>
        <v>0</v>
      </c>
      <c r="CX121" s="48">
        <f t="shared" ref="CX121:CX131" ca="1" si="270">$FF$12</f>
        <v>10</v>
      </c>
      <c r="CY121" s="48" t="str">
        <f t="shared" ca="1" si="269"/>
        <v>MASTRO</v>
      </c>
      <c r="DA121" s="48" t="str">
        <f ca="1">IF(DB120="","","Num. riga")</f>
        <v/>
      </c>
      <c r="DB121" s="48" t="str">
        <f t="shared" ref="DB121" ca="1" si="271">IF(DB120="","","Data")</f>
        <v/>
      </c>
      <c r="DC121" s="48" t="str">
        <f ca="1">IF(DB120="","","Operazioni")</f>
        <v/>
      </c>
      <c r="DD121" s="48" t="str">
        <f ca="1">IF(DB120="","","Dare        ")</f>
        <v/>
      </c>
      <c r="DE121" s="48" t="str">
        <f ca="1">IF(DB120="","","Avere        ")</f>
        <v/>
      </c>
      <c r="DF121" s="48">
        <f ca="1">IF(AND(CX121=$DF$1,CX121&lt;&gt;""),0,IF(AND(DB121&lt;&gt;"",OR(DB120&lt;&gt;"",DB122&lt;&gt;"")),MAX($DF$2:DF120)+1,0))</f>
        <v>0</v>
      </c>
      <c r="DH121" s="244" t="s">
        <v>93</v>
      </c>
      <c r="DI121" s="48" t="s">
        <v>91</v>
      </c>
      <c r="DJ121" s="48" t="s">
        <v>312</v>
      </c>
      <c r="DK121" s="48" t="s">
        <v>275</v>
      </c>
      <c r="DL121" s="48" t="s">
        <v>272</v>
      </c>
      <c r="DM121" s="48" t="s">
        <v>270</v>
      </c>
      <c r="DN121" s="48">
        <f ca="1">IF(DI121&lt;&gt;"",MAX($DN$2:DN120)+1,0)</f>
        <v>101</v>
      </c>
      <c r="DO121" s="48" t="str">
        <f ca="1">IF($BF$9=1,"pad",IF(AND($BF$9=2,$DJ$1=FALSE),"pad","pac2"))</f>
        <v>pad</v>
      </c>
      <c r="DQ121" s="227" t="s">
        <v>100</v>
      </c>
      <c r="DR121" s="48" t="s">
        <v>477</v>
      </c>
      <c r="DS121" s="48" t="s">
        <v>311</v>
      </c>
      <c r="DT121" s="48" t="s">
        <v>298</v>
      </c>
      <c r="DU121" s="48" t="s">
        <v>4</v>
      </c>
      <c r="DV121" s="48" t="s">
        <v>299</v>
      </c>
      <c r="DW121" s="48">
        <f ca="1">IF(DR121&lt;&gt;"",MAX($DW$2:DW120)+1,0)</f>
        <v>77</v>
      </c>
      <c r="DX121" s="48" t="s">
        <v>740</v>
      </c>
      <c r="DY121" s="48" t="str">
        <f t="shared" ca="1" si="147"/>
        <v/>
      </c>
      <c r="DZ121" s="48" t="str">
        <f t="shared" ca="1" si="170"/>
        <v/>
      </c>
      <c r="EA121" s="48" t="str">
        <f t="shared" ca="1" si="171"/>
        <v/>
      </c>
      <c r="EB121" s="48">
        <f t="shared" ca="1" si="172"/>
        <v>0</v>
      </c>
      <c r="EC121" s="48">
        <f t="shared" ca="1" si="173"/>
        <v>0</v>
      </c>
      <c r="ED121" s="48" t="str">
        <f t="shared" ca="1" si="174"/>
        <v/>
      </c>
      <c r="EE121" s="48">
        <f t="shared" ca="1" si="175"/>
        <v>0</v>
      </c>
      <c r="EF121" s="48" t="str">
        <f t="shared" ca="1" si="176"/>
        <v/>
      </c>
      <c r="EG121" s="48">
        <f t="shared" ca="1" si="177"/>
        <v>0</v>
      </c>
      <c r="EH121" s="48" t="str">
        <f t="shared" ca="1" si="178"/>
        <v/>
      </c>
      <c r="EI121" s="48">
        <f t="shared" ca="1" si="179"/>
        <v>0</v>
      </c>
      <c r="EJ121" s="48" t="str">
        <f t="shared" ca="1" si="180"/>
        <v/>
      </c>
      <c r="EK121" s="48">
        <f t="shared" ca="1" si="181"/>
        <v>0</v>
      </c>
      <c r="EL121" s="48">
        <f t="shared" ca="1" si="148"/>
        <v>0</v>
      </c>
      <c r="EM121" s="48">
        <f ca="1">IF(EL121&gt;=0,0,MAX($EM$2:EM120)+1)</f>
        <v>0</v>
      </c>
      <c r="EN121" s="48" t="str">
        <f t="shared" ca="1" si="182"/>
        <v/>
      </c>
      <c r="EO121" s="48" t="str">
        <f ca="1">IFERROR(INDEX($EM$3:$EN$400,MATCH(ROWS($EO$3:EO121),$EM$3:$EM$400,0),2),"")</f>
        <v/>
      </c>
      <c r="EP121" s="48">
        <f>ROW()</f>
        <v>121</v>
      </c>
      <c r="EQ121" s="48">
        <f t="shared" ca="1" si="149"/>
        <v>0</v>
      </c>
      <c r="ER121" s="48">
        <f ca="1">IF(ISNA(EQ121)=TRUE,MAX($ER$2:ER120)+1,0)</f>
        <v>0</v>
      </c>
      <c r="ES121" s="48" t="str">
        <f t="shared" ca="1" si="183"/>
        <v/>
      </c>
      <c r="ET121" s="48" t="str">
        <f ca="1">IFERROR(INDEX($ER$3:$ES$400,MATCH(ROWS($ET$3:ET121),$ER$3:$ER$400,0),2),"")</f>
        <v/>
      </c>
      <c r="EV121" s="48">
        <f ca="1">IFERROR(INDEX(LIBRO_GIORNALE!$O$11:$P$408,MATCH(ROWS($EV$2:EV120),LIBRO_GIORNALE!$P$11:$P$408,0),1),0)</f>
        <v>0</v>
      </c>
      <c r="EW121" s="48" t="str">
        <f t="shared" ca="1" si="184"/>
        <v>0</v>
      </c>
      <c r="EX121" s="48">
        <f t="shared" ca="1" si="185"/>
        <v>0</v>
      </c>
      <c r="EY121" s="48">
        <f ca="1">IF(EX121&gt;0,MAX($EY$2:EY120)+1,0)</f>
        <v>0</v>
      </c>
      <c r="EZ121" s="48">
        <f ca="1">IFERROR(INDEX($EX$3:$EX$400,MATCH(ROWS($EZ$3:EZ121),$EY$3:$EY$400,0),1),0)</f>
        <v>0</v>
      </c>
      <c r="FA121" s="48">
        <f ca="1">IF(EZ121&gt;0,0,MAX($FA$2:FA120)+1)</f>
        <v>119</v>
      </c>
      <c r="FB121" s="48">
        <f t="shared" ca="1" si="186"/>
        <v>0</v>
      </c>
      <c r="FC121" s="48">
        <f t="shared" ca="1" si="187"/>
        <v>119</v>
      </c>
      <c r="FD121" s="48">
        <f t="shared" ca="1" si="188"/>
        <v>119</v>
      </c>
      <c r="FE121" s="48">
        <f ca="1">IF(FD121=0,0,MAX($FE$2:FE120)+1)</f>
        <v>119</v>
      </c>
      <c r="FF121" s="48">
        <f ca="1">IFERROR(INDEX($FD$3:$FE$400,MATCH(ROWS($FF$3:FF121),$FE$3:$FE$400,0),1),"")</f>
        <v>119</v>
      </c>
      <c r="FG121" s="48">
        <f t="shared" ca="1" si="255"/>
        <v>0</v>
      </c>
      <c r="FH121" s="48">
        <f t="shared" ca="1" si="189"/>
        <v>0</v>
      </c>
      <c r="FI121" s="48">
        <f ca="1">IF(FH121&lt;&gt;0,MAX($FI$2:FI120)+1,0)</f>
        <v>0</v>
      </c>
      <c r="FJ121" s="48" t="str">
        <f ca="1">IFERROR(INDEX($FH$3:$FI$400,MATCH(ROWS($FJ$3:FJ121),$FI$3:$FI$400,0),1),"")</f>
        <v/>
      </c>
      <c r="FK121" s="48">
        <f ca="1">IF(ABS(SUMIFS(DARE,DEN_G,"="&amp;FJ121,DATA,"&lt;="&amp;FINE_AC,DATA,"&gt;="&amp;INIZIO_A_PC)-SUMIFS(AVERE,DEN_G,"="&amp;FJ121,DATA,"&lt;="&amp;FINE_AC,DATA,"&gt;="&amp;INIZIO_A_PC))&gt;0,MAX($FK$2:FK120)+1,0)</f>
        <v>0</v>
      </c>
      <c r="FL121" s="48" t="str">
        <f ca="1">IF(AND(ROW()-2&lt;&gt;1,ROW()-2&lt;=$FK$1),CONCATENATE(" - ",IFERROR(INDEX($FJ$3:$FK$400,MATCH(ROWS($FL$3:FL121),$FK$3:$FK$400,0),1),"")),IFERROR(INDEX($FJ$3:$FK$400,MATCH(ROWS($FL$3:FL121),$FK$3:$FK$400,0),1),""))</f>
        <v/>
      </c>
      <c r="FM121" s="48">
        <f ca="1">IF(OR(B121="IVA ns/credito",B121="IVA NS/DEBITO",B121="IVA C/ACCONTO",B121="IMPOSTE C/ACCONTO",B121="CREDITI PER RITENUTE SUBITE",B121="CREDITI D'IMPOSTA"),MAX($FM$2:FM120)+1,0)</f>
        <v>0</v>
      </c>
      <c r="FN121" s="48" t="str">
        <f t="shared" ca="1" si="190"/>
        <v/>
      </c>
      <c r="FO121" s="48" t="str">
        <f ca="1">IFERROR(INDEX($FM$3:$FN$400,MATCH(ROWS($FO$3:FO121),$FM$3:$FM$400,0),2),"")</f>
        <v/>
      </c>
      <c r="FP121" s="48">
        <f ca="1">IF(ABS(SUMIFS(DARE,DEN_G,"="&amp;FO121,DATA,"&lt;="&amp;FINE_AC,DATA,"&gt;="&amp;INIZIO_A_PC)-SUMIFS(AVERE,DEN_G,"="&amp;FO121,DATA,"&lt;="&amp;FINE_AC,DATA,"&gt;="&amp;INIZIO_A_PC))&gt;0,MAX($FP$2:FP120)+1,0)</f>
        <v>0</v>
      </c>
      <c r="FQ121" s="48" t="str">
        <f ca="1">IF(AND(ROW()-2&lt;&gt;1,ROW()-2&lt;=$FP$1),CONCATENATE(" - ",IFERROR(INDEX($FO$3:$FP$400,MATCH(ROWS($FQ$3:FQ121),$FP$3:$FP$400,0),1),"")),IFERROR(INDEX($FO$3:$FP$400,MATCH(ROWS($FQ$3:FQ121),$FP$3:$FP$400,0),1),""))</f>
        <v/>
      </c>
    </row>
    <row r="122" spans="1:173" x14ac:dyDescent="0.3">
      <c r="A122" s="48" t="str">
        <f ca="1">IFERROR(IF($A$1=2,INDEX($DH$3:$DN$401,MATCH(ROWS(A$3:A122),$DN$3:$DN$401,0),COLUMN()),IF($A$1=1,INDEX($DQ$3:$DW$401,MATCH(ROWS(A$3:A122),$DW$3:$DW$401,0),COLUMN()),"")),"")</f>
        <v>11.01</v>
      </c>
      <c r="B122" s="48" t="str">
        <f ca="1">IFERROR(IF($A$1=2,INDEX($DH$3:$DN$401,MATCH(ROWS(B$3:B122),$DN$3:$DN$401,0),COLUMN()),IF($A$1=1,INDEX($DQ$3:$DW$400,MATCH(ROWS(B$3:B122),$DW$3:$DW$401,0),COLUMN()),"")),"")</f>
        <v>FONDO PER IMPOSTE</v>
      </c>
      <c r="C122" s="48" t="str">
        <f ca="1">IFERROR(IF($A$1=2,INDEX($DH$3:$DN$401,MATCH(ROWS(C$3:C122),$DN$3:$DN$401,0),COLUMN()),IF($A$1=1,INDEX($DQ$3:$DW$401,MATCH(ROWS(C$3:C122),$DW$3:$DW$401,0),COLUMN()),"")),"")</f>
        <v>F</v>
      </c>
      <c r="D122" s="48" t="str">
        <f ca="1">IFERROR(IF($A$1=2,INDEX($DH$3:$DN$401,MATCH(ROWS(D$3:D122),$DN$3:$DN$401,0),COLUMN()),IF($A$1=1,INDEX($DQ$3:$DW$401,MATCH(ROWS(D$3:D122),$DW$3:$DW$401,0),COLUMN()),"")),"")</f>
        <v>A</v>
      </c>
      <c r="E122" s="48" t="str">
        <f ca="1">IFERROR(IF($A$1=2,INDEX($DH$3:$DN$401,MATCH(ROWS(E$3:E122),$DN$3:$DN$401,0),COLUMN()),IF($A$1=1,INDEX($DQ$3:$DW$401,MATCH(ROWS(E$3:E122),$DW$3:$DW$401,0),COLUMN()),"")),"")</f>
        <v>RATEI, FONDI RISCHI E ONERI</v>
      </c>
      <c r="F122" s="48" t="str">
        <f ca="1">IFERROR(IF($A$1=2,INDEX($DH$3:$DN$401,MATCH(ROWS(F$3:F122),$DN$3:$DN$401,0),COLUMN()),IF($A$1=1,INDEX($DQ$3:$DX$401,MATCH(ROWS(F$3:F122),$DW$3:$DW$401,0),COLUMN()),"")),"")</f>
        <v>SP AVERE</v>
      </c>
      <c r="G122" s="48" t="str">
        <f t="shared" ca="1" si="150"/>
        <v>SP</v>
      </c>
      <c r="H122" s="48" t="str">
        <f ca="1">IFERROR(IF($A$1=2,INDEX($DH$3:$DO$400,MATCH(ROWS(H$3:H122),$DN$3:$DN$400,0),COLUMN()),IF($A$1=1,INDEX($DQ$3:$DX$400,MATCH(ROWS(H$3:H122),$DW$3:$DW$400,0),COLUMN()),"")),"")</f>
        <v>ppb</v>
      </c>
      <c r="I122" s="48" t="str">
        <f t="shared" ca="1" si="151"/>
        <v/>
      </c>
      <c r="J122" s="48" t="str">
        <f t="shared" ca="1" si="152"/>
        <v/>
      </c>
      <c r="K122" s="48">
        <f t="shared" ca="1" si="153"/>
        <v>0</v>
      </c>
      <c r="L122" s="48">
        <f t="shared" ca="1" si="154"/>
        <v>0</v>
      </c>
      <c r="M122" s="48">
        <f ca="1">IFERROR(IF(IF(MID($A122,3,3)=".00",MID(A122,1,2),"")&lt;&gt;"",MAX($M$2:M121)+1,0),"")</f>
        <v>0</v>
      </c>
      <c r="N122" s="48" t="str">
        <f t="shared" ca="1" si="155"/>
        <v/>
      </c>
      <c r="O122" s="48" t="str">
        <f ca="1">IF(IFERROR(INDEX($N$3:$O$300,MATCH(ROWS($O$3:O122),$M$3:$M$300,0),1),"")&lt;&gt;"",CONCATENATE(INDEX($N$3:$O$300,MATCH(ROWS($O$3:O122),$M$3:$M$300,0),1),".00"),"")</f>
        <v/>
      </c>
      <c r="P122" s="48" t="str">
        <f t="shared" ca="1" si="156"/>
        <v/>
      </c>
      <c r="Q122" s="48">
        <f ca="1">IF(M122&gt;=1,0,MAX($Q$2:Q121)+1)</f>
        <v>108</v>
      </c>
      <c r="U122" s="48" t="str">
        <f ca="1">IFERROR(INDEX(PDC,MATCH(ROWS(U$3:U122),$V$3:$V$400,0),2),"")</f>
        <v>BANCHE C/INTERESSI MATURATI</v>
      </c>
      <c r="V122" s="48">
        <f ca="1">IF(AND($T$1="VISUALIZZA TUTTI I CONTI",AA122&lt;&gt;""),MAX($V$2:V121)+1,IF(AND($U$2=2,AI122=$T$1),MAX($V$2:V121)+1,IF(AND($U$2=1,$T$1=AF122),MAX($V$2:V121)+1,0)))</f>
        <v>120</v>
      </c>
      <c r="Z122" s="246"/>
      <c r="AA122" s="48" t="str">
        <f t="shared" ca="1" si="157"/>
        <v>13.00</v>
      </c>
      <c r="AB122" s="48" t="str">
        <f ca="1">IFERROR(INDEX($A$3:$G$400,MATCH(ROWS(AB$3:AB122),$Q$3:$Q$400,0),1),"")</f>
        <v>13.21</v>
      </c>
      <c r="AC122" s="48" t="str">
        <f ca="1">IFERROR(INDEX($A$3:$G$400,MATCH(ROWS($AC$3:AC122),$Q$3:$Q$400,0),2),"")</f>
        <v>BANCHE C/INTERESSI MATURATI</v>
      </c>
      <c r="AD122" s="48" t="str">
        <f ca="1">IFERROR(INDEX($A$3:$G$400,MATCH(ROWS(AD$3:AD122),$Q$3:$Q$400,0),3),"")</f>
        <v>F</v>
      </c>
      <c r="AE122" s="48" t="str">
        <f ca="1">IFERROR(INDEX($A$3:$G$400,MATCH(ROWS(AE$3:AE122),$Q$3:$Q$400,0),4),"")</f>
        <v>A</v>
      </c>
      <c r="AF122" s="48" t="str">
        <f ca="1">IFERROR(INDEX($A$3:$G$400,MATCH(ROWS(AF$3:AF122),$Q$3:$Q$400,0),5),"")</f>
        <v>DEBITI</v>
      </c>
      <c r="AG122" s="48" t="str">
        <f ca="1">IFERROR(INDEX($A$3:$G$400,MATCH(ROWS(AG$3:AG122),$Q$3:$Q$400,0),6),"")</f>
        <v>SP AVERE</v>
      </c>
      <c r="AH122" s="48" t="str">
        <f ca="1">IFERROR(INDEX($A$3:$G$400,MATCH(ROWS(AH$3:AH122),$Q$3:$Q$400,0),7),"")</f>
        <v>SP</v>
      </c>
      <c r="AI122" s="48" t="str">
        <f t="shared" ca="1" si="158"/>
        <v>DEBITI FINANZIARI</v>
      </c>
      <c r="AJ122" s="48" t="str">
        <f ca="1">IFERROR(INDEX($A$3:$H$400,MATCH(ROWS(AJ$3:AJ122),$Q$3:$Q$400,0),8),"")</f>
        <v>ppd</v>
      </c>
      <c r="AK122" s="48">
        <f t="shared" ca="1" si="130"/>
        <v>0</v>
      </c>
      <c r="AL122" s="48">
        <f t="shared" ca="1" si="251"/>
        <v>0</v>
      </c>
      <c r="AM122" s="48">
        <f t="shared" ca="1" si="252"/>
        <v>0</v>
      </c>
      <c r="AN122" s="48">
        <f t="shared" ca="1" si="253"/>
        <v>0</v>
      </c>
      <c r="AO122" s="48">
        <f t="shared" ca="1" si="254"/>
        <v>0</v>
      </c>
      <c r="AP122" s="48">
        <f t="shared" ca="1" si="254"/>
        <v>0</v>
      </c>
      <c r="AQ122" s="48" t="str">
        <f t="shared" ca="1" si="132"/>
        <v>BANCHE C/INTERESSI MATURATI</v>
      </c>
      <c r="AR122" s="48">
        <f t="shared" ca="1" si="133"/>
        <v>0</v>
      </c>
      <c r="AS122" s="48">
        <f t="shared" ca="1" si="134"/>
        <v>0</v>
      </c>
      <c r="AT122" s="48">
        <f t="shared" ca="1" si="162"/>
        <v>0</v>
      </c>
      <c r="AU122" s="48">
        <f t="shared" ca="1" si="163"/>
        <v>0</v>
      </c>
      <c r="AV122" s="48">
        <f ca="1">IF(OR(AT122&gt;0,AU122&gt;0),MAX($AV$2:AV121)+1,0)</f>
        <v>0</v>
      </c>
      <c r="AZ122" s="241" t="str">
        <f t="shared" si="240"/>
        <v>22 V.I.</v>
      </c>
      <c r="BA122" s="48">
        <f t="shared" ca="1" si="241"/>
        <v>0</v>
      </c>
      <c r="BB122" s="48">
        <f t="shared" ca="1" si="247"/>
        <v>0</v>
      </c>
      <c r="BC122" s="48" t="str">
        <f t="shared" ca="1" si="248"/>
        <v/>
      </c>
      <c r="BD122" s="48">
        <f t="shared" ca="1" si="249"/>
        <v>0</v>
      </c>
      <c r="BE122" s="48">
        <f t="shared" ca="1" si="250"/>
        <v>0</v>
      </c>
      <c r="BF122" s="48">
        <v>20</v>
      </c>
      <c r="BG122" s="48">
        <f ca="1">IF(IF(AND(OR(INDEX(PDC,MATCH($AC122,DEN_PDC,0),6)="SP DARE",INDEX(PDC,MATCH($AC122,DEN_PDC,0),6)="SP DARE/AVERE"),SUMIFS(DARE,DEN_G,$AC122)&gt;=SUMIFS(AVERE,DEN_G,$AC122)),SUMIFS(DARE,DEN_G,$AC122)-SUMIFS(AVERE,DEN_G,$AC122),0)&gt;0,MAX($BG$2:BG121)+1,0)</f>
        <v>0</v>
      </c>
      <c r="BH122" s="48">
        <f ca="1">IF(IF(AND(OR(INDEX(PDC,MATCH($AC122,DEN_PDC,0),6)="SP AVERE",INDEX(PDC,MATCH($AC122,DEN_PDC,0),6)="SP DARE/AVERE"),SUMIFS(AVERE,DEN_G,$AC122)&gt;=SUMIFS(DARE,DEN_G,$AC122)),SUMIFS(AVERE,DEN_G,$AC122)-SUMIFS(DARE,DEN_G,$AC122),0)&gt;0,MAX(BH$2:BH121)+1,0)</f>
        <v>0</v>
      </c>
      <c r="BI122" s="48">
        <f ca="1">IF(IF(AND(OR(INDEX(PDC,MATCH($AC122,DEN_PDC,0),6)="SE DARE",INDEX(PDC,MATCH($AC122,DEN_PDC,0),6)="SE DARE/AVERE"),SUMIFS(DARE,DEN_G,$AC122)&gt;=SUMIFS(AVERE,DEN_G,$AC122)),SUMIFS(DARE,DEN_G,$AC122)-SUMIFS(AVERE,DEN_G,$AC122),0)&gt;0,MAX(BI$2:BI121)+1,0)</f>
        <v>0</v>
      </c>
      <c r="BJ122" s="48">
        <f ca="1">IF(IF(AND(OR(INDEX(PDC,MATCH($AC122,DEN_PDC,0),6)="SE AVERE",INDEX(PDC,MATCH($AC122,DEN_PDC,0),6)="SE DARE/AVERE"),SUMIFS(AVERE,DEN_G,$AC122)&gt;=SUMIFS(DARE,DEN_G,$AC122)),SUMIFS(AVERE,DEN_G,$AC122)-SUMIFS(DARE,DEN_G,$AC122),0)&gt;0,MAX(BJ$2:BJ121)+1,0)</f>
        <v>0</v>
      </c>
      <c r="BK122" s="48" t="str">
        <f ca="1">IF(AND(AND($DY$2=0,$DY$1=0),$I$1=2,ROW()&gt;$BG$1+2,ROW()&lt;=$BG$1+4),"………………..",IF(AND(OR($DY$2&gt;0,$DY$1&gt;0),$I$1=2,ROW()&gt;$BG$1+2,ROW()&lt;=$BG$1+4),"………………..",IFERROR(INDEX($AC$3:$AC$398,MATCH(ROWS(BK$3:BK122),BG$3:BG$398,0),1),"")))</f>
        <v/>
      </c>
      <c r="BL122" s="48">
        <f t="shared" ca="1" si="136"/>
        <v>0</v>
      </c>
      <c r="BM122" s="48" t="str">
        <f ca="1">IF(AND(OR($DY$2=0,$DY$1=0),$I$1=2,ROW()&gt;$BH$1+2,ROW()&lt;=$BH$1+4),"………………..",IF(AND(OR($DY$2&gt;0,$DY$1&gt;0),$I$1=2,ROW()&gt;$BH$1+2,ROW()&lt;=$BH$1+4),"………………..",IFERROR(INDEX($AC$3:$AC$400,MATCH(ROWS(BM$3:BM122),BH$3:BH$400,0),1),"")))</f>
        <v/>
      </c>
      <c r="BN122" s="48">
        <f t="shared" ca="1" si="137"/>
        <v>0</v>
      </c>
      <c r="BO122" s="48" t="str">
        <f ca="1">IF(AND(OR($DY$2=0,$DY$1=0),$I$1=2,ROW()&gt;$BI$1+2,ROW()&lt;=$BI$1+4),"………………..",IF(AND(OR($DY$2&gt;0,$DY$1&gt;0),$I$1=2,ROW()&gt;$BI$1+2,ROW()&lt;=$BI$1+4),"………………..",IFERROR(INDEX($AC$3:$AC$400,MATCH(ROWS(BO$3:BO122),BI$3:BI$400,0),1),"")))</f>
        <v/>
      </c>
      <c r="BP122" s="48">
        <f t="shared" ca="1" si="138"/>
        <v>0</v>
      </c>
      <c r="BQ122" s="48" t="str">
        <f ca="1">IF(AND(OR($DY$2=0,$DY$1=0),$I$1=2,ROW()&gt;$BJ$1+2,ROW()&lt;=$BJ$1+4),"………………..",IF(AND(OR($DY$2&gt;0,$DY$1&gt;0),$I$1=2,ROW()&gt;$BJ$1+2,ROW()&lt;=$BJ$1+4),"………………..",IFERROR(INDEX($AC$3:$AC$400,MATCH(ROWS(BQ$3:BQ122),BJ$3:BJ$400,0),1),"")))</f>
        <v/>
      </c>
      <c r="BR122" s="48">
        <f t="shared" ca="1" si="139"/>
        <v>0</v>
      </c>
      <c r="BS122" s="48">
        <f ca="1">IF(IF(AND(OR(INDEX(PDC,MATCH($AC122,DEN_PDC,0),4)="D",INDEX(PDC,MATCH($AC122,DEN_PDC,0),4)="D/A"),SUMIFS(DARE,DEN_G,$AC122)&gt;=SUMIFS(AVERE,DEN_G,$AC122)),SUMIFS(DARE,DEN_G,$AC122),IF(AND(OR(INDEX(PDC,MATCH($AC122,DEN_PDC,0),4)="A",INDEX(PDC,MATCH($AC122,DEN_PDC,0),4)="D/A"),SUMIFS(AVERE,DEN_G,$AC122)&gt;=SUMIFS(DARE,DEN_G,$AC122)),SUMIFS(AVERE,DEN_G,$AC122),))&gt;0,MAX($BS$2:BS121)+1,0)</f>
        <v>0</v>
      </c>
      <c r="BT122" s="48" t="str">
        <f ca="1">IF($CO$1=0,"",IF(AND($I$1=2,ROW()&gt;$BR$1,ROW()&lt;=$BS$1)," …………….",IF(AND($E$1=1,$BX$1=1,$I$1=2,ROW()=$BQ$1),"TOTALI",IFERROR(INDEX(PDC,MATCH(ROWS(BT$3:BT122),BS$3:BS519,0),2),""))))</f>
        <v/>
      </c>
      <c r="BU122" s="48">
        <f t="shared" ca="1" si="140"/>
        <v>0</v>
      </c>
      <c r="BV122" s="48">
        <f t="shared" ca="1" si="141"/>
        <v>0</v>
      </c>
      <c r="BW122" s="48">
        <f t="shared" ca="1" si="142"/>
        <v>0</v>
      </c>
      <c r="BX122" s="48">
        <f t="shared" ca="1" si="143"/>
        <v>0</v>
      </c>
      <c r="BY122" s="48">
        <f ca="1">IF(OR(BW122&gt;0,BX122&gt;0),MAX($BY$2:BY121)+1,0)</f>
        <v>0</v>
      </c>
      <c r="BZ122" s="48" t="str">
        <f ca="1">IFERROR(INDEX($BT$3:$BY$400,MATCH(ROWS(BZ$3:BZ122),$BY$3:$BY$400,0),1),"")</f>
        <v/>
      </c>
      <c r="CA122" s="48" t="str">
        <f ca="1">IFERROR(INDEX($BT$3:$BY$400,MATCH(ROWS(CA$3:CA122),$BY$3:$BY$400,0),4),"")</f>
        <v/>
      </c>
      <c r="CB122" s="48" t="str">
        <f ca="1">IFERROR(INDEX($BT$3:$BY$400,MATCH(ROWS(CB$3:CB122),$BY$3:$BY$400,0),5),"")</f>
        <v/>
      </c>
      <c r="CC122" s="48" t="str">
        <f t="shared" ca="1" si="144"/>
        <v/>
      </c>
      <c r="CD122" s="48">
        <f ca="1">IF(AND($BF$9=1,CE122&lt;&gt;0),MAX($CD$104:CD121)+1,0)</f>
        <v>0</v>
      </c>
      <c r="CE122" s="48">
        <f ca="1">IF(ROUND(SUMIFS(COPIA!$CA$3:$CA$400,COPIA!$CC$3:$CC$400,CF122)-SUMIFS(COPIA!$CB$3:$CB$400,COPIA!$CC$3:$CC$400,CF122),0)&lt;0,0,-ROUND(SUMIFS(COPIA!$CA$3:$CA$400,COPIA!$CC$3:$CC$400,CF122)-SUMIFS(COPIA!$CB$3:$CB$400,COPIA!$CC$3:$CC$400,CF122),0))</f>
        <v>0</v>
      </c>
      <c r="CF122" s="48" t="s">
        <v>656</v>
      </c>
      <c r="CG122" s="242" t="s">
        <v>549</v>
      </c>
      <c r="CH122" s="48">
        <f t="shared" ca="1" si="259"/>
        <v>0</v>
      </c>
      <c r="CJ122" s="242"/>
      <c r="CM122" s="242" t="str">
        <f t="shared" ca="1" si="166"/>
        <v/>
      </c>
      <c r="CN122" s="243">
        <f t="shared" ca="1" si="167"/>
        <v>0</v>
      </c>
      <c r="CO122" s="48" t="str">
        <f t="shared" ca="1" si="168"/>
        <v/>
      </c>
      <c r="CQ122" s="242"/>
      <c r="CR122" s="242"/>
      <c r="CU122" s="48">
        <f ca="1">IF(SUMIFS(AVERE,DEN_G,AC122,AVERE,"&gt;"&amp;0)+SUMIFS(DARE,DEN_G,AC122,DARE,"&gt;"&amp;0)&gt;0,MAX($CU$2:CU121)+1,0)</f>
        <v>0</v>
      </c>
      <c r="CV122" s="48" t="str">
        <f ca="1">IF(IFERROR(INDEX(PDC,MATCH(ROWS($CV$3:CV122),$CU$3:$CU$400,0),2),"")="CONTO DI RISULTATO ECONOMICO","",IFERROR(INDEX(PDC,MATCH(ROWS($CV$3:CV122),$CU$3:$CU$400,0),2),""))</f>
        <v/>
      </c>
      <c r="CW122" s="48">
        <f ca="1">IFERROR(IF(CV122&lt;&gt;"",MAX($CW$2:CW121)+1,0),0)</f>
        <v>0</v>
      </c>
      <c r="CX122" s="48">
        <f t="shared" ca="1" si="270"/>
        <v>10</v>
      </c>
      <c r="CY122" s="48" t="str">
        <f t="shared" ca="1" si="269"/>
        <v>MASTRO</v>
      </c>
      <c r="CZ122" s="48" t="e">
        <f t="shared" ref="CZ122:CZ131" ca="1" si="272">SUM(MATCH($CY122,INDIRECT(ADDRESS(SUM(CZ121)+3,54)&amp;":"&amp;ADDRESS(400,54)),0),CZ121)</f>
        <v>#N/A</v>
      </c>
      <c r="DA122" s="48" t="str">
        <f ca="1">IFERROR(INDEX(LIBRO_GIORNALE,CZ122,1),"")</f>
        <v/>
      </c>
      <c r="DB122" s="48" t="str">
        <f t="shared" ca="1" si="212"/>
        <v/>
      </c>
      <c r="DC122" s="48" t="str">
        <f t="shared" ref="DC122:DC131" ca="1" si="273">IF(IFERROR(INDEX(LIBRO_GIORNALE,CZ122,4),"")=0,"manca la descrizione dell'operazione",IFERROR(INDEX(LIBRO_GIORNALE,CZ122,4),""))</f>
        <v/>
      </c>
      <c r="DD122" s="48" t="str">
        <f t="shared" ref="DD122:DD131" ca="1" si="274">IFERROR(IF(INDEX(LIBRO_GIORNALE,CZ122,5)&gt;0,INDEX(LIBRO_GIORNALE,CZ122,5),""),"")</f>
        <v/>
      </c>
      <c r="DE122" s="48" t="str">
        <f t="shared" ref="DE122:DE131" ca="1" si="275">IFERROR(IF(INDEX(LIBRO_GIORNALE,CZ122,6)&gt;0,INDEX(LIBRO_GIORNALE,CZ122,6),""),"")</f>
        <v/>
      </c>
      <c r="DF122" s="48">
        <f ca="1">IF(AND(CX122=$DF$1,CX122&lt;&gt;""),0,IF(AND(DB122&lt;&gt;"",OR(DB121&lt;&gt;"",DB123&lt;&gt;"")),MAX($DF$2:DF121)+1,0))</f>
        <v>0</v>
      </c>
      <c r="DH122" s="244" t="s">
        <v>94</v>
      </c>
      <c r="DI122" s="48" t="s">
        <v>92</v>
      </c>
      <c r="DJ122" s="48" t="s">
        <v>311</v>
      </c>
      <c r="DK122" s="48" t="s">
        <v>275</v>
      </c>
      <c r="DL122" s="48" t="s">
        <v>13</v>
      </c>
      <c r="DM122" s="48" t="s">
        <v>270</v>
      </c>
      <c r="DN122" s="48">
        <f ca="1">IF(DI122&lt;&gt;"",MAX($DN$2:DN121)+1,0)</f>
        <v>102</v>
      </c>
      <c r="DO122" s="48" t="str">
        <f ca="1">IF($BF$9=1,"pad",IF(AND($BF$9=2,$DJ$1=FALSE),"pad","pac2"))</f>
        <v>pad</v>
      </c>
      <c r="DQ122" s="227" t="s">
        <v>101</v>
      </c>
      <c r="DR122" s="48" t="s">
        <v>395</v>
      </c>
      <c r="DS122" s="48" t="s">
        <v>311</v>
      </c>
      <c r="DT122" s="48" t="s">
        <v>298</v>
      </c>
      <c r="DU122" s="48" t="s">
        <v>4</v>
      </c>
      <c r="DV122" s="48" t="s">
        <v>299</v>
      </c>
      <c r="DW122" s="48">
        <f ca="1">IF(DR122&lt;&gt;"",MAX($DW$2:DW121)+1,0)</f>
        <v>78</v>
      </c>
      <c r="DX122" s="48" t="s">
        <v>654</v>
      </c>
      <c r="DY122" s="48" t="str">
        <f t="shared" ca="1" si="147"/>
        <v/>
      </c>
      <c r="DZ122" s="48" t="str">
        <f t="shared" ca="1" si="170"/>
        <v/>
      </c>
      <c r="EA122" s="48" t="str">
        <f t="shared" ca="1" si="171"/>
        <v/>
      </c>
      <c r="EB122" s="48">
        <f t="shared" ca="1" si="172"/>
        <v>0</v>
      </c>
      <c r="EC122" s="48">
        <f t="shared" ca="1" si="173"/>
        <v>0</v>
      </c>
      <c r="ED122" s="48" t="str">
        <f t="shared" ca="1" si="174"/>
        <v/>
      </c>
      <c r="EE122" s="48">
        <f t="shared" ca="1" si="175"/>
        <v>0</v>
      </c>
      <c r="EF122" s="48" t="str">
        <f t="shared" ca="1" si="176"/>
        <v/>
      </c>
      <c r="EG122" s="48">
        <f t="shared" ca="1" si="177"/>
        <v>0</v>
      </c>
      <c r="EH122" s="48" t="str">
        <f t="shared" ca="1" si="178"/>
        <v/>
      </c>
      <c r="EI122" s="48">
        <f t="shared" ca="1" si="179"/>
        <v>0</v>
      </c>
      <c r="EJ122" s="48" t="str">
        <f t="shared" ca="1" si="180"/>
        <v/>
      </c>
      <c r="EK122" s="48">
        <f t="shared" ca="1" si="181"/>
        <v>0</v>
      </c>
      <c r="EL122" s="48">
        <f t="shared" ca="1" si="148"/>
        <v>0</v>
      </c>
      <c r="EM122" s="48">
        <f ca="1">IF(EL122&gt;=0,0,MAX($EM$2:EM121)+1)</f>
        <v>0</v>
      </c>
      <c r="EN122" s="48" t="str">
        <f t="shared" ca="1" si="182"/>
        <v/>
      </c>
      <c r="EO122" s="48" t="str">
        <f ca="1">IFERROR(INDEX($EM$3:$EN$400,MATCH(ROWS($EO$3:EO122),$EM$3:$EM$400,0),2),"")</f>
        <v/>
      </c>
      <c r="EP122" s="48">
        <f>ROW()</f>
        <v>122</v>
      </c>
      <c r="EQ122" s="48">
        <f t="shared" ca="1" si="149"/>
        <v>0</v>
      </c>
      <c r="ER122" s="48">
        <f ca="1">IF(ISNA(EQ122)=TRUE,MAX($ER$2:ER121)+1,0)</f>
        <v>0</v>
      </c>
      <c r="ES122" s="48" t="str">
        <f t="shared" ca="1" si="183"/>
        <v/>
      </c>
      <c r="ET122" s="48" t="str">
        <f ca="1">IFERROR(INDEX($ER$3:$ES$400,MATCH(ROWS($ET$3:ET122),$ER$3:$ER$400,0),2),"")</f>
        <v/>
      </c>
      <c r="EV122" s="48">
        <f ca="1">IFERROR(INDEX(LIBRO_GIORNALE!$O$11:$P$408,MATCH(ROWS($EV$2:EV121),LIBRO_GIORNALE!$P$11:$P$408,0),1),0)</f>
        <v>0</v>
      </c>
      <c r="EW122" s="48" t="str">
        <f t="shared" ca="1" si="184"/>
        <v>0</v>
      </c>
      <c r="EX122" s="48">
        <f t="shared" ca="1" si="185"/>
        <v>0</v>
      </c>
      <c r="EY122" s="48">
        <f ca="1">IF(EX122&gt;0,MAX($EY$2:EY121)+1,0)</f>
        <v>0</v>
      </c>
      <c r="EZ122" s="48">
        <f ca="1">IFERROR(INDEX($EX$3:$EX$400,MATCH(ROWS($EZ$3:EZ122),$EY$3:$EY$400,0),1),0)</f>
        <v>0</v>
      </c>
      <c r="FA122" s="48">
        <f ca="1">IF(EZ122&gt;0,0,MAX($FA$2:FA121)+1)</f>
        <v>120</v>
      </c>
      <c r="FB122" s="48">
        <f t="shared" ca="1" si="186"/>
        <v>0</v>
      </c>
      <c r="FC122" s="48">
        <f t="shared" ca="1" si="187"/>
        <v>120</v>
      </c>
      <c r="FD122" s="48">
        <f t="shared" ca="1" si="188"/>
        <v>120</v>
      </c>
      <c r="FE122" s="48">
        <f ca="1">IF(FD122=0,0,MAX($FE$2:FE121)+1)</f>
        <v>120</v>
      </c>
      <c r="FF122" s="48">
        <f ca="1">IFERROR(INDEX($FD$3:$FE$400,MATCH(ROWS($FF$3:FF122),$FE$3:$FE$400,0),1),"")</f>
        <v>120</v>
      </c>
      <c r="FG122" s="48">
        <f t="shared" ca="1" si="255"/>
        <v>0</v>
      </c>
      <c r="FH122" s="48">
        <f t="shared" ca="1" si="189"/>
        <v>0</v>
      </c>
      <c r="FI122" s="48">
        <f ca="1">IF(FH122&lt;&gt;0,MAX($FI$2:FI121)+1,0)</f>
        <v>0</v>
      </c>
      <c r="FJ122" s="48" t="str">
        <f ca="1">IFERROR(INDEX($FH$3:$FI$400,MATCH(ROWS($FJ$3:FJ122),$FI$3:$FI$400,0),1),"")</f>
        <v/>
      </c>
      <c r="FK122" s="48">
        <f ca="1">IF(ABS(SUMIFS(DARE,DEN_G,"="&amp;FJ122,DATA,"&lt;="&amp;FINE_AC,DATA,"&gt;="&amp;INIZIO_A_PC)-SUMIFS(AVERE,DEN_G,"="&amp;FJ122,DATA,"&lt;="&amp;FINE_AC,DATA,"&gt;="&amp;INIZIO_A_PC))&gt;0,MAX($FK$2:FK121)+1,0)</f>
        <v>0</v>
      </c>
      <c r="FL122" s="48" t="str">
        <f ca="1">IF(AND(ROW()-2&lt;&gt;1,ROW()-2&lt;=$FK$1),CONCATENATE(" - ",IFERROR(INDEX($FJ$3:$FK$400,MATCH(ROWS($FL$3:FL122),$FK$3:$FK$400,0),1),"")),IFERROR(INDEX($FJ$3:$FK$400,MATCH(ROWS($FL$3:FL122),$FK$3:$FK$400,0),1),""))</f>
        <v/>
      </c>
      <c r="FM122" s="48">
        <f ca="1">IF(OR(B122="IVA ns/credito",B122="IVA NS/DEBITO",B122="IVA C/ACCONTO",B122="IMPOSTE C/ACCONTO",B122="CREDITI PER RITENUTE SUBITE",B122="CREDITI D'IMPOSTA"),MAX($FM$2:FM121)+1,0)</f>
        <v>0</v>
      </c>
      <c r="FN122" s="48" t="str">
        <f t="shared" ca="1" si="190"/>
        <v/>
      </c>
      <c r="FO122" s="48" t="str">
        <f ca="1">IFERROR(INDEX($FM$3:$FN$400,MATCH(ROWS($FO$3:FO122),$FM$3:$FM$400,0),2),"")</f>
        <v/>
      </c>
      <c r="FP122" s="48">
        <f ca="1">IF(ABS(SUMIFS(DARE,DEN_G,"="&amp;FO122,DATA,"&lt;="&amp;FINE_AC,DATA,"&gt;="&amp;INIZIO_A_PC)-SUMIFS(AVERE,DEN_G,"="&amp;FO122,DATA,"&lt;="&amp;FINE_AC,DATA,"&gt;="&amp;INIZIO_A_PC))&gt;0,MAX($FP$2:FP121)+1,0)</f>
        <v>0</v>
      </c>
      <c r="FQ122" s="48" t="str">
        <f ca="1">IF(AND(ROW()-2&lt;&gt;1,ROW()-2&lt;=$FP$1),CONCATENATE(" - ",IFERROR(INDEX($FO$3:$FP$400,MATCH(ROWS($FQ$3:FQ122),$FP$3:$FP$400,0),1),"")),IFERROR(INDEX($FO$3:$FP$400,MATCH(ROWS($FQ$3:FQ122),$FP$3:$FP$400,0),1),""))</f>
        <v/>
      </c>
    </row>
    <row r="123" spans="1:173" x14ac:dyDescent="0.3">
      <c r="A123" s="48" t="str">
        <f ca="1">IFERROR(IF($A$1=2,INDEX($DH$3:$DN$401,MATCH(ROWS(A$3:A123),$DN$3:$DN$401,0),COLUMN()),IF($A$1=1,INDEX($DQ$3:$DW$401,MATCH(ROWS(A$3:A123),$DW$3:$DW$401,0),COLUMN()),"")),"")</f>
        <v>11.03</v>
      </c>
      <c r="B123" s="48" t="str">
        <f ca="1">IFERROR(IF($A$1=2,INDEX($DH$3:$DN$401,MATCH(ROWS(B$3:B123),$DN$3:$DN$401,0),COLUMN()),IF($A$1=1,INDEX($DQ$3:$DW$400,MATCH(ROWS(B$3:B123),$DW$3:$DW$401,0),COLUMN()),"")),"")</f>
        <v>FONDO RESPONSABILITÀ CIVILE</v>
      </c>
      <c r="C123" s="48" t="str">
        <f ca="1">IFERROR(IF($A$1=2,INDEX($DH$3:$DN$401,MATCH(ROWS(C$3:C123),$DN$3:$DN$401,0),COLUMN()),IF($A$1=1,INDEX($DQ$3:$DW$401,MATCH(ROWS(C$3:C123),$DW$3:$DW$401,0),COLUMN()),"")),"")</f>
        <v>F</v>
      </c>
      <c r="D123" s="48" t="str">
        <f ca="1">IFERROR(IF($A$1=2,INDEX($DH$3:$DN$401,MATCH(ROWS(D$3:D123),$DN$3:$DN$401,0),COLUMN()),IF($A$1=1,INDEX($DQ$3:$DW$401,MATCH(ROWS(D$3:D123),$DW$3:$DW$401,0),COLUMN()),"")),"")</f>
        <v>A</v>
      </c>
      <c r="E123" s="48" t="str">
        <f ca="1">IFERROR(IF($A$1=2,INDEX($DH$3:$DN$401,MATCH(ROWS(E$3:E123),$DN$3:$DN$401,0),COLUMN()),IF($A$1=1,INDEX($DQ$3:$DW$401,MATCH(ROWS(E$3:E123),$DW$3:$DW$401,0),COLUMN()),"")),"")</f>
        <v>RATEI, FONDI RISCHI E ONERI</v>
      </c>
      <c r="F123" s="48" t="str">
        <f ca="1">IFERROR(IF($A$1=2,INDEX($DH$3:$DN$401,MATCH(ROWS(F$3:F123),$DN$3:$DN$401,0),COLUMN()),IF($A$1=1,INDEX($DQ$3:$DX$401,MATCH(ROWS(F$3:F123),$DW$3:$DW$401,0),COLUMN()),"")),"")</f>
        <v>SP AVERE</v>
      </c>
      <c r="G123" s="48" t="str">
        <f t="shared" ca="1" si="150"/>
        <v>SP</v>
      </c>
      <c r="H123" s="48" t="str">
        <f ca="1">IFERROR(IF($A$1=2,INDEX($DH$3:$DO$400,MATCH(ROWS(H$3:H123),$DN$3:$DN$400,0),COLUMN()),IF($A$1=1,INDEX($DQ$3:$DX$400,MATCH(ROWS(H$3:H123),$DW$3:$DW$400,0),COLUMN()),"")),"")</f>
        <v>ppb</v>
      </c>
      <c r="I123" s="48" t="str">
        <f t="shared" ca="1" si="151"/>
        <v/>
      </c>
      <c r="J123" s="48" t="str">
        <f t="shared" ca="1" si="152"/>
        <v/>
      </c>
      <c r="K123" s="48">
        <f t="shared" ca="1" si="153"/>
        <v>0</v>
      </c>
      <c r="L123" s="48">
        <f t="shared" ca="1" si="154"/>
        <v>0</v>
      </c>
      <c r="M123" s="48">
        <f ca="1">IFERROR(IF(IF(MID($A123,3,3)=".00",MID(A123,1,2),"")&lt;&gt;"",MAX($M$2:M122)+1,0),"")</f>
        <v>0</v>
      </c>
      <c r="N123" s="48" t="str">
        <f t="shared" ca="1" si="155"/>
        <v/>
      </c>
      <c r="O123" s="48" t="str">
        <f ca="1">IF(IFERROR(INDEX($N$3:$O$300,MATCH(ROWS($O$3:O123),$M$3:$M$300,0),1),"")&lt;&gt;"",CONCATENATE(INDEX($N$3:$O$300,MATCH(ROWS($O$3:O123),$M$3:$M$300,0),1),".00"),"")</f>
        <v/>
      </c>
      <c r="P123" s="48" t="str">
        <f t="shared" ca="1" si="156"/>
        <v/>
      </c>
      <c r="Q123" s="48">
        <f ca="1">IF(M123&gt;=1,0,MAX($Q$2:Q122)+1)</f>
        <v>109</v>
      </c>
      <c r="U123" s="48" t="str">
        <f ca="1">IFERROR(INDEX(PDC,MATCH(ROWS(U$3:U123),$V$3:$V$400,0),2),"")</f>
        <v>PRESTITI DA CONTROLLATE</v>
      </c>
      <c r="V123" s="48">
        <f ca="1">IF(AND($T$1="VISUALIZZA TUTTI I CONTI",AA123&lt;&gt;""),MAX($V$2:V122)+1,IF(AND($U$2=2,AI123=$T$1),MAX($V$2:V122)+1,IF(AND($U$2=1,$T$1=AF123),MAX($V$2:V122)+1,0)))</f>
        <v>121</v>
      </c>
      <c r="Z123" s="246"/>
      <c r="AA123" s="48" t="str">
        <f t="shared" ca="1" si="157"/>
        <v>13.00</v>
      </c>
      <c r="AB123" s="48" t="str">
        <f ca="1">IFERROR(INDEX($A$3:$G$400,MATCH(ROWS(AB$3:AB123),$Q$3:$Q$400,0),1),"")</f>
        <v>13.30</v>
      </c>
      <c r="AC123" s="48" t="str">
        <f ca="1">IFERROR(INDEX($A$3:$G$400,MATCH(ROWS($AC$3:AC123),$Q$3:$Q$400,0),2),"")</f>
        <v>PRESTITI DA CONTROLLATE</v>
      </c>
      <c r="AD123" s="48" t="str">
        <f ca="1">IFERROR(INDEX($A$3:$G$400,MATCH(ROWS(AD$3:AD123),$Q$3:$Q$400,0),3),"")</f>
        <v>F</v>
      </c>
      <c r="AE123" s="48" t="str">
        <f ca="1">IFERROR(INDEX($A$3:$G$400,MATCH(ROWS(AE$3:AE123),$Q$3:$Q$400,0),4),"")</f>
        <v>A</v>
      </c>
      <c r="AF123" s="48" t="str">
        <f ca="1">IFERROR(INDEX($A$3:$G$400,MATCH(ROWS(AF$3:AF123),$Q$3:$Q$400,0),5),"")</f>
        <v>DEBITI</v>
      </c>
      <c r="AG123" s="48" t="str">
        <f ca="1">IFERROR(INDEX($A$3:$G$400,MATCH(ROWS(AG$3:AG123),$Q$3:$Q$400,0),6),"")</f>
        <v>SP AVERE</v>
      </c>
      <c r="AH123" s="48" t="str">
        <f ca="1">IFERROR(INDEX($A$3:$G$400,MATCH(ROWS(AH$3:AH123),$Q$3:$Q$400,0),7),"")</f>
        <v>SP</v>
      </c>
      <c r="AI123" s="48" t="str">
        <f t="shared" ca="1" si="158"/>
        <v>DEBITI FINANZIARI</v>
      </c>
      <c r="AJ123" s="48" t="str">
        <f ca="1">IFERROR(INDEX($A$3:$H$400,MATCH(ROWS(AJ$3:AJ123),$Q$3:$Q$400,0),8),"")</f>
        <v>ppd</v>
      </c>
      <c r="AK123" s="48">
        <f t="shared" ca="1" si="130"/>
        <v>0</v>
      </c>
      <c r="AL123" s="48">
        <f t="shared" ca="1" si="251"/>
        <v>0</v>
      </c>
      <c r="AM123" s="48">
        <f t="shared" ca="1" si="252"/>
        <v>0</v>
      </c>
      <c r="AN123" s="48">
        <f t="shared" ca="1" si="253"/>
        <v>0</v>
      </c>
      <c r="AO123" s="48">
        <f t="shared" ca="1" si="254"/>
        <v>0</v>
      </c>
      <c r="AP123" s="48">
        <f t="shared" ca="1" si="254"/>
        <v>0</v>
      </c>
      <c r="AQ123" s="48" t="str">
        <f t="shared" ca="1" si="132"/>
        <v>PRESTITI DA CONTROLLATE</v>
      </c>
      <c r="AR123" s="48">
        <f t="shared" ca="1" si="133"/>
        <v>0</v>
      </c>
      <c r="AS123" s="48">
        <f t="shared" ca="1" si="134"/>
        <v>0</v>
      </c>
      <c r="AT123" s="48">
        <f t="shared" ca="1" si="162"/>
        <v>0</v>
      </c>
      <c r="AU123" s="48">
        <f t="shared" ca="1" si="163"/>
        <v>0</v>
      </c>
      <c r="AV123" s="48">
        <f ca="1">IF(OR(AT123&gt;0,AU123&gt;0),MAX($AV$2:AV122)+1,0)</f>
        <v>0</v>
      </c>
      <c r="AZ123" s="241" t="str">
        <f t="shared" si="240"/>
        <v>23 V.I.</v>
      </c>
      <c r="BA123" s="48">
        <f t="shared" ca="1" si="241"/>
        <v>0</v>
      </c>
      <c r="BB123" s="48">
        <f t="shared" ca="1" si="247"/>
        <v>0</v>
      </c>
      <c r="BC123" s="48" t="str">
        <f t="shared" ca="1" si="248"/>
        <v/>
      </c>
      <c r="BD123" s="48">
        <f t="shared" ca="1" si="249"/>
        <v>0</v>
      </c>
      <c r="BE123" s="48">
        <f t="shared" ca="1" si="250"/>
        <v>0</v>
      </c>
      <c r="BF123" s="48">
        <v>21</v>
      </c>
      <c r="BG123" s="48">
        <f ca="1">IF(IF(AND(OR(INDEX(PDC,MATCH($AC123,DEN_PDC,0),6)="SP DARE",INDEX(PDC,MATCH($AC123,DEN_PDC,0),6)="SP DARE/AVERE"),SUMIFS(DARE,DEN_G,$AC123)&gt;=SUMIFS(AVERE,DEN_G,$AC123)),SUMIFS(DARE,DEN_G,$AC123)-SUMIFS(AVERE,DEN_G,$AC123),0)&gt;0,MAX($BG$2:BG122)+1,0)</f>
        <v>0</v>
      </c>
      <c r="BH123" s="48">
        <f ca="1">IF(IF(AND(OR(INDEX(PDC,MATCH($AC123,DEN_PDC,0),6)="SP AVERE",INDEX(PDC,MATCH($AC123,DEN_PDC,0),6)="SP DARE/AVERE"),SUMIFS(AVERE,DEN_G,$AC123)&gt;=SUMIFS(DARE,DEN_G,$AC123)),SUMIFS(AVERE,DEN_G,$AC123)-SUMIFS(DARE,DEN_G,$AC123),0)&gt;0,MAX(BH$2:BH122)+1,0)</f>
        <v>0</v>
      </c>
      <c r="BI123" s="48">
        <f ca="1">IF(IF(AND(OR(INDEX(PDC,MATCH($AC123,DEN_PDC,0),6)="SE DARE",INDEX(PDC,MATCH($AC123,DEN_PDC,0),6)="SE DARE/AVERE"),SUMIFS(DARE,DEN_G,$AC123)&gt;=SUMIFS(AVERE,DEN_G,$AC123)),SUMIFS(DARE,DEN_G,$AC123)-SUMIFS(AVERE,DEN_G,$AC123),0)&gt;0,MAX(BI$2:BI122)+1,0)</f>
        <v>0</v>
      </c>
      <c r="BJ123" s="48">
        <f ca="1">IF(IF(AND(OR(INDEX(PDC,MATCH($AC123,DEN_PDC,0),6)="SE AVERE",INDEX(PDC,MATCH($AC123,DEN_PDC,0),6)="SE DARE/AVERE"),SUMIFS(AVERE,DEN_G,$AC123)&gt;=SUMIFS(DARE,DEN_G,$AC123)),SUMIFS(AVERE,DEN_G,$AC123)-SUMIFS(DARE,DEN_G,$AC123),0)&gt;0,MAX(BJ$2:BJ122)+1,0)</f>
        <v>0</v>
      </c>
      <c r="BK123" s="48" t="str">
        <f ca="1">IF(AND(AND($DY$2=0,$DY$1=0),$I$1=2,ROW()&gt;$BG$1+2,ROW()&lt;=$BG$1+4),"………………..",IF(AND(OR($DY$2&gt;0,$DY$1&gt;0),$I$1=2,ROW()&gt;$BG$1+2,ROW()&lt;=$BG$1+4),"………………..",IFERROR(INDEX($AC$3:$AC$398,MATCH(ROWS(BK$3:BK123),BG$3:BG$398,0),1),"")))</f>
        <v/>
      </c>
      <c r="BL123" s="48">
        <f t="shared" ca="1" si="136"/>
        <v>0</v>
      </c>
      <c r="BM123" s="48" t="str">
        <f ca="1">IF(AND(OR($DY$2=0,$DY$1=0),$I$1=2,ROW()&gt;$BH$1+2,ROW()&lt;=$BH$1+4),"………………..",IF(AND(OR($DY$2&gt;0,$DY$1&gt;0),$I$1=2,ROW()&gt;$BH$1+2,ROW()&lt;=$BH$1+4),"………………..",IFERROR(INDEX($AC$3:$AC$400,MATCH(ROWS(BM$3:BM123),BH$3:BH$400,0),1),"")))</f>
        <v/>
      </c>
      <c r="BN123" s="48">
        <f t="shared" ca="1" si="137"/>
        <v>0</v>
      </c>
      <c r="BO123" s="48" t="str">
        <f ca="1">IF(AND(OR($DY$2=0,$DY$1=0),$I$1=2,ROW()&gt;$BI$1+2,ROW()&lt;=$BI$1+4),"………………..",IF(AND(OR($DY$2&gt;0,$DY$1&gt;0),$I$1=2,ROW()&gt;$BI$1+2,ROW()&lt;=$BI$1+4),"………………..",IFERROR(INDEX($AC$3:$AC$400,MATCH(ROWS(BO$3:BO123),BI$3:BI$400,0),1),"")))</f>
        <v/>
      </c>
      <c r="BP123" s="48">
        <f t="shared" ca="1" si="138"/>
        <v>0</v>
      </c>
      <c r="BQ123" s="48" t="str">
        <f ca="1">IF(AND(OR($DY$2=0,$DY$1=0),$I$1=2,ROW()&gt;$BJ$1+2,ROW()&lt;=$BJ$1+4),"………………..",IF(AND(OR($DY$2&gt;0,$DY$1&gt;0),$I$1=2,ROW()&gt;$BJ$1+2,ROW()&lt;=$BJ$1+4),"………………..",IFERROR(INDEX($AC$3:$AC$400,MATCH(ROWS(BQ$3:BQ123),BJ$3:BJ$400,0),1),"")))</f>
        <v/>
      </c>
      <c r="BR123" s="48">
        <f t="shared" ca="1" si="139"/>
        <v>0</v>
      </c>
      <c r="BS123" s="48">
        <f ca="1">IF(IF(AND(OR(INDEX(PDC,MATCH($AC123,DEN_PDC,0),4)="D",INDEX(PDC,MATCH($AC123,DEN_PDC,0),4)="D/A"),SUMIFS(DARE,DEN_G,$AC123)&gt;=SUMIFS(AVERE,DEN_G,$AC123)),SUMIFS(DARE,DEN_G,$AC123),IF(AND(OR(INDEX(PDC,MATCH($AC123,DEN_PDC,0),4)="A",INDEX(PDC,MATCH($AC123,DEN_PDC,0),4)="D/A"),SUMIFS(AVERE,DEN_G,$AC123)&gt;=SUMIFS(DARE,DEN_G,$AC123)),SUMIFS(AVERE,DEN_G,$AC123),))&gt;0,MAX($BS$2:BS122)+1,0)</f>
        <v>0</v>
      </c>
      <c r="BT123" s="48" t="str">
        <f ca="1">IF($CO$1=0,"",IF(AND($I$1=2,ROW()&gt;$BR$1,ROW()&lt;=$BS$1)," …………….",IF(AND($E$1=1,$BX$1=1,$I$1=2,ROW()=$BQ$1),"TOTALI",IFERROR(INDEX(PDC,MATCH(ROWS(BT$3:BT123),BS$3:BS520,0),2),""))))</f>
        <v/>
      </c>
      <c r="BU123" s="48">
        <f t="shared" ca="1" si="140"/>
        <v>0</v>
      </c>
      <c r="BV123" s="48">
        <f t="shared" ca="1" si="141"/>
        <v>0</v>
      </c>
      <c r="BW123" s="48">
        <f t="shared" ca="1" si="142"/>
        <v>0</v>
      </c>
      <c r="BX123" s="48">
        <f t="shared" ca="1" si="143"/>
        <v>0</v>
      </c>
      <c r="BY123" s="48">
        <f ca="1">IF(OR(BW123&gt;0,BX123&gt;0),MAX($BY$2:BY122)+1,0)</f>
        <v>0</v>
      </c>
      <c r="BZ123" s="48" t="str">
        <f ca="1">IFERROR(INDEX($BT$3:$BY$400,MATCH(ROWS(BZ$3:BZ123),$BY$3:$BY$400,0),1),"")</f>
        <v/>
      </c>
      <c r="CA123" s="48" t="str">
        <f ca="1">IFERROR(INDEX($BT$3:$BY$400,MATCH(ROWS(CA$3:CA123),$BY$3:$BY$400,0),4),"")</f>
        <v/>
      </c>
      <c r="CB123" s="48" t="str">
        <f ca="1">IFERROR(INDEX($BT$3:$BY$400,MATCH(ROWS(CB$3:CB123),$BY$3:$BY$400,0),5),"")</f>
        <v/>
      </c>
      <c r="CC123" s="48" t="str">
        <f t="shared" ca="1" si="144"/>
        <v/>
      </c>
      <c r="CD123" s="48">
        <f ca="1">IF(AND(CF1=TRUE,$BF$9=1,CE123&lt;&gt;0),MAX($CD$104:CD122)+1,0)</f>
        <v>0</v>
      </c>
      <c r="CE123" s="48">
        <f ca="1">IF($I$1=1,SUM(CE107:CE122),IF(AND(I1=2,SUM(CE107:CE122)&lt;&gt;0),"_ _ _",0))</f>
        <v>0</v>
      </c>
      <c r="CG123" s="242" t="s">
        <v>556</v>
      </c>
      <c r="CH123" s="48">
        <f t="shared" ca="1" si="259"/>
        <v>0</v>
      </c>
      <c r="CJ123" s="242"/>
      <c r="CM123" s="242" t="str">
        <f t="shared" ca="1" si="166"/>
        <v/>
      </c>
      <c r="CN123" s="243">
        <f t="shared" ca="1" si="167"/>
        <v>0</v>
      </c>
      <c r="CO123" s="48" t="str">
        <f t="shared" ca="1" si="168"/>
        <v/>
      </c>
      <c r="CQ123" s="242"/>
      <c r="CR123" s="242"/>
      <c r="CU123" s="48">
        <f ca="1">IF(SUMIFS(AVERE,DEN_G,AC123,AVERE,"&gt;"&amp;0)+SUMIFS(DARE,DEN_G,AC123,DARE,"&gt;"&amp;0)&gt;0,MAX($CU$2:CU122)+1,0)</f>
        <v>0</v>
      </c>
      <c r="CV123" s="48" t="str">
        <f ca="1">IF(IFERROR(INDEX(PDC,MATCH(ROWS($CV$3:CV123),$CU$3:$CU$400,0),2),"")="CONTO DI RISULTATO ECONOMICO","",IFERROR(INDEX(PDC,MATCH(ROWS($CV$3:CV123),$CU$3:$CU$400,0),2),""))</f>
        <v/>
      </c>
      <c r="CW123" s="48">
        <f ca="1">IFERROR(IF(CV123&lt;&gt;"",MAX($CW$2:CW122)+1,0),0)</f>
        <v>0</v>
      </c>
      <c r="CX123" s="48">
        <f t="shared" ca="1" si="270"/>
        <v>10</v>
      </c>
      <c r="CY123" s="48" t="str">
        <f t="shared" ca="1" si="269"/>
        <v>MASTRO</v>
      </c>
      <c r="CZ123" s="48" t="e">
        <f t="shared" ca="1" si="272"/>
        <v>#N/A</v>
      </c>
      <c r="DA123" s="48" t="str">
        <f t="shared" ref="DA123:DA131" ca="1" si="276">IFERROR(INDEX(LIBRO_GIORNALE,CZ123,1),"")</f>
        <v/>
      </c>
      <c r="DB123" s="48" t="str">
        <f t="shared" ca="1" si="212"/>
        <v/>
      </c>
      <c r="DC123" s="48" t="str">
        <f t="shared" ca="1" si="273"/>
        <v/>
      </c>
      <c r="DD123" s="48" t="str">
        <f t="shared" ca="1" si="274"/>
        <v/>
      </c>
      <c r="DE123" s="48" t="str">
        <f t="shared" ca="1" si="275"/>
        <v/>
      </c>
      <c r="DF123" s="48">
        <f ca="1">IF(AND(CX123=$DF$1,CX123&lt;&gt;""),0,IF(AND(DB123&lt;&gt;"",OR(DB122&lt;&gt;"",DB124&lt;&gt;"")),MAX($DF$2:DF122)+1,0))</f>
        <v>0</v>
      </c>
      <c r="DH123" s="244" t="s">
        <v>95</v>
      </c>
      <c r="DI123" s="228" t="s">
        <v>4</v>
      </c>
      <c r="DN123" s="48">
        <f ca="1">IF(DI123&lt;&gt;"",MAX($DN$2:DN122)+1,0)</f>
        <v>103</v>
      </c>
      <c r="DQ123" s="227" t="s">
        <v>102</v>
      </c>
      <c r="DR123" s="48" t="s">
        <v>397</v>
      </c>
      <c r="DS123" s="48" t="s">
        <v>311</v>
      </c>
      <c r="DT123" s="48" t="s">
        <v>275</v>
      </c>
      <c r="DU123" s="48" t="s">
        <v>4</v>
      </c>
      <c r="DV123" s="48" t="s">
        <v>270</v>
      </c>
      <c r="DW123" s="48">
        <f ca="1">IF(DR123&lt;&gt;"",MAX($DW$2:DW122)+1,0)</f>
        <v>79</v>
      </c>
      <c r="DX123" s="48" t="s">
        <v>654</v>
      </c>
      <c r="DY123" s="48" t="str">
        <f t="shared" ca="1" si="147"/>
        <v/>
      </c>
      <c r="DZ123" s="48" t="str">
        <f t="shared" ca="1" si="170"/>
        <v/>
      </c>
      <c r="EA123" s="48" t="str">
        <f t="shared" ca="1" si="171"/>
        <v/>
      </c>
      <c r="EB123" s="48">
        <f t="shared" ca="1" si="172"/>
        <v>0</v>
      </c>
      <c r="EC123" s="48">
        <f t="shared" ca="1" si="173"/>
        <v>0</v>
      </c>
      <c r="ED123" s="48" t="str">
        <f t="shared" ca="1" si="174"/>
        <v/>
      </c>
      <c r="EE123" s="48">
        <f t="shared" ca="1" si="175"/>
        <v>0</v>
      </c>
      <c r="EF123" s="48" t="str">
        <f t="shared" ca="1" si="176"/>
        <v/>
      </c>
      <c r="EG123" s="48">
        <f t="shared" ca="1" si="177"/>
        <v>0</v>
      </c>
      <c r="EH123" s="48" t="str">
        <f t="shared" ca="1" si="178"/>
        <v/>
      </c>
      <c r="EI123" s="48">
        <f t="shared" ca="1" si="179"/>
        <v>0</v>
      </c>
      <c r="EJ123" s="48" t="str">
        <f t="shared" ca="1" si="180"/>
        <v/>
      </c>
      <c r="EK123" s="48">
        <f t="shared" ca="1" si="181"/>
        <v>0</v>
      </c>
      <c r="EL123" s="48">
        <f t="shared" ca="1" si="148"/>
        <v>0</v>
      </c>
      <c r="EM123" s="48">
        <f ca="1">IF(EL123&gt;=0,0,MAX($EM$2:EM122)+1)</f>
        <v>0</v>
      </c>
      <c r="EN123" s="48" t="str">
        <f t="shared" ca="1" si="182"/>
        <v/>
      </c>
      <c r="EO123" s="48" t="str">
        <f ca="1">IFERROR(INDEX($EM$3:$EN$400,MATCH(ROWS($EO$3:EO123),$EM$3:$EM$400,0),2),"")</f>
        <v/>
      </c>
      <c r="EP123" s="48">
        <f>ROW()</f>
        <v>123</v>
      </c>
      <c r="EQ123" s="48">
        <f t="shared" ca="1" si="149"/>
        <v>0</v>
      </c>
      <c r="ER123" s="48">
        <f ca="1">IF(ISNA(EQ123)=TRUE,MAX($ER$2:ER122)+1,0)</f>
        <v>0</v>
      </c>
      <c r="ES123" s="48" t="str">
        <f t="shared" ca="1" si="183"/>
        <v/>
      </c>
      <c r="ET123" s="48" t="str">
        <f ca="1">IFERROR(INDEX($ER$3:$ES$400,MATCH(ROWS($ET$3:ET123),$ER$3:$ER$400,0),2),"")</f>
        <v/>
      </c>
      <c r="EV123" s="48">
        <f ca="1">IFERROR(INDEX(LIBRO_GIORNALE!$O$11:$P$408,MATCH(ROWS($EV$2:EV122),LIBRO_GIORNALE!$P$11:$P$408,0),1),0)</f>
        <v>0</v>
      </c>
      <c r="EW123" s="48" t="str">
        <f t="shared" ca="1" si="184"/>
        <v>0</v>
      </c>
      <c r="EX123" s="48">
        <f t="shared" ca="1" si="185"/>
        <v>0</v>
      </c>
      <c r="EY123" s="48">
        <f ca="1">IF(EX123&gt;0,MAX($EY$2:EY122)+1,0)</f>
        <v>0</v>
      </c>
      <c r="EZ123" s="48">
        <f ca="1">IFERROR(INDEX($EX$3:$EX$400,MATCH(ROWS($EZ$3:EZ123),$EY$3:$EY$400,0),1),0)</f>
        <v>0</v>
      </c>
      <c r="FA123" s="48">
        <f ca="1">IF(EZ123&gt;0,0,MAX($FA$2:FA122)+1)</f>
        <v>121</v>
      </c>
      <c r="FB123" s="48">
        <f t="shared" ca="1" si="186"/>
        <v>0</v>
      </c>
      <c r="FC123" s="48">
        <f t="shared" ca="1" si="187"/>
        <v>121</v>
      </c>
      <c r="FD123" s="48">
        <f t="shared" ca="1" si="188"/>
        <v>121</v>
      </c>
      <c r="FE123" s="48">
        <f ca="1">IF(FD123=0,0,MAX($FE$2:FE122)+1)</f>
        <v>121</v>
      </c>
      <c r="FF123" s="48">
        <f ca="1">IFERROR(INDEX($FD$3:$FE$400,MATCH(ROWS($FF$3:FF123),$FE$3:$FE$400,0),1),"")</f>
        <v>121</v>
      </c>
      <c r="FG123" s="48">
        <f t="shared" ca="1" si="255"/>
        <v>0</v>
      </c>
      <c r="FH123" s="48">
        <f t="shared" ca="1" si="189"/>
        <v>0</v>
      </c>
      <c r="FI123" s="48">
        <f ca="1">IF(FH123&lt;&gt;0,MAX($FI$2:FI122)+1,0)</f>
        <v>0</v>
      </c>
      <c r="FJ123" s="48" t="str">
        <f ca="1">IFERROR(INDEX($FH$3:$FI$400,MATCH(ROWS($FJ$3:FJ123),$FI$3:$FI$400,0),1),"")</f>
        <v/>
      </c>
      <c r="FK123" s="48">
        <f ca="1">IF(ABS(SUMIFS(DARE,DEN_G,"="&amp;FJ123,DATA,"&lt;="&amp;FINE_AC,DATA,"&gt;="&amp;INIZIO_A_PC)-SUMIFS(AVERE,DEN_G,"="&amp;FJ123,DATA,"&lt;="&amp;FINE_AC,DATA,"&gt;="&amp;INIZIO_A_PC))&gt;0,MAX($FK$2:FK122)+1,0)</f>
        <v>0</v>
      </c>
      <c r="FL123" s="48" t="str">
        <f ca="1">IF(AND(ROW()-2&lt;&gt;1,ROW()-2&lt;=$FK$1),CONCATENATE(" - ",IFERROR(INDEX($FJ$3:$FK$400,MATCH(ROWS($FL$3:FL123),$FK$3:$FK$400,0),1),"")),IFERROR(INDEX($FJ$3:$FK$400,MATCH(ROWS($FL$3:FL123),$FK$3:$FK$400,0),1),""))</f>
        <v/>
      </c>
      <c r="FM123" s="48">
        <f ca="1">IF(OR(B123="IVA ns/credito",B123="IVA NS/DEBITO",B123="IVA C/ACCONTO",B123="IMPOSTE C/ACCONTO",B123="CREDITI PER RITENUTE SUBITE",B123="CREDITI D'IMPOSTA"),MAX($FM$2:FM122)+1,0)</f>
        <v>0</v>
      </c>
      <c r="FN123" s="48" t="str">
        <f t="shared" ca="1" si="190"/>
        <v/>
      </c>
      <c r="FO123" s="48" t="str">
        <f ca="1">IFERROR(INDEX($FM$3:$FN$400,MATCH(ROWS($FO$3:FO123),$FM$3:$FM$400,0),2),"")</f>
        <v/>
      </c>
      <c r="FP123" s="48">
        <f ca="1">IF(ABS(SUMIFS(DARE,DEN_G,"="&amp;FO123,DATA,"&lt;="&amp;FINE_AC,DATA,"&gt;="&amp;INIZIO_A_PC)-SUMIFS(AVERE,DEN_G,"="&amp;FO123,DATA,"&lt;="&amp;FINE_AC,DATA,"&gt;="&amp;INIZIO_A_PC))&gt;0,MAX($FP$2:FP122)+1,0)</f>
        <v>0</v>
      </c>
      <c r="FQ123" s="48" t="str">
        <f ca="1">IF(AND(ROW()-2&lt;&gt;1,ROW()-2&lt;=$FP$1),CONCATENATE(" - ",IFERROR(INDEX($FO$3:$FP$400,MATCH(ROWS($FQ$3:FQ123),$FP$3:$FP$400,0),1),"")),IFERROR(INDEX($FO$3:$FP$400,MATCH(ROWS($FQ$3:FQ123),$FP$3:$FP$400,0),1),""))</f>
        <v/>
      </c>
    </row>
    <row r="124" spans="1:173" x14ac:dyDescent="0.3">
      <c r="A124" s="48" t="str">
        <f ca="1">IFERROR(IF($A$1=2,INDEX($DH$3:$DN$401,MATCH(ROWS(A$3:A124),$DN$3:$DN$401,0),COLUMN()),IF($A$1=1,INDEX($DQ$3:$DW$401,MATCH(ROWS(A$3:A124),$DW$3:$DW$401,0),COLUMN()),"")),"")</f>
        <v>11.10</v>
      </c>
      <c r="B124" s="48" t="str">
        <f ca="1">IFERROR(IF($A$1=2,INDEX($DH$3:$DN$401,MATCH(ROWS(B$3:B124),$DN$3:$DN$401,0),COLUMN()),IF($A$1=1,INDEX($DQ$3:$DW$400,MATCH(ROWS(B$3:B124),$DW$3:$DW$401,0),COLUMN()),"")),"")</f>
        <v>FONDO MANUTENZIONI PROGRAMMATE</v>
      </c>
      <c r="C124" s="48" t="str">
        <f ca="1">IFERROR(IF($A$1=2,INDEX($DH$3:$DN$401,MATCH(ROWS(C$3:C124),$DN$3:$DN$401,0),COLUMN()),IF($A$1=1,INDEX($DQ$3:$DW$401,MATCH(ROWS(C$3:C124),$DW$3:$DW$401,0),COLUMN()),"")),"")</f>
        <v>F</v>
      </c>
      <c r="D124" s="48" t="str">
        <f ca="1">IFERROR(IF($A$1=2,INDEX($DH$3:$DN$401,MATCH(ROWS(D$3:D124),$DN$3:$DN$401,0),COLUMN()),IF($A$1=1,INDEX($DQ$3:$DW$401,MATCH(ROWS(D$3:D124),$DW$3:$DW$401,0),COLUMN()),"")),"")</f>
        <v>A</v>
      </c>
      <c r="E124" s="48" t="str">
        <f ca="1">IFERROR(IF($A$1=2,INDEX($DH$3:$DN$401,MATCH(ROWS(E$3:E124),$DN$3:$DN$401,0),COLUMN()),IF($A$1=1,INDEX($DQ$3:$DW$401,MATCH(ROWS(E$3:E124),$DW$3:$DW$401,0),COLUMN()),"")),"")</f>
        <v>RATEI, FONDI RISCHI E ONERI</v>
      </c>
      <c r="F124" s="48" t="str">
        <f ca="1">IFERROR(IF($A$1=2,INDEX($DH$3:$DN$401,MATCH(ROWS(F$3:F124),$DN$3:$DN$401,0),COLUMN()),IF($A$1=1,INDEX($DQ$3:$DX$401,MATCH(ROWS(F$3:F124),$DW$3:$DW$401,0),COLUMN()),"")),"")</f>
        <v>SP AVERE</v>
      </c>
      <c r="G124" s="48" t="str">
        <f t="shared" ca="1" si="150"/>
        <v>SP</v>
      </c>
      <c r="H124" s="48" t="str">
        <f ca="1">IFERROR(IF($A$1=2,INDEX($DH$3:$DO$400,MATCH(ROWS(H$3:H124),$DN$3:$DN$400,0),COLUMN()),IF($A$1=1,INDEX($DQ$3:$DX$400,MATCH(ROWS(H$3:H124),$DW$3:$DW$400,0),COLUMN()),"")),"")</f>
        <v>ppb</v>
      </c>
      <c r="I124" s="48" t="str">
        <f t="shared" ca="1" si="151"/>
        <v/>
      </c>
      <c r="J124" s="48" t="str">
        <f t="shared" ca="1" si="152"/>
        <v/>
      </c>
      <c r="K124" s="48">
        <f t="shared" ca="1" si="153"/>
        <v>0</v>
      </c>
      <c r="L124" s="48">
        <f t="shared" ca="1" si="154"/>
        <v>0</v>
      </c>
      <c r="M124" s="48">
        <f ca="1">IFERROR(IF(IF(MID($A124,3,3)=".00",MID(A124,1,2),"")&lt;&gt;"",MAX($M$2:M123)+1,0),"")</f>
        <v>0</v>
      </c>
      <c r="N124" s="48" t="str">
        <f t="shared" ca="1" si="155"/>
        <v/>
      </c>
      <c r="O124" s="48" t="str">
        <f ca="1">IF(IFERROR(INDEX($N$3:$O$300,MATCH(ROWS($O$3:O124),$M$3:$M$300,0),1),"")&lt;&gt;"",CONCATENATE(INDEX($N$3:$O$300,MATCH(ROWS($O$3:O124),$M$3:$M$300,0),1),".00"),"")</f>
        <v/>
      </c>
      <c r="P124" s="48" t="str">
        <f t="shared" ca="1" si="156"/>
        <v/>
      </c>
      <c r="Q124" s="48">
        <f ca="1">IF(M124&gt;=1,0,MAX($Q$2:Q123)+1)</f>
        <v>110</v>
      </c>
      <c r="U124" s="48" t="str">
        <f ca="1">IFERROR(INDEX(PDC,MATCH(ROWS(U$3:U124),$V$3:$V$400,0),2),"")</f>
        <v>PRESTITI DA COLLEGATE</v>
      </c>
      <c r="V124" s="48">
        <f ca="1">IF(AND($T$1="VISUALIZZA TUTTI I CONTI",AA124&lt;&gt;""),MAX($V$2:V123)+1,IF(AND($U$2=2,AI124=$T$1),MAX($V$2:V123)+1,IF(AND($U$2=1,$T$1=AF124),MAX($V$2:V123)+1,0)))</f>
        <v>122</v>
      </c>
      <c r="Z124" s="246"/>
      <c r="AA124" s="48" t="str">
        <f t="shared" ca="1" si="157"/>
        <v>13.00</v>
      </c>
      <c r="AB124" s="48" t="str">
        <f ca="1">IFERROR(INDEX($A$3:$G$400,MATCH(ROWS(AB$3:AB124),$Q$3:$Q$400,0),1),"")</f>
        <v>13.31</v>
      </c>
      <c r="AC124" s="48" t="str">
        <f ca="1">IFERROR(INDEX($A$3:$G$400,MATCH(ROWS($AC$3:AC124),$Q$3:$Q$400,0),2),"")</f>
        <v>PRESTITI DA COLLEGATE</v>
      </c>
      <c r="AD124" s="48" t="str">
        <f ca="1">IFERROR(INDEX($A$3:$G$400,MATCH(ROWS(AD$3:AD124),$Q$3:$Q$400,0),3),"")</f>
        <v>F</v>
      </c>
      <c r="AE124" s="48" t="str">
        <f ca="1">IFERROR(INDEX($A$3:$G$400,MATCH(ROWS(AE$3:AE124),$Q$3:$Q$400,0),4),"")</f>
        <v>A</v>
      </c>
      <c r="AF124" s="48" t="str">
        <f ca="1">IFERROR(INDEX($A$3:$G$400,MATCH(ROWS(AF$3:AF124),$Q$3:$Q$400,0),5),"")</f>
        <v>DEBITI</v>
      </c>
      <c r="AG124" s="48" t="str">
        <f ca="1">IFERROR(INDEX($A$3:$G$400,MATCH(ROWS(AG$3:AG124),$Q$3:$Q$400,0),6),"")</f>
        <v>SP AVERE</v>
      </c>
      <c r="AH124" s="48" t="str">
        <f ca="1">IFERROR(INDEX($A$3:$G$400,MATCH(ROWS(AH$3:AH124),$Q$3:$Q$400,0),7),"")</f>
        <v>SP</v>
      </c>
      <c r="AI124" s="48" t="str">
        <f t="shared" ca="1" si="158"/>
        <v>DEBITI FINANZIARI</v>
      </c>
      <c r="AJ124" s="48" t="str">
        <f ca="1">IFERROR(INDEX($A$3:$H$400,MATCH(ROWS(AJ$3:AJ124),$Q$3:$Q$400,0),8),"")</f>
        <v>ppd</v>
      </c>
      <c r="AK124" s="48">
        <f t="shared" ca="1" si="130"/>
        <v>0</v>
      </c>
      <c r="AL124" s="48">
        <f t="shared" ca="1" si="251"/>
        <v>0</v>
      </c>
      <c r="AM124" s="48">
        <f t="shared" ca="1" si="252"/>
        <v>0</v>
      </c>
      <c r="AN124" s="48">
        <f t="shared" ca="1" si="253"/>
        <v>0</v>
      </c>
      <c r="AO124" s="48">
        <f t="shared" ca="1" si="254"/>
        <v>0</v>
      </c>
      <c r="AP124" s="48">
        <f t="shared" ca="1" si="254"/>
        <v>0</v>
      </c>
      <c r="AQ124" s="48" t="str">
        <f t="shared" ca="1" si="132"/>
        <v>PRESTITI DA COLLEGATE</v>
      </c>
      <c r="AR124" s="48">
        <f t="shared" ca="1" si="133"/>
        <v>0</v>
      </c>
      <c r="AS124" s="48">
        <f t="shared" ca="1" si="134"/>
        <v>0</v>
      </c>
      <c r="AT124" s="48">
        <f t="shared" ca="1" si="162"/>
        <v>0</v>
      </c>
      <c r="AU124" s="48">
        <f t="shared" ca="1" si="163"/>
        <v>0</v>
      </c>
      <c r="AV124" s="48">
        <f ca="1">IF(OR(AT124&gt;0,AU124&gt;0),MAX($AV$2:AV123)+1,0)</f>
        <v>0</v>
      </c>
      <c r="AZ124" s="241" t="str">
        <f t="shared" si="240"/>
        <v>24 V.I.</v>
      </c>
      <c r="BA124" s="48">
        <f t="shared" ca="1" si="241"/>
        <v>0</v>
      </c>
      <c r="BB124" s="48">
        <f t="shared" ca="1" si="247"/>
        <v>0</v>
      </c>
      <c r="BC124" s="48" t="str">
        <f t="shared" ca="1" si="248"/>
        <v/>
      </c>
      <c r="BD124" s="48">
        <f t="shared" ca="1" si="249"/>
        <v>0</v>
      </c>
      <c r="BE124" s="48">
        <f t="shared" ca="1" si="250"/>
        <v>0</v>
      </c>
      <c r="BF124" s="48">
        <v>22</v>
      </c>
      <c r="BG124" s="48">
        <f ca="1">IF(IF(AND(OR(INDEX(PDC,MATCH($AC124,DEN_PDC,0),6)="SP DARE",INDEX(PDC,MATCH($AC124,DEN_PDC,0),6)="SP DARE/AVERE"),SUMIFS(DARE,DEN_G,$AC124)&gt;=SUMIFS(AVERE,DEN_G,$AC124)),SUMIFS(DARE,DEN_G,$AC124)-SUMIFS(AVERE,DEN_G,$AC124),0)&gt;0,MAX($BG$2:BG123)+1,0)</f>
        <v>0</v>
      </c>
      <c r="BH124" s="48">
        <f ca="1">IF(IF(AND(OR(INDEX(PDC,MATCH($AC124,DEN_PDC,0),6)="SP AVERE",INDEX(PDC,MATCH($AC124,DEN_PDC,0),6)="SP DARE/AVERE"),SUMIFS(AVERE,DEN_G,$AC124)&gt;=SUMIFS(DARE,DEN_G,$AC124)),SUMIFS(AVERE,DEN_G,$AC124)-SUMIFS(DARE,DEN_G,$AC124),0)&gt;0,MAX(BH$2:BH123)+1,0)</f>
        <v>0</v>
      </c>
      <c r="BI124" s="48">
        <f ca="1">IF(IF(AND(OR(INDEX(PDC,MATCH($AC124,DEN_PDC,0),6)="SE DARE",INDEX(PDC,MATCH($AC124,DEN_PDC,0),6)="SE DARE/AVERE"),SUMIFS(DARE,DEN_G,$AC124)&gt;=SUMIFS(AVERE,DEN_G,$AC124)),SUMIFS(DARE,DEN_G,$AC124)-SUMIFS(AVERE,DEN_G,$AC124),0)&gt;0,MAX(BI$2:BI123)+1,0)</f>
        <v>0</v>
      </c>
      <c r="BJ124" s="48">
        <f ca="1">IF(IF(AND(OR(INDEX(PDC,MATCH($AC124,DEN_PDC,0),6)="SE AVERE",INDEX(PDC,MATCH($AC124,DEN_PDC,0),6)="SE DARE/AVERE"),SUMIFS(AVERE,DEN_G,$AC124)&gt;=SUMIFS(DARE,DEN_G,$AC124)),SUMIFS(AVERE,DEN_G,$AC124)-SUMIFS(DARE,DEN_G,$AC124),0)&gt;0,MAX(BJ$2:BJ123)+1,0)</f>
        <v>0</v>
      </c>
      <c r="BK124" s="48" t="str">
        <f ca="1">IF(AND(AND($DY$2=0,$DY$1=0),$I$1=2,ROW()&gt;$BG$1+2,ROW()&lt;=$BG$1+4),"………………..",IF(AND(OR($DY$2&gt;0,$DY$1&gt;0),$I$1=2,ROW()&gt;$BG$1+2,ROW()&lt;=$BG$1+4),"………………..",IFERROR(INDEX($AC$3:$AC$398,MATCH(ROWS(BK$3:BK124),BG$3:BG$398,0),1),"")))</f>
        <v/>
      </c>
      <c r="BL124" s="48">
        <f t="shared" ca="1" si="136"/>
        <v>0</v>
      </c>
      <c r="BM124" s="48" t="str">
        <f ca="1">IF(AND(OR($DY$2=0,$DY$1=0),$I$1=2,ROW()&gt;$BH$1+2,ROW()&lt;=$BH$1+4),"………………..",IF(AND(OR($DY$2&gt;0,$DY$1&gt;0),$I$1=2,ROW()&gt;$BH$1+2,ROW()&lt;=$BH$1+4),"………………..",IFERROR(INDEX($AC$3:$AC$400,MATCH(ROWS(BM$3:BM124),BH$3:BH$400,0),1),"")))</f>
        <v/>
      </c>
      <c r="BN124" s="48">
        <f t="shared" ca="1" si="137"/>
        <v>0</v>
      </c>
      <c r="BO124" s="48" t="str">
        <f ca="1">IF(AND(OR($DY$2=0,$DY$1=0),$I$1=2,ROW()&gt;$BI$1+2,ROW()&lt;=$BI$1+4),"………………..",IF(AND(OR($DY$2&gt;0,$DY$1&gt;0),$I$1=2,ROW()&gt;$BI$1+2,ROW()&lt;=$BI$1+4),"………………..",IFERROR(INDEX($AC$3:$AC$400,MATCH(ROWS(BO$3:BO124),BI$3:BI$400,0),1),"")))</f>
        <v/>
      </c>
      <c r="BP124" s="48">
        <f t="shared" ca="1" si="138"/>
        <v>0</v>
      </c>
      <c r="BQ124" s="48" t="str">
        <f ca="1">IF(AND(OR($DY$2=0,$DY$1=0),$I$1=2,ROW()&gt;$BJ$1+2,ROW()&lt;=$BJ$1+4),"………………..",IF(AND(OR($DY$2&gt;0,$DY$1&gt;0),$I$1=2,ROW()&gt;$BJ$1+2,ROW()&lt;=$BJ$1+4),"………………..",IFERROR(INDEX($AC$3:$AC$400,MATCH(ROWS(BQ$3:BQ124),BJ$3:BJ$400,0),1),"")))</f>
        <v/>
      </c>
      <c r="BR124" s="48">
        <f t="shared" ca="1" si="139"/>
        <v>0</v>
      </c>
      <c r="BS124" s="48">
        <f ca="1">IF(IF(AND(OR(INDEX(PDC,MATCH($AC124,DEN_PDC,0),4)="D",INDEX(PDC,MATCH($AC124,DEN_PDC,0),4)="D/A"),SUMIFS(DARE,DEN_G,$AC124)&gt;=SUMIFS(AVERE,DEN_G,$AC124)),SUMIFS(DARE,DEN_G,$AC124),IF(AND(OR(INDEX(PDC,MATCH($AC124,DEN_PDC,0),4)="A",INDEX(PDC,MATCH($AC124,DEN_PDC,0),4)="D/A"),SUMIFS(AVERE,DEN_G,$AC124)&gt;=SUMIFS(DARE,DEN_G,$AC124)),SUMIFS(AVERE,DEN_G,$AC124),))&gt;0,MAX($BS$2:BS123)+1,0)</f>
        <v>0</v>
      </c>
      <c r="BT124" s="48" t="str">
        <f ca="1">IF($CO$1=0,"",IF(AND($I$1=2,ROW()&gt;$BR$1,ROW()&lt;=$BS$1)," …………….",IF(AND($E$1=1,$BX$1=1,$I$1=2,ROW()=$BQ$1),"TOTALI",IFERROR(INDEX(PDC,MATCH(ROWS(BT$3:BT124),BS$3:BS521,0),2),""))))</f>
        <v/>
      </c>
      <c r="BU124" s="48">
        <f t="shared" ca="1" si="140"/>
        <v>0</v>
      </c>
      <c r="BV124" s="48">
        <f t="shared" ca="1" si="141"/>
        <v>0</v>
      </c>
      <c r="BW124" s="48">
        <f t="shared" ca="1" si="142"/>
        <v>0</v>
      </c>
      <c r="BX124" s="48">
        <f t="shared" ca="1" si="143"/>
        <v>0</v>
      </c>
      <c r="BY124" s="48">
        <f ca="1">IF(OR(BW124&gt;0,BX124&gt;0),MAX($BY$2:BY123)+1,0)</f>
        <v>0</v>
      </c>
      <c r="BZ124" s="48" t="str">
        <f ca="1">IFERROR(INDEX($BT$3:$BY$400,MATCH(ROWS(BZ$3:BZ124),$BY$3:$BY$400,0),1),"")</f>
        <v/>
      </c>
      <c r="CA124" s="48" t="str">
        <f ca="1">IFERROR(INDEX($BT$3:$BY$400,MATCH(ROWS(CA$3:CA124),$BY$3:$BY$400,0),4),"")</f>
        <v/>
      </c>
      <c r="CB124" s="48" t="str">
        <f ca="1">IFERROR(INDEX($BT$3:$BY$400,MATCH(ROWS(CB$3:CB124),$BY$3:$BY$400,0),5),"")</f>
        <v/>
      </c>
      <c r="CC124" s="48" t="str">
        <f t="shared" ca="1" si="144"/>
        <v/>
      </c>
      <c r="CD124" s="48">
        <f ca="1">IF(AND($BF$9=1,CE124&lt;&gt;0),MAX($CD$104:CD123)+1,0)</f>
        <v>0</v>
      </c>
      <c r="CE124" s="48">
        <f ca="1">IF(OR(CE129&gt;0,CE129="_ _ _"),"A",0)</f>
        <v>0</v>
      </c>
      <c r="CG124" s="242" t="s">
        <v>550</v>
      </c>
      <c r="CJ124" s="242"/>
      <c r="CM124" s="242" t="str">
        <f t="shared" ca="1" si="166"/>
        <v/>
      </c>
      <c r="CN124" s="243">
        <f t="shared" ca="1" si="167"/>
        <v>0</v>
      </c>
      <c r="CO124" s="48" t="str">
        <f t="shared" ca="1" si="168"/>
        <v/>
      </c>
      <c r="CQ124" s="242"/>
      <c r="CR124" s="242"/>
      <c r="CU124" s="48">
        <f ca="1">IF(SUMIFS(AVERE,DEN_G,AC124,AVERE,"&gt;"&amp;0)+SUMIFS(DARE,DEN_G,AC124,DARE,"&gt;"&amp;0)&gt;0,MAX($CU$2:CU123)+1,0)</f>
        <v>0</v>
      </c>
      <c r="CV124" s="48" t="str">
        <f ca="1">IF(IFERROR(INDEX(PDC,MATCH(ROWS($CV$3:CV124),$CU$3:$CU$400,0),2),"")="CONTO DI RISULTATO ECONOMICO","",IFERROR(INDEX(PDC,MATCH(ROWS($CV$3:CV124),$CU$3:$CU$400,0),2),""))</f>
        <v/>
      </c>
      <c r="CW124" s="48">
        <f ca="1">IFERROR(IF(CV124&lt;&gt;"",MAX($CW$2:CW123)+1,0),0)</f>
        <v>0</v>
      </c>
      <c r="CX124" s="48">
        <f t="shared" ca="1" si="270"/>
        <v>10</v>
      </c>
      <c r="CY124" s="48" t="str">
        <f t="shared" ca="1" si="269"/>
        <v>MASTRO</v>
      </c>
      <c r="CZ124" s="48" t="e">
        <f t="shared" ca="1" si="272"/>
        <v>#N/A</v>
      </c>
      <c r="DA124" s="48" t="str">
        <f t="shared" ca="1" si="276"/>
        <v/>
      </c>
      <c r="DB124" s="48" t="str">
        <f t="shared" ca="1" si="212"/>
        <v/>
      </c>
      <c r="DC124" s="48" t="str">
        <f t="shared" ca="1" si="273"/>
        <v/>
      </c>
      <c r="DD124" s="48" t="str">
        <f t="shared" ca="1" si="274"/>
        <v/>
      </c>
      <c r="DE124" s="48" t="str">
        <f t="shared" ca="1" si="275"/>
        <v/>
      </c>
      <c r="DF124" s="48">
        <f ca="1">IF(AND(CX124=$DF$1,CX124&lt;&gt;""),0,IF(AND(DB124&lt;&gt;"",OR(DB123&lt;&gt;"",DB125&lt;&gt;"")),MAX($DF$2:DF123)+1,0))</f>
        <v>0</v>
      </c>
      <c r="DH124" s="244" t="s">
        <v>96</v>
      </c>
      <c r="DI124" s="48" t="s">
        <v>383</v>
      </c>
      <c r="DJ124" s="48" t="s">
        <v>311</v>
      </c>
      <c r="DK124" s="48" t="s">
        <v>298</v>
      </c>
      <c r="DL124" s="48" t="s">
        <v>4</v>
      </c>
      <c r="DM124" s="48" t="s">
        <v>299</v>
      </c>
      <c r="DN124" s="48">
        <f ca="1">IF(DI124&lt;&gt;"",MAX($DN$2:DN123)+1,0)</f>
        <v>104</v>
      </c>
      <c r="DO124" s="48" t="s">
        <v>649</v>
      </c>
      <c r="DQ124" s="227" t="s">
        <v>387</v>
      </c>
      <c r="DR124" s="48" t="s">
        <v>97</v>
      </c>
      <c r="DS124" s="48" t="s">
        <v>311</v>
      </c>
      <c r="DT124" s="48" t="s">
        <v>298</v>
      </c>
      <c r="DU124" s="48" t="s">
        <v>4</v>
      </c>
      <c r="DV124" s="48" t="s">
        <v>299</v>
      </c>
      <c r="DW124" s="48">
        <f ca="1">IF(DR124&lt;&gt;"",MAX($DW$2:DW123)+1,0)</f>
        <v>80</v>
      </c>
      <c r="DX124" s="48" t="s">
        <v>655</v>
      </c>
      <c r="DY124" s="48" t="str">
        <f t="shared" ca="1" si="147"/>
        <v/>
      </c>
      <c r="DZ124" s="48" t="str">
        <f t="shared" ca="1" si="170"/>
        <v/>
      </c>
      <c r="EA124" s="48" t="str">
        <f t="shared" ca="1" si="171"/>
        <v/>
      </c>
      <c r="EB124" s="48">
        <f t="shared" ca="1" si="172"/>
        <v>0</v>
      </c>
      <c r="EC124" s="48">
        <f t="shared" ca="1" si="173"/>
        <v>0</v>
      </c>
      <c r="ED124" s="48" t="str">
        <f t="shared" ca="1" si="174"/>
        <v/>
      </c>
      <c r="EE124" s="48">
        <f t="shared" ca="1" si="175"/>
        <v>0</v>
      </c>
      <c r="EF124" s="48" t="str">
        <f t="shared" ca="1" si="176"/>
        <v/>
      </c>
      <c r="EG124" s="48">
        <f t="shared" ca="1" si="177"/>
        <v>0</v>
      </c>
      <c r="EH124" s="48" t="str">
        <f t="shared" ca="1" si="178"/>
        <v/>
      </c>
      <c r="EI124" s="48">
        <f t="shared" ca="1" si="179"/>
        <v>0</v>
      </c>
      <c r="EJ124" s="48" t="str">
        <f t="shared" ca="1" si="180"/>
        <v/>
      </c>
      <c r="EK124" s="48">
        <f t="shared" ca="1" si="181"/>
        <v>0</v>
      </c>
      <c r="EL124" s="48">
        <f t="shared" ca="1" si="148"/>
        <v>0</v>
      </c>
      <c r="EM124" s="48">
        <f ca="1">IF(EL124&gt;=0,0,MAX($EM$2:EM123)+1)</f>
        <v>0</v>
      </c>
      <c r="EN124" s="48" t="str">
        <f t="shared" ca="1" si="182"/>
        <v/>
      </c>
      <c r="EO124" s="48" t="str">
        <f ca="1">IFERROR(INDEX($EM$3:$EN$400,MATCH(ROWS($EO$3:EO124),$EM$3:$EM$400,0),2),"")</f>
        <v/>
      </c>
      <c r="EP124" s="48">
        <f>ROW()</f>
        <v>124</v>
      </c>
      <c r="EQ124" s="48">
        <f t="shared" ca="1" si="149"/>
        <v>0</v>
      </c>
      <c r="ER124" s="48">
        <f ca="1">IF(ISNA(EQ124)=TRUE,MAX($ER$2:ER123)+1,0)</f>
        <v>0</v>
      </c>
      <c r="ES124" s="48" t="str">
        <f t="shared" ca="1" si="183"/>
        <v/>
      </c>
      <c r="ET124" s="48" t="str">
        <f ca="1">IFERROR(INDEX($ER$3:$ES$400,MATCH(ROWS($ET$3:ET124),$ER$3:$ER$400,0),2),"")</f>
        <v/>
      </c>
      <c r="EV124" s="48">
        <f ca="1">IFERROR(INDEX(LIBRO_GIORNALE!$O$11:$P$408,MATCH(ROWS($EV$2:EV123),LIBRO_GIORNALE!$P$11:$P$408,0),1),0)</f>
        <v>0</v>
      </c>
      <c r="EW124" s="48" t="str">
        <f t="shared" ca="1" si="184"/>
        <v>0</v>
      </c>
      <c r="EX124" s="48">
        <f t="shared" ca="1" si="185"/>
        <v>0</v>
      </c>
      <c r="EY124" s="48">
        <f ca="1">IF(EX124&gt;0,MAX($EY$2:EY123)+1,0)</f>
        <v>0</v>
      </c>
      <c r="EZ124" s="48">
        <f ca="1">IFERROR(INDEX($EX$3:$EX$400,MATCH(ROWS($EZ$3:EZ124),$EY$3:$EY$400,0),1),0)</f>
        <v>0</v>
      </c>
      <c r="FA124" s="48">
        <f ca="1">IF(EZ124&gt;0,0,MAX($FA$2:FA123)+1)</f>
        <v>122</v>
      </c>
      <c r="FB124" s="48">
        <f t="shared" ca="1" si="186"/>
        <v>0</v>
      </c>
      <c r="FC124" s="48">
        <f t="shared" ca="1" si="187"/>
        <v>122</v>
      </c>
      <c r="FD124" s="48">
        <f t="shared" ca="1" si="188"/>
        <v>122</v>
      </c>
      <c r="FE124" s="48">
        <f ca="1">IF(FD124=0,0,MAX($FE$2:FE123)+1)</f>
        <v>122</v>
      </c>
      <c r="FF124" s="48">
        <f ca="1">IFERROR(INDEX($FD$3:$FE$400,MATCH(ROWS($FF$3:FF124),$FE$3:$FE$400,0),1),"")</f>
        <v>122</v>
      </c>
      <c r="FG124" s="48">
        <f t="shared" ca="1" si="255"/>
        <v>0</v>
      </c>
      <c r="FH124" s="48">
        <f t="shared" ca="1" si="189"/>
        <v>0</v>
      </c>
      <c r="FI124" s="48">
        <f ca="1">IF(FH124&lt;&gt;0,MAX($FI$2:FI123)+1,0)</f>
        <v>0</v>
      </c>
      <c r="FJ124" s="48" t="str">
        <f ca="1">IFERROR(INDEX($FH$3:$FI$400,MATCH(ROWS($FJ$3:FJ124),$FI$3:$FI$400,0),1),"")</f>
        <v/>
      </c>
      <c r="FK124" s="48">
        <f ca="1">IF(ABS(SUMIFS(DARE,DEN_G,"="&amp;FJ124,DATA,"&lt;="&amp;FINE_AC,DATA,"&gt;="&amp;INIZIO_A_PC)-SUMIFS(AVERE,DEN_G,"="&amp;FJ124,DATA,"&lt;="&amp;FINE_AC,DATA,"&gt;="&amp;INIZIO_A_PC))&gt;0,MAX($FK$2:FK123)+1,0)</f>
        <v>0</v>
      </c>
      <c r="FL124" s="48" t="str">
        <f ca="1">IF(AND(ROW()-2&lt;&gt;1,ROW()-2&lt;=$FK$1),CONCATENATE(" - ",IFERROR(INDEX($FJ$3:$FK$400,MATCH(ROWS($FL$3:FL124),$FK$3:$FK$400,0),1),"")),IFERROR(INDEX($FJ$3:$FK$400,MATCH(ROWS($FL$3:FL124),$FK$3:$FK$400,0),1),""))</f>
        <v/>
      </c>
      <c r="FM124" s="48">
        <f ca="1">IF(OR(B124="IVA ns/credito",B124="IVA NS/DEBITO",B124="IVA C/ACCONTO",B124="IMPOSTE C/ACCONTO",B124="CREDITI PER RITENUTE SUBITE",B124="CREDITI D'IMPOSTA"),MAX($FM$2:FM123)+1,0)</f>
        <v>0</v>
      </c>
      <c r="FN124" s="48" t="str">
        <f t="shared" ca="1" si="190"/>
        <v/>
      </c>
      <c r="FO124" s="48" t="str">
        <f ca="1">IFERROR(INDEX($FM$3:$FN$400,MATCH(ROWS($FO$3:FO124),$FM$3:$FM$400,0),2),"")</f>
        <v/>
      </c>
      <c r="FP124" s="48">
        <f ca="1">IF(ABS(SUMIFS(DARE,DEN_G,"="&amp;FO124,DATA,"&lt;="&amp;FINE_AC,DATA,"&gt;="&amp;INIZIO_A_PC)-SUMIFS(AVERE,DEN_G,"="&amp;FO124,DATA,"&lt;="&amp;FINE_AC,DATA,"&gt;="&amp;INIZIO_A_PC))&gt;0,MAX($FP$2:FP123)+1,0)</f>
        <v>0</v>
      </c>
      <c r="FQ124" s="48" t="str">
        <f ca="1">IF(AND(ROW()-2&lt;&gt;1,ROW()-2&lt;=$FP$1),CONCATENATE(" - ",IFERROR(INDEX($FO$3:$FP$400,MATCH(ROWS($FQ$3:FQ124),$FP$3:$FP$400,0),1),"")),IFERROR(INDEX($FO$3:$FP$400,MATCH(ROWS($FQ$3:FQ124),$FP$3:$FP$400,0),1),""))</f>
        <v/>
      </c>
    </row>
    <row r="125" spans="1:173" x14ac:dyDescent="0.3">
      <c r="A125" s="48" t="str">
        <f ca="1">IFERROR(IF($A$1=2,INDEX($DH$3:$DN$401,MATCH(ROWS(A$3:A125),$DN$3:$DN$401,0),COLUMN()),IF($A$1=1,INDEX($DQ$3:$DW$401,MATCH(ROWS(A$3:A125),$DW$3:$DW$401,0),COLUMN()),"")),"")</f>
        <v>11.11</v>
      </c>
      <c r="B125" s="48" t="str">
        <f ca="1">IFERROR(IF($A$1=2,INDEX($DH$3:$DN$401,MATCH(ROWS(B$3:B125),$DN$3:$DN$401,0),COLUMN()),IF($A$1=1,INDEX($DQ$3:$DW$400,MATCH(ROWS(B$3:B125),$DW$3:$DW$401,0),COLUMN()),"")),"")</f>
        <v>FONDO GARANZIA PRODOTTI</v>
      </c>
      <c r="C125" s="48" t="str">
        <f ca="1">IFERROR(IF($A$1=2,INDEX($DH$3:$DN$401,MATCH(ROWS(C$3:C125),$DN$3:$DN$401,0),COLUMN()),IF($A$1=1,INDEX($DQ$3:$DW$401,MATCH(ROWS(C$3:C125),$DW$3:$DW$401,0),COLUMN()),"")),"")</f>
        <v>F</v>
      </c>
      <c r="D125" s="48" t="str">
        <f ca="1">IFERROR(IF($A$1=2,INDEX($DH$3:$DN$401,MATCH(ROWS(D$3:D125),$DN$3:$DN$401,0),COLUMN()),IF($A$1=1,INDEX($DQ$3:$DW$401,MATCH(ROWS(D$3:D125),$DW$3:$DW$401,0),COLUMN()),"")),"")</f>
        <v>A</v>
      </c>
      <c r="E125" s="48" t="str">
        <f ca="1">IFERROR(IF($A$1=2,INDEX($DH$3:$DN$401,MATCH(ROWS(E$3:E125),$DN$3:$DN$401,0),COLUMN()),IF($A$1=1,INDEX($DQ$3:$DW$401,MATCH(ROWS(E$3:E125),$DW$3:$DW$401,0),COLUMN()),"")),"")</f>
        <v>RATEI, FONDI RISCHI E ONERI</v>
      </c>
      <c r="F125" s="48" t="str">
        <f ca="1">IFERROR(IF($A$1=2,INDEX($DH$3:$DN$401,MATCH(ROWS(F$3:F125),$DN$3:$DN$401,0),COLUMN()),IF($A$1=1,INDEX($DQ$3:$DX$401,MATCH(ROWS(F$3:F125),$DW$3:$DW$401,0),COLUMN()),"")),"")</f>
        <v>SP AVERE</v>
      </c>
      <c r="G125" s="48" t="str">
        <f t="shared" ca="1" si="150"/>
        <v>SP</v>
      </c>
      <c r="H125" s="48" t="str">
        <f ca="1">IFERROR(IF($A$1=2,INDEX($DH$3:$DO$400,MATCH(ROWS(H$3:H125),$DN$3:$DN$400,0),COLUMN()),IF($A$1=1,INDEX($DQ$3:$DX$400,MATCH(ROWS(H$3:H125),$DW$3:$DW$400,0),COLUMN()),"")),"")</f>
        <v>ppb</v>
      </c>
      <c r="I125" s="48" t="str">
        <f t="shared" ca="1" si="151"/>
        <v/>
      </c>
      <c r="J125" s="48" t="str">
        <f t="shared" ca="1" si="152"/>
        <v/>
      </c>
      <c r="K125" s="48">
        <f t="shared" ca="1" si="153"/>
        <v>0</v>
      </c>
      <c r="L125" s="48">
        <f t="shared" ca="1" si="154"/>
        <v>0</v>
      </c>
      <c r="M125" s="48">
        <f ca="1">IFERROR(IF(IF(MID($A125,3,3)=".00",MID(A125,1,2),"")&lt;&gt;"",MAX($M$2:M124)+1,0),"")</f>
        <v>0</v>
      </c>
      <c r="N125" s="48" t="str">
        <f t="shared" ca="1" si="155"/>
        <v/>
      </c>
      <c r="O125" s="48" t="str">
        <f ca="1">IF(IFERROR(INDEX($N$3:$O$300,MATCH(ROWS($O$3:O125),$M$3:$M$300,0),1),"")&lt;&gt;"",CONCATENATE(INDEX($N$3:$O$300,MATCH(ROWS($O$3:O125),$M$3:$M$300,0),1),".00"),"")</f>
        <v/>
      </c>
      <c r="P125" s="48" t="str">
        <f t="shared" ca="1" si="156"/>
        <v/>
      </c>
      <c r="Q125" s="48">
        <f ca="1">IF(M125&gt;=1,0,MAX($Q$2:Q124)+1)</f>
        <v>111</v>
      </c>
      <c r="U125" s="48" t="str">
        <f ca="1">IFERROR(INDEX(PDC,MATCH(ROWS(U$3:U125),$V$3:$V$400,0),2),"")</f>
        <v>PRESTITI DA CONTROLLANTE</v>
      </c>
      <c r="V125" s="48">
        <f ca="1">IF(AND($T$1="VISUALIZZA TUTTI I CONTI",AA125&lt;&gt;""),MAX($V$2:V124)+1,IF(AND($U$2=2,AI125=$T$1),MAX($V$2:V124)+1,IF(AND($U$2=1,$T$1=AF125),MAX($V$2:V124)+1,0)))</f>
        <v>123</v>
      </c>
      <c r="Z125" s="246"/>
      <c r="AA125" s="48" t="str">
        <f t="shared" ca="1" si="157"/>
        <v>13.00</v>
      </c>
      <c r="AB125" s="48" t="str">
        <f ca="1">IFERROR(INDEX($A$3:$G$400,MATCH(ROWS(AB$3:AB125),$Q$3:$Q$400,0),1),"")</f>
        <v>13.32</v>
      </c>
      <c r="AC125" s="48" t="str">
        <f ca="1">IFERROR(INDEX($A$3:$G$400,MATCH(ROWS($AC$3:AC125),$Q$3:$Q$400,0),2),"")</f>
        <v>PRESTITI DA CONTROLLANTE</v>
      </c>
      <c r="AD125" s="48" t="str">
        <f ca="1">IFERROR(INDEX($A$3:$G$400,MATCH(ROWS(AD$3:AD125),$Q$3:$Q$400,0),3),"")</f>
        <v>F</v>
      </c>
      <c r="AE125" s="48" t="str">
        <f ca="1">IFERROR(INDEX($A$3:$G$400,MATCH(ROWS(AE$3:AE125),$Q$3:$Q$400,0),4),"")</f>
        <v>A</v>
      </c>
      <c r="AF125" s="48" t="str">
        <f ca="1">IFERROR(INDEX($A$3:$G$400,MATCH(ROWS(AF$3:AF125),$Q$3:$Q$400,0),5),"")</f>
        <v>DEBITI</v>
      </c>
      <c r="AG125" s="48" t="str">
        <f ca="1">IFERROR(INDEX($A$3:$G$400,MATCH(ROWS(AG$3:AG125),$Q$3:$Q$400,0),6),"")</f>
        <v>SP AVERE</v>
      </c>
      <c r="AH125" s="48" t="str">
        <f ca="1">IFERROR(INDEX($A$3:$G$400,MATCH(ROWS(AH$3:AH125),$Q$3:$Q$400,0),7),"")</f>
        <v>SP</v>
      </c>
      <c r="AI125" s="48" t="str">
        <f t="shared" ca="1" si="158"/>
        <v>DEBITI FINANZIARI</v>
      </c>
      <c r="AJ125" s="48" t="str">
        <f ca="1">IFERROR(INDEX($A$3:$H$400,MATCH(ROWS(AJ$3:AJ125),$Q$3:$Q$400,0),8),"")</f>
        <v>ppd</v>
      </c>
      <c r="AK125" s="48">
        <f t="shared" ca="1" si="130"/>
        <v>0</v>
      </c>
      <c r="AL125" s="48">
        <f t="shared" ca="1" si="251"/>
        <v>0</v>
      </c>
      <c r="AM125" s="48">
        <f t="shared" ca="1" si="252"/>
        <v>0</v>
      </c>
      <c r="AN125" s="48">
        <f t="shared" ca="1" si="253"/>
        <v>0</v>
      </c>
      <c r="AO125" s="48">
        <f t="shared" ca="1" si="254"/>
        <v>0</v>
      </c>
      <c r="AP125" s="48">
        <f t="shared" ca="1" si="254"/>
        <v>0</v>
      </c>
      <c r="AQ125" s="48" t="str">
        <f t="shared" ca="1" si="132"/>
        <v>PRESTITI DA CONTROLLANTE</v>
      </c>
      <c r="AR125" s="48">
        <f t="shared" ca="1" si="133"/>
        <v>0</v>
      </c>
      <c r="AS125" s="48">
        <f t="shared" ca="1" si="134"/>
        <v>0</v>
      </c>
      <c r="AT125" s="48">
        <f t="shared" ca="1" si="162"/>
        <v>0</v>
      </c>
      <c r="AU125" s="48">
        <f t="shared" ca="1" si="163"/>
        <v>0</v>
      </c>
      <c r="AV125" s="48">
        <f ca="1">IF(OR(AT125&gt;0,AU125&gt;0),MAX($AV$2:AV124)+1,0)</f>
        <v>0</v>
      </c>
      <c r="AZ125" s="241" t="str">
        <f t="shared" si="240"/>
        <v>25 V.I.</v>
      </c>
      <c r="BA125" s="48">
        <f t="shared" ca="1" si="241"/>
        <v>0</v>
      </c>
      <c r="BB125" s="48">
        <f t="shared" ca="1" si="247"/>
        <v>0</v>
      </c>
      <c r="BC125" s="48" t="str">
        <f t="shared" ca="1" si="248"/>
        <v/>
      </c>
      <c r="BD125" s="48">
        <f t="shared" ca="1" si="249"/>
        <v>0</v>
      </c>
      <c r="BE125" s="48">
        <f t="shared" ca="1" si="250"/>
        <v>0</v>
      </c>
      <c r="BF125" s="48">
        <v>23</v>
      </c>
      <c r="BG125" s="48">
        <f ca="1">IF(IF(AND(OR(INDEX(PDC,MATCH($AC125,DEN_PDC,0),6)="SP DARE",INDEX(PDC,MATCH($AC125,DEN_PDC,0),6)="SP DARE/AVERE"),SUMIFS(DARE,DEN_G,$AC125)&gt;=SUMIFS(AVERE,DEN_G,$AC125)),SUMIFS(DARE,DEN_G,$AC125)-SUMIFS(AVERE,DEN_G,$AC125),0)&gt;0,MAX($BG$2:BG124)+1,0)</f>
        <v>0</v>
      </c>
      <c r="BH125" s="48">
        <f ca="1">IF(IF(AND(OR(INDEX(PDC,MATCH($AC125,DEN_PDC,0),6)="SP AVERE",INDEX(PDC,MATCH($AC125,DEN_PDC,0),6)="SP DARE/AVERE"),SUMIFS(AVERE,DEN_G,$AC125)&gt;=SUMIFS(DARE,DEN_G,$AC125)),SUMIFS(AVERE,DEN_G,$AC125)-SUMIFS(DARE,DEN_G,$AC125),0)&gt;0,MAX(BH$2:BH124)+1,0)</f>
        <v>0</v>
      </c>
      <c r="BI125" s="48">
        <f ca="1">IF(IF(AND(OR(INDEX(PDC,MATCH($AC125,DEN_PDC,0),6)="SE DARE",INDEX(PDC,MATCH($AC125,DEN_PDC,0),6)="SE DARE/AVERE"),SUMIFS(DARE,DEN_G,$AC125)&gt;=SUMIFS(AVERE,DEN_G,$AC125)),SUMIFS(DARE,DEN_G,$AC125)-SUMIFS(AVERE,DEN_G,$AC125),0)&gt;0,MAX(BI$2:BI124)+1,0)</f>
        <v>0</v>
      </c>
      <c r="BJ125" s="48">
        <f ca="1">IF(IF(AND(OR(INDEX(PDC,MATCH($AC125,DEN_PDC,0),6)="SE AVERE",INDEX(PDC,MATCH($AC125,DEN_PDC,0),6)="SE DARE/AVERE"),SUMIFS(AVERE,DEN_G,$AC125)&gt;=SUMIFS(DARE,DEN_G,$AC125)),SUMIFS(AVERE,DEN_G,$AC125)-SUMIFS(DARE,DEN_G,$AC125),0)&gt;0,MAX(BJ$2:BJ124)+1,0)</f>
        <v>0</v>
      </c>
      <c r="BK125" s="48" t="str">
        <f ca="1">IF(AND(AND($DY$2=0,$DY$1=0),$I$1=2,ROW()&gt;$BG$1+2,ROW()&lt;=$BG$1+4),"………………..",IF(AND(OR($DY$2&gt;0,$DY$1&gt;0),$I$1=2,ROW()&gt;$BG$1+2,ROW()&lt;=$BG$1+4),"………………..",IFERROR(INDEX($AC$3:$AC$398,MATCH(ROWS(BK$3:BK125),BG$3:BG$398,0),1),"")))</f>
        <v/>
      </c>
      <c r="BL125" s="48">
        <f t="shared" ca="1" si="136"/>
        <v>0</v>
      </c>
      <c r="BM125" s="48" t="str">
        <f ca="1">IF(AND(OR($DY$2=0,$DY$1=0),$I$1=2,ROW()&gt;$BH$1+2,ROW()&lt;=$BH$1+4),"………………..",IF(AND(OR($DY$2&gt;0,$DY$1&gt;0),$I$1=2,ROW()&gt;$BH$1+2,ROW()&lt;=$BH$1+4),"………………..",IFERROR(INDEX($AC$3:$AC$400,MATCH(ROWS(BM$3:BM125),BH$3:BH$400,0),1),"")))</f>
        <v/>
      </c>
      <c r="BN125" s="48">
        <f t="shared" ca="1" si="137"/>
        <v>0</v>
      </c>
      <c r="BO125" s="48" t="str">
        <f ca="1">IF(AND(OR($DY$2=0,$DY$1=0),$I$1=2,ROW()&gt;$BI$1+2,ROW()&lt;=$BI$1+4),"………………..",IF(AND(OR($DY$2&gt;0,$DY$1&gt;0),$I$1=2,ROW()&gt;$BI$1+2,ROW()&lt;=$BI$1+4),"………………..",IFERROR(INDEX($AC$3:$AC$400,MATCH(ROWS(BO$3:BO125),BI$3:BI$400,0),1),"")))</f>
        <v/>
      </c>
      <c r="BP125" s="48">
        <f t="shared" ca="1" si="138"/>
        <v>0</v>
      </c>
      <c r="BQ125" s="48" t="str">
        <f ca="1">IF(AND(OR($DY$2=0,$DY$1=0),$I$1=2,ROW()&gt;$BJ$1+2,ROW()&lt;=$BJ$1+4),"………………..",IF(AND(OR($DY$2&gt;0,$DY$1&gt;0),$I$1=2,ROW()&gt;$BJ$1+2,ROW()&lt;=$BJ$1+4),"………………..",IFERROR(INDEX($AC$3:$AC$400,MATCH(ROWS(BQ$3:BQ125),BJ$3:BJ$400,0),1),"")))</f>
        <v/>
      </c>
      <c r="BR125" s="48">
        <f t="shared" ca="1" si="139"/>
        <v>0</v>
      </c>
      <c r="BS125" s="48">
        <f ca="1">IF(IF(AND(OR(INDEX(PDC,MATCH($AC125,DEN_PDC,0),4)="D",INDEX(PDC,MATCH($AC125,DEN_PDC,0),4)="D/A"),SUMIFS(DARE,DEN_G,$AC125)&gt;=SUMIFS(AVERE,DEN_G,$AC125)),SUMIFS(DARE,DEN_G,$AC125),IF(AND(OR(INDEX(PDC,MATCH($AC125,DEN_PDC,0),4)="A",INDEX(PDC,MATCH($AC125,DEN_PDC,0),4)="D/A"),SUMIFS(AVERE,DEN_G,$AC125)&gt;=SUMIFS(DARE,DEN_G,$AC125)),SUMIFS(AVERE,DEN_G,$AC125),))&gt;0,MAX($BS$2:BS124)+1,0)</f>
        <v>0</v>
      </c>
      <c r="BT125" s="48" t="str">
        <f ca="1">IF($CO$1=0,"",IF(AND($I$1=2,ROW()&gt;$BR$1,ROW()&lt;=$BS$1)," …………….",IF(AND($E$1=1,$BX$1=1,$I$1=2,ROW()=$BQ$1),"TOTALI",IFERROR(INDEX(PDC,MATCH(ROWS(BT$3:BT125),BS$3:BS522,0),2),""))))</f>
        <v/>
      </c>
      <c r="BU125" s="48">
        <f t="shared" ca="1" si="140"/>
        <v>0</v>
      </c>
      <c r="BV125" s="48">
        <f t="shared" ca="1" si="141"/>
        <v>0</v>
      </c>
      <c r="BW125" s="48">
        <f t="shared" ca="1" si="142"/>
        <v>0</v>
      </c>
      <c r="BX125" s="48">
        <f t="shared" ca="1" si="143"/>
        <v>0</v>
      </c>
      <c r="BY125" s="48">
        <f ca="1">IF(OR(BW125&gt;0,BX125&gt;0),MAX($BY$2:BY124)+1,0)</f>
        <v>0</v>
      </c>
      <c r="BZ125" s="48" t="str">
        <f ca="1">IFERROR(INDEX($BT$3:$BY$400,MATCH(ROWS(BZ$3:BZ125),$BY$3:$BY$400,0),1),"")</f>
        <v/>
      </c>
      <c r="CA125" s="48" t="str">
        <f ca="1">IFERROR(INDEX($BT$3:$BY$400,MATCH(ROWS(CA$3:CA125),$BY$3:$BY$400,0),4),"")</f>
        <v/>
      </c>
      <c r="CB125" s="48" t="str">
        <f ca="1">IFERROR(INDEX($BT$3:$BY$400,MATCH(ROWS(CB$3:CB125),$BY$3:$BY$400,0),5),"")</f>
        <v/>
      </c>
      <c r="CC125" s="48" t="str">
        <f t="shared" ca="1" si="144"/>
        <v/>
      </c>
      <c r="CD125" s="48">
        <f ca="1">IF(AND($BF$9=1,CE125&lt;&gt;0),MAX($CD$104:CD124)+1,0)</f>
        <v>0</v>
      </c>
      <c r="CE125" s="48">
        <f ca="1">IF(ROUND(SUMIFS(COPIA!$CB$3:$CB$400,COPIA!$CC$3:$CC$400,CF125)-SUMIFS(COPIA!$CA$3:$CA$400,COPIA!$CC$3:$CC$400,CF125),0)&lt;0,0,ROUND(SUMIFS(COPIA!$CB$3:$CB$400,COPIA!$CC$3:$CC$400,CF125)-SUMIFS(COPIA!$CA$3:$CA$400,COPIA!$CC$3:$CC$400,CF125),0))</f>
        <v>0</v>
      </c>
      <c r="CF125" s="48" t="s">
        <v>676</v>
      </c>
      <c r="CG125" s="242" t="s">
        <v>552</v>
      </c>
      <c r="CH125" s="48">
        <f t="shared" ca="1" si="259"/>
        <v>0</v>
      </c>
      <c r="CJ125" s="242"/>
      <c r="CM125" s="242" t="str">
        <f t="shared" ca="1" si="166"/>
        <v/>
      </c>
      <c r="CN125" s="243">
        <f t="shared" ca="1" si="167"/>
        <v>0</v>
      </c>
      <c r="CO125" s="48" t="str">
        <f t="shared" ca="1" si="168"/>
        <v/>
      </c>
      <c r="CQ125" s="242"/>
      <c r="CR125" s="242"/>
      <c r="CU125" s="48">
        <f ca="1">IF(SUMIFS(AVERE,DEN_G,AC125,AVERE,"&gt;"&amp;0)+SUMIFS(DARE,DEN_G,AC125,DARE,"&gt;"&amp;0)&gt;0,MAX($CU$2:CU124)+1,0)</f>
        <v>0</v>
      </c>
      <c r="CV125" s="48" t="str">
        <f ca="1">IF(IFERROR(INDEX(PDC,MATCH(ROWS($CV$3:CV125),$CU$3:$CU$400,0),2),"")="CONTO DI RISULTATO ECONOMICO","",IFERROR(INDEX(PDC,MATCH(ROWS($CV$3:CV125),$CU$3:$CU$400,0),2),""))</f>
        <v/>
      </c>
      <c r="CW125" s="48">
        <f ca="1">IFERROR(IF(CV125&lt;&gt;"",MAX($CW$2:CW124)+1,0),0)</f>
        <v>0</v>
      </c>
      <c r="CX125" s="48">
        <f t="shared" ca="1" si="270"/>
        <v>10</v>
      </c>
      <c r="CY125" s="48" t="str">
        <f t="shared" ca="1" si="269"/>
        <v>MASTRO</v>
      </c>
      <c r="CZ125" s="48" t="e">
        <f t="shared" ca="1" si="272"/>
        <v>#N/A</v>
      </c>
      <c r="DA125" s="48" t="str">
        <f t="shared" ca="1" si="276"/>
        <v/>
      </c>
      <c r="DB125" s="48" t="str">
        <f t="shared" ca="1" si="212"/>
        <v/>
      </c>
      <c r="DC125" s="48" t="str">
        <f t="shared" ca="1" si="273"/>
        <v/>
      </c>
      <c r="DD125" s="48" t="str">
        <f t="shared" ca="1" si="274"/>
        <v/>
      </c>
      <c r="DE125" s="48" t="str">
        <f t="shared" ca="1" si="275"/>
        <v/>
      </c>
      <c r="DF125" s="48">
        <f ca="1">IF(AND(CX125=$DF$1,CX125&lt;&gt;""),0,IF(AND(DB125&lt;&gt;"",OR(DB124&lt;&gt;"",DB126&lt;&gt;"")),MAX($DF$2:DF124)+1,0))</f>
        <v>0</v>
      </c>
      <c r="DH125" s="244" t="s">
        <v>99</v>
      </c>
      <c r="DI125" s="48" t="s">
        <v>760</v>
      </c>
      <c r="DJ125" s="48" t="s">
        <v>311</v>
      </c>
      <c r="DK125" s="48" t="s">
        <v>298</v>
      </c>
      <c r="DL125" s="48" t="s">
        <v>4</v>
      </c>
      <c r="DM125" s="48" t="s">
        <v>299</v>
      </c>
      <c r="DN125" s="48">
        <f ca="1">IF(DI125&lt;&gt;"",MAX($DN$2:DN124)+1,0)</f>
        <v>105</v>
      </c>
      <c r="DO125" s="48" t="s">
        <v>650</v>
      </c>
      <c r="DQ125" s="227" t="s">
        <v>476</v>
      </c>
      <c r="DR125" s="48" t="s">
        <v>98</v>
      </c>
      <c r="DS125" s="48" t="s">
        <v>311</v>
      </c>
      <c r="DT125" s="48" t="s">
        <v>275</v>
      </c>
      <c r="DU125" s="48" t="s">
        <v>4</v>
      </c>
      <c r="DV125" s="48" t="s">
        <v>270</v>
      </c>
      <c r="DW125" s="48">
        <f ca="1">IF(DR125&lt;&gt;"",MAX($DW$2:DW124)+1,0)</f>
        <v>81</v>
      </c>
      <c r="DX125" s="48" t="s">
        <v>655</v>
      </c>
      <c r="DY125" s="48" t="str">
        <f t="shared" ca="1" si="147"/>
        <v/>
      </c>
      <c r="DZ125" s="48" t="str">
        <f t="shared" ca="1" si="170"/>
        <v/>
      </c>
      <c r="EA125" s="48" t="str">
        <f t="shared" ca="1" si="171"/>
        <v/>
      </c>
      <c r="EB125" s="48">
        <f t="shared" ca="1" si="172"/>
        <v>0</v>
      </c>
      <c r="EC125" s="48">
        <f t="shared" ca="1" si="173"/>
        <v>0</v>
      </c>
      <c r="ED125" s="48" t="str">
        <f t="shared" ca="1" si="174"/>
        <v/>
      </c>
      <c r="EE125" s="48">
        <f t="shared" ca="1" si="175"/>
        <v>0</v>
      </c>
      <c r="EF125" s="48" t="str">
        <f t="shared" ca="1" si="176"/>
        <v/>
      </c>
      <c r="EG125" s="48">
        <f t="shared" ca="1" si="177"/>
        <v>0</v>
      </c>
      <c r="EH125" s="48" t="str">
        <f t="shared" ca="1" si="178"/>
        <v/>
      </c>
      <c r="EI125" s="48">
        <f t="shared" ca="1" si="179"/>
        <v>0</v>
      </c>
      <c r="EJ125" s="48" t="str">
        <f t="shared" ca="1" si="180"/>
        <v/>
      </c>
      <c r="EK125" s="48">
        <f t="shared" ca="1" si="181"/>
        <v>0</v>
      </c>
      <c r="EL125" s="48">
        <f t="shared" ca="1" si="148"/>
        <v>0</v>
      </c>
      <c r="EM125" s="48">
        <f ca="1">IF(EL125&gt;=0,0,MAX($EM$2:EM124)+1)</f>
        <v>0</v>
      </c>
      <c r="EN125" s="48" t="str">
        <f t="shared" ca="1" si="182"/>
        <v/>
      </c>
      <c r="EO125" s="48" t="str">
        <f ca="1">IFERROR(INDEX($EM$3:$EN$400,MATCH(ROWS($EO$3:EO125),$EM$3:$EM$400,0),2),"")</f>
        <v/>
      </c>
      <c r="EP125" s="48">
        <f>ROW()</f>
        <v>125</v>
      </c>
      <c r="EQ125" s="48">
        <f t="shared" ca="1" si="149"/>
        <v>0</v>
      </c>
      <c r="ER125" s="48">
        <f ca="1">IF(ISNA(EQ125)=TRUE,MAX($ER$2:ER124)+1,0)</f>
        <v>0</v>
      </c>
      <c r="ES125" s="48" t="str">
        <f t="shared" ca="1" si="183"/>
        <v/>
      </c>
      <c r="ET125" s="48" t="str">
        <f ca="1">IFERROR(INDEX($ER$3:$ES$400,MATCH(ROWS($ET$3:ET125),$ER$3:$ER$400,0),2),"")</f>
        <v/>
      </c>
      <c r="EV125" s="48">
        <f ca="1">IFERROR(INDEX(LIBRO_GIORNALE!$O$11:$P$408,MATCH(ROWS($EV$2:EV124),LIBRO_GIORNALE!$P$11:$P$408,0),1),0)</f>
        <v>0</v>
      </c>
      <c r="EW125" s="48" t="str">
        <f t="shared" ca="1" si="184"/>
        <v>0</v>
      </c>
      <c r="EX125" s="48">
        <f t="shared" ca="1" si="185"/>
        <v>0</v>
      </c>
      <c r="EY125" s="48">
        <f ca="1">IF(EX125&gt;0,MAX($EY$2:EY124)+1,0)</f>
        <v>0</v>
      </c>
      <c r="EZ125" s="48">
        <f ca="1">IFERROR(INDEX($EX$3:$EX$400,MATCH(ROWS($EZ$3:EZ125),$EY$3:$EY$400,0),1),0)</f>
        <v>0</v>
      </c>
      <c r="FA125" s="48">
        <f ca="1">IF(EZ125&gt;0,0,MAX($FA$2:FA124)+1)</f>
        <v>123</v>
      </c>
      <c r="FB125" s="48">
        <f t="shared" ca="1" si="186"/>
        <v>0</v>
      </c>
      <c r="FC125" s="48">
        <f t="shared" ca="1" si="187"/>
        <v>123</v>
      </c>
      <c r="FD125" s="48">
        <f t="shared" ca="1" si="188"/>
        <v>123</v>
      </c>
      <c r="FE125" s="48">
        <f ca="1">IF(FD125=0,0,MAX($FE$2:FE124)+1)</f>
        <v>123</v>
      </c>
      <c r="FF125" s="48">
        <f ca="1">IFERROR(INDEX($FD$3:$FE$400,MATCH(ROWS($FF$3:FF125),$FE$3:$FE$400,0),1),"")</f>
        <v>123</v>
      </c>
      <c r="FG125" s="48">
        <f t="shared" ca="1" si="255"/>
        <v>0</v>
      </c>
      <c r="FH125" s="48">
        <f t="shared" ca="1" si="189"/>
        <v>0</v>
      </c>
      <c r="FI125" s="48">
        <f ca="1">IF(FH125&lt;&gt;0,MAX($FI$2:FI124)+1,0)</f>
        <v>0</v>
      </c>
      <c r="FJ125" s="48" t="str">
        <f ca="1">IFERROR(INDEX($FH$3:$FI$400,MATCH(ROWS($FJ$3:FJ125),$FI$3:$FI$400,0),1),"")</f>
        <v/>
      </c>
      <c r="FK125" s="48">
        <f ca="1">IF(ABS(SUMIFS(DARE,DEN_G,"="&amp;FJ125,DATA,"&lt;="&amp;FINE_AC,DATA,"&gt;="&amp;INIZIO_A_PC)-SUMIFS(AVERE,DEN_G,"="&amp;FJ125,DATA,"&lt;="&amp;FINE_AC,DATA,"&gt;="&amp;INIZIO_A_PC))&gt;0,MAX($FK$2:FK124)+1,0)</f>
        <v>0</v>
      </c>
      <c r="FL125" s="48" t="str">
        <f ca="1">IF(AND(ROW()-2&lt;&gt;1,ROW()-2&lt;=$FK$1),CONCATENATE(" - ",IFERROR(INDEX($FJ$3:$FK$400,MATCH(ROWS($FL$3:FL125),$FK$3:$FK$400,0),1),"")),IFERROR(INDEX($FJ$3:$FK$400,MATCH(ROWS($FL$3:FL125),$FK$3:$FK$400,0),1),""))</f>
        <v/>
      </c>
      <c r="FM125" s="48">
        <f ca="1">IF(OR(B125="IVA ns/credito",B125="IVA NS/DEBITO",B125="IVA C/ACCONTO",B125="IMPOSTE C/ACCONTO",B125="CREDITI PER RITENUTE SUBITE",B125="CREDITI D'IMPOSTA"),MAX($FM$2:FM124)+1,0)</f>
        <v>0</v>
      </c>
      <c r="FN125" s="48" t="str">
        <f t="shared" ca="1" si="190"/>
        <v/>
      </c>
      <c r="FO125" s="48" t="str">
        <f ca="1">IFERROR(INDEX($FM$3:$FN$400,MATCH(ROWS($FO$3:FO125),$FM$3:$FM$400,0),2),"")</f>
        <v/>
      </c>
      <c r="FP125" s="48">
        <f ca="1">IF(ABS(SUMIFS(DARE,DEN_G,"="&amp;FO125,DATA,"&lt;="&amp;FINE_AC,DATA,"&gt;="&amp;INIZIO_A_PC)-SUMIFS(AVERE,DEN_G,"="&amp;FO125,DATA,"&lt;="&amp;FINE_AC,DATA,"&gt;="&amp;INIZIO_A_PC))&gt;0,MAX($FP$2:FP124)+1,0)</f>
        <v>0</v>
      </c>
      <c r="FQ125" s="48" t="str">
        <f ca="1">IF(AND(ROW()-2&lt;&gt;1,ROW()-2&lt;=$FP$1),CONCATENATE(" - ",IFERROR(INDEX($FO$3:$FP$400,MATCH(ROWS($FQ$3:FQ125),$FP$3:$FP$400,0),1),"")),IFERROR(INDEX($FO$3:$FP$400,MATCH(ROWS($FQ$3:FQ125),$FP$3:$FP$400,0),1),""))</f>
        <v/>
      </c>
    </row>
    <row r="126" spans="1:173" x14ac:dyDescent="0.3">
      <c r="A126" s="48" t="str">
        <f ca="1">IFERROR(IF($A$1=2,INDEX($DH$3:$DN$401,MATCH(ROWS(A$3:A126),$DN$3:$DN$401,0),COLUMN()),IF($A$1=1,INDEX($DQ$3:$DW$401,MATCH(ROWS(A$3:A126),$DW$3:$DW$401,0),COLUMN()),"")),"")</f>
        <v>12.00</v>
      </c>
      <c r="B126" s="48" t="str">
        <f ca="1">IFERROR(IF($A$1=2,INDEX($DH$3:$DN$401,MATCH(ROWS(B$3:B126),$DN$3:$DN$401,0),COLUMN()),IF($A$1=1,INDEX($DQ$3:$DW$400,MATCH(ROWS(B$3:B126),$DW$3:$DW$401,0),COLUMN()),"")),"")</f>
        <v>TRATTAMENTO FINE RAPPORTO</v>
      </c>
      <c r="C126" s="48">
        <f ca="1">IFERROR(IF($A$1=2,INDEX($DH$3:$DN$401,MATCH(ROWS(C$3:C126),$DN$3:$DN$401,0),COLUMN()),IF($A$1=1,INDEX($DQ$3:$DW$401,MATCH(ROWS(C$3:C126),$DW$3:$DW$401,0),COLUMN()),"")),"")</f>
        <v>0</v>
      </c>
      <c r="D126" s="48">
        <f ca="1">IFERROR(IF($A$1=2,INDEX($DH$3:$DN$401,MATCH(ROWS(D$3:D126),$DN$3:$DN$401,0),COLUMN()),IF($A$1=1,INDEX($DQ$3:$DW$401,MATCH(ROWS(D$3:D126),$DW$3:$DW$401,0),COLUMN()),"")),"")</f>
        <v>0</v>
      </c>
      <c r="E126" s="48">
        <f ca="1">IFERROR(IF($A$1=2,INDEX($DH$3:$DN$401,MATCH(ROWS(E$3:E126),$DN$3:$DN$401,0),COLUMN()),IF($A$1=1,INDEX($DQ$3:$DW$401,MATCH(ROWS(E$3:E126),$DW$3:$DW$401,0),COLUMN()),"")),"")</f>
        <v>0</v>
      </c>
      <c r="F126" s="48">
        <f ca="1">IFERROR(IF($A$1=2,INDEX($DH$3:$DN$401,MATCH(ROWS(F$3:F126),$DN$3:$DN$401,0),COLUMN()),IF($A$1=1,INDEX($DQ$3:$DX$401,MATCH(ROWS(F$3:F126),$DW$3:$DW$401,0),COLUMN()),"")),"")</f>
        <v>0</v>
      </c>
      <c r="G126" s="48" t="str">
        <f t="shared" ca="1" si="150"/>
        <v>0</v>
      </c>
      <c r="H126" s="48">
        <f ca="1">IFERROR(IF($A$1=2,INDEX($DH$3:$DO$400,MATCH(ROWS(H$3:H126),$DN$3:$DN$400,0),COLUMN()),IF($A$1=1,INDEX($DQ$3:$DX$400,MATCH(ROWS(H$3:H126),$DW$3:$DW$400,0),COLUMN()),"")),"")</f>
        <v>0</v>
      </c>
      <c r="I126" s="48" t="str">
        <f t="shared" ca="1" si="151"/>
        <v/>
      </c>
      <c r="J126" s="48" t="str">
        <f t="shared" ca="1" si="152"/>
        <v/>
      </c>
      <c r="K126" s="48">
        <f t="shared" ca="1" si="153"/>
        <v>0</v>
      </c>
      <c r="L126" s="48">
        <f t="shared" ca="1" si="154"/>
        <v>0</v>
      </c>
      <c r="M126" s="48">
        <f ca="1">IFERROR(IF(IF(MID($A126,3,3)=".00",MID(A126,1,2),"")&lt;&gt;"",MAX($M$2:M125)+1,0),"")</f>
        <v>13</v>
      </c>
      <c r="N126" s="48" t="str">
        <f t="shared" ca="1" si="155"/>
        <v>12</v>
      </c>
      <c r="O126" s="48" t="str">
        <f ca="1">IF(IFERROR(INDEX($N$3:$O$300,MATCH(ROWS($O$3:O126),$M$3:$M$300,0),1),"")&lt;&gt;"",CONCATENATE(INDEX($N$3:$O$300,MATCH(ROWS($O$3:O126),$M$3:$M$300,0),1),".00"),"")</f>
        <v/>
      </c>
      <c r="P126" s="48" t="str">
        <f t="shared" ca="1" si="156"/>
        <v/>
      </c>
      <c r="Q126" s="48">
        <f ca="1">IF(M126&gt;=1,0,MAX($Q$2:Q125)+1)</f>
        <v>0</v>
      </c>
      <c r="U126" s="48" t="str">
        <f ca="1">IFERROR(INDEX(PDC,MATCH(ROWS(U$3:U126),$V$3:$V$400,0),2),"")</f>
        <v>DEBITI V/ALTRI FINANZIATORI</v>
      </c>
      <c r="V126" s="48">
        <f ca="1">IF(AND($T$1="VISUALIZZA TUTTI I CONTI",AA126&lt;&gt;""),MAX($V$2:V125)+1,IF(AND($U$2=2,AI126=$T$1),MAX($V$2:V125)+1,IF(AND($U$2=1,$T$1=AF126),MAX($V$2:V125)+1,0)))</f>
        <v>124</v>
      </c>
      <c r="Z126" s="246"/>
      <c r="AA126" s="48" t="str">
        <f t="shared" ca="1" si="157"/>
        <v>13.00</v>
      </c>
      <c r="AB126" s="48" t="str">
        <f ca="1">IFERROR(INDEX($A$3:$G$400,MATCH(ROWS(AB$3:AB126),$Q$3:$Q$400,0),1),"")</f>
        <v>13.40</v>
      </c>
      <c r="AC126" s="48" t="str">
        <f ca="1">IFERROR(INDEX($A$3:$G$400,MATCH(ROWS($AC$3:AC126),$Q$3:$Q$400,0),2),"")</f>
        <v>DEBITI V/ALTRI FINANZIATORI</v>
      </c>
      <c r="AD126" s="48" t="str">
        <f ca="1">IFERROR(INDEX($A$3:$G$400,MATCH(ROWS(AD$3:AD126),$Q$3:$Q$400,0),3),"")</f>
        <v>F</v>
      </c>
      <c r="AE126" s="48" t="str">
        <f ca="1">IFERROR(INDEX($A$3:$G$400,MATCH(ROWS(AE$3:AE126),$Q$3:$Q$400,0),4),"")</f>
        <v>A</v>
      </c>
      <c r="AF126" s="48" t="str">
        <f ca="1">IFERROR(INDEX($A$3:$G$400,MATCH(ROWS(AF$3:AF126),$Q$3:$Q$400,0),5),"")</f>
        <v>DEBITI</v>
      </c>
      <c r="AG126" s="48" t="str">
        <f ca="1">IFERROR(INDEX($A$3:$G$400,MATCH(ROWS(AG$3:AG126),$Q$3:$Q$400,0),6),"")</f>
        <v>SP AVERE</v>
      </c>
      <c r="AH126" s="48" t="str">
        <f ca="1">IFERROR(INDEX($A$3:$G$400,MATCH(ROWS(AH$3:AH126),$Q$3:$Q$400,0),7),"")</f>
        <v>SP</v>
      </c>
      <c r="AI126" s="48" t="str">
        <f t="shared" ca="1" si="158"/>
        <v>DEBITI FINANZIARI</v>
      </c>
      <c r="AJ126" s="48" t="str">
        <f ca="1">IFERROR(INDEX($A$3:$H$400,MATCH(ROWS(AJ$3:AJ126),$Q$3:$Q$400,0),8),"")</f>
        <v>ppd</v>
      </c>
      <c r="AK126" s="48">
        <f t="shared" ca="1" si="130"/>
        <v>0</v>
      </c>
      <c r="AL126" s="48">
        <f t="shared" ca="1" si="251"/>
        <v>0</v>
      </c>
      <c r="AM126" s="48">
        <f t="shared" ca="1" si="252"/>
        <v>0</v>
      </c>
      <c r="AN126" s="48">
        <f t="shared" ca="1" si="253"/>
        <v>0</v>
      </c>
      <c r="AO126" s="48">
        <f t="shared" ca="1" si="254"/>
        <v>0</v>
      </c>
      <c r="AP126" s="48">
        <f t="shared" ca="1" si="254"/>
        <v>0</v>
      </c>
      <c r="AQ126" s="48" t="str">
        <f t="shared" ca="1" si="132"/>
        <v>DEBITI V/ALTRI FINANZIATORI</v>
      </c>
      <c r="AR126" s="48">
        <f t="shared" ca="1" si="133"/>
        <v>0</v>
      </c>
      <c r="AS126" s="48">
        <f t="shared" ca="1" si="134"/>
        <v>0</v>
      </c>
      <c r="AT126" s="48">
        <f t="shared" ca="1" si="162"/>
        <v>0</v>
      </c>
      <c r="AU126" s="48">
        <f t="shared" ca="1" si="163"/>
        <v>0</v>
      </c>
      <c r="AV126" s="48">
        <f ca="1">IF(OR(AT126&gt;0,AU126&gt;0),MAX($AV$2:AV125)+1,0)</f>
        <v>0</v>
      </c>
      <c r="AZ126" s="241" t="str">
        <f t="shared" si="240"/>
        <v>26 V.I.</v>
      </c>
      <c r="BA126" s="48">
        <f t="shared" ca="1" si="241"/>
        <v>0</v>
      </c>
      <c r="BB126" s="48">
        <f t="shared" ca="1" si="247"/>
        <v>0</v>
      </c>
      <c r="BC126" s="48" t="str">
        <f t="shared" ca="1" si="248"/>
        <v/>
      </c>
      <c r="BD126" s="48">
        <f t="shared" ca="1" si="249"/>
        <v>0</v>
      </c>
      <c r="BE126" s="48">
        <f t="shared" ca="1" si="250"/>
        <v>0</v>
      </c>
      <c r="BF126" s="48">
        <v>24</v>
      </c>
      <c r="BG126" s="48">
        <f ca="1">IF(IF(AND(OR(INDEX(PDC,MATCH($AC126,DEN_PDC,0),6)="SP DARE",INDEX(PDC,MATCH($AC126,DEN_PDC,0),6)="SP DARE/AVERE"),SUMIFS(DARE,DEN_G,$AC126)&gt;=SUMIFS(AVERE,DEN_G,$AC126)),SUMIFS(DARE,DEN_G,$AC126)-SUMIFS(AVERE,DEN_G,$AC126),0)&gt;0,MAX($BG$2:BG125)+1,0)</f>
        <v>0</v>
      </c>
      <c r="BH126" s="48">
        <f ca="1">IF(IF(AND(OR(INDEX(PDC,MATCH($AC126,DEN_PDC,0),6)="SP AVERE",INDEX(PDC,MATCH($AC126,DEN_PDC,0),6)="SP DARE/AVERE"),SUMIFS(AVERE,DEN_G,$AC126)&gt;=SUMIFS(DARE,DEN_G,$AC126)),SUMIFS(AVERE,DEN_G,$AC126)-SUMIFS(DARE,DEN_G,$AC126),0)&gt;0,MAX(BH$2:BH125)+1,0)</f>
        <v>0</v>
      </c>
      <c r="BI126" s="48">
        <f ca="1">IF(IF(AND(OR(INDEX(PDC,MATCH($AC126,DEN_PDC,0),6)="SE DARE",INDEX(PDC,MATCH($AC126,DEN_PDC,0),6)="SE DARE/AVERE"),SUMIFS(DARE,DEN_G,$AC126)&gt;=SUMIFS(AVERE,DEN_G,$AC126)),SUMIFS(DARE,DEN_G,$AC126)-SUMIFS(AVERE,DEN_G,$AC126),0)&gt;0,MAX(BI$2:BI125)+1,0)</f>
        <v>0</v>
      </c>
      <c r="BJ126" s="48">
        <f ca="1">IF(IF(AND(OR(INDEX(PDC,MATCH($AC126,DEN_PDC,0),6)="SE AVERE",INDEX(PDC,MATCH($AC126,DEN_PDC,0),6)="SE DARE/AVERE"),SUMIFS(AVERE,DEN_G,$AC126)&gt;=SUMIFS(DARE,DEN_G,$AC126)),SUMIFS(AVERE,DEN_G,$AC126)-SUMIFS(DARE,DEN_G,$AC126),0)&gt;0,MAX(BJ$2:BJ125)+1,0)</f>
        <v>0</v>
      </c>
      <c r="BK126" s="48" t="str">
        <f ca="1">IF(AND(AND($DY$2=0,$DY$1=0),$I$1=2,ROW()&gt;$BG$1+2,ROW()&lt;=$BG$1+4),"………………..",IF(AND(OR($DY$2&gt;0,$DY$1&gt;0),$I$1=2,ROW()&gt;$BG$1+2,ROW()&lt;=$BG$1+4),"………………..",IFERROR(INDEX($AC$3:$AC$398,MATCH(ROWS(BK$3:BK126),BG$3:BG$398,0),1),"")))</f>
        <v/>
      </c>
      <c r="BL126" s="48">
        <f t="shared" ca="1" si="136"/>
        <v>0</v>
      </c>
      <c r="BM126" s="48" t="str">
        <f ca="1">IF(AND(OR($DY$2=0,$DY$1=0),$I$1=2,ROW()&gt;$BH$1+2,ROW()&lt;=$BH$1+4),"………………..",IF(AND(OR($DY$2&gt;0,$DY$1&gt;0),$I$1=2,ROW()&gt;$BH$1+2,ROW()&lt;=$BH$1+4),"………………..",IFERROR(INDEX($AC$3:$AC$400,MATCH(ROWS(BM$3:BM126),BH$3:BH$400,0),1),"")))</f>
        <v/>
      </c>
      <c r="BN126" s="48">
        <f t="shared" ca="1" si="137"/>
        <v>0</v>
      </c>
      <c r="BO126" s="48" t="str">
        <f ca="1">IF(AND(OR($DY$2=0,$DY$1=0),$I$1=2,ROW()&gt;$BI$1+2,ROW()&lt;=$BI$1+4),"………………..",IF(AND(OR($DY$2&gt;0,$DY$1&gt;0),$I$1=2,ROW()&gt;$BI$1+2,ROW()&lt;=$BI$1+4),"………………..",IFERROR(INDEX($AC$3:$AC$400,MATCH(ROWS(BO$3:BO126),BI$3:BI$400,0),1),"")))</f>
        <v/>
      </c>
      <c r="BP126" s="48">
        <f t="shared" ca="1" si="138"/>
        <v>0</v>
      </c>
      <c r="BQ126" s="48" t="str">
        <f ca="1">IF(AND(OR($DY$2=0,$DY$1=0),$I$1=2,ROW()&gt;$BJ$1+2,ROW()&lt;=$BJ$1+4),"………………..",IF(AND(OR($DY$2&gt;0,$DY$1&gt;0),$I$1=2,ROW()&gt;$BJ$1+2,ROW()&lt;=$BJ$1+4),"………………..",IFERROR(INDEX($AC$3:$AC$400,MATCH(ROWS(BQ$3:BQ126),BJ$3:BJ$400,0),1),"")))</f>
        <v/>
      </c>
      <c r="BR126" s="48">
        <f t="shared" ca="1" si="139"/>
        <v>0</v>
      </c>
      <c r="BS126" s="48">
        <f ca="1">IF(IF(AND(OR(INDEX(PDC,MATCH($AC126,DEN_PDC,0),4)="D",INDEX(PDC,MATCH($AC126,DEN_PDC,0),4)="D/A"),SUMIFS(DARE,DEN_G,$AC126)&gt;=SUMIFS(AVERE,DEN_G,$AC126)),SUMIFS(DARE,DEN_G,$AC126),IF(AND(OR(INDEX(PDC,MATCH($AC126,DEN_PDC,0),4)="A",INDEX(PDC,MATCH($AC126,DEN_PDC,0),4)="D/A"),SUMIFS(AVERE,DEN_G,$AC126)&gt;=SUMIFS(DARE,DEN_G,$AC126)),SUMIFS(AVERE,DEN_G,$AC126),))&gt;0,MAX($BS$2:BS125)+1,0)</f>
        <v>0</v>
      </c>
      <c r="BT126" s="48" t="str">
        <f ca="1">IF($CO$1=0,"",IF(AND($I$1=2,ROW()&gt;$BR$1,ROW()&lt;=$BS$1)," …………….",IF(AND($E$1=1,$BX$1=1,$I$1=2,ROW()=$BQ$1),"TOTALI",IFERROR(INDEX(PDC,MATCH(ROWS(BT$3:BT126),BS$3:BS523,0),2),""))))</f>
        <v/>
      </c>
      <c r="BU126" s="48">
        <f t="shared" ca="1" si="140"/>
        <v>0</v>
      </c>
      <c r="BV126" s="48">
        <f t="shared" ca="1" si="141"/>
        <v>0</v>
      </c>
      <c r="BW126" s="48">
        <f t="shared" ca="1" si="142"/>
        <v>0</v>
      </c>
      <c r="BX126" s="48">
        <f t="shared" ca="1" si="143"/>
        <v>0</v>
      </c>
      <c r="BY126" s="48">
        <f ca="1">IF(OR(BW126&gt;0,BX126&gt;0),MAX($BY$2:BY125)+1,0)</f>
        <v>0</v>
      </c>
      <c r="BZ126" s="48" t="str">
        <f ca="1">IFERROR(INDEX($BT$3:$BY$400,MATCH(ROWS(BZ$3:BZ126),$BY$3:$BY$400,0),1),"")</f>
        <v/>
      </c>
      <c r="CA126" s="48" t="str">
        <f ca="1">IFERROR(INDEX($BT$3:$BY$400,MATCH(ROWS(CA$3:CA126),$BY$3:$BY$400,0),4),"")</f>
        <v/>
      </c>
      <c r="CB126" s="48" t="str">
        <f ca="1">IFERROR(INDEX($BT$3:$BY$400,MATCH(ROWS(CB$3:CB126),$BY$3:$BY$400,0),5),"")</f>
        <v/>
      </c>
      <c r="CC126" s="48" t="str">
        <f t="shared" ca="1" si="144"/>
        <v/>
      </c>
      <c r="CD126" s="48">
        <f ca="1">IF(AND($BF$9=1,CE126&lt;&gt;0),MAX($CD$104:CD125)+1,0)</f>
        <v>0</v>
      </c>
      <c r="CE126" s="48">
        <f ca="1">IF(ROUND(SUMIFS(COPIA!$CB$3:$CB$400,COPIA!$CC$3:$CC$400,CF126)-SUMIFS(COPIA!$CA$3:$CA$400,COPIA!$CC$3:$CC$400,CF126),0)&lt;0,0,ROUND(SUMIFS(COPIA!$CB$3:$CB$400,COPIA!$CC$3:$CC$400,CF126)-SUMIFS(COPIA!$CA$3:$CA$400,COPIA!$CC$3:$CC$400,CF126),0))</f>
        <v>0</v>
      </c>
      <c r="CF126" s="48" t="s">
        <v>657</v>
      </c>
      <c r="CG126" s="242" t="s">
        <v>553</v>
      </c>
      <c r="CH126" s="48">
        <f t="shared" ca="1" si="259"/>
        <v>0</v>
      </c>
      <c r="CJ126" s="242"/>
      <c r="CM126" s="242" t="str">
        <f t="shared" ca="1" si="166"/>
        <v/>
      </c>
      <c r="CN126" s="243">
        <f t="shared" ca="1" si="167"/>
        <v>0</v>
      </c>
      <c r="CO126" s="48" t="str">
        <f t="shared" ca="1" si="168"/>
        <v/>
      </c>
      <c r="CQ126" s="242"/>
      <c r="CR126" s="242"/>
      <c r="CU126" s="48">
        <f ca="1">IF(SUMIFS(AVERE,DEN_G,AC126,AVERE,"&gt;"&amp;0)+SUMIFS(DARE,DEN_G,AC126,DARE,"&gt;"&amp;0)&gt;0,MAX($CU$2:CU125)+1,0)</f>
        <v>0</v>
      </c>
      <c r="CV126" s="48" t="str">
        <f ca="1">IF(IFERROR(INDEX(PDC,MATCH(ROWS($CV$3:CV126),$CU$3:$CU$400,0),2),"")="CONTO DI RISULTATO ECONOMICO","",IFERROR(INDEX(PDC,MATCH(ROWS($CV$3:CV126),$CU$3:$CU$400,0),2),""))</f>
        <v/>
      </c>
      <c r="CW126" s="48">
        <f ca="1">IFERROR(IF(CV126&lt;&gt;"",MAX($CW$2:CW125)+1,0),0)</f>
        <v>0</v>
      </c>
      <c r="CX126" s="48">
        <f t="shared" ca="1" si="270"/>
        <v>10</v>
      </c>
      <c r="CY126" s="48" t="str">
        <f t="shared" ca="1" si="269"/>
        <v>MASTRO</v>
      </c>
      <c r="CZ126" s="48" t="e">
        <f t="shared" ca="1" si="272"/>
        <v>#N/A</v>
      </c>
      <c r="DA126" s="48" t="str">
        <f t="shared" ca="1" si="276"/>
        <v/>
      </c>
      <c r="DB126" s="48" t="str">
        <f t="shared" ca="1" si="212"/>
        <v/>
      </c>
      <c r="DC126" s="48" t="str">
        <f t="shared" ca="1" si="273"/>
        <v/>
      </c>
      <c r="DD126" s="48" t="str">
        <f t="shared" ca="1" si="274"/>
        <v/>
      </c>
      <c r="DE126" s="48" t="str">
        <f t="shared" ca="1" si="275"/>
        <v/>
      </c>
      <c r="DF126" s="48">
        <f ca="1">IF(AND(CX126=$DF$1,CX126&lt;&gt;""),0,IF(AND(DB126&lt;&gt;"",OR(DB125&lt;&gt;"",DB127&lt;&gt;"")),MAX($DF$2:DF125)+1,0))</f>
        <v>0</v>
      </c>
      <c r="DH126" s="244" t="s">
        <v>100</v>
      </c>
      <c r="DI126" s="48" t="s">
        <v>384</v>
      </c>
      <c r="DJ126" s="48" t="s">
        <v>311</v>
      </c>
      <c r="DK126" s="48" t="s">
        <v>298</v>
      </c>
      <c r="DL126" s="48" t="s">
        <v>4</v>
      </c>
      <c r="DM126" s="48" t="s">
        <v>299</v>
      </c>
      <c r="DN126" s="48">
        <f ca="1">IF(DI126&lt;&gt;"",MAX($DN$2:DN125)+1,0)</f>
        <v>106</v>
      </c>
      <c r="DO126" s="48" t="s">
        <v>651</v>
      </c>
      <c r="DR126" s="228"/>
      <c r="DW126" s="48">
        <f>IF(DR126&lt;&gt;"",MAX($DW$2:DW125)+1,0)</f>
        <v>0</v>
      </c>
      <c r="DY126" s="48" t="str">
        <f t="shared" ca="1" si="147"/>
        <v/>
      </c>
      <c r="DZ126" s="48" t="str">
        <f t="shared" ca="1" si="170"/>
        <v/>
      </c>
      <c r="EA126" s="48" t="str">
        <f t="shared" ca="1" si="171"/>
        <v/>
      </c>
      <c r="EB126" s="48">
        <f t="shared" ca="1" si="172"/>
        <v>0</v>
      </c>
      <c r="EC126" s="48">
        <f t="shared" ca="1" si="173"/>
        <v>0</v>
      </c>
      <c r="ED126" s="48" t="str">
        <f t="shared" ca="1" si="174"/>
        <v/>
      </c>
      <c r="EE126" s="48">
        <f t="shared" ca="1" si="175"/>
        <v>0</v>
      </c>
      <c r="EF126" s="48" t="str">
        <f t="shared" ca="1" si="176"/>
        <v/>
      </c>
      <c r="EG126" s="48">
        <f t="shared" ca="1" si="177"/>
        <v>0</v>
      </c>
      <c r="EH126" s="48" t="str">
        <f t="shared" ca="1" si="178"/>
        <v/>
      </c>
      <c r="EI126" s="48">
        <f t="shared" ca="1" si="179"/>
        <v>0</v>
      </c>
      <c r="EJ126" s="48" t="str">
        <f t="shared" ca="1" si="180"/>
        <v/>
      </c>
      <c r="EK126" s="48">
        <f t="shared" ca="1" si="181"/>
        <v>0</v>
      </c>
      <c r="EL126" s="48">
        <f t="shared" ca="1" si="148"/>
        <v>0</v>
      </c>
      <c r="EM126" s="48">
        <f ca="1">IF(EL126&gt;=0,0,MAX($EM$2:EM125)+1)</f>
        <v>0</v>
      </c>
      <c r="EN126" s="48" t="str">
        <f t="shared" ca="1" si="182"/>
        <v/>
      </c>
      <c r="EO126" s="48" t="str">
        <f ca="1">IFERROR(INDEX($EM$3:$EN$400,MATCH(ROWS($EO$3:EO126),$EM$3:$EM$400,0),2),"")</f>
        <v/>
      </c>
      <c r="EP126" s="48">
        <f>ROW()</f>
        <v>126</v>
      </c>
      <c r="EQ126" s="48">
        <f t="shared" ca="1" si="149"/>
        <v>0</v>
      </c>
      <c r="ER126" s="48">
        <f ca="1">IF(ISNA(EQ126)=TRUE,MAX($ER$2:ER125)+1,0)</f>
        <v>0</v>
      </c>
      <c r="ES126" s="48" t="str">
        <f t="shared" ca="1" si="183"/>
        <v/>
      </c>
      <c r="ET126" s="48" t="str">
        <f ca="1">IFERROR(INDEX($ER$3:$ES$400,MATCH(ROWS($ET$3:ET126),$ER$3:$ER$400,0),2),"")</f>
        <v/>
      </c>
      <c r="EV126" s="48">
        <f ca="1">IFERROR(INDEX(LIBRO_GIORNALE!$O$11:$P$408,MATCH(ROWS($EV$2:EV125),LIBRO_GIORNALE!$P$11:$P$408,0),1),0)</f>
        <v>0</v>
      </c>
      <c r="EW126" s="48" t="str">
        <f t="shared" ca="1" si="184"/>
        <v>0</v>
      </c>
      <c r="EX126" s="48">
        <f t="shared" ca="1" si="185"/>
        <v>0</v>
      </c>
      <c r="EY126" s="48">
        <f ca="1">IF(EX126&gt;0,MAX($EY$2:EY125)+1,0)</f>
        <v>0</v>
      </c>
      <c r="EZ126" s="48">
        <f ca="1">IFERROR(INDEX($EX$3:$EX$400,MATCH(ROWS($EZ$3:EZ126),$EY$3:$EY$400,0),1),0)</f>
        <v>0</v>
      </c>
      <c r="FA126" s="48">
        <f ca="1">IF(EZ126&gt;0,0,MAX($FA$2:FA125)+1)</f>
        <v>124</v>
      </c>
      <c r="FB126" s="48">
        <f t="shared" ca="1" si="186"/>
        <v>0</v>
      </c>
      <c r="FC126" s="48">
        <f t="shared" ca="1" si="187"/>
        <v>124</v>
      </c>
      <c r="FD126" s="48">
        <f t="shared" ca="1" si="188"/>
        <v>124</v>
      </c>
      <c r="FE126" s="48">
        <f ca="1">IF(FD126=0,0,MAX($FE$2:FE125)+1)</f>
        <v>124</v>
      </c>
      <c r="FF126" s="48">
        <f ca="1">IFERROR(INDEX($FD$3:$FE$400,MATCH(ROWS($FF$3:FF126),$FE$3:$FE$400,0),1),"")</f>
        <v>124</v>
      </c>
      <c r="FG126" s="48">
        <f t="shared" ca="1" si="255"/>
        <v>0</v>
      </c>
      <c r="FH126" s="48">
        <f t="shared" ca="1" si="189"/>
        <v>0</v>
      </c>
      <c r="FI126" s="48">
        <f ca="1">IF(FH126&lt;&gt;0,MAX($FI$2:FI125)+1,0)</f>
        <v>0</v>
      </c>
      <c r="FJ126" s="48" t="str">
        <f ca="1">IFERROR(INDEX($FH$3:$FI$400,MATCH(ROWS($FJ$3:FJ126),$FI$3:$FI$400,0),1),"")</f>
        <v/>
      </c>
      <c r="FK126" s="48">
        <f ca="1">IF(ABS(SUMIFS(DARE,DEN_G,"="&amp;FJ126,DATA,"&lt;="&amp;FINE_AC,DATA,"&gt;="&amp;INIZIO_A_PC)-SUMIFS(AVERE,DEN_G,"="&amp;FJ126,DATA,"&lt;="&amp;FINE_AC,DATA,"&gt;="&amp;INIZIO_A_PC))&gt;0,MAX($FK$2:FK125)+1,0)</f>
        <v>0</v>
      </c>
      <c r="FL126" s="48" t="str">
        <f ca="1">IF(AND(ROW()-2&lt;&gt;1,ROW()-2&lt;=$FK$1),CONCATENATE(" - ",IFERROR(INDEX($FJ$3:$FK$400,MATCH(ROWS($FL$3:FL126),$FK$3:$FK$400,0),1),"")),IFERROR(INDEX($FJ$3:$FK$400,MATCH(ROWS($FL$3:FL126),$FK$3:$FK$400,0),1),""))</f>
        <v/>
      </c>
      <c r="FM126" s="48">
        <f ca="1">IF(OR(B126="IVA ns/credito",B126="IVA NS/DEBITO",B126="IVA C/ACCONTO",B126="IMPOSTE C/ACCONTO",B126="CREDITI PER RITENUTE SUBITE",B126="CREDITI D'IMPOSTA"),MAX($FM$2:FM125)+1,0)</f>
        <v>0</v>
      </c>
      <c r="FN126" s="48" t="str">
        <f t="shared" ca="1" si="190"/>
        <v/>
      </c>
      <c r="FO126" s="48" t="str">
        <f ca="1">IFERROR(INDEX($FM$3:$FN$400,MATCH(ROWS($FO$3:FO126),$FM$3:$FM$400,0),2),"")</f>
        <v/>
      </c>
      <c r="FP126" s="48">
        <f ca="1">IF(ABS(SUMIFS(DARE,DEN_G,"="&amp;FO126,DATA,"&lt;="&amp;FINE_AC,DATA,"&gt;="&amp;INIZIO_A_PC)-SUMIFS(AVERE,DEN_G,"="&amp;FO126,DATA,"&lt;="&amp;FINE_AC,DATA,"&gt;="&amp;INIZIO_A_PC))&gt;0,MAX($FP$2:FP125)+1,0)</f>
        <v>0</v>
      </c>
      <c r="FQ126" s="48" t="str">
        <f ca="1">IF(AND(ROW()-2&lt;&gt;1,ROW()-2&lt;=$FP$1),CONCATENATE(" - ",IFERROR(INDEX($FO$3:$FP$400,MATCH(ROWS($FQ$3:FQ126),$FP$3:$FP$400,0),1),"")),IFERROR(INDEX($FO$3:$FP$400,MATCH(ROWS($FQ$3:FQ126),$FP$3:$FP$400,0),1),""))</f>
        <v/>
      </c>
    </row>
    <row r="127" spans="1:173" x14ac:dyDescent="0.3">
      <c r="A127" s="48" t="str">
        <f ca="1">IFERROR(IF($A$1=2,INDEX($DH$3:$DN$401,MATCH(ROWS(A$3:A127),$DN$3:$DN$401,0),COLUMN()),IF($A$1=1,INDEX($DQ$3:$DW$401,MATCH(ROWS(A$3:A127),$DW$3:$DW$401,0),COLUMN()),"")),"")</f>
        <v>12.01</v>
      </c>
      <c r="B127" s="48" t="str">
        <f ca="1">IFERROR(IF($A$1=2,INDEX($DH$3:$DN$401,MATCH(ROWS(B$3:B127),$DN$3:$DN$401,0),COLUMN()),IF($A$1=1,INDEX($DQ$3:$DW$400,MATCH(ROWS(B$3:B127),$DW$3:$DW$401,0),COLUMN()),"")),"")</f>
        <v>DEBITI PER TFR</v>
      </c>
      <c r="C127" s="48" t="str">
        <f ca="1">IFERROR(IF($A$1=2,INDEX($DH$3:$DN$401,MATCH(ROWS(C$3:C127),$DN$3:$DN$401,0),COLUMN()),IF($A$1=1,INDEX($DQ$3:$DW$401,MATCH(ROWS(C$3:C127),$DW$3:$DW$401,0),COLUMN()),"")),"")</f>
        <v>F</v>
      </c>
      <c r="D127" s="48" t="str">
        <f ca="1">IFERROR(IF($A$1=2,INDEX($DH$3:$DN$401,MATCH(ROWS(D$3:D127),$DN$3:$DN$401,0),COLUMN()),IF($A$1=1,INDEX($DQ$3:$DW$401,MATCH(ROWS(D$3:D127),$DW$3:$DW$401,0),COLUMN()),"")),"")</f>
        <v>A</v>
      </c>
      <c r="E127" s="48" t="str">
        <f ca="1">IFERROR(IF($A$1=2,INDEX($DH$3:$DN$401,MATCH(ROWS(E$3:E127),$DN$3:$DN$401,0),COLUMN()),IF($A$1=1,INDEX($DQ$3:$DW$401,MATCH(ROWS(E$3:E127),$DW$3:$DW$401,0),COLUMN()),"")),"")</f>
        <v>DEBITI</v>
      </c>
      <c r="F127" s="48" t="str">
        <f ca="1">IFERROR(IF($A$1=2,INDEX($DH$3:$DN$401,MATCH(ROWS(F$3:F127),$DN$3:$DN$401,0),COLUMN()),IF($A$1=1,INDEX($DQ$3:$DX$401,MATCH(ROWS(F$3:F127),$DW$3:$DW$401,0),COLUMN()),"")),"")</f>
        <v>SP AVERE</v>
      </c>
      <c r="G127" s="48" t="str">
        <f t="shared" ca="1" si="150"/>
        <v>SP</v>
      </c>
      <c r="H127" s="48" t="str">
        <f ca="1">IFERROR(IF($A$1=2,INDEX($DH$3:$DO$400,MATCH(ROWS(H$3:H127),$DN$3:$DN$400,0),COLUMN()),IF($A$1=1,INDEX($DQ$3:$DX$400,MATCH(ROWS(H$3:H127),$DW$3:$DW$400,0),COLUMN()),"")),"")</f>
        <v>ppc</v>
      </c>
      <c r="I127" s="48" t="str">
        <f t="shared" ca="1" si="151"/>
        <v/>
      </c>
      <c r="J127" s="48" t="str">
        <f t="shared" ca="1" si="152"/>
        <v/>
      </c>
      <c r="K127" s="48">
        <f t="shared" ca="1" si="153"/>
        <v>0</v>
      </c>
      <c r="L127" s="48">
        <f t="shared" ca="1" si="154"/>
        <v>0</v>
      </c>
      <c r="M127" s="48">
        <f ca="1">IFERROR(IF(IF(MID($A127,3,3)=".00",MID(A127,1,2),"")&lt;&gt;"",MAX($M$2:M126)+1,0),"")</f>
        <v>0</v>
      </c>
      <c r="N127" s="48" t="str">
        <f t="shared" ca="1" si="155"/>
        <v/>
      </c>
      <c r="O127" s="48" t="str">
        <f ca="1">IF(IFERROR(INDEX($N$3:$O$300,MATCH(ROWS($O$3:O127),$M$3:$M$300,0),1),"")&lt;&gt;"",CONCATENATE(INDEX($N$3:$O$300,MATCH(ROWS($O$3:O127),$M$3:$M$300,0),1),".00"),"")</f>
        <v/>
      </c>
      <c r="P127" s="48" t="str">
        <f t="shared" ca="1" si="156"/>
        <v/>
      </c>
      <c r="Q127" s="48">
        <f ca="1">IF(M127&gt;=1,0,MAX($Q$2:Q126)+1)</f>
        <v>112</v>
      </c>
      <c r="U127" s="48" t="str">
        <f ca="1">IFERROR(INDEX(PDC,MATCH(ROWS(U$3:U127),$V$3:$V$400,0),2),"")</f>
        <v>DEBITI V/FORNITORI</v>
      </c>
      <c r="V127" s="48">
        <f ca="1">IF(AND($T$1="VISUALIZZA TUTTI I CONTI",AA127&lt;&gt;""),MAX($V$2:V126)+1,IF(AND($U$2=2,AI127=$T$1),MAX($V$2:V126)+1,IF(AND($U$2=1,$T$1=AF127),MAX($V$2:V126)+1,0)))</f>
        <v>125</v>
      </c>
      <c r="Z127" s="246"/>
      <c r="AA127" s="48" t="str">
        <f t="shared" ca="1" si="157"/>
        <v>14.00</v>
      </c>
      <c r="AB127" s="48" t="str">
        <f ca="1">IFERROR(INDEX($A$3:$G$400,MATCH(ROWS(AB$3:AB127),$Q$3:$Q$400,0),1),"")</f>
        <v>14.01</v>
      </c>
      <c r="AC127" s="48" t="str">
        <f ca="1">IFERROR(INDEX($A$3:$G$400,MATCH(ROWS($AC$3:AC127),$Q$3:$Q$400,0),2),"")</f>
        <v>DEBITI V/FORNITORI</v>
      </c>
      <c r="AD127" s="48" t="str">
        <f ca="1">IFERROR(INDEX($A$3:$G$400,MATCH(ROWS(AD$3:AD127),$Q$3:$Q$400,0),3),"")</f>
        <v>F</v>
      </c>
      <c r="AE127" s="48" t="str">
        <f ca="1">IFERROR(INDEX($A$3:$G$400,MATCH(ROWS(AE$3:AE127),$Q$3:$Q$400,0),4),"")</f>
        <v>A</v>
      </c>
      <c r="AF127" s="48" t="str">
        <f ca="1">IFERROR(INDEX($A$3:$G$400,MATCH(ROWS(AF$3:AF127),$Q$3:$Q$400,0),5),"")</f>
        <v>DEBITI</v>
      </c>
      <c r="AG127" s="48" t="str">
        <f ca="1">IFERROR(INDEX($A$3:$G$400,MATCH(ROWS(AG$3:AG127),$Q$3:$Q$400,0),6),"")</f>
        <v>SP AVERE</v>
      </c>
      <c r="AH127" s="48" t="str">
        <f ca="1">IFERROR(INDEX($A$3:$G$400,MATCH(ROWS(AH$3:AH127),$Q$3:$Q$400,0),7),"")</f>
        <v>SP</v>
      </c>
      <c r="AI127" s="48" t="str">
        <f t="shared" ca="1" si="158"/>
        <v>DEBITI COMMERCIALI</v>
      </c>
      <c r="AJ127" s="48" t="str">
        <f ca="1">IFERROR(INDEX($A$3:$H$400,MATCH(ROWS(AJ$3:AJ127),$Q$3:$Q$400,0),8),"")</f>
        <v>ppd</v>
      </c>
      <c r="AK127" s="48">
        <f t="shared" ca="1" si="130"/>
        <v>0</v>
      </c>
      <c r="AL127" s="48">
        <f t="shared" ca="1" si="251"/>
        <v>0</v>
      </c>
      <c r="AM127" s="48">
        <f t="shared" ca="1" si="252"/>
        <v>0</v>
      </c>
      <c r="AN127" s="48">
        <f t="shared" ca="1" si="253"/>
        <v>0</v>
      </c>
      <c r="AO127" s="48">
        <f t="shared" ca="1" si="254"/>
        <v>0</v>
      </c>
      <c r="AP127" s="48">
        <f t="shared" ca="1" si="254"/>
        <v>0</v>
      </c>
      <c r="AQ127" s="48" t="str">
        <f t="shared" ca="1" si="132"/>
        <v>DEBITI V/FORNITORI</v>
      </c>
      <c r="AR127" s="48">
        <f t="shared" ca="1" si="133"/>
        <v>0</v>
      </c>
      <c r="AS127" s="48">
        <f t="shared" ca="1" si="134"/>
        <v>0</v>
      </c>
      <c r="AT127" s="48">
        <f t="shared" ca="1" si="162"/>
        <v>0</v>
      </c>
      <c r="AU127" s="48">
        <f t="shared" ca="1" si="163"/>
        <v>0</v>
      </c>
      <c r="AV127" s="48">
        <f ca="1">IF(OR(AT127&gt;0,AU127&gt;0),MAX($AV$2:AV126)+1,0)</f>
        <v>0</v>
      </c>
      <c r="AZ127" s="241" t="str">
        <f t="shared" si="240"/>
        <v>27 V.I.</v>
      </c>
      <c r="BA127" s="48">
        <f t="shared" ca="1" si="241"/>
        <v>0</v>
      </c>
      <c r="BB127" s="48">
        <f t="shared" ca="1" si="247"/>
        <v>0</v>
      </c>
      <c r="BC127" s="48" t="str">
        <f t="shared" ca="1" si="248"/>
        <v/>
      </c>
      <c r="BD127" s="48">
        <f t="shared" ca="1" si="249"/>
        <v>0</v>
      </c>
      <c r="BE127" s="48">
        <f t="shared" ca="1" si="250"/>
        <v>0</v>
      </c>
      <c r="BF127" s="48">
        <v>25</v>
      </c>
      <c r="BG127" s="48">
        <f ca="1">IF(IF(AND(OR(INDEX(PDC,MATCH($AC127,DEN_PDC,0),6)="SP DARE",INDEX(PDC,MATCH($AC127,DEN_PDC,0),6)="SP DARE/AVERE"),SUMIFS(DARE,DEN_G,$AC127)&gt;=SUMIFS(AVERE,DEN_G,$AC127)),SUMIFS(DARE,DEN_G,$AC127)-SUMIFS(AVERE,DEN_G,$AC127),0)&gt;0,MAX($BG$2:BG126)+1,0)</f>
        <v>0</v>
      </c>
      <c r="BH127" s="48">
        <f ca="1">IF(IF(AND(OR(INDEX(PDC,MATCH($AC127,DEN_PDC,0),6)="SP AVERE",INDEX(PDC,MATCH($AC127,DEN_PDC,0),6)="SP DARE/AVERE"),SUMIFS(AVERE,DEN_G,$AC127)&gt;=SUMIFS(DARE,DEN_G,$AC127)),SUMIFS(AVERE,DEN_G,$AC127)-SUMIFS(DARE,DEN_G,$AC127),0)&gt;0,MAX(BH$2:BH126)+1,0)</f>
        <v>0</v>
      </c>
      <c r="BI127" s="48">
        <f ca="1">IF(IF(AND(OR(INDEX(PDC,MATCH($AC127,DEN_PDC,0),6)="SE DARE",INDEX(PDC,MATCH($AC127,DEN_PDC,0),6)="SE DARE/AVERE"),SUMIFS(DARE,DEN_G,$AC127)&gt;=SUMIFS(AVERE,DEN_G,$AC127)),SUMIFS(DARE,DEN_G,$AC127)-SUMIFS(AVERE,DEN_G,$AC127),0)&gt;0,MAX(BI$2:BI126)+1,0)</f>
        <v>0</v>
      </c>
      <c r="BJ127" s="48">
        <f ca="1">IF(IF(AND(OR(INDEX(PDC,MATCH($AC127,DEN_PDC,0),6)="SE AVERE",INDEX(PDC,MATCH($AC127,DEN_PDC,0),6)="SE DARE/AVERE"),SUMIFS(AVERE,DEN_G,$AC127)&gt;=SUMIFS(DARE,DEN_G,$AC127)),SUMIFS(AVERE,DEN_G,$AC127)-SUMIFS(DARE,DEN_G,$AC127),0)&gt;0,MAX(BJ$2:BJ126)+1,0)</f>
        <v>0</v>
      </c>
      <c r="BK127" s="48" t="str">
        <f ca="1">IF(AND(AND($DY$2=0,$DY$1=0),$I$1=2,ROW()&gt;$BG$1+2,ROW()&lt;=$BG$1+4),"………………..",IF(AND(OR($DY$2&gt;0,$DY$1&gt;0),$I$1=2,ROW()&gt;$BG$1+2,ROW()&lt;=$BG$1+4),"………………..",IFERROR(INDEX($AC$3:$AC$398,MATCH(ROWS(BK$3:BK127),BG$3:BG$398,0),1),"")))</f>
        <v/>
      </c>
      <c r="BL127" s="48">
        <f t="shared" ca="1" si="136"/>
        <v>0</v>
      </c>
      <c r="BM127" s="48" t="str">
        <f ca="1">IF(AND(OR($DY$2=0,$DY$1=0),$I$1=2,ROW()&gt;$BH$1+2,ROW()&lt;=$BH$1+4),"………………..",IF(AND(OR($DY$2&gt;0,$DY$1&gt;0),$I$1=2,ROW()&gt;$BH$1+2,ROW()&lt;=$BH$1+4),"………………..",IFERROR(INDEX($AC$3:$AC$400,MATCH(ROWS(BM$3:BM127),BH$3:BH$400,0),1),"")))</f>
        <v/>
      </c>
      <c r="BN127" s="48">
        <f t="shared" ca="1" si="137"/>
        <v>0</v>
      </c>
      <c r="BO127" s="48" t="str">
        <f ca="1">IF(AND(OR($DY$2=0,$DY$1=0),$I$1=2,ROW()&gt;$BI$1+2,ROW()&lt;=$BI$1+4),"………………..",IF(AND(OR($DY$2&gt;0,$DY$1&gt;0),$I$1=2,ROW()&gt;$BI$1+2,ROW()&lt;=$BI$1+4),"………………..",IFERROR(INDEX($AC$3:$AC$400,MATCH(ROWS(BO$3:BO127),BI$3:BI$400,0),1),"")))</f>
        <v/>
      </c>
      <c r="BP127" s="48">
        <f t="shared" ca="1" si="138"/>
        <v>0</v>
      </c>
      <c r="BQ127" s="48" t="str">
        <f ca="1">IF(AND(OR($DY$2=0,$DY$1=0),$I$1=2,ROW()&gt;$BJ$1+2,ROW()&lt;=$BJ$1+4),"………………..",IF(AND(OR($DY$2&gt;0,$DY$1&gt;0),$I$1=2,ROW()&gt;$BJ$1+2,ROW()&lt;=$BJ$1+4),"………………..",IFERROR(INDEX($AC$3:$AC$400,MATCH(ROWS(BQ$3:BQ127),BJ$3:BJ$400,0),1),"")))</f>
        <v/>
      </c>
      <c r="BR127" s="48">
        <f t="shared" ca="1" si="139"/>
        <v>0</v>
      </c>
      <c r="BS127" s="48">
        <f ca="1">IF(IF(AND(OR(INDEX(PDC,MATCH($AC127,DEN_PDC,0),4)="D",INDEX(PDC,MATCH($AC127,DEN_PDC,0),4)="D/A"),SUMIFS(DARE,DEN_G,$AC127)&gt;=SUMIFS(AVERE,DEN_G,$AC127)),SUMIFS(DARE,DEN_G,$AC127),IF(AND(OR(INDEX(PDC,MATCH($AC127,DEN_PDC,0),4)="A",INDEX(PDC,MATCH($AC127,DEN_PDC,0),4)="D/A"),SUMIFS(AVERE,DEN_G,$AC127)&gt;=SUMIFS(DARE,DEN_G,$AC127)),SUMIFS(AVERE,DEN_G,$AC127),))&gt;0,MAX($BS$2:BS126)+1,0)</f>
        <v>0</v>
      </c>
      <c r="BT127" s="48" t="str">
        <f ca="1">IF($CO$1=0,"",IF(AND($I$1=2,ROW()&gt;$BR$1,ROW()&lt;=$BS$1)," …………….",IF(AND($E$1=1,$BX$1=1,$I$1=2,ROW()=$BQ$1),"TOTALI",IFERROR(INDEX(PDC,MATCH(ROWS(BT$3:BT127),BS$3:BS524,0),2),""))))</f>
        <v/>
      </c>
      <c r="BU127" s="48">
        <f t="shared" ca="1" si="140"/>
        <v>0</v>
      </c>
      <c r="BV127" s="48">
        <f t="shared" ca="1" si="141"/>
        <v>0</v>
      </c>
      <c r="BW127" s="48">
        <f t="shared" ca="1" si="142"/>
        <v>0</v>
      </c>
      <c r="BX127" s="48">
        <f t="shared" ca="1" si="143"/>
        <v>0</v>
      </c>
      <c r="BY127" s="48">
        <f ca="1">IF(OR(BW127&gt;0,BX127&gt;0),MAX($BY$2:BY126)+1,0)</f>
        <v>0</v>
      </c>
      <c r="BZ127" s="48" t="str">
        <f ca="1">IFERROR(INDEX($BT$3:$BY$400,MATCH(ROWS(BZ$3:BZ127),$BY$3:$BY$400,0),1),"")</f>
        <v/>
      </c>
      <c r="CA127" s="48" t="str">
        <f ca="1">IFERROR(INDEX($BT$3:$BY$400,MATCH(ROWS(CA$3:CA127),$BY$3:$BY$400,0),4),"")</f>
        <v/>
      </c>
      <c r="CB127" s="48" t="str">
        <f ca="1">IFERROR(INDEX($BT$3:$BY$400,MATCH(ROWS(CB$3:CB127),$BY$3:$BY$400,0),5),"")</f>
        <v/>
      </c>
      <c r="CC127" s="48" t="str">
        <f t="shared" ca="1" si="144"/>
        <v/>
      </c>
      <c r="CD127" s="48">
        <f ca="1">IF(AND($BF$9=1,CE127&lt;&gt;0),MAX($CD$104:CD126)+1,0)</f>
        <v>0</v>
      </c>
      <c r="CE127" s="48">
        <f ca="1">IF(ROUND(SUMIFS(COPIA!$CB$3:$CB$400,COPIA!$CC$3:$CC$400,CF127)-SUMIFS(COPIA!$CA$3:$CA$400,COPIA!$CC$3:$CC$400,CF127),0)&lt;0,0,ROUND(SUMIFS(COPIA!$CB$3:$CB$400,COPIA!$CC$3:$CC$400,CF127)-SUMIFS(COPIA!$CA$3:$CA$400,COPIA!$CC$3:$CC$400,CF127),0))</f>
        <v>0</v>
      </c>
      <c r="CF127" s="48" t="s">
        <v>677</v>
      </c>
      <c r="CG127" s="242" t="s">
        <v>554</v>
      </c>
      <c r="CH127" s="48">
        <f t="shared" ca="1" si="259"/>
        <v>0</v>
      </c>
      <c r="CJ127" s="242"/>
      <c r="CM127" s="242" t="str">
        <f t="shared" ca="1" si="166"/>
        <v/>
      </c>
      <c r="CN127" s="243">
        <f t="shared" ca="1" si="167"/>
        <v>0</v>
      </c>
      <c r="CO127" s="48" t="str">
        <f t="shared" ca="1" si="168"/>
        <v/>
      </c>
      <c r="CQ127" s="242"/>
      <c r="CR127" s="242"/>
      <c r="CU127" s="48">
        <f ca="1">IF(SUMIFS(AVERE,DEN_G,AC127,AVERE,"&gt;"&amp;0)+SUMIFS(DARE,DEN_G,AC127,DARE,"&gt;"&amp;0)&gt;0,MAX($CU$2:CU126)+1,0)</f>
        <v>0</v>
      </c>
      <c r="CV127" s="48" t="str">
        <f ca="1">IF(IFERROR(INDEX(PDC,MATCH(ROWS($CV$3:CV127),$CU$3:$CU$400,0),2),"")="CONTO DI RISULTATO ECONOMICO","",IFERROR(INDEX(PDC,MATCH(ROWS($CV$3:CV127),$CU$3:$CU$400,0),2),""))</f>
        <v/>
      </c>
      <c r="CW127" s="48">
        <f ca="1">IFERROR(IF(CV127&lt;&gt;"",MAX($CW$2:CW126)+1,0),0)</f>
        <v>0</v>
      </c>
      <c r="CX127" s="48">
        <f t="shared" ca="1" si="270"/>
        <v>10</v>
      </c>
      <c r="CY127" s="48" t="str">
        <f t="shared" ca="1" si="269"/>
        <v>MASTRO</v>
      </c>
      <c r="CZ127" s="48" t="e">
        <f t="shared" ca="1" si="272"/>
        <v>#N/A</v>
      </c>
      <c r="DA127" s="48" t="str">
        <f t="shared" ca="1" si="276"/>
        <v/>
      </c>
      <c r="DB127" s="48" t="str">
        <f t="shared" ca="1" si="212"/>
        <v/>
      </c>
      <c r="DC127" s="48" t="str">
        <f t="shared" ca="1" si="273"/>
        <v/>
      </c>
      <c r="DD127" s="48" t="str">
        <f t="shared" ca="1" si="274"/>
        <v/>
      </c>
      <c r="DE127" s="48" t="str">
        <f t="shared" ca="1" si="275"/>
        <v/>
      </c>
      <c r="DF127" s="48">
        <f ca="1">IF(AND(CX127=$DF$1,CX127&lt;&gt;""),0,IF(AND(DB127&lt;&gt;"",OR(DB126&lt;&gt;"",DB128&lt;&gt;"")),MAX($DF$2:DF126)+1,0))</f>
        <v>0</v>
      </c>
      <c r="DH127" s="244" t="s">
        <v>101</v>
      </c>
      <c r="DI127" s="48" t="s">
        <v>385</v>
      </c>
      <c r="DJ127" s="48" t="s">
        <v>311</v>
      </c>
      <c r="DK127" s="48" t="s">
        <v>298</v>
      </c>
      <c r="DL127" s="48" t="s">
        <v>4</v>
      </c>
      <c r="DM127" s="48" t="s">
        <v>299</v>
      </c>
      <c r="DN127" s="48">
        <f ca="1">IF(DI127&lt;&gt;"",MAX($DN$2:DN126)+1,0)</f>
        <v>107</v>
      </c>
      <c r="DO127" s="48" t="s">
        <v>652</v>
      </c>
      <c r="DW127" s="48">
        <f>IF(DR127&lt;&gt;"",MAX($DW$2:DW126)+1,0)</f>
        <v>0</v>
      </c>
      <c r="DY127" s="48" t="str">
        <f t="shared" ca="1" si="147"/>
        <v/>
      </c>
      <c r="DZ127" s="48" t="str">
        <f t="shared" ca="1" si="170"/>
        <v/>
      </c>
      <c r="EA127" s="48" t="str">
        <f t="shared" ca="1" si="171"/>
        <v/>
      </c>
      <c r="EB127" s="48">
        <f t="shared" ca="1" si="172"/>
        <v>0</v>
      </c>
      <c r="EC127" s="48">
        <f t="shared" ca="1" si="173"/>
        <v>0</v>
      </c>
      <c r="ED127" s="48" t="str">
        <f t="shared" ca="1" si="174"/>
        <v/>
      </c>
      <c r="EE127" s="48">
        <f t="shared" ca="1" si="175"/>
        <v>0</v>
      </c>
      <c r="EF127" s="48" t="str">
        <f t="shared" ca="1" si="176"/>
        <v/>
      </c>
      <c r="EG127" s="48">
        <f t="shared" ca="1" si="177"/>
        <v>0</v>
      </c>
      <c r="EH127" s="48" t="str">
        <f t="shared" ca="1" si="178"/>
        <v/>
      </c>
      <c r="EI127" s="48">
        <f t="shared" ca="1" si="179"/>
        <v>0</v>
      </c>
      <c r="EJ127" s="48" t="str">
        <f t="shared" ca="1" si="180"/>
        <v/>
      </c>
      <c r="EK127" s="48">
        <f t="shared" ca="1" si="181"/>
        <v>0</v>
      </c>
      <c r="EL127" s="48">
        <f t="shared" ca="1" si="148"/>
        <v>0</v>
      </c>
      <c r="EM127" s="48">
        <f ca="1">IF(EL127&gt;=0,0,MAX($EM$2:EM126)+1)</f>
        <v>0</v>
      </c>
      <c r="EN127" s="48" t="str">
        <f t="shared" ca="1" si="182"/>
        <v/>
      </c>
      <c r="EO127" s="48" t="str">
        <f ca="1">IFERROR(INDEX($EM$3:$EN$400,MATCH(ROWS($EO$3:EO127),$EM$3:$EM$400,0),2),"")</f>
        <v/>
      </c>
      <c r="EP127" s="48">
        <f>ROW()</f>
        <v>127</v>
      </c>
      <c r="EQ127" s="48">
        <f t="shared" ca="1" si="149"/>
        <v>0</v>
      </c>
      <c r="ER127" s="48">
        <f ca="1">IF(ISNA(EQ127)=TRUE,MAX($ER$2:ER126)+1,0)</f>
        <v>0</v>
      </c>
      <c r="ES127" s="48" t="str">
        <f t="shared" ca="1" si="183"/>
        <v/>
      </c>
      <c r="ET127" s="48" t="str">
        <f ca="1">IFERROR(INDEX($ER$3:$ES$400,MATCH(ROWS($ET$3:ET127),$ER$3:$ER$400,0),2),"")</f>
        <v/>
      </c>
      <c r="EV127" s="48">
        <f ca="1">IFERROR(INDEX(LIBRO_GIORNALE!$O$11:$P$408,MATCH(ROWS($EV$2:EV126),LIBRO_GIORNALE!$P$11:$P$408,0),1),0)</f>
        <v>0</v>
      </c>
      <c r="EW127" s="48" t="str">
        <f t="shared" ca="1" si="184"/>
        <v>0</v>
      </c>
      <c r="EX127" s="48">
        <f t="shared" ca="1" si="185"/>
        <v>0</v>
      </c>
      <c r="EY127" s="48">
        <f ca="1">IF(EX127&gt;0,MAX($EY$2:EY126)+1,0)</f>
        <v>0</v>
      </c>
      <c r="EZ127" s="48">
        <f ca="1">IFERROR(INDEX($EX$3:$EX$400,MATCH(ROWS($EZ$3:EZ127),$EY$3:$EY$400,0),1),0)</f>
        <v>0</v>
      </c>
      <c r="FA127" s="48">
        <f ca="1">IF(EZ127&gt;0,0,MAX($FA$2:FA126)+1)</f>
        <v>125</v>
      </c>
      <c r="FB127" s="48">
        <f t="shared" ca="1" si="186"/>
        <v>0</v>
      </c>
      <c r="FC127" s="48">
        <f t="shared" ca="1" si="187"/>
        <v>125</v>
      </c>
      <c r="FD127" s="48">
        <f t="shared" ca="1" si="188"/>
        <v>125</v>
      </c>
      <c r="FE127" s="48">
        <f ca="1">IF(FD127=0,0,MAX($FE$2:FE126)+1)</f>
        <v>125</v>
      </c>
      <c r="FF127" s="48">
        <f ca="1">IFERROR(INDEX($FD$3:$FE$400,MATCH(ROWS($FF$3:FF127),$FE$3:$FE$400,0),1),"")</f>
        <v>125</v>
      </c>
      <c r="FG127" s="48">
        <f t="shared" ca="1" si="255"/>
        <v>0</v>
      </c>
      <c r="FH127" s="48">
        <f t="shared" ca="1" si="189"/>
        <v>0</v>
      </c>
      <c r="FI127" s="48">
        <f ca="1">IF(FH127&lt;&gt;0,MAX($FI$2:FI126)+1,0)</f>
        <v>0</v>
      </c>
      <c r="FJ127" s="48" t="str">
        <f ca="1">IFERROR(INDEX($FH$3:$FI$400,MATCH(ROWS($FJ$3:FJ127),$FI$3:$FI$400,0),1),"")</f>
        <v/>
      </c>
      <c r="FK127" s="48">
        <f ca="1">IF(ABS(SUMIFS(DARE,DEN_G,"="&amp;FJ127,DATA,"&lt;="&amp;FINE_AC,DATA,"&gt;="&amp;INIZIO_A_PC)-SUMIFS(AVERE,DEN_G,"="&amp;FJ127,DATA,"&lt;="&amp;FINE_AC,DATA,"&gt;="&amp;INIZIO_A_PC))&gt;0,MAX($FK$2:FK126)+1,0)</f>
        <v>0</v>
      </c>
      <c r="FL127" s="48" t="str">
        <f ca="1">IF(AND(ROW()-2&lt;&gt;1,ROW()-2&lt;=$FK$1),CONCATENATE(" - ",IFERROR(INDEX($FJ$3:$FK$400,MATCH(ROWS($FL$3:FL127),$FK$3:$FK$400,0),1),"")),IFERROR(INDEX($FJ$3:$FK$400,MATCH(ROWS($FL$3:FL127),$FK$3:$FK$400,0),1),""))</f>
        <v/>
      </c>
      <c r="FM127" s="48">
        <f ca="1">IF(OR(B127="IVA ns/credito",B127="IVA NS/DEBITO",B127="IVA C/ACCONTO",B127="IMPOSTE C/ACCONTO",B127="CREDITI PER RITENUTE SUBITE",B127="CREDITI D'IMPOSTA"),MAX($FM$2:FM126)+1,0)</f>
        <v>0</v>
      </c>
      <c r="FN127" s="48" t="str">
        <f t="shared" ca="1" si="190"/>
        <v/>
      </c>
      <c r="FO127" s="48" t="str">
        <f ca="1">IFERROR(INDEX($FM$3:$FN$400,MATCH(ROWS($FO$3:FO127),$FM$3:$FM$400,0),2),"")</f>
        <v/>
      </c>
      <c r="FP127" s="48">
        <f ca="1">IF(ABS(SUMIFS(DARE,DEN_G,"="&amp;FO127,DATA,"&lt;="&amp;FINE_AC,DATA,"&gt;="&amp;INIZIO_A_PC)-SUMIFS(AVERE,DEN_G,"="&amp;FO127,DATA,"&lt;="&amp;FINE_AC,DATA,"&gt;="&amp;INIZIO_A_PC))&gt;0,MAX($FP$2:FP126)+1,0)</f>
        <v>0</v>
      </c>
      <c r="FQ127" s="48" t="str">
        <f ca="1">IF(AND(ROW()-2&lt;&gt;1,ROW()-2&lt;=$FP$1),CONCATENATE(" - ",IFERROR(INDEX($FO$3:$FP$400,MATCH(ROWS($FQ$3:FQ127),$FP$3:$FP$400,0),1),"")),IFERROR(INDEX($FO$3:$FP$400,MATCH(ROWS($FQ$3:FQ127),$FP$3:$FP$400,0),1),""))</f>
        <v/>
      </c>
    </row>
    <row r="128" spans="1:173" x14ac:dyDescent="0.3">
      <c r="A128" s="48" t="str">
        <f ca="1">IFERROR(IF($A$1=2,INDEX($DH$3:$DN$401,MATCH(ROWS(A$3:A128),$DN$3:$DN$401,0),COLUMN()),IF($A$1=1,INDEX($DQ$3:$DW$401,MATCH(ROWS(A$3:A128),$DW$3:$DW$401,0),COLUMN()),"")),"")</f>
        <v>13.00</v>
      </c>
      <c r="B128" s="48" t="str">
        <f ca="1">IFERROR(IF($A$1=2,INDEX($DH$3:$DN$401,MATCH(ROWS(B$3:B128),$DN$3:$DN$401,0),COLUMN()),IF($A$1=1,INDEX($DQ$3:$DW$400,MATCH(ROWS(B$3:B128),$DW$3:$DW$401,0),COLUMN()),"")),"")</f>
        <v>DEBITI FINANZIARI</v>
      </c>
      <c r="C128" s="48">
        <f ca="1">IFERROR(IF($A$1=2,INDEX($DH$3:$DN$401,MATCH(ROWS(C$3:C128),$DN$3:$DN$401,0),COLUMN()),IF($A$1=1,INDEX($DQ$3:$DW$401,MATCH(ROWS(C$3:C128),$DW$3:$DW$401,0),COLUMN()),"")),"")</f>
        <v>0</v>
      </c>
      <c r="D128" s="48">
        <f ca="1">IFERROR(IF($A$1=2,INDEX($DH$3:$DN$401,MATCH(ROWS(D$3:D128),$DN$3:$DN$401,0),COLUMN()),IF($A$1=1,INDEX($DQ$3:$DW$401,MATCH(ROWS(D$3:D128),$DW$3:$DW$401,0),COLUMN()),"")),"")</f>
        <v>0</v>
      </c>
      <c r="E128" s="48">
        <f ca="1">IFERROR(IF($A$1=2,INDEX($DH$3:$DN$401,MATCH(ROWS(E$3:E128),$DN$3:$DN$401,0),COLUMN()),IF($A$1=1,INDEX($DQ$3:$DW$401,MATCH(ROWS(E$3:E128),$DW$3:$DW$401,0),COLUMN()),"")),"")</f>
        <v>0</v>
      </c>
      <c r="F128" s="48">
        <f ca="1">IFERROR(IF($A$1=2,INDEX($DH$3:$DN$401,MATCH(ROWS(F$3:F128),$DN$3:$DN$401,0),COLUMN()),IF($A$1=1,INDEX($DQ$3:$DX$401,MATCH(ROWS(F$3:F128),$DW$3:$DW$401,0),COLUMN()),"")),"")</f>
        <v>0</v>
      </c>
      <c r="G128" s="48" t="str">
        <f t="shared" ca="1" si="150"/>
        <v>0</v>
      </c>
      <c r="H128" s="48">
        <f ca="1">IFERROR(IF($A$1=2,INDEX($DH$3:$DO$400,MATCH(ROWS(H$3:H128),$DN$3:$DN$400,0),COLUMN()),IF($A$1=1,INDEX($DQ$3:$DX$400,MATCH(ROWS(H$3:H128),$DW$3:$DW$400,0),COLUMN()),"")),"")</f>
        <v>0</v>
      </c>
      <c r="I128" s="48" t="str">
        <f t="shared" ca="1" si="151"/>
        <v/>
      </c>
      <c r="J128" s="48" t="str">
        <f t="shared" ca="1" si="152"/>
        <v/>
      </c>
      <c r="K128" s="48">
        <f t="shared" ca="1" si="153"/>
        <v>0</v>
      </c>
      <c r="L128" s="48">
        <f t="shared" ca="1" si="154"/>
        <v>0</v>
      </c>
      <c r="M128" s="48">
        <f ca="1">IFERROR(IF(IF(MID($A128,3,3)=".00",MID(A128,1,2),"")&lt;&gt;"",MAX($M$2:M127)+1,0),"")</f>
        <v>14</v>
      </c>
      <c r="N128" s="48" t="str">
        <f t="shared" ca="1" si="155"/>
        <v>13</v>
      </c>
      <c r="O128" s="48" t="str">
        <f ca="1">IF(IFERROR(INDEX($N$3:$O$300,MATCH(ROWS($O$3:O128),$M$3:$M$300,0),1),"")&lt;&gt;"",CONCATENATE(INDEX($N$3:$O$300,MATCH(ROWS($O$3:O128),$M$3:$M$300,0),1),".00"),"")</f>
        <v/>
      </c>
      <c r="P128" s="48" t="str">
        <f t="shared" ca="1" si="156"/>
        <v/>
      </c>
      <c r="Q128" s="48">
        <f ca="1">IF(M128&gt;=1,0,MAX($Q$2:Q127)+1)</f>
        <v>0</v>
      </c>
      <c r="U128" s="48" t="str">
        <f ca="1">IFERROR(INDEX(PDC,MATCH(ROWS(U$3:U128),$V$3:$V$400,0),2),"")</f>
        <v>FATTURE DA RICEVERE</v>
      </c>
      <c r="V128" s="48">
        <f ca="1">IF(AND($T$1="VISUALIZZA TUTTI I CONTI",AA128&lt;&gt;""),MAX($V$2:V127)+1,IF(AND($U$2=2,AI128=$T$1),MAX($V$2:V127)+1,IF(AND($U$2=1,$T$1=AF128),MAX($V$2:V127)+1,0)))</f>
        <v>126</v>
      </c>
      <c r="Z128" s="246"/>
      <c r="AA128" s="48" t="str">
        <f t="shared" ca="1" si="157"/>
        <v>14.00</v>
      </c>
      <c r="AB128" s="48" t="str">
        <f ca="1">IFERROR(INDEX($A$3:$G$400,MATCH(ROWS(AB$3:AB128),$Q$3:$Q$400,0),1),"")</f>
        <v>14.02</v>
      </c>
      <c r="AC128" s="48" t="str">
        <f ca="1">IFERROR(INDEX($A$3:$G$400,MATCH(ROWS($AC$3:AC128),$Q$3:$Q$400,0),2),"")</f>
        <v>FATTURE DA RICEVERE</v>
      </c>
      <c r="AD128" s="48" t="str">
        <f ca="1">IFERROR(INDEX($A$3:$G$400,MATCH(ROWS(AD$3:AD128),$Q$3:$Q$400,0),3),"")</f>
        <v>F</v>
      </c>
      <c r="AE128" s="48" t="str">
        <f ca="1">IFERROR(INDEX($A$3:$G$400,MATCH(ROWS(AE$3:AE128),$Q$3:$Q$400,0),4),"")</f>
        <v>A</v>
      </c>
      <c r="AF128" s="48" t="str">
        <f ca="1">IFERROR(INDEX($A$3:$G$400,MATCH(ROWS(AF$3:AF128),$Q$3:$Q$400,0),5),"")</f>
        <v>DEBITI</v>
      </c>
      <c r="AG128" s="48" t="str">
        <f ca="1">IFERROR(INDEX($A$3:$G$400,MATCH(ROWS(AG$3:AG128),$Q$3:$Q$400,0),6),"")</f>
        <v>SP AVERE</v>
      </c>
      <c r="AH128" s="48" t="str">
        <f ca="1">IFERROR(INDEX($A$3:$G$400,MATCH(ROWS(AH$3:AH128),$Q$3:$Q$400,0),7),"")</f>
        <v>SP</v>
      </c>
      <c r="AI128" s="48" t="str">
        <f t="shared" ca="1" si="158"/>
        <v>DEBITI COMMERCIALI</v>
      </c>
      <c r="AJ128" s="48" t="str">
        <f ca="1">IFERROR(INDEX($A$3:$H$400,MATCH(ROWS(AJ$3:AJ128),$Q$3:$Q$400,0),8),"")</f>
        <v>ppd</v>
      </c>
      <c r="AK128" s="48">
        <f t="shared" ca="1" si="130"/>
        <v>0</v>
      </c>
      <c r="AL128" s="48">
        <f t="shared" ca="1" si="251"/>
        <v>0</v>
      </c>
      <c r="AM128" s="48">
        <f t="shared" ca="1" si="252"/>
        <v>0</v>
      </c>
      <c r="AN128" s="48">
        <f t="shared" ca="1" si="253"/>
        <v>0</v>
      </c>
      <c r="AO128" s="48">
        <f t="shared" ca="1" si="254"/>
        <v>0</v>
      </c>
      <c r="AP128" s="48">
        <f t="shared" ca="1" si="254"/>
        <v>0</v>
      </c>
      <c r="AQ128" s="48" t="str">
        <f t="shared" ca="1" si="132"/>
        <v>FATTURE DA RICEVERE</v>
      </c>
      <c r="AR128" s="48">
        <f t="shared" ca="1" si="133"/>
        <v>0</v>
      </c>
      <c r="AS128" s="48">
        <f t="shared" ca="1" si="134"/>
        <v>0</v>
      </c>
      <c r="AT128" s="48">
        <f t="shared" ca="1" si="162"/>
        <v>0</v>
      </c>
      <c r="AU128" s="48">
        <f t="shared" ca="1" si="163"/>
        <v>0</v>
      </c>
      <c r="AV128" s="48">
        <f ca="1">IF(OR(AT128&gt;0,AU128&gt;0),MAX($AV$2:AV127)+1,0)</f>
        <v>0</v>
      </c>
      <c r="AZ128" s="241" t="str">
        <f t="shared" si="240"/>
        <v>28 V.I.</v>
      </c>
      <c r="BA128" s="48">
        <f t="shared" ca="1" si="241"/>
        <v>0</v>
      </c>
      <c r="BB128" s="48">
        <f t="shared" ca="1" si="247"/>
        <v>0</v>
      </c>
      <c r="BC128" s="48" t="str">
        <f t="shared" ca="1" si="248"/>
        <v/>
      </c>
      <c r="BD128" s="48">
        <f t="shared" ca="1" si="249"/>
        <v>0</v>
      </c>
      <c r="BE128" s="48">
        <f t="shared" ca="1" si="250"/>
        <v>0</v>
      </c>
      <c r="BF128" s="48">
        <v>26</v>
      </c>
      <c r="BG128" s="48">
        <f ca="1">IF(IF(AND(OR(INDEX(PDC,MATCH($AC128,DEN_PDC,0),6)="SP DARE",INDEX(PDC,MATCH($AC128,DEN_PDC,0),6)="SP DARE/AVERE"),SUMIFS(DARE,DEN_G,$AC128)&gt;=SUMIFS(AVERE,DEN_G,$AC128)),SUMIFS(DARE,DEN_G,$AC128)-SUMIFS(AVERE,DEN_G,$AC128),0)&gt;0,MAX($BG$2:BG127)+1,0)</f>
        <v>0</v>
      </c>
      <c r="BH128" s="48">
        <f ca="1">IF(IF(AND(OR(INDEX(PDC,MATCH($AC128,DEN_PDC,0),6)="SP AVERE",INDEX(PDC,MATCH($AC128,DEN_PDC,0),6)="SP DARE/AVERE"),SUMIFS(AVERE,DEN_G,$AC128)&gt;=SUMIFS(DARE,DEN_G,$AC128)),SUMIFS(AVERE,DEN_G,$AC128)-SUMIFS(DARE,DEN_G,$AC128),0)&gt;0,MAX(BH$2:BH127)+1,0)</f>
        <v>0</v>
      </c>
      <c r="BI128" s="48">
        <f ca="1">IF(IF(AND(OR(INDEX(PDC,MATCH($AC128,DEN_PDC,0),6)="SE DARE",INDEX(PDC,MATCH($AC128,DEN_PDC,0),6)="SE DARE/AVERE"),SUMIFS(DARE,DEN_G,$AC128)&gt;=SUMIFS(AVERE,DEN_G,$AC128)),SUMIFS(DARE,DEN_G,$AC128)-SUMIFS(AVERE,DEN_G,$AC128),0)&gt;0,MAX(BI$2:BI127)+1,0)</f>
        <v>0</v>
      </c>
      <c r="BJ128" s="48">
        <f ca="1">IF(IF(AND(OR(INDEX(PDC,MATCH($AC128,DEN_PDC,0),6)="SE AVERE",INDEX(PDC,MATCH($AC128,DEN_PDC,0),6)="SE DARE/AVERE"),SUMIFS(AVERE,DEN_G,$AC128)&gt;=SUMIFS(DARE,DEN_G,$AC128)),SUMIFS(AVERE,DEN_G,$AC128)-SUMIFS(DARE,DEN_G,$AC128),0)&gt;0,MAX(BJ$2:BJ127)+1,0)</f>
        <v>0</v>
      </c>
      <c r="BK128" s="48" t="str">
        <f ca="1">IF(AND(AND($DY$2=0,$DY$1=0),$I$1=2,ROW()&gt;$BG$1+2,ROW()&lt;=$BG$1+4),"………………..",IF(AND(OR($DY$2&gt;0,$DY$1&gt;0),$I$1=2,ROW()&gt;$BG$1+2,ROW()&lt;=$BG$1+4),"………………..",IFERROR(INDEX($AC$3:$AC$398,MATCH(ROWS(BK$3:BK128),BG$3:BG$398,0),1),"")))</f>
        <v/>
      </c>
      <c r="BL128" s="48">
        <f t="shared" ca="1" si="136"/>
        <v>0</v>
      </c>
      <c r="BM128" s="48" t="str">
        <f ca="1">IF(AND(OR($DY$2=0,$DY$1=0),$I$1=2,ROW()&gt;$BH$1+2,ROW()&lt;=$BH$1+4),"………………..",IF(AND(OR($DY$2&gt;0,$DY$1&gt;0),$I$1=2,ROW()&gt;$BH$1+2,ROW()&lt;=$BH$1+4),"………………..",IFERROR(INDEX($AC$3:$AC$400,MATCH(ROWS(BM$3:BM128),BH$3:BH$400,0),1),"")))</f>
        <v/>
      </c>
      <c r="BN128" s="48">
        <f t="shared" ca="1" si="137"/>
        <v>0</v>
      </c>
      <c r="BO128" s="48" t="str">
        <f ca="1">IF(AND(OR($DY$2=0,$DY$1=0),$I$1=2,ROW()&gt;$BI$1+2,ROW()&lt;=$BI$1+4),"………………..",IF(AND(OR($DY$2&gt;0,$DY$1&gt;0),$I$1=2,ROW()&gt;$BI$1+2,ROW()&lt;=$BI$1+4),"………………..",IFERROR(INDEX($AC$3:$AC$400,MATCH(ROWS(BO$3:BO128),BI$3:BI$400,0),1),"")))</f>
        <v/>
      </c>
      <c r="BP128" s="48">
        <f t="shared" ca="1" si="138"/>
        <v>0</v>
      </c>
      <c r="BQ128" s="48" t="str">
        <f ca="1">IF(AND(OR($DY$2=0,$DY$1=0),$I$1=2,ROW()&gt;$BJ$1+2,ROW()&lt;=$BJ$1+4),"………………..",IF(AND(OR($DY$2&gt;0,$DY$1&gt;0),$I$1=2,ROW()&gt;$BJ$1+2,ROW()&lt;=$BJ$1+4),"………………..",IFERROR(INDEX($AC$3:$AC$400,MATCH(ROWS(BQ$3:BQ128),BJ$3:BJ$400,0),1),"")))</f>
        <v/>
      </c>
      <c r="BR128" s="48">
        <f t="shared" ca="1" si="139"/>
        <v>0</v>
      </c>
      <c r="BS128" s="48">
        <f ca="1">IF(IF(AND(OR(INDEX(PDC,MATCH($AC128,DEN_PDC,0),4)="D",INDEX(PDC,MATCH($AC128,DEN_PDC,0),4)="D/A"),SUMIFS(DARE,DEN_G,$AC128)&gt;=SUMIFS(AVERE,DEN_G,$AC128)),SUMIFS(DARE,DEN_G,$AC128),IF(AND(OR(INDEX(PDC,MATCH($AC128,DEN_PDC,0),4)="A",INDEX(PDC,MATCH($AC128,DEN_PDC,0),4)="D/A"),SUMIFS(AVERE,DEN_G,$AC128)&gt;=SUMIFS(DARE,DEN_G,$AC128)),SUMIFS(AVERE,DEN_G,$AC128),))&gt;0,MAX($BS$2:BS127)+1,0)</f>
        <v>0</v>
      </c>
      <c r="BT128" s="48" t="str">
        <f ca="1">IF($CO$1=0,"",IF(AND($I$1=2,ROW()&gt;$BR$1,ROW()&lt;=$BS$1)," …………….",IF(AND($E$1=1,$BX$1=1,$I$1=2,ROW()=$BQ$1),"TOTALI",IFERROR(INDEX(PDC,MATCH(ROWS(BT$3:BT128),BS$3:BS525,0),2),""))))</f>
        <v/>
      </c>
      <c r="BU128" s="48">
        <f t="shared" ca="1" si="140"/>
        <v>0</v>
      </c>
      <c r="BV128" s="48">
        <f t="shared" ca="1" si="141"/>
        <v>0</v>
      </c>
      <c r="BW128" s="48">
        <f t="shared" ca="1" si="142"/>
        <v>0</v>
      </c>
      <c r="BX128" s="48">
        <f t="shared" ca="1" si="143"/>
        <v>0</v>
      </c>
      <c r="BY128" s="48">
        <f ca="1">IF(OR(BW128&gt;0,BX128&gt;0),MAX($BY$2:BY127)+1,0)</f>
        <v>0</v>
      </c>
      <c r="BZ128" s="48" t="str">
        <f ca="1">IFERROR(INDEX($BT$3:$BY$400,MATCH(ROWS(BZ$3:BZ128),$BY$3:$BY$400,0),1),"")</f>
        <v/>
      </c>
      <c r="CA128" s="48" t="str">
        <f ca="1">IFERROR(INDEX($BT$3:$BY$400,MATCH(ROWS(CA$3:CA128),$BY$3:$BY$400,0),4),"")</f>
        <v/>
      </c>
      <c r="CB128" s="48" t="str">
        <f ca="1">IFERROR(INDEX($BT$3:$BY$400,MATCH(ROWS(CB$3:CB128),$BY$3:$BY$400,0),5),"")</f>
        <v/>
      </c>
      <c r="CC128" s="48" t="str">
        <f t="shared" ca="1" si="144"/>
        <v/>
      </c>
      <c r="CD128" s="48">
        <f ca="1">IF(AND($BF$9=1,CE128&lt;&gt;0),MAX($CD$104:CD127)+1,0)</f>
        <v>0</v>
      </c>
      <c r="CE128" s="48">
        <f ca="1">IF(ROUND(SUMIFS(COPIA!$CB$3:$CB$400,COPIA!$CC$3:$CC$400,CF128)-SUMIFS(COPIA!$CA$3:$CA$400,COPIA!$CC$3:$CC$400,CF128),0)&lt;0,0,ROUND(SUMIFS(COPIA!$CB$3:$CB$400,COPIA!$CC$3:$CC$400,CF128)-SUMIFS(COPIA!$CA$3:$CA$400,COPIA!$CC$3:$CC$400,CF128),0))</f>
        <v>0</v>
      </c>
      <c r="CF128" s="48" t="s">
        <v>658</v>
      </c>
      <c r="CG128" s="242" t="s">
        <v>555</v>
      </c>
      <c r="CH128" s="48">
        <f t="shared" ca="1" si="259"/>
        <v>0</v>
      </c>
      <c r="CJ128" s="242"/>
      <c r="CM128" s="242" t="str">
        <f t="shared" ca="1" si="166"/>
        <v/>
      </c>
      <c r="CN128" s="243">
        <f t="shared" ca="1" si="167"/>
        <v>0</v>
      </c>
      <c r="CO128" s="48" t="str">
        <f t="shared" ca="1" si="168"/>
        <v/>
      </c>
      <c r="CQ128" s="242"/>
      <c r="CR128" s="242"/>
      <c r="CU128" s="48">
        <f ca="1">IF(SUMIFS(AVERE,DEN_G,AC128,AVERE,"&gt;"&amp;0)+SUMIFS(DARE,DEN_G,AC128,DARE,"&gt;"&amp;0)&gt;0,MAX($CU$2:CU127)+1,0)</f>
        <v>0</v>
      </c>
      <c r="CV128" s="48" t="str">
        <f ca="1">IF(IFERROR(INDEX(PDC,MATCH(ROWS($CV$3:CV128),$CU$3:$CU$400,0),2),"")="CONTO DI RISULTATO ECONOMICO","",IFERROR(INDEX(PDC,MATCH(ROWS($CV$3:CV128),$CU$3:$CU$400,0),2),""))</f>
        <v/>
      </c>
      <c r="CW128" s="48">
        <f ca="1">IFERROR(IF(CV128&lt;&gt;"",MAX($CW$2:CW127)+1,0),0)</f>
        <v>0</v>
      </c>
      <c r="CX128" s="48">
        <f t="shared" ca="1" si="270"/>
        <v>10</v>
      </c>
      <c r="CY128" s="48" t="str">
        <f t="shared" ca="1" si="269"/>
        <v>MASTRO</v>
      </c>
      <c r="CZ128" s="48" t="e">
        <f t="shared" ca="1" si="272"/>
        <v>#N/A</v>
      </c>
      <c r="DA128" s="48" t="str">
        <f t="shared" ca="1" si="276"/>
        <v/>
      </c>
      <c r="DB128" s="48" t="str">
        <f t="shared" ca="1" si="212"/>
        <v/>
      </c>
      <c r="DC128" s="48" t="str">
        <f t="shared" ca="1" si="273"/>
        <v/>
      </c>
      <c r="DD128" s="48" t="str">
        <f t="shared" ca="1" si="274"/>
        <v/>
      </c>
      <c r="DE128" s="48" t="str">
        <f t="shared" ca="1" si="275"/>
        <v/>
      </c>
      <c r="DF128" s="48">
        <f ca="1">IF(AND(CX128=$DF$1,CX128&lt;&gt;""),0,IF(AND(DB128&lt;&gt;"",OR(DB127&lt;&gt;"",DB129&lt;&gt;"")),MAX($DF$2:DF127)+1,0))</f>
        <v>0</v>
      </c>
      <c r="DH128" s="244" t="s">
        <v>102</v>
      </c>
      <c r="DI128" s="48" t="s">
        <v>386</v>
      </c>
      <c r="DJ128" s="48" t="s">
        <v>311</v>
      </c>
      <c r="DK128" s="48" t="s">
        <v>298</v>
      </c>
      <c r="DL128" s="48" t="s">
        <v>4</v>
      </c>
      <c r="DM128" s="48" t="s">
        <v>299</v>
      </c>
      <c r="DN128" s="48">
        <f ca="1">IF(DI128&lt;&gt;"",MAX($DN$2:DN127)+1,0)</f>
        <v>108</v>
      </c>
      <c r="DO128" s="48" t="s">
        <v>653</v>
      </c>
      <c r="DW128" s="48">
        <f>IF(DR128&lt;&gt;"",MAX($DW$2:DW127)+1,0)</f>
        <v>0</v>
      </c>
      <c r="DY128" s="48" t="str">
        <f t="shared" ca="1" si="147"/>
        <v/>
      </c>
      <c r="DZ128" s="48" t="str">
        <f t="shared" ca="1" si="170"/>
        <v/>
      </c>
      <c r="EA128" s="48" t="str">
        <f t="shared" ca="1" si="171"/>
        <v/>
      </c>
      <c r="EB128" s="48">
        <f t="shared" ca="1" si="172"/>
        <v>0</v>
      </c>
      <c r="EC128" s="48">
        <f t="shared" ca="1" si="173"/>
        <v>0</v>
      </c>
      <c r="ED128" s="48" t="str">
        <f t="shared" ca="1" si="174"/>
        <v/>
      </c>
      <c r="EE128" s="48">
        <f t="shared" ca="1" si="175"/>
        <v>0</v>
      </c>
      <c r="EF128" s="48" t="str">
        <f t="shared" ca="1" si="176"/>
        <v/>
      </c>
      <c r="EG128" s="48">
        <f t="shared" ca="1" si="177"/>
        <v>0</v>
      </c>
      <c r="EH128" s="48" t="str">
        <f t="shared" ca="1" si="178"/>
        <v/>
      </c>
      <c r="EI128" s="48">
        <f t="shared" ca="1" si="179"/>
        <v>0</v>
      </c>
      <c r="EJ128" s="48" t="str">
        <f t="shared" ca="1" si="180"/>
        <v/>
      </c>
      <c r="EK128" s="48">
        <f t="shared" ca="1" si="181"/>
        <v>0</v>
      </c>
      <c r="EL128" s="48">
        <f t="shared" ca="1" si="148"/>
        <v>0</v>
      </c>
      <c r="EM128" s="48">
        <f ca="1">IF(EL128&gt;=0,0,MAX($EM$2:EM127)+1)</f>
        <v>0</v>
      </c>
      <c r="EN128" s="48" t="str">
        <f t="shared" ca="1" si="182"/>
        <v/>
      </c>
      <c r="EO128" s="48" t="str">
        <f ca="1">IFERROR(INDEX($EM$3:$EN$400,MATCH(ROWS($EO$3:EO128),$EM$3:$EM$400,0),2),"")</f>
        <v/>
      </c>
      <c r="EP128" s="48">
        <f>ROW()</f>
        <v>128</v>
      </c>
      <c r="EQ128" s="48">
        <f t="shared" ca="1" si="149"/>
        <v>0</v>
      </c>
      <c r="ER128" s="48">
        <f ca="1">IF(ISNA(EQ128)=TRUE,MAX($ER$2:ER127)+1,0)</f>
        <v>0</v>
      </c>
      <c r="ES128" s="48" t="str">
        <f t="shared" ca="1" si="183"/>
        <v/>
      </c>
      <c r="ET128" s="48" t="str">
        <f ca="1">IFERROR(INDEX($ER$3:$ES$400,MATCH(ROWS($ET$3:ET128),$ER$3:$ER$400,0),2),"")</f>
        <v/>
      </c>
      <c r="EV128" s="48">
        <f ca="1">IFERROR(INDEX(LIBRO_GIORNALE!$O$11:$P$408,MATCH(ROWS($EV$2:EV127),LIBRO_GIORNALE!$P$11:$P$408,0),1),0)</f>
        <v>0</v>
      </c>
      <c r="EW128" s="48" t="str">
        <f t="shared" ca="1" si="184"/>
        <v>0</v>
      </c>
      <c r="EX128" s="48">
        <f t="shared" ca="1" si="185"/>
        <v>0</v>
      </c>
      <c r="EY128" s="48">
        <f ca="1">IF(EX128&gt;0,MAX($EY$2:EY127)+1,0)</f>
        <v>0</v>
      </c>
      <c r="EZ128" s="48">
        <f ca="1">IFERROR(INDEX($EX$3:$EX$400,MATCH(ROWS($EZ$3:EZ128),$EY$3:$EY$400,0),1),0)</f>
        <v>0</v>
      </c>
      <c r="FA128" s="48">
        <f ca="1">IF(EZ128&gt;0,0,MAX($FA$2:FA127)+1)</f>
        <v>126</v>
      </c>
      <c r="FB128" s="48">
        <f t="shared" ca="1" si="186"/>
        <v>0</v>
      </c>
      <c r="FC128" s="48">
        <f t="shared" ca="1" si="187"/>
        <v>126</v>
      </c>
      <c r="FD128" s="48">
        <f t="shared" ca="1" si="188"/>
        <v>126</v>
      </c>
      <c r="FE128" s="48">
        <f ca="1">IF(FD128=0,0,MAX($FE$2:FE127)+1)</f>
        <v>126</v>
      </c>
      <c r="FF128" s="48">
        <f ca="1">IFERROR(INDEX($FD$3:$FE$400,MATCH(ROWS($FF$3:FF128),$FE$3:$FE$400,0),1),"")</f>
        <v>126</v>
      </c>
      <c r="FG128" s="48">
        <f t="shared" ca="1" si="255"/>
        <v>0</v>
      </c>
      <c r="FH128" s="48">
        <f t="shared" ca="1" si="189"/>
        <v>0</v>
      </c>
      <c r="FI128" s="48">
        <f ca="1">IF(FH128&lt;&gt;0,MAX($FI$2:FI127)+1,0)</f>
        <v>0</v>
      </c>
      <c r="FJ128" s="48" t="str">
        <f ca="1">IFERROR(INDEX($FH$3:$FI$400,MATCH(ROWS($FJ$3:FJ128),$FI$3:$FI$400,0),1),"")</f>
        <v/>
      </c>
      <c r="FK128" s="48">
        <f ca="1">IF(ABS(SUMIFS(DARE,DEN_G,"="&amp;FJ128,DATA,"&lt;="&amp;FINE_AC,DATA,"&gt;="&amp;INIZIO_A_PC)-SUMIFS(AVERE,DEN_G,"="&amp;FJ128,DATA,"&lt;="&amp;FINE_AC,DATA,"&gt;="&amp;INIZIO_A_PC))&gt;0,MAX($FK$2:FK127)+1,0)</f>
        <v>0</v>
      </c>
      <c r="FL128" s="48" t="str">
        <f ca="1">IF(AND(ROW()-2&lt;&gt;1,ROW()-2&lt;=$FK$1),CONCATENATE(" - ",IFERROR(INDEX($FJ$3:$FK$400,MATCH(ROWS($FL$3:FL128),$FK$3:$FK$400,0),1),"")),IFERROR(INDEX($FJ$3:$FK$400,MATCH(ROWS($FL$3:FL128),$FK$3:$FK$400,0),1),""))</f>
        <v/>
      </c>
      <c r="FM128" s="48">
        <f ca="1">IF(OR(B128="IVA ns/credito",B128="IVA NS/DEBITO",B128="IVA C/ACCONTO",B128="IMPOSTE C/ACCONTO",B128="CREDITI PER RITENUTE SUBITE",B128="CREDITI D'IMPOSTA"),MAX($FM$2:FM127)+1,0)</f>
        <v>0</v>
      </c>
      <c r="FN128" s="48" t="str">
        <f t="shared" ca="1" si="190"/>
        <v/>
      </c>
      <c r="FO128" s="48" t="str">
        <f ca="1">IFERROR(INDEX($FM$3:$FN$400,MATCH(ROWS($FO$3:FO128),$FM$3:$FM$400,0),2),"")</f>
        <v/>
      </c>
      <c r="FP128" s="48">
        <f ca="1">IF(ABS(SUMIFS(DARE,DEN_G,"="&amp;FO128,DATA,"&lt;="&amp;FINE_AC,DATA,"&gt;="&amp;INIZIO_A_PC)-SUMIFS(AVERE,DEN_G,"="&amp;FO128,DATA,"&lt;="&amp;FINE_AC,DATA,"&gt;="&amp;INIZIO_A_PC))&gt;0,MAX($FP$2:FP127)+1,0)</f>
        <v>0</v>
      </c>
      <c r="FQ128" s="48" t="str">
        <f ca="1">IF(AND(ROW()-2&lt;&gt;1,ROW()-2&lt;=$FP$1),CONCATENATE(" - ",IFERROR(INDEX($FO$3:$FP$400,MATCH(ROWS($FQ$3:FQ128),$FP$3:$FP$400,0),1),"")),IFERROR(INDEX($FO$3:$FP$400,MATCH(ROWS($FQ$3:FQ128),$FP$3:$FP$400,0),1),""))</f>
        <v/>
      </c>
    </row>
    <row r="129" spans="1:173" x14ac:dyDescent="0.3">
      <c r="A129" s="48" t="str">
        <f ca="1">IFERROR(IF($A$1=2,INDEX($DH$3:$DN$401,MATCH(ROWS(A$3:A129),$DN$3:$DN$401,0),COLUMN()),IF($A$1=1,INDEX($DQ$3:$DW$401,MATCH(ROWS(A$3:A129),$DW$3:$DW$401,0),COLUMN()),"")),"")</f>
        <v>13.01</v>
      </c>
      <c r="B129" s="48" t="str">
        <f ca="1">IFERROR(IF($A$1=2,INDEX($DH$3:$DN$401,MATCH(ROWS(B$3:B129),$DN$3:$DN$401,0),COLUMN()),IF($A$1=1,INDEX($DQ$3:$DW$400,MATCH(ROWS(B$3:B129),$DW$3:$DW$401,0),COLUMN()),"")),"")</f>
        <v>PRESTITI OBBLIGAZIONARI</v>
      </c>
      <c r="C129" s="48" t="str">
        <f ca="1">IFERROR(IF($A$1=2,INDEX($DH$3:$DN$401,MATCH(ROWS(C$3:C129),$DN$3:$DN$401,0),COLUMN()),IF($A$1=1,INDEX($DQ$3:$DW$401,MATCH(ROWS(C$3:C129),$DW$3:$DW$401,0),COLUMN()),"")),"")</f>
        <v>F</v>
      </c>
      <c r="D129" s="48" t="str">
        <f ca="1">IFERROR(IF($A$1=2,INDEX($DH$3:$DN$401,MATCH(ROWS(D$3:D129),$DN$3:$DN$401,0),COLUMN()),IF($A$1=1,INDEX($DQ$3:$DW$401,MATCH(ROWS(D$3:D129),$DW$3:$DW$401,0),COLUMN()),"")),"")</f>
        <v>A</v>
      </c>
      <c r="E129" s="48" t="str">
        <f ca="1">IFERROR(IF($A$1=2,INDEX($DH$3:$DN$401,MATCH(ROWS(E$3:E129),$DN$3:$DN$401,0),COLUMN()),IF($A$1=1,INDEX($DQ$3:$DW$401,MATCH(ROWS(E$3:E129),$DW$3:$DW$401,0),COLUMN()),"")),"")</f>
        <v>DEBITI</v>
      </c>
      <c r="F129" s="48" t="str">
        <f ca="1">IFERROR(IF($A$1=2,INDEX($DH$3:$DN$401,MATCH(ROWS(F$3:F129),$DN$3:$DN$401,0),COLUMN()),IF($A$1=1,INDEX($DQ$3:$DX$401,MATCH(ROWS(F$3:F129),$DW$3:$DW$401,0),COLUMN()),"")),"")</f>
        <v>SP AVERE</v>
      </c>
      <c r="G129" s="48" t="str">
        <f t="shared" ca="1" si="150"/>
        <v>SP</v>
      </c>
      <c r="H129" s="48" t="str">
        <f ca="1">IFERROR(IF($A$1=2,INDEX($DH$3:$DO$400,MATCH(ROWS(H$3:H129),$DN$3:$DN$400,0),COLUMN()),IF($A$1=1,INDEX($DQ$3:$DX$400,MATCH(ROWS(H$3:H129),$DW$3:$DW$400,0),COLUMN()),"")),"")</f>
        <v>ppd</v>
      </c>
      <c r="I129" s="48" t="str">
        <f t="shared" ca="1" si="151"/>
        <v/>
      </c>
      <c r="J129" s="48" t="str">
        <f t="shared" ca="1" si="152"/>
        <v/>
      </c>
      <c r="K129" s="48">
        <f t="shared" ca="1" si="153"/>
        <v>0</v>
      </c>
      <c r="L129" s="48">
        <f t="shared" ca="1" si="154"/>
        <v>0</v>
      </c>
      <c r="M129" s="48">
        <f ca="1">IFERROR(IF(IF(MID($A129,3,3)=".00",MID(A129,1,2),"")&lt;&gt;"",MAX($M$2:M128)+1,0),"")</f>
        <v>0</v>
      </c>
      <c r="N129" s="48" t="str">
        <f t="shared" ca="1" si="155"/>
        <v/>
      </c>
      <c r="O129" s="48" t="str">
        <f ca="1">IF(IFERROR(INDEX($N$3:$O$300,MATCH(ROWS($O$3:O129),$M$3:$M$300,0),1),"")&lt;&gt;"",CONCATENATE(INDEX($N$3:$O$300,MATCH(ROWS($O$3:O129),$M$3:$M$300,0),1),".00"),"")</f>
        <v/>
      </c>
      <c r="P129" s="48" t="str">
        <f t="shared" ca="1" si="156"/>
        <v/>
      </c>
      <c r="Q129" s="48">
        <f ca="1">IF(M129&gt;=1,0,MAX($Q$2:Q128)+1)</f>
        <v>113</v>
      </c>
      <c r="U129" s="48" t="str">
        <f ca="1">IFERROR(INDEX(PDC,MATCH(ROWS(U$3:U129),$V$3:$V$400,0),2),"")</f>
        <v>DEBITI COMMERCIALI DIVERSI</v>
      </c>
      <c r="V129" s="48">
        <f ca="1">IF(AND($T$1="VISUALIZZA TUTTI I CONTI",AA129&lt;&gt;""),MAX($V$2:V128)+1,IF(AND($U$2=2,AI129=$T$1),MAX($V$2:V128)+1,IF(AND($U$2=1,$T$1=AF129),MAX($V$2:V128)+1,0)))</f>
        <v>127</v>
      </c>
      <c r="Z129" s="246"/>
      <c r="AA129" s="48" t="str">
        <f t="shared" ca="1" si="157"/>
        <v>14.00</v>
      </c>
      <c r="AB129" s="48" t="str">
        <f ca="1">IFERROR(INDEX($A$3:$G$400,MATCH(ROWS(AB$3:AB129),$Q$3:$Q$400,0),1),"")</f>
        <v>14.03</v>
      </c>
      <c r="AC129" s="48" t="str">
        <f ca="1">IFERROR(INDEX($A$3:$G$400,MATCH(ROWS($AC$3:AC129),$Q$3:$Q$400,0),2),"")</f>
        <v>DEBITI COMMERCIALI DIVERSI</v>
      </c>
      <c r="AD129" s="48" t="str">
        <f ca="1">IFERROR(INDEX($A$3:$G$400,MATCH(ROWS(AD$3:AD129),$Q$3:$Q$400,0),3),"")</f>
        <v>F</v>
      </c>
      <c r="AE129" s="48" t="str">
        <f ca="1">IFERROR(INDEX($A$3:$G$400,MATCH(ROWS(AE$3:AE129),$Q$3:$Q$400,0),4),"")</f>
        <v>A</v>
      </c>
      <c r="AF129" s="48" t="str">
        <f ca="1">IFERROR(INDEX($A$3:$G$400,MATCH(ROWS(AF$3:AF129),$Q$3:$Q$400,0),5),"")</f>
        <v>DEBITI</v>
      </c>
      <c r="AG129" s="48" t="str">
        <f ca="1">IFERROR(INDEX($A$3:$G$400,MATCH(ROWS(AG$3:AG129),$Q$3:$Q$400,0),6),"")</f>
        <v>SP AVERE</v>
      </c>
      <c r="AH129" s="48" t="str">
        <f ca="1">IFERROR(INDEX($A$3:$G$400,MATCH(ROWS(AH$3:AH129),$Q$3:$Q$400,0),7),"")</f>
        <v>SP</v>
      </c>
      <c r="AI129" s="48" t="str">
        <f t="shared" ca="1" si="158"/>
        <v>DEBITI COMMERCIALI</v>
      </c>
      <c r="AJ129" s="48" t="str">
        <f ca="1">IFERROR(INDEX($A$3:$H$400,MATCH(ROWS(AJ$3:AJ129),$Q$3:$Q$400,0),8),"")</f>
        <v>ppd</v>
      </c>
      <c r="AK129" s="48">
        <f t="shared" ca="1" si="130"/>
        <v>0</v>
      </c>
      <c r="AL129" s="48">
        <f t="shared" ca="1" si="251"/>
        <v>0</v>
      </c>
      <c r="AM129" s="48">
        <f t="shared" ca="1" si="252"/>
        <v>0</v>
      </c>
      <c r="AN129" s="48">
        <f t="shared" ca="1" si="253"/>
        <v>0</v>
      </c>
      <c r="AO129" s="48">
        <f t="shared" ca="1" si="254"/>
        <v>0</v>
      </c>
      <c r="AP129" s="48">
        <f t="shared" ca="1" si="254"/>
        <v>0</v>
      </c>
      <c r="AQ129" s="48" t="str">
        <f t="shared" ca="1" si="132"/>
        <v>DEBITI COMMERCIALI DIVERSI</v>
      </c>
      <c r="AR129" s="48">
        <f t="shared" ca="1" si="133"/>
        <v>0</v>
      </c>
      <c r="AS129" s="48">
        <f t="shared" ca="1" si="134"/>
        <v>0</v>
      </c>
      <c r="AT129" s="48">
        <f t="shared" ca="1" si="162"/>
        <v>0</v>
      </c>
      <c r="AU129" s="48">
        <f t="shared" ca="1" si="163"/>
        <v>0</v>
      </c>
      <c r="AV129" s="48">
        <f ca="1">IF(OR(AT129&gt;0,AU129&gt;0),MAX($AV$2:AV128)+1,0)</f>
        <v>0</v>
      </c>
      <c r="AZ129" s="241" t="str">
        <f t="shared" si="240"/>
        <v>29 V.I.</v>
      </c>
      <c r="BA129" s="48">
        <f t="shared" ca="1" si="241"/>
        <v>0</v>
      </c>
      <c r="BB129" s="48">
        <f t="shared" ca="1" si="247"/>
        <v>0</v>
      </c>
      <c r="BC129" s="48" t="str">
        <f t="shared" ca="1" si="248"/>
        <v/>
      </c>
      <c r="BD129" s="48">
        <f t="shared" ca="1" si="249"/>
        <v>0</v>
      </c>
      <c r="BE129" s="48">
        <f t="shared" ca="1" si="250"/>
        <v>0</v>
      </c>
      <c r="BF129" s="48">
        <v>27</v>
      </c>
      <c r="BG129" s="48">
        <f ca="1">IF(IF(AND(OR(INDEX(PDC,MATCH($AC129,DEN_PDC,0),6)="SP DARE",INDEX(PDC,MATCH($AC129,DEN_PDC,0),6)="SP DARE/AVERE"),SUMIFS(DARE,DEN_G,$AC129)&gt;=SUMIFS(AVERE,DEN_G,$AC129)),SUMIFS(DARE,DEN_G,$AC129)-SUMIFS(AVERE,DEN_G,$AC129),0)&gt;0,MAX($BG$2:BG128)+1,0)</f>
        <v>0</v>
      </c>
      <c r="BH129" s="48">
        <f ca="1">IF(IF(AND(OR(INDEX(PDC,MATCH($AC129,DEN_PDC,0),6)="SP AVERE",INDEX(PDC,MATCH($AC129,DEN_PDC,0),6)="SP DARE/AVERE"),SUMIFS(AVERE,DEN_G,$AC129)&gt;=SUMIFS(DARE,DEN_G,$AC129)),SUMIFS(AVERE,DEN_G,$AC129)-SUMIFS(DARE,DEN_G,$AC129),0)&gt;0,MAX(BH$2:BH128)+1,0)</f>
        <v>0</v>
      </c>
      <c r="BI129" s="48">
        <f ca="1">IF(IF(AND(OR(INDEX(PDC,MATCH($AC129,DEN_PDC,0),6)="SE DARE",INDEX(PDC,MATCH($AC129,DEN_PDC,0),6)="SE DARE/AVERE"),SUMIFS(DARE,DEN_G,$AC129)&gt;=SUMIFS(AVERE,DEN_G,$AC129)),SUMIFS(DARE,DEN_G,$AC129)-SUMIFS(AVERE,DEN_G,$AC129),0)&gt;0,MAX(BI$2:BI128)+1,0)</f>
        <v>0</v>
      </c>
      <c r="BJ129" s="48">
        <f ca="1">IF(IF(AND(OR(INDEX(PDC,MATCH($AC129,DEN_PDC,0),6)="SE AVERE",INDEX(PDC,MATCH($AC129,DEN_PDC,0),6)="SE DARE/AVERE"),SUMIFS(AVERE,DEN_G,$AC129)&gt;=SUMIFS(DARE,DEN_G,$AC129)),SUMIFS(AVERE,DEN_G,$AC129)-SUMIFS(DARE,DEN_G,$AC129),0)&gt;0,MAX(BJ$2:BJ128)+1,0)</f>
        <v>0</v>
      </c>
      <c r="BK129" s="48" t="str">
        <f ca="1">IF(AND(AND($DY$2=0,$DY$1=0),$I$1=2,ROW()&gt;$BG$1+2,ROW()&lt;=$BG$1+4),"………………..",IF(AND(OR($DY$2&gt;0,$DY$1&gt;0),$I$1=2,ROW()&gt;$BG$1+2,ROW()&lt;=$BG$1+4),"………………..",IFERROR(INDEX($AC$3:$AC$398,MATCH(ROWS(BK$3:BK129),BG$3:BG$398,0),1),"")))</f>
        <v/>
      </c>
      <c r="BL129" s="48">
        <f t="shared" ca="1" si="136"/>
        <v>0</v>
      </c>
      <c r="BM129" s="48" t="str">
        <f ca="1">IF(AND(OR($DY$2=0,$DY$1=0),$I$1=2,ROW()&gt;$BH$1+2,ROW()&lt;=$BH$1+4),"………………..",IF(AND(OR($DY$2&gt;0,$DY$1&gt;0),$I$1=2,ROW()&gt;$BH$1+2,ROW()&lt;=$BH$1+4),"………………..",IFERROR(INDEX($AC$3:$AC$400,MATCH(ROWS(BM$3:BM129),BH$3:BH$400,0),1),"")))</f>
        <v/>
      </c>
      <c r="BN129" s="48">
        <f t="shared" ca="1" si="137"/>
        <v>0</v>
      </c>
      <c r="BO129" s="48" t="str">
        <f ca="1">IF(AND(OR($DY$2=0,$DY$1=0),$I$1=2,ROW()&gt;$BI$1+2,ROW()&lt;=$BI$1+4),"………………..",IF(AND(OR($DY$2&gt;0,$DY$1&gt;0),$I$1=2,ROW()&gt;$BI$1+2,ROW()&lt;=$BI$1+4),"………………..",IFERROR(INDEX($AC$3:$AC$400,MATCH(ROWS(BO$3:BO129),BI$3:BI$400,0),1),"")))</f>
        <v/>
      </c>
      <c r="BP129" s="48">
        <f t="shared" ca="1" si="138"/>
        <v>0</v>
      </c>
      <c r="BQ129" s="48" t="str">
        <f ca="1">IF(AND(OR($DY$2=0,$DY$1=0),$I$1=2,ROW()&gt;$BJ$1+2,ROW()&lt;=$BJ$1+4),"………………..",IF(AND(OR($DY$2&gt;0,$DY$1&gt;0),$I$1=2,ROW()&gt;$BJ$1+2,ROW()&lt;=$BJ$1+4),"………………..",IFERROR(INDEX($AC$3:$AC$400,MATCH(ROWS(BQ$3:BQ129),BJ$3:BJ$400,0),1),"")))</f>
        <v/>
      </c>
      <c r="BR129" s="48">
        <f t="shared" ca="1" si="139"/>
        <v>0</v>
      </c>
      <c r="BS129" s="48">
        <f ca="1">IF(IF(AND(OR(INDEX(PDC,MATCH($AC129,DEN_PDC,0),4)="D",INDEX(PDC,MATCH($AC129,DEN_PDC,0),4)="D/A"),SUMIFS(DARE,DEN_G,$AC129)&gt;=SUMIFS(AVERE,DEN_G,$AC129)),SUMIFS(DARE,DEN_G,$AC129),IF(AND(OR(INDEX(PDC,MATCH($AC129,DEN_PDC,0),4)="A",INDEX(PDC,MATCH($AC129,DEN_PDC,0),4)="D/A"),SUMIFS(AVERE,DEN_G,$AC129)&gt;=SUMIFS(DARE,DEN_G,$AC129)),SUMIFS(AVERE,DEN_G,$AC129),))&gt;0,MAX($BS$2:BS128)+1,0)</f>
        <v>0</v>
      </c>
      <c r="BT129" s="48" t="str">
        <f ca="1">IF($CO$1=0,"",IF(AND($I$1=2,ROW()&gt;$BR$1,ROW()&lt;=$BS$1)," …………….",IF(AND($E$1=1,$BX$1=1,$I$1=2,ROW()=$BQ$1),"TOTALI",IFERROR(INDEX(PDC,MATCH(ROWS(BT$3:BT129),BS$3:BS526,0),2),""))))</f>
        <v/>
      </c>
      <c r="BU129" s="48">
        <f t="shared" ca="1" si="140"/>
        <v>0</v>
      </c>
      <c r="BV129" s="48">
        <f t="shared" ca="1" si="141"/>
        <v>0</v>
      </c>
      <c r="BW129" s="48">
        <f t="shared" ca="1" si="142"/>
        <v>0</v>
      </c>
      <c r="BX129" s="48">
        <f t="shared" ca="1" si="143"/>
        <v>0</v>
      </c>
      <c r="BY129" s="48">
        <f ca="1">IF(OR(BW129&gt;0,BX129&gt;0),MAX($BY$2:BY128)+1,0)</f>
        <v>0</v>
      </c>
      <c r="BZ129" s="48" t="str">
        <f ca="1">IFERROR(INDEX($BT$3:$BY$400,MATCH(ROWS(BZ$3:BZ129),$BY$3:$BY$400,0),1),"")</f>
        <v/>
      </c>
      <c r="CA129" s="48" t="str">
        <f ca="1">IFERROR(INDEX($BT$3:$BY$400,MATCH(ROWS(CA$3:CA129),$BY$3:$BY$400,0),4),"")</f>
        <v/>
      </c>
      <c r="CB129" s="48" t="str">
        <f ca="1">IFERROR(INDEX($BT$3:$BY$400,MATCH(ROWS(CB$3:CB129),$BY$3:$BY$400,0),5),"")</f>
        <v/>
      </c>
      <c r="CC129" s="48" t="str">
        <f t="shared" ca="1" si="144"/>
        <v/>
      </c>
      <c r="CD129" s="48">
        <f ca="1">IF(AND($CF$1=TRUE,$BF$9=1,CE129&lt;&gt;0),MAX($CD$104:CD128)+1,0)</f>
        <v>0</v>
      </c>
      <c r="CE129" s="48">
        <f ca="1">IF($I$1=1,SUM(CE125:CE128),IF(AND($I$1=2,SUM(CE125:CE128)&gt;0),"_ _ _",0))</f>
        <v>0</v>
      </c>
      <c r="CG129" s="242" t="s">
        <v>556</v>
      </c>
      <c r="CH129" s="48">
        <f t="shared" ca="1" si="259"/>
        <v>0</v>
      </c>
      <c r="CJ129" s="242"/>
      <c r="CM129" s="242" t="str">
        <f t="shared" ca="1" si="166"/>
        <v/>
      </c>
      <c r="CN129" s="243">
        <f t="shared" ca="1" si="167"/>
        <v>0</v>
      </c>
      <c r="CO129" s="48" t="str">
        <f t="shared" ca="1" si="168"/>
        <v/>
      </c>
      <c r="CQ129" s="242"/>
      <c r="CR129" s="242"/>
      <c r="CU129" s="48">
        <f ca="1">IF(SUMIFS(AVERE,DEN_G,AC129,AVERE,"&gt;"&amp;0)+SUMIFS(DARE,DEN_G,AC129,DARE,"&gt;"&amp;0)&gt;0,MAX($CU$2:CU128)+1,0)</f>
        <v>0</v>
      </c>
      <c r="CV129" s="48" t="str">
        <f ca="1">IF(IFERROR(INDEX(PDC,MATCH(ROWS($CV$3:CV129),$CU$3:$CU$400,0),2),"")="CONTO DI RISULTATO ECONOMICO","",IFERROR(INDEX(PDC,MATCH(ROWS($CV$3:CV129),$CU$3:$CU$400,0),2),""))</f>
        <v/>
      </c>
      <c r="CW129" s="48">
        <f ca="1">IFERROR(IF(CV129&lt;&gt;"",MAX($CW$2:CW128)+1,0),0)</f>
        <v>0</v>
      </c>
      <c r="CX129" s="48">
        <f t="shared" ca="1" si="270"/>
        <v>10</v>
      </c>
      <c r="CY129" s="48" t="str">
        <f t="shared" ca="1" si="269"/>
        <v>MASTRO</v>
      </c>
      <c r="CZ129" s="48" t="e">
        <f t="shared" ca="1" si="272"/>
        <v>#N/A</v>
      </c>
      <c r="DA129" s="48" t="str">
        <f t="shared" ca="1" si="276"/>
        <v/>
      </c>
      <c r="DB129" s="48" t="str">
        <f t="shared" ca="1" si="212"/>
        <v/>
      </c>
      <c r="DC129" s="48" t="str">
        <f t="shared" ca="1" si="273"/>
        <v/>
      </c>
      <c r="DD129" s="48" t="str">
        <f t="shared" ca="1" si="274"/>
        <v/>
      </c>
      <c r="DE129" s="48" t="str">
        <f t="shared" ca="1" si="275"/>
        <v/>
      </c>
      <c r="DF129" s="48">
        <f ca="1">IF(AND(CX129=$DF$1,CX129&lt;&gt;""),0,IF(AND(DB129&lt;&gt;"",OR(DB128&lt;&gt;"",DB130&lt;&gt;"")),MAX($DF$2:DF128)+1,0))</f>
        <v>0</v>
      </c>
      <c r="DH129" s="244" t="s">
        <v>387</v>
      </c>
      <c r="DI129" s="48" t="s">
        <v>388</v>
      </c>
      <c r="DJ129" s="48" t="s">
        <v>311</v>
      </c>
      <c r="DK129" s="48" t="s">
        <v>298</v>
      </c>
      <c r="DL129" s="48" t="s">
        <v>4</v>
      </c>
      <c r="DM129" s="48" t="s">
        <v>299</v>
      </c>
      <c r="DN129" s="48">
        <f ca="1">IF(DI129&lt;&gt;"",MAX($DN$2:DN128)+1,0)</f>
        <v>109</v>
      </c>
      <c r="DO129" s="48" t="s">
        <v>740</v>
      </c>
      <c r="DQ129" s="227" t="s">
        <v>391</v>
      </c>
      <c r="DR129" s="48" t="str">
        <f ca="1">IF($DR$1=0,"VERSAMENTI SOCIO … C/CAPITALE","")</f>
        <v>VERSAMENTI SOCIO … C/CAPITALE</v>
      </c>
      <c r="DS129" s="48" t="s">
        <v>311</v>
      </c>
      <c r="DT129" s="48" t="s">
        <v>298</v>
      </c>
      <c r="DU129" s="48" t="s">
        <v>4</v>
      </c>
      <c r="DV129" s="48" t="s">
        <v>299</v>
      </c>
      <c r="DW129" s="48">
        <f ca="1">IF(DR129&lt;&gt;"",MAX($DW$2:DW128)+1,0)</f>
        <v>82</v>
      </c>
      <c r="DX129" s="48" t="s">
        <v>743</v>
      </c>
      <c r="DY129" s="48" t="str">
        <f t="shared" ca="1" si="147"/>
        <v/>
      </c>
      <c r="DZ129" s="48" t="str">
        <f t="shared" ca="1" si="170"/>
        <v/>
      </c>
      <c r="EA129" s="48" t="str">
        <f t="shared" ca="1" si="171"/>
        <v/>
      </c>
      <c r="EB129" s="48">
        <f t="shared" ca="1" si="172"/>
        <v>0</v>
      </c>
      <c r="EC129" s="48">
        <f t="shared" ca="1" si="173"/>
        <v>0</v>
      </c>
      <c r="ED129" s="48" t="str">
        <f t="shared" ca="1" si="174"/>
        <v/>
      </c>
      <c r="EE129" s="48">
        <f t="shared" ca="1" si="175"/>
        <v>0</v>
      </c>
      <c r="EF129" s="48" t="str">
        <f t="shared" ca="1" si="176"/>
        <v/>
      </c>
      <c r="EG129" s="48">
        <f t="shared" ca="1" si="177"/>
        <v>0</v>
      </c>
      <c r="EH129" s="48" t="str">
        <f t="shared" ca="1" si="178"/>
        <v/>
      </c>
      <c r="EI129" s="48">
        <f t="shared" ca="1" si="179"/>
        <v>0</v>
      </c>
      <c r="EJ129" s="48" t="str">
        <f t="shared" ca="1" si="180"/>
        <v/>
      </c>
      <c r="EK129" s="48">
        <f t="shared" ca="1" si="181"/>
        <v>0</v>
      </c>
      <c r="EL129" s="48">
        <f t="shared" ca="1" si="148"/>
        <v>0</v>
      </c>
      <c r="EM129" s="48">
        <f ca="1">IF(EL129&gt;=0,0,MAX($EM$2:EM128)+1)</f>
        <v>0</v>
      </c>
      <c r="EN129" s="48" t="str">
        <f t="shared" ca="1" si="182"/>
        <v/>
      </c>
      <c r="EO129" s="48" t="str">
        <f ca="1">IFERROR(INDEX($EM$3:$EN$400,MATCH(ROWS($EO$3:EO129),$EM$3:$EM$400,0),2),"")</f>
        <v/>
      </c>
      <c r="EP129" s="48">
        <f>ROW()</f>
        <v>129</v>
      </c>
      <c r="EQ129" s="48">
        <f t="shared" ca="1" si="149"/>
        <v>0</v>
      </c>
      <c r="ER129" s="48">
        <f ca="1">IF(ISNA(EQ129)=TRUE,MAX($ER$2:ER128)+1,0)</f>
        <v>0</v>
      </c>
      <c r="ES129" s="48" t="str">
        <f t="shared" ca="1" si="183"/>
        <v/>
      </c>
      <c r="ET129" s="48" t="str">
        <f ca="1">IFERROR(INDEX($ER$3:$ES$400,MATCH(ROWS($ET$3:ET129),$ER$3:$ER$400,0),2),"")</f>
        <v/>
      </c>
      <c r="EV129" s="48">
        <f ca="1">IFERROR(INDEX(LIBRO_GIORNALE!$O$11:$P$408,MATCH(ROWS($EV$2:EV128),LIBRO_GIORNALE!$P$11:$P$408,0),1),0)</f>
        <v>0</v>
      </c>
      <c r="EW129" s="48" t="str">
        <f t="shared" ca="1" si="184"/>
        <v>0</v>
      </c>
      <c r="EX129" s="48">
        <f t="shared" ca="1" si="185"/>
        <v>0</v>
      </c>
      <c r="EY129" s="48">
        <f ca="1">IF(EX129&gt;0,MAX($EY$2:EY128)+1,0)</f>
        <v>0</v>
      </c>
      <c r="EZ129" s="48">
        <f ca="1">IFERROR(INDEX($EX$3:$EX$400,MATCH(ROWS($EZ$3:EZ129),$EY$3:$EY$400,0),1),0)</f>
        <v>0</v>
      </c>
      <c r="FA129" s="48">
        <f ca="1">IF(EZ129&gt;0,0,MAX($FA$2:FA128)+1)</f>
        <v>127</v>
      </c>
      <c r="FB129" s="48">
        <f t="shared" ca="1" si="186"/>
        <v>0</v>
      </c>
      <c r="FC129" s="48">
        <f t="shared" ca="1" si="187"/>
        <v>127</v>
      </c>
      <c r="FD129" s="48">
        <f t="shared" ca="1" si="188"/>
        <v>127</v>
      </c>
      <c r="FE129" s="48">
        <f ca="1">IF(FD129=0,0,MAX($FE$2:FE128)+1)</f>
        <v>127</v>
      </c>
      <c r="FF129" s="48">
        <f ca="1">IFERROR(INDEX($FD$3:$FE$400,MATCH(ROWS($FF$3:FF129),$FE$3:$FE$400,0),1),"")</f>
        <v>127</v>
      </c>
      <c r="FG129" s="48">
        <f t="shared" ca="1" si="255"/>
        <v>0</v>
      </c>
      <c r="FH129" s="48">
        <f t="shared" ca="1" si="189"/>
        <v>0</v>
      </c>
      <c r="FI129" s="48">
        <f ca="1">IF(FH129&lt;&gt;0,MAX($FI$2:FI128)+1,0)</f>
        <v>0</v>
      </c>
      <c r="FJ129" s="48" t="str">
        <f ca="1">IFERROR(INDEX($FH$3:$FI$400,MATCH(ROWS($FJ$3:FJ129),$FI$3:$FI$400,0),1),"")</f>
        <v/>
      </c>
      <c r="FK129" s="48">
        <f ca="1">IF(ABS(SUMIFS(DARE,DEN_G,"="&amp;FJ129,DATA,"&lt;="&amp;FINE_AC,DATA,"&gt;="&amp;INIZIO_A_PC)-SUMIFS(AVERE,DEN_G,"="&amp;FJ129,DATA,"&lt;="&amp;FINE_AC,DATA,"&gt;="&amp;INIZIO_A_PC))&gt;0,MAX($FK$2:FK128)+1,0)</f>
        <v>0</v>
      </c>
      <c r="FL129" s="48" t="str">
        <f ca="1">IF(AND(ROW()-2&lt;&gt;1,ROW()-2&lt;=$FK$1),CONCATENATE(" - ",IFERROR(INDEX($FJ$3:$FK$400,MATCH(ROWS($FL$3:FL129),$FK$3:$FK$400,0),1),"")),IFERROR(INDEX($FJ$3:$FK$400,MATCH(ROWS($FL$3:FL129),$FK$3:$FK$400,0),1),""))</f>
        <v/>
      </c>
      <c r="FM129" s="48">
        <f ca="1">IF(OR(B129="IVA ns/credito",B129="IVA NS/DEBITO",B129="IVA C/ACCONTO",B129="IMPOSTE C/ACCONTO",B129="CREDITI PER RITENUTE SUBITE",B129="CREDITI D'IMPOSTA"),MAX($FM$2:FM128)+1,0)</f>
        <v>0</v>
      </c>
      <c r="FN129" s="48" t="str">
        <f t="shared" ca="1" si="190"/>
        <v/>
      </c>
      <c r="FO129" s="48" t="str">
        <f ca="1">IFERROR(INDEX($FM$3:$FN$400,MATCH(ROWS($FO$3:FO129),$FM$3:$FM$400,0),2),"")</f>
        <v/>
      </c>
      <c r="FP129" s="48">
        <f ca="1">IF(ABS(SUMIFS(DARE,DEN_G,"="&amp;FO129,DATA,"&lt;="&amp;FINE_AC,DATA,"&gt;="&amp;INIZIO_A_PC)-SUMIFS(AVERE,DEN_G,"="&amp;FO129,DATA,"&lt;="&amp;FINE_AC,DATA,"&gt;="&amp;INIZIO_A_PC))&gt;0,MAX($FP$2:FP128)+1,0)</f>
        <v>0</v>
      </c>
      <c r="FQ129" s="48" t="str">
        <f ca="1">IF(AND(ROW()-2&lt;&gt;1,ROW()-2&lt;=$FP$1),CONCATENATE(" - ",IFERROR(INDEX($FO$3:$FP$400,MATCH(ROWS($FQ$3:FQ129),$FP$3:$FP$400,0),1),"")),IFERROR(INDEX($FO$3:$FP$400,MATCH(ROWS($FQ$3:FQ129),$FP$3:$FP$400,0),1),""))</f>
        <v/>
      </c>
    </row>
    <row r="130" spans="1:173" x14ac:dyDescent="0.3">
      <c r="A130" s="48" t="str">
        <f ca="1">IFERROR(IF($A$1=2,INDEX($DH$3:$DN$401,MATCH(ROWS(A$3:A130),$DN$3:$DN$401,0),COLUMN()),IF($A$1=1,INDEX($DQ$3:$DW$401,MATCH(ROWS(A$3:A130),$DW$3:$DW$401,0),COLUMN()),"")),"")</f>
        <v>13.02</v>
      </c>
      <c r="B130" s="48" t="str">
        <f ca="1">IFERROR(IF($A$1=2,INDEX($DH$3:$DN$401,MATCH(ROWS(B$3:B130),$DN$3:$DN$401,0),COLUMN()),IF($A$1=1,INDEX($DQ$3:$DW$400,MATCH(ROWS(B$3:B130),$DW$3:$DW$401,0),COLUMN()),"")),"")</f>
        <v>PRESTITI OBBLIGAZIONARI CONVERTIBILI</v>
      </c>
      <c r="C130" s="48" t="str">
        <f ca="1">IFERROR(IF($A$1=2,INDEX($DH$3:$DN$401,MATCH(ROWS(C$3:C130),$DN$3:$DN$401,0),COLUMN()),IF($A$1=1,INDEX($DQ$3:$DW$401,MATCH(ROWS(C$3:C130),$DW$3:$DW$401,0),COLUMN()),"")),"")</f>
        <v>F</v>
      </c>
      <c r="D130" s="48" t="str">
        <f ca="1">IFERROR(IF($A$1=2,INDEX($DH$3:$DN$401,MATCH(ROWS(D$3:D130),$DN$3:$DN$401,0),COLUMN()),IF($A$1=1,INDEX($DQ$3:$DW$401,MATCH(ROWS(D$3:D130),$DW$3:$DW$401,0),COLUMN()),"")),"")</f>
        <v>A</v>
      </c>
      <c r="E130" s="48" t="str">
        <f ca="1">IFERROR(IF($A$1=2,INDEX($DH$3:$DN$401,MATCH(ROWS(E$3:E130),$DN$3:$DN$401,0),COLUMN()),IF($A$1=1,INDEX($DQ$3:$DW$401,MATCH(ROWS(E$3:E130),$DW$3:$DW$401,0),COLUMN()),"")),"")</f>
        <v>DEBITI</v>
      </c>
      <c r="F130" s="48" t="str">
        <f ca="1">IFERROR(IF($A$1=2,INDEX($DH$3:$DN$401,MATCH(ROWS(F$3:F130),$DN$3:$DN$401,0),COLUMN()),IF($A$1=1,INDEX($DQ$3:$DX$401,MATCH(ROWS(F$3:F130),$DW$3:$DW$401,0),COLUMN()),"")),"")</f>
        <v>SP AVERE</v>
      </c>
      <c r="G130" s="48" t="str">
        <f t="shared" ca="1" si="150"/>
        <v>SP</v>
      </c>
      <c r="H130" s="48" t="str">
        <f ca="1">IFERROR(IF($A$1=2,INDEX($DH$3:$DO$400,MATCH(ROWS(H$3:H130),$DN$3:$DN$400,0),COLUMN()),IF($A$1=1,INDEX($DQ$3:$DX$400,MATCH(ROWS(H$3:H130),$DW$3:$DW$400,0),COLUMN()),"")),"")</f>
        <v>ppd</v>
      </c>
      <c r="I130" s="48" t="str">
        <f t="shared" ca="1" si="151"/>
        <v/>
      </c>
      <c r="J130" s="48" t="str">
        <f t="shared" ca="1" si="152"/>
        <v/>
      </c>
      <c r="K130" s="48">
        <f t="shared" ca="1" si="153"/>
        <v>0</v>
      </c>
      <c r="L130" s="48">
        <f t="shared" ca="1" si="154"/>
        <v>0</v>
      </c>
      <c r="M130" s="48">
        <f ca="1">IFERROR(IF(IF(MID($A130,3,3)=".00",MID(A130,1,2),"")&lt;&gt;"",MAX($M$2:M129)+1,0),"")</f>
        <v>0</v>
      </c>
      <c r="N130" s="48" t="str">
        <f t="shared" ca="1" si="155"/>
        <v/>
      </c>
      <c r="O130" s="48" t="str">
        <f ca="1">IF(IFERROR(INDEX($N$3:$O$300,MATCH(ROWS($O$3:O130),$M$3:$M$300,0),1),"")&lt;&gt;"",CONCATENATE(INDEX($N$3:$O$300,MATCH(ROWS($O$3:O130),$M$3:$M$300,0),1),".00"),"")</f>
        <v/>
      </c>
      <c r="P130" s="48" t="str">
        <f t="shared" ca="1" si="156"/>
        <v/>
      </c>
      <c r="Q130" s="48">
        <f ca="1">IF(M130&gt;=1,0,MAX($Q$2:Q129)+1)</f>
        <v>114</v>
      </c>
      <c r="U130" s="48" t="str">
        <f ca="1">IFERROR(INDEX(PDC,MATCH(ROWS(U$3:U130),$V$3:$V$400,0),2),"")</f>
        <v>CAMBIALI PASSIVE</v>
      </c>
      <c r="V130" s="48">
        <f ca="1">IF(AND($T$1="VISUALIZZA TUTTI I CONTI",AA130&lt;&gt;""),MAX($V$2:V129)+1,IF(AND($U$2=2,AI130=$T$1),MAX($V$2:V129)+1,IF(AND($U$2=1,$T$1=AF130),MAX($V$2:V129)+1,0)))</f>
        <v>128</v>
      </c>
      <c r="Z130" s="246"/>
      <c r="AA130" s="48" t="str">
        <f t="shared" ca="1" si="157"/>
        <v>14.00</v>
      </c>
      <c r="AB130" s="48" t="str">
        <f ca="1">IFERROR(INDEX($A$3:$G$400,MATCH(ROWS(AB$3:AB130),$Q$3:$Q$400,0),1),"")</f>
        <v>14.06</v>
      </c>
      <c r="AC130" s="48" t="str">
        <f ca="1">IFERROR(INDEX($A$3:$G$400,MATCH(ROWS($AC$3:AC130),$Q$3:$Q$400,0),2),"")</f>
        <v>CAMBIALI PASSIVE</v>
      </c>
      <c r="AD130" s="48" t="str">
        <f ca="1">IFERROR(INDEX($A$3:$G$400,MATCH(ROWS(AD$3:AD130),$Q$3:$Q$400,0),3),"")</f>
        <v>F</v>
      </c>
      <c r="AE130" s="48" t="str">
        <f ca="1">IFERROR(INDEX($A$3:$G$400,MATCH(ROWS(AE$3:AE130),$Q$3:$Q$400,0),4),"")</f>
        <v>A</v>
      </c>
      <c r="AF130" s="48" t="str">
        <f ca="1">IFERROR(INDEX($A$3:$G$400,MATCH(ROWS(AF$3:AF130),$Q$3:$Q$400,0),5),"")</f>
        <v>DEBITI</v>
      </c>
      <c r="AG130" s="48" t="str">
        <f ca="1">IFERROR(INDEX($A$3:$G$400,MATCH(ROWS(AG$3:AG130),$Q$3:$Q$400,0),6),"")</f>
        <v>SP AVERE</v>
      </c>
      <c r="AH130" s="48" t="str">
        <f ca="1">IFERROR(INDEX($A$3:$G$400,MATCH(ROWS(AH$3:AH130),$Q$3:$Q$400,0),7),"")</f>
        <v>SP</v>
      </c>
      <c r="AI130" s="48" t="str">
        <f t="shared" ca="1" si="158"/>
        <v>DEBITI COMMERCIALI</v>
      </c>
      <c r="AJ130" s="48" t="str">
        <f ca="1">IFERROR(INDEX($A$3:$H$400,MATCH(ROWS(AJ$3:AJ130),$Q$3:$Q$400,0),8),"")</f>
        <v>ppd</v>
      </c>
      <c r="AK130" s="48">
        <f t="shared" ca="1" si="130"/>
        <v>0</v>
      </c>
      <c r="AL130" s="48">
        <f t="shared" ca="1" si="251"/>
        <v>0</v>
      </c>
      <c r="AM130" s="48">
        <f t="shared" ca="1" si="252"/>
        <v>0</v>
      </c>
      <c r="AN130" s="48">
        <f t="shared" ca="1" si="253"/>
        <v>0</v>
      </c>
      <c r="AO130" s="48">
        <f t="shared" ca="1" si="254"/>
        <v>0</v>
      </c>
      <c r="AP130" s="48">
        <f t="shared" ca="1" si="254"/>
        <v>0</v>
      </c>
      <c r="AQ130" s="48" t="str">
        <f t="shared" ca="1" si="132"/>
        <v>CAMBIALI PASSIVE</v>
      </c>
      <c r="AR130" s="48">
        <f t="shared" ca="1" si="133"/>
        <v>0</v>
      </c>
      <c r="AS130" s="48">
        <f t="shared" ca="1" si="134"/>
        <v>0</v>
      </c>
      <c r="AT130" s="48">
        <f t="shared" ca="1" si="162"/>
        <v>0</v>
      </c>
      <c r="AU130" s="48">
        <f t="shared" ca="1" si="163"/>
        <v>0</v>
      </c>
      <c r="AV130" s="48">
        <f ca="1">IF(OR(AT130&gt;0,AU130&gt;0),MAX($AV$2:AV129)+1,0)</f>
        <v>0</v>
      </c>
      <c r="AZ130" s="241" t="str">
        <f t="shared" si="240"/>
        <v>30 V.I.</v>
      </c>
      <c r="BA130" s="48">
        <f t="shared" ca="1" si="241"/>
        <v>0</v>
      </c>
      <c r="BB130" s="48">
        <f t="shared" ca="1" si="247"/>
        <v>0</v>
      </c>
      <c r="BC130" s="48" t="str">
        <f t="shared" ca="1" si="248"/>
        <v/>
      </c>
      <c r="BD130" s="48">
        <f t="shared" ca="1" si="249"/>
        <v>0</v>
      </c>
      <c r="BE130" s="48">
        <f t="shared" ca="1" si="250"/>
        <v>0</v>
      </c>
      <c r="BF130" s="48">
        <v>28</v>
      </c>
      <c r="BG130" s="48">
        <f ca="1">IF(IF(AND(OR(INDEX(PDC,MATCH($AC130,DEN_PDC,0),6)="SP DARE",INDEX(PDC,MATCH($AC130,DEN_PDC,0),6)="SP DARE/AVERE"),SUMIFS(DARE,DEN_G,$AC130)&gt;=SUMIFS(AVERE,DEN_G,$AC130)),SUMIFS(DARE,DEN_G,$AC130)-SUMIFS(AVERE,DEN_G,$AC130),0)&gt;0,MAX($BG$2:BG129)+1,0)</f>
        <v>0</v>
      </c>
      <c r="BH130" s="48">
        <f ca="1">IF(IF(AND(OR(INDEX(PDC,MATCH($AC130,DEN_PDC,0),6)="SP AVERE",INDEX(PDC,MATCH($AC130,DEN_PDC,0),6)="SP DARE/AVERE"),SUMIFS(AVERE,DEN_G,$AC130)&gt;=SUMIFS(DARE,DEN_G,$AC130)),SUMIFS(AVERE,DEN_G,$AC130)-SUMIFS(DARE,DEN_G,$AC130),0)&gt;0,MAX(BH$2:BH129)+1,0)</f>
        <v>0</v>
      </c>
      <c r="BI130" s="48">
        <f ca="1">IF(IF(AND(OR(INDEX(PDC,MATCH($AC130,DEN_PDC,0),6)="SE DARE",INDEX(PDC,MATCH($AC130,DEN_PDC,0),6)="SE DARE/AVERE"),SUMIFS(DARE,DEN_G,$AC130)&gt;=SUMIFS(AVERE,DEN_G,$AC130)),SUMIFS(DARE,DEN_G,$AC130)-SUMIFS(AVERE,DEN_G,$AC130),0)&gt;0,MAX(BI$2:BI129)+1,0)</f>
        <v>0</v>
      </c>
      <c r="BJ130" s="48">
        <f ca="1">IF(IF(AND(OR(INDEX(PDC,MATCH($AC130,DEN_PDC,0),6)="SE AVERE",INDEX(PDC,MATCH($AC130,DEN_PDC,0),6)="SE DARE/AVERE"),SUMIFS(AVERE,DEN_G,$AC130)&gt;=SUMIFS(DARE,DEN_G,$AC130)),SUMIFS(AVERE,DEN_G,$AC130)-SUMIFS(DARE,DEN_G,$AC130),0)&gt;0,MAX(BJ$2:BJ129)+1,0)</f>
        <v>0</v>
      </c>
      <c r="BK130" s="48" t="str">
        <f ca="1">IF(AND(AND($DY$2=0,$DY$1=0),$I$1=2,ROW()&gt;$BG$1+2,ROW()&lt;=$BG$1+4),"………………..",IF(AND(OR($DY$2&gt;0,$DY$1&gt;0),$I$1=2,ROW()&gt;$BG$1+2,ROW()&lt;=$BG$1+4),"………………..",IFERROR(INDEX($AC$3:$AC$398,MATCH(ROWS(BK$3:BK130),BG$3:BG$398,0),1),"")))</f>
        <v/>
      </c>
      <c r="BL130" s="48">
        <f t="shared" ca="1" si="136"/>
        <v>0</v>
      </c>
      <c r="BM130" s="48" t="str">
        <f ca="1">IF(AND(OR($DY$2=0,$DY$1=0),$I$1=2,ROW()&gt;$BH$1+2,ROW()&lt;=$BH$1+4),"………………..",IF(AND(OR($DY$2&gt;0,$DY$1&gt;0),$I$1=2,ROW()&gt;$BH$1+2,ROW()&lt;=$BH$1+4),"………………..",IFERROR(INDEX($AC$3:$AC$400,MATCH(ROWS(BM$3:BM130),BH$3:BH$400,0),1),"")))</f>
        <v/>
      </c>
      <c r="BN130" s="48">
        <f t="shared" ca="1" si="137"/>
        <v>0</v>
      </c>
      <c r="BO130" s="48" t="str">
        <f ca="1">IF(AND(OR($DY$2=0,$DY$1=0),$I$1=2,ROW()&gt;$BI$1+2,ROW()&lt;=$BI$1+4),"………………..",IF(AND(OR($DY$2&gt;0,$DY$1&gt;0),$I$1=2,ROW()&gt;$BI$1+2,ROW()&lt;=$BI$1+4),"………………..",IFERROR(INDEX($AC$3:$AC$400,MATCH(ROWS(BO$3:BO130),BI$3:BI$400,0),1),"")))</f>
        <v/>
      </c>
      <c r="BP130" s="48">
        <f t="shared" ca="1" si="138"/>
        <v>0</v>
      </c>
      <c r="BQ130" s="48" t="str">
        <f ca="1">IF(AND(OR($DY$2=0,$DY$1=0),$I$1=2,ROW()&gt;$BJ$1+2,ROW()&lt;=$BJ$1+4),"………………..",IF(AND(OR($DY$2&gt;0,$DY$1&gt;0),$I$1=2,ROW()&gt;$BJ$1+2,ROW()&lt;=$BJ$1+4),"………………..",IFERROR(INDEX($AC$3:$AC$400,MATCH(ROWS(BQ$3:BQ130),BJ$3:BJ$400,0),1),"")))</f>
        <v/>
      </c>
      <c r="BR130" s="48">
        <f t="shared" ca="1" si="139"/>
        <v>0</v>
      </c>
      <c r="BS130" s="48">
        <f ca="1">IF(IF(AND(OR(INDEX(PDC,MATCH($AC130,DEN_PDC,0),4)="D",INDEX(PDC,MATCH($AC130,DEN_PDC,0),4)="D/A"),SUMIFS(DARE,DEN_G,$AC130)&gt;=SUMIFS(AVERE,DEN_G,$AC130)),SUMIFS(DARE,DEN_G,$AC130),IF(AND(OR(INDEX(PDC,MATCH($AC130,DEN_PDC,0),4)="A",INDEX(PDC,MATCH($AC130,DEN_PDC,0),4)="D/A"),SUMIFS(AVERE,DEN_G,$AC130)&gt;=SUMIFS(DARE,DEN_G,$AC130)),SUMIFS(AVERE,DEN_G,$AC130),))&gt;0,MAX($BS$2:BS129)+1,0)</f>
        <v>0</v>
      </c>
      <c r="BT130" s="48" t="str">
        <f ca="1">IF($CO$1=0,"",IF(AND($I$1=2,ROW()&gt;$BR$1,ROW()&lt;=$BS$1)," …………….",IF(AND($E$1=1,$BX$1=1,$I$1=2,ROW()=$BQ$1),"TOTALI",IFERROR(INDEX(PDC,MATCH(ROWS(BT$3:BT130),BS$3:BS527,0),2),""))))</f>
        <v/>
      </c>
      <c r="BU130" s="48">
        <f t="shared" ca="1" si="140"/>
        <v>0</v>
      </c>
      <c r="BV130" s="48">
        <f t="shared" ca="1" si="141"/>
        <v>0</v>
      </c>
      <c r="BW130" s="48">
        <f t="shared" ca="1" si="142"/>
        <v>0</v>
      </c>
      <c r="BX130" s="48">
        <f t="shared" ca="1" si="143"/>
        <v>0</v>
      </c>
      <c r="BY130" s="48">
        <f ca="1">IF(OR(BW130&gt;0,BX130&gt;0),MAX($BY$2:BY129)+1,0)</f>
        <v>0</v>
      </c>
      <c r="BZ130" s="48" t="str">
        <f ca="1">IFERROR(INDEX($BT$3:$BY$400,MATCH(ROWS(BZ$3:BZ130),$BY$3:$BY$400,0),1),"")</f>
        <v/>
      </c>
      <c r="CA130" s="48" t="str">
        <f ca="1">IFERROR(INDEX($BT$3:$BY$400,MATCH(ROWS(CA$3:CA130),$BY$3:$BY$400,0),4),"")</f>
        <v/>
      </c>
      <c r="CB130" s="48" t="str">
        <f ca="1">IFERROR(INDEX($BT$3:$BY$400,MATCH(ROWS(CB$3:CB130),$BY$3:$BY$400,0),5),"")</f>
        <v/>
      </c>
      <c r="CC130" s="48" t="str">
        <f t="shared" ca="1" si="144"/>
        <v/>
      </c>
      <c r="CD130" s="48">
        <f ca="1">IF(AND($BF$9=1,CE130&lt;&gt;0),MAX($CD$104:CD129)+1,0)</f>
        <v>0</v>
      </c>
      <c r="CE130" s="48">
        <f ca="1">IF(ROUND(SUMIFS(COPIA!$CB$3:$CB$400,COPIA!$CC$3:$CC$400,CF130)-SUMIFS(COPIA!$CA$3:$CA$400,COPIA!$CC$3:$CC$400,CF130),0)&lt;0,0,ROUND(SUMIFS(COPIA!$CB$3:$CB$400,COPIA!$CC$3:$CC$400,CF130)-SUMIFS(COPIA!$CA$3:$CA$400,COPIA!$CC$3:$CC$400,CF130),0))</f>
        <v>0</v>
      </c>
      <c r="CF130" s="48" t="s">
        <v>659</v>
      </c>
      <c r="CG130" s="242" t="s">
        <v>845</v>
      </c>
      <c r="CH130" s="48">
        <f t="shared" ca="1" si="259"/>
        <v>0</v>
      </c>
      <c r="CJ130" s="242"/>
      <c r="CM130" s="242" t="str">
        <f t="shared" ca="1" si="166"/>
        <v/>
      </c>
      <c r="CN130" s="243">
        <f t="shared" ca="1" si="167"/>
        <v>0</v>
      </c>
      <c r="CO130" s="48" t="str">
        <f t="shared" ca="1" si="168"/>
        <v/>
      </c>
      <c r="CQ130" s="242"/>
      <c r="CR130" s="242"/>
      <c r="CU130" s="48">
        <f ca="1">IF(SUMIFS(AVERE,DEN_G,AC130,AVERE,"&gt;"&amp;0)+SUMIFS(DARE,DEN_G,AC130,DARE,"&gt;"&amp;0)&gt;0,MAX($CU$2:CU129)+1,0)</f>
        <v>0</v>
      </c>
      <c r="CV130" s="48" t="str">
        <f ca="1">IF(IFERROR(INDEX(PDC,MATCH(ROWS($CV$3:CV130),$CU$3:$CU$400,0),2),"")="CONTO DI RISULTATO ECONOMICO","",IFERROR(INDEX(PDC,MATCH(ROWS($CV$3:CV130),$CU$3:$CU$400,0),2),""))</f>
        <v/>
      </c>
      <c r="CW130" s="48">
        <f ca="1">IFERROR(IF(CV130&lt;&gt;"",MAX($CW$2:CW129)+1,0),0)</f>
        <v>0</v>
      </c>
      <c r="CX130" s="48">
        <f t="shared" ca="1" si="270"/>
        <v>10</v>
      </c>
      <c r="CY130" s="48" t="str">
        <f t="shared" ca="1" si="269"/>
        <v>MASTRO</v>
      </c>
      <c r="CZ130" s="48" t="e">
        <f t="shared" ca="1" si="272"/>
        <v>#N/A</v>
      </c>
      <c r="DA130" s="48" t="str">
        <f t="shared" ca="1" si="276"/>
        <v/>
      </c>
      <c r="DB130" s="48" t="str">
        <f t="shared" ca="1" si="212"/>
        <v/>
      </c>
      <c r="DC130" s="48" t="str">
        <f t="shared" ca="1" si="273"/>
        <v/>
      </c>
      <c r="DD130" s="48" t="str">
        <f t="shared" ca="1" si="274"/>
        <v/>
      </c>
      <c r="DE130" s="48" t="str">
        <f t="shared" ca="1" si="275"/>
        <v/>
      </c>
      <c r="DF130" s="48">
        <f ca="1">IF(AND(CX130=$DF$1,CX130&lt;&gt;""),0,IF(AND(DB130&lt;&gt;"",OR(DB129&lt;&gt;"",DB131&lt;&gt;"")),MAX($DF$2:DF129)+1,0))</f>
        <v>0</v>
      </c>
      <c r="DH130" s="244" t="s">
        <v>476</v>
      </c>
      <c r="DI130" s="48" t="s">
        <v>1140</v>
      </c>
      <c r="DJ130" s="48" t="s">
        <v>311</v>
      </c>
      <c r="DK130" s="48" t="s">
        <v>298</v>
      </c>
      <c r="DL130" s="48" t="s">
        <v>4</v>
      </c>
      <c r="DM130" s="48" t="s">
        <v>299</v>
      </c>
      <c r="DN130" s="48">
        <f ca="1">IF(DI130&lt;&gt;"",MAX($DN$2:DN129)+1,0)</f>
        <v>110</v>
      </c>
      <c r="DO130" s="48" t="s">
        <v>741</v>
      </c>
      <c r="DP130" s="48">
        <f ca="1">DP5</f>
        <v>0</v>
      </c>
      <c r="DQ130" s="227" t="s">
        <v>391</v>
      </c>
      <c r="DR130" s="48" t="str">
        <f ca="1">IFERROR(IF(DP130&lt;&gt;0,CONCATENATE("VERSAMENTI SOCIO ",DP130," C/CAPITALE"),""),"")</f>
        <v/>
      </c>
      <c r="DS130" s="48" t="s">
        <v>311</v>
      </c>
      <c r="DT130" s="48" t="s">
        <v>298</v>
      </c>
      <c r="DU130" s="48" t="s">
        <v>4</v>
      </c>
      <c r="DV130" s="48" t="s">
        <v>299</v>
      </c>
      <c r="DW130" s="48">
        <f ca="1">IF(DR130&lt;&gt;"",MAX($DW$2:DW129)+1,0)</f>
        <v>0</v>
      </c>
      <c r="DX130" s="48" t="s">
        <v>743</v>
      </c>
      <c r="DY130" s="48" t="str">
        <f t="shared" ca="1" si="147"/>
        <v/>
      </c>
      <c r="DZ130" s="48" t="str">
        <f t="shared" ca="1" si="170"/>
        <v/>
      </c>
      <c r="EA130" s="48" t="str">
        <f t="shared" ca="1" si="171"/>
        <v/>
      </c>
      <c r="EB130" s="48">
        <f t="shared" ca="1" si="172"/>
        <v>0</v>
      </c>
      <c r="EC130" s="48">
        <f t="shared" ca="1" si="173"/>
        <v>0</v>
      </c>
      <c r="ED130" s="48" t="str">
        <f t="shared" ca="1" si="174"/>
        <v/>
      </c>
      <c r="EE130" s="48">
        <f t="shared" ca="1" si="175"/>
        <v>0</v>
      </c>
      <c r="EF130" s="48" t="str">
        <f t="shared" ca="1" si="176"/>
        <v/>
      </c>
      <c r="EG130" s="48">
        <f t="shared" ca="1" si="177"/>
        <v>0</v>
      </c>
      <c r="EH130" s="48" t="str">
        <f t="shared" ca="1" si="178"/>
        <v/>
      </c>
      <c r="EI130" s="48">
        <f t="shared" ca="1" si="179"/>
        <v>0</v>
      </c>
      <c r="EJ130" s="48" t="str">
        <f t="shared" ca="1" si="180"/>
        <v/>
      </c>
      <c r="EK130" s="48">
        <f t="shared" ca="1" si="181"/>
        <v>0</v>
      </c>
      <c r="EL130" s="48">
        <f t="shared" ca="1" si="148"/>
        <v>0</v>
      </c>
      <c r="EM130" s="48">
        <f ca="1">IF(EL130&gt;=0,0,MAX($EM$2:EM129)+1)</f>
        <v>0</v>
      </c>
      <c r="EN130" s="48" t="str">
        <f t="shared" ca="1" si="182"/>
        <v/>
      </c>
      <c r="EO130" s="48" t="str">
        <f ca="1">IFERROR(INDEX($EM$3:$EN$400,MATCH(ROWS($EO$3:EO130),$EM$3:$EM$400,0),2),"")</f>
        <v/>
      </c>
      <c r="EP130" s="48">
        <f>ROW()</f>
        <v>130</v>
      </c>
      <c r="EQ130" s="48">
        <f t="shared" ca="1" si="149"/>
        <v>0</v>
      </c>
      <c r="ER130" s="48">
        <f ca="1">IF(ISNA(EQ130)=TRUE,MAX($ER$2:ER129)+1,0)</f>
        <v>0</v>
      </c>
      <c r="ES130" s="48" t="str">
        <f t="shared" ca="1" si="183"/>
        <v/>
      </c>
      <c r="ET130" s="48" t="str">
        <f ca="1">IFERROR(INDEX($ER$3:$ES$400,MATCH(ROWS($ET$3:ET130),$ER$3:$ER$400,0),2),"")</f>
        <v/>
      </c>
      <c r="EV130" s="48">
        <f ca="1">IFERROR(INDEX(LIBRO_GIORNALE!$O$11:$P$408,MATCH(ROWS($EV$2:EV129),LIBRO_GIORNALE!$P$11:$P$408,0),1),0)</f>
        <v>0</v>
      </c>
      <c r="EW130" s="48" t="str">
        <f t="shared" ca="1" si="184"/>
        <v>0</v>
      </c>
      <c r="EX130" s="48">
        <f t="shared" ca="1" si="185"/>
        <v>0</v>
      </c>
      <c r="EY130" s="48">
        <f ca="1">IF(EX130&gt;0,MAX($EY$2:EY129)+1,0)</f>
        <v>0</v>
      </c>
      <c r="EZ130" s="48">
        <f ca="1">IFERROR(INDEX($EX$3:$EX$400,MATCH(ROWS($EZ$3:EZ130),$EY$3:$EY$400,0),1),0)</f>
        <v>0</v>
      </c>
      <c r="FA130" s="48">
        <f ca="1">IF(EZ130&gt;0,0,MAX($FA$2:FA129)+1)</f>
        <v>128</v>
      </c>
      <c r="FB130" s="48">
        <f t="shared" ca="1" si="186"/>
        <v>0</v>
      </c>
      <c r="FC130" s="48">
        <f t="shared" ca="1" si="187"/>
        <v>128</v>
      </c>
      <c r="FD130" s="48">
        <f t="shared" ca="1" si="188"/>
        <v>128</v>
      </c>
      <c r="FE130" s="48">
        <f ca="1">IF(FD130=0,0,MAX($FE$2:FE129)+1)</f>
        <v>128</v>
      </c>
      <c r="FF130" s="48">
        <f ca="1">IFERROR(INDEX($FD$3:$FE$400,MATCH(ROWS($FF$3:FF130),$FE$3:$FE$400,0),1),"")</f>
        <v>128</v>
      </c>
      <c r="FG130" s="48">
        <f t="shared" ca="1" si="255"/>
        <v>0</v>
      </c>
      <c r="FH130" s="48">
        <f t="shared" ca="1" si="189"/>
        <v>0</v>
      </c>
      <c r="FI130" s="48">
        <f ca="1">IF(FH130&lt;&gt;0,MAX($FI$2:FI129)+1,0)</f>
        <v>0</v>
      </c>
      <c r="FJ130" s="48" t="str">
        <f ca="1">IFERROR(INDEX($FH$3:$FI$400,MATCH(ROWS($FJ$3:FJ130),$FI$3:$FI$400,0),1),"")</f>
        <v/>
      </c>
      <c r="FK130" s="48">
        <f ca="1">IF(ABS(SUMIFS(DARE,DEN_G,"="&amp;FJ130,DATA,"&lt;="&amp;FINE_AC,DATA,"&gt;="&amp;INIZIO_A_PC)-SUMIFS(AVERE,DEN_G,"="&amp;FJ130,DATA,"&lt;="&amp;FINE_AC,DATA,"&gt;="&amp;INIZIO_A_PC))&gt;0,MAX($FK$2:FK129)+1,0)</f>
        <v>0</v>
      </c>
      <c r="FL130" s="48" t="str">
        <f ca="1">IF(AND(ROW()-2&lt;&gt;1,ROW()-2&lt;=$FK$1),CONCATENATE(" - ",IFERROR(INDEX($FJ$3:$FK$400,MATCH(ROWS($FL$3:FL130),$FK$3:$FK$400,0),1),"")),IFERROR(INDEX($FJ$3:$FK$400,MATCH(ROWS($FL$3:FL130),$FK$3:$FK$400,0),1),""))</f>
        <v/>
      </c>
      <c r="FM130" s="48">
        <f ca="1">IF(OR(B130="IVA ns/credito",B130="IVA NS/DEBITO",B130="IVA C/ACCONTO",B130="IMPOSTE C/ACCONTO",B130="CREDITI PER RITENUTE SUBITE",B130="CREDITI D'IMPOSTA"),MAX($FM$2:FM129)+1,0)</f>
        <v>0</v>
      </c>
      <c r="FN130" s="48" t="str">
        <f t="shared" ca="1" si="190"/>
        <v/>
      </c>
      <c r="FO130" s="48" t="str">
        <f ca="1">IFERROR(INDEX($FM$3:$FN$400,MATCH(ROWS($FO$3:FO130),$FM$3:$FM$400,0),2),"")</f>
        <v/>
      </c>
      <c r="FP130" s="48">
        <f ca="1">IF(ABS(SUMIFS(DARE,DEN_G,"="&amp;FO130,DATA,"&lt;="&amp;FINE_AC,DATA,"&gt;="&amp;INIZIO_A_PC)-SUMIFS(AVERE,DEN_G,"="&amp;FO130,DATA,"&lt;="&amp;FINE_AC,DATA,"&gt;="&amp;INIZIO_A_PC))&gt;0,MAX($FP$2:FP129)+1,0)</f>
        <v>0</v>
      </c>
      <c r="FQ130" s="48" t="str">
        <f ca="1">IF(AND(ROW()-2&lt;&gt;1,ROW()-2&lt;=$FP$1),CONCATENATE(" - ",IFERROR(INDEX($FO$3:$FP$400,MATCH(ROWS($FQ$3:FQ130),$FP$3:$FP$400,0),1),"")),IFERROR(INDEX($FO$3:$FP$400,MATCH(ROWS($FQ$3:FQ130),$FP$3:$FP$400,0),1),""))</f>
        <v/>
      </c>
    </row>
    <row r="131" spans="1:173" x14ac:dyDescent="0.3">
      <c r="A131" s="48" t="str">
        <f ca="1">IFERROR(IF($A$1=2,INDEX($DH$3:$DN$401,MATCH(ROWS(A$3:A131),$DN$3:$DN$401,0),COLUMN()),IF($A$1=1,INDEX($DQ$3:$DW$401,MATCH(ROWS(A$3:A131),$DW$3:$DW$401,0),COLUMN()),"")),"")</f>
        <v>13.03</v>
      </c>
      <c r="B131" s="48" t="str">
        <f ca="1">IFERROR(IF($A$1=2,INDEX($DH$3:$DN$401,MATCH(ROWS(B$3:B131),$DN$3:$DN$401,0),COLUMN()),IF($A$1=1,INDEX($DQ$3:$DW$400,MATCH(ROWS(B$3:B131),$DW$3:$DW$401,0),COLUMN()),"")),"")</f>
        <v>MUTUI PASSIVI</v>
      </c>
      <c r="C131" s="48" t="str">
        <f ca="1">IFERROR(IF($A$1=2,INDEX($DH$3:$DN$401,MATCH(ROWS(C$3:C131),$DN$3:$DN$401,0),COLUMN()),IF($A$1=1,INDEX($DQ$3:$DW$401,MATCH(ROWS(C$3:C131),$DW$3:$DW$401,0),COLUMN()),"")),"")</f>
        <v>F</v>
      </c>
      <c r="D131" s="48" t="str">
        <f ca="1">IFERROR(IF($A$1=2,INDEX($DH$3:$DN$401,MATCH(ROWS(D$3:D131),$DN$3:$DN$401,0),COLUMN()),IF($A$1=1,INDEX($DQ$3:$DW$401,MATCH(ROWS(D$3:D131),$DW$3:$DW$401,0),COLUMN()),"")),"")</f>
        <v>A</v>
      </c>
      <c r="E131" s="48" t="str">
        <f ca="1">IFERROR(IF($A$1=2,INDEX($DH$3:$DN$401,MATCH(ROWS(E$3:E131),$DN$3:$DN$401,0),COLUMN()),IF($A$1=1,INDEX($DQ$3:$DW$401,MATCH(ROWS(E$3:E131),$DW$3:$DW$401,0),COLUMN()),"")),"")</f>
        <v>DEBITI</v>
      </c>
      <c r="F131" s="48" t="str">
        <f ca="1">IFERROR(IF($A$1=2,INDEX($DH$3:$DN$401,MATCH(ROWS(F$3:F131),$DN$3:$DN$401,0),COLUMN()),IF($A$1=1,INDEX($DQ$3:$DX$401,MATCH(ROWS(F$3:F131),$DW$3:$DW$401,0),COLUMN()),"")),"")</f>
        <v>SP AVERE</v>
      </c>
      <c r="G131" s="48" t="str">
        <f t="shared" ca="1" si="150"/>
        <v>SP</v>
      </c>
      <c r="H131" s="48" t="str">
        <f ca="1">IFERROR(IF($A$1=2,INDEX($DH$3:$DO$400,MATCH(ROWS(H$3:H131),$DN$3:$DN$400,0),COLUMN()),IF($A$1=1,INDEX($DQ$3:$DX$400,MATCH(ROWS(H$3:H131),$DW$3:$DW$400,0),COLUMN()),"")),"")</f>
        <v>ppd</v>
      </c>
      <c r="I131" s="48" t="str">
        <f t="shared" ca="1" si="151"/>
        <v/>
      </c>
      <c r="J131" s="48" t="str">
        <f t="shared" ca="1" si="152"/>
        <v/>
      </c>
      <c r="K131" s="48">
        <f t="shared" ca="1" si="153"/>
        <v>0</v>
      </c>
      <c r="L131" s="48">
        <f t="shared" ca="1" si="154"/>
        <v>0</v>
      </c>
      <c r="M131" s="48">
        <f ca="1">IFERROR(IF(IF(MID($A131,3,3)=".00",MID(A131,1,2),"")&lt;&gt;"",MAX($M$2:M130)+1,0),"")</f>
        <v>0</v>
      </c>
      <c r="N131" s="48" t="str">
        <f t="shared" ca="1" si="155"/>
        <v/>
      </c>
      <c r="O131" s="48" t="str">
        <f ca="1">IF(IFERROR(INDEX($N$3:$O$300,MATCH(ROWS($O$3:O131),$M$3:$M$300,0),1),"")&lt;&gt;"",CONCATENATE(INDEX($N$3:$O$300,MATCH(ROWS($O$3:O131),$M$3:$M$300,0),1),".00"),"")</f>
        <v/>
      </c>
      <c r="P131" s="48" t="str">
        <f t="shared" ca="1" si="156"/>
        <v/>
      </c>
      <c r="Q131" s="48">
        <f ca="1">IF(M131&gt;=1,0,MAX($Q$2:Q130)+1)</f>
        <v>115</v>
      </c>
      <c r="U131" s="48" t="str">
        <f ca="1">IFERROR(INDEX(PDC,MATCH(ROWS(U$3:U131),$V$3:$V$400,0),2),"")</f>
        <v>DEBITI DA LIQUIDARE</v>
      </c>
      <c r="V131" s="48">
        <f ca="1">IF(AND($T$1="VISUALIZZA TUTTI I CONTI",AA131&lt;&gt;""),MAX($V$2:V130)+1,IF(AND($U$2=2,AI131=$T$1),MAX($V$2:V130)+1,IF(AND($U$2=1,$T$1=AF131),MAX($V$2:V130)+1,0)))</f>
        <v>129</v>
      </c>
      <c r="Z131" s="246"/>
      <c r="AA131" s="48" t="str">
        <f t="shared" ca="1" si="157"/>
        <v>14.00</v>
      </c>
      <c r="AB131" s="48" t="str">
        <f ca="1">IFERROR(INDEX($A$3:$G$400,MATCH(ROWS(AB$3:AB131),$Q$3:$Q$400,0),1),"")</f>
        <v>14.09</v>
      </c>
      <c r="AC131" s="48" t="str">
        <f ca="1">IFERROR(INDEX($A$3:$G$400,MATCH(ROWS($AC$3:AC131),$Q$3:$Q$400,0),2),"")</f>
        <v>DEBITI DA LIQUIDARE</v>
      </c>
      <c r="AD131" s="48" t="str">
        <f ca="1">IFERROR(INDEX($A$3:$G$400,MATCH(ROWS(AD$3:AD131),$Q$3:$Q$400,0),3),"")</f>
        <v>F</v>
      </c>
      <c r="AE131" s="48" t="str">
        <f ca="1">IFERROR(INDEX($A$3:$G$400,MATCH(ROWS(AE$3:AE131),$Q$3:$Q$400,0),4),"")</f>
        <v>A</v>
      </c>
      <c r="AF131" s="48" t="str">
        <f ca="1">IFERROR(INDEX($A$3:$G$400,MATCH(ROWS(AF$3:AF131),$Q$3:$Q$400,0),5),"")</f>
        <v>DEBITI</v>
      </c>
      <c r="AG131" s="48" t="str">
        <f ca="1">IFERROR(INDEX($A$3:$G$400,MATCH(ROWS(AG$3:AG131),$Q$3:$Q$400,0),6),"")</f>
        <v>SP AVERE</v>
      </c>
      <c r="AH131" s="48" t="str">
        <f ca="1">IFERROR(INDEX($A$3:$G$400,MATCH(ROWS(AH$3:AH131),$Q$3:$Q$400,0),7),"")</f>
        <v>SP</v>
      </c>
      <c r="AI131" s="48" t="str">
        <f t="shared" ca="1" si="158"/>
        <v>DEBITI COMMERCIALI</v>
      </c>
      <c r="AJ131" s="48" t="str">
        <f ca="1">IFERROR(INDEX($A$3:$H$400,MATCH(ROWS(AJ$3:AJ131),$Q$3:$Q$400,0),8),"")</f>
        <v>ppd</v>
      </c>
      <c r="AK131" s="48">
        <f t="shared" ref="AK131:AK194" ca="1" si="277">IFERROR(INDEX(PDC,MATCH(AM131,DEN_PDC,0),6),0)</f>
        <v>0</v>
      </c>
      <c r="AL131" s="48">
        <f t="shared" ca="1" si="251"/>
        <v>0</v>
      </c>
      <c r="AM131" s="48">
        <f t="shared" ca="1" si="252"/>
        <v>0</v>
      </c>
      <c r="AN131" s="48">
        <f t="shared" ca="1" si="253"/>
        <v>0</v>
      </c>
      <c r="AO131" s="48">
        <f t="shared" ca="1" si="254"/>
        <v>0</v>
      </c>
      <c r="AP131" s="48">
        <f t="shared" ca="1" si="254"/>
        <v>0</v>
      </c>
      <c r="AQ131" s="48" t="str">
        <f t="shared" ref="AQ131:AQ194" ca="1" si="278">IF(INDEX(PDC,MATCH(AC131,DEN_PDC,0),7)="SP",AC131,"")</f>
        <v>DEBITI DA LIQUIDARE</v>
      </c>
      <c r="AR131" s="48">
        <f t="shared" ref="AR131:AR194" ca="1" si="279">IFERROR(IF(AND(INDEX(PDC,MATCH($AQ131,DEN_PDC,0),4)="D",SUMIFS(dare_grezzo,den_grezzo,$AQ131,data_grezzo,"&lt;"&amp;INIZIO_AC,data_grezzo,"&gt;="&amp;INIZIO_A_PC)&gt;=SUMIFS(avere_grezzo,den_grezzo,$AQ131,data_grezzo,"&lt;"&amp;INIZIO_AC,data_grezzo,"&gt;="&amp;INIZIO_A_PC)),SUMIFS(dare_grezzo,den_grezzo,$AQ131,data_grezzo,"&lt;"&amp;INIZIO_AC,data_grezzo,"&gt;="&amp;INIZIO_A_PC),IF(AND(INDEX(PDC,MATCH($AQ131,DEN_PDC,0),4)="A",SUMIFS(avere_grezzo,den_grezzo,$AQ131,data_grezzo,"&lt;"&amp;INIZIO_AC,data_grezzo,"&gt;="&amp;INIZIO_A_PC)&gt;=SUMIFS(dare_grezzo,den_grezzo,$AQ131,data_grezzo,"&lt;"&amp;INIZIO_AC,data_grezzo,"&gt;="&amp;INIZIO_A_PC)),SUMIFS(dare_grezzo,den_grezzo,$AQ131,data_grezzo,"&lt;"&amp;INIZIO_AC,data_grezzo,"&gt;="&amp;INIZIO_A_PC),IF(INDEX(PDC,MATCH($AQ131,DEN_PDC,0),4)="D/A",SUMIFS(dare_grezzo,den_grezzo,$AQ131,data_grezzo,"&lt;"&amp;INIZIO_AC,data_grezzo,"&gt;="&amp;INIZIO_A_PC),0))),0)</f>
        <v>0</v>
      </c>
      <c r="AS131" s="48">
        <f t="shared" ref="AS131:AS194" ca="1" si="280">IFERROR(IF(AND(INDEX(PDC,MATCH($AQ131,DEN_PDC,0),4)="D",SUMIFS(dare_grezzo,den_grezzo,$AQ131,data_grezzo,"&lt;"&amp;INIZIO_AC,data_grezzo,"&gt;="&amp;INIZIO_A_PC)&gt;=SUMIFS(avere_grezzo,den_grezzo,$AQ131,data_grezzo,"&lt;"&amp;INIZIO_AC,data_grezzo,"&gt;="&amp;INIZIO_A_PC)),SUMIFS(avere_grezzo,den_grezzo,$AQ131,data_grezzo,"&lt;"&amp;INIZIO_AC,data_grezzo,"&gt;="&amp;INIZIO_A_PC),IF(AND(INDEX(PDC,MATCH($AQ131,DEN_PDC,0),4)="A",SUMIFS(avere_grezzo,den_grezzo,$AQ131,data_grezzo,"&lt;"&amp;INIZIO_AC,data_grezzo,"&gt;="&amp;INIZIO_A_PC)&gt;=SUMIFS(dare_grezzo,den_grezzo,$AQ131,data_grezzo,"&lt;"&amp;INIZIO_AC,data_grezzo,"&gt;="&amp;INIZIO_A_PC)),SUMIFS(avere_grezzo,den_grezzo,$AQ131,data_grezzo,"&lt;"&amp;INIZIO_AC,data_grezzo,"&gt;="&amp;INIZIO_A_PC),IF(INDEX(PDC,MATCH($AQ131,DEN_PDC,0),4)="D/A",SUMIFS(avere_grezzo,den_grezzo,$AQ131,data_grezzo,"&lt;"&amp;INIZIO_AC,data_grezzo,"&gt;="&amp;INIZIO_A_PC),0))),0)</f>
        <v>0</v>
      </c>
      <c r="AT131" s="48">
        <f t="shared" ca="1" si="162"/>
        <v>0</v>
      </c>
      <c r="AU131" s="48">
        <f t="shared" ca="1" si="163"/>
        <v>0</v>
      </c>
      <c r="AV131" s="48">
        <f ca="1">IF(OR(AT131&gt;0,AU131&gt;0),MAX($AV$2:AV130)+1,0)</f>
        <v>0</v>
      </c>
      <c r="AZ131" s="241" t="str">
        <f t="shared" si="240"/>
        <v>31 V.I.</v>
      </c>
      <c r="BA131" s="48">
        <f t="shared" ca="1" si="241"/>
        <v>0</v>
      </c>
      <c r="BB131" s="48">
        <f t="shared" ca="1" si="247"/>
        <v>0</v>
      </c>
      <c r="BC131" s="48" t="str">
        <f t="shared" ca="1" si="248"/>
        <v/>
      </c>
      <c r="BD131" s="48">
        <f t="shared" ca="1" si="249"/>
        <v>0</v>
      </c>
      <c r="BE131" s="48">
        <f t="shared" ca="1" si="250"/>
        <v>0</v>
      </c>
      <c r="BF131" s="48">
        <v>29</v>
      </c>
      <c r="BG131" s="48">
        <f ca="1">IF(IF(AND(OR(INDEX(PDC,MATCH($AC131,DEN_PDC,0),6)="SP DARE",INDEX(PDC,MATCH($AC131,DEN_PDC,0),6)="SP DARE/AVERE"),SUMIFS(DARE,DEN_G,$AC131)&gt;=SUMIFS(AVERE,DEN_G,$AC131)),SUMIFS(DARE,DEN_G,$AC131)-SUMIFS(AVERE,DEN_G,$AC131),0)&gt;0,MAX($BG$2:BG130)+1,0)</f>
        <v>0</v>
      </c>
      <c r="BH131" s="48">
        <f ca="1">IF(IF(AND(OR(INDEX(PDC,MATCH($AC131,DEN_PDC,0),6)="SP AVERE",INDEX(PDC,MATCH($AC131,DEN_PDC,0),6)="SP DARE/AVERE"),SUMIFS(AVERE,DEN_G,$AC131)&gt;=SUMIFS(DARE,DEN_G,$AC131)),SUMIFS(AVERE,DEN_G,$AC131)-SUMIFS(DARE,DEN_G,$AC131),0)&gt;0,MAX(BH$2:BH130)+1,0)</f>
        <v>0</v>
      </c>
      <c r="BI131" s="48">
        <f ca="1">IF(IF(AND(OR(INDEX(PDC,MATCH($AC131,DEN_PDC,0),6)="SE DARE",INDEX(PDC,MATCH($AC131,DEN_PDC,0),6)="SE DARE/AVERE"),SUMIFS(DARE,DEN_G,$AC131)&gt;=SUMIFS(AVERE,DEN_G,$AC131)),SUMIFS(DARE,DEN_G,$AC131)-SUMIFS(AVERE,DEN_G,$AC131),0)&gt;0,MAX(BI$2:BI130)+1,0)</f>
        <v>0</v>
      </c>
      <c r="BJ131" s="48">
        <f ca="1">IF(IF(AND(OR(INDEX(PDC,MATCH($AC131,DEN_PDC,0),6)="SE AVERE",INDEX(PDC,MATCH($AC131,DEN_PDC,0),6)="SE DARE/AVERE"),SUMIFS(AVERE,DEN_G,$AC131)&gt;=SUMIFS(DARE,DEN_G,$AC131)),SUMIFS(AVERE,DEN_G,$AC131)-SUMIFS(DARE,DEN_G,$AC131),0)&gt;0,MAX(BJ$2:BJ130)+1,0)</f>
        <v>0</v>
      </c>
      <c r="BK131" s="48" t="str">
        <f ca="1">IF(AND(AND($DY$2=0,$DY$1=0),$I$1=2,ROW()&gt;$BG$1+2,ROW()&lt;=$BG$1+4),"………………..",IF(AND(OR($DY$2&gt;0,$DY$1&gt;0),$I$1=2,ROW()&gt;$BG$1+2,ROW()&lt;=$BG$1+4),"………………..",IFERROR(INDEX($AC$3:$AC$398,MATCH(ROWS(BK$3:BK131),BG$3:BG$398,0),1),"")))</f>
        <v/>
      </c>
      <c r="BL131" s="48">
        <f t="shared" ref="BL131:BL194" ca="1" si="281">IF(BK131&lt;&gt;0,SUMIFS(DARE,DEN_G,$BK131)-SUMIFS(AVERE,DEN_G,$BK131),0)</f>
        <v>0</v>
      </c>
      <c r="BM131" s="48" t="str">
        <f ca="1">IF(AND(OR($DY$2=0,$DY$1=0),$I$1=2,ROW()&gt;$BH$1+2,ROW()&lt;=$BH$1+4),"………………..",IF(AND(OR($DY$2&gt;0,$DY$1&gt;0),$I$1=2,ROW()&gt;$BH$1+2,ROW()&lt;=$BH$1+4),"………………..",IFERROR(INDEX($AC$3:$AC$400,MATCH(ROWS(BM$3:BM131),BH$3:BH$400,0),1),"")))</f>
        <v/>
      </c>
      <c r="BN131" s="48">
        <f t="shared" ref="BN131:BN194" ca="1" si="282">IF(AND($I$1=2,BM131="……………….."),"_ _ _",IF(BM131&lt;&gt;0,SUMIFS(AVERE,DEN_G,$BM131)-SUMIFS(DARE,DEN_G,$BM131),0))</f>
        <v>0</v>
      </c>
      <c r="BO131" s="48" t="str">
        <f ca="1">IF(AND(OR($DY$2=0,$DY$1=0),$I$1=2,ROW()&gt;$BI$1+2,ROW()&lt;=$BI$1+4),"………………..",IF(AND(OR($DY$2&gt;0,$DY$1&gt;0),$I$1=2,ROW()&gt;$BI$1+2,ROW()&lt;=$BI$1+4),"………………..",IFERROR(INDEX($AC$3:$AC$400,MATCH(ROWS(BO$3:BO131),BI$3:BI$400,0),1),"")))</f>
        <v/>
      </c>
      <c r="BP131" s="48">
        <f t="shared" ref="BP131:BP194" ca="1" si="283">IF(AND($I$1=2,BO131="……………….."),"_ _ _",IF(BO131&lt;&gt;0,(SUMIFS(DARE,DEN_G,$BO131)-SUMIFS(AVERE,DEN_G,$BO131)),0))</f>
        <v>0</v>
      </c>
      <c r="BQ131" s="48" t="str">
        <f ca="1">IF(AND(OR($DY$2=0,$DY$1=0),$I$1=2,ROW()&gt;$BJ$1+2,ROW()&lt;=$BJ$1+4),"………………..",IF(AND(OR($DY$2&gt;0,$DY$1&gt;0),$I$1=2,ROW()&gt;$BJ$1+2,ROW()&lt;=$BJ$1+4),"………………..",IFERROR(INDEX($AC$3:$AC$400,MATCH(ROWS(BQ$3:BQ131),BJ$3:BJ$400,0),1),"")))</f>
        <v/>
      </c>
      <c r="BR131" s="48">
        <f t="shared" ref="BR131:BR194" ca="1" si="284">IF(AND($I$1=2,BQ131="……………….."),"_ _ _",IF(BQ131&lt;&gt;0,SUMIFS(AVERE,DEN_G,$BQ131)-SUMIFS(DARE,DEN_G,$BQ131),0))</f>
        <v>0</v>
      </c>
      <c r="BS131" s="48">
        <f ca="1">IF(IF(AND(OR(INDEX(PDC,MATCH($AC131,DEN_PDC,0),4)="D",INDEX(PDC,MATCH($AC131,DEN_PDC,0),4)="D/A"),SUMIFS(DARE,DEN_G,$AC131)&gt;=SUMIFS(AVERE,DEN_G,$AC131)),SUMIFS(DARE,DEN_G,$AC131),IF(AND(OR(INDEX(PDC,MATCH($AC131,DEN_PDC,0),4)="A",INDEX(PDC,MATCH($AC131,DEN_PDC,0),4)="D/A"),SUMIFS(AVERE,DEN_G,$AC131)&gt;=SUMIFS(DARE,DEN_G,$AC131)),SUMIFS(AVERE,DEN_G,$AC131),))&gt;0,MAX($BS$2:BS130)+1,0)</f>
        <v>0</v>
      </c>
      <c r="BT131" s="48" t="str">
        <f ca="1">IF($CO$1=0,"",IF(AND($I$1=2,ROW()&gt;$BR$1,ROW()&lt;=$BS$1)," …………….",IF(AND($E$1=1,$BX$1=1,$I$1=2,ROW()=$BQ$1),"TOTALI",IFERROR(INDEX(PDC,MATCH(ROWS(BT$3:BT131),BS$3:BS528,0),2),""))))</f>
        <v/>
      </c>
      <c r="BU131" s="48">
        <f t="shared" ref="BU131:BU194" ca="1" si="285">IF(BT131="",0,IF(BT131=" …………….","_ _ _    ",IF(BT131="",0,IF(AND($I$1=2,BT131="TOTALI"),"_ _ _    ",SUMIFS(DARE,DEN_G,$BT131)))))</f>
        <v>0</v>
      </c>
      <c r="BV131" s="48">
        <f t="shared" ref="BV131:BV194" ca="1" si="286">IF(BT131="",0,IF(BT131=" …………….","_ _ _    ",IF(BT131="",0,IF(AND($I$1=2,BT131="TOTALI"),"_ _ _    ",SUMIFS(AVERE,DEN_G,$BT131)))))</f>
        <v>0</v>
      </c>
      <c r="BW131" s="48">
        <f t="shared" ref="BW131:BW194" ca="1" si="287">IF(BU131&gt;BV131,BU131-BV131,IF(BU131="_ _ _    ","_ _ _    ",0))</f>
        <v>0</v>
      </c>
      <c r="BX131" s="48">
        <f t="shared" ref="BX131:BX194" ca="1" si="288">IF(BV131&gt;BU131,BV131-BU131,IF(BU131="_ _ _    ","_ _ _    ",0))</f>
        <v>0</v>
      </c>
      <c r="BY131" s="48">
        <f ca="1">IF(OR(BW131&gt;0,BX131&gt;0),MAX($BY$2:BY130)+1,0)</f>
        <v>0</v>
      </c>
      <c r="BZ131" s="48" t="str">
        <f ca="1">IFERROR(INDEX($BT$3:$BY$400,MATCH(ROWS(BZ$3:BZ131),$BY$3:$BY$400,0),1),"")</f>
        <v/>
      </c>
      <c r="CA131" s="48" t="str">
        <f ca="1">IFERROR(INDEX($BT$3:$BY$400,MATCH(ROWS(CA$3:CA131),$BY$3:$BY$400,0),4),"")</f>
        <v/>
      </c>
      <c r="CB131" s="48" t="str">
        <f ca="1">IFERROR(INDEX($BT$3:$BY$400,MATCH(ROWS(CB$3:CB131),$BY$3:$BY$400,0),5),"")</f>
        <v/>
      </c>
      <c r="CC131" s="48" t="str">
        <f t="shared" ref="CC131:CC194" ca="1" si="289">IFERROR(INDEX(PDC,MATCH(BZ131,DEN_PDC,0),9),"")</f>
        <v/>
      </c>
      <c r="CD131" s="48">
        <f ca="1">IF(AND($BF$9=1,CE131&lt;&gt;0),MAX($CD$104:CD130)+1,0)</f>
        <v>0</v>
      </c>
      <c r="CE131" s="48">
        <f ca="1">IF(OR(CE162&gt;0,CE162="_ _ _"),"A",0)</f>
        <v>0</v>
      </c>
      <c r="CG131" s="242" t="s">
        <v>551</v>
      </c>
      <c r="CJ131" s="242">
        <f ca="1">SUM(CJ132:CJ161)</f>
        <v>0</v>
      </c>
      <c r="CK131" s="48">
        <f ca="1">IF($CG$2=FALSE,0,IF(AND($BF$9=1,CJ131&lt;&gt;0),MAX($CK$21:CK130)+1,0))</f>
        <v>0</v>
      </c>
      <c r="CM131" s="242" t="str">
        <f t="shared" ca="1" si="166"/>
        <v/>
      </c>
      <c r="CN131" s="243">
        <f t="shared" ca="1" si="167"/>
        <v>0</v>
      </c>
      <c r="CO131" s="48" t="str">
        <f t="shared" ca="1" si="168"/>
        <v/>
      </c>
      <c r="CQ131" s="242"/>
      <c r="CR131" s="242"/>
      <c r="CU131" s="48">
        <f ca="1">IF(SUMIFS(AVERE,DEN_G,AC131,AVERE,"&gt;"&amp;0)+SUMIFS(DARE,DEN_G,AC131,DARE,"&gt;"&amp;0)&gt;0,MAX($CU$2:CU130)+1,0)</f>
        <v>0</v>
      </c>
      <c r="CV131" s="48" t="str">
        <f ca="1">IF(IFERROR(INDEX(PDC,MATCH(ROWS($CV$3:CV131),$CU$3:$CU$400,0),2),"")="CONTO DI RISULTATO ECONOMICO","",IFERROR(INDEX(PDC,MATCH(ROWS($CV$3:CV131),$CU$3:$CU$400,0),2),""))</f>
        <v/>
      </c>
      <c r="CW131" s="48">
        <f ca="1">IFERROR(IF(CV131&lt;&gt;"",MAX($CW$2:CW130)+1,0),0)</f>
        <v>0</v>
      </c>
      <c r="CX131" s="48">
        <f t="shared" ca="1" si="270"/>
        <v>10</v>
      </c>
      <c r="CY131" s="48" t="str">
        <f t="shared" ca="1" si="269"/>
        <v>MASTRO</v>
      </c>
      <c r="CZ131" s="48" t="e">
        <f t="shared" ca="1" si="272"/>
        <v>#N/A</v>
      </c>
      <c r="DA131" s="48" t="str">
        <f t="shared" ca="1" si="276"/>
        <v/>
      </c>
      <c r="DB131" s="48" t="str">
        <f t="shared" ca="1" si="212"/>
        <v/>
      </c>
      <c r="DC131" s="48" t="str">
        <f t="shared" ca="1" si="273"/>
        <v/>
      </c>
      <c r="DD131" s="48" t="str">
        <f t="shared" ca="1" si="274"/>
        <v/>
      </c>
      <c r="DE131" s="48" t="str">
        <f t="shared" ca="1" si="275"/>
        <v/>
      </c>
      <c r="DF131" s="48">
        <f ca="1">IF(AND(CX131=$DF$1,CX131&lt;&gt;""),0,IF(AND(DB131&lt;&gt;"",OR(DB130&lt;&gt;"",DB132&lt;&gt;"")),MAX($DF$2:DF130)+1,0))</f>
        <v>0</v>
      </c>
      <c r="DH131" s="244" t="s">
        <v>389</v>
      </c>
      <c r="DI131" s="48" t="s">
        <v>390</v>
      </c>
      <c r="DJ131" s="48" t="s">
        <v>311</v>
      </c>
      <c r="DK131" s="48" t="s">
        <v>298</v>
      </c>
      <c r="DL131" s="48" t="s">
        <v>4</v>
      </c>
      <c r="DM131" s="48" t="s">
        <v>299</v>
      </c>
      <c r="DN131" s="48">
        <f ca="1">IF(DI131&lt;&gt;"",MAX($DN$2:DN130)+1,0)</f>
        <v>111</v>
      </c>
      <c r="DO131" s="48" t="s">
        <v>742</v>
      </c>
      <c r="DP131" s="48">
        <f t="shared" ref="DP131:DP133" ca="1" si="290">DP6</f>
        <v>0</v>
      </c>
      <c r="DQ131" s="227" t="s">
        <v>392</v>
      </c>
      <c r="DR131" s="48" t="str">
        <f ca="1">IFERROR(IF(DP131&lt;&gt;0,CONCATENATE("VERSAMENTI SOCIO ",DP131," C/CAPITALE"),""),"")</f>
        <v/>
      </c>
      <c r="DS131" s="48" t="s">
        <v>311</v>
      </c>
      <c r="DT131" s="48" t="s">
        <v>298</v>
      </c>
      <c r="DU131" s="48" t="s">
        <v>4</v>
      </c>
      <c r="DV131" s="48" t="s">
        <v>299</v>
      </c>
      <c r="DW131" s="48">
        <f ca="1">IF(DR131&lt;&gt;"",MAX($DW$2:DW130)+1,0)</f>
        <v>0</v>
      </c>
      <c r="DX131" s="48" t="s">
        <v>743</v>
      </c>
      <c r="DY131" s="48" t="str">
        <f t="shared" ref="DY131:DY194" ca="1" si="291">IF(BB131=0,"",INDEX(PDC,MATCH(BB131,DEN_PDC,0),1))</f>
        <v/>
      </c>
      <c r="DZ131" s="48" t="str">
        <f t="shared" ca="1" si="170"/>
        <v/>
      </c>
      <c r="EA131" s="48" t="str">
        <f t="shared" ca="1" si="171"/>
        <v/>
      </c>
      <c r="EB131" s="48">
        <f t="shared" ca="1" si="172"/>
        <v>0</v>
      </c>
      <c r="EC131" s="48">
        <f t="shared" ca="1" si="173"/>
        <v>0</v>
      </c>
      <c r="ED131" s="48" t="str">
        <f t="shared" ca="1" si="174"/>
        <v/>
      </c>
      <c r="EE131" s="48">
        <f t="shared" ca="1" si="175"/>
        <v>0</v>
      </c>
      <c r="EF131" s="48" t="str">
        <f t="shared" ca="1" si="176"/>
        <v/>
      </c>
      <c r="EG131" s="48">
        <f t="shared" ca="1" si="177"/>
        <v>0</v>
      </c>
      <c r="EH131" s="48" t="str">
        <f t="shared" ca="1" si="178"/>
        <v/>
      </c>
      <c r="EI131" s="48">
        <f t="shared" ca="1" si="179"/>
        <v>0</v>
      </c>
      <c r="EJ131" s="48" t="str">
        <f t="shared" ca="1" si="180"/>
        <v/>
      </c>
      <c r="EK131" s="48">
        <f t="shared" ca="1" si="181"/>
        <v>0</v>
      </c>
      <c r="EL131" s="48">
        <f t="shared" ref="EL131:EL194" ca="1" si="292">IF(OR(AND($I$1=1,AC131="perdita d'esercizio"),AND($I$1=1,AC131="utile d'esercizio")),0,IF(AND(AE131="d",AG131="SP DARE"),SUMIFS(dare_grezzo,den_grezzo,AC131,data_grezzo,"&lt;="&amp;FINE_AC,data_grezzo,"&gt;="&amp;INIZIO_A_PC)-SUMIFS(avere_grezzo,den_grezzo,AC131,data_grezzo,"&lt;="&amp;FINE_AC,data_grezzo,"&gt;="&amp;INIZIO_A_PC),IF(AND(AE131="a",AG131="SP AVERE"),SUMIFS(avere_grezzo,den_grezzo,AC131,data_grezzo,"&lt;="&amp;FINE_AC,data_grezzo,"&gt;="&amp;INIZIO_A_PC)-SUMIFS(dare_grezzo,den_grezzo,AC131,data_grezzo,"&lt;="&amp;FINE_AC,data_grezzo,"&gt;="&amp;INIZIO_A_PC),IF(AND(AE131="d",AG131="SE DARE"),SUMIFS(dare_grezzo,den_grezzo,AC131,data_grezzo,"&lt;="&amp;FINE_AC,data_grezzo,"&gt;="&amp;INIZIO_A_PC,data_grezzo,"&gt;="&amp;INIZIO_AC)-SUMIFS(avere_grezzo,den_grezzo,AC131,data_grezzo,"&lt;="&amp;FINE_AC,data_grezzo,"&gt;="&amp;INIZIO_A_PC,data_grezzo,"&gt;="&amp;INIZIO_AC),IF(AND(AE131="a",AG131="SE AVERE"),SUMIFS(avere_grezzo,den_grezzo,AC131,data_grezzo,"&lt;="&amp;FINE_AC,data_grezzo,"&gt;="&amp;INIZIO_A_PC,data_grezzo,"&gt;="&amp;INIZIO_AC)-SUMIFS(dare_grezzo,den_grezzo,AC131,data_grezzo,"&lt;="&amp;FINE_AC,data_grezzo,"&gt;="&amp;INIZIO_A_PC,data_grezzo,"&gt;="&amp;INIZIO_AC),0)))))</f>
        <v>0</v>
      </c>
      <c r="EM131" s="48">
        <f ca="1">IF(EL131&gt;=0,0,MAX($EM$2:EM130)+1)</f>
        <v>0</v>
      </c>
      <c r="EN131" s="48" t="str">
        <f t="shared" ca="1" si="182"/>
        <v/>
      </c>
      <c r="EO131" s="48" t="str">
        <f ca="1">IFERROR(INDEX($EM$3:$EN$400,MATCH(ROWS($EO$3:EO131),$EM$3:$EM$400,0),2),"")</f>
        <v/>
      </c>
      <c r="EP131" s="48">
        <f>ROW()</f>
        <v>131</v>
      </c>
      <c r="EQ131" s="48">
        <f t="shared" ref="EQ131:EQ194" ca="1" si="293">IF(AND(AM131&lt;&gt;0,AL131&lt;=FINE_AC),INDEX(PDC,MATCH(SUBSTITUTE(AM131,"[",""),DEN_PDC,0),1),0)</f>
        <v>0</v>
      </c>
      <c r="ER131" s="48">
        <f ca="1">IF(ISNA(EQ131)=TRUE,MAX($ER$2:ER130)+1,0)</f>
        <v>0</v>
      </c>
      <c r="ES131" s="48" t="str">
        <f t="shared" ca="1" si="183"/>
        <v/>
      </c>
      <c r="ET131" s="48" t="str">
        <f ca="1">IFERROR(INDEX($ER$3:$ES$400,MATCH(ROWS($ET$3:ET131),$ER$3:$ER$400,0),2),"")</f>
        <v/>
      </c>
      <c r="EV131" s="48">
        <f ca="1">IFERROR(INDEX(LIBRO_GIORNALE!$O$11:$P$408,MATCH(ROWS($EV$2:EV130),LIBRO_GIORNALE!$P$11:$P$408,0),1),0)</f>
        <v>0</v>
      </c>
      <c r="EW131" s="48" t="str">
        <f t="shared" ca="1" si="184"/>
        <v>0</v>
      </c>
      <c r="EX131" s="48">
        <f t="shared" ca="1" si="185"/>
        <v>0</v>
      </c>
      <c r="EY131" s="48">
        <f ca="1">IF(EX131&gt;0,MAX($EY$2:EY130)+1,0)</f>
        <v>0</v>
      </c>
      <c r="EZ131" s="48">
        <f ca="1">IFERROR(INDEX($EX$3:$EX$400,MATCH(ROWS($EZ$3:EZ131),$EY$3:$EY$400,0),1),0)</f>
        <v>0</v>
      </c>
      <c r="FA131" s="48">
        <f ca="1">IF(EZ131&gt;0,0,MAX($FA$2:FA130)+1)</f>
        <v>129</v>
      </c>
      <c r="FB131" s="48">
        <f t="shared" ca="1" si="186"/>
        <v>0</v>
      </c>
      <c r="FC131" s="48">
        <f t="shared" ca="1" si="187"/>
        <v>129</v>
      </c>
      <c r="FD131" s="48">
        <f t="shared" ca="1" si="188"/>
        <v>129</v>
      </c>
      <c r="FE131" s="48">
        <f ca="1">IF(FD131=0,0,MAX($FE$2:FE130)+1)</f>
        <v>129</v>
      </c>
      <c r="FF131" s="48">
        <f ca="1">IFERROR(INDEX($FD$3:$FE$400,MATCH(ROWS($FF$3:FF131),$FE$3:$FE$400,0),1),"")</f>
        <v>129</v>
      </c>
      <c r="FG131" s="48">
        <f t="shared" ca="1" si="255"/>
        <v>0</v>
      </c>
      <c r="FH131" s="48">
        <f t="shared" ca="1" si="189"/>
        <v>0</v>
      </c>
      <c r="FI131" s="48">
        <f ca="1">IF(FH131&lt;&gt;0,MAX($FI$2:FI130)+1,0)</f>
        <v>0</v>
      </c>
      <c r="FJ131" s="48" t="str">
        <f ca="1">IFERROR(INDEX($FH$3:$FI$400,MATCH(ROWS($FJ$3:FJ131),$FI$3:$FI$400,0),1),"")</f>
        <v/>
      </c>
      <c r="FK131" s="48">
        <f ca="1">IF(ABS(SUMIFS(DARE,DEN_G,"="&amp;FJ131,DATA,"&lt;="&amp;FINE_AC,DATA,"&gt;="&amp;INIZIO_A_PC)-SUMIFS(AVERE,DEN_G,"="&amp;FJ131,DATA,"&lt;="&amp;FINE_AC,DATA,"&gt;="&amp;INIZIO_A_PC))&gt;0,MAX($FK$2:FK130)+1,0)</f>
        <v>0</v>
      </c>
      <c r="FL131" s="48" t="str">
        <f ca="1">IF(AND(ROW()-2&lt;&gt;1,ROW()-2&lt;=$FK$1),CONCATENATE(" - ",IFERROR(INDEX($FJ$3:$FK$400,MATCH(ROWS($FL$3:FL131),$FK$3:$FK$400,0),1),"")),IFERROR(INDEX($FJ$3:$FK$400,MATCH(ROWS($FL$3:FL131),$FK$3:$FK$400,0),1),""))</f>
        <v/>
      </c>
      <c r="FM131" s="48">
        <f ca="1">IF(OR(B131="IVA ns/credito",B131="IVA NS/DEBITO",B131="IVA C/ACCONTO",B131="IMPOSTE C/ACCONTO",B131="CREDITI PER RITENUTE SUBITE",B131="CREDITI D'IMPOSTA"),MAX($FM$2:FM130)+1,0)</f>
        <v>0</v>
      </c>
      <c r="FN131" s="48" t="str">
        <f t="shared" ca="1" si="190"/>
        <v/>
      </c>
      <c r="FO131" s="48" t="str">
        <f ca="1">IFERROR(INDEX($FM$3:$FN$400,MATCH(ROWS($FO$3:FO131),$FM$3:$FM$400,0),2),"")</f>
        <v/>
      </c>
      <c r="FP131" s="48">
        <f ca="1">IF(ABS(SUMIFS(DARE,DEN_G,"="&amp;FO131,DATA,"&lt;="&amp;FINE_AC,DATA,"&gt;="&amp;INIZIO_A_PC)-SUMIFS(AVERE,DEN_G,"="&amp;FO131,DATA,"&lt;="&amp;FINE_AC,DATA,"&gt;="&amp;INIZIO_A_PC))&gt;0,MAX($FP$2:FP130)+1,0)</f>
        <v>0</v>
      </c>
      <c r="FQ131" s="48" t="str">
        <f ca="1">IF(AND(ROW()-2&lt;&gt;1,ROW()-2&lt;=$FP$1),CONCATENATE(" - ",IFERROR(INDEX($FO$3:$FP$400,MATCH(ROWS($FQ$3:FQ131),$FP$3:$FP$400,0),1),"")),IFERROR(INDEX($FO$3:$FP$400,MATCH(ROWS($FQ$3:FQ131),$FP$3:$FP$400,0),1),""))</f>
        <v/>
      </c>
    </row>
    <row r="132" spans="1:173" x14ac:dyDescent="0.3">
      <c r="A132" s="48" t="str">
        <f ca="1">IFERROR(IF($A$1=2,INDEX($DH$3:$DN$401,MATCH(ROWS(A$3:A132),$DN$3:$DN$401,0),COLUMN()),IF($A$1=1,INDEX($DQ$3:$DW$401,MATCH(ROWS(A$3:A132),$DW$3:$DW$401,0),COLUMN()),"")),"")</f>
        <v>13.10</v>
      </c>
      <c r="B132" s="48" t="str">
        <f ca="1">IFERROR(IF($A$1=2,INDEX($DH$3:$DN$401,MATCH(ROWS(B$3:B132),$DN$3:$DN$401,0),COLUMN()),IF($A$1=1,INDEX($DQ$3:$DW$400,MATCH(ROWS(B$3:B132),$DW$3:$DW$401,0),COLUMN()),"")),"")</f>
        <v>BANCHE C/RI.BA. SBF</v>
      </c>
      <c r="C132" s="48" t="str">
        <f ca="1">IFERROR(IF($A$1=2,INDEX($DH$3:$DN$401,MATCH(ROWS(C$3:C132),$DN$3:$DN$401,0),COLUMN()),IF($A$1=1,INDEX($DQ$3:$DW$401,MATCH(ROWS(C$3:C132),$DW$3:$DW$401,0),COLUMN()),"")),"")</f>
        <v>F</v>
      </c>
      <c r="D132" s="48" t="str">
        <f ca="1">IFERROR(IF($A$1=2,INDEX($DH$3:$DN$401,MATCH(ROWS(D$3:D132),$DN$3:$DN$401,0),COLUMN()),IF($A$1=1,INDEX($DQ$3:$DW$401,MATCH(ROWS(D$3:D132),$DW$3:$DW$401,0),COLUMN()),"")),"")</f>
        <v>A</v>
      </c>
      <c r="E132" s="48" t="str">
        <f ca="1">IFERROR(IF($A$1=2,INDEX($DH$3:$DN$401,MATCH(ROWS(E$3:E132),$DN$3:$DN$401,0),COLUMN()),IF($A$1=1,INDEX($DQ$3:$DW$401,MATCH(ROWS(E$3:E132),$DW$3:$DW$401,0),COLUMN()),"")),"")</f>
        <v>DEBITI</v>
      </c>
      <c r="F132" s="48" t="str">
        <f ca="1">IFERROR(IF($A$1=2,INDEX($DH$3:$DN$401,MATCH(ROWS(F$3:F132),$DN$3:$DN$401,0),COLUMN()),IF($A$1=1,INDEX($DQ$3:$DX$401,MATCH(ROWS(F$3:F132),$DW$3:$DW$401,0),COLUMN()),"")),"")</f>
        <v>SP AVERE</v>
      </c>
      <c r="G132" s="48" t="str">
        <f t="shared" ref="G132:G195" ca="1" si="294">IFERROR(MID(F132,1,2),"")</f>
        <v>SP</v>
      </c>
      <c r="H132" s="48" t="str">
        <f ca="1">IFERROR(IF($A$1=2,INDEX($DH$3:$DO$400,MATCH(ROWS(H$3:H132),$DN$3:$DN$400,0),COLUMN()),IF($A$1=1,INDEX($DQ$3:$DX$400,MATCH(ROWS(H$3:H132),$DW$3:$DW$400,0),COLUMN()),"")),"")</f>
        <v>ppd</v>
      </c>
      <c r="I132" s="48" t="str">
        <f t="shared" ref="I132:I195" ca="1" si="295">IF(OR($ES$1&gt;0,$DW$1=0,$BX$1=0,$AY$1&lt;&gt;0),"",IF(AND($F$1=1,$BI$1&gt;=$BJ$1,$BP$2&gt;$BR$2,ROW()=$BI$1+5),"TOTALE COSTI",IF(AND($F$1=1,$BI$1&lt;=$BJ$1,$BP$2&gt;$BR$2,ROW()=$BJ$1+5),"TOTALE COSTI",IF(AND($F$1=1,$BI$1&gt;=$BJ$1,$BP$2&lt;$BR$2,ROW()=$BI$1+3),"TOTALE COSTI",IF(AND($F$1=1,$BI$1&gt;=$BJ$1,$BP$2&lt;$BR$2,ROW()=$BI$1+4),"SALDO ECONOMICO POSITIVO",IF(AND($F$1=1,$BI$1&gt;=$BJ$1,$BP$2&lt;$BR$2,ROW()=$BI$1+5),"TOTALE A PAREGGIO",IF(AND($F$1=1,$BI$1&lt;=$BJ$1,$BP$2&lt;$BR$2,ROW()=$BJ$1+3),"TOTALE COSTI",IF(AND($F$1=1,$BI$1&lt;=$BJ$1,$BP$2&lt;$BR$2,ROW()=$BJ$1+4),"SALDO ECONOMICO POSITIVO",IF(AND($F$1=1,$BI$1&lt;=$BJ$1,$BP$2&lt;$BR$2,ROW()=$BJ$1+5),"TOTALE A PAREGGIO",IF(AND($F$1=1,$BI$1&gt;$BJ$1,$BP$2&lt;&gt;0,$BP$2=$BR$2,ROW()=$BI$1+3),"TOTALE COSTI",IF(AND($BP$2&lt;&gt;0,$F$1=1,$BI$1&lt;$BJ$1,$BP$2=$BR$2,ROW()=$BJ$1+3),"TOTALE COSTI",IF(AND($BP$2&lt;&gt;0,$F$1=1,$BI$1=$BJ$1,$BP$2=$BR$2,ROW()=$BI$1+3),"TOTALE COSTI",IF(AND($I$1=2,$E$1=1,$BI$1&gt;=$BJ$1,$DY$1&gt;0,ROW()=$BI$1+7),"TOTALE COSTI",IF(AND($I$1=2,$E$1=1,$BI$1&lt;=$BJ$1,$DY$1&gt;0,ROW()=$BJ$1+7),"TOTALE COSTI",IF(AND($I$1=2,$E$1=1,$BI$1&gt;=$BJ$1,$DY$2&gt;0,ROW()=$BI$1+5),"TOTALE COSTI",IF(AND($I$1=2,$E$1=1,$BI$1&lt;=$BJ$1,$DY$2&gt;0,ROW()=$BJ$1+5),"TOTALE COSTI",IF(AND($I$1=2,$E$1=1,$BI$1&lt;=$BJ$1,$DY$2&gt;0,ROW()=$BJ$1+6),"UTILE D'ESERCIZIO",IF(AND($I$1=2,$E$1=1,$BI$1&gt;=$BJ$1,$DY$2&gt;0,ROW()=$BI$1+6),"UTILE D'ESERCIZIO",IF(AND($I$1=2,$E$1=1,$BI$1&lt;=$BJ$1,$DY$2&gt;0,ROW()=$BJ$1+7),"TOTALE A PAREGGIO",IF(AND($I$1=2,$E$1=1,$BI$1&gt;=$BJ$1,$DY$2&gt;0,ROW()=$BI$1+7),"TOTALE A PAREGGIO",IF(AND($I$1=2,$E$1=1,$BI$1&gt;=$BJ$1,$DY$2=0,$DY$1=0,ROW()=$BI$1+5),"TOTALE",IF(AND($I$1=2,$E$1=1,$BI$1&lt;=$BJ$1,$DY$2=0,$DY$1=0,ROW()=$BJ$1+5),"TOTALE",""))))))))))))))))))))))</f>
        <v/>
      </c>
      <c r="J132" s="48" t="str">
        <f t="shared" ref="J132:J195" ca="1" si="296">IF($CO$1=0,"",IF(AND($CP$1=TRUE,CONCATENATE(I132,BO132)="SALDO ECONOMICO POSITIVO"),REPLACE(CONCATENATE(I132,BO132),1,30,"UTILE D'ESERCIZIO"),CONCATENATE(I132,BO132)))</f>
        <v/>
      </c>
      <c r="K132" s="48">
        <f t="shared" ref="K132:K195" ca="1" si="297">IF(AND($I$1=2,J132="……………….."),"_ _ _",IF(AND(J132="TOTALE",$I$1=2),"_ _ _",IF(AND(J132="TOTALE COSTI",$I$1=2),"_ _ _",IF(AND(J132="TOTALE A PAREGGIO",$I$1=2),"_ _ _",IF(AND(J132="UTILE D'ESERCIZIO",$I$1=2),$DY$2,IF(J132="TOTALE COSTI",$BP$2,IF(OR(J132="SALDO ECONOMICO POSITIVO",J132="UTILE D'ESERCIZIO"),$BR$2-$BP$2,IF(J132="TOTALE A PAREGGIO",$BR$2,0))))))))</f>
        <v>0</v>
      </c>
      <c r="L132" s="48">
        <f t="shared" ref="L132:L195" ca="1" si="298">IF(AND($I$1=2,K132&lt;&gt;0),K132,SUM(K132,BP132))</f>
        <v>0</v>
      </c>
      <c r="M132" s="48">
        <f ca="1">IFERROR(IF(IF(MID($A132,3,3)=".00",MID(A132,1,2),"")&lt;&gt;"",MAX($M$2:M131)+1,0),"")</f>
        <v>0</v>
      </c>
      <c r="N132" s="48" t="str">
        <f t="shared" ref="N132:N195" ca="1" si="299">IFERROR(IF(MID($A132,3,3)=".00",MID(A132,1,2),""),"")</f>
        <v/>
      </c>
      <c r="O132" s="48" t="str">
        <f ca="1">IF(IFERROR(INDEX($N$3:$O$300,MATCH(ROWS($O$3:O132),$M$3:$M$300,0),1),"")&lt;&gt;"",CONCATENATE(INDEX($N$3:$O$300,MATCH(ROWS($O$3:O132),$M$3:$M$300,0),1),".00"),"")</f>
        <v/>
      </c>
      <c r="P132" s="48" t="str">
        <f t="shared" ref="P132:P195" ca="1" si="300">IFERROR(INDEX($A$3:$B$400,MATCH(O132,$A$3:$A$400,0),2),"")</f>
        <v/>
      </c>
      <c r="Q132" s="48">
        <f ca="1">IF(M132&gt;=1,0,MAX($Q$2:Q131)+1)</f>
        <v>116</v>
      </c>
      <c r="U132" s="48" t="str">
        <f ca="1">IFERROR(INDEX(PDC,MATCH(ROWS(U$3:U132),$V$3:$V$400,0),2),"")</f>
        <v>DEBITI PER ACCONTI A FORNITORI</v>
      </c>
      <c r="V132" s="48">
        <f ca="1">IF(AND($T$1="VISUALIZZA TUTTI I CONTI",AA132&lt;&gt;""),MAX($V$2:V131)+1,IF(AND($U$2=2,AI132=$T$1),MAX($V$2:V131)+1,IF(AND($U$2=1,$T$1=AF132),MAX($V$2:V131)+1,0)))</f>
        <v>130</v>
      </c>
      <c r="Z132" s="246"/>
      <c r="AA132" s="48" t="str">
        <f t="shared" ref="AA132:AA195" ca="1" si="301">IF(AC132&lt;&gt;"",CONCATENATE(MID(AB132,1,2),".00"),"")</f>
        <v>14.00</v>
      </c>
      <c r="AB132" s="48" t="str">
        <f ca="1">IFERROR(INDEX($A$3:$G$400,MATCH(ROWS(AB$3:AB132),$Q$3:$Q$400,0),1),"")</f>
        <v>14.15</v>
      </c>
      <c r="AC132" s="48" t="str">
        <f ca="1">IFERROR(INDEX($A$3:$G$400,MATCH(ROWS($AC$3:AC132),$Q$3:$Q$400,0),2),"")</f>
        <v>DEBITI PER ACCONTI A FORNITORI</v>
      </c>
      <c r="AD132" s="48" t="str">
        <f ca="1">IFERROR(INDEX($A$3:$G$400,MATCH(ROWS(AD$3:AD132),$Q$3:$Q$400,0),3),"")</f>
        <v>F</v>
      </c>
      <c r="AE132" s="48" t="str">
        <f ca="1">IFERROR(INDEX($A$3:$G$400,MATCH(ROWS(AE$3:AE132),$Q$3:$Q$400,0),4),"")</f>
        <v>A</v>
      </c>
      <c r="AF132" s="48" t="str">
        <f ca="1">IFERROR(INDEX($A$3:$G$400,MATCH(ROWS(AF$3:AF132),$Q$3:$Q$400,0),5),"")</f>
        <v>DEBITI</v>
      </c>
      <c r="AG132" s="48" t="str">
        <f ca="1">IFERROR(INDEX($A$3:$G$400,MATCH(ROWS(AG$3:AG132),$Q$3:$Q$400,0),6),"")</f>
        <v>SP AVERE</v>
      </c>
      <c r="AH132" s="48" t="str">
        <f ca="1">IFERROR(INDEX($A$3:$G$400,MATCH(ROWS(AH$3:AH132),$Q$3:$Q$400,0),7),"")</f>
        <v>SP</v>
      </c>
      <c r="AI132" s="48" t="str">
        <f t="shared" ref="AI132:AI195" ca="1" si="302">INDEX($O$3:$P$50,MATCH(AA132,$O$3:$O$50,0),2)</f>
        <v>DEBITI COMMERCIALI</v>
      </c>
      <c r="AJ132" s="48" t="str">
        <f ca="1">IFERROR(INDEX($A$3:$H$400,MATCH(ROWS(AJ$3:AJ132),$Q$3:$Q$400,0),8),"")</f>
        <v>ppd</v>
      </c>
      <c r="AK132" s="48">
        <f t="shared" ca="1" si="277"/>
        <v>0</v>
      </c>
      <c r="AL132" s="48">
        <f t="shared" ca="1" si="251"/>
        <v>0</v>
      </c>
      <c r="AM132" s="48">
        <f t="shared" ca="1" si="252"/>
        <v>0</v>
      </c>
      <c r="AN132" s="48">
        <f t="shared" ca="1" si="253"/>
        <v>0</v>
      </c>
      <c r="AO132" s="48">
        <f t="shared" ca="1" si="254"/>
        <v>0</v>
      </c>
      <c r="AP132" s="48">
        <f t="shared" ca="1" si="254"/>
        <v>0</v>
      </c>
      <c r="AQ132" s="48" t="str">
        <f t="shared" ca="1" si="278"/>
        <v>DEBITI PER ACCONTI A FORNITORI</v>
      </c>
      <c r="AR132" s="48">
        <f t="shared" ca="1" si="279"/>
        <v>0</v>
      </c>
      <c r="AS132" s="48">
        <f t="shared" ca="1" si="280"/>
        <v>0</v>
      </c>
      <c r="AT132" s="48">
        <f t="shared" ref="AT132:AT195" ca="1" si="303">IF(AND(AQ132&lt;&gt;"",$AR132&gt;$AS132,OR($AR132&gt;0,$AS132&gt;0)),$AR132-$AS132,0)</f>
        <v>0</v>
      </c>
      <c r="AU132" s="48">
        <f t="shared" ref="AU132:AU195" ca="1" si="304">IF(AND(AQ132&lt;&gt;"",$AR132&lt;$AS132,OR($AR132&gt;0,$AS132&gt;0)),$AS132-$AR132,0)</f>
        <v>0</v>
      </c>
      <c r="AV132" s="48">
        <f ca="1">IF(OR(AT132&gt;0,AU132&gt;0),MAX($AV$2:AV131)+1,0)</f>
        <v>0</v>
      </c>
      <c r="AZ132" s="241" t="str">
        <f t="shared" si="240"/>
        <v>32 V.I.</v>
      </c>
      <c r="BA132" s="48">
        <f t="shared" ca="1" si="241"/>
        <v>0</v>
      </c>
      <c r="BB132" s="48">
        <f t="shared" ca="1" si="247"/>
        <v>0</v>
      </c>
      <c r="BC132" s="48" t="str">
        <f t="shared" ca="1" si="248"/>
        <v/>
      </c>
      <c r="BD132" s="48">
        <f t="shared" ca="1" si="249"/>
        <v>0</v>
      </c>
      <c r="BE132" s="48">
        <f t="shared" ca="1" si="250"/>
        <v>0</v>
      </c>
      <c r="BF132" s="48">
        <v>30</v>
      </c>
      <c r="BG132" s="48">
        <f ca="1">IF(IF(AND(OR(INDEX(PDC,MATCH($AC132,DEN_PDC,0),6)="SP DARE",INDEX(PDC,MATCH($AC132,DEN_PDC,0),6)="SP DARE/AVERE"),SUMIFS(DARE,DEN_G,$AC132)&gt;=SUMIFS(AVERE,DEN_G,$AC132)),SUMIFS(DARE,DEN_G,$AC132)-SUMIFS(AVERE,DEN_G,$AC132),0)&gt;0,MAX($BG$2:BG131)+1,0)</f>
        <v>0</v>
      </c>
      <c r="BH132" s="48">
        <f ca="1">IF(IF(AND(OR(INDEX(PDC,MATCH($AC132,DEN_PDC,0),6)="SP AVERE",INDEX(PDC,MATCH($AC132,DEN_PDC,0),6)="SP DARE/AVERE"),SUMIFS(AVERE,DEN_G,$AC132)&gt;=SUMIFS(DARE,DEN_G,$AC132)),SUMIFS(AVERE,DEN_G,$AC132)-SUMIFS(DARE,DEN_G,$AC132),0)&gt;0,MAX(BH$2:BH131)+1,0)</f>
        <v>0</v>
      </c>
      <c r="BI132" s="48">
        <f ca="1">IF(IF(AND(OR(INDEX(PDC,MATCH($AC132,DEN_PDC,0),6)="SE DARE",INDEX(PDC,MATCH($AC132,DEN_PDC,0),6)="SE DARE/AVERE"),SUMIFS(DARE,DEN_G,$AC132)&gt;=SUMIFS(AVERE,DEN_G,$AC132)),SUMIFS(DARE,DEN_G,$AC132)-SUMIFS(AVERE,DEN_G,$AC132),0)&gt;0,MAX(BI$2:BI131)+1,0)</f>
        <v>0</v>
      </c>
      <c r="BJ132" s="48">
        <f ca="1">IF(IF(AND(OR(INDEX(PDC,MATCH($AC132,DEN_PDC,0),6)="SE AVERE",INDEX(PDC,MATCH($AC132,DEN_PDC,0),6)="SE DARE/AVERE"),SUMIFS(AVERE,DEN_G,$AC132)&gt;=SUMIFS(DARE,DEN_G,$AC132)),SUMIFS(AVERE,DEN_G,$AC132)-SUMIFS(DARE,DEN_G,$AC132),0)&gt;0,MAX(BJ$2:BJ131)+1,0)</f>
        <v>0</v>
      </c>
      <c r="BK132" s="48" t="str">
        <f ca="1">IF(AND(AND($DY$2=0,$DY$1=0),$I$1=2,ROW()&gt;$BG$1+2,ROW()&lt;=$BG$1+4),"………………..",IF(AND(OR($DY$2&gt;0,$DY$1&gt;0),$I$1=2,ROW()&gt;$BG$1+2,ROW()&lt;=$BG$1+4),"………………..",IFERROR(INDEX($AC$3:$AC$398,MATCH(ROWS(BK$3:BK132),BG$3:BG$398,0),1),"")))</f>
        <v/>
      </c>
      <c r="BL132" s="48">
        <f t="shared" ca="1" si="281"/>
        <v>0</v>
      </c>
      <c r="BM132" s="48" t="str">
        <f ca="1">IF(AND(OR($DY$2=0,$DY$1=0),$I$1=2,ROW()&gt;$BH$1+2,ROW()&lt;=$BH$1+4),"………………..",IF(AND(OR($DY$2&gt;0,$DY$1&gt;0),$I$1=2,ROW()&gt;$BH$1+2,ROW()&lt;=$BH$1+4),"………………..",IFERROR(INDEX($AC$3:$AC$400,MATCH(ROWS(BM$3:BM132),BH$3:BH$400,0),1),"")))</f>
        <v/>
      </c>
      <c r="BN132" s="48">
        <f t="shared" ca="1" si="282"/>
        <v>0</v>
      </c>
      <c r="BO132" s="48" t="str">
        <f ca="1">IF(AND(OR($DY$2=0,$DY$1=0),$I$1=2,ROW()&gt;$BI$1+2,ROW()&lt;=$BI$1+4),"………………..",IF(AND(OR($DY$2&gt;0,$DY$1&gt;0),$I$1=2,ROW()&gt;$BI$1+2,ROW()&lt;=$BI$1+4),"………………..",IFERROR(INDEX($AC$3:$AC$400,MATCH(ROWS(BO$3:BO132),BI$3:BI$400,0),1),"")))</f>
        <v/>
      </c>
      <c r="BP132" s="48">
        <f t="shared" ca="1" si="283"/>
        <v>0</v>
      </c>
      <c r="BQ132" s="48" t="str">
        <f ca="1">IF(AND(OR($DY$2=0,$DY$1=0),$I$1=2,ROW()&gt;$BJ$1+2,ROW()&lt;=$BJ$1+4),"………………..",IF(AND(OR($DY$2&gt;0,$DY$1&gt;0),$I$1=2,ROW()&gt;$BJ$1+2,ROW()&lt;=$BJ$1+4),"………………..",IFERROR(INDEX($AC$3:$AC$400,MATCH(ROWS(BQ$3:BQ132),BJ$3:BJ$400,0),1),"")))</f>
        <v/>
      </c>
      <c r="BR132" s="48">
        <f t="shared" ca="1" si="284"/>
        <v>0</v>
      </c>
      <c r="BS132" s="48">
        <f ca="1">IF(IF(AND(OR(INDEX(PDC,MATCH($AC132,DEN_PDC,0),4)="D",INDEX(PDC,MATCH($AC132,DEN_PDC,0),4)="D/A"),SUMIFS(DARE,DEN_G,$AC132)&gt;=SUMIFS(AVERE,DEN_G,$AC132)),SUMIFS(DARE,DEN_G,$AC132),IF(AND(OR(INDEX(PDC,MATCH($AC132,DEN_PDC,0),4)="A",INDEX(PDC,MATCH($AC132,DEN_PDC,0),4)="D/A"),SUMIFS(AVERE,DEN_G,$AC132)&gt;=SUMIFS(DARE,DEN_G,$AC132)),SUMIFS(AVERE,DEN_G,$AC132),))&gt;0,MAX($BS$2:BS131)+1,0)</f>
        <v>0</v>
      </c>
      <c r="BT132" s="48" t="str">
        <f ca="1">IF($CO$1=0,"",IF(AND($I$1=2,ROW()&gt;$BR$1,ROW()&lt;=$BS$1)," …………….",IF(AND($E$1=1,$BX$1=1,$I$1=2,ROW()=$BQ$1),"TOTALI",IFERROR(INDEX(PDC,MATCH(ROWS(BT$3:BT132),BS$3:BS529,0),2),""))))</f>
        <v/>
      </c>
      <c r="BU132" s="48">
        <f t="shared" ca="1" si="285"/>
        <v>0</v>
      </c>
      <c r="BV132" s="48">
        <f t="shared" ca="1" si="286"/>
        <v>0</v>
      </c>
      <c r="BW132" s="48">
        <f t="shared" ca="1" si="287"/>
        <v>0</v>
      </c>
      <c r="BX132" s="48">
        <f t="shared" ca="1" si="288"/>
        <v>0</v>
      </c>
      <c r="BY132" s="48">
        <f ca="1">IF(OR(BW132&gt;0,BX132&gt;0),MAX($BY$2:BY131)+1,0)</f>
        <v>0</v>
      </c>
      <c r="BZ132" s="48" t="str">
        <f ca="1">IFERROR(INDEX($BT$3:$BY$400,MATCH(ROWS(BZ$3:BZ132),$BY$3:$BY$400,0),1),"")</f>
        <v/>
      </c>
      <c r="CA132" s="48" t="str">
        <f ca="1">IFERROR(INDEX($BT$3:$BY$400,MATCH(ROWS(CA$3:CA132),$BY$3:$BY$400,0),4),"")</f>
        <v/>
      </c>
      <c r="CB132" s="48" t="str">
        <f ca="1">IFERROR(INDEX($BT$3:$BY$400,MATCH(ROWS(CB$3:CB132),$BY$3:$BY$400,0),5),"")</f>
        <v/>
      </c>
      <c r="CC132" s="48" t="str">
        <f t="shared" ca="1" si="289"/>
        <v/>
      </c>
      <c r="CD132" s="48">
        <f ca="1">IF(AND($BF$9=1,CE132&lt;&gt;0),MAX($CD$104:CD131)+1,0)</f>
        <v>0</v>
      </c>
      <c r="CE132" s="48">
        <f ca="1">IF(ROUND(SUMIFS(COPIA!$CB$3:$CB$400,COPIA!$CC$3:$CC$400,CF132)-SUMIFS(COPIA!$CA$3:$CA$400,COPIA!$CC$3:$CC$400,CF132),0)&lt;0,0,ROUND(SUMIFS(COPIA!$CB$3:$CB$400,COPIA!$CC$3:$CC$400,CF132)-SUMIFS(COPIA!$CA$3:$CA$400,COPIA!$CC$3:$CC$400,CF132),0))</f>
        <v>0</v>
      </c>
      <c r="CF132" s="48" t="s">
        <v>660</v>
      </c>
      <c r="CG132" s="242" t="s">
        <v>557</v>
      </c>
      <c r="CH132" s="48">
        <f t="shared" ca="1" si="259"/>
        <v>0</v>
      </c>
      <c r="CJ132" s="242">
        <f ca="1">SUMIFS(COPIA!$CB$3:$CB$400,COPIA!$CC$3:$CC$400,CF132)-SUMIFS(COPIA!$CA$3:$CA$400,COPIA!$CC$3:$CC$400,CF132)</f>
        <v>0</v>
      </c>
      <c r="CK132" s="48">
        <f ca="1">IF($CG$2=FALSE,0,IF(AND($BF$9=1,CJ132&lt;&gt;0),MAX($CK$21:CK131)+1,0))</f>
        <v>0</v>
      </c>
      <c r="CL132" s="48" t="s">
        <v>789</v>
      </c>
      <c r="CM132" s="242" t="str">
        <f t="shared" ref="CM132:CM195" ca="1" si="305">IF($CO$1=0,"",IF(AND($E$1=1,$I$1=2,OR($BU$1=1,$BU$1=3)),"",IF(AND($E$1=1,$I$1=2,$BW$1=1,ROW()=$BS$1+1,OR($BU$1=1,$BU$1=3,$CL$1=1)),"TOTALI",IF(AND($F$1=1,$BA$1&gt;0,$I$1=1,ROW()=$BT$1+3,$CL$1=1,$BD$1=1,$EL$2=0),"TOTALI",""))))</f>
        <v/>
      </c>
      <c r="CN132" s="243">
        <f t="shared" ref="CN132:CN195" ca="1" si="306">IF(CM132="TOTALI",$BU$401,0)</f>
        <v>0</v>
      </c>
      <c r="CO132" s="48" t="str">
        <f t="shared" ref="CO132:CO195" ca="1" si="307">IF($CO$1=0,"",CONCATENATE(BT132,CM132))</f>
        <v/>
      </c>
      <c r="CQ132" s="242"/>
      <c r="CR132" s="242"/>
      <c r="CU132" s="48">
        <f ca="1">IF(SUMIFS(AVERE,DEN_G,AC132,AVERE,"&gt;"&amp;0)+SUMIFS(DARE,DEN_G,AC132,DARE,"&gt;"&amp;0)&gt;0,MAX($CU$2:CU131)+1,0)</f>
        <v>0</v>
      </c>
      <c r="CV132" s="48" t="str">
        <f ca="1">IF(IFERROR(INDEX(PDC,MATCH(ROWS($CV$3:CV132),$CU$3:$CU$400,0),2),"")="CONTO DI RISULTATO ECONOMICO","",IFERROR(INDEX(PDC,MATCH(ROWS($CV$3:CV132),$CU$3:$CU$400,0),2),""))</f>
        <v/>
      </c>
      <c r="CW132" s="48">
        <f ca="1">IFERROR(IF(CV132&lt;&gt;"",MAX($CW$2:CW131)+1,0),0)</f>
        <v>0</v>
      </c>
      <c r="CY132" s="48" t="s">
        <v>500</v>
      </c>
      <c r="DB132" s="48" t="str">
        <f t="shared" ref="DB132" ca="1" si="308">IF(CX131=$DF$1,"","MASTRO")</f>
        <v>MASTRO</v>
      </c>
      <c r="DF132" s="48">
        <f ca="1">IF(AND(CX132=$DF$1,CX132&lt;&gt;""),0,IF(AND(DB132&lt;&gt;"",OR(DB131&lt;&gt;"",DB133&lt;&gt;"")),MAX($DF$2:DF131)+1,0))</f>
        <v>0</v>
      </c>
      <c r="DH132" s="244" t="s">
        <v>394</v>
      </c>
      <c r="DI132" s="48" t="str">
        <f ca="1">IF($DL$1=TRUE,"VERSAMENTI SOCI C/CAPITALE","VERSAMENTI AZIONISTI C/CAPITALE")</f>
        <v>VERSAMENTI AZIONISTI C/CAPITALE</v>
      </c>
      <c r="DJ132" s="48" t="s">
        <v>311</v>
      </c>
      <c r="DK132" s="48" t="s">
        <v>298</v>
      </c>
      <c r="DL132" s="48" t="s">
        <v>4</v>
      </c>
      <c r="DM132" s="48" t="s">
        <v>299</v>
      </c>
      <c r="DN132" s="48">
        <f ca="1">IF(DI132&lt;&gt;"",MAX($DN$2:DN131)+1,0)</f>
        <v>112</v>
      </c>
      <c r="DO132" s="48" t="s">
        <v>743</v>
      </c>
      <c r="DP132" s="48">
        <f t="shared" ca="1" si="290"/>
        <v>0</v>
      </c>
      <c r="DQ132" s="227" t="s">
        <v>492</v>
      </c>
      <c r="DR132" s="48" t="str">
        <f ca="1">IFERROR(IF(DP132&lt;&gt;0,CONCATENATE("VERSAMENTI SOCIO ",DP132," C/CAPITALE"),""),"")</f>
        <v/>
      </c>
      <c r="DS132" s="48" t="s">
        <v>311</v>
      </c>
      <c r="DT132" s="48" t="s">
        <v>298</v>
      </c>
      <c r="DU132" s="48" t="s">
        <v>4</v>
      </c>
      <c r="DV132" s="48" t="s">
        <v>299</v>
      </c>
      <c r="DW132" s="48">
        <f ca="1">IF(DR132&lt;&gt;"",MAX($DW$2:DW131)+1,0)</f>
        <v>0</v>
      </c>
      <c r="DX132" s="48" t="s">
        <v>743</v>
      </c>
      <c r="DY132" s="48" t="str">
        <f t="shared" ca="1" si="291"/>
        <v/>
      </c>
      <c r="DZ132" s="48" t="str">
        <f t="shared" ref="DZ132:DZ195" ca="1" si="309">IF(OR($ES$1&gt;0,$DW$1=0,$BX$1=0,$AY$1&lt;&gt;0),"",IF(AND($F$1=1,$BI$1&gt;=$BJ$1,$BP$2&gt;$BR$2,ROW()=$BI$1+3),"TOTALE RICAVI",IF(AND($F$1=1,$BI$1&gt;=$BJ$1,$BP$2&gt;$BR$2,ROW()=$BI$1+4),"SALDO ECONOMICO NEGATIVO",IF(AND($F$1=1,$BI$1&gt;=$BJ$1,$BP$2&gt;$BR$2,ROW()=$BI$1+5),"TOTALE A PAREGGIO",IF(AND($F$1=1,$BI$1&lt;=$BJ$1,$BP$2&gt;$BR$2,ROW()=$BJ$1+3),"TOTALE RICAVI",IF(AND($F$1=1,$BI$1&lt;=$BJ$1,$BP$2&gt;$BR$2,ROW()=$BJ$1+4),"SALDO ECONOMICO NEGATIVO",IF(AND($F$1=1,$BI$1&lt;=$BJ$1,$BP$2&gt;$BR$2,ROW()=$BJ$1+5),"TOTALE A PAREGGIO",IF(AND($F$1=1,$BI$1&gt;=$BJ$1,$BP$2&lt;$BR$2,ROW()=$BI$1+5),"TOTALE RICAVI",IF(AND($F$1=1,$BI$1&lt;=$BJ$1,$BP$2&lt;$BR$2,ROW()=$BJ$1+5),"TOTALE RICAVI",IF(AND($BP$2&lt;&gt;0,$F$1=1,$BI$1&gt;$BJ$1,$BP$2=$BR$2,ROW()=$BI$1+3),"TOTALE RICAVI",IF(AND($BP$2&lt;&gt;0,$F$1=1,$BI$1&lt;$BJ$1,$BP$2=$BR$2,ROW()=$BJ$1+3),"TOTALE RICAVI",IF(AND($BP$2&lt;&gt;0,$F$1=1,$BI$1=$BJ$1,$BP$2=$BR$2,ROW()=$BI$1+3),"TOTALE RICAVI",IF(AND($I$1=2,$E$1=1,$BI$1&gt;=$BJ$1,$DY$1&gt;0,ROW()=$BI$1+5),"TOTALE RICAVI",IF(AND($I$1=2,$E$1=1,$BI$1&lt;=$BJ$1,$DY$1&gt;0,ROW()=$BJ$1+5),"TOTALE RICAVI",IF(AND($I$1=2,$E$1=1,$BI$1&gt;=$BJ$1,$DY$2&gt;0,ROW()=$BI$1+7),"TOTALE RICAVI",IF(AND($I$1=2,$E$1=1,$BI$1&lt;=$BJ$1,$DY$2&gt;0,ROW()=$BJ$1+7),"TOTALE RICAVI",IF(AND($I$1=2,$E$1=1,$BI$1&lt;=$BJ$1,$DY$1&gt;0,ROW()=$BJ$1+6),"PERDITA D'ESERCIZIO",IF(AND($I$1=2,$E$1=1,$BI$1&gt;=$BJ$1,$DY$1&gt;0,ROW()=$BI$1+6),"PERDITA D'ESERCIZIO",IF(AND($I$1=2,$E$1=1,$BI$1&lt;=$BJ$1,$DY$1&gt;0,ROW()=$BJ$1+7),"TOTALE A PAREGGIO",IF(AND($I$1=2,$E$1=1,$BI$1&gt;=$BJ$1,$DY$1&gt;0,ROW()=$BI$1+7),"TOTALE A PAREGGIO",IF(AND($I$1=2,$E$1=1,$BI$1&gt;=$BJ$1,$DY$2&gt;0,ROW()=$BI$1+7),"TOTALE A PAREGGIO",IF(AND($I$1=2,$E$1=1,$BI$1&gt;=$BJ$1,$DY$2=0,$DY$1=0,ROW()=$BI$1+5),"TOTALE",IF(AND($I$1=2,$E$1=1,$BI$1&lt;=$BJ$1,$DY$2=0,$DY$1=0,ROW()=$BJ$1+5),"TOTALE","")))))))))))))))))))))))</f>
        <v/>
      </c>
      <c r="EA132" s="48" t="str">
        <f t="shared" ref="EA132:EA195" ca="1" si="310">IF($CO$1=0,"",IF(AND($CP$1=TRUE,CONCATENATE(DZ132,BQ132)="SALDO ECONOMICO NEGATIVO"),REPLACE(CONCATENATE(DZ132,BQ132),1,30,"PERDITA D'ESERCIZIO"),CONCATENATE(DZ132,BQ132)))</f>
        <v/>
      </c>
      <c r="EB132" s="48">
        <f t="shared" ref="EB132:EB195" ca="1" si="311">IF(AND($I$1=2,EA132="……………….."),"_ _ _",IF(AND(DZ132="TOTALE",$I$1=2),"_ _ _",IF(AND(DZ132="TOTALE RICAVI",$I$1=2),"_ _ _",IF(AND(DZ132="TOTALE A PAREGGIO",$I$1=2),"_ _ _",IF(AND(DZ132="PERDITA D'ESERCIZIO",$I$1=2),$DY$1,IF(OR(EA132="SALDO ECONOMICO NEGATIVO",EA132="PERDITA D'ESERCIZIO"),$BP$2-$BR$2,IF(DZ132="TOTALE RICAVI",$BR$2,IF(DZ132="TOTALE A PAREGGIO",$BP$2,0))))))))</f>
        <v>0</v>
      </c>
      <c r="EC132" s="48">
        <f t="shared" ref="EC132:EC195" ca="1" si="312">IF(AND($I$1=2,EB132&lt;&gt;0),EB132,SUM(EB132,BR132))</f>
        <v>0</v>
      </c>
      <c r="ED132" s="48" t="str">
        <f t="shared" ref="ED132:ED195" ca="1" si="313">IF(OR($ES$1&gt;0,$DW$1=0,$BX$1=0,$AY$1&lt;&gt;0),"",IF(AND($F$1=1,$BG$1=$BH$1,$BL$2&gt;$BN$2,ROW()=$BG$1+5),"TOTALE",IF(AND($F$1=1,$BG$1=$BH$1,$BL$2=$BN$2,ROW()=$BG$1+3),"TOTALE",IF(AND($F$1=1,$BG$1=$BH$1,$BL$2&lt;$BN$2,ROW()=$BG$1+3),"TOTALE",IF(AND($F$1=1,$BG$1&gt;$BH$1,$BL$2&gt;$BN$2,ROW()=$BG$1+5),"TOTALE",IF(AND($F$1=1,$BG$1&gt;$BH$1,$BL$2=$BN$2,ROW()=$BG$1+3),"TOTALE",IF(AND($F$1=1,$BG$1&gt;$BH$1,$BL$2&lt;$BN$2,ROW()=$BG$1+3),"TOTALE",IF(AND($F$1=1,$BG$1&lt;$BH$1,$BL$2&gt;$BN$2,ROW()=$BH$1+5),"TOTALE",IF(AND($F$1=1,$BG$1&lt;$BH$1,$BL$2&lt;$BN$2,ROW()=$BH$1+3),"TOTALE",IF(AND($F$1=1,$BG$1&lt;$BH$1,$BL$2=$BN$2,ROW()=$BH$1+3),"TOTALE",IF(AND($F$1=1,$BG$1&lt;=$BH$1,$BL$2&lt;$BN$2,ROW()=$BH$1+4),"SALDO ECONOMICO NEGATIVO",IF(AND($F$1=1,$BG$1&gt;$BH$1,$BL$2&lt;$BN$2,ROW()=$BG$1+4),"SALDO ECONOMICO NEGATIVO",IF(AND($F$1=1,$BG$1&lt;$BH$1,$BL$2&lt;$BN$2,ROW()=$BH$1+5),"TOTALE A PAREGGIO",IF(AND($F$1=1,$BG$1&gt;=$BH$1,$BL$2&lt;$BN$2,ROW()=$BG$1+5),"TOTALE A PAREGGIO",IF(AND($I$1=2,$E$1=1,$BG$1&gt;=$BH$1,$DY$1&gt;0,ROW()=$BG$1+7),"TOTALE A PAREGGIO",IF(AND($I$1=2,$E$1=1,$BG$1&gt;=$BH$1,$DY$1&gt;0,ROW()=$BG$1+6),"PERDITA D'ESERCIZIO",IF(AND($I$1=2,$E$1=1,$BG$1&gt;=$BH$1,$DY$1&gt;0,ROW()=$BG$1+5),"TOTALE",IF(AND($I$1=2,$E$1=1,$BG$1&lt;=$BH$1,$DY$1&gt;0,ROW()=$BH$1+7),"TOTALE A PAREGGIO",IF(AND($I$1=2,$E$1=1,$BG$1&lt;=$BH$1,$DY$1&gt;0,ROW()=$BH$1+6),"PERDITA D'ESERCIZIO",IF(AND($I$1=2,$E$1=1,$BG$1&lt;=$BH$1,$DY$1&gt;0,ROW()=$BH$1+5),"TOTALE",IF(AND($I$1=2,$E$1=1,$BG$1&lt;=$BH$1,$DY$2&gt;0,ROW()=$BH$1+7),"TOTALE",IF(AND($I$1=2,$E$1=1,$BG$1&gt;=$BH$1,$DY$2&gt;0,ROW()=$BG$1+7),"TOTALE",IF(AND($I$1=2,$E$1=1,$BG$1&gt;=$BH$1,$DY$2=0,$DY$1=0,ROW()=$BG$1+5),"TOTALE",IF(AND($I$1=2,$E$1=1,$BG$1&lt;=$BH$1,$DY$2=0,$DY$1=0,ROW()=$BH$1+5),"TOTALE",""))))))))))))))))))))))))</f>
        <v/>
      </c>
      <c r="EE132" s="48">
        <f t="shared" ref="EE132:EE195" ca="1" si="314">IF(AND($I$1=2,EF132="……………….."),"_ _ _",IF(AND($I$1=2,ED132="TOTALE"),"_ _ _",IF(AND($I$1=2,ED132="TOTALE A PAREGGIO"),"_ _ _",IF(AND($I$1=2,ED132="PERDITA D'ESERCIZIO"),$DY$1,IF(ED132="totale",$BL$2,IF(ED132="SALDO ECONOMICO NEGATIVO",$BP$2-$BR$2,IF(ED132="TOTALE A PAREGGIO",$BN$2,0)))))))</f>
        <v>0</v>
      </c>
      <c r="EF132" s="48" t="str">
        <f t="shared" ref="EF132:EF195" ca="1" si="315">IF($CO$1=0,"",CONCATENATE(ED132,BK132))</f>
        <v/>
      </c>
      <c r="EG132" s="48">
        <f t="shared" ref="EG132:EG195" ca="1" si="316">IF(AND($I$1=2,EE132&lt;&gt;0),EE132,SUM(BL132,EE132))</f>
        <v>0</v>
      </c>
      <c r="EH132" s="48" t="str">
        <f t="shared" ref="EH132:EH195" ca="1" si="317">IF(OR($ES$1&gt;0,$DW$1=0,$BX$1=0,$AY$1&lt;&gt;0),"",IF(AND($F$1=1,$BG$1=$BH$1,$BL$2&gt;$BN$2,ROW()=$BG$1+3),"TOTALE",IF(AND($F$1=1,$BG$1=$BH$1,$BL$2=$BN$2,ROW()=$BG$1+3),"TOTALE",IF(AND($F$1=1,$BG$1=$BH$1,$BL$2&lt;$BN$2,ROW()=$BG$1+5),"TOTALE",IF(AND($F$1=1,$BG$1&gt;$BH$1,$BL$2&gt;$BN$2,ROW()=$BG$1+3),"TOTALE",IF(AND($F$1=1,$BG$1&gt;$BH$1,$BL$2=$BN$2,ROW()=$BG$1+3),"TOTALE",IF(AND($F$1=1,$BG$1&gt;$BH$1,$BL$2&lt;$BN$2,ROW()=$BG$1+5),"TOTALE",IF(AND($F$1=1,$BG$1&lt;$BH$1,$BL$2&gt;$BN$2,ROW()=$BH$1+3),"TOTALE",IF(AND($F$1=1,$BG$1&lt;$BH$1,$BL$2&lt;$BN$2,ROW()=$BH$1+5),"TOTALE",IF(AND($F$1=1,$BG$1&lt;$BH$1,$BL$2=$BN$2,ROW()=$BH$1+3),"TOTALE",IF(AND($F$1=1,$BG$1&lt;=$BH$1,$BL$2&gt;$BN$2,ROW()=$BH$1+4),"SALDO ECONOMICO POSITIVO",IF(AND($F$1=1,$BG$1&gt;$BH$1,$BL$2&gt;$BN$2,ROW()=$BG$1+4),"SALDO ECONOMICO POSITIVO",IF(AND($F$1=1,$BG$1&lt;$BH$1,$BL$2&gt;$BN$2,ROW()=$BH$1+5),"TOTALE A PAREGGIO",IF(AND($F$1=1,$BG$1&gt;=$BH$1,$BL$2&gt;$BN$2,ROW()=$BG$1+5),"TOTALE A PAREGGIO",IF(AND($I$1=2,$E$1=1,$BG$1&gt;=$BH$1,$DY$2&gt;0,ROW()=$BG$1+7),"TOTALE A PAREGGIO",IF(AND($I$1=2,$E$1=1,$BG$1&gt;=$BH$1,$DY$2&gt;0,ROW()=$BG$1+6),"UTILE D'ESERCIZIO",IF(AND($I$1=2,$E$1=1,$BG$1&gt;=$BH$1,$DY$2&gt;0,ROW()=$BG$1+5),"TOTALE",IF(AND($I$1=2,$E$1=1,$BG$1&lt;=$BH$1,$DY$2&gt;0,ROW()=$BH$1+7),"TOTALE A PAREGGIO",IF(AND($I$1=2,$E$1=1,$BG$1&lt;=$BH$1,$DY$2&gt;0,ROW()=$BH$1+6),"UTILE D'ESERCIZIO",IF(AND($I$1=2,$E$1=1,$BG$1&lt;=$BH$1,$DY$2&gt;0,ROW()=$BH$1+5),"TOTALE",IF(AND($I$1=2,$E$1=1,$BG$1&lt;=$BH$1,$DY$1&gt;0,ROW()=$BH$1+7),"TOTALE",IF(AND($I$1=2,$E$1=1,$BG$1&gt;=$BH$1,$DY$1&gt;0,ROW()=$BG$1+7),"TOTALE",IF(AND($I$1=2,$E$1=1,$BG$1&gt;=$BH$1,$DY$2=0,$DY$1=0,ROW()=$BG$1+5),"TOTALE",IF(AND($I$1=2,$E$1=1,$BG$1&lt;=$BH$1,$DY$2=0,$DY$1=0,ROW()=$BH$1+5),"TOTALE",""))))))))))))))))))))))))</f>
        <v/>
      </c>
      <c r="EI132" s="48">
        <f t="shared" ref="EI132:EI195" ca="1" si="318">IF(AND($I$1=2,EJ132="……………….."),"_ _ _",IF(AND($I$1=2,EH132="TOTALE"),"_ _ _",IF(AND($I$1=2,EH132="TOTALE A PAREGGIO"),"_ _ _",IF(AND($I$1=2,EH132="UTILE D'ESERCIZIO"),$DY$2,IF(EH132="totale",$BN$2,IF(EH132="SALDO ECONOMICO POSITIVO",$BR$2-$BP$2,IF(EH132="TOTALE A PAREGGIO",$BL$2,0)))))))</f>
        <v>0</v>
      </c>
      <c r="EJ132" s="48" t="str">
        <f t="shared" ref="EJ132:EJ195" ca="1" si="319">IF($CO$1=0,"",CONCATENATE(EH132,BM132))</f>
        <v/>
      </c>
      <c r="EK132" s="48">
        <f t="shared" ref="EK132:EK195" ca="1" si="320">IF(AND($I$1=2,EI132&lt;&gt;0),EI132,SUM(EI132,BN132))</f>
        <v>0</v>
      </c>
      <c r="EL132" s="48">
        <f t="shared" ca="1" si="292"/>
        <v>0</v>
      </c>
      <c r="EM132" s="48">
        <f ca="1">IF(EL132&gt;=0,0,MAX($EM$2:EM131)+1)</f>
        <v>0</v>
      </c>
      <c r="EN132" s="48" t="str">
        <f t="shared" ref="EN132:EN195" ca="1" si="321">IF(EL132&lt;0,AC132,"")</f>
        <v/>
      </c>
      <c r="EO132" s="48" t="str">
        <f ca="1">IFERROR(INDEX($EM$3:$EN$400,MATCH(ROWS($EO$3:EO132),$EM$3:$EM$400,0),2),"")</f>
        <v/>
      </c>
      <c r="EP132" s="48">
        <f>ROW()</f>
        <v>132</v>
      </c>
      <c r="EQ132" s="48">
        <f t="shared" ca="1" si="293"/>
        <v>0</v>
      </c>
      <c r="ER132" s="48">
        <f ca="1">IF(ISNA(EQ132)=TRUE,MAX($ER$2:ER131)+1,0)</f>
        <v>0</v>
      </c>
      <c r="ES132" s="48" t="str">
        <f t="shared" ref="ES132:ES195" ca="1" si="322">IF(ER132&lt;&gt;0,AM132,"")</f>
        <v/>
      </c>
      <c r="ET132" s="48" t="str">
        <f ca="1">IFERROR(INDEX($ER$3:$ES$400,MATCH(ROWS($ET$3:ET132),$ER$3:$ER$400,0),2),"")</f>
        <v/>
      </c>
      <c r="EV132" s="48">
        <f ca="1">IFERROR(INDEX(LIBRO_GIORNALE!$O$11:$P$408,MATCH(ROWS($EV$2:EV131),LIBRO_GIORNALE!$P$11:$P$408,0),1),0)</f>
        <v>0</v>
      </c>
      <c r="EW132" s="48" t="str">
        <f t="shared" ref="EW132:EW195" ca="1" si="323">UPPER(IFERROR(INDEX($AZ$103:$BB$400,MATCH(EV132,$AZ$103:$AZ$400,0),3),0))</f>
        <v>0</v>
      </c>
      <c r="EX132" s="48">
        <f t="shared" ref="EX132:EX195" ca="1" si="324">IF(EXACT(EW132,EW131),0,IF($EV$1=1,IFERROR(MATCH($EW132,$CV$3:$CV$400,0),0),0))</f>
        <v>0</v>
      </c>
      <c r="EY132" s="48">
        <f ca="1">IF(EX132&gt;0,MAX($EY$2:EY131)+1,0)</f>
        <v>0</v>
      </c>
      <c r="EZ132" s="48">
        <f ca="1">IFERROR(INDEX($EX$3:$EX$400,MATCH(ROWS($EZ$3:EZ132),$EY$3:$EY$400,0),1),0)</f>
        <v>0</v>
      </c>
      <c r="FA132" s="48">
        <f ca="1">IF(EZ132&gt;0,0,MAX($FA$2:FA131)+1)</f>
        <v>130</v>
      </c>
      <c r="FB132" s="48">
        <f t="shared" ref="FB132:FB195" ca="1" si="325">IFERROR(IF(FA132&gt;0,MATCH(FA132,$EZ$3:$EZ$400,0),0),0)</f>
        <v>0</v>
      </c>
      <c r="FC132" s="48">
        <f t="shared" ref="FC132:FC195" ca="1" si="326">IF(FB132=0,FA132,0)</f>
        <v>130</v>
      </c>
      <c r="FD132" s="48">
        <f t="shared" ref="FD132:FD195" ca="1" si="327">SUM(EZ132,FC132)</f>
        <v>130</v>
      </c>
      <c r="FE132" s="48">
        <f ca="1">IF(FD132=0,0,MAX($FE$2:FE131)+1)</f>
        <v>130</v>
      </c>
      <c r="FF132" s="48">
        <f ca="1">IFERROR(INDEX($FD$3:$FE$400,MATCH(ROWS($FF$3:FF132),$FE$3:$FE$400,0),1),"")</f>
        <v>130</v>
      </c>
      <c r="FG132" s="48">
        <f t="shared" ca="1" si="255"/>
        <v>0</v>
      </c>
      <c r="FH132" s="48">
        <f t="shared" ref="FH132:FH195" ca="1" si="328">IF(F132="SP DARE/AVERE",B132,0)</f>
        <v>0</v>
      </c>
      <c r="FI132" s="48">
        <f ca="1">IF(FH132&lt;&gt;0,MAX($FI$2:FI131)+1,0)</f>
        <v>0</v>
      </c>
      <c r="FJ132" s="48" t="str">
        <f ca="1">IFERROR(INDEX($FH$3:$FI$400,MATCH(ROWS($FJ$3:FJ132),$FI$3:$FI$400,0),1),"")</f>
        <v/>
      </c>
      <c r="FK132" s="48">
        <f ca="1">IF(ABS(SUMIFS(DARE,DEN_G,"="&amp;FJ132,DATA,"&lt;="&amp;FINE_AC,DATA,"&gt;="&amp;INIZIO_A_PC)-SUMIFS(AVERE,DEN_G,"="&amp;FJ132,DATA,"&lt;="&amp;FINE_AC,DATA,"&gt;="&amp;INIZIO_A_PC))&gt;0,MAX($FK$2:FK131)+1,0)</f>
        <v>0</v>
      </c>
      <c r="FL132" s="48" t="str">
        <f ca="1">IF(AND(ROW()-2&lt;&gt;1,ROW()-2&lt;=$FK$1),CONCATENATE(" - ",IFERROR(INDEX($FJ$3:$FK$400,MATCH(ROWS($FL$3:FL132),$FK$3:$FK$400,0),1),"")),IFERROR(INDEX($FJ$3:$FK$400,MATCH(ROWS($FL$3:FL132),$FK$3:$FK$400,0),1),""))</f>
        <v/>
      </c>
      <c r="FM132" s="48">
        <f ca="1">IF(OR(B132="IVA ns/credito",B132="IVA NS/DEBITO",B132="IVA C/ACCONTO",B132="IMPOSTE C/ACCONTO",B132="CREDITI PER RITENUTE SUBITE",B132="CREDITI D'IMPOSTA"),MAX($FM$2:FM131)+1,0)</f>
        <v>0</v>
      </c>
      <c r="FN132" s="48" t="str">
        <f t="shared" ref="FN132:FN195" ca="1" si="329">IF(FM132&gt;0,B132,"")</f>
        <v/>
      </c>
      <c r="FO132" s="48" t="str">
        <f ca="1">IFERROR(INDEX($FM$3:$FN$400,MATCH(ROWS($FO$3:FO132),$FM$3:$FM$400,0),2),"")</f>
        <v/>
      </c>
      <c r="FP132" s="48">
        <f ca="1">IF(ABS(SUMIFS(DARE,DEN_G,"="&amp;FO132,DATA,"&lt;="&amp;FINE_AC,DATA,"&gt;="&amp;INIZIO_A_PC)-SUMIFS(AVERE,DEN_G,"="&amp;FO132,DATA,"&lt;="&amp;FINE_AC,DATA,"&gt;="&amp;INIZIO_A_PC))&gt;0,MAX($FP$2:FP131)+1,0)</f>
        <v>0</v>
      </c>
      <c r="FQ132" s="48" t="str">
        <f ca="1">IF(AND(ROW()-2&lt;&gt;1,ROW()-2&lt;=$FP$1),CONCATENATE(" - ",IFERROR(INDEX($FO$3:$FP$400,MATCH(ROWS($FQ$3:FQ132),$FP$3:$FP$400,0),1),"")),IFERROR(INDEX($FO$3:$FP$400,MATCH(ROWS($FQ$3:FQ132),$FP$3:$FP$400,0),1),""))</f>
        <v/>
      </c>
    </row>
    <row r="133" spans="1:173" x14ac:dyDescent="0.3">
      <c r="A133" s="48" t="str">
        <f ca="1">IFERROR(IF($A$1=2,INDEX($DH$3:$DN$401,MATCH(ROWS(A$3:A133),$DN$3:$DN$401,0),COLUMN()),IF($A$1=1,INDEX($DQ$3:$DW$401,MATCH(ROWS(A$3:A133),$DW$3:$DW$401,0),COLUMN()),"")),"")</f>
        <v>13.11</v>
      </c>
      <c r="B133" s="48" t="str">
        <f ca="1">IFERROR(IF($A$1=2,INDEX($DH$3:$DN$401,MATCH(ROWS(B$3:B133),$DN$3:$DN$401,0),COLUMN()),IF($A$1=1,INDEX($DQ$3:$DW$400,MATCH(ROWS(B$3:B133),$DW$3:$DW$401,0),COLUMN()),"")),"")</f>
        <v>BANCHE C/ANTICIPI SU FATTURE</v>
      </c>
      <c r="C133" s="48" t="str">
        <f ca="1">IFERROR(IF($A$1=2,INDEX($DH$3:$DN$401,MATCH(ROWS(C$3:C133),$DN$3:$DN$401,0),COLUMN()),IF($A$1=1,INDEX($DQ$3:$DW$401,MATCH(ROWS(C$3:C133),$DW$3:$DW$401,0),COLUMN()),"")),"")</f>
        <v>F</v>
      </c>
      <c r="D133" s="48" t="str">
        <f ca="1">IFERROR(IF($A$1=2,INDEX($DH$3:$DN$401,MATCH(ROWS(D$3:D133),$DN$3:$DN$401,0),COLUMN()),IF($A$1=1,INDEX($DQ$3:$DW$401,MATCH(ROWS(D$3:D133),$DW$3:$DW$401,0),COLUMN()),"")),"")</f>
        <v>A</v>
      </c>
      <c r="E133" s="48" t="str">
        <f ca="1">IFERROR(IF($A$1=2,INDEX($DH$3:$DN$401,MATCH(ROWS(E$3:E133),$DN$3:$DN$401,0),COLUMN()),IF($A$1=1,INDEX($DQ$3:$DW$401,MATCH(ROWS(E$3:E133),$DW$3:$DW$401,0),COLUMN()),"")),"")</f>
        <v>DEBITI</v>
      </c>
      <c r="F133" s="48" t="str">
        <f ca="1">IFERROR(IF($A$1=2,INDEX($DH$3:$DN$401,MATCH(ROWS(F$3:F133),$DN$3:$DN$401,0),COLUMN()),IF($A$1=1,INDEX($DQ$3:$DX$401,MATCH(ROWS(F$3:F133),$DW$3:$DW$401,0),COLUMN()),"")),"")</f>
        <v>SP AVERE</v>
      </c>
      <c r="G133" s="48" t="str">
        <f t="shared" ca="1" si="294"/>
        <v>SP</v>
      </c>
      <c r="H133" s="48" t="str">
        <f ca="1">IFERROR(IF($A$1=2,INDEX($DH$3:$DO$400,MATCH(ROWS(H$3:H133),$DN$3:$DN$400,0),COLUMN()),IF($A$1=1,INDEX($DQ$3:$DX$400,MATCH(ROWS(H$3:H133),$DW$3:$DW$400,0),COLUMN()),"")),"")</f>
        <v>ppd</v>
      </c>
      <c r="I133" s="48" t="str">
        <f t="shared" ca="1" si="295"/>
        <v/>
      </c>
      <c r="J133" s="48" t="str">
        <f t="shared" ca="1" si="296"/>
        <v/>
      </c>
      <c r="K133" s="48">
        <f t="shared" ca="1" si="297"/>
        <v>0</v>
      </c>
      <c r="L133" s="48">
        <f t="shared" ca="1" si="298"/>
        <v>0</v>
      </c>
      <c r="M133" s="48">
        <f ca="1">IFERROR(IF(IF(MID($A133,3,3)=".00",MID(A133,1,2),"")&lt;&gt;"",MAX($M$2:M132)+1,0),"")</f>
        <v>0</v>
      </c>
      <c r="N133" s="48" t="str">
        <f t="shared" ca="1" si="299"/>
        <v/>
      </c>
      <c r="O133" s="48" t="str">
        <f ca="1">IF(IFERROR(INDEX($N$3:$O$300,MATCH(ROWS($O$3:O133),$M$3:$M$300,0),1),"")&lt;&gt;"",CONCATENATE(INDEX($N$3:$O$300,MATCH(ROWS($O$3:O133),$M$3:$M$300,0),1),".00"),"")</f>
        <v/>
      </c>
      <c r="P133" s="48" t="str">
        <f t="shared" ca="1" si="300"/>
        <v/>
      </c>
      <c r="Q133" s="48">
        <f ca="1">IF(M133&gt;=1,0,MAX($Q$2:Q132)+1)</f>
        <v>117</v>
      </c>
      <c r="U133" s="48" t="str">
        <f ca="1">IFERROR(INDEX(PDC,MATCH(ROWS(U$3:U133),$V$3:$V$400,0),2),"")</f>
        <v>CLIENTI C/ACCONTI</v>
      </c>
      <c r="V133" s="48">
        <f ca="1">IF(AND($T$1="VISUALIZZA TUTTI I CONTI",AA133&lt;&gt;""),MAX($V$2:V132)+1,IF(AND($U$2=2,AI133=$T$1),MAX($V$2:V132)+1,IF(AND($U$2=1,$T$1=AF133),MAX($V$2:V132)+1,0)))</f>
        <v>131</v>
      </c>
      <c r="Z133" s="246"/>
      <c r="AA133" s="48" t="str">
        <f t="shared" ca="1" si="301"/>
        <v>14.00</v>
      </c>
      <c r="AB133" s="48" t="str">
        <f ca="1">IFERROR(INDEX($A$3:$G$400,MATCH(ROWS(AB$3:AB133),$Q$3:$Q$400,0),1),"")</f>
        <v>14.20</v>
      </c>
      <c r="AC133" s="48" t="str">
        <f ca="1">IFERROR(INDEX($A$3:$G$400,MATCH(ROWS($AC$3:AC133),$Q$3:$Q$400,0),2),"")</f>
        <v>CLIENTI C/ACCONTI</v>
      </c>
      <c r="AD133" s="48" t="str">
        <f ca="1">IFERROR(INDEX($A$3:$G$400,MATCH(ROWS(AD$3:AD133),$Q$3:$Q$400,0),3),"")</f>
        <v>F</v>
      </c>
      <c r="AE133" s="48" t="str">
        <f ca="1">IFERROR(INDEX($A$3:$G$400,MATCH(ROWS(AE$3:AE133),$Q$3:$Q$400,0),4),"")</f>
        <v>A</v>
      </c>
      <c r="AF133" s="48" t="str">
        <f ca="1">IFERROR(INDEX($A$3:$G$400,MATCH(ROWS(AF$3:AF133),$Q$3:$Q$400,0),5),"")</f>
        <v>DEBITI</v>
      </c>
      <c r="AG133" s="48" t="str">
        <f ca="1">IFERROR(INDEX($A$3:$G$400,MATCH(ROWS(AG$3:AG133),$Q$3:$Q$400,0),6),"")</f>
        <v>SP AVERE</v>
      </c>
      <c r="AH133" s="48" t="str">
        <f ca="1">IFERROR(INDEX($A$3:$G$400,MATCH(ROWS(AH$3:AH133),$Q$3:$Q$400,0),7),"")</f>
        <v>SP</v>
      </c>
      <c r="AI133" s="48" t="str">
        <f t="shared" ca="1" si="302"/>
        <v>DEBITI COMMERCIALI</v>
      </c>
      <c r="AJ133" s="48" t="str">
        <f ca="1">IFERROR(INDEX($A$3:$H$400,MATCH(ROWS(AJ$3:AJ133),$Q$3:$Q$400,0),8),"")</f>
        <v>ppd</v>
      </c>
      <c r="AK133" s="48">
        <f t="shared" ca="1" si="277"/>
        <v>0</v>
      </c>
      <c r="AL133" s="48">
        <f t="shared" ca="1" si="251"/>
        <v>0</v>
      </c>
      <c r="AM133" s="48">
        <f t="shared" ca="1" si="252"/>
        <v>0</v>
      </c>
      <c r="AN133" s="48">
        <f t="shared" ca="1" si="253"/>
        <v>0</v>
      </c>
      <c r="AO133" s="48">
        <f t="shared" ca="1" si="254"/>
        <v>0</v>
      </c>
      <c r="AP133" s="48">
        <f t="shared" ca="1" si="254"/>
        <v>0</v>
      </c>
      <c r="AQ133" s="48" t="str">
        <f t="shared" ca="1" si="278"/>
        <v>CLIENTI C/ACCONTI</v>
      </c>
      <c r="AR133" s="48">
        <f t="shared" ca="1" si="279"/>
        <v>0</v>
      </c>
      <c r="AS133" s="48">
        <f t="shared" ca="1" si="280"/>
        <v>0</v>
      </c>
      <c r="AT133" s="48">
        <f t="shared" ca="1" si="303"/>
        <v>0</v>
      </c>
      <c r="AU133" s="48">
        <f t="shared" ca="1" si="304"/>
        <v>0</v>
      </c>
      <c r="AV133" s="48">
        <f ca="1">IF(OR(AT133&gt;0,AU133&gt;0),MAX($AV$2:AV132)+1,0)</f>
        <v>0</v>
      </c>
      <c r="AZ133" s="241" t="str">
        <f t="shared" si="240"/>
        <v>33 V.I.</v>
      </c>
      <c r="BA133" s="48">
        <f t="shared" ref="BA133:BA164" ca="1" si="330">IF(AND(AL35&gt;=INIZIO_AC,AL35&gt;=INIZIO_A_PC,AL35&lt;=FINE_AC),AL35,0)</f>
        <v>0</v>
      </c>
      <c r="BB133" s="48">
        <f t="shared" ca="1" si="247"/>
        <v>0</v>
      </c>
      <c r="BC133" s="48" t="str">
        <f t="shared" ca="1" si="248"/>
        <v/>
      </c>
      <c r="BD133" s="48">
        <f t="shared" ca="1" si="249"/>
        <v>0</v>
      </c>
      <c r="BE133" s="48">
        <f t="shared" ca="1" si="250"/>
        <v>0</v>
      </c>
      <c r="BF133" s="48">
        <v>31</v>
      </c>
      <c r="BG133" s="48">
        <f ca="1">IF(IF(AND(OR(INDEX(PDC,MATCH($AC133,DEN_PDC,0),6)="SP DARE",INDEX(PDC,MATCH($AC133,DEN_PDC,0),6)="SP DARE/AVERE"),SUMIFS(DARE,DEN_G,$AC133)&gt;=SUMIFS(AVERE,DEN_G,$AC133)),SUMIFS(DARE,DEN_G,$AC133)-SUMIFS(AVERE,DEN_G,$AC133),0)&gt;0,MAX($BG$2:BG132)+1,0)</f>
        <v>0</v>
      </c>
      <c r="BH133" s="48">
        <f ca="1">IF(IF(AND(OR(INDEX(PDC,MATCH($AC133,DEN_PDC,0),6)="SP AVERE",INDEX(PDC,MATCH($AC133,DEN_PDC,0),6)="SP DARE/AVERE"),SUMIFS(AVERE,DEN_G,$AC133)&gt;=SUMIFS(DARE,DEN_G,$AC133)),SUMIFS(AVERE,DEN_G,$AC133)-SUMIFS(DARE,DEN_G,$AC133),0)&gt;0,MAX(BH$2:BH132)+1,0)</f>
        <v>0</v>
      </c>
      <c r="BI133" s="48">
        <f ca="1">IF(IF(AND(OR(INDEX(PDC,MATCH($AC133,DEN_PDC,0),6)="SE DARE",INDEX(PDC,MATCH($AC133,DEN_PDC,0),6)="SE DARE/AVERE"),SUMIFS(DARE,DEN_G,$AC133)&gt;=SUMIFS(AVERE,DEN_G,$AC133)),SUMIFS(DARE,DEN_G,$AC133)-SUMIFS(AVERE,DEN_G,$AC133),0)&gt;0,MAX(BI$2:BI132)+1,0)</f>
        <v>0</v>
      </c>
      <c r="BJ133" s="48">
        <f ca="1">IF(IF(AND(OR(INDEX(PDC,MATCH($AC133,DEN_PDC,0),6)="SE AVERE",INDEX(PDC,MATCH($AC133,DEN_PDC,0),6)="SE DARE/AVERE"),SUMIFS(AVERE,DEN_G,$AC133)&gt;=SUMIFS(DARE,DEN_G,$AC133)),SUMIFS(AVERE,DEN_G,$AC133)-SUMIFS(DARE,DEN_G,$AC133),0)&gt;0,MAX(BJ$2:BJ132)+1,0)</f>
        <v>0</v>
      </c>
      <c r="BK133" s="48" t="str">
        <f ca="1">IF(AND(AND($DY$2=0,$DY$1=0),$I$1=2,ROW()&gt;$BG$1+2,ROW()&lt;=$BG$1+4),"………………..",IF(AND(OR($DY$2&gt;0,$DY$1&gt;0),$I$1=2,ROW()&gt;$BG$1+2,ROW()&lt;=$BG$1+4),"………………..",IFERROR(INDEX($AC$3:$AC$398,MATCH(ROWS(BK$3:BK133),BG$3:BG$398,0),1),"")))</f>
        <v/>
      </c>
      <c r="BL133" s="48">
        <f t="shared" ca="1" si="281"/>
        <v>0</v>
      </c>
      <c r="BM133" s="48" t="str">
        <f ca="1">IF(AND(OR($DY$2=0,$DY$1=0),$I$1=2,ROW()&gt;$BH$1+2,ROW()&lt;=$BH$1+4),"………………..",IF(AND(OR($DY$2&gt;0,$DY$1&gt;0),$I$1=2,ROW()&gt;$BH$1+2,ROW()&lt;=$BH$1+4),"………………..",IFERROR(INDEX($AC$3:$AC$400,MATCH(ROWS(BM$3:BM133),BH$3:BH$400,0),1),"")))</f>
        <v/>
      </c>
      <c r="BN133" s="48">
        <f t="shared" ca="1" si="282"/>
        <v>0</v>
      </c>
      <c r="BO133" s="48" t="str">
        <f ca="1">IF(AND(OR($DY$2=0,$DY$1=0),$I$1=2,ROW()&gt;$BI$1+2,ROW()&lt;=$BI$1+4),"………………..",IF(AND(OR($DY$2&gt;0,$DY$1&gt;0),$I$1=2,ROW()&gt;$BI$1+2,ROW()&lt;=$BI$1+4),"………………..",IFERROR(INDEX($AC$3:$AC$400,MATCH(ROWS(BO$3:BO133),BI$3:BI$400,0),1),"")))</f>
        <v/>
      </c>
      <c r="BP133" s="48">
        <f t="shared" ca="1" si="283"/>
        <v>0</v>
      </c>
      <c r="BQ133" s="48" t="str">
        <f ca="1">IF(AND(OR($DY$2=0,$DY$1=0),$I$1=2,ROW()&gt;$BJ$1+2,ROW()&lt;=$BJ$1+4),"………………..",IF(AND(OR($DY$2&gt;0,$DY$1&gt;0),$I$1=2,ROW()&gt;$BJ$1+2,ROW()&lt;=$BJ$1+4),"………………..",IFERROR(INDEX($AC$3:$AC$400,MATCH(ROWS(BQ$3:BQ133),BJ$3:BJ$400,0),1),"")))</f>
        <v/>
      </c>
      <c r="BR133" s="48">
        <f t="shared" ca="1" si="284"/>
        <v>0</v>
      </c>
      <c r="BS133" s="48">
        <f ca="1">IF(IF(AND(OR(INDEX(PDC,MATCH($AC133,DEN_PDC,0),4)="D",INDEX(PDC,MATCH($AC133,DEN_PDC,0),4)="D/A"),SUMIFS(DARE,DEN_G,$AC133)&gt;=SUMIFS(AVERE,DEN_G,$AC133)),SUMIFS(DARE,DEN_G,$AC133),IF(AND(OR(INDEX(PDC,MATCH($AC133,DEN_PDC,0),4)="A",INDEX(PDC,MATCH($AC133,DEN_PDC,0),4)="D/A"),SUMIFS(AVERE,DEN_G,$AC133)&gt;=SUMIFS(DARE,DEN_G,$AC133)),SUMIFS(AVERE,DEN_G,$AC133),))&gt;0,MAX($BS$2:BS132)+1,0)</f>
        <v>0</v>
      </c>
      <c r="BT133" s="48" t="str">
        <f ca="1">IF($CO$1=0,"",IF(AND($I$1=2,ROW()&gt;$BR$1,ROW()&lt;=$BS$1)," …………….",IF(AND($E$1=1,$BX$1=1,$I$1=2,ROW()=$BQ$1),"TOTALI",IFERROR(INDEX(PDC,MATCH(ROWS(BT$3:BT133),BS$3:BS530,0),2),""))))</f>
        <v/>
      </c>
      <c r="BU133" s="48">
        <f t="shared" ca="1" si="285"/>
        <v>0</v>
      </c>
      <c r="BV133" s="48">
        <f t="shared" ca="1" si="286"/>
        <v>0</v>
      </c>
      <c r="BW133" s="48">
        <f t="shared" ca="1" si="287"/>
        <v>0</v>
      </c>
      <c r="BX133" s="48">
        <f t="shared" ca="1" si="288"/>
        <v>0</v>
      </c>
      <c r="BY133" s="48">
        <f ca="1">IF(OR(BW133&gt;0,BX133&gt;0),MAX($BY$2:BY132)+1,0)</f>
        <v>0</v>
      </c>
      <c r="BZ133" s="48" t="str">
        <f ca="1">IFERROR(INDEX($BT$3:$BY$400,MATCH(ROWS(BZ$3:BZ133),$BY$3:$BY$400,0),1),"")</f>
        <v/>
      </c>
      <c r="CA133" s="48" t="str">
        <f ca="1">IFERROR(INDEX($BT$3:$BY$400,MATCH(ROWS(CA$3:CA133),$BY$3:$BY$400,0),4),"")</f>
        <v/>
      </c>
      <c r="CB133" s="48" t="str">
        <f ca="1">IFERROR(INDEX($BT$3:$BY$400,MATCH(ROWS(CB$3:CB133),$BY$3:$BY$400,0),5),"")</f>
        <v/>
      </c>
      <c r="CC133" s="48" t="str">
        <f t="shared" ca="1" si="289"/>
        <v/>
      </c>
      <c r="CD133" s="48">
        <f ca="1">IF(AND($BF$9=1,CE133&lt;&gt;0),MAX($CD$104:CD132)+1,0)</f>
        <v>0</v>
      </c>
      <c r="CE133" s="48">
        <f ca="1">ROUND(IFERROR(INDEX(BILANCIO!$I$13:$J$59,MATCH(CF133,BILANCIO!$J$13:$J$59,0),1),0),0)</f>
        <v>0</v>
      </c>
      <c r="CF133" s="48" t="s">
        <v>789</v>
      </c>
      <c r="CG133" s="242" t="s">
        <v>571</v>
      </c>
      <c r="CI133" s="48">
        <f t="shared" ref="CI133:CI161" ca="1" si="331">CE133</f>
        <v>0</v>
      </c>
      <c r="CJ133" s="242">
        <f ca="1">SUMIFS(COPIA!$CB$3:$CB$400,COPIA!$CC$3:$CC$400,CF133)-SUMIFS(COPIA!$CA$3:$CA$400,COPIA!$CC$3:$CC$400,CF133)</f>
        <v>0</v>
      </c>
      <c r="CK133" s="48">
        <f ca="1">IF($CG$2=FALSE,0,IF(AND($BF$9=1,CJ133&lt;&gt;0),MAX($CK$21:CK132)+1,0))</f>
        <v>0</v>
      </c>
      <c r="CM133" s="242" t="str">
        <f t="shared" ca="1" si="305"/>
        <v/>
      </c>
      <c r="CN133" s="243">
        <f t="shared" ca="1" si="306"/>
        <v>0</v>
      </c>
      <c r="CO133" s="48" t="str">
        <f t="shared" ca="1" si="307"/>
        <v/>
      </c>
      <c r="CQ133" s="242"/>
      <c r="CR133" s="242"/>
      <c r="CU133" s="48">
        <f ca="1">IF(SUMIFS(AVERE,DEN_G,AC133,AVERE,"&gt;"&amp;0)+SUMIFS(DARE,DEN_G,AC133,DARE,"&gt;"&amp;0)&gt;0,MAX($CU$2:CU132)+1,0)</f>
        <v>0</v>
      </c>
      <c r="CV133" s="48" t="str">
        <f ca="1">IF(IFERROR(INDEX(PDC,MATCH(ROWS($CV$3:CV133),$CU$3:$CU$400,0),2),"")="CONTO DI RISULTATO ECONOMICO","",IFERROR(INDEX(PDC,MATCH(ROWS($CV$3:CV133),$CU$3:$CU$400,0),2),""))</f>
        <v/>
      </c>
      <c r="CW133" s="48">
        <f ca="1">IFERROR(IF(CV133&lt;&gt;"",MAX($CW$2:CW132)+1,0),0)</f>
        <v>0</v>
      </c>
      <c r="CX133" s="48">
        <f ca="1">$FF$13</f>
        <v>11</v>
      </c>
      <c r="CY133" s="48" t="str">
        <f t="shared" ref="CY133:CY144" ca="1" si="332">IF(ISERROR(INDEX($CV$3:$CX$1302,MATCH(CX133,$CW$3:$CW$1302,0),1)),"MASTRO",INDEX($CV$3:$CX$1302,MATCH(CX133,$CW$3:$CW$1302,0),1))</f>
        <v>MASTRO</v>
      </c>
      <c r="DA133" s="48" t="str">
        <f>IF(CY132="MASTRO","Conto n.","")</f>
        <v>Conto n.</v>
      </c>
      <c r="DB133" s="48" t="str">
        <f ca="1">IF(CY133=0,"",INDEX(PDC,MATCH(DC133,DEN_PDC,0),1))</f>
        <v/>
      </c>
      <c r="DC133" s="48" t="str">
        <f ca="1">IF(OR(CY133=0,CY133="mastro"),"",CY133)</f>
        <v/>
      </c>
      <c r="DD133" s="48" t="str">
        <f ca="1">IF(AND($DA$2=TRUE,OR(INDEX(PDC,MATCH($DC133,DEN_PDC,0),4)="A",INDEX(PDC,MATCH($DC133,DEN_PDC,0),4)="D/A"),SUMIFS(AVERE,DEN_G,"="&amp;$DC133,DATA,"&lt;="&amp;FINE_AC,DATA,"&gt;="&amp;INIZIO_AC)&gt;SUMIFS(DARE,DEN_G,"="&amp;$DC133,DATA,"&lt;="&amp;FINE_AC,DATA,"&gt;="&amp;INIZIO_AC)),CONCATENATE("s ",FIXED(ABS(SUMIFS(AVERE,DEN_G,"="&amp;$DC133,DATA,"&lt;="&amp;FINE_AC,DATA,"&gt;="&amp;INIZIO_AC)-SUMIFS(DARE,DEN_G,"="&amp;$DC133,DATA,"&lt;="&amp;FINE_AC,DATA,"&gt;="&amp;INIZIO_AC)),2)),"")</f>
        <v/>
      </c>
      <c r="DE133" s="48" t="str">
        <f ca="1">IF(AND($DA$2=TRUE,OR(INDEX(PDC,MATCH($DC133,DEN_PDC,0),4)="D",INDEX(PDC,MATCH($DC133,DEN_PDC,0),4)="D/A"),SUMIFS(DARE,DEN_G,"="&amp;$DC133,DATA,"&lt;="&amp;FINE_AC,DATA,"&gt;="&amp;INIZIO_AC)&gt;SUMIFS(AVERE,DEN_G,"="&amp;$DC133,DATA,"&lt;="&amp;FINE_AC,DATA,"&gt;="&amp;INIZIO_AC)),CONCATENATE("s ",FIXED(ABS(SUMIFS(DARE,DEN_G,"="&amp;$DC133,DATA,"&lt;="&amp;FINE_AC,DATA,"&gt;="&amp;INIZIO_AC)-SUMIFS(AVERE,DEN_G,"="&amp;$DC133,DATA,"&lt;="&amp;FINE_AC,DATA,"&gt;="&amp;INIZIO_AC)),2)),"")</f>
        <v/>
      </c>
      <c r="DF133" s="48">
        <f ca="1">IF(AND(CX133=$DF$1,CX133&lt;&gt;""),0,IF(AND(DB133&lt;&gt;"",OR(DB132&lt;&gt;"",DB134&lt;&gt;"")),MAX($DF$2:DF132)+1,0))</f>
        <v>0</v>
      </c>
      <c r="DH133" s="244" t="s">
        <v>396</v>
      </c>
      <c r="DI133" s="48" t="s">
        <v>393</v>
      </c>
      <c r="DJ133" s="48" t="s">
        <v>311</v>
      </c>
      <c r="DK133" s="48" t="s">
        <v>298</v>
      </c>
      <c r="DL133" s="48" t="s">
        <v>4</v>
      </c>
      <c r="DM133" s="48" t="s">
        <v>299</v>
      </c>
      <c r="DN133" s="48">
        <f ca="1">IF(DI133&lt;&gt;"",MAX($DN$2:DN132)+1,0)</f>
        <v>113</v>
      </c>
      <c r="DO133" s="48" t="s">
        <v>649</v>
      </c>
      <c r="DP133" s="48">
        <f t="shared" ca="1" si="290"/>
        <v>0</v>
      </c>
      <c r="DQ133" s="227" t="s">
        <v>493</v>
      </c>
      <c r="DR133" s="48" t="str">
        <f ca="1">IFERROR(IF(DP133&lt;&gt;0,CONCATENATE("VERSAMENTI SOCIO ",DP133," C/CAPITALE"),""),"")</f>
        <v/>
      </c>
      <c r="DS133" s="48" t="s">
        <v>311</v>
      </c>
      <c r="DT133" s="48" t="s">
        <v>298</v>
      </c>
      <c r="DU133" s="48" t="s">
        <v>4</v>
      </c>
      <c r="DV133" s="48" t="s">
        <v>299</v>
      </c>
      <c r="DW133" s="48">
        <f ca="1">IF(DR133&lt;&gt;"",MAX($DW$2:DW132)+1,0)</f>
        <v>0</v>
      </c>
      <c r="DX133" s="48" t="s">
        <v>743</v>
      </c>
      <c r="DY133" s="48" t="str">
        <f t="shared" ca="1" si="291"/>
        <v/>
      </c>
      <c r="DZ133" s="48" t="str">
        <f t="shared" ca="1" si="309"/>
        <v/>
      </c>
      <c r="EA133" s="48" t="str">
        <f t="shared" ca="1" si="310"/>
        <v/>
      </c>
      <c r="EB133" s="48">
        <f t="shared" ca="1" si="311"/>
        <v>0</v>
      </c>
      <c r="EC133" s="48">
        <f t="shared" ca="1" si="312"/>
        <v>0</v>
      </c>
      <c r="ED133" s="48" t="str">
        <f t="shared" ca="1" si="313"/>
        <v/>
      </c>
      <c r="EE133" s="48">
        <f t="shared" ca="1" si="314"/>
        <v>0</v>
      </c>
      <c r="EF133" s="48" t="str">
        <f t="shared" ca="1" si="315"/>
        <v/>
      </c>
      <c r="EG133" s="48">
        <f t="shared" ca="1" si="316"/>
        <v>0</v>
      </c>
      <c r="EH133" s="48" t="str">
        <f t="shared" ca="1" si="317"/>
        <v/>
      </c>
      <c r="EI133" s="48">
        <f t="shared" ca="1" si="318"/>
        <v>0</v>
      </c>
      <c r="EJ133" s="48" t="str">
        <f t="shared" ca="1" si="319"/>
        <v/>
      </c>
      <c r="EK133" s="48">
        <f t="shared" ca="1" si="320"/>
        <v>0</v>
      </c>
      <c r="EL133" s="48">
        <f t="shared" ca="1" si="292"/>
        <v>0</v>
      </c>
      <c r="EM133" s="48">
        <f ca="1">IF(EL133&gt;=0,0,MAX($EM$2:EM132)+1)</f>
        <v>0</v>
      </c>
      <c r="EN133" s="48" t="str">
        <f t="shared" ca="1" si="321"/>
        <v/>
      </c>
      <c r="EO133" s="48" t="str">
        <f ca="1">IFERROR(INDEX($EM$3:$EN$400,MATCH(ROWS($EO$3:EO133),$EM$3:$EM$400,0),2),"")</f>
        <v/>
      </c>
      <c r="EP133" s="48">
        <f>ROW()</f>
        <v>133</v>
      </c>
      <c r="EQ133" s="48">
        <f t="shared" ca="1" si="293"/>
        <v>0</v>
      </c>
      <c r="ER133" s="48">
        <f ca="1">IF(ISNA(EQ133)=TRUE,MAX($ER$2:ER132)+1,0)</f>
        <v>0</v>
      </c>
      <c r="ES133" s="48" t="str">
        <f t="shared" ca="1" si="322"/>
        <v/>
      </c>
      <c r="ET133" s="48" t="str">
        <f ca="1">IFERROR(INDEX($ER$3:$ES$400,MATCH(ROWS($ET$3:ET133),$ER$3:$ER$400,0),2),"")</f>
        <v/>
      </c>
      <c r="EV133" s="48">
        <f ca="1">IFERROR(INDEX(LIBRO_GIORNALE!$O$11:$P$408,MATCH(ROWS($EV$2:EV132),LIBRO_GIORNALE!$P$11:$P$408,0),1),0)</f>
        <v>0</v>
      </c>
      <c r="EW133" s="48" t="str">
        <f t="shared" ca="1" si="323"/>
        <v>0</v>
      </c>
      <c r="EX133" s="48">
        <f t="shared" ca="1" si="324"/>
        <v>0</v>
      </c>
      <c r="EY133" s="48">
        <f ca="1">IF(EX133&gt;0,MAX($EY$2:EY132)+1,0)</f>
        <v>0</v>
      </c>
      <c r="EZ133" s="48">
        <f ca="1">IFERROR(INDEX($EX$3:$EX$400,MATCH(ROWS($EZ$3:EZ133),$EY$3:$EY$400,0),1),0)</f>
        <v>0</v>
      </c>
      <c r="FA133" s="48">
        <f ca="1">IF(EZ133&gt;0,0,MAX($FA$2:FA132)+1)</f>
        <v>131</v>
      </c>
      <c r="FB133" s="48">
        <f t="shared" ca="1" si="325"/>
        <v>0</v>
      </c>
      <c r="FC133" s="48">
        <f t="shared" ca="1" si="326"/>
        <v>131</v>
      </c>
      <c r="FD133" s="48">
        <f t="shared" ca="1" si="327"/>
        <v>131</v>
      </c>
      <c r="FE133" s="48">
        <f ca="1">IF(FD133=0,0,MAX($FE$2:FE132)+1)</f>
        <v>131</v>
      </c>
      <c r="FF133" s="48">
        <f ca="1">IFERROR(INDEX($FD$3:$FE$400,MATCH(ROWS($FF$3:FF133),$FE$3:$FE$400,0),1),"")</f>
        <v>131</v>
      </c>
      <c r="FG133" s="48">
        <f t="shared" ca="1" si="255"/>
        <v>0</v>
      </c>
      <c r="FH133" s="48">
        <f t="shared" ca="1" si="328"/>
        <v>0</v>
      </c>
      <c r="FI133" s="48">
        <f ca="1">IF(FH133&lt;&gt;0,MAX($FI$2:FI132)+1,0)</f>
        <v>0</v>
      </c>
      <c r="FJ133" s="48" t="str">
        <f ca="1">IFERROR(INDEX($FH$3:$FI$400,MATCH(ROWS($FJ$3:FJ133),$FI$3:$FI$400,0),1),"")</f>
        <v/>
      </c>
      <c r="FK133" s="48">
        <f ca="1">IF(ABS(SUMIFS(DARE,DEN_G,"="&amp;FJ133,DATA,"&lt;="&amp;FINE_AC,DATA,"&gt;="&amp;INIZIO_A_PC)-SUMIFS(AVERE,DEN_G,"="&amp;FJ133,DATA,"&lt;="&amp;FINE_AC,DATA,"&gt;="&amp;INIZIO_A_PC))&gt;0,MAX($FK$2:FK132)+1,0)</f>
        <v>0</v>
      </c>
      <c r="FL133" s="48" t="str">
        <f ca="1">IF(AND(ROW()-2&lt;&gt;1,ROW()-2&lt;=$FK$1),CONCATENATE(" - ",IFERROR(INDEX($FJ$3:$FK$400,MATCH(ROWS($FL$3:FL133),$FK$3:$FK$400,0),1),"")),IFERROR(INDEX($FJ$3:$FK$400,MATCH(ROWS($FL$3:FL133),$FK$3:$FK$400,0),1),""))</f>
        <v/>
      </c>
      <c r="FM133" s="48">
        <f ca="1">IF(OR(B133="IVA ns/credito",B133="IVA NS/DEBITO",B133="IVA C/ACCONTO",B133="IMPOSTE C/ACCONTO",B133="CREDITI PER RITENUTE SUBITE",B133="CREDITI D'IMPOSTA"),MAX($FM$2:FM132)+1,0)</f>
        <v>0</v>
      </c>
      <c r="FN133" s="48" t="str">
        <f t="shared" ca="1" si="329"/>
        <v/>
      </c>
      <c r="FO133" s="48" t="str">
        <f ca="1">IFERROR(INDEX($FM$3:$FN$400,MATCH(ROWS($FO$3:FO133),$FM$3:$FM$400,0),2),"")</f>
        <v/>
      </c>
      <c r="FP133" s="48">
        <f ca="1">IF(ABS(SUMIFS(DARE,DEN_G,"="&amp;FO133,DATA,"&lt;="&amp;FINE_AC,DATA,"&gt;="&amp;INIZIO_A_PC)-SUMIFS(AVERE,DEN_G,"="&amp;FO133,DATA,"&lt;="&amp;FINE_AC,DATA,"&gt;="&amp;INIZIO_A_PC))&gt;0,MAX($FP$2:FP132)+1,0)</f>
        <v>0</v>
      </c>
      <c r="FQ133" s="48" t="str">
        <f ca="1">IF(AND(ROW()-2&lt;&gt;1,ROW()-2&lt;=$FP$1),CONCATENATE(" - ",IFERROR(INDEX($FO$3:$FP$400,MATCH(ROWS($FQ$3:FQ133),$FP$3:$FP$400,0),1),"")),IFERROR(INDEX($FO$3:$FP$400,MATCH(ROWS($FQ$3:FQ133),$FP$3:$FP$400,0),1),""))</f>
        <v/>
      </c>
    </row>
    <row r="134" spans="1:173" x14ac:dyDescent="0.3">
      <c r="A134" s="48" t="str">
        <f ca="1">IFERROR(IF($A$1=2,INDEX($DH$3:$DN$401,MATCH(ROWS(A$3:A134),$DN$3:$DN$401,0),COLUMN()),IF($A$1=1,INDEX($DQ$3:$DW$401,MATCH(ROWS(A$3:A134),$DW$3:$DW$401,0),COLUMN()),"")),"")</f>
        <v>13.15</v>
      </c>
      <c r="B134" s="48" t="str">
        <f ca="1">IFERROR(IF($A$1=2,INDEX($DH$3:$DN$401,MATCH(ROWS(B$3:B134),$DN$3:$DN$401,0),COLUMN()),IF($A$1=1,INDEX($DQ$3:$DW$400,MATCH(ROWS(B$3:B134),$DW$3:$DW$401,0),COLUMN()),"")),"")</f>
        <v>SOVVENZIONI BANCARIE</v>
      </c>
      <c r="C134" s="48" t="str">
        <f ca="1">IFERROR(IF($A$1=2,INDEX($DH$3:$DN$401,MATCH(ROWS(C$3:C134),$DN$3:$DN$401,0),COLUMN()),IF($A$1=1,INDEX($DQ$3:$DW$401,MATCH(ROWS(C$3:C134),$DW$3:$DW$401,0),COLUMN()),"")),"")</f>
        <v>F</v>
      </c>
      <c r="D134" s="48" t="str">
        <f ca="1">IFERROR(IF($A$1=2,INDEX($DH$3:$DN$401,MATCH(ROWS(D$3:D134),$DN$3:$DN$401,0),COLUMN()),IF($A$1=1,INDEX($DQ$3:$DW$401,MATCH(ROWS(D$3:D134),$DW$3:$DW$401,0),COLUMN()),"")),"")</f>
        <v>A</v>
      </c>
      <c r="E134" s="48" t="str">
        <f ca="1">IFERROR(IF($A$1=2,INDEX($DH$3:$DN$401,MATCH(ROWS(E$3:E134),$DN$3:$DN$401,0),COLUMN()),IF($A$1=1,INDEX($DQ$3:$DW$401,MATCH(ROWS(E$3:E134),$DW$3:$DW$401,0),COLUMN()),"")),"")</f>
        <v>DEBITI</v>
      </c>
      <c r="F134" s="48" t="str">
        <f ca="1">IFERROR(IF($A$1=2,INDEX($DH$3:$DN$401,MATCH(ROWS(F$3:F134),$DN$3:$DN$401,0),COLUMN()),IF($A$1=1,INDEX($DQ$3:$DX$401,MATCH(ROWS(F$3:F134),$DW$3:$DW$401,0),COLUMN()),"")),"")</f>
        <v>SP AVERE</v>
      </c>
      <c r="G134" s="48" t="str">
        <f t="shared" ca="1" si="294"/>
        <v>SP</v>
      </c>
      <c r="H134" s="48" t="str">
        <f ca="1">IFERROR(IF($A$1=2,INDEX($DH$3:$DO$400,MATCH(ROWS(H$3:H134),$DN$3:$DN$400,0),COLUMN()),IF($A$1=1,INDEX($DQ$3:$DX$400,MATCH(ROWS(H$3:H134),$DW$3:$DW$400,0),COLUMN()),"")),"")</f>
        <v>ppd</v>
      </c>
      <c r="I134" s="48" t="str">
        <f t="shared" ca="1" si="295"/>
        <v/>
      </c>
      <c r="J134" s="48" t="str">
        <f t="shared" ca="1" si="296"/>
        <v/>
      </c>
      <c r="K134" s="48">
        <f t="shared" ca="1" si="297"/>
        <v>0</v>
      </c>
      <c r="L134" s="48">
        <f t="shared" ca="1" si="298"/>
        <v>0</v>
      </c>
      <c r="M134" s="48">
        <f ca="1">IFERROR(IF(IF(MID($A134,3,3)=".00",MID(A134,1,2),"")&lt;&gt;"",MAX($M$2:M133)+1,0),"")</f>
        <v>0</v>
      </c>
      <c r="N134" s="48" t="str">
        <f t="shared" ca="1" si="299"/>
        <v/>
      </c>
      <c r="O134" s="48" t="str">
        <f ca="1">IF(IFERROR(INDEX($N$3:$O$300,MATCH(ROWS($O$3:O134),$M$3:$M$300,0),1),"")&lt;&gt;"",CONCATENATE(INDEX($N$3:$O$300,MATCH(ROWS($O$3:O134),$M$3:$M$300,0),1),".00"),"")</f>
        <v/>
      </c>
      <c r="P134" s="48" t="str">
        <f t="shared" ca="1" si="300"/>
        <v/>
      </c>
      <c r="Q134" s="48">
        <f ca="1">IF(M134&gt;=1,0,MAX($Q$2:Q133)+1)</f>
        <v>118</v>
      </c>
      <c r="U134" s="48" t="str">
        <f ca="1">IFERROR(INDEX(PDC,MATCH(ROWS(U$3:U134),$V$3:$V$400,0),2),"")</f>
        <v>IVA NS/DEBITO</v>
      </c>
      <c r="V134" s="48">
        <f ca="1">IF(AND($T$1="VISUALIZZA TUTTI I CONTI",AA134&lt;&gt;""),MAX($V$2:V133)+1,IF(AND($U$2=2,AI134=$T$1),MAX($V$2:V133)+1,IF(AND($U$2=1,$T$1=AF134),MAX($V$2:V133)+1,0)))</f>
        <v>132</v>
      </c>
      <c r="Z134" s="246"/>
      <c r="AA134" s="48" t="str">
        <f t="shared" ca="1" si="301"/>
        <v>15.00</v>
      </c>
      <c r="AB134" s="48" t="str">
        <f ca="1">IFERROR(INDEX($A$3:$G$400,MATCH(ROWS(AB$3:AB134),$Q$3:$Q$400,0),1),"")</f>
        <v>15.01</v>
      </c>
      <c r="AC134" s="48" t="str">
        <f ca="1">IFERROR(INDEX($A$3:$G$400,MATCH(ROWS($AC$3:AC134),$Q$3:$Q$400,0),2),"")</f>
        <v>IVA NS/DEBITO</v>
      </c>
      <c r="AD134" s="48" t="str">
        <f ca="1">IFERROR(INDEX($A$3:$G$400,MATCH(ROWS(AD$3:AD134),$Q$3:$Q$400,0),3),"")</f>
        <v>F</v>
      </c>
      <c r="AE134" s="48" t="str">
        <f ca="1">IFERROR(INDEX($A$3:$G$400,MATCH(ROWS(AE$3:AE134),$Q$3:$Q$400,0),4),"")</f>
        <v>A</v>
      </c>
      <c r="AF134" s="48" t="str">
        <f ca="1">IFERROR(INDEX($A$3:$G$400,MATCH(ROWS(AF$3:AF134),$Q$3:$Q$400,0),5),"")</f>
        <v>DEBITI</v>
      </c>
      <c r="AG134" s="48" t="str">
        <f ca="1">IFERROR(INDEX($A$3:$G$400,MATCH(ROWS(AG$3:AG134),$Q$3:$Q$400,0),6),"")</f>
        <v>SP AVERE</v>
      </c>
      <c r="AH134" s="48" t="str">
        <f ca="1">IFERROR(INDEX($A$3:$G$400,MATCH(ROWS(AH$3:AH134),$Q$3:$Q$400,0),7),"")</f>
        <v>SP</v>
      </c>
      <c r="AI134" s="48" t="str">
        <f t="shared" ca="1" si="302"/>
        <v>DEBITI DIVERSI</v>
      </c>
      <c r="AJ134" s="48" t="str">
        <f ca="1">IFERROR(INDEX($A$3:$H$400,MATCH(ROWS(AJ$3:AJ134),$Q$3:$Q$400,0),8),"")</f>
        <v>ppd</v>
      </c>
      <c r="AK134" s="48">
        <f t="shared" ca="1" si="277"/>
        <v>0</v>
      </c>
      <c r="AL134" s="48">
        <f t="shared" ca="1" si="251"/>
        <v>0</v>
      </c>
      <c r="AM134" s="48">
        <f t="shared" ca="1" si="252"/>
        <v>0</v>
      </c>
      <c r="AN134" s="48">
        <f t="shared" ca="1" si="253"/>
        <v>0</v>
      </c>
      <c r="AO134" s="48">
        <f t="shared" ca="1" si="254"/>
        <v>0</v>
      </c>
      <c r="AP134" s="48">
        <f t="shared" ca="1" si="254"/>
        <v>0</v>
      </c>
      <c r="AQ134" s="48" t="str">
        <f t="shared" ca="1" si="278"/>
        <v>IVA NS/DEBITO</v>
      </c>
      <c r="AR134" s="48">
        <f t="shared" ca="1" si="279"/>
        <v>0</v>
      </c>
      <c r="AS134" s="48">
        <f t="shared" ca="1" si="280"/>
        <v>0</v>
      </c>
      <c r="AT134" s="48">
        <f t="shared" ca="1" si="303"/>
        <v>0</v>
      </c>
      <c r="AU134" s="48">
        <f t="shared" ca="1" si="304"/>
        <v>0</v>
      </c>
      <c r="AV134" s="48">
        <f ca="1">IF(OR(AT134&gt;0,AU134&gt;0),MAX($AV$2:AV133)+1,0)</f>
        <v>0</v>
      </c>
      <c r="AZ134" s="241" t="str">
        <f t="shared" si="240"/>
        <v>34 V.I.</v>
      </c>
      <c r="BA134" s="48">
        <f t="shared" ca="1" si="330"/>
        <v>0</v>
      </c>
      <c r="BB134" s="48">
        <f t="shared" ca="1" si="247"/>
        <v>0</v>
      </c>
      <c r="BC134" s="48" t="str">
        <f t="shared" ca="1" si="248"/>
        <v/>
      </c>
      <c r="BD134" s="48">
        <f t="shared" ca="1" si="249"/>
        <v>0</v>
      </c>
      <c r="BE134" s="48">
        <f t="shared" ca="1" si="250"/>
        <v>0</v>
      </c>
      <c r="BF134" s="48">
        <v>32</v>
      </c>
      <c r="BG134" s="48">
        <f ca="1">IF(IF(AND(OR(INDEX(PDC,MATCH($AC134,DEN_PDC,0),6)="SP DARE",INDEX(PDC,MATCH($AC134,DEN_PDC,0),6)="SP DARE/AVERE"),SUMIFS(DARE,DEN_G,$AC134)&gt;=SUMIFS(AVERE,DEN_G,$AC134)),SUMIFS(DARE,DEN_G,$AC134)-SUMIFS(AVERE,DEN_G,$AC134),0)&gt;0,MAX($BG$2:BG133)+1,0)</f>
        <v>0</v>
      </c>
      <c r="BH134" s="48">
        <f ca="1">IF(IF(AND(OR(INDEX(PDC,MATCH($AC134,DEN_PDC,0),6)="SP AVERE",INDEX(PDC,MATCH($AC134,DEN_PDC,0),6)="SP DARE/AVERE"),SUMIFS(AVERE,DEN_G,$AC134)&gt;=SUMIFS(DARE,DEN_G,$AC134)),SUMIFS(AVERE,DEN_G,$AC134)-SUMIFS(DARE,DEN_G,$AC134),0)&gt;0,MAX(BH$2:BH133)+1,0)</f>
        <v>0</v>
      </c>
      <c r="BI134" s="48">
        <f ca="1">IF(IF(AND(OR(INDEX(PDC,MATCH($AC134,DEN_PDC,0),6)="SE DARE",INDEX(PDC,MATCH($AC134,DEN_PDC,0),6)="SE DARE/AVERE"),SUMIFS(DARE,DEN_G,$AC134)&gt;=SUMIFS(AVERE,DEN_G,$AC134)),SUMIFS(DARE,DEN_G,$AC134)-SUMIFS(AVERE,DEN_G,$AC134),0)&gt;0,MAX(BI$2:BI133)+1,0)</f>
        <v>0</v>
      </c>
      <c r="BJ134" s="48">
        <f ca="1">IF(IF(AND(OR(INDEX(PDC,MATCH($AC134,DEN_PDC,0),6)="SE AVERE",INDEX(PDC,MATCH($AC134,DEN_PDC,0),6)="SE DARE/AVERE"),SUMIFS(AVERE,DEN_G,$AC134)&gt;=SUMIFS(DARE,DEN_G,$AC134)),SUMIFS(AVERE,DEN_G,$AC134)-SUMIFS(DARE,DEN_G,$AC134),0)&gt;0,MAX(BJ$2:BJ133)+1,0)</f>
        <v>0</v>
      </c>
      <c r="BK134" s="48" t="str">
        <f ca="1">IF(AND(AND($DY$2=0,$DY$1=0),$I$1=2,ROW()&gt;$BG$1+2,ROW()&lt;=$BG$1+4),"………………..",IF(AND(OR($DY$2&gt;0,$DY$1&gt;0),$I$1=2,ROW()&gt;$BG$1+2,ROW()&lt;=$BG$1+4),"………………..",IFERROR(INDEX($AC$3:$AC$398,MATCH(ROWS(BK$3:BK134),BG$3:BG$398,0),1),"")))</f>
        <v/>
      </c>
      <c r="BL134" s="48">
        <f t="shared" ca="1" si="281"/>
        <v>0</v>
      </c>
      <c r="BM134" s="48" t="str">
        <f ca="1">IF(AND(OR($DY$2=0,$DY$1=0),$I$1=2,ROW()&gt;$BH$1+2,ROW()&lt;=$BH$1+4),"………………..",IF(AND(OR($DY$2&gt;0,$DY$1&gt;0),$I$1=2,ROW()&gt;$BH$1+2,ROW()&lt;=$BH$1+4),"………………..",IFERROR(INDEX($AC$3:$AC$400,MATCH(ROWS(BM$3:BM134),BH$3:BH$400,0),1),"")))</f>
        <v/>
      </c>
      <c r="BN134" s="48">
        <f t="shared" ca="1" si="282"/>
        <v>0</v>
      </c>
      <c r="BO134" s="48" t="str">
        <f ca="1">IF(AND(OR($DY$2=0,$DY$1=0),$I$1=2,ROW()&gt;$BI$1+2,ROW()&lt;=$BI$1+4),"………………..",IF(AND(OR($DY$2&gt;0,$DY$1&gt;0),$I$1=2,ROW()&gt;$BI$1+2,ROW()&lt;=$BI$1+4),"………………..",IFERROR(INDEX($AC$3:$AC$400,MATCH(ROWS(BO$3:BO134),BI$3:BI$400,0),1),"")))</f>
        <v/>
      </c>
      <c r="BP134" s="48">
        <f t="shared" ca="1" si="283"/>
        <v>0</v>
      </c>
      <c r="BQ134" s="48" t="str">
        <f ca="1">IF(AND(OR($DY$2=0,$DY$1=0),$I$1=2,ROW()&gt;$BJ$1+2,ROW()&lt;=$BJ$1+4),"………………..",IF(AND(OR($DY$2&gt;0,$DY$1&gt;0),$I$1=2,ROW()&gt;$BJ$1+2,ROW()&lt;=$BJ$1+4),"………………..",IFERROR(INDEX($AC$3:$AC$400,MATCH(ROWS(BQ$3:BQ134),BJ$3:BJ$400,0),1),"")))</f>
        <v/>
      </c>
      <c r="BR134" s="48">
        <f t="shared" ca="1" si="284"/>
        <v>0</v>
      </c>
      <c r="BS134" s="48">
        <f ca="1">IF(IF(AND(OR(INDEX(PDC,MATCH($AC134,DEN_PDC,0),4)="D",INDEX(PDC,MATCH($AC134,DEN_PDC,0),4)="D/A"),SUMIFS(DARE,DEN_G,$AC134)&gt;=SUMIFS(AVERE,DEN_G,$AC134)),SUMIFS(DARE,DEN_G,$AC134),IF(AND(OR(INDEX(PDC,MATCH($AC134,DEN_PDC,0),4)="A",INDEX(PDC,MATCH($AC134,DEN_PDC,0),4)="D/A"),SUMIFS(AVERE,DEN_G,$AC134)&gt;=SUMIFS(DARE,DEN_G,$AC134)),SUMIFS(AVERE,DEN_G,$AC134),))&gt;0,MAX($BS$2:BS133)+1,0)</f>
        <v>0</v>
      </c>
      <c r="BT134" s="48" t="str">
        <f ca="1">IF($CO$1=0,"",IF(AND($I$1=2,ROW()&gt;$BR$1,ROW()&lt;=$BS$1)," …………….",IF(AND($E$1=1,$BX$1=1,$I$1=2,ROW()=$BQ$1),"TOTALI",IFERROR(INDEX(PDC,MATCH(ROWS(BT$3:BT134),BS$3:BS531,0),2),""))))</f>
        <v/>
      </c>
      <c r="BU134" s="48">
        <f t="shared" ca="1" si="285"/>
        <v>0</v>
      </c>
      <c r="BV134" s="48">
        <f t="shared" ca="1" si="286"/>
        <v>0</v>
      </c>
      <c r="BW134" s="48">
        <f t="shared" ca="1" si="287"/>
        <v>0</v>
      </c>
      <c r="BX134" s="48">
        <f t="shared" ca="1" si="288"/>
        <v>0</v>
      </c>
      <c r="BY134" s="48">
        <f ca="1">IF(OR(BW134&gt;0,BX134&gt;0),MAX($BY$2:BY133)+1,0)</f>
        <v>0</v>
      </c>
      <c r="BZ134" s="48" t="str">
        <f ca="1">IFERROR(INDEX($BT$3:$BY$400,MATCH(ROWS(BZ$3:BZ134),$BY$3:$BY$400,0),1),"")</f>
        <v/>
      </c>
      <c r="CA134" s="48" t="str">
        <f ca="1">IFERROR(INDEX($BT$3:$BY$400,MATCH(ROWS(CA$3:CA134),$BY$3:$BY$400,0),4),"")</f>
        <v/>
      </c>
      <c r="CB134" s="48" t="str">
        <f ca="1">IFERROR(INDEX($BT$3:$BY$400,MATCH(ROWS(CB$3:CB134),$BY$3:$BY$400,0),5),"")</f>
        <v/>
      </c>
      <c r="CC134" s="48" t="str">
        <f t="shared" ca="1" si="289"/>
        <v/>
      </c>
      <c r="CD134" s="48">
        <f ca="1">IF(AND($BF$9=1,CE134&lt;&gt;0),MAX($CD$104:CD133)+1,0)</f>
        <v>0</v>
      </c>
      <c r="CE134" s="48">
        <f ca="1">IF(ROUND(SUMIFS(COPIA!$CB$3:$CB$400,COPIA!$CC$3:$CC$400,CF134)-SUMIFS(COPIA!$CA$3:$CA$400,COPIA!$CC$3:$CC$400,CF134),0)&lt;0,0,ROUND(SUMIFS(COPIA!$CB$3:$CB$400,COPIA!$CC$3:$CC$400,CF134)-SUMIFS(COPIA!$CA$3:$CA$400,COPIA!$CC$3:$CC$400,CF134),0))</f>
        <v>0</v>
      </c>
      <c r="CF134" s="48" t="s">
        <v>661</v>
      </c>
      <c r="CG134" s="242" t="s">
        <v>558</v>
      </c>
      <c r="CH134" s="48">
        <f t="shared" ca="1" si="259"/>
        <v>0</v>
      </c>
      <c r="CJ134" s="242">
        <f ca="1">SUMIFS(COPIA!$CB$3:$CB$400,COPIA!$CC$3:$CC$400,CF134)-SUMIFS(COPIA!$CA$3:$CA$400,COPIA!$CC$3:$CC$400,CF134)</f>
        <v>0</v>
      </c>
      <c r="CK134" s="48">
        <f ca="1">IF($CG$2=FALSE,0,IF(AND($BF$9=1,CJ134&lt;&gt;0),MAX($CK$21:CK133)+1,0))</f>
        <v>0</v>
      </c>
      <c r="CL134" s="48" t="s">
        <v>790</v>
      </c>
      <c r="CM134" s="242" t="str">
        <f t="shared" ca="1" si="305"/>
        <v/>
      </c>
      <c r="CN134" s="243">
        <f t="shared" ca="1" si="306"/>
        <v>0</v>
      </c>
      <c r="CO134" s="48" t="str">
        <f t="shared" ca="1" si="307"/>
        <v/>
      </c>
      <c r="CQ134" s="242"/>
      <c r="CR134" s="242"/>
      <c r="CU134" s="48">
        <f ca="1">IF(SUMIFS(AVERE,DEN_G,AC134,AVERE,"&gt;"&amp;0)+SUMIFS(DARE,DEN_G,AC134,DARE,"&gt;"&amp;0)&gt;0,MAX($CU$2:CU133)+1,0)</f>
        <v>0</v>
      </c>
      <c r="CV134" s="48" t="str">
        <f ca="1">IF(IFERROR(INDEX(PDC,MATCH(ROWS($CV$3:CV134),$CU$3:$CU$400,0),2),"")="CONTO DI RISULTATO ECONOMICO","",IFERROR(INDEX(PDC,MATCH(ROWS($CV$3:CV134),$CU$3:$CU$400,0),2),""))</f>
        <v/>
      </c>
      <c r="CW134" s="48">
        <f ca="1">IFERROR(IF(CV134&lt;&gt;"",MAX($CW$2:CW133)+1,0),0)</f>
        <v>0</v>
      </c>
      <c r="CX134" s="48">
        <f t="shared" ref="CX134:CX144" ca="1" si="333">$FF$13</f>
        <v>11</v>
      </c>
      <c r="CY134" s="48" t="str">
        <f t="shared" ca="1" si="332"/>
        <v>MASTRO</v>
      </c>
      <c r="DA134" s="48" t="str">
        <f ca="1">IF(DB133="","","Num. riga")</f>
        <v/>
      </c>
      <c r="DB134" s="48" t="str">
        <f t="shared" ref="DB134" ca="1" si="334">IF(DB133="","","Data")</f>
        <v/>
      </c>
      <c r="DC134" s="48" t="str">
        <f ca="1">IF(DB133="","","Operazioni")</f>
        <v/>
      </c>
      <c r="DD134" s="48" t="str">
        <f ca="1">IF(DB133="","","Dare        ")</f>
        <v/>
      </c>
      <c r="DE134" s="48" t="str">
        <f ca="1">IF(DB133="","","Avere        ")</f>
        <v/>
      </c>
      <c r="DF134" s="48">
        <f ca="1">IF(AND(CX134=$DF$1,CX134&lt;&gt;""),0,IF(AND(DB134&lt;&gt;"",OR(DB133&lt;&gt;"",DB135&lt;&gt;"")),MAX($DF$2:DF133)+1,0))</f>
        <v>0</v>
      </c>
      <c r="DH134" s="244"/>
      <c r="DI134" s="48" t="s">
        <v>1018</v>
      </c>
      <c r="DJ134" s="48" t="s">
        <v>311</v>
      </c>
      <c r="DK134" s="48" t="s">
        <v>298</v>
      </c>
      <c r="DL134" s="48" t="s">
        <v>4</v>
      </c>
      <c r="DM134" s="48" t="s">
        <v>299</v>
      </c>
      <c r="DO134" s="48" t="s">
        <v>744</v>
      </c>
      <c r="DW134" s="48">
        <f>IF(DR134&lt;&gt;"",MAX($DW$2:DW133)+1,0)</f>
        <v>0</v>
      </c>
      <c r="DY134" s="48" t="str">
        <f t="shared" ca="1" si="291"/>
        <v/>
      </c>
      <c r="DZ134" s="48" t="str">
        <f t="shared" ca="1" si="309"/>
        <v/>
      </c>
      <c r="EA134" s="48" t="str">
        <f t="shared" ca="1" si="310"/>
        <v/>
      </c>
      <c r="EB134" s="48">
        <f t="shared" ca="1" si="311"/>
        <v>0</v>
      </c>
      <c r="EC134" s="48">
        <f t="shared" ca="1" si="312"/>
        <v>0</v>
      </c>
      <c r="ED134" s="48" t="str">
        <f t="shared" ca="1" si="313"/>
        <v/>
      </c>
      <c r="EE134" s="48">
        <f t="shared" ca="1" si="314"/>
        <v>0</v>
      </c>
      <c r="EF134" s="48" t="str">
        <f t="shared" ca="1" si="315"/>
        <v/>
      </c>
      <c r="EG134" s="48">
        <f t="shared" ca="1" si="316"/>
        <v>0</v>
      </c>
      <c r="EH134" s="48" t="str">
        <f t="shared" ca="1" si="317"/>
        <v/>
      </c>
      <c r="EI134" s="48">
        <f t="shared" ca="1" si="318"/>
        <v>0</v>
      </c>
      <c r="EJ134" s="48" t="str">
        <f t="shared" ca="1" si="319"/>
        <v/>
      </c>
      <c r="EK134" s="48">
        <f t="shared" ca="1" si="320"/>
        <v>0</v>
      </c>
      <c r="EL134" s="48">
        <f t="shared" ca="1" si="292"/>
        <v>0</v>
      </c>
      <c r="EM134" s="48">
        <f ca="1">IF(EL134&gt;=0,0,MAX($EM$2:EM133)+1)</f>
        <v>0</v>
      </c>
      <c r="EN134" s="48" t="str">
        <f t="shared" ca="1" si="321"/>
        <v/>
      </c>
      <c r="EO134" s="48" t="str">
        <f ca="1">IFERROR(INDEX($EM$3:$EN$400,MATCH(ROWS($EO$3:EO134),$EM$3:$EM$400,0),2),"")</f>
        <v/>
      </c>
      <c r="EP134" s="48">
        <f>ROW()</f>
        <v>134</v>
      </c>
      <c r="EQ134" s="48">
        <f t="shared" ca="1" si="293"/>
        <v>0</v>
      </c>
      <c r="ER134" s="48">
        <f ca="1">IF(ISNA(EQ134)=TRUE,MAX($ER$2:ER133)+1,0)</f>
        <v>0</v>
      </c>
      <c r="ES134" s="48" t="str">
        <f t="shared" ca="1" si="322"/>
        <v/>
      </c>
      <c r="ET134" s="48" t="str">
        <f ca="1">IFERROR(INDEX($ER$3:$ES$400,MATCH(ROWS($ET$3:ET134),$ER$3:$ER$400,0),2),"")</f>
        <v/>
      </c>
      <c r="EV134" s="48">
        <f ca="1">IFERROR(INDEX(LIBRO_GIORNALE!$O$11:$P$408,MATCH(ROWS($EV$2:EV133),LIBRO_GIORNALE!$P$11:$P$408,0),1),0)</f>
        <v>0</v>
      </c>
      <c r="EW134" s="48" t="str">
        <f t="shared" ca="1" si="323"/>
        <v>0</v>
      </c>
      <c r="EX134" s="48">
        <f t="shared" ca="1" si="324"/>
        <v>0</v>
      </c>
      <c r="EY134" s="48">
        <f ca="1">IF(EX134&gt;0,MAX($EY$2:EY133)+1,0)</f>
        <v>0</v>
      </c>
      <c r="EZ134" s="48">
        <f ca="1">IFERROR(INDEX($EX$3:$EX$400,MATCH(ROWS($EZ$3:EZ134),$EY$3:$EY$400,0),1),0)</f>
        <v>0</v>
      </c>
      <c r="FA134" s="48">
        <f ca="1">IF(EZ134&gt;0,0,MAX($FA$2:FA133)+1)</f>
        <v>132</v>
      </c>
      <c r="FB134" s="48">
        <f t="shared" ca="1" si="325"/>
        <v>0</v>
      </c>
      <c r="FC134" s="48">
        <f t="shared" ca="1" si="326"/>
        <v>132</v>
      </c>
      <c r="FD134" s="48">
        <f t="shared" ca="1" si="327"/>
        <v>132</v>
      </c>
      <c r="FE134" s="48">
        <f ca="1">IF(FD134=0,0,MAX($FE$2:FE133)+1)</f>
        <v>132</v>
      </c>
      <c r="FF134" s="48">
        <f ca="1">IFERROR(INDEX($FD$3:$FE$400,MATCH(ROWS($FF$3:FF134),$FE$3:$FE$400,0),1),"")</f>
        <v>132</v>
      </c>
      <c r="FG134" s="48">
        <f t="shared" ca="1" si="255"/>
        <v>0</v>
      </c>
      <c r="FH134" s="48">
        <f t="shared" ca="1" si="328"/>
        <v>0</v>
      </c>
      <c r="FI134" s="48">
        <f ca="1">IF(FH134&lt;&gt;0,MAX($FI$2:FI133)+1,0)</f>
        <v>0</v>
      </c>
      <c r="FJ134" s="48" t="str">
        <f ca="1">IFERROR(INDEX($FH$3:$FI$400,MATCH(ROWS($FJ$3:FJ134),$FI$3:$FI$400,0),1),"")</f>
        <v/>
      </c>
      <c r="FK134" s="48">
        <f ca="1">IF(ABS(SUMIFS(DARE,DEN_G,"="&amp;FJ134,DATA,"&lt;="&amp;FINE_AC,DATA,"&gt;="&amp;INIZIO_A_PC)-SUMIFS(AVERE,DEN_G,"="&amp;FJ134,DATA,"&lt;="&amp;FINE_AC,DATA,"&gt;="&amp;INIZIO_A_PC))&gt;0,MAX($FK$2:FK133)+1,0)</f>
        <v>0</v>
      </c>
      <c r="FL134" s="48" t="str">
        <f ca="1">IF(AND(ROW()-2&lt;&gt;1,ROW()-2&lt;=$FK$1),CONCATENATE(" - ",IFERROR(INDEX($FJ$3:$FK$400,MATCH(ROWS($FL$3:FL134),$FK$3:$FK$400,0),1),"")),IFERROR(INDEX($FJ$3:$FK$400,MATCH(ROWS($FL$3:FL134),$FK$3:$FK$400,0),1),""))</f>
        <v/>
      </c>
      <c r="FM134" s="48">
        <f ca="1">IF(OR(B134="IVA ns/credito",B134="IVA NS/DEBITO",B134="IVA C/ACCONTO",B134="IMPOSTE C/ACCONTO",B134="CREDITI PER RITENUTE SUBITE",B134="CREDITI D'IMPOSTA"),MAX($FM$2:FM133)+1,0)</f>
        <v>0</v>
      </c>
      <c r="FN134" s="48" t="str">
        <f t="shared" ca="1" si="329"/>
        <v/>
      </c>
      <c r="FO134" s="48" t="str">
        <f ca="1">IFERROR(INDEX($FM$3:$FN$400,MATCH(ROWS($FO$3:FO134),$FM$3:$FM$400,0),2),"")</f>
        <v/>
      </c>
      <c r="FP134" s="48">
        <f ca="1">IF(ABS(SUMIFS(DARE,DEN_G,"="&amp;FO134,DATA,"&lt;="&amp;FINE_AC,DATA,"&gt;="&amp;INIZIO_A_PC)-SUMIFS(AVERE,DEN_G,"="&amp;FO134,DATA,"&lt;="&amp;FINE_AC,DATA,"&gt;="&amp;INIZIO_A_PC))&gt;0,MAX($FP$2:FP133)+1,0)</f>
        <v>0</v>
      </c>
      <c r="FQ134" s="48" t="str">
        <f ca="1">IF(AND(ROW()-2&lt;&gt;1,ROW()-2&lt;=$FP$1),CONCATENATE(" - ",IFERROR(INDEX($FO$3:$FP$400,MATCH(ROWS($FQ$3:FQ134),$FP$3:$FP$400,0),1),"")),IFERROR(INDEX($FO$3:$FP$400,MATCH(ROWS($FQ$3:FQ134),$FP$3:$FP$400,0),1),""))</f>
        <v/>
      </c>
    </row>
    <row r="135" spans="1:173" x14ac:dyDescent="0.3">
      <c r="A135" s="48" t="str">
        <f ca="1">IFERROR(IF($A$1=2,INDEX($DH$3:$DN$401,MATCH(ROWS(A$3:A135),$DN$3:$DN$401,0),COLUMN()),IF($A$1=1,INDEX($DQ$3:$DW$401,MATCH(ROWS(A$3:A135),$DW$3:$DW$401,0),COLUMN()),"")),"")</f>
        <v>13.20</v>
      </c>
      <c r="B135" s="48" t="str">
        <f ca="1">IFERROR(IF($A$1=2,INDEX($DH$3:$DN$401,MATCH(ROWS(B$3:B135),$DN$3:$DN$401,0),COLUMN()),IF($A$1=1,INDEX($DQ$3:$DW$400,MATCH(ROWS(B$3:B135),$DW$3:$DW$401,0),COLUMN()),"")),"")</f>
        <v>BANCHE C/C PASSIVI</v>
      </c>
      <c r="C135" s="48" t="str">
        <f ca="1">IFERROR(IF($A$1=2,INDEX($DH$3:$DN$401,MATCH(ROWS(C$3:C135),$DN$3:$DN$401,0),COLUMN()),IF($A$1=1,INDEX($DQ$3:$DW$401,MATCH(ROWS(C$3:C135),$DW$3:$DW$401,0),COLUMN()),"")),"")</f>
        <v>F</v>
      </c>
      <c r="D135" s="48" t="str">
        <f ca="1">IFERROR(IF($A$1=2,INDEX($DH$3:$DN$401,MATCH(ROWS(D$3:D135),$DN$3:$DN$401,0),COLUMN()),IF($A$1=1,INDEX($DQ$3:$DW$401,MATCH(ROWS(D$3:D135),$DW$3:$DW$401,0),COLUMN()),"")),"")</f>
        <v>A</v>
      </c>
      <c r="E135" s="48" t="str">
        <f ca="1">IFERROR(IF($A$1=2,INDEX($DH$3:$DN$401,MATCH(ROWS(E$3:E135),$DN$3:$DN$401,0),COLUMN()),IF($A$1=1,INDEX($DQ$3:$DW$401,MATCH(ROWS(E$3:E135),$DW$3:$DW$401,0),COLUMN()),"")),"")</f>
        <v>DEBITI</v>
      </c>
      <c r="F135" s="48" t="str">
        <f ca="1">IFERROR(IF($A$1=2,INDEX($DH$3:$DN$401,MATCH(ROWS(F$3:F135),$DN$3:$DN$401,0),COLUMN()),IF($A$1=1,INDEX($DQ$3:$DX$401,MATCH(ROWS(F$3:F135),$DW$3:$DW$401,0),COLUMN()),"")),"")</f>
        <v>SP AVERE</v>
      </c>
      <c r="G135" s="48" t="str">
        <f t="shared" ca="1" si="294"/>
        <v>SP</v>
      </c>
      <c r="H135" s="48" t="str">
        <f ca="1">IFERROR(IF($A$1=2,INDEX($DH$3:$DO$400,MATCH(ROWS(H$3:H135),$DN$3:$DN$400,0),COLUMN()),IF($A$1=1,INDEX($DQ$3:$DX$400,MATCH(ROWS(H$3:H135),$DW$3:$DW$400,0),COLUMN()),"")),"")</f>
        <v>ppd</v>
      </c>
      <c r="I135" s="48" t="str">
        <f t="shared" ca="1" si="295"/>
        <v/>
      </c>
      <c r="J135" s="48" t="str">
        <f t="shared" ca="1" si="296"/>
        <v/>
      </c>
      <c r="K135" s="48">
        <f t="shared" ca="1" si="297"/>
        <v>0</v>
      </c>
      <c r="L135" s="48">
        <f t="shared" ca="1" si="298"/>
        <v>0</v>
      </c>
      <c r="M135" s="48">
        <f ca="1">IFERROR(IF(IF(MID($A135,3,3)=".00",MID(A135,1,2),"")&lt;&gt;"",MAX($M$2:M134)+1,0),"")</f>
        <v>0</v>
      </c>
      <c r="N135" s="48" t="str">
        <f t="shared" ca="1" si="299"/>
        <v/>
      </c>
      <c r="O135" s="48" t="str">
        <f ca="1">IF(IFERROR(INDEX($N$3:$O$300,MATCH(ROWS($O$3:O135),$M$3:$M$300,0),1),"")&lt;&gt;"",CONCATENATE(INDEX($N$3:$O$300,MATCH(ROWS($O$3:O135),$M$3:$M$300,0),1),".00"),"")</f>
        <v/>
      </c>
      <c r="P135" s="48" t="str">
        <f t="shared" ca="1" si="300"/>
        <v/>
      </c>
      <c r="Q135" s="48">
        <f ca="1">IF(M135&gt;=1,0,MAX($Q$2:Q134)+1)</f>
        <v>119</v>
      </c>
      <c r="U135" s="48" t="str">
        <f ca="1">IFERROR(INDEX(PDC,MATCH(ROWS(U$3:U135),$V$3:$V$400,0),2),"")</f>
        <v>DEBITI PER RITENUTE DA VERSARE</v>
      </c>
      <c r="V135" s="48">
        <f ca="1">IF(AND($T$1="VISUALIZZA TUTTI I CONTI",AA135&lt;&gt;""),MAX($V$2:V134)+1,IF(AND($U$2=2,AI135=$T$1),MAX($V$2:V134)+1,IF(AND($U$2=1,$T$1=AF135),MAX($V$2:V134)+1,0)))</f>
        <v>133</v>
      </c>
      <c r="Z135" s="246"/>
      <c r="AA135" s="48" t="str">
        <f t="shared" ca="1" si="301"/>
        <v>15.00</v>
      </c>
      <c r="AB135" s="48" t="str">
        <f ca="1">IFERROR(INDEX($A$3:$G$400,MATCH(ROWS(AB$3:AB135),$Q$3:$Q$400,0),1),"")</f>
        <v>15.02</v>
      </c>
      <c r="AC135" s="48" t="str">
        <f ca="1">IFERROR(INDEX($A$3:$G$400,MATCH(ROWS($AC$3:AC135),$Q$3:$Q$400,0),2),"")</f>
        <v>DEBITI PER RITENUTE DA VERSARE</v>
      </c>
      <c r="AD135" s="48" t="str">
        <f ca="1">IFERROR(INDEX($A$3:$G$400,MATCH(ROWS(AD$3:AD135),$Q$3:$Q$400,0),3),"")</f>
        <v>F</v>
      </c>
      <c r="AE135" s="48" t="str">
        <f ca="1">IFERROR(INDEX($A$3:$G$400,MATCH(ROWS(AE$3:AE135),$Q$3:$Q$400,0),4),"")</f>
        <v>A</v>
      </c>
      <c r="AF135" s="48" t="str">
        <f ca="1">IFERROR(INDEX($A$3:$G$400,MATCH(ROWS(AF$3:AF135),$Q$3:$Q$400,0),5),"")</f>
        <v>DEBITI</v>
      </c>
      <c r="AG135" s="48" t="str">
        <f ca="1">IFERROR(INDEX($A$3:$G$400,MATCH(ROWS(AG$3:AG135),$Q$3:$Q$400,0),6),"")</f>
        <v>SP AVERE</v>
      </c>
      <c r="AH135" s="48" t="str">
        <f ca="1">IFERROR(INDEX($A$3:$G$400,MATCH(ROWS(AH$3:AH135),$Q$3:$Q$400,0),7),"")</f>
        <v>SP</v>
      </c>
      <c r="AI135" s="48" t="str">
        <f t="shared" ca="1" si="302"/>
        <v>DEBITI DIVERSI</v>
      </c>
      <c r="AJ135" s="48" t="str">
        <f ca="1">IFERROR(INDEX($A$3:$H$400,MATCH(ROWS(AJ$3:AJ135),$Q$3:$Q$400,0),8),"")</f>
        <v>ppd</v>
      </c>
      <c r="AK135" s="48">
        <f t="shared" ca="1" si="277"/>
        <v>0</v>
      </c>
      <c r="AL135" s="48">
        <f t="shared" ref="AL135:AL166" ca="1" si="335">IF(AND(AO135&gt;0,AP135&gt;0),0,IF(INDIRECT(ADDRESS(ROW()-92,COLUMN()-34,,,"LIBRO_GIORNALE"))&lt;INIZIO_A_PC,0,INDIRECT(ADDRESS(ROW()-92,COLUMN()-34,,,"LIBRO_GIORNALE"))))</f>
        <v>0</v>
      </c>
      <c r="AM135" s="48">
        <f t="shared" ca="1" si="252"/>
        <v>0</v>
      </c>
      <c r="AN135" s="48">
        <f t="shared" ca="1" si="253"/>
        <v>0</v>
      </c>
      <c r="AO135" s="48">
        <f t="shared" ca="1" si="254"/>
        <v>0</v>
      </c>
      <c r="AP135" s="48">
        <f t="shared" ca="1" si="254"/>
        <v>0</v>
      </c>
      <c r="AQ135" s="48" t="str">
        <f t="shared" ca="1" si="278"/>
        <v>DEBITI PER RITENUTE DA VERSARE</v>
      </c>
      <c r="AR135" s="48">
        <f t="shared" ca="1" si="279"/>
        <v>0</v>
      </c>
      <c r="AS135" s="48">
        <f t="shared" ca="1" si="280"/>
        <v>0</v>
      </c>
      <c r="AT135" s="48">
        <f t="shared" ca="1" si="303"/>
        <v>0</v>
      </c>
      <c r="AU135" s="48">
        <f t="shared" ca="1" si="304"/>
        <v>0</v>
      </c>
      <c r="AV135" s="48">
        <f ca="1">IF(OR(AT135&gt;0,AU135&gt;0),MAX($AV$2:AV134)+1,0)</f>
        <v>0</v>
      </c>
      <c r="AZ135" s="241" t="str">
        <f t="shared" si="240"/>
        <v>35 V.I.</v>
      </c>
      <c r="BA135" s="48">
        <f t="shared" ca="1" si="330"/>
        <v>0</v>
      </c>
      <c r="BB135" s="48">
        <f t="shared" ca="1" si="247"/>
        <v>0</v>
      </c>
      <c r="BC135" s="48" t="str">
        <f t="shared" ca="1" si="248"/>
        <v/>
      </c>
      <c r="BD135" s="48">
        <f t="shared" ca="1" si="249"/>
        <v>0</v>
      </c>
      <c r="BE135" s="48">
        <f t="shared" ca="1" si="250"/>
        <v>0</v>
      </c>
      <c r="BF135" s="48">
        <v>33</v>
      </c>
      <c r="BG135" s="48">
        <f ca="1">IF(IF(AND(OR(INDEX(PDC,MATCH($AC135,DEN_PDC,0),6)="SP DARE",INDEX(PDC,MATCH($AC135,DEN_PDC,0),6)="SP DARE/AVERE"),SUMIFS(DARE,DEN_G,$AC135)&gt;=SUMIFS(AVERE,DEN_G,$AC135)),SUMIFS(DARE,DEN_G,$AC135)-SUMIFS(AVERE,DEN_G,$AC135),0)&gt;0,MAX($BG$2:BG134)+1,0)</f>
        <v>0</v>
      </c>
      <c r="BH135" s="48">
        <f ca="1">IF(IF(AND(OR(INDEX(PDC,MATCH($AC135,DEN_PDC,0),6)="SP AVERE",INDEX(PDC,MATCH($AC135,DEN_PDC,0),6)="SP DARE/AVERE"),SUMIFS(AVERE,DEN_G,$AC135)&gt;=SUMIFS(DARE,DEN_G,$AC135)),SUMIFS(AVERE,DEN_G,$AC135)-SUMIFS(DARE,DEN_G,$AC135),0)&gt;0,MAX(BH$2:BH134)+1,0)</f>
        <v>0</v>
      </c>
      <c r="BI135" s="48">
        <f ca="1">IF(IF(AND(OR(INDEX(PDC,MATCH($AC135,DEN_PDC,0),6)="SE DARE",INDEX(PDC,MATCH($AC135,DEN_PDC,0),6)="SE DARE/AVERE"),SUMIFS(DARE,DEN_G,$AC135)&gt;=SUMIFS(AVERE,DEN_G,$AC135)),SUMIFS(DARE,DEN_G,$AC135)-SUMIFS(AVERE,DEN_G,$AC135),0)&gt;0,MAX(BI$2:BI134)+1,0)</f>
        <v>0</v>
      </c>
      <c r="BJ135" s="48">
        <f ca="1">IF(IF(AND(OR(INDEX(PDC,MATCH($AC135,DEN_PDC,0),6)="SE AVERE",INDEX(PDC,MATCH($AC135,DEN_PDC,0),6)="SE DARE/AVERE"),SUMIFS(AVERE,DEN_G,$AC135)&gt;=SUMIFS(DARE,DEN_G,$AC135)),SUMIFS(AVERE,DEN_G,$AC135)-SUMIFS(DARE,DEN_G,$AC135),0)&gt;0,MAX(BJ$2:BJ134)+1,0)</f>
        <v>0</v>
      </c>
      <c r="BK135" s="48" t="str">
        <f ca="1">IF(AND(AND($DY$2=0,$DY$1=0),$I$1=2,ROW()&gt;$BG$1+2,ROW()&lt;=$BG$1+4),"………………..",IF(AND(OR($DY$2&gt;0,$DY$1&gt;0),$I$1=2,ROW()&gt;$BG$1+2,ROW()&lt;=$BG$1+4),"………………..",IFERROR(INDEX($AC$3:$AC$398,MATCH(ROWS(BK$3:BK135),BG$3:BG$398,0),1),"")))</f>
        <v/>
      </c>
      <c r="BL135" s="48">
        <f t="shared" ca="1" si="281"/>
        <v>0</v>
      </c>
      <c r="BM135" s="48" t="str">
        <f ca="1">IF(AND(OR($DY$2=0,$DY$1=0),$I$1=2,ROW()&gt;$BH$1+2,ROW()&lt;=$BH$1+4),"………………..",IF(AND(OR($DY$2&gt;0,$DY$1&gt;0),$I$1=2,ROW()&gt;$BH$1+2,ROW()&lt;=$BH$1+4),"………………..",IFERROR(INDEX($AC$3:$AC$400,MATCH(ROWS(BM$3:BM135),BH$3:BH$400,0),1),"")))</f>
        <v/>
      </c>
      <c r="BN135" s="48">
        <f t="shared" ca="1" si="282"/>
        <v>0</v>
      </c>
      <c r="BO135" s="48" t="str">
        <f ca="1">IF(AND(OR($DY$2=0,$DY$1=0),$I$1=2,ROW()&gt;$BI$1+2,ROW()&lt;=$BI$1+4),"………………..",IF(AND(OR($DY$2&gt;0,$DY$1&gt;0),$I$1=2,ROW()&gt;$BI$1+2,ROW()&lt;=$BI$1+4),"………………..",IFERROR(INDEX($AC$3:$AC$400,MATCH(ROWS(BO$3:BO135),BI$3:BI$400,0),1),"")))</f>
        <v/>
      </c>
      <c r="BP135" s="48">
        <f t="shared" ca="1" si="283"/>
        <v>0</v>
      </c>
      <c r="BQ135" s="48" t="str">
        <f ca="1">IF(AND(OR($DY$2=0,$DY$1=0),$I$1=2,ROW()&gt;$BJ$1+2,ROW()&lt;=$BJ$1+4),"………………..",IF(AND(OR($DY$2&gt;0,$DY$1&gt;0),$I$1=2,ROW()&gt;$BJ$1+2,ROW()&lt;=$BJ$1+4),"………………..",IFERROR(INDEX($AC$3:$AC$400,MATCH(ROWS(BQ$3:BQ135),BJ$3:BJ$400,0),1),"")))</f>
        <v/>
      </c>
      <c r="BR135" s="48">
        <f t="shared" ca="1" si="284"/>
        <v>0</v>
      </c>
      <c r="BS135" s="48">
        <f ca="1">IF(IF(AND(OR(INDEX(PDC,MATCH($AC135,DEN_PDC,0),4)="D",INDEX(PDC,MATCH($AC135,DEN_PDC,0),4)="D/A"),SUMIFS(DARE,DEN_G,$AC135)&gt;=SUMIFS(AVERE,DEN_G,$AC135)),SUMIFS(DARE,DEN_G,$AC135),IF(AND(OR(INDEX(PDC,MATCH($AC135,DEN_PDC,0),4)="A",INDEX(PDC,MATCH($AC135,DEN_PDC,0),4)="D/A"),SUMIFS(AVERE,DEN_G,$AC135)&gt;=SUMIFS(DARE,DEN_G,$AC135)),SUMIFS(AVERE,DEN_G,$AC135),))&gt;0,MAX($BS$2:BS134)+1,0)</f>
        <v>0</v>
      </c>
      <c r="BT135" s="48" t="str">
        <f ca="1">IF($CO$1=0,"",IF(AND($I$1=2,ROW()&gt;$BR$1,ROW()&lt;=$BS$1)," …………….",IF(AND($E$1=1,$BX$1=1,$I$1=2,ROW()=$BQ$1),"TOTALI",IFERROR(INDEX(PDC,MATCH(ROWS(BT$3:BT135),BS$3:BS532,0),2),""))))</f>
        <v/>
      </c>
      <c r="BU135" s="48">
        <f t="shared" ca="1" si="285"/>
        <v>0</v>
      </c>
      <c r="BV135" s="48">
        <f t="shared" ca="1" si="286"/>
        <v>0</v>
      </c>
      <c r="BW135" s="48">
        <f t="shared" ca="1" si="287"/>
        <v>0</v>
      </c>
      <c r="BX135" s="48">
        <f t="shared" ca="1" si="288"/>
        <v>0</v>
      </c>
      <c r="BY135" s="48">
        <f ca="1">IF(OR(BW135&gt;0,BX135&gt;0),MAX($BY$2:BY134)+1,0)</f>
        <v>0</v>
      </c>
      <c r="BZ135" s="48" t="str">
        <f ca="1">IFERROR(INDEX($BT$3:$BY$400,MATCH(ROWS(BZ$3:BZ135),$BY$3:$BY$400,0),1),"")</f>
        <v/>
      </c>
      <c r="CA135" s="48" t="str">
        <f ca="1">IFERROR(INDEX($BT$3:$BY$400,MATCH(ROWS(CA$3:CA135),$BY$3:$BY$400,0),4),"")</f>
        <v/>
      </c>
      <c r="CB135" s="48" t="str">
        <f ca="1">IFERROR(INDEX($BT$3:$BY$400,MATCH(ROWS(CB$3:CB135),$BY$3:$BY$400,0),5),"")</f>
        <v/>
      </c>
      <c r="CC135" s="48" t="str">
        <f t="shared" ca="1" si="289"/>
        <v/>
      </c>
      <c r="CD135" s="48">
        <f ca="1">IF(AND($BF$9=1,CE135&lt;&gt;0),MAX($CD$104:CD134)+1,0)</f>
        <v>0</v>
      </c>
      <c r="CE135" s="48">
        <f ca="1">ROUND(IFERROR(INDEX(BILANCIO!$I$13:$J$59,MATCH(CF135,BILANCIO!$J$13:$J$59,0),1),0),0)</f>
        <v>0</v>
      </c>
      <c r="CF135" s="48" t="s">
        <v>790</v>
      </c>
      <c r="CG135" s="242" t="s">
        <v>571</v>
      </c>
      <c r="CI135" s="48">
        <f t="shared" ca="1" si="331"/>
        <v>0</v>
      </c>
      <c r="CJ135" s="242">
        <f ca="1">SUMIFS(COPIA!$CB$3:$CB$400,COPIA!$CC$3:$CC$400,CF135)-SUMIFS(COPIA!$CA$3:$CA$400,COPIA!$CC$3:$CC$400,CF135)</f>
        <v>0</v>
      </c>
      <c r="CK135" s="48">
        <f ca="1">IF($CG$2=FALSE,0,IF(AND($BF$9=1,CJ135&lt;&gt;0),MAX($CK$21:CK134)+1,0))</f>
        <v>0</v>
      </c>
      <c r="CM135" s="242" t="str">
        <f t="shared" ca="1" si="305"/>
        <v/>
      </c>
      <c r="CN135" s="243">
        <f t="shared" ca="1" si="306"/>
        <v>0</v>
      </c>
      <c r="CO135" s="48" t="str">
        <f t="shared" ca="1" si="307"/>
        <v/>
      </c>
      <c r="CQ135" s="242"/>
      <c r="CR135" s="242"/>
      <c r="CU135" s="48">
        <f ca="1">IF(SUMIFS(AVERE,DEN_G,AC135,AVERE,"&gt;"&amp;0)+SUMIFS(DARE,DEN_G,AC135,DARE,"&gt;"&amp;0)&gt;0,MAX($CU$2:CU134)+1,0)</f>
        <v>0</v>
      </c>
      <c r="CV135" s="48" t="str">
        <f ca="1">IF(IFERROR(INDEX(PDC,MATCH(ROWS($CV$3:CV135),$CU$3:$CU$400,0),2),"")="CONTO DI RISULTATO ECONOMICO","",IFERROR(INDEX(PDC,MATCH(ROWS($CV$3:CV135),$CU$3:$CU$400,0),2),""))</f>
        <v/>
      </c>
      <c r="CW135" s="48">
        <f ca="1">IFERROR(IF(CV135&lt;&gt;"",MAX($CW$2:CW134)+1,0),0)</f>
        <v>0</v>
      </c>
      <c r="CX135" s="48">
        <f t="shared" ca="1" si="333"/>
        <v>11</v>
      </c>
      <c r="CY135" s="48" t="str">
        <f t="shared" ca="1" si="332"/>
        <v>MASTRO</v>
      </c>
      <c r="CZ135" s="48" t="e">
        <f t="shared" ref="CZ135:CZ144" ca="1" si="336">SUM(MATCH($CY135,INDIRECT(ADDRESS(SUM(CZ134)+3,54)&amp;":"&amp;ADDRESS(400,54)),0),CZ134)</f>
        <v>#N/A</v>
      </c>
      <c r="DA135" s="48" t="str">
        <f ca="1">IFERROR(INDEX(LIBRO_GIORNALE,CZ135,1),"")</f>
        <v/>
      </c>
      <c r="DB135" s="48" t="str">
        <f t="shared" ca="1" si="212"/>
        <v/>
      </c>
      <c r="DC135" s="48" t="str">
        <f t="shared" ref="DC135:DC144" ca="1" si="337">IF(IFERROR(INDEX(LIBRO_GIORNALE,CZ135,4),"")=0,"manca la descrizione dell'operazione",IFERROR(INDEX(LIBRO_GIORNALE,CZ135,4),""))</f>
        <v/>
      </c>
      <c r="DD135" s="48" t="str">
        <f t="shared" ref="DD135:DD144" ca="1" si="338">IFERROR(IF(INDEX(LIBRO_GIORNALE,CZ135,5)&gt;0,INDEX(LIBRO_GIORNALE,CZ135,5),""),"")</f>
        <v/>
      </c>
      <c r="DE135" s="48" t="str">
        <f t="shared" ref="DE135:DE144" ca="1" si="339">IFERROR(IF(INDEX(LIBRO_GIORNALE,CZ135,6)&gt;0,INDEX(LIBRO_GIORNALE,CZ135,6),""),"")</f>
        <v/>
      </c>
      <c r="DF135" s="48">
        <f ca="1">IF(AND(CX135=$DF$1,CX135&lt;&gt;""),0,IF(AND(DB135&lt;&gt;"",OR(DB134&lt;&gt;"",DB136&lt;&gt;"")),MAX($DF$2:DF134)+1,0))</f>
        <v>0</v>
      </c>
      <c r="DH135" s="244"/>
      <c r="DI135" s="48" t="s">
        <v>851</v>
      </c>
      <c r="DJ135" s="48" t="s">
        <v>311</v>
      </c>
      <c r="DK135" s="48" t="s">
        <v>298</v>
      </c>
      <c r="DL135" s="48" t="s">
        <v>4</v>
      </c>
      <c r="DM135" s="48" t="s">
        <v>299</v>
      </c>
      <c r="DO135" s="48" t="s">
        <v>1036</v>
      </c>
      <c r="DW135" s="48">
        <f>IF(DR135&lt;&gt;"",MAX($DW$2:DW134)+1,0)</f>
        <v>0</v>
      </c>
      <c r="DY135" s="48" t="str">
        <f t="shared" ca="1" si="291"/>
        <v/>
      </c>
      <c r="DZ135" s="48" t="str">
        <f t="shared" ca="1" si="309"/>
        <v/>
      </c>
      <c r="EA135" s="48" t="str">
        <f t="shared" ca="1" si="310"/>
        <v/>
      </c>
      <c r="EB135" s="48">
        <f t="shared" ca="1" si="311"/>
        <v>0</v>
      </c>
      <c r="EC135" s="48">
        <f t="shared" ca="1" si="312"/>
        <v>0</v>
      </c>
      <c r="ED135" s="48" t="str">
        <f t="shared" ca="1" si="313"/>
        <v/>
      </c>
      <c r="EE135" s="48">
        <f t="shared" ca="1" si="314"/>
        <v>0</v>
      </c>
      <c r="EF135" s="48" t="str">
        <f t="shared" ca="1" si="315"/>
        <v/>
      </c>
      <c r="EG135" s="48">
        <f t="shared" ca="1" si="316"/>
        <v>0</v>
      </c>
      <c r="EH135" s="48" t="str">
        <f t="shared" ca="1" si="317"/>
        <v/>
      </c>
      <c r="EI135" s="48">
        <f t="shared" ca="1" si="318"/>
        <v>0</v>
      </c>
      <c r="EJ135" s="48" t="str">
        <f t="shared" ca="1" si="319"/>
        <v/>
      </c>
      <c r="EK135" s="48">
        <f t="shared" ca="1" si="320"/>
        <v>0</v>
      </c>
      <c r="EL135" s="48">
        <f t="shared" ca="1" si="292"/>
        <v>0</v>
      </c>
      <c r="EM135" s="48">
        <f ca="1">IF(EL135&gt;=0,0,MAX($EM$2:EM134)+1)</f>
        <v>0</v>
      </c>
      <c r="EN135" s="48" t="str">
        <f t="shared" ca="1" si="321"/>
        <v/>
      </c>
      <c r="EO135" s="48" t="str">
        <f ca="1">IFERROR(INDEX($EM$3:$EN$400,MATCH(ROWS($EO$3:EO135),$EM$3:$EM$400,0),2),"")</f>
        <v/>
      </c>
      <c r="EP135" s="48">
        <f>ROW()</f>
        <v>135</v>
      </c>
      <c r="EQ135" s="48">
        <f t="shared" ca="1" si="293"/>
        <v>0</v>
      </c>
      <c r="ER135" s="48">
        <f ca="1">IF(ISNA(EQ135)=TRUE,MAX($ER$2:ER134)+1,0)</f>
        <v>0</v>
      </c>
      <c r="ES135" s="48" t="str">
        <f t="shared" ca="1" si="322"/>
        <v/>
      </c>
      <c r="ET135" s="48" t="str">
        <f ca="1">IFERROR(INDEX($ER$3:$ES$400,MATCH(ROWS($ET$3:ET135),$ER$3:$ER$400,0),2),"")</f>
        <v/>
      </c>
      <c r="EV135" s="48">
        <f ca="1">IFERROR(INDEX(LIBRO_GIORNALE!$O$11:$P$408,MATCH(ROWS($EV$2:EV134),LIBRO_GIORNALE!$P$11:$P$408,0),1),0)</f>
        <v>0</v>
      </c>
      <c r="EW135" s="48" t="str">
        <f t="shared" ca="1" si="323"/>
        <v>0</v>
      </c>
      <c r="EX135" s="48">
        <f t="shared" ca="1" si="324"/>
        <v>0</v>
      </c>
      <c r="EY135" s="48">
        <f ca="1">IF(EX135&gt;0,MAX($EY$2:EY134)+1,0)</f>
        <v>0</v>
      </c>
      <c r="EZ135" s="48">
        <f ca="1">IFERROR(INDEX($EX$3:$EX$400,MATCH(ROWS($EZ$3:EZ135),$EY$3:$EY$400,0),1),0)</f>
        <v>0</v>
      </c>
      <c r="FA135" s="48">
        <f ca="1">IF(EZ135&gt;0,0,MAX($FA$2:FA134)+1)</f>
        <v>133</v>
      </c>
      <c r="FB135" s="48">
        <f t="shared" ca="1" si="325"/>
        <v>0</v>
      </c>
      <c r="FC135" s="48">
        <f t="shared" ca="1" si="326"/>
        <v>133</v>
      </c>
      <c r="FD135" s="48">
        <f t="shared" ca="1" si="327"/>
        <v>133</v>
      </c>
      <c r="FE135" s="48">
        <f ca="1">IF(FD135=0,0,MAX($FE$2:FE134)+1)</f>
        <v>133</v>
      </c>
      <c r="FF135" s="48">
        <f ca="1">IFERROR(INDEX($FD$3:$FE$400,MATCH(ROWS($FF$3:FF135),$FE$3:$FE$400,0),1),"")</f>
        <v>133</v>
      </c>
      <c r="FG135" s="48">
        <f t="shared" ca="1" si="255"/>
        <v>0</v>
      </c>
      <c r="FH135" s="48">
        <f t="shared" ca="1" si="328"/>
        <v>0</v>
      </c>
      <c r="FI135" s="48">
        <f ca="1">IF(FH135&lt;&gt;0,MAX($FI$2:FI134)+1,0)</f>
        <v>0</v>
      </c>
      <c r="FJ135" s="48" t="str">
        <f ca="1">IFERROR(INDEX($FH$3:$FI$400,MATCH(ROWS($FJ$3:FJ135),$FI$3:$FI$400,0),1),"")</f>
        <v/>
      </c>
      <c r="FK135" s="48">
        <f ca="1">IF(ABS(SUMIFS(DARE,DEN_G,"="&amp;FJ135,DATA,"&lt;="&amp;FINE_AC,DATA,"&gt;="&amp;INIZIO_A_PC)-SUMIFS(AVERE,DEN_G,"="&amp;FJ135,DATA,"&lt;="&amp;FINE_AC,DATA,"&gt;="&amp;INIZIO_A_PC))&gt;0,MAX($FK$2:FK134)+1,0)</f>
        <v>0</v>
      </c>
      <c r="FL135" s="48" t="str">
        <f ca="1">IF(AND(ROW()-2&lt;&gt;1,ROW()-2&lt;=$FK$1),CONCATENATE(" - ",IFERROR(INDEX($FJ$3:$FK$400,MATCH(ROWS($FL$3:FL135),$FK$3:$FK$400,0),1),"")),IFERROR(INDEX($FJ$3:$FK$400,MATCH(ROWS($FL$3:FL135),$FK$3:$FK$400,0),1),""))</f>
        <v/>
      </c>
      <c r="FM135" s="48">
        <f ca="1">IF(OR(B135="IVA ns/credito",B135="IVA NS/DEBITO",B135="IVA C/ACCONTO",B135="IMPOSTE C/ACCONTO",B135="CREDITI PER RITENUTE SUBITE",B135="CREDITI D'IMPOSTA"),MAX($FM$2:FM134)+1,0)</f>
        <v>0</v>
      </c>
      <c r="FN135" s="48" t="str">
        <f t="shared" ca="1" si="329"/>
        <v/>
      </c>
      <c r="FO135" s="48" t="str">
        <f ca="1">IFERROR(INDEX($FM$3:$FN$400,MATCH(ROWS($FO$3:FO135),$FM$3:$FM$400,0),2),"")</f>
        <v/>
      </c>
      <c r="FP135" s="48">
        <f ca="1">IF(ABS(SUMIFS(DARE,DEN_G,"="&amp;FO135,DATA,"&lt;="&amp;FINE_AC,DATA,"&gt;="&amp;INIZIO_A_PC)-SUMIFS(AVERE,DEN_G,"="&amp;FO135,DATA,"&lt;="&amp;FINE_AC,DATA,"&gt;="&amp;INIZIO_A_PC))&gt;0,MAX($FP$2:FP134)+1,0)</f>
        <v>0</v>
      </c>
      <c r="FQ135" s="48" t="str">
        <f ca="1">IF(AND(ROW()-2&lt;&gt;1,ROW()-2&lt;=$FP$1),CONCATENATE(" - ",IFERROR(INDEX($FO$3:$FP$400,MATCH(ROWS($FQ$3:FQ135),$FP$3:$FP$400,0),1),"")),IFERROR(INDEX($FO$3:$FP$400,MATCH(ROWS($FQ$3:FQ135),$FP$3:$FP$400,0),1),""))</f>
        <v/>
      </c>
    </row>
    <row r="136" spans="1:173" x14ac:dyDescent="0.3">
      <c r="A136" s="48" t="str">
        <f ca="1">IFERROR(IF($A$1=2,INDEX($DH$3:$DN$401,MATCH(ROWS(A$3:A136),$DN$3:$DN$401,0),COLUMN()),IF($A$1=1,INDEX($DQ$3:$DW$401,MATCH(ROWS(A$3:A136),$DW$3:$DW$401,0),COLUMN()),"")),"")</f>
        <v>13.21</v>
      </c>
      <c r="B136" s="48" t="str">
        <f ca="1">IFERROR(IF($A$1=2,INDEX($DH$3:$DN$401,MATCH(ROWS(B$3:B136),$DN$3:$DN$401,0),COLUMN()),IF($A$1=1,INDEX($DQ$3:$DW$400,MATCH(ROWS(B$3:B136),$DW$3:$DW$401,0),COLUMN()),"")),"")</f>
        <v>BANCHE C/INTERESSI MATURATI</v>
      </c>
      <c r="C136" s="48" t="str">
        <f ca="1">IFERROR(IF($A$1=2,INDEX($DH$3:$DN$401,MATCH(ROWS(C$3:C136),$DN$3:$DN$401,0),COLUMN()),IF($A$1=1,INDEX($DQ$3:$DW$401,MATCH(ROWS(C$3:C136),$DW$3:$DW$401,0),COLUMN()),"")),"")</f>
        <v>F</v>
      </c>
      <c r="D136" s="48" t="str">
        <f ca="1">IFERROR(IF($A$1=2,INDEX($DH$3:$DN$401,MATCH(ROWS(D$3:D136),$DN$3:$DN$401,0),COLUMN()),IF($A$1=1,INDEX($DQ$3:$DW$401,MATCH(ROWS(D$3:D136),$DW$3:$DW$401,0),COLUMN()),"")),"")</f>
        <v>A</v>
      </c>
      <c r="E136" s="48" t="str">
        <f ca="1">IFERROR(IF($A$1=2,INDEX($DH$3:$DN$401,MATCH(ROWS(E$3:E136),$DN$3:$DN$401,0),COLUMN()),IF($A$1=1,INDEX($DQ$3:$DW$401,MATCH(ROWS(E$3:E136),$DW$3:$DW$401,0),COLUMN()),"")),"")</f>
        <v>DEBITI</v>
      </c>
      <c r="F136" s="48" t="str">
        <f ca="1">IFERROR(IF($A$1=2,INDEX($DH$3:$DN$401,MATCH(ROWS(F$3:F136),$DN$3:$DN$401,0),COLUMN()),IF($A$1=1,INDEX($DQ$3:$DX$401,MATCH(ROWS(F$3:F136),$DW$3:$DW$401,0),COLUMN()),"")),"")</f>
        <v>SP AVERE</v>
      </c>
      <c r="G136" s="48" t="str">
        <f t="shared" ca="1" si="294"/>
        <v>SP</v>
      </c>
      <c r="H136" s="48" t="str">
        <f ca="1">IFERROR(IF($A$1=2,INDEX($DH$3:$DO$400,MATCH(ROWS(H$3:H136),$DN$3:$DN$400,0),COLUMN()),IF($A$1=1,INDEX($DQ$3:$DX$400,MATCH(ROWS(H$3:H136),$DW$3:$DW$400,0),COLUMN()),"")),"")</f>
        <v>ppd</v>
      </c>
      <c r="I136" s="48" t="str">
        <f t="shared" ca="1" si="295"/>
        <v/>
      </c>
      <c r="J136" s="48" t="str">
        <f t="shared" ca="1" si="296"/>
        <v/>
      </c>
      <c r="K136" s="48">
        <f t="shared" ca="1" si="297"/>
        <v>0</v>
      </c>
      <c r="L136" s="48">
        <f t="shared" ca="1" si="298"/>
        <v>0</v>
      </c>
      <c r="M136" s="48">
        <f ca="1">IFERROR(IF(IF(MID($A136,3,3)=".00",MID(A136,1,2),"")&lt;&gt;"",MAX($M$2:M135)+1,0),"")</f>
        <v>0</v>
      </c>
      <c r="N136" s="48" t="str">
        <f t="shared" ca="1" si="299"/>
        <v/>
      </c>
      <c r="O136" s="48" t="str">
        <f ca="1">IF(IFERROR(INDEX($N$3:$O$300,MATCH(ROWS($O$3:O136),$M$3:$M$300,0),1),"")&lt;&gt;"",CONCATENATE(INDEX($N$3:$O$300,MATCH(ROWS($O$3:O136),$M$3:$M$300,0),1),".00"),"")</f>
        <v/>
      </c>
      <c r="P136" s="48" t="str">
        <f t="shared" ca="1" si="300"/>
        <v/>
      </c>
      <c r="Q136" s="48">
        <f ca="1">IF(M136&gt;=1,0,MAX($Q$2:Q135)+1)</f>
        <v>120</v>
      </c>
      <c r="U136" s="48" t="str">
        <f ca="1">IFERROR(INDEX(PDC,MATCH(ROWS(U$3:U136),$V$3:$V$400,0),2),"")</f>
        <v>DEBITI PER IVA</v>
      </c>
      <c r="V136" s="48">
        <f ca="1">IF(AND($T$1="VISUALIZZA TUTTI I CONTI",AA136&lt;&gt;""),MAX($V$2:V135)+1,IF(AND($U$2=2,AI136=$T$1),MAX($V$2:V135)+1,IF(AND($U$2=1,$T$1=AF136),MAX($V$2:V135)+1,0)))</f>
        <v>134</v>
      </c>
      <c r="Z136" s="246"/>
      <c r="AA136" s="48" t="str">
        <f t="shared" ca="1" si="301"/>
        <v>15.00</v>
      </c>
      <c r="AB136" s="48" t="str">
        <f ca="1">IFERROR(INDEX($A$3:$G$400,MATCH(ROWS(AB$3:AB136),$Q$3:$Q$400,0),1),"")</f>
        <v>15.03</v>
      </c>
      <c r="AC136" s="48" t="str">
        <f ca="1">IFERROR(INDEX($A$3:$G$400,MATCH(ROWS($AC$3:AC136),$Q$3:$Q$400,0),2),"")</f>
        <v>DEBITI PER IVA</v>
      </c>
      <c r="AD136" s="48" t="str">
        <f ca="1">IFERROR(INDEX($A$3:$G$400,MATCH(ROWS(AD$3:AD136),$Q$3:$Q$400,0),3),"")</f>
        <v>F</v>
      </c>
      <c r="AE136" s="48" t="str">
        <f ca="1">IFERROR(INDEX($A$3:$G$400,MATCH(ROWS(AE$3:AE136),$Q$3:$Q$400,0),4),"")</f>
        <v>A</v>
      </c>
      <c r="AF136" s="48" t="str">
        <f ca="1">IFERROR(INDEX($A$3:$G$400,MATCH(ROWS(AF$3:AF136),$Q$3:$Q$400,0),5),"")</f>
        <v>DEBITI</v>
      </c>
      <c r="AG136" s="48" t="str">
        <f ca="1">IFERROR(INDEX($A$3:$G$400,MATCH(ROWS(AG$3:AG136),$Q$3:$Q$400,0),6),"")</f>
        <v>SP AVERE</v>
      </c>
      <c r="AH136" s="48" t="str">
        <f ca="1">IFERROR(INDEX($A$3:$G$400,MATCH(ROWS(AH$3:AH136),$Q$3:$Q$400,0),7),"")</f>
        <v>SP</v>
      </c>
      <c r="AI136" s="48" t="str">
        <f t="shared" ca="1" si="302"/>
        <v>DEBITI DIVERSI</v>
      </c>
      <c r="AJ136" s="48" t="str">
        <f ca="1">IFERROR(INDEX($A$3:$H$400,MATCH(ROWS(AJ$3:AJ136),$Q$3:$Q$400,0),8),"")</f>
        <v>ppd</v>
      </c>
      <c r="AK136" s="48">
        <f t="shared" ca="1" si="277"/>
        <v>0</v>
      </c>
      <c r="AL136" s="48">
        <f t="shared" ca="1" si="335"/>
        <v>0</v>
      </c>
      <c r="AM136" s="48">
        <f t="shared" ca="1" si="252"/>
        <v>0</v>
      </c>
      <c r="AN136" s="48">
        <f t="shared" ca="1" si="253"/>
        <v>0</v>
      </c>
      <c r="AO136" s="48">
        <f t="shared" ca="1" si="254"/>
        <v>0</v>
      </c>
      <c r="AP136" s="48">
        <f t="shared" ca="1" si="254"/>
        <v>0</v>
      </c>
      <c r="AQ136" s="48" t="str">
        <f t="shared" ca="1" si="278"/>
        <v>DEBITI PER IVA</v>
      </c>
      <c r="AR136" s="48">
        <f t="shared" ca="1" si="279"/>
        <v>0</v>
      </c>
      <c r="AS136" s="48">
        <f t="shared" ca="1" si="280"/>
        <v>0</v>
      </c>
      <c r="AT136" s="48">
        <f t="shared" ca="1" si="303"/>
        <v>0</v>
      </c>
      <c r="AU136" s="48">
        <f t="shared" ca="1" si="304"/>
        <v>0</v>
      </c>
      <c r="AV136" s="48">
        <f ca="1">IF(OR(AT136&gt;0,AU136&gt;0),MAX($AV$2:AV135)+1,0)</f>
        <v>0</v>
      </c>
      <c r="AZ136" s="241" t="str">
        <f t="shared" si="240"/>
        <v>36 V.I.</v>
      </c>
      <c r="BA136" s="48">
        <f t="shared" ca="1" si="330"/>
        <v>0</v>
      </c>
      <c r="BB136" s="48">
        <f t="shared" ca="1" si="247"/>
        <v>0</v>
      </c>
      <c r="BC136" s="48" t="str">
        <f t="shared" ca="1" si="248"/>
        <v/>
      </c>
      <c r="BD136" s="48">
        <f t="shared" ca="1" si="249"/>
        <v>0</v>
      </c>
      <c r="BE136" s="48">
        <f t="shared" ca="1" si="250"/>
        <v>0</v>
      </c>
      <c r="BF136" s="48">
        <v>34</v>
      </c>
      <c r="BG136" s="48">
        <f ca="1">IF(IF(AND(OR(INDEX(PDC,MATCH($AC136,DEN_PDC,0),6)="SP DARE",INDEX(PDC,MATCH($AC136,DEN_PDC,0),6)="SP DARE/AVERE"),SUMIFS(DARE,DEN_G,$AC136)&gt;=SUMIFS(AVERE,DEN_G,$AC136)),SUMIFS(DARE,DEN_G,$AC136)-SUMIFS(AVERE,DEN_G,$AC136),0)&gt;0,MAX($BG$2:BG135)+1,0)</f>
        <v>0</v>
      </c>
      <c r="BH136" s="48">
        <f ca="1">IF(IF(AND(OR(INDEX(PDC,MATCH($AC136,DEN_PDC,0),6)="SP AVERE",INDEX(PDC,MATCH($AC136,DEN_PDC,0),6)="SP DARE/AVERE"),SUMIFS(AVERE,DEN_G,$AC136)&gt;=SUMIFS(DARE,DEN_G,$AC136)),SUMIFS(AVERE,DEN_G,$AC136)-SUMIFS(DARE,DEN_G,$AC136),0)&gt;0,MAX(BH$2:BH135)+1,0)</f>
        <v>0</v>
      </c>
      <c r="BI136" s="48">
        <f ca="1">IF(IF(AND(OR(INDEX(PDC,MATCH($AC136,DEN_PDC,0),6)="SE DARE",INDEX(PDC,MATCH($AC136,DEN_PDC,0),6)="SE DARE/AVERE"),SUMIFS(DARE,DEN_G,$AC136)&gt;=SUMIFS(AVERE,DEN_G,$AC136)),SUMIFS(DARE,DEN_G,$AC136)-SUMIFS(AVERE,DEN_G,$AC136),0)&gt;0,MAX(BI$2:BI135)+1,0)</f>
        <v>0</v>
      </c>
      <c r="BJ136" s="48">
        <f ca="1">IF(IF(AND(OR(INDEX(PDC,MATCH($AC136,DEN_PDC,0),6)="SE AVERE",INDEX(PDC,MATCH($AC136,DEN_PDC,0),6)="SE DARE/AVERE"),SUMIFS(AVERE,DEN_G,$AC136)&gt;=SUMIFS(DARE,DEN_G,$AC136)),SUMIFS(AVERE,DEN_G,$AC136)-SUMIFS(DARE,DEN_G,$AC136),0)&gt;0,MAX(BJ$2:BJ135)+1,0)</f>
        <v>0</v>
      </c>
      <c r="BK136" s="48" t="str">
        <f ca="1">IF(AND(AND($DY$2=0,$DY$1=0),$I$1=2,ROW()&gt;$BG$1+2,ROW()&lt;=$BG$1+4),"………………..",IF(AND(OR($DY$2&gt;0,$DY$1&gt;0),$I$1=2,ROW()&gt;$BG$1+2,ROW()&lt;=$BG$1+4),"………………..",IFERROR(INDEX($AC$3:$AC$398,MATCH(ROWS(BK$3:BK136),BG$3:BG$398,0),1),"")))</f>
        <v/>
      </c>
      <c r="BL136" s="48">
        <f t="shared" ca="1" si="281"/>
        <v>0</v>
      </c>
      <c r="BM136" s="48" t="str">
        <f ca="1">IF(AND(OR($DY$2=0,$DY$1=0),$I$1=2,ROW()&gt;$BH$1+2,ROW()&lt;=$BH$1+4),"………………..",IF(AND(OR($DY$2&gt;0,$DY$1&gt;0),$I$1=2,ROW()&gt;$BH$1+2,ROW()&lt;=$BH$1+4),"………………..",IFERROR(INDEX($AC$3:$AC$400,MATCH(ROWS(BM$3:BM136),BH$3:BH$400,0),1),"")))</f>
        <v/>
      </c>
      <c r="BN136" s="48">
        <f t="shared" ca="1" si="282"/>
        <v>0</v>
      </c>
      <c r="BO136" s="48" t="str">
        <f ca="1">IF(AND(OR($DY$2=0,$DY$1=0),$I$1=2,ROW()&gt;$BI$1+2,ROW()&lt;=$BI$1+4),"………………..",IF(AND(OR($DY$2&gt;0,$DY$1&gt;0),$I$1=2,ROW()&gt;$BI$1+2,ROW()&lt;=$BI$1+4),"………………..",IFERROR(INDEX($AC$3:$AC$400,MATCH(ROWS(BO$3:BO136),BI$3:BI$400,0),1),"")))</f>
        <v/>
      </c>
      <c r="BP136" s="48">
        <f t="shared" ca="1" si="283"/>
        <v>0</v>
      </c>
      <c r="BQ136" s="48" t="str">
        <f ca="1">IF(AND(OR($DY$2=0,$DY$1=0),$I$1=2,ROW()&gt;$BJ$1+2,ROW()&lt;=$BJ$1+4),"………………..",IF(AND(OR($DY$2&gt;0,$DY$1&gt;0),$I$1=2,ROW()&gt;$BJ$1+2,ROW()&lt;=$BJ$1+4),"………………..",IFERROR(INDEX($AC$3:$AC$400,MATCH(ROWS(BQ$3:BQ136),BJ$3:BJ$400,0),1),"")))</f>
        <v/>
      </c>
      <c r="BR136" s="48">
        <f t="shared" ca="1" si="284"/>
        <v>0</v>
      </c>
      <c r="BS136" s="48">
        <f ca="1">IF(IF(AND(OR(INDEX(PDC,MATCH($AC136,DEN_PDC,0),4)="D",INDEX(PDC,MATCH($AC136,DEN_PDC,0),4)="D/A"),SUMIFS(DARE,DEN_G,$AC136)&gt;=SUMIFS(AVERE,DEN_G,$AC136)),SUMIFS(DARE,DEN_G,$AC136),IF(AND(OR(INDEX(PDC,MATCH($AC136,DEN_PDC,0),4)="A",INDEX(PDC,MATCH($AC136,DEN_PDC,0),4)="D/A"),SUMIFS(AVERE,DEN_G,$AC136)&gt;=SUMIFS(DARE,DEN_G,$AC136)),SUMIFS(AVERE,DEN_G,$AC136),))&gt;0,MAX($BS$2:BS135)+1,0)</f>
        <v>0</v>
      </c>
      <c r="BT136" s="48" t="str">
        <f ca="1">IF($CO$1=0,"",IF(AND($I$1=2,ROW()&gt;$BR$1,ROW()&lt;=$BS$1)," …………….",IF(AND($E$1=1,$BX$1=1,$I$1=2,ROW()=$BQ$1),"TOTALI",IFERROR(INDEX(PDC,MATCH(ROWS(BT$3:BT136),BS$3:BS533,0),2),""))))</f>
        <v/>
      </c>
      <c r="BU136" s="48">
        <f t="shared" ca="1" si="285"/>
        <v>0</v>
      </c>
      <c r="BV136" s="48">
        <f t="shared" ca="1" si="286"/>
        <v>0</v>
      </c>
      <c r="BW136" s="48">
        <f t="shared" ca="1" si="287"/>
        <v>0</v>
      </c>
      <c r="BX136" s="48">
        <f t="shared" ca="1" si="288"/>
        <v>0</v>
      </c>
      <c r="BY136" s="48">
        <f ca="1">IF(OR(BW136&gt;0,BX136&gt;0),MAX($BY$2:BY135)+1,0)</f>
        <v>0</v>
      </c>
      <c r="BZ136" s="48" t="str">
        <f ca="1">IFERROR(INDEX($BT$3:$BY$400,MATCH(ROWS(BZ$3:BZ136),$BY$3:$BY$400,0),1),"")</f>
        <v/>
      </c>
      <c r="CA136" s="48" t="str">
        <f ca="1">IFERROR(INDEX($BT$3:$BY$400,MATCH(ROWS(CA$3:CA136),$BY$3:$BY$400,0),4),"")</f>
        <v/>
      </c>
      <c r="CB136" s="48" t="str">
        <f ca="1">IFERROR(INDEX($BT$3:$BY$400,MATCH(ROWS(CB$3:CB136),$BY$3:$BY$400,0),5),"")</f>
        <v/>
      </c>
      <c r="CC136" s="48" t="str">
        <f t="shared" ca="1" si="289"/>
        <v/>
      </c>
      <c r="CD136" s="48">
        <f ca="1">IF(AND($BF$9=1,CE136&lt;&gt;0),MAX($CD$104:CD135)+1,0)</f>
        <v>0</v>
      </c>
      <c r="CE136" s="48">
        <f ca="1">IF(ROUND(SUMIFS(COPIA!$CB$3:$CB$400,COPIA!$CC$3:$CC$400,CF136)-SUMIFS(COPIA!$CA$3:$CA$400,COPIA!$CC$3:$CC$400,CF136),0)&lt;0,0,ROUND(SUMIFS(COPIA!$CB$3:$CB$400,COPIA!$CC$3:$CC$400,CF136)-SUMIFS(COPIA!$CA$3:$CA$400,COPIA!$CC$3:$CC$400,CF136),0))</f>
        <v>0</v>
      </c>
      <c r="CF136" s="48" t="s">
        <v>678</v>
      </c>
      <c r="CG136" s="242" t="s">
        <v>569</v>
      </c>
      <c r="CH136" s="48">
        <f t="shared" ca="1" si="259"/>
        <v>0</v>
      </c>
      <c r="CJ136" s="242">
        <f ca="1">SUMIFS(COPIA!$CB$3:$CB$400,COPIA!$CC$3:$CC$400,CF136)-SUMIFS(COPIA!$CA$3:$CA$400,COPIA!$CC$3:$CC$400,CF136)</f>
        <v>0</v>
      </c>
      <c r="CK136" s="48">
        <f ca="1">IF($CG$2=FALSE,0,IF(AND($BF$9=1,CJ136&lt;&gt;0),MAX($CK$21:CK135)+1,0))</f>
        <v>0</v>
      </c>
      <c r="CL136" s="48" t="s">
        <v>791</v>
      </c>
      <c r="CM136" s="242" t="str">
        <f t="shared" ca="1" si="305"/>
        <v/>
      </c>
      <c r="CN136" s="243">
        <f t="shared" ca="1" si="306"/>
        <v>0</v>
      </c>
      <c r="CO136" s="48" t="str">
        <f t="shared" ca="1" si="307"/>
        <v/>
      </c>
      <c r="CQ136" s="242"/>
      <c r="CR136" s="242"/>
      <c r="CU136" s="48">
        <f ca="1">IF(SUMIFS(AVERE,DEN_G,AC136,AVERE,"&gt;"&amp;0)+SUMIFS(DARE,DEN_G,AC136,DARE,"&gt;"&amp;0)&gt;0,MAX($CU$2:CU135)+1,0)</f>
        <v>0</v>
      </c>
      <c r="CV136" s="48" t="str">
        <f ca="1">IF(IFERROR(INDEX(PDC,MATCH(ROWS($CV$3:CV136),$CU$3:$CU$400,0),2),"")="CONTO DI RISULTATO ECONOMICO","",IFERROR(INDEX(PDC,MATCH(ROWS($CV$3:CV136),$CU$3:$CU$400,0),2),""))</f>
        <v/>
      </c>
      <c r="CW136" s="48">
        <f ca="1">IFERROR(IF(CV136&lt;&gt;"",MAX($CW$2:CW135)+1,0),0)</f>
        <v>0</v>
      </c>
      <c r="CX136" s="48">
        <f t="shared" ca="1" si="333"/>
        <v>11</v>
      </c>
      <c r="CY136" s="48" t="str">
        <f t="shared" ca="1" si="332"/>
        <v>MASTRO</v>
      </c>
      <c r="CZ136" s="48" t="e">
        <f t="shared" ca="1" si="336"/>
        <v>#N/A</v>
      </c>
      <c r="DA136" s="48" t="str">
        <f t="shared" ref="DA136:DA144" ca="1" si="340">IFERROR(INDEX(LIBRO_GIORNALE,CZ136,1),"")</f>
        <v/>
      </c>
      <c r="DB136" s="48" t="str">
        <f t="shared" ca="1" si="212"/>
        <v/>
      </c>
      <c r="DC136" s="48" t="str">
        <f t="shared" ca="1" si="337"/>
        <v/>
      </c>
      <c r="DD136" s="48" t="str">
        <f t="shared" ca="1" si="338"/>
        <v/>
      </c>
      <c r="DE136" s="48" t="str">
        <f t="shared" ca="1" si="339"/>
        <v/>
      </c>
      <c r="DF136" s="48">
        <f ca="1">IF(AND(CX136=$DF$1,CX136&lt;&gt;""),0,IF(AND(DB136&lt;&gt;"",OR(DB135&lt;&gt;"",DB137&lt;&gt;"")),MAX($DF$2:DF135)+1,0))</f>
        <v>0</v>
      </c>
      <c r="DH136" s="244" t="s">
        <v>398</v>
      </c>
      <c r="DI136" s="48" t="s">
        <v>395</v>
      </c>
      <c r="DJ136" s="48" t="s">
        <v>311</v>
      </c>
      <c r="DK136" s="48" t="s">
        <v>298</v>
      </c>
      <c r="DL136" s="48" t="s">
        <v>4</v>
      </c>
      <c r="DM136" s="48" t="s">
        <v>299</v>
      </c>
      <c r="DN136" s="48">
        <f ca="1">IF(DI136&lt;&gt;"",MAX($DN$2:DN135)+1,0)</f>
        <v>114</v>
      </c>
      <c r="DO136" s="48" t="s">
        <v>654</v>
      </c>
      <c r="DW136" s="48">
        <f>IF(DR136&lt;&gt;"",MAX($DW$2:DW135)+1,0)</f>
        <v>0</v>
      </c>
      <c r="DY136" s="48" t="str">
        <f t="shared" ca="1" si="291"/>
        <v/>
      </c>
      <c r="DZ136" s="48" t="str">
        <f t="shared" ca="1" si="309"/>
        <v/>
      </c>
      <c r="EA136" s="48" t="str">
        <f t="shared" ca="1" si="310"/>
        <v/>
      </c>
      <c r="EB136" s="48">
        <f t="shared" ca="1" si="311"/>
        <v>0</v>
      </c>
      <c r="EC136" s="48">
        <f t="shared" ca="1" si="312"/>
        <v>0</v>
      </c>
      <c r="ED136" s="48" t="str">
        <f t="shared" ca="1" si="313"/>
        <v/>
      </c>
      <c r="EE136" s="48">
        <f t="shared" ca="1" si="314"/>
        <v>0</v>
      </c>
      <c r="EF136" s="48" t="str">
        <f t="shared" ca="1" si="315"/>
        <v/>
      </c>
      <c r="EG136" s="48">
        <f t="shared" ca="1" si="316"/>
        <v>0</v>
      </c>
      <c r="EH136" s="48" t="str">
        <f t="shared" ca="1" si="317"/>
        <v/>
      </c>
      <c r="EI136" s="48">
        <f t="shared" ca="1" si="318"/>
        <v>0</v>
      </c>
      <c r="EJ136" s="48" t="str">
        <f t="shared" ca="1" si="319"/>
        <v/>
      </c>
      <c r="EK136" s="48">
        <f t="shared" ca="1" si="320"/>
        <v>0</v>
      </c>
      <c r="EL136" s="48">
        <f t="shared" ca="1" si="292"/>
        <v>0</v>
      </c>
      <c r="EM136" s="48">
        <f ca="1">IF(EL136&gt;=0,0,MAX($EM$2:EM135)+1)</f>
        <v>0</v>
      </c>
      <c r="EN136" s="48" t="str">
        <f t="shared" ca="1" si="321"/>
        <v/>
      </c>
      <c r="EO136" s="48" t="str">
        <f ca="1">IFERROR(INDEX($EM$3:$EN$400,MATCH(ROWS($EO$3:EO136),$EM$3:$EM$400,0),2),"")</f>
        <v/>
      </c>
      <c r="EP136" s="48">
        <f>ROW()</f>
        <v>136</v>
      </c>
      <c r="EQ136" s="48">
        <f t="shared" ca="1" si="293"/>
        <v>0</v>
      </c>
      <c r="ER136" s="48">
        <f ca="1">IF(ISNA(EQ136)=TRUE,MAX($ER$2:ER135)+1,0)</f>
        <v>0</v>
      </c>
      <c r="ES136" s="48" t="str">
        <f t="shared" ca="1" si="322"/>
        <v/>
      </c>
      <c r="ET136" s="48" t="str">
        <f ca="1">IFERROR(INDEX($ER$3:$ES$400,MATCH(ROWS($ET$3:ET136),$ER$3:$ER$400,0),2),"")</f>
        <v/>
      </c>
      <c r="EV136" s="48">
        <f ca="1">IFERROR(INDEX(LIBRO_GIORNALE!$O$11:$P$408,MATCH(ROWS($EV$2:EV135),LIBRO_GIORNALE!$P$11:$P$408,0),1),0)</f>
        <v>0</v>
      </c>
      <c r="EW136" s="48" t="str">
        <f t="shared" ca="1" si="323"/>
        <v>0</v>
      </c>
      <c r="EX136" s="48">
        <f t="shared" ca="1" si="324"/>
        <v>0</v>
      </c>
      <c r="EY136" s="48">
        <f ca="1">IF(EX136&gt;0,MAX($EY$2:EY135)+1,0)</f>
        <v>0</v>
      </c>
      <c r="EZ136" s="48">
        <f ca="1">IFERROR(INDEX($EX$3:$EX$400,MATCH(ROWS($EZ$3:EZ136),$EY$3:$EY$400,0),1),0)</f>
        <v>0</v>
      </c>
      <c r="FA136" s="48">
        <f ca="1">IF(EZ136&gt;0,0,MAX($FA$2:FA135)+1)</f>
        <v>134</v>
      </c>
      <c r="FB136" s="48">
        <f t="shared" ca="1" si="325"/>
        <v>0</v>
      </c>
      <c r="FC136" s="48">
        <f t="shared" ca="1" si="326"/>
        <v>134</v>
      </c>
      <c r="FD136" s="48">
        <f t="shared" ca="1" si="327"/>
        <v>134</v>
      </c>
      <c r="FE136" s="48">
        <f ca="1">IF(FD136=0,0,MAX($FE$2:FE135)+1)</f>
        <v>134</v>
      </c>
      <c r="FF136" s="48">
        <f ca="1">IFERROR(INDEX($FD$3:$FE$400,MATCH(ROWS($FF$3:FF136),$FE$3:$FE$400,0),1),"")</f>
        <v>134</v>
      </c>
      <c r="FG136" s="48">
        <f t="shared" ca="1" si="255"/>
        <v>0</v>
      </c>
      <c r="FH136" s="48">
        <f t="shared" ca="1" si="328"/>
        <v>0</v>
      </c>
      <c r="FI136" s="48">
        <f ca="1">IF(FH136&lt;&gt;0,MAX($FI$2:FI135)+1,0)</f>
        <v>0</v>
      </c>
      <c r="FJ136" s="48" t="str">
        <f ca="1">IFERROR(INDEX($FH$3:$FI$400,MATCH(ROWS($FJ$3:FJ136),$FI$3:$FI$400,0),1),"")</f>
        <v/>
      </c>
      <c r="FK136" s="48">
        <f ca="1">IF(ABS(SUMIFS(DARE,DEN_G,"="&amp;FJ136,DATA,"&lt;="&amp;FINE_AC,DATA,"&gt;="&amp;INIZIO_A_PC)-SUMIFS(AVERE,DEN_G,"="&amp;FJ136,DATA,"&lt;="&amp;FINE_AC,DATA,"&gt;="&amp;INIZIO_A_PC))&gt;0,MAX($FK$2:FK135)+1,0)</f>
        <v>0</v>
      </c>
      <c r="FL136" s="48" t="str">
        <f ca="1">IF(AND(ROW()-2&lt;&gt;1,ROW()-2&lt;=$FK$1),CONCATENATE(" - ",IFERROR(INDEX($FJ$3:$FK$400,MATCH(ROWS($FL$3:FL136),$FK$3:$FK$400,0),1),"")),IFERROR(INDEX($FJ$3:$FK$400,MATCH(ROWS($FL$3:FL136),$FK$3:$FK$400,0),1),""))</f>
        <v/>
      </c>
      <c r="FM136" s="48">
        <f ca="1">IF(OR(B136="IVA ns/credito",B136="IVA NS/DEBITO",B136="IVA C/ACCONTO",B136="IMPOSTE C/ACCONTO",B136="CREDITI PER RITENUTE SUBITE",B136="CREDITI D'IMPOSTA"),MAX($FM$2:FM135)+1,0)</f>
        <v>0</v>
      </c>
      <c r="FN136" s="48" t="str">
        <f t="shared" ca="1" si="329"/>
        <v/>
      </c>
      <c r="FO136" s="48" t="str">
        <f ca="1">IFERROR(INDEX($FM$3:$FN$400,MATCH(ROWS($FO$3:FO136),$FM$3:$FM$400,0),2),"")</f>
        <v/>
      </c>
      <c r="FP136" s="48">
        <f ca="1">IF(ABS(SUMIFS(DARE,DEN_G,"="&amp;FO136,DATA,"&lt;="&amp;FINE_AC,DATA,"&gt;="&amp;INIZIO_A_PC)-SUMIFS(AVERE,DEN_G,"="&amp;FO136,DATA,"&lt;="&amp;FINE_AC,DATA,"&gt;="&amp;INIZIO_A_PC))&gt;0,MAX($FP$2:FP135)+1,0)</f>
        <v>0</v>
      </c>
      <c r="FQ136" s="48" t="str">
        <f ca="1">IF(AND(ROW()-2&lt;&gt;1,ROW()-2&lt;=$FP$1),CONCATENATE(" - ",IFERROR(INDEX($FO$3:$FP$400,MATCH(ROWS($FQ$3:FQ136),$FP$3:$FP$400,0),1),"")),IFERROR(INDEX($FO$3:$FP$400,MATCH(ROWS($FQ$3:FQ136),$FP$3:$FP$400,0),1),""))</f>
        <v/>
      </c>
    </row>
    <row r="137" spans="1:173" x14ac:dyDescent="0.3">
      <c r="A137" s="48" t="str">
        <f ca="1">IFERROR(IF($A$1=2,INDEX($DH$3:$DN$401,MATCH(ROWS(A$3:A137),$DN$3:$DN$401,0),COLUMN()),IF($A$1=1,INDEX($DQ$3:$DW$401,MATCH(ROWS(A$3:A137),$DW$3:$DW$401,0),COLUMN()),"")),"")</f>
        <v>13.30</v>
      </c>
      <c r="B137" s="48" t="str">
        <f ca="1">IFERROR(IF($A$1=2,INDEX($DH$3:$DN$401,MATCH(ROWS(B$3:B137),$DN$3:$DN$401,0),COLUMN()),IF($A$1=1,INDEX($DQ$3:$DW$400,MATCH(ROWS(B$3:B137),$DW$3:$DW$401,0),COLUMN()),"")),"")</f>
        <v>PRESTITI DA CONTROLLATE</v>
      </c>
      <c r="C137" s="48" t="str">
        <f ca="1">IFERROR(IF($A$1=2,INDEX($DH$3:$DN$401,MATCH(ROWS(C$3:C137),$DN$3:$DN$401,0),COLUMN()),IF($A$1=1,INDEX($DQ$3:$DW$401,MATCH(ROWS(C$3:C137),$DW$3:$DW$401,0),COLUMN()),"")),"")</f>
        <v>F</v>
      </c>
      <c r="D137" s="48" t="str">
        <f ca="1">IFERROR(IF($A$1=2,INDEX($DH$3:$DN$401,MATCH(ROWS(D$3:D137),$DN$3:$DN$401,0),COLUMN()),IF($A$1=1,INDEX($DQ$3:$DW$401,MATCH(ROWS(D$3:D137),$DW$3:$DW$401,0),COLUMN()),"")),"")</f>
        <v>A</v>
      </c>
      <c r="E137" s="48" t="str">
        <f ca="1">IFERROR(IF($A$1=2,INDEX($DH$3:$DN$401,MATCH(ROWS(E$3:E137),$DN$3:$DN$401,0),COLUMN()),IF($A$1=1,INDEX($DQ$3:$DW$401,MATCH(ROWS(E$3:E137),$DW$3:$DW$401,0),COLUMN()),"")),"")</f>
        <v>DEBITI</v>
      </c>
      <c r="F137" s="48" t="str">
        <f ca="1">IFERROR(IF($A$1=2,INDEX($DH$3:$DN$401,MATCH(ROWS(F$3:F137),$DN$3:$DN$401,0),COLUMN()),IF($A$1=1,INDEX($DQ$3:$DX$401,MATCH(ROWS(F$3:F137),$DW$3:$DW$401,0),COLUMN()),"")),"")</f>
        <v>SP AVERE</v>
      </c>
      <c r="G137" s="48" t="str">
        <f t="shared" ca="1" si="294"/>
        <v>SP</v>
      </c>
      <c r="H137" s="48" t="str">
        <f ca="1">IFERROR(IF($A$1=2,INDEX($DH$3:$DO$400,MATCH(ROWS(H$3:H137),$DN$3:$DN$400,0),COLUMN()),IF($A$1=1,INDEX($DQ$3:$DX$400,MATCH(ROWS(H$3:H137),$DW$3:$DW$400,0),COLUMN()),"")),"")</f>
        <v>ppd</v>
      </c>
      <c r="I137" s="48" t="str">
        <f t="shared" ca="1" si="295"/>
        <v/>
      </c>
      <c r="J137" s="48" t="str">
        <f t="shared" ca="1" si="296"/>
        <v/>
      </c>
      <c r="K137" s="48">
        <f t="shared" ca="1" si="297"/>
        <v>0</v>
      </c>
      <c r="L137" s="48">
        <f t="shared" ca="1" si="298"/>
        <v>0</v>
      </c>
      <c r="M137" s="48">
        <f ca="1">IFERROR(IF(IF(MID($A137,3,3)=".00",MID(A137,1,2),"")&lt;&gt;"",MAX($M$2:M136)+1,0),"")</f>
        <v>0</v>
      </c>
      <c r="N137" s="48" t="str">
        <f t="shared" ca="1" si="299"/>
        <v/>
      </c>
      <c r="O137" s="48" t="str">
        <f ca="1">IF(IFERROR(INDEX($N$3:$O$300,MATCH(ROWS($O$3:O137),$M$3:$M$300,0),1),"")&lt;&gt;"",CONCATENATE(INDEX($N$3:$O$300,MATCH(ROWS($O$3:O137),$M$3:$M$300,0),1),".00"),"")</f>
        <v/>
      </c>
      <c r="P137" s="48" t="str">
        <f t="shared" ca="1" si="300"/>
        <v/>
      </c>
      <c r="Q137" s="48">
        <f ca="1">IF(M137&gt;=1,0,MAX($Q$2:Q136)+1)</f>
        <v>121</v>
      </c>
      <c r="U137" s="48" t="str">
        <f ca="1">IFERROR(INDEX(PDC,MATCH(ROWS(U$3:U137),$V$3:$V$400,0),2),"")</f>
        <v>DEBITI PER IMPOSTE</v>
      </c>
      <c r="V137" s="48">
        <f ca="1">IF(AND($T$1="VISUALIZZA TUTTI I CONTI",AA137&lt;&gt;""),MAX($V$2:V136)+1,IF(AND($U$2=2,AI137=$T$1),MAX($V$2:V136)+1,IF(AND($U$2=1,$T$1=AF137),MAX($V$2:V136)+1,0)))</f>
        <v>135</v>
      </c>
      <c r="Z137" s="246"/>
      <c r="AA137" s="48" t="str">
        <f t="shared" ca="1" si="301"/>
        <v>15.00</v>
      </c>
      <c r="AB137" s="48" t="str">
        <f ca="1">IFERROR(INDEX($A$3:$G$400,MATCH(ROWS(AB$3:AB137),$Q$3:$Q$400,0),1),"")</f>
        <v>15.04</v>
      </c>
      <c r="AC137" s="48" t="str">
        <f ca="1">IFERROR(INDEX($A$3:$G$400,MATCH(ROWS($AC$3:AC137),$Q$3:$Q$400,0),2),"")</f>
        <v>DEBITI PER IMPOSTE</v>
      </c>
      <c r="AD137" s="48" t="str">
        <f ca="1">IFERROR(INDEX($A$3:$G$400,MATCH(ROWS(AD$3:AD137),$Q$3:$Q$400,0),3),"")</f>
        <v>F</v>
      </c>
      <c r="AE137" s="48" t="str">
        <f ca="1">IFERROR(INDEX($A$3:$G$400,MATCH(ROWS(AE$3:AE137),$Q$3:$Q$400,0),4),"")</f>
        <v>A</v>
      </c>
      <c r="AF137" s="48" t="str">
        <f ca="1">IFERROR(INDEX($A$3:$G$400,MATCH(ROWS(AF$3:AF137),$Q$3:$Q$400,0),5),"")</f>
        <v>DEBITI</v>
      </c>
      <c r="AG137" s="48" t="str">
        <f ca="1">IFERROR(INDEX($A$3:$G$400,MATCH(ROWS(AG$3:AG137),$Q$3:$Q$400,0),6),"")</f>
        <v>SP AVERE</v>
      </c>
      <c r="AH137" s="48" t="str">
        <f ca="1">IFERROR(INDEX($A$3:$G$400,MATCH(ROWS(AH$3:AH137),$Q$3:$Q$400,0),7),"")</f>
        <v>SP</v>
      </c>
      <c r="AI137" s="48" t="str">
        <f t="shared" ca="1" si="302"/>
        <v>DEBITI DIVERSI</v>
      </c>
      <c r="AJ137" s="48" t="str">
        <f ca="1">IFERROR(INDEX($A$3:$H$400,MATCH(ROWS(AJ$3:AJ137),$Q$3:$Q$400,0),8),"")</f>
        <v>ppd</v>
      </c>
      <c r="AK137" s="48">
        <f t="shared" ca="1" si="277"/>
        <v>0</v>
      </c>
      <c r="AL137" s="48">
        <f t="shared" ca="1" si="335"/>
        <v>0</v>
      </c>
      <c r="AM137" s="48">
        <f t="shared" ca="1" si="252"/>
        <v>0</v>
      </c>
      <c r="AN137" s="48">
        <f t="shared" ca="1" si="253"/>
        <v>0</v>
      </c>
      <c r="AO137" s="48">
        <f t="shared" ca="1" si="254"/>
        <v>0</v>
      </c>
      <c r="AP137" s="48">
        <f t="shared" ca="1" si="254"/>
        <v>0</v>
      </c>
      <c r="AQ137" s="48" t="str">
        <f t="shared" ca="1" si="278"/>
        <v>DEBITI PER IMPOSTE</v>
      </c>
      <c r="AR137" s="48">
        <f t="shared" ca="1" si="279"/>
        <v>0</v>
      </c>
      <c r="AS137" s="48">
        <f t="shared" ca="1" si="280"/>
        <v>0</v>
      </c>
      <c r="AT137" s="48">
        <f t="shared" ca="1" si="303"/>
        <v>0</v>
      </c>
      <c r="AU137" s="48">
        <f t="shared" ca="1" si="304"/>
        <v>0</v>
      </c>
      <c r="AV137" s="48">
        <f ca="1">IF(OR(AT137&gt;0,AU137&gt;0),MAX($AV$2:AV136)+1,0)</f>
        <v>0</v>
      </c>
      <c r="AZ137" s="241" t="str">
        <f t="shared" si="240"/>
        <v>37 V.I.</v>
      </c>
      <c r="BA137" s="48">
        <f t="shared" ca="1" si="330"/>
        <v>0</v>
      </c>
      <c r="BB137" s="48">
        <f t="shared" ca="1" si="247"/>
        <v>0</v>
      </c>
      <c r="BC137" s="48" t="str">
        <f t="shared" ca="1" si="248"/>
        <v/>
      </c>
      <c r="BD137" s="48">
        <f t="shared" ca="1" si="249"/>
        <v>0</v>
      </c>
      <c r="BE137" s="48">
        <f t="shared" ca="1" si="250"/>
        <v>0</v>
      </c>
      <c r="BF137" s="48">
        <v>35</v>
      </c>
      <c r="BG137" s="48">
        <f ca="1">IF(IF(AND(OR(INDEX(PDC,MATCH($AC137,DEN_PDC,0),6)="SP DARE",INDEX(PDC,MATCH($AC137,DEN_PDC,0),6)="SP DARE/AVERE"),SUMIFS(DARE,DEN_G,$AC137)&gt;=SUMIFS(AVERE,DEN_G,$AC137)),SUMIFS(DARE,DEN_G,$AC137)-SUMIFS(AVERE,DEN_G,$AC137),0)&gt;0,MAX($BG$2:BG136)+1,0)</f>
        <v>0</v>
      </c>
      <c r="BH137" s="48">
        <f ca="1">IF(IF(AND(OR(INDEX(PDC,MATCH($AC137,DEN_PDC,0),6)="SP AVERE",INDEX(PDC,MATCH($AC137,DEN_PDC,0),6)="SP DARE/AVERE"),SUMIFS(AVERE,DEN_G,$AC137)&gt;=SUMIFS(DARE,DEN_G,$AC137)),SUMIFS(AVERE,DEN_G,$AC137)-SUMIFS(DARE,DEN_G,$AC137),0)&gt;0,MAX(BH$2:BH136)+1,0)</f>
        <v>0</v>
      </c>
      <c r="BI137" s="48">
        <f ca="1">IF(IF(AND(OR(INDEX(PDC,MATCH($AC137,DEN_PDC,0),6)="SE DARE",INDEX(PDC,MATCH($AC137,DEN_PDC,0),6)="SE DARE/AVERE"),SUMIFS(DARE,DEN_G,$AC137)&gt;=SUMIFS(AVERE,DEN_G,$AC137)),SUMIFS(DARE,DEN_G,$AC137)-SUMIFS(AVERE,DEN_G,$AC137),0)&gt;0,MAX(BI$2:BI136)+1,0)</f>
        <v>0</v>
      </c>
      <c r="BJ137" s="48">
        <f ca="1">IF(IF(AND(OR(INDEX(PDC,MATCH($AC137,DEN_PDC,0),6)="SE AVERE",INDEX(PDC,MATCH($AC137,DEN_PDC,0),6)="SE DARE/AVERE"),SUMIFS(AVERE,DEN_G,$AC137)&gt;=SUMIFS(DARE,DEN_G,$AC137)),SUMIFS(AVERE,DEN_G,$AC137)-SUMIFS(DARE,DEN_G,$AC137),0)&gt;0,MAX(BJ$2:BJ136)+1,0)</f>
        <v>0</v>
      </c>
      <c r="BK137" s="48" t="str">
        <f ca="1">IF(AND(AND($DY$2=0,$DY$1=0),$I$1=2,ROW()&gt;$BG$1+2,ROW()&lt;=$BG$1+4),"………………..",IF(AND(OR($DY$2&gt;0,$DY$1&gt;0),$I$1=2,ROW()&gt;$BG$1+2,ROW()&lt;=$BG$1+4),"………………..",IFERROR(INDEX($AC$3:$AC$398,MATCH(ROWS(BK$3:BK137),BG$3:BG$398,0),1),"")))</f>
        <v/>
      </c>
      <c r="BL137" s="48">
        <f t="shared" ca="1" si="281"/>
        <v>0</v>
      </c>
      <c r="BM137" s="48" t="str">
        <f ca="1">IF(AND(OR($DY$2=0,$DY$1=0),$I$1=2,ROW()&gt;$BH$1+2,ROW()&lt;=$BH$1+4),"………………..",IF(AND(OR($DY$2&gt;0,$DY$1&gt;0),$I$1=2,ROW()&gt;$BH$1+2,ROW()&lt;=$BH$1+4),"………………..",IFERROR(INDEX($AC$3:$AC$400,MATCH(ROWS(BM$3:BM137),BH$3:BH$400,0),1),"")))</f>
        <v/>
      </c>
      <c r="BN137" s="48">
        <f t="shared" ca="1" si="282"/>
        <v>0</v>
      </c>
      <c r="BO137" s="48" t="str">
        <f ca="1">IF(AND(OR($DY$2=0,$DY$1=0),$I$1=2,ROW()&gt;$BI$1+2,ROW()&lt;=$BI$1+4),"………………..",IF(AND(OR($DY$2&gt;0,$DY$1&gt;0),$I$1=2,ROW()&gt;$BI$1+2,ROW()&lt;=$BI$1+4),"………………..",IFERROR(INDEX($AC$3:$AC$400,MATCH(ROWS(BO$3:BO137),BI$3:BI$400,0),1),"")))</f>
        <v/>
      </c>
      <c r="BP137" s="48">
        <f t="shared" ca="1" si="283"/>
        <v>0</v>
      </c>
      <c r="BQ137" s="48" t="str">
        <f ca="1">IF(AND(OR($DY$2=0,$DY$1=0),$I$1=2,ROW()&gt;$BJ$1+2,ROW()&lt;=$BJ$1+4),"………………..",IF(AND(OR($DY$2&gt;0,$DY$1&gt;0),$I$1=2,ROW()&gt;$BJ$1+2,ROW()&lt;=$BJ$1+4),"………………..",IFERROR(INDEX($AC$3:$AC$400,MATCH(ROWS(BQ$3:BQ137),BJ$3:BJ$400,0),1),"")))</f>
        <v/>
      </c>
      <c r="BR137" s="48">
        <f t="shared" ca="1" si="284"/>
        <v>0</v>
      </c>
      <c r="BS137" s="48">
        <f ca="1">IF(IF(AND(OR(INDEX(PDC,MATCH($AC137,DEN_PDC,0),4)="D",INDEX(PDC,MATCH($AC137,DEN_PDC,0),4)="D/A"),SUMIFS(DARE,DEN_G,$AC137)&gt;=SUMIFS(AVERE,DEN_G,$AC137)),SUMIFS(DARE,DEN_G,$AC137),IF(AND(OR(INDEX(PDC,MATCH($AC137,DEN_PDC,0),4)="A",INDEX(PDC,MATCH($AC137,DEN_PDC,0),4)="D/A"),SUMIFS(AVERE,DEN_G,$AC137)&gt;=SUMIFS(DARE,DEN_G,$AC137)),SUMIFS(AVERE,DEN_G,$AC137),))&gt;0,MAX($BS$2:BS136)+1,0)</f>
        <v>0</v>
      </c>
      <c r="BT137" s="48" t="str">
        <f ca="1">IF($CO$1=0,"",IF(AND($I$1=2,ROW()&gt;$BR$1,ROW()&lt;=$BS$1)," …………….",IF(AND($E$1=1,$BX$1=1,$I$1=2,ROW()=$BQ$1),"TOTALI",IFERROR(INDEX(PDC,MATCH(ROWS(BT$3:BT137),BS$3:BS534,0),2),""))))</f>
        <v/>
      </c>
      <c r="BU137" s="48">
        <f t="shared" ca="1" si="285"/>
        <v>0</v>
      </c>
      <c r="BV137" s="48">
        <f t="shared" ca="1" si="286"/>
        <v>0</v>
      </c>
      <c r="BW137" s="48">
        <f t="shared" ca="1" si="287"/>
        <v>0</v>
      </c>
      <c r="BX137" s="48">
        <f t="shared" ca="1" si="288"/>
        <v>0</v>
      </c>
      <c r="BY137" s="48">
        <f ca="1">IF(OR(BW137&gt;0,BX137&gt;0),MAX($BY$2:BY136)+1,0)</f>
        <v>0</v>
      </c>
      <c r="BZ137" s="48" t="str">
        <f ca="1">IFERROR(INDEX($BT$3:$BY$400,MATCH(ROWS(BZ$3:BZ137),$BY$3:$BY$400,0),1),"")</f>
        <v/>
      </c>
      <c r="CA137" s="48" t="str">
        <f ca="1">IFERROR(INDEX($BT$3:$BY$400,MATCH(ROWS(CA$3:CA137),$BY$3:$BY$400,0),4),"")</f>
        <v/>
      </c>
      <c r="CB137" s="48" t="str">
        <f ca="1">IFERROR(INDEX($BT$3:$BY$400,MATCH(ROWS(CB$3:CB137),$BY$3:$BY$400,0),5),"")</f>
        <v/>
      </c>
      <c r="CC137" s="48" t="str">
        <f t="shared" ca="1" si="289"/>
        <v/>
      </c>
      <c r="CD137" s="48">
        <f ca="1">IF(AND($BF$9=1,CE137&lt;&gt;0),MAX($CD$104:CD136)+1,0)</f>
        <v>0</v>
      </c>
      <c r="CE137" s="48">
        <f ca="1">ROUND(IFERROR(INDEX(BILANCIO!$I$13:$J$59,MATCH(CF137,BILANCIO!$J$13:$J$59,0),1),0),0)</f>
        <v>0</v>
      </c>
      <c r="CF137" s="48" t="s">
        <v>791</v>
      </c>
      <c r="CG137" s="242" t="s">
        <v>571</v>
      </c>
      <c r="CI137" s="48">
        <f t="shared" ca="1" si="331"/>
        <v>0</v>
      </c>
      <c r="CJ137" s="242">
        <f ca="1">SUMIFS(COPIA!$CB$3:$CB$400,COPIA!$CC$3:$CC$400,CF137)-SUMIFS(COPIA!$CA$3:$CA$400,COPIA!$CC$3:$CC$400,CF137)</f>
        <v>0</v>
      </c>
      <c r="CK137" s="48">
        <f ca="1">IF($CG$2=FALSE,0,IF(AND($BF$9=1,CJ137&lt;&gt;0),MAX($CK$21:CK136)+1,0))</f>
        <v>0</v>
      </c>
      <c r="CM137" s="242" t="str">
        <f t="shared" ca="1" si="305"/>
        <v/>
      </c>
      <c r="CN137" s="243">
        <f t="shared" ca="1" si="306"/>
        <v>0</v>
      </c>
      <c r="CO137" s="48" t="str">
        <f t="shared" ca="1" si="307"/>
        <v/>
      </c>
      <c r="CQ137" s="242"/>
      <c r="CR137" s="242"/>
      <c r="CU137" s="48">
        <f ca="1">IF(SUMIFS(AVERE,DEN_G,AC137,AVERE,"&gt;"&amp;0)+SUMIFS(DARE,DEN_G,AC137,DARE,"&gt;"&amp;0)&gt;0,MAX($CU$2:CU136)+1,0)</f>
        <v>0</v>
      </c>
      <c r="CV137" s="48" t="str">
        <f ca="1">IF(IFERROR(INDEX(PDC,MATCH(ROWS($CV$3:CV137),$CU$3:$CU$400,0),2),"")="CONTO DI RISULTATO ECONOMICO","",IFERROR(INDEX(PDC,MATCH(ROWS($CV$3:CV137),$CU$3:$CU$400,0),2),""))</f>
        <v/>
      </c>
      <c r="CW137" s="48">
        <f ca="1">IFERROR(IF(CV137&lt;&gt;"",MAX($CW$2:CW136)+1,0),0)</f>
        <v>0</v>
      </c>
      <c r="CX137" s="48">
        <f t="shared" ca="1" si="333"/>
        <v>11</v>
      </c>
      <c r="CY137" s="48" t="str">
        <f t="shared" ca="1" si="332"/>
        <v>MASTRO</v>
      </c>
      <c r="CZ137" s="48" t="e">
        <f t="shared" ca="1" si="336"/>
        <v>#N/A</v>
      </c>
      <c r="DA137" s="48" t="str">
        <f t="shared" ca="1" si="340"/>
        <v/>
      </c>
      <c r="DB137" s="48" t="str">
        <f t="shared" ca="1" si="212"/>
        <v/>
      </c>
      <c r="DC137" s="48" t="str">
        <f t="shared" ca="1" si="337"/>
        <v/>
      </c>
      <c r="DD137" s="48" t="str">
        <f t="shared" ca="1" si="338"/>
        <v/>
      </c>
      <c r="DE137" s="48" t="str">
        <f t="shared" ca="1" si="339"/>
        <v/>
      </c>
      <c r="DF137" s="48">
        <f ca="1">IF(AND(CX137=$DF$1,CX137&lt;&gt;""),0,IF(AND(DB137&lt;&gt;"",OR(DB136&lt;&gt;"",DB138&lt;&gt;"")),MAX($DF$2:DF136)+1,0))</f>
        <v>0</v>
      </c>
      <c r="DH137" s="244" t="s">
        <v>399</v>
      </c>
      <c r="DI137" s="48" t="s">
        <v>397</v>
      </c>
      <c r="DJ137" s="48" t="s">
        <v>311</v>
      </c>
      <c r="DK137" s="48" t="s">
        <v>275</v>
      </c>
      <c r="DL137" s="48" t="s">
        <v>4</v>
      </c>
      <c r="DM137" s="48" t="s">
        <v>270</v>
      </c>
      <c r="DN137" s="48">
        <f ca="1">IF(DI137&lt;&gt;"",MAX($DN$2:DN136)+1,0)</f>
        <v>115</v>
      </c>
      <c r="DO137" s="48" t="s">
        <v>654</v>
      </c>
      <c r="DW137" s="48">
        <f>IF(DR137&lt;&gt;"",MAX($DW$2:DW136)+1,0)</f>
        <v>0</v>
      </c>
      <c r="DY137" s="48" t="str">
        <f t="shared" ca="1" si="291"/>
        <v/>
      </c>
      <c r="DZ137" s="48" t="str">
        <f t="shared" ca="1" si="309"/>
        <v/>
      </c>
      <c r="EA137" s="48" t="str">
        <f t="shared" ca="1" si="310"/>
        <v/>
      </c>
      <c r="EB137" s="48">
        <f t="shared" ca="1" si="311"/>
        <v>0</v>
      </c>
      <c r="EC137" s="48">
        <f t="shared" ca="1" si="312"/>
        <v>0</v>
      </c>
      <c r="ED137" s="48" t="str">
        <f t="shared" ca="1" si="313"/>
        <v/>
      </c>
      <c r="EE137" s="48">
        <f t="shared" ca="1" si="314"/>
        <v>0</v>
      </c>
      <c r="EF137" s="48" t="str">
        <f t="shared" ca="1" si="315"/>
        <v/>
      </c>
      <c r="EG137" s="48">
        <f t="shared" ca="1" si="316"/>
        <v>0</v>
      </c>
      <c r="EH137" s="48" t="str">
        <f t="shared" ca="1" si="317"/>
        <v/>
      </c>
      <c r="EI137" s="48">
        <f t="shared" ca="1" si="318"/>
        <v>0</v>
      </c>
      <c r="EJ137" s="48" t="str">
        <f t="shared" ca="1" si="319"/>
        <v/>
      </c>
      <c r="EK137" s="48">
        <f t="shared" ca="1" si="320"/>
        <v>0</v>
      </c>
      <c r="EL137" s="48">
        <f t="shared" ca="1" si="292"/>
        <v>0</v>
      </c>
      <c r="EM137" s="48">
        <f ca="1">IF(EL137&gt;=0,0,MAX($EM$2:EM136)+1)</f>
        <v>0</v>
      </c>
      <c r="EN137" s="48" t="str">
        <f t="shared" ca="1" si="321"/>
        <v/>
      </c>
      <c r="EO137" s="48" t="str">
        <f ca="1">IFERROR(INDEX($EM$3:$EN$400,MATCH(ROWS($EO$3:EO137),$EM$3:$EM$400,0),2),"")</f>
        <v/>
      </c>
      <c r="EP137" s="48">
        <f>ROW()</f>
        <v>137</v>
      </c>
      <c r="EQ137" s="48">
        <f t="shared" ca="1" si="293"/>
        <v>0</v>
      </c>
      <c r="ER137" s="48">
        <f ca="1">IF(ISNA(EQ137)=TRUE,MAX($ER$2:ER136)+1,0)</f>
        <v>0</v>
      </c>
      <c r="ES137" s="48" t="str">
        <f t="shared" ca="1" si="322"/>
        <v/>
      </c>
      <c r="ET137" s="48" t="str">
        <f ca="1">IFERROR(INDEX($ER$3:$ES$400,MATCH(ROWS($ET$3:ET137),$ER$3:$ER$400,0),2),"")</f>
        <v/>
      </c>
      <c r="EV137" s="48">
        <f ca="1">IFERROR(INDEX(LIBRO_GIORNALE!$O$11:$P$408,MATCH(ROWS($EV$2:EV136),LIBRO_GIORNALE!$P$11:$P$408,0),1),0)</f>
        <v>0</v>
      </c>
      <c r="EW137" s="48" t="str">
        <f t="shared" ca="1" si="323"/>
        <v>0</v>
      </c>
      <c r="EX137" s="48">
        <f t="shared" ca="1" si="324"/>
        <v>0</v>
      </c>
      <c r="EY137" s="48">
        <f ca="1">IF(EX137&gt;0,MAX($EY$2:EY136)+1,0)</f>
        <v>0</v>
      </c>
      <c r="EZ137" s="48">
        <f ca="1">IFERROR(INDEX($EX$3:$EX$400,MATCH(ROWS($EZ$3:EZ137),$EY$3:$EY$400,0),1),0)</f>
        <v>0</v>
      </c>
      <c r="FA137" s="48">
        <f ca="1">IF(EZ137&gt;0,0,MAX($FA$2:FA136)+1)</f>
        <v>135</v>
      </c>
      <c r="FB137" s="48">
        <f t="shared" ca="1" si="325"/>
        <v>0</v>
      </c>
      <c r="FC137" s="48">
        <f t="shared" ca="1" si="326"/>
        <v>135</v>
      </c>
      <c r="FD137" s="48">
        <f t="shared" ca="1" si="327"/>
        <v>135</v>
      </c>
      <c r="FE137" s="48">
        <f ca="1">IF(FD137=0,0,MAX($FE$2:FE136)+1)</f>
        <v>135</v>
      </c>
      <c r="FF137" s="48">
        <f ca="1">IFERROR(INDEX($FD$3:$FE$400,MATCH(ROWS($FF$3:FF137),$FE$3:$FE$400,0),1),"")</f>
        <v>135</v>
      </c>
      <c r="FG137" s="48">
        <f t="shared" ca="1" si="255"/>
        <v>0</v>
      </c>
      <c r="FH137" s="48">
        <f t="shared" ca="1" si="328"/>
        <v>0</v>
      </c>
      <c r="FI137" s="48">
        <f ca="1">IF(FH137&lt;&gt;0,MAX($FI$2:FI136)+1,0)</f>
        <v>0</v>
      </c>
      <c r="FJ137" s="48" t="str">
        <f ca="1">IFERROR(INDEX($FH$3:$FI$400,MATCH(ROWS($FJ$3:FJ137),$FI$3:$FI$400,0),1),"")</f>
        <v/>
      </c>
      <c r="FK137" s="48">
        <f ca="1">IF(ABS(SUMIFS(DARE,DEN_G,"="&amp;FJ137,DATA,"&lt;="&amp;FINE_AC,DATA,"&gt;="&amp;INIZIO_A_PC)-SUMIFS(AVERE,DEN_G,"="&amp;FJ137,DATA,"&lt;="&amp;FINE_AC,DATA,"&gt;="&amp;INIZIO_A_PC))&gt;0,MAX($FK$2:FK136)+1,0)</f>
        <v>0</v>
      </c>
      <c r="FL137" s="48" t="str">
        <f ca="1">IF(AND(ROW()-2&lt;&gt;1,ROW()-2&lt;=$FK$1),CONCATENATE(" - ",IFERROR(INDEX($FJ$3:$FK$400,MATCH(ROWS($FL$3:FL137),$FK$3:$FK$400,0),1),"")),IFERROR(INDEX($FJ$3:$FK$400,MATCH(ROWS($FL$3:FL137),$FK$3:$FK$400,0),1),""))</f>
        <v/>
      </c>
      <c r="FM137" s="48">
        <f ca="1">IF(OR(B137="IVA ns/credito",B137="IVA NS/DEBITO",B137="IVA C/ACCONTO",B137="IMPOSTE C/ACCONTO",B137="CREDITI PER RITENUTE SUBITE",B137="CREDITI D'IMPOSTA"),MAX($FM$2:FM136)+1,0)</f>
        <v>0</v>
      </c>
      <c r="FN137" s="48" t="str">
        <f t="shared" ca="1" si="329"/>
        <v/>
      </c>
      <c r="FO137" s="48" t="str">
        <f ca="1">IFERROR(INDEX($FM$3:$FN$400,MATCH(ROWS($FO$3:FO137),$FM$3:$FM$400,0),2),"")</f>
        <v/>
      </c>
      <c r="FP137" s="48">
        <f ca="1">IF(ABS(SUMIFS(DARE,DEN_G,"="&amp;FO137,DATA,"&lt;="&amp;FINE_AC,DATA,"&gt;="&amp;INIZIO_A_PC)-SUMIFS(AVERE,DEN_G,"="&amp;FO137,DATA,"&lt;="&amp;FINE_AC,DATA,"&gt;="&amp;INIZIO_A_PC))&gt;0,MAX($FP$2:FP136)+1,0)</f>
        <v>0</v>
      </c>
      <c r="FQ137" s="48" t="str">
        <f ca="1">IF(AND(ROW()-2&lt;&gt;1,ROW()-2&lt;=$FP$1),CONCATENATE(" - ",IFERROR(INDEX($FO$3:$FP$400,MATCH(ROWS($FQ$3:FQ137),$FP$3:$FP$400,0),1),"")),IFERROR(INDEX($FO$3:$FP$400,MATCH(ROWS($FQ$3:FQ137),$FP$3:$FP$400,0),1),""))</f>
        <v/>
      </c>
    </row>
    <row r="138" spans="1:173" x14ac:dyDescent="0.3">
      <c r="A138" s="48" t="str">
        <f ca="1">IFERROR(IF($A$1=2,INDEX($DH$3:$DN$401,MATCH(ROWS(A$3:A138),$DN$3:$DN$401,0),COLUMN()),IF($A$1=1,INDEX($DQ$3:$DW$401,MATCH(ROWS(A$3:A138),$DW$3:$DW$401,0),COLUMN()),"")),"")</f>
        <v>13.31</v>
      </c>
      <c r="B138" s="48" t="str">
        <f ca="1">IFERROR(IF($A$1=2,INDEX($DH$3:$DN$401,MATCH(ROWS(B$3:B138),$DN$3:$DN$401,0),COLUMN()),IF($A$1=1,INDEX($DQ$3:$DW$400,MATCH(ROWS(B$3:B138),$DW$3:$DW$401,0),COLUMN()),"")),"")</f>
        <v>PRESTITI DA COLLEGATE</v>
      </c>
      <c r="C138" s="48" t="str">
        <f ca="1">IFERROR(IF($A$1=2,INDEX($DH$3:$DN$401,MATCH(ROWS(C$3:C138),$DN$3:$DN$401,0),COLUMN()),IF($A$1=1,INDEX($DQ$3:$DW$401,MATCH(ROWS(C$3:C138),$DW$3:$DW$401,0),COLUMN()),"")),"")</f>
        <v>F</v>
      </c>
      <c r="D138" s="48" t="str">
        <f ca="1">IFERROR(IF($A$1=2,INDEX($DH$3:$DN$401,MATCH(ROWS(D$3:D138),$DN$3:$DN$401,0),COLUMN()),IF($A$1=1,INDEX($DQ$3:$DW$401,MATCH(ROWS(D$3:D138),$DW$3:$DW$401,0),COLUMN()),"")),"")</f>
        <v>A</v>
      </c>
      <c r="E138" s="48" t="str">
        <f ca="1">IFERROR(IF($A$1=2,INDEX($DH$3:$DN$401,MATCH(ROWS(E$3:E138),$DN$3:$DN$401,0),COLUMN()),IF($A$1=1,INDEX($DQ$3:$DW$401,MATCH(ROWS(E$3:E138),$DW$3:$DW$401,0),COLUMN()),"")),"")</f>
        <v>DEBITI</v>
      </c>
      <c r="F138" s="48" t="str">
        <f ca="1">IFERROR(IF($A$1=2,INDEX($DH$3:$DN$401,MATCH(ROWS(F$3:F138),$DN$3:$DN$401,0),COLUMN()),IF($A$1=1,INDEX($DQ$3:$DX$401,MATCH(ROWS(F$3:F138),$DW$3:$DW$401,0),COLUMN()),"")),"")</f>
        <v>SP AVERE</v>
      </c>
      <c r="G138" s="48" t="str">
        <f t="shared" ca="1" si="294"/>
        <v>SP</v>
      </c>
      <c r="H138" s="48" t="str">
        <f ca="1">IFERROR(IF($A$1=2,INDEX($DH$3:$DO$400,MATCH(ROWS(H$3:H138),$DN$3:$DN$400,0),COLUMN()),IF($A$1=1,INDEX($DQ$3:$DX$400,MATCH(ROWS(H$3:H138),$DW$3:$DW$400,0),COLUMN()),"")),"")</f>
        <v>ppd</v>
      </c>
      <c r="I138" s="48" t="str">
        <f t="shared" ca="1" si="295"/>
        <v/>
      </c>
      <c r="J138" s="48" t="str">
        <f t="shared" ca="1" si="296"/>
        <v/>
      </c>
      <c r="K138" s="48">
        <f t="shared" ca="1" si="297"/>
        <v>0</v>
      </c>
      <c r="L138" s="48">
        <f t="shared" ca="1" si="298"/>
        <v>0</v>
      </c>
      <c r="M138" s="48">
        <f ca="1">IFERROR(IF(IF(MID($A138,3,3)=".00",MID(A138,1,2),"")&lt;&gt;"",MAX($M$2:M137)+1,0),"")</f>
        <v>0</v>
      </c>
      <c r="N138" s="48" t="str">
        <f t="shared" ca="1" si="299"/>
        <v/>
      </c>
      <c r="O138" s="48" t="str">
        <f ca="1">IF(IFERROR(INDEX($N$3:$O$300,MATCH(ROWS($O$3:O138),$M$3:$M$300,0),1),"")&lt;&gt;"",CONCATENATE(INDEX($N$3:$O$300,MATCH(ROWS($O$3:O138),$M$3:$M$300,0),1),".00"),"")</f>
        <v/>
      </c>
      <c r="P138" s="48" t="str">
        <f t="shared" ca="1" si="300"/>
        <v/>
      </c>
      <c r="Q138" s="48">
        <f ca="1">IF(M138&gt;=1,0,MAX($Q$2:Q137)+1)</f>
        <v>122</v>
      </c>
      <c r="U138" s="48" t="str">
        <f ca="1">IFERROR(INDEX(PDC,MATCH(ROWS(U$3:U138),$V$3:$V$400,0),2),"")</f>
        <v>DEBITI FISCALI DIVERSI</v>
      </c>
      <c r="V138" s="48">
        <f ca="1">IF(AND($T$1="VISUALIZZA TUTTI I CONTI",AA138&lt;&gt;""),MAX($V$2:V137)+1,IF(AND($U$2=2,AI138=$T$1),MAX($V$2:V137)+1,IF(AND($U$2=1,$T$1=AF138),MAX($V$2:V137)+1,0)))</f>
        <v>136</v>
      </c>
      <c r="Z138" s="246"/>
      <c r="AA138" s="48" t="str">
        <f t="shared" ca="1" si="301"/>
        <v>15.00</v>
      </c>
      <c r="AB138" s="48" t="str">
        <f ca="1">IFERROR(INDEX($A$3:$G$400,MATCH(ROWS(AB$3:AB138),$Q$3:$Q$400,0),1),"")</f>
        <v>15.05</v>
      </c>
      <c r="AC138" s="48" t="str">
        <f ca="1">IFERROR(INDEX($A$3:$G$400,MATCH(ROWS($AC$3:AC138),$Q$3:$Q$400,0),2),"")</f>
        <v>DEBITI FISCALI DIVERSI</v>
      </c>
      <c r="AD138" s="48" t="str">
        <f ca="1">IFERROR(INDEX($A$3:$G$400,MATCH(ROWS(AD$3:AD138),$Q$3:$Q$400,0),3),"")</f>
        <v>F</v>
      </c>
      <c r="AE138" s="48" t="str">
        <f ca="1">IFERROR(INDEX($A$3:$G$400,MATCH(ROWS(AE$3:AE138),$Q$3:$Q$400,0),4),"")</f>
        <v>A</v>
      </c>
      <c r="AF138" s="48" t="str">
        <f ca="1">IFERROR(INDEX($A$3:$G$400,MATCH(ROWS(AF$3:AF138),$Q$3:$Q$400,0),5),"")</f>
        <v>DEBITI</v>
      </c>
      <c r="AG138" s="48" t="str">
        <f ca="1">IFERROR(INDEX($A$3:$G$400,MATCH(ROWS(AG$3:AG138),$Q$3:$Q$400,0),6),"")</f>
        <v>SP AVERE</v>
      </c>
      <c r="AH138" s="48" t="str">
        <f ca="1">IFERROR(INDEX($A$3:$G$400,MATCH(ROWS(AH$3:AH138),$Q$3:$Q$400,0),7),"")</f>
        <v>SP</v>
      </c>
      <c r="AI138" s="48" t="str">
        <f t="shared" ca="1" si="302"/>
        <v>DEBITI DIVERSI</v>
      </c>
      <c r="AJ138" s="48" t="str">
        <f ca="1">IFERROR(INDEX($A$3:$H$400,MATCH(ROWS(AJ$3:AJ138),$Q$3:$Q$400,0),8),"")</f>
        <v>ppd</v>
      </c>
      <c r="AK138" s="48">
        <f t="shared" ca="1" si="277"/>
        <v>0</v>
      </c>
      <c r="AL138" s="48">
        <f t="shared" ca="1" si="335"/>
        <v>0</v>
      </c>
      <c r="AM138" s="48">
        <f t="shared" ca="1" si="252"/>
        <v>0</v>
      </c>
      <c r="AN138" s="48">
        <f t="shared" ca="1" si="253"/>
        <v>0</v>
      </c>
      <c r="AO138" s="48">
        <f t="shared" ca="1" si="254"/>
        <v>0</v>
      </c>
      <c r="AP138" s="48">
        <f t="shared" ca="1" si="254"/>
        <v>0</v>
      </c>
      <c r="AQ138" s="48" t="str">
        <f t="shared" ca="1" si="278"/>
        <v>DEBITI FISCALI DIVERSI</v>
      </c>
      <c r="AR138" s="48">
        <f t="shared" ca="1" si="279"/>
        <v>0</v>
      </c>
      <c r="AS138" s="48">
        <f t="shared" ca="1" si="280"/>
        <v>0</v>
      </c>
      <c r="AT138" s="48">
        <f t="shared" ca="1" si="303"/>
        <v>0</v>
      </c>
      <c r="AU138" s="48">
        <f t="shared" ca="1" si="304"/>
        <v>0</v>
      </c>
      <c r="AV138" s="48">
        <f ca="1">IF(OR(AT138&gt;0,AU138&gt;0),MAX($AV$2:AV137)+1,0)</f>
        <v>0</v>
      </c>
      <c r="AZ138" s="241" t="str">
        <f t="shared" si="240"/>
        <v>38 V.I.</v>
      </c>
      <c r="BA138" s="48">
        <f t="shared" ca="1" si="330"/>
        <v>0</v>
      </c>
      <c r="BB138" s="48">
        <f t="shared" ca="1" si="247"/>
        <v>0</v>
      </c>
      <c r="BC138" s="48" t="str">
        <f t="shared" ca="1" si="248"/>
        <v/>
      </c>
      <c r="BD138" s="48">
        <f t="shared" ca="1" si="249"/>
        <v>0</v>
      </c>
      <c r="BE138" s="48">
        <f t="shared" ca="1" si="250"/>
        <v>0</v>
      </c>
      <c r="BF138" s="48">
        <v>36</v>
      </c>
      <c r="BG138" s="48">
        <f ca="1">IF(IF(AND(OR(INDEX(PDC,MATCH($AC138,DEN_PDC,0),6)="SP DARE",INDEX(PDC,MATCH($AC138,DEN_PDC,0),6)="SP DARE/AVERE"),SUMIFS(DARE,DEN_G,$AC138)&gt;=SUMIFS(AVERE,DEN_G,$AC138)),SUMIFS(DARE,DEN_G,$AC138)-SUMIFS(AVERE,DEN_G,$AC138),0)&gt;0,MAX($BG$2:BG137)+1,0)</f>
        <v>0</v>
      </c>
      <c r="BH138" s="48">
        <f ca="1">IF(IF(AND(OR(INDEX(PDC,MATCH($AC138,DEN_PDC,0),6)="SP AVERE",INDEX(PDC,MATCH($AC138,DEN_PDC,0),6)="SP DARE/AVERE"),SUMIFS(AVERE,DEN_G,$AC138)&gt;=SUMIFS(DARE,DEN_G,$AC138)),SUMIFS(AVERE,DEN_G,$AC138)-SUMIFS(DARE,DEN_G,$AC138),0)&gt;0,MAX(BH$2:BH137)+1,0)</f>
        <v>0</v>
      </c>
      <c r="BI138" s="48">
        <f ca="1">IF(IF(AND(OR(INDEX(PDC,MATCH($AC138,DEN_PDC,0),6)="SE DARE",INDEX(PDC,MATCH($AC138,DEN_PDC,0),6)="SE DARE/AVERE"),SUMIFS(DARE,DEN_G,$AC138)&gt;=SUMIFS(AVERE,DEN_G,$AC138)),SUMIFS(DARE,DEN_G,$AC138)-SUMIFS(AVERE,DEN_G,$AC138),0)&gt;0,MAX(BI$2:BI137)+1,0)</f>
        <v>0</v>
      </c>
      <c r="BJ138" s="48">
        <f ca="1">IF(IF(AND(OR(INDEX(PDC,MATCH($AC138,DEN_PDC,0),6)="SE AVERE",INDEX(PDC,MATCH($AC138,DEN_PDC,0),6)="SE DARE/AVERE"),SUMIFS(AVERE,DEN_G,$AC138)&gt;=SUMIFS(DARE,DEN_G,$AC138)),SUMIFS(AVERE,DEN_G,$AC138)-SUMIFS(DARE,DEN_G,$AC138),0)&gt;0,MAX(BJ$2:BJ137)+1,0)</f>
        <v>0</v>
      </c>
      <c r="BK138" s="48" t="str">
        <f ca="1">IF(AND(AND($DY$2=0,$DY$1=0),$I$1=2,ROW()&gt;$BG$1+2,ROW()&lt;=$BG$1+4),"………………..",IF(AND(OR($DY$2&gt;0,$DY$1&gt;0),$I$1=2,ROW()&gt;$BG$1+2,ROW()&lt;=$BG$1+4),"………………..",IFERROR(INDEX($AC$3:$AC$398,MATCH(ROWS(BK$3:BK138),BG$3:BG$398,0),1),"")))</f>
        <v/>
      </c>
      <c r="BL138" s="48">
        <f t="shared" ca="1" si="281"/>
        <v>0</v>
      </c>
      <c r="BM138" s="48" t="str">
        <f ca="1">IF(AND(OR($DY$2=0,$DY$1=0),$I$1=2,ROW()&gt;$BH$1+2,ROW()&lt;=$BH$1+4),"………………..",IF(AND(OR($DY$2&gt;0,$DY$1&gt;0),$I$1=2,ROW()&gt;$BH$1+2,ROW()&lt;=$BH$1+4),"………………..",IFERROR(INDEX($AC$3:$AC$400,MATCH(ROWS(BM$3:BM138),BH$3:BH$400,0),1),"")))</f>
        <v/>
      </c>
      <c r="BN138" s="48">
        <f t="shared" ca="1" si="282"/>
        <v>0</v>
      </c>
      <c r="BO138" s="48" t="str">
        <f ca="1">IF(AND(OR($DY$2=0,$DY$1=0),$I$1=2,ROW()&gt;$BI$1+2,ROW()&lt;=$BI$1+4),"………………..",IF(AND(OR($DY$2&gt;0,$DY$1&gt;0),$I$1=2,ROW()&gt;$BI$1+2,ROW()&lt;=$BI$1+4),"………………..",IFERROR(INDEX($AC$3:$AC$400,MATCH(ROWS(BO$3:BO138),BI$3:BI$400,0),1),"")))</f>
        <v/>
      </c>
      <c r="BP138" s="48">
        <f t="shared" ca="1" si="283"/>
        <v>0</v>
      </c>
      <c r="BQ138" s="48" t="str">
        <f ca="1">IF(AND(OR($DY$2=0,$DY$1=0),$I$1=2,ROW()&gt;$BJ$1+2,ROW()&lt;=$BJ$1+4),"………………..",IF(AND(OR($DY$2&gt;0,$DY$1&gt;0),$I$1=2,ROW()&gt;$BJ$1+2,ROW()&lt;=$BJ$1+4),"………………..",IFERROR(INDEX($AC$3:$AC$400,MATCH(ROWS(BQ$3:BQ138),BJ$3:BJ$400,0),1),"")))</f>
        <v/>
      </c>
      <c r="BR138" s="48">
        <f t="shared" ca="1" si="284"/>
        <v>0</v>
      </c>
      <c r="BS138" s="48">
        <f ca="1">IF(IF(AND(OR(INDEX(PDC,MATCH($AC138,DEN_PDC,0),4)="D",INDEX(PDC,MATCH($AC138,DEN_PDC,0),4)="D/A"),SUMIFS(DARE,DEN_G,$AC138)&gt;=SUMIFS(AVERE,DEN_G,$AC138)),SUMIFS(DARE,DEN_G,$AC138),IF(AND(OR(INDEX(PDC,MATCH($AC138,DEN_PDC,0),4)="A",INDEX(PDC,MATCH($AC138,DEN_PDC,0),4)="D/A"),SUMIFS(AVERE,DEN_G,$AC138)&gt;=SUMIFS(DARE,DEN_G,$AC138)),SUMIFS(AVERE,DEN_G,$AC138),))&gt;0,MAX($BS$2:BS137)+1,0)</f>
        <v>0</v>
      </c>
      <c r="BT138" s="48" t="str">
        <f ca="1">IF($CO$1=0,"",IF(AND($I$1=2,ROW()&gt;$BR$1,ROW()&lt;=$BS$1)," …………….",IF(AND($E$1=1,$BX$1=1,$I$1=2,ROW()=$BQ$1),"TOTALI",IFERROR(INDEX(PDC,MATCH(ROWS(BT$3:BT138),BS$3:BS535,0),2),""))))</f>
        <v/>
      </c>
      <c r="BU138" s="48">
        <f t="shared" ca="1" si="285"/>
        <v>0</v>
      </c>
      <c r="BV138" s="48">
        <f t="shared" ca="1" si="286"/>
        <v>0</v>
      </c>
      <c r="BW138" s="48">
        <f t="shared" ca="1" si="287"/>
        <v>0</v>
      </c>
      <c r="BX138" s="48">
        <f t="shared" ca="1" si="288"/>
        <v>0</v>
      </c>
      <c r="BY138" s="48">
        <f ca="1">IF(OR(BW138&gt;0,BX138&gt;0),MAX($BY$2:BY137)+1,0)</f>
        <v>0</v>
      </c>
      <c r="BZ138" s="48" t="str">
        <f ca="1">IFERROR(INDEX($BT$3:$BY$400,MATCH(ROWS(BZ$3:BZ138),$BY$3:$BY$400,0),1),"")</f>
        <v/>
      </c>
      <c r="CA138" s="48" t="str">
        <f ca="1">IFERROR(INDEX($BT$3:$BY$400,MATCH(ROWS(CA$3:CA138),$BY$3:$BY$400,0),4),"")</f>
        <v/>
      </c>
      <c r="CB138" s="48" t="str">
        <f ca="1">IFERROR(INDEX($BT$3:$BY$400,MATCH(ROWS(CB$3:CB138),$BY$3:$BY$400,0),5),"")</f>
        <v/>
      </c>
      <c r="CC138" s="48" t="str">
        <f t="shared" ca="1" si="289"/>
        <v/>
      </c>
      <c r="CD138" s="48">
        <f ca="1">IF(AND($BF$9=1,CE138&lt;&gt;0),MAX($CD$104:CD137)+1,0)</f>
        <v>0</v>
      </c>
      <c r="CE138" s="48">
        <f ca="1">IF(ROUND(SUMIFS(COPIA!$CB$3:$CB$400,COPIA!$CC$3:$CC$400,CF138)-SUMIFS(COPIA!$CA$3:$CA$400,COPIA!$CC$3:$CC$400,CF138),0)&lt;0,0,ROUND(SUMIFS(COPIA!$CB$3:$CB$400,COPIA!$CC$3:$CC$400,CF138)-SUMIFS(COPIA!$CA$3:$CA$400,COPIA!$CC$3:$CC$400,CF138),0))</f>
        <v>0</v>
      </c>
      <c r="CF138" s="48" t="s">
        <v>679</v>
      </c>
      <c r="CG138" s="242" t="s">
        <v>568</v>
      </c>
      <c r="CH138" s="48">
        <f t="shared" ca="1" si="259"/>
        <v>0</v>
      </c>
      <c r="CJ138" s="242">
        <f ca="1">SUMIFS(COPIA!$CB$3:$CB$400,COPIA!$CC$3:$CC$400,CF138)-SUMIFS(COPIA!$CA$3:$CA$400,COPIA!$CC$3:$CC$400,CF138)</f>
        <v>0</v>
      </c>
      <c r="CK138" s="48">
        <f ca="1">IF($CG$2=FALSE,0,IF(AND($BF$9=1,CJ138&lt;&gt;0),MAX($CK$21:CK137)+1,0))</f>
        <v>0</v>
      </c>
      <c r="CL138" s="48" t="s">
        <v>792</v>
      </c>
      <c r="CM138" s="242" t="str">
        <f t="shared" ca="1" si="305"/>
        <v/>
      </c>
      <c r="CN138" s="243">
        <f t="shared" ca="1" si="306"/>
        <v>0</v>
      </c>
      <c r="CO138" s="48" t="str">
        <f t="shared" ca="1" si="307"/>
        <v/>
      </c>
      <c r="CQ138" s="242"/>
      <c r="CR138" s="242"/>
      <c r="CU138" s="48">
        <f ca="1">IF(SUMIFS(AVERE,DEN_G,AC138,AVERE,"&gt;"&amp;0)+SUMIFS(DARE,DEN_G,AC138,DARE,"&gt;"&amp;0)&gt;0,MAX($CU$2:CU137)+1,0)</f>
        <v>0</v>
      </c>
      <c r="CV138" s="48" t="str">
        <f ca="1">IF(IFERROR(INDEX(PDC,MATCH(ROWS($CV$3:CV138),$CU$3:$CU$400,0),2),"")="CONTO DI RISULTATO ECONOMICO","",IFERROR(INDEX(PDC,MATCH(ROWS($CV$3:CV138),$CU$3:$CU$400,0),2),""))</f>
        <v/>
      </c>
      <c r="CW138" s="48">
        <f ca="1">IFERROR(IF(CV138&lt;&gt;"",MAX($CW$2:CW137)+1,0),0)</f>
        <v>0</v>
      </c>
      <c r="CX138" s="48">
        <f t="shared" ca="1" si="333"/>
        <v>11</v>
      </c>
      <c r="CY138" s="48" t="str">
        <f t="shared" ca="1" si="332"/>
        <v>MASTRO</v>
      </c>
      <c r="CZ138" s="48" t="e">
        <f t="shared" ca="1" si="336"/>
        <v>#N/A</v>
      </c>
      <c r="DA138" s="48" t="str">
        <f t="shared" ca="1" si="340"/>
        <v/>
      </c>
      <c r="DB138" s="48" t="str">
        <f t="shared" ca="1" si="212"/>
        <v/>
      </c>
      <c r="DC138" s="48" t="str">
        <f t="shared" ca="1" si="337"/>
        <v/>
      </c>
      <c r="DD138" s="48" t="str">
        <f t="shared" ca="1" si="338"/>
        <v/>
      </c>
      <c r="DE138" s="48" t="str">
        <f t="shared" ca="1" si="339"/>
        <v/>
      </c>
      <c r="DF138" s="48">
        <f ca="1">IF(AND(CX138=$DF$1,CX138&lt;&gt;""),0,IF(AND(DB138&lt;&gt;"",OR(DB137&lt;&gt;"",DB139&lt;&gt;"")),MAX($DF$2:DF137)+1,0))</f>
        <v>0</v>
      </c>
      <c r="DH138" s="244" t="s">
        <v>928</v>
      </c>
      <c r="DI138" s="48" t="s">
        <v>97</v>
      </c>
      <c r="DJ138" s="48" t="s">
        <v>311</v>
      </c>
      <c r="DK138" s="48" t="s">
        <v>298</v>
      </c>
      <c r="DL138" s="48" t="s">
        <v>4</v>
      </c>
      <c r="DM138" s="48" t="s">
        <v>299</v>
      </c>
      <c r="DN138" s="48">
        <f ca="1">IF(DI138&lt;&gt;"",MAX($DN$2:DN137)+1,0)</f>
        <v>116</v>
      </c>
      <c r="DO138" s="48" t="s">
        <v>655</v>
      </c>
      <c r="DQ138" s="227" t="s">
        <v>104</v>
      </c>
      <c r="DR138" s="228" t="s">
        <v>103</v>
      </c>
      <c r="DW138" s="48">
        <f ca="1">IF(DR138&lt;&gt;"",MAX($DW$2:DW137)+1,0)</f>
        <v>83</v>
      </c>
      <c r="DY138" s="48" t="str">
        <f t="shared" ca="1" si="291"/>
        <v/>
      </c>
      <c r="DZ138" s="48" t="str">
        <f t="shared" ca="1" si="309"/>
        <v/>
      </c>
      <c r="EA138" s="48" t="str">
        <f t="shared" ca="1" si="310"/>
        <v/>
      </c>
      <c r="EB138" s="48">
        <f t="shared" ca="1" si="311"/>
        <v>0</v>
      </c>
      <c r="EC138" s="48">
        <f t="shared" ca="1" si="312"/>
        <v>0</v>
      </c>
      <c r="ED138" s="48" t="str">
        <f t="shared" ca="1" si="313"/>
        <v/>
      </c>
      <c r="EE138" s="48">
        <f t="shared" ca="1" si="314"/>
        <v>0</v>
      </c>
      <c r="EF138" s="48" t="str">
        <f t="shared" ca="1" si="315"/>
        <v/>
      </c>
      <c r="EG138" s="48">
        <f t="shared" ca="1" si="316"/>
        <v>0</v>
      </c>
      <c r="EH138" s="48" t="str">
        <f t="shared" ca="1" si="317"/>
        <v/>
      </c>
      <c r="EI138" s="48">
        <f t="shared" ca="1" si="318"/>
        <v>0</v>
      </c>
      <c r="EJ138" s="48" t="str">
        <f t="shared" ca="1" si="319"/>
        <v/>
      </c>
      <c r="EK138" s="48">
        <f t="shared" ca="1" si="320"/>
        <v>0</v>
      </c>
      <c r="EL138" s="48">
        <f t="shared" ca="1" si="292"/>
        <v>0</v>
      </c>
      <c r="EM138" s="48">
        <f ca="1">IF(EL138&gt;=0,0,MAX($EM$2:EM137)+1)</f>
        <v>0</v>
      </c>
      <c r="EN138" s="48" t="str">
        <f t="shared" ca="1" si="321"/>
        <v/>
      </c>
      <c r="EO138" s="48" t="str">
        <f ca="1">IFERROR(INDEX($EM$3:$EN$400,MATCH(ROWS($EO$3:EO138),$EM$3:$EM$400,0),2),"")</f>
        <v/>
      </c>
      <c r="EP138" s="48">
        <f>ROW()</f>
        <v>138</v>
      </c>
      <c r="EQ138" s="48">
        <f t="shared" ca="1" si="293"/>
        <v>0</v>
      </c>
      <c r="ER138" s="48">
        <f ca="1">IF(ISNA(EQ138)=TRUE,MAX($ER$2:ER137)+1,0)</f>
        <v>0</v>
      </c>
      <c r="ES138" s="48" t="str">
        <f t="shared" ca="1" si="322"/>
        <v/>
      </c>
      <c r="ET138" s="48" t="str">
        <f ca="1">IFERROR(INDEX($ER$3:$ES$400,MATCH(ROWS($ET$3:ET138),$ER$3:$ER$400,0),2),"")</f>
        <v/>
      </c>
      <c r="EV138" s="48">
        <f ca="1">IFERROR(INDEX(LIBRO_GIORNALE!$O$11:$P$408,MATCH(ROWS($EV$2:EV137),LIBRO_GIORNALE!$P$11:$P$408,0),1),0)</f>
        <v>0</v>
      </c>
      <c r="EW138" s="48" t="str">
        <f t="shared" ca="1" si="323"/>
        <v>0</v>
      </c>
      <c r="EX138" s="48">
        <f t="shared" ca="1" si="324"/>
        <v>0</v>
      </c>
      <c r="EY138" s="48">
        <f ca="1">IF(EX138&gt;0,MAX($EY$2:EY137)+1,0)</f>
        <v>0</v>
      </c>
      <c r="EZ138" s="48">
        <f ca="1">IFERROR(INDEX($EX$3:$EX$400,MATCH(ROWS($EZ$3:EZ138),$EY$3:$EY$400,0),1),0)</f>
        <v>0</v>
      </c>
      <c r="FA138" s="48">
        <f ca="1">IF(EZ138&gt;0,0,MAX($FA$2:FA137)+1)</f>
        <v>136</v>
      </c>
      <c r="FB138" s="48">
        <f t="shared" ca="1" si="325"/>
        <v>0</v>
      </c>
      <c r="FC138" s="48">
        <f t="shared" ca="1" si="326"/>
        <v>136</v>
      </c>
      <c r="FD138" s="48">
        <f t="shared" ca="1" si="327"/>
        <v>136</v>
      </c>
      <c r="FE138" s="48">
        <f ca="1">IF(FD138=0,0,MAX($FE$2:FE137)+1)</f>
        <v>136</v>
      </c>
      <c r="FF138" s="48">
        <f ca="1">IFERROR(INDEX($FD$3:$FE$400,MATCH(ROWS($FF$3:FF138),$FE$3:$FE$400,0),1),"")</f>
        <v>136</v>
      </c>
      <c r="FG138" s="48">
        <f t="shared" ca="1" si="255"/>
        <v>0</v>
      </c>
      <c r="FH138" s="48">
        <f t="shared" ca="1" si="328"/>
        <v>0</v>
      </c>
      <c r="FI138" s="48">
        <f ca="1">IF(FH138&lt;&gt;0,MAX($FI$2:FI137)+1,0)</f>
        <v>0</v>
      </c>
      <c r="FJ138" s="48" t="str">
        <f ca="1">IFERROR(INDEX($FH$3:$FI$400,MATCH(ROWS($FJ$3:FJ138),$FI$3:$FI$400,0),1),"")</f>
        <v/>
      </c>
      <c r="FK138" s="48">
        <f ca="1">IF(ABS(SUMIFS(DARE,DEN_G,"="&amp;FJ138,DATA,"&lt;="&amp;FINE_AC,DATA,"&gt;="&amp;INIZIO_A_PC)-SUMIFS(AVERE,DEN_G,"="&amp;FJ138,DATA,"&lt;="&amp;FINE_AC,DATA,"&gt;="&amp;INIZIO_A_PC))&gt;0,MAX($FK$2:FK137)+1,0)</f>
        <v>0</v>
      </c>
      <c r="FL138" s="48" t="str">
        <f ca="1">IF(AND(ROW()-2&lt;&gt;1,ROW()-2&lt;=$FK$1),CONCATENATE(" - ",IFERROR(INDEX($FJ$3:$FK$400,MATCH(ROWS($FL$3:FL138),$FK$3:$FK$400,0),1),"")),IFERROR(INDEX($FJ$3:$FK$400,MATCH(ROWS($FL$3:FL138),$FK$3:$FK$400,0),1),""))</f>
        <v/>
      </c>
      <c r="FM138" s="48">
        <f ca="1">IF(OR(B138="IVA ns/credito",B138="IVA NS/DEBITO",B138="IVA C/ACCONTO",B138="IMPOSTE C/ACCONTO",B138="CREDITI PER RITENUTE SUBITE",B138="CREDITI D'IMPOSTA"),MAX($FM$2:FM137)+1,0)</f>
        <v>0</v>
      </c>
      <c r="FN138" s="48" t="str">
        <f t="shared" ca="1" si="329"/>
        <v/>
      </c>
      <c r="FO138" s="48" t="str">
        <f ca="1">IFERROR(INDEX($FM$3:$FN$400,MATCH(ROWS($FO$3:FO138),$FM$3:$FM$400,0),2),"")</f>
        <v/>
      </c>
      <c r="FP138" s="48">
        <f ca="1">IF(ABS(SUMIFS(DARE,DEN_G,"="&amp;FO138,DATA,"&lt;="&amp;FINE_AC,DATA,"&gt;="&amp;INIZIO_A_PC)-SUMIFS(AVERE,DEN_G,"="&amp;FO138,DATA,"&lt;="&amp;FINE_AC,DATA,"&gt;="&amp;INIZIO_A_PC))&gt;0,MAX($FP$2:FP137)+1,0)</f>
        <v>0</v>
      </c>
      <c r="FQ138" s="48" t="str">
        <f ca="1">IF(AND(ROW()-2&lt;&gt;1,ROW()-2&lt;=$FP$1),CONCATENATE(" - ",IFERROR(INDEX($FO$3:$FP$400,MATCH(ROWS($FQ$3:FQ138),$FP$3:$FP$400,0),1),"")),IFERROR(INDEX($FO$3:$FP$400,MATCH(ROWS($FQ$3:FQ138),$FP$3:$FP$400,0),1),""))</f>
        <v/>
      </c>
    </row>
    <row r="139" spans="1:173" x14ac:dyDescent="0.3">
      <c r="A139" s="48" t="str">
        <f ca="1">IFERROR(IF($A$1=2,INDEX($DH$3:$DN$401,MATCH(ROWS(A$3:A139),$DN$3:$DN$401,0),COLUMN()),IF($A$1=1,INDEX($DQ$3:$DW$401,MATCH(ROWS(A$3:A139),$DW$3:$DW$401,0),COLUMN()),"")),"")</f>
        <v>13.32</v>
      </c>
      <c r="B139" s="48" t="str">
        <f ca="1">IFERROR(IF($A$1=2,INDEX($DH$3:$DN$401,MATCH(ROWS(B$3:B139),$DN$3:$DN$401,0),COLUMN()),IF($A$1=1,INDEX($DQ$3:$DW$400,MATCH(ROWS(B$3:B139),$DW$3:$DW$401,0),COLUMN()),"")),"")</f>
        <v>PRESTITI DA CONTROLLANTE</v>
      </c>
      <c r="C139" s="48" t="str">
        <f ca="1">IFERROR(IF($A$1=2,INDEX($DH$3:$DN$401,MATCH(ROWS(C$3:C139),$DN$3:$DN$401,0),COLUMN()),IF($A$1=1,INDEX($DQ$3:$DW$401,MATCH(ROWS(C$3:C139),$DW$3:$DW$401,0),COLUMN()),"")),"")</f>
        <v>F</v>
      </c>
      <c r="D139" s="48" t="str">
        <f ca="1">IFERROR(IF($A$1=2,INDEX($DH$3:$DN$401,MATCH(ROWS(D$3:D139),$DN$3:$DN$401,0),COLUMN()),IF($A$1=1,INDEX($DQ$3:$DW$401,MATCH(ROWS(D$3:D139),$DW$3:$DW$401,0),COLUMN()),"")),"")</f>
        <v>A</v>
      </c>
      <c r="E139" s="48" t="str">
        <f ca="1">IFERROR(IF($A$1=2,INDEX($DH$3:$DN$401,MATCH(ROWS(E$3:E139),$DN$3:$DN$401,0),COLUMN()),IF($A$1=1,INDEX($DQ$3:$DW$401,MATCH(ROWS(E$3:E139),$DW$3:$DW$401,0),COLUMN()),"")),"")</f>
        <v>DEBITI</v>
      </c>
      <c r="F139" s="48" t="str">
        <f ca="1">IFERROR(IF($A$1=2,INDEX($DH$3:$DN$401,MATCH(ROWS(F$3:F139),$DN$3:$DN$401,0),COLUMN()),IF($A$1=1,INDEX($DQ$3:$DX$401,MATCH(ROWS(F$3:F139),$DW$3:$DW$401,0),COLUMN()),"")),"")</f>
        <v>SP AVERE</v>
      </c>
      <c r="G139" s="48" t="str">
        <f t="shared" ca="1" si="294"/>
        <v>SP</v>
      </c>
      <c r="H139" s="48" t="str">
        <f ca="1">IFERROR(IF($A$1=2,INDEX($DH$3:$DO$400,MATCH(ROWS(H$3:H139),$DN$3:$DN$400,0),COLUMN()),IF($A$1=1,INDEX($DQ$3:$DX$400,MATCH(ROWS(H$3:H139),$DW$3:$DW$400,0),COLUMN()),"")),"")</f>
        <v>ppd</v>
      </c>
      <c r="I139" s="48" t="str">
        <f t="shared" ca="1" si="295"/>
        <v/>
      </c>
      <c r="J139" s="48" t="str">
        <f t="shared" ca="1" si="296"/>
        <v/>
      </c>
      <c r="K139" s="48">
        <f t="shared" ca="1" si="297"/>
        <v>0</v>
      </c>
      <c r="L139" s="48">
        <f t="shared" ca="1" si="298"/>
        <v>0</v>
      </c>
      <c r="M139" s="48">
        <f ca="1">IFERROR(IF(IF(MID($A139,3,3)=".00",MID(A139,1,2),"")&lt;&gt;"",MAX($M$2:M138)+1,0),"")</f>
        <v>0</v>
      </c>
      <c r="N139" s="48" t="str">
        <f t="shared" ca="1" si="299"/>
        <v/>
      </c>
      <c r="O139" s="48" t="str">
        <f ca="1">IF(IFERROR(INDEX($N$3:$O$300,MATCH(ROWS($O$3:O139),$M$3:$M$300,0),1),"")&lt;&gt;"",CONCATENATE(INDEX($N$3:$O$300,MATCH(ROWS($O$3:O139),$M$3:$M$300,0),1),".00"),"")</f>
        <v/>
      </c>
      <c r="P139" s="48" t="str">
        <f t="shared" ca="1" si="300"/>
        <v/>
      </c>
      <c r="Q139" s="48">
        <f ca="1">IF(M139&gt;=1,0,MAX($Q$2:Q138)+1)</f>
        <v>123</v>
      </c>
      <c r="U139" s="48" t="str">
        <f ca="1">IFERROR(INDEX(PDC,MATCH(ROWS(U$3:U139),$V$3:$V$400,0),2),"")</f>
        <v>DEBITI V/ISTITUTI PREVIDENZIALI</v>
      </c>
      <c r="V139" s="48">
        <f ca="1">IF(AND($T$1="VISUALIZZA TUTTI I CONTI",AA139&lt;&gt;""),MAX($V$2:V138)+1,IF(AND($U$2=2,AI139=$T$1),MAX($V$2:V138)+1,IF(AND($U$2=1,$T$1=AF139),MAX($V$2:V138)+1,0)))</f>
        <v>137</v>
      </c>
      <c r="Z139" s="246"/>
      <c r="AA139" s="48" t="str">
        <f t="shared" ca="1" si="301"/>
        <v>15.00</v>
      </c>
      <c r="AB139" s="48" t="str">
        <f ca="1">IFERROR(INDEX($A$3:$G$400,MATCH(ROWS(AB$3:AB139),$Q$3:$Q$400,0),1),"")</f>
        <v>15.06</v>
      </c>
      <c r="AC139" s="48" t="str">
        <f ca="1">IFERROR(INDEX($A$3:$G$400,MATCH(ROWS($AC$3:AC139),$Q$3:$Q$400,0),2),"")</f>
        <v>DEBITI V/ISTITUTI PREVIDENZIALI</v>
      </c>
      <c r="AD139" s="48" t="str">
        <f ca="1">IFERROR(INDEX($A$3:$G$400,MATCH(ROWS(AD$3:AD139),$Q$3:$Q$400,0),3),"")</f>
        <v>F</v>
      </c>
      <c r="AE139" s="48" t="str">
        <f ca="1">IFERROR(INDEX($A$3:$G$400,MATCH(ROWS(AE$3:AE139),$Q$3:$Q$400,0),4),"")</f>
        <v>A</v>
      </c>
      <c r="AF139" s="48" t="str">
        <f ca="1">IFERROR(INDEX($A$3:$G$400,MATCH(ROWS(AF$3:AF139),$Q$3:$Q$400,0),5),"")</f>
        <v>DEBITI</v>
      </c>
      <c r="AG139" s="48" t="str">
        <f ca="1">IFERROR(INDEX($A$3:$G$400,MATCH(ROWS(AG$3:AG139),$Q$3:$Q$400,0),6),"")</f>
        <v>SP AVERE</v>
      </c>
      <c r="AH139" s="48" t="str">
        <f ca="1">IFERROR(INDEX($A$3:$G$400,MATCH(ROWS(AH$3:AH139),$Q$3:$Q$400,0),7),"")</f>
        <v>SP</v>
      </c>
      <c r="AI139" s="48" t="str">
        <f t="shared" ca="1" si="302"/>
        <v>DEBITI DIVERSI</v>
      </c>
      <c r="AJ139" s="48" t="str">
        <f ca="1">IFERROR(INDEX($A$3:$H$400,MATCH(ROWS(AJ$3:AJ139),$Q$3:$Q$400,0),8),"")</f>
        <v>ppd</v>
      </c>
      <c r="AK139" s="48">
        <f t="shared" ca="1" si="277"/>
        <v>0</v>
      </c>
      <c r="AL139" s="48">
        <f t="shared" ca="1" si="335"/>
        <v>0</v>
      </c>
      <c r="AM139" s="48">
        <f t="shared" ca="1" si="252"/>
        <v>0</v>
      </c>
      <c r="AN139" s="48">
        <f t="shared" ca="1" si="253"/>
        <v>0</v>
      </c>
      <c r="AO139" s="48">
        <f t="shared" ca="1" si="254"/>
        <v>0</v>
      </c>
      <c r="AP139" s="48">
        <f t="shared" ca="1" si="254"/>
        <v>0</v>
      </c>
      <c r="AQ139" s="48" t="str">
        <f t="shared" ca="1" si="278"/>
        <v>DEBITI V/ISTITUTI PREVIDENZIALI</v>
      </c>
      <c r="AR139" s="48">
        <f t="shared" ca="1" si="279"/>
        <v>0</v>
      </c>
      <c r="AS139" s="48">
        <f t="shared" ca="1" si="280"/>
        <v>0</v>
      </c>
      <c r="AT139" s="48">
        <f t="shared" ca="1" si="303"/>
        <v>0</v>
      </c>
      <c r="AU139" s="48">
        <f t="shared" ca="1" si="304"/>
        <v>0</v>
      </c>
      <c r="AV139" s="48">
        <f ca="1">IF(OR(AT139&gt;0,AU139&gt;0),MAX($AV$2:AV138)+1,0)</f>
        <v>0</v>
      </c>
      <c r="AZ139" s="241" t="str">
        <f t="shared" si="240"/>
        <v>39 V.I.</v>
      </c>
      <c r="BA139" s="48">
        <f t="shared" ca="1" si="330"/>
        <v>0</v>
      </c>
      <c r="BB139" s="48">
        <f t="shared" ca="1" si="247"/>
        <v>0</v>
      </c>
      <c r="BC139" s="48" t="str">
        <f t="shared" ca="1" si="248"/>
        <v/>
      </c>
      <c r="BD139" s="48">
        <f t="shared" ca="1" si="249"/>
        <v>0</v>
      </c>
      <c r="BE139" s="48">
        <f t="shared" ca="1" si="250"/>
        <v>0</v>
      </c>
      <c r="BF139" s="48">
        <v>37</v>
      </c>
      <c r="BG139" s="48">
        <f ca="1">IF(IF(AND(OR(INDEX(PDC,MATCH($AC139,DEN_PDC,0),6)="SP DARE",INDEX(PDC,MATCH($AC139,DEN_PDC,0),6)="SP DARE/AVERE"),SUMIFS(DARE,DEN_G,$AC139)&gt;=SUMIFS(AVERE,DEN_G,$AC139)),SUMIFS(DARE,DEN_G,$AC139)-SUMIFS(AVERE,DEN_G,$AC139),0)&gt;0,MAX($BG$2:BG138)+1,0)</f>
        <v>0</v>
      </c>
      <c r="BH139" s="48">
        <f ca="1">IF(IF(AND(OR(INDEX(PDC,MATCH($AC139,DEN_PDC,0),6)="SP AVERE",INDEX(PDC,MATCH($AC139,DEN_PDC,0),6)="SP DARE/AVERE"),SUMIFS(AVERE,DEN_G,$AC139)&gt;=SUMIFS(DARE,DEN_G,$AC139)),SUMIFS(AVERE,DEN_G,$AC139)-SUMIFS(DARE,DEN_G,$AC139),0)&gt;0,MAX(BH$2:BH138)+1,0)</f>
        <v>0</v>
      </c>
      <c r="BI139" s="48">
        <f ca="1">IF(IF(AND(OR(INDEX(PDC,MATCH($AC139,DEN_PDC,0),6)="SE DARE",INDEX(PDC,MATCH($AC139,DEN_PDC,0),6)="SE DARE/AVERE"),SUMIFS(DARE,DEN_G,$AC139)&gt;=SUMIFS(AVERE,DEN_G,$AC139)),SUMIFS(DARE,DEN_G,$AC139)-SUMIFS(AVERE,DEN_G,$AC139),0)&gt;0,MAX(BI$2:BI138)+1,0)</f>
        <v>0</v>
      </c>
      <c r="BJ139" s="48">
        <f ca="1">IF(IF(AND(OR(INDEX(PDC,MATCH($AC139,DEN_PDC,0),6)="SE AVERE",INDEX(PDC,MATCH($AC139,DEN_PDC,0),6)="SE DARE/AVERE"),SUMIFS(AVERE,DEN_G,$AC139)&gt;=SUMIFS(DARE,DEN_G,$AC139)),SUMIFS(AVERE,DEN_G,$AC139)-SUMIFS(DARE,DEN_G,$AC139),0)&gt;0,MAX(BJ$2:BJ138)+1,0)</f>
        <v>0</v>
      </c>
      <c r="BK139" s="48" t="str">
        <f ca="1">IF(AND(AND($DY$2=0,$DY$1=0),$I$1=2,ROW()&gt;$BG$1+2,ROW()&lt;=$BG$1+4),"………………..",IF(AND(OR($DY$2&gt;0,$DY$1&gt;0),$I$1=2,ROW()&gt;$BG$1+2,ROW()&lt;=$BG$1+4),"………………..",IFERROR(INDEX($AC$3:$AC$398,MATCH(ROWS(BK$3:BK139),BG$3:BG$398,0),1),"")))</f>
        <v/>
      </c>
      <c r="BL139" s="48">
        <f t="shared" ca="1" si="281"/>
        <v>0</v>
      </c>
      <c r="BM139" s="48" t="str">
        <f ca="1">IF(AND(OR($DY$2=0,$DY$1=0),$I$1=2,ROW()&gt;$BH$1+2,ROW()&lt;=$BH$1+4),"………………..",IF(AND(OR($DY$2&gt;0,$DY$1&gt;0),$I$1=2,ROW()&gt;$BH$1+2,ROW()&lt;=$BH$1+4),"………………..",IFERROR(INDEX($AC$3:$AC$400,MATCH(ROWS(BM$3:BM139),BH$3:BH$400,0),1),"")))</f>
        <v/>
      </c>
      <c r="BN139" s="48">
        <f t="shared" ca="1" si="282"/>
        <v>0</v>
      </c>
      <c r="BO139" s="48" t="str">
        <f ca="1">IF(AND(OR($DY$2=0,$DY$1=0),$I$1=2,ROW()&gt;$BI$1+2,ROW()&lt;=$BI$1+4),"………………..",IF(AND(OR($DY$2&gt;0,$DY$1&gt;0),$I$1=2,ROW()&gt;$BI$1+2,ROW()&lt;=$BI$1+4),"………………..",IFERROR(INDEX($AC$3:$AC$400,MATCH(ROWS(BO$3:BO139),BI$3:BI$400,0),1),"")))</f>
        <v/>
      </c>
      <c r="BP139" s="48">
        <f t="shared" ca="1" si="283"/>
        <v>0</v>
      </c>
      <c r="BQ139" s="48" t="str">
        <f ca="1">IF(AND(OR($DY$2=0,$DY$1=0),$I$1=2,ROW()&gt;$BJ$1+2,ROW()&lt;=$BJ$1+4),"………………..",IF(AND(OR($DY$2&gt;0,$DY$1&gt;0),$I$1=2,ROW()&gt;$BJ$1+2,ROW()&lt;=$BJ$1+4),"………………..",IFERROR(INDEX($AC$3:$AC$400,MATCH(ROWS(BQ$3:BQ139),BJ$3:BJ$400,0),1),"")))</f>
        <v/>
      </c>
      <c r="BR139" s="48">
        <f t="shared" ca="1" si="284"/>
        <v>0</v>
      </c>
      <c r="BS139" s="48">
        <f ca="1">IF(IF(AND(OR(INDEX(PDC,MATCH($AC139,DEN_PDC,0),4)="D",INDEX(PDC,MATCH($AC139,DEN_PDC,0),4)="D/A"),SUMIFS(DARE,DEN_G,$AC139)&gt;=SUMIFS(AVERE,DEN_G,$AC139)),SUMIFS(DARE,DEN_G,$AC139),IF(AND(OR(INDEX(PDC,MATCH($AC139,DEN_PDC,0),4)="A",INDEX(PDC,MATCH($AC139,DEN_PDC,0),4)="D/A"),SUMIFS(AVERE,DEN_G,$AC139)&gt;=SUMIFS(DARE,DEN_G,$AC139)),SUMIFS(AVERE,DEN_G,$AC139),))&gt;0,MAX($BS$2:BS138)+1,0)</f>
        <v>0</v>
      </c>
      <c r="BT139" s="48" t="str">
        <f ca="1">IF($CO$1=0,"",IF(AND($I$1=2,ROW()&gt;$BR$1,ROW()&lt;=$BS$1)," …………….",IF(AND($E$1=1,$BX$1=1,$I$1=2,ROW()=$BQ$1),"TOTALI",IFERROR(INDEX(PDC,MATCH(ROWS(BT$3:BT139),BS$3:BS536,0),2),""))))</f>
        <v/>
      </c>
      <c r="BU139" s="48">
        <f t="shared" ca="1" si="285"/>
        <v>0</v>
      </c>
      <c r="BV139" s="48">
        <f t="shared" ca="1" si="286"/>
        <v>0</v>
      </c>
      <c r="BW139" s="48">
        <f t="shared" ca="1" si="287"/>
        <v>0</v>
      </c>
      <c r="BX139" s="48">
        <f t="shared" ca="1" si="288"/>
        <v>0</v>
      </c>
      <c r="BY139" s="48">
        <f ca="1">IF(OR(BW139&gt;0,BX139&gt;0),MAX($BY$2:BY138)+1,0)</f>
        <v>0</v>
      </c>
      <c r="BZ139" s="48" t="str">
        <f ca="1">IFERROR(INDEX($BT$3:$BY$400,MATCH(ROWS(BZ$3:BZ139),$BY$3:$BY$400,0),1),"")</f>
        <v/>
      </c>
      <c r="CA139" s="48" t="str">
        <f ca="1">IFERROR(INDEX($BT$3:$BY$400,MATCH(ROWS(CA$3:CA139),$BY$3:$BY$400,0),4),"")</f>
        <v/>
      </c>
      <c r="CB139" s="48" t="str">
        <f ca="1">IFERROR(INDEX($BT$3:$BY$400,MATCH(ROWS(CB$3:CB139),$BY$3:$BY$400,0),5),"")</f>
        <v/>
      </c>
      <c r="CC139" s="48" t="str">
        <f t="shared" ca="1" si="289"/>
        <v/>
      </c>
      <c r="CD139" s="48">
        <f ca="1">IF(AND($BF$9=1,CE139&lt;&gt;0),MAX($CD$104:CD138)+1,0)</f>
        <v>0</v>
      </c>
      <c r="CE139" s="48">
        <f ca="1">ROUND(IFERROR(INDEX(BILANCIO!$I$13:$J$59,MATCH(CF139,BILANCIO!$J$13:$J$59,0),1),0),0)</f>
        <v>0</v>
      </c>
      <c r="CF139" s="48" t="s">
        <v>792</v>
      </c>
      <c r="CG139" s="242" t="s">
        <v>571</v>
      </c>
      <c r="CI139" s="48">
        <f t="shared" ca="1" si="331"/>
        <v>0</v>
      </c>
      <c r="CJ139" s="242">
        <f ca="1">SUMIFS(COPIA!$CB$3:$CB$400,COPIA!$CC$3:$CC$400,CF139)-SUMIFS(COPIA!$CA$3:$CA$400,COPIA!$CC$3:$CC$400,CF139)</f>
        <v>0</v>
      </c>
      <c r="CK139" s="48">
        <f ca="1">IF($CG$2=FALSE,0,IF(AND($BF$9=1,CJ139&lt;&gt;0),MAX($CK$21:CK138)+1,0))</f>
        <v>0</v>
      </c>
      <c r="CM139" s="242" t="str">
        <f t="shared" ca="1" si="305"/>
        <v/>
      </c>
      <c r="CN139" s="243">
        <f t="shared" ca="1" si="306"/>
        <v>0</v>
      </c>
      <c r="CO139" s="48" t="str">
        <f t="shared" ca="1" si="307"/>
        <v/>
      </c>
      <c r="CQ139" s="242"/>
      <c r="CR139" s="242"/>
      <c r="CU139" s="48">
        <f ca="1">IF(SUMIFS(AVERE,DEN_G,AC139,AVERE,"&gt;"&amp;0)+SUMIFS(DARE,DEN_G,AC139,DARE,"&gt;"&amp;0)&gt;0,MAX($CU$2:CU138)+1,0)</f>
        <v>0</v>
      </c>
      <c r="CV139" s="48" t="str">
        <f ca="1">IF(IFERROR(INDEX(PDC,MATCH(ROWS($CV$3:CV139),$CU$3:$CU$400,0),2),"")="CONTO DI RISULTATO ECONOMICO","",IFERROR(INDEX(PDC,MATCH(ROWS($CV$3:CV139),$CU$3:$CU$400,0),2),""))</f>
        <v/>
      </c>
      <c r="CW139" s="48">
        <f ca="1">IFERROR(IF(CV139&lt;&gt;"",MAX($CW$2:CW138)+1,0),0)</f>
        <v>0</v>
      </c>
      <c r="CX139" s="48">
        <f t="shared" ca="1" si="333"/>
        <v>11</v>
      </c>
      <c r="CY139" s="48" t="str">
        <f t="shared" ca="1" si="332"/>
        <v>MASTRO</v>
      </c>
      <c r="CZ139" s="48" t="e">
        <f t="shared" ca="1" si="336"/>
        <v>#N/A</v>
      </c>
      <c r="DA139" s="48" t="str">
        <f t="shared" ca="1" si="340"/>
        <v/>
      </c>
      <c r="DB139" s="48" t="str">
        <f t="shared" ca="1" si="212"/>
        <v/>
      </c>
      <c r="DC139" s="48" t="str">
        <f t="shared" ca="1" si="337"/>
        <v/>
      </c>
      <c r="DD139" s="48" t="str">
        <f t="shared" ca="1" si="338"/>
        <v/>
      </c>
      <c r="DE139" s="48" t="str">
        <f t="shared" ca="1" si="339"/>
        <v/>
      </c>
      <c r="DF139" s="48">
        <f ca="1">IF(AND(CX139=$DF$1,CX139&lt;&gt;""),0,IF(AND(DB139&lt;&gt;"",OR(DB138&lt;&gt;"",DB140&lt;&gt;"")),MAX($DF$2:DF138)+1,0))</f>
        <v>0</v>
      </c>
      <c r="DH139" s="244" t="s">
        <v>1092</v>
      </c>
      <c r="DI139" s="48" t="s">
        <v>98</v>
      </c>
      <c r="DJ139" s="48" t="s">
        <v>311</v>
      </c>
      <c r="DK139" s="48" t="s">
        <v>275</v>
      </c>
      <c r="DL139" s="48" t="s">
        <v>4</v>
      </c>
      <c r="DM139" s="48" t="s">
        <v>270</v>
      </c>
      <c r="DN139" s="48">
        <f ca="1">IF(DI139&lt;&gt;"",MAX($DN$2:DN138)+1,0)</f>
        <v>117</v>
      </c>
      <c r="DO139" s="48" t="s">
        <v>655</v>
      </c>
      <c r="DQ139" s="227" t="s">
        <v>106</v>
      </c>
      <c r="DR139" s="48" t="s">
        <v>105</v>
      </c>
      <c r="DS139" s="48" t="s">
        <v>312</v>
      </c>
      <c r="DT139" s="48" t="s">
        <v>298</v>
      </c>
      <c r="DU139" s="48" t="s">
        <v>272</v>
      </c>
      <c r="DV139" s="48" t="s">
        <v>299</v>
      </c>
      <c r="DW139" s="48">
        <f ca="1">IF(DR139&lt;&gt;"",MAX($DW$2:DW138)+1,0)</f>
        <v>84</v>
      </c>
      <c r="DX139" s="48" t="str">
        <f ca="1">IF($BF$9=1,"ppb4","ppb")</f>
        <v>ppb</v>
      </c>
      <c r="DY139" s="48" t="str">
        <f t="shared" ca="1" si="291"/>
        <v/>
      </c>
      <c r="DZ139" s="48" t="str">
        <f t="shared" ca="1" si="309"/>
        <v/>
      </c>
      <c r="EA139" s="48" t="str">
        <f t="shared" ca="1" si="310"/>
        <v/>
      </c>
      <c r="EB139" s="48">
        <f t="shared" ca="1" si="311"/>
        <v>0</v>
      </c>
      <c r="EC139" s="48">
        <f t="shared" ca="1" si="312"/>
        <v>0</v>
      </c>
      <c r="ED139" s="48" t="str">
        <f t="shared" ca="1" si="313"/>
        <v/>
      </c>
      <c r="EE139" s="48">
        <f t="shared" ca="1" si="314"/>
        <v>0</v>
      </c>
      <c r="EF139" s="48" t="str">
        <f t="shared" ca="1" si="315"/>
        <v/>
      </c>
      <c r="EG139" s="48">
        <f t="shared" ca="1" si="316"/>
        <v>0</v>
      </c>
      <c r="EH139" s="48" t="str">
        <f t="shared" ca="1" si="317"/>
        <v/>
      </c>
      <c r="EI139" s="48">
        <f t="shared" ca="1" si="318"/>
        <v>0</v>
      </c>
      <c r="EJ139" s="48" t="str">
        <f t="shared" ca="1" si="319"/>
        <v/>
      </c>
      <c r="EK139" s="48">
        <f t="shared" ca="1" si="320"/>
        <v>0</v>
      </c>
      <c r="EL139" s="48">
        <f t="shared" ca="1" si="292"/>
        <v>0</v>
      </c>
      <c r="EM139" s="48">
        <f ca="1">IF(EL139&gt;=0,0,MAX($EM$2:EM138)+1)</f>
        <v>0</v>
      </c>
      <c r="EN139" s="48" t="str">
        <f t="shared" ca="1" si="321"/>
        <v/>
      </c>
      <c r="EO139" s="48" t="str">
        <f ca="1">IFERROR(INDEX($EM$3:$EN$400,MATCH(ROWS($EO$3:EO139),$EM$3:$EM$400,0),2),"")</f>
        <v/>
      </c>
      <c r="EP139" s="48">
        <f>ROW()</f>
        <v>139</v>
      </c>
      <c r="EQ139" s="48">
        <f t="shared" ca="1" si="293"/>
        <v>0</v>
      </c>
      <c r="ER139" s="48">
        <f ca="1">IF(ISNA(EQ139)=TRUE,MAX($ER$2:ER138)+1,0)</f>
        <v>0</v>
      </c>
      <c r="ES139" s="48" t="str">
        <f t="shared" ca="1" si="322"/>
        <v/>
      </c>
      <c r="ET139" s="48" t="str">
        <f ca="1">IFERROR(INDEX($ER$3:$ES$400,MATCH(ROWS($ET$3:ET139),$ER$3:$ER$400,0),2),"")</f>
        <v/>
      </c>
      <c r="EV139" s="48">
        <f ca="1">IFERROR(INDEX(LIBRO_GIORNALE!$O$11:$P$408,MATCH(ROWS($EV$2:EV138),LIBRO_GIORNALE!$P$11:$P$408,0),1),0)</f>
        <v>0</v>
      </c>
      <c r="EW139" s="48" t="str">
        <f t="shared" ca="1" si="323"/>
        <v>0</v>
      </c>
      <c r="EX139" s="48">
        <f t="shared" ca="1" si="324"/>
        <v>0</v>
      </c>
      <c r="EY139" s="48">
        <f ca="1">IF(EX139&gt;0,MAX($EY$2:EY138)+1,0)</f>
        <v>0</v>
      </c>
      <c r="EZ139" s="48">
        <f ca="1">IFERROR(INDEX($EX$3:$EX$400,MATCH(ROWS($EZ$3:EZ139),$EY$3:$EY$400,0),1),0)</f>
        <v>0</v>
      </c>
      <c r="FA139" s="48">
        <f ca="1">IF(EZ139&gt;0,0,MAX($FA$2:FA138)+1)</f>
        <v>137</v>
      </c>
      <c r="FB139" s="48">
        <f t="shared" ca="1" si="325"/>
        <v>0</v>
      </c>
      <c r="FC139" s="48">
        <f t="shared" ca="1" si="326"/>
        <v>137</v>
      </c>
      <c r="FD139" s="48">
        <f t="shared" ca="1" si="327"/>
        <v>137</v>
      </c>
      <c r="FE139" s="48">
        <f ca="1">IF(FD139=0,0,MAX($FE$2:FE138)+1)</f>
        <v>137</v>
      </c>
      <c r="FF139" s="48">
        <f ca="1">IFERROR(INDEX($FD$3:$FE$400,MATCH(ROWS($FF$3:FF139),$FE$3:$FE$400,0),1),"")</f>
        <v>137</v>
      </c>
      <c r="FG139" s="48">
        <f t="shared" ca="1" si="255"/>
        <v>0</v>
      </c>
      <c r="FH139" s="48">
        <f t="shared" ca="1" si="328"/>
        <v>0</v>
      </c>
      <c r="FI139" s="48">
        <f ca="1">IF(FH139&lt;&gt;0,MAX($FI$2:FI138)+1,0)</f>
        <v>0</v>
      </c>
      <c r="FJ139" s="48" t="str">
        <f ca="1">IFERROR(INDEX($FH$3:$FI$400,MATCH(ROWS($FJ$3:FJ139),$FI$3:$FI$400,0),1),"")</f>
        <v/>
      </c>
      <c r="FK139" s="48">
        <f ca="1">IF(ABS(SUMIFS(DARE,DEN_G,"="&amp;FJ139,DATA,"&lt;="&amp;FINE_AC,DATA,"&gt;="&amp;INIZIO_A_PC)-SUMIFS(AVERE,DEN_G,"="&amp;FJ139,DATA,"&lt;="&amp;FINE_AC,DATA,"&gt;="&amp;INIZIO_A_PC))&gt;0,MAX($FK$2:FK138)+1,0)</f>
        <v>0</v>
      </c>
      <c r="FL139" s="48" t="str">
        <f ca="1">IF(AND(ROW()-2&lt;&gt;1,ROW()-2&lt;=$FK$1),CONCATENATE(" - ",IFERROR(INDEX($FJ$3:$FK$400,MATCH(ROWS($FL$3:FL139),$FK$3:$FK$400,0),1),"")),IFERROR(INDEX($FJ$3:$FK$400,MATCH(ROWS($FL$3:FL139),$FK$3:$FK$400,0),1),""))</f>
        <v/>
      </c>
      <c r="FM139" s="48">
        <f ca="1">IF(OR(B139="IVA ns/credito",B139="IVA NS/DEBITO",B139="IVA C/ACCONTO",B139="IMPOSTE C/ACCONTO",B139="CREDITI PER RITENUTE SUBITE",B139="CREDITI D'IMPOSTA"),MAX($FM$2:FM138)+1,0)</f>
        <v>0</v>
      </c>
      <c r="FN139" s="48" t="str">
        <f t="shared" ca="1" si="329"/>
        <v/>
      </c>
      <c r="FO139" s="48" t="str">
        <f ca="1">IFERROR(INDEX($FM$3:$FN$400,MATCH(ROWS($FO$3:FO139),$FM$3:$FM$400,0),2),"")</f>
        <v/>
      </c>
      <c r="FP139" s="48">
        <f ca="1">IF(ABS(SUMIFS(DARE,DEN_G,"="&amp;FO139,DATA,"&lt;="&amp;FINE_AC,DATA,"&gt;="&amp;INIZIO_A_PC)-SUMIFS(AVERE,DEN_G,"="&amp;FO139,DATA,"&lt;="&amp;FINE_AC,DATA,"&gt;="&amp;INIZIO_A_PC))&gt;0,MAX($FP$2:FP138)+1,0)</f>
        <v>0</v>
      </c>
      <c r="FQ139" s="48" t="str">
        <f ca="1">IF(AND(ROW()-2&lt;&gt;1,ROW()-2&lt;=$FP$1),CONCATENATE(" - ",IFERROR(INDEX($FO$3:$FP$400,MATCH(ROWS($FQ$3:FQ139),$FP$3:$FP$400,0),1),"")),IFERROR(INDEX($FO$3:$FP$400,MATCH(ROWS($FQ$3:FQ139),$FP$3:$FP$400,0),1),""))</f>
        <v/>
      </c>
    </row>
    <row r="140" spans="1:173" x14ac:dyDescent="0.3">
      <c r="A140" s="48" t="str">
        <f ca="1">IFERROR(IF($A$1=2,INDEX($DH$3:$DN$401,MATCH(ROWS(A$3:A140),$DN$3:$DN$401,0),COLUMN()),IF($A$1=1,INDEX($DQ$3:$DW$401,MATCH(ROWS(A$3:A140),$DW$3:$DW$401,0),COLUMN()),"")),"")</f>
        <v>13.40</v>
      </c>
      <c r="B140" s="48" t="str">
        <f ca="1">IFERROR(IF($A$1=2,INDEX($DH$3:$DN$401,MATCH(ROWS(B$3:B140),$DN$3:$DN$401,0),COLUMN()),IF($A$1=1,INDEX($DQ$3:$DW$400,MATCH(ROWS(B$3:B140),$DW$3:$DW$401,0),COLUMN()),"")),"")</f>
        <v>DEBITI V/ALTRI FINANZIATORI</v>
      </c>
      <c r="C140" s="48" t="str">
        <f ca="1">IFERROR(IF($A$1=2,INDEX($DH$3:$DN$401,MATCH(ROWS(C$3:C140),$DN$3:$DN$401,0),COLUMN()),IF($A$1=1,INDEX($DQ$3:$DW$401,MATCH(ROWS(C$3:C140),$DW$3:$DW$401,0),COLUMN()),"")),"")</f>
        <v>F</v>
      </c>
      <c r="D140" s="48" t="str">
        <f ca="1">IFERROR(IF($A$1=2,INDEX($DH$3:$DN$401,MATCH(ROWS(D$3:D140),$DN$3:$DN$401,0),COLUMN()),IF($A$1=1,INDEX($DQ$3:$DW$401,MATCH(ROWS(D$3:D140),$DW$3:$DW$401,0),COLUMN()),"")),"")</f>
        <v>A</v>
      </c>
      <c r="E140" s="48" t="str">
        <f ca="1">IFERROR(IF($A$1=2,INDEX($DH$3:$DN$401,MATCH(ROWS(E$3:E140),$DN$3:$DN$401,0),COLUMN()),IF($A$1=1,INDEX($DQ$3:$DW$401,MATCH(ROWS(E$3:E140),$DW$3:$DW$401,0),COLUMN()),"")),"")</f>
        <v>DEBITI</v>
      </c>
      <c r="F140" s="48" t="str">
        <f ca="1">IFERROR(IF($A$1=2,INDEX($DH$3:$DN$401,MATCH(ROWS(F$3:F140),$DN$3:$DN$401,0),COLUMN()),IF($A$1=1,INDEX($DQ$3:$DX$401,MATCH(ROWS(F$3:F140),$DW$3:$DW$401,0),COLUMN()),"")),"")</f>
        <v>SP AVERE</v>
      </c>
      <c r="G140" s="48" t="str">
        <f t="shared" ca="1" si="294"/>
        <v>SP</v>
      </c>
      <c r="H140" s="48" t="str">
        <f ca="1">IFERROR(IF($A$1=2,INDEX($DH$3:$DO$400,MATCH(ROWS(H$3:H140),$DN$3:$DN$400,0),COLUMN()),IF($A$1=1,INDEX($DQ$3:$DX$400,MATCH(ROWS(H$3:H140),$DW$3:$DW$400,0),COLUMN()),"")),"")</f>
        <v>ppd</v>
      </c>
      <c r="I140" s="48" t="str">
        <f t="shared" ca="1" si="295"/>
        <v/>
      </c>
      <c r="J140" s="48" t="str">
        <f t="shared" ca="1" si="296"/>
        <v/>
      </c>
      <c r="K140" s="48">
        <f t="shared" ca="1" si="297"/>
        <v>0</v>
      </c>
      <c r="L140" s="48">
        <f t="shared" ca="1" si="298"/>
        <v>0</v>
      </c>
      <c r="M140" s="48">
        <f ca="1">IFERROR(IF(IF(MID($A140,3,3)=".00",MID(A140,1,2),"")&lt;&gt;"",MAX($M$2:M139)+1,0),"")</f>
        <v>0</v>
      </c>
      <c r="N140" s="48" t="str">
        <f t="shared" ca="1" si="299"/>
        <v/>
      </c>
      <c r="O140" s="48" t="str">
        <f ca="1">IF(IFERROR(INDEX($N$3:$O$300,MATCH(ROWS($O$3:O140),$M$3:$M$300,0),1),"")&lt;&gt;"",CONCATENATE(INDEX($N$3:$O$300,MATCH(ROWS($O$3:O140),$M$3:$M$300,0),1),".00"),"")</f>
        <v/>
      </c>
      <c r="P140" s="48" t="str">
        <f t="shared" ca="1" si="300"/>
        <v/>
      </c>
      <c r="Q140" s="48">
        <f ca="1">IF(M140&gt;=1,0,MAX($Q$2:Q139)+1)</f>
        <v>124</v>
      </c>
      <c r="U140" s="48" t="str">
        <f ca="1">IFERROR(INDEX(PDC,MATCH(ROWS(U$3:U140),$V$3:$V$400,0),2),"")</f>
        <v>DEBITI PER CAUZIONI</v>
      </c>
      <c r="V140" s="48">
        <f ca="1">IF(AND($T$1="VISUALIZZA TUTTI I CONTI",AA140&lt;&gt;""),MAX($V$2:V139)+1,IF(AND($U$2=2,AI140=$T$1),MAX($V$2:V139)+1,IF(AND($U$2=1,$T$1=AF140),MAX($V$2:V139)+1,0)))</f>
        <v>138</v>
      </c>
      <c r="Z140" s="246"/>
      <c r="AA140" s="48" t="str">
        <f t="shared" ca="1" si="301"/>
        <v>15.00</v>
      </c>
      <c r="AB140" s="48" t="str">
        <f ca="1">IFERROR(INDEX($A$3:$G$400,MATCH(ROWS(AB$3:AB140),$Q$3:$Q$400,0),1),"")</f>
        <v>15.07</v>
      </c>
      <c r="AC140" s="48" t="str">
        <f ca="1">IFERROR(INDEX($A$3:$G$400,MATCH(ROWS($AC$3:AC140),$Q$3:$Q$400,0),2),"")</f>
        <v>DEBITI PER CAUZIONI</v>
      </c>
      <c r="AD140" s="48" t="str">
        <f ca="1">IFERROR(INDEX($A$3:$G$400,MATCH(ROWS(AD$3:AD140),$Q$3:$Q$400,0),3),"")</f>
        <v>F</v>
      </c>
      <c r="AE140" s="48" t="str">
        <f ca="1">IFERROR(INDEX($A$3:$G$400,MATCH(ROWS(AE$3:AE140),$Q$3:$Q$400,0),4),"")</f>
        <v>A</v>
      </c>
      <c r="AF140" s="48" t="str">
        <f ca="1">IFERROR(INDEX($A$3:$G$400,MATCH(ROWS(AF$3:AF140),$Q$3:$Q$400,0),5),"")</f>
        <v>DEBITI</v>
      </c>
      <c r="AG140" s="48" t="str">
        <f ca="1">IFERROR(INDEX($A$3:$G$400,MATCH(ROWS(AG$3:AG140),$Q$3:$Q$400,0),6),"")</f>
        <v>SP AVERE</v>
      </c>
      <c r="AH140" s="48" t="str">
        <f ca="1">IFERROR(INDEX($A$3:$G$400,MATCH(ROWS(AH$3:AH140),$Q$3:$Q$400,0),7),"")</f>
        <v>SP</v>
      </c>
      <c r="AI140" s="48" t="str">
        <f t="shared" ca="1" si="302"/>
        <v>DEBITI DIVERSI</v>
      </c>
      <c r="AJ140" s="48" t="str">
        <f ca="1">IFERROR(INDEX($A$3:$H$400,MATCH(ROWS(AJ$3:AJ140),$Q$3:$Q$400,0),8),"")</f>
        <v>ppd</v>
      </c>
      <c r="AK140" s="48">
        <f t="shared" ca="1" si="277"/>
        <v>0</v>
      </c>
      <c r="AL140" s="48">
        <f t="shared" ca="1" si="335"/>
        <v>0</v>
      </c>
      <c r="AM140" s="48">
        <f t="shared" ca="1" si="252"/>
        <v>0</v>
      </c>
      <c r="AN140" s="48">
        <f t="shared" ca="1" si="253"/>
        <v>0</v>
      </c>
      <c r="AO140" s="48">
        <f t="shared" ca="1" si="254"/>
        <v>0</v>
      </c>
      <c r="AP140" s="48">
        <f t="shared" ca="1" si="254"/>
        <v>0</v>
      </c>
      <c r="AQ140" s="48" t="str">
        <f t="shared" ca="1" si="278"/>
        <v>DEBITI PER CAUZIONI</v>
      </c>
      <c r="AR140" s="48">
        <f t="shared" ca="1" si="279"/>
        <v>0</v>
      </c>
      <c r="AS140" s="48">
        <f t="shared" ca="1" si="280"/>
        <v>0</v>
      </c>
      <c r="AT140" s="48">
        <f t="shared" ca="1" si="303"/>
        <v>0</v>
      </c>
      <c r="AU140" s="48">
        <f t="shared" ca="1" si="304"/>
        <v>0</v>
      </c>
      <c r="AV140" s="48">
        <f ca="1">IF(OR(AT140&gt;0,AU140&gt;0),MAX($AV$2:AV139)+1,0)</f>
        <v>0</v>
      </c>
      <c r="AZ140" s="241" t="str">
        <f t="shared" si="240"/>
        <v>40 V.I.</v>
      </c>
      <c r="BA140" s="48">
        <f t="shared" ca="1" si="330"/>
        <v>0</v>
      </c>
      <c r="BB140" s="48">
        <f t="shared" ca="1" si="247"/>
        <v>0</v>
      </c>
      <c r="BC140" s="48" t="str">
        <f t="shared" ca="1" si="248"/>
        <v/>
      </c>
      <c r="BD140" s="48">
        <f t="shared" ca="1" si="249"/>
        <v>0</v>
      </c>
      <c r="BE140" s="48">
        <f t="shared" ca="1" si="250"/>
        <v>0</v>
      </c>
      <c r="BF140" s="48">
        <v>38</v>
      </c>
      <c r="BG140" s="48">
        <f ca="1">IF(IF(AND(OR(INDEX(PDC,MATCH($AC140,DEN_PDC,0),6)="SP DARE",INDEX(PDC,MATCH($AC140,DEN_PDC,0),6)="SP DARE/AVERE"),SUMIFS(DARE,DEN_G,$AC140)&gt;=SUMIFS(AVERE,DEN_G,$AC140)),SUMIFS(DARE,DEN_G,$AC140)-SUMIFS(AVERE,DEN_G,$AC140),0)&gt;0,MAX($BG$2:BG139)+1,0)</f>
        <v>0</v>
      </c>
      <c r="BH140" s="48">
        <f ca="1">IF(IF(AND(OR(INDEX(PDC,MATCH($AC140,DEN_PDC,0),6)="SP AVERE",INDEX(PDC,MATCH($AC140,DEN_PDC,0),6)="SP DARE/AVERE"),SUMIFS(AVERE,DEN_G,$AC140)&gt;=SUMIFS(DARE,DEN_G,$AC140)),SUMIFS(AVERE,DEN_G,$AC140)-SUMIFS(DARE,DEN_G,$AC140),0)&gt;0,MAX(BH$2:BH139)+1,0)</f>
        <v>0</v>
      </c>
      <c r="BI140" s="48">
        <f ca="1">IF(IF(AND(OR(INDEX(PDC,MATCH($AC140,DEN_PDC,0),6)="SE DARE",INDEX(PDC,MATCH($AC140,DEN_PDC,0),6)="SE DARE/AVERE"),SUMIFS(DARE,DEN_G,$AC140)&gt;=SUMIFS(AVERE,DEN_G,$AC140)),SUMIFS(DARE,DEN_G,$AC140)-SUMIFS(AVERE,DEN_G,$AC140),0)&gt;0,MAX(BI$2:BI139)+1,0)</f>
        <v>0</v>
      </c>
      <c r="BJ140" s="48">
        <f ca="1">IF(IF(AND(OR(INDEX(PDC,MATCH($AC140,DEN_PDC,0),6)="SE AVERE",INDEX(PDC,MATCH($AC140,DEN_PDC,0),6)="SE DARE/AVERE"),SUMIFS(AVERE,DEN_G,$AC140)&gt;=SUMIFS(DARE,DEN_G,$AC140)),SUMIFS(AVERE,DEN_G,$AC140)-SUMIFS(DARE,DEN_G,$AC140),0)&gt;0,MAX(BJ$2:BJ139)+1,0)</f>
        <v>0</v>
      </c>
      <c r="BK140" s="48" t="str">
        <f ca="1">IF(AND(AND($DY$2=0,$DY$1=0),$I$1=2,ROW()&gt;$BG$1+2,ROW()&lt;=$BG$1+4),"………………..",IF(AND(OR($DY$2&gt;0,$DY$1&gt;0),$I$1=2,ROW()&gt;$BG$1+2,ROW()&lt;=$BG$1+4),"………………..",IFERROR(INDEX($AC$3:$AC$398,MATCH(ROWS(BK$3:BK140),BG$3:BG$398,0),1),"")))</f>
        <v/>
      </c>
      <c r="BL140" s="48">
        <f t="shared" ca="1" si="281"/>
        <v>0</v>
      </c>
      <c r="BM140" s="48" t="str">
        <f ca="1">IF(AND(OR($DY$2=0,$DY$1=0),$I$1=2,ROW()&gt;$BH$1+2,ROW()&lt;=$BH$1+4),"………………..",IF(AND(OR($DY$2&gt;0,$DY$1&gt;0),$I$1=2,ROW()&gt;$BH$1+2,ROW()&lt;=$BH$1+4),"………………..",IFERROR(INDEX($AC$3:$AC$400,MATCH(ROWS(BM$3:BM140),BH$3:BH$400,0),1),"")))</f>
        <v/>
      </c>
      <c r="BN140" s="48">
        <f t="shared" ca="1" si="282"/>
        <v>0</v>
      </c>
      <c r="BO140" s="48" t="str">
        <f ca="1">IF(AND(OR($DY$2=0,$DY$1=0),$I$1=2,ROW()&gt;$BI$1+2,ROW()&lt;=$BI$1+4),"………………..",IF(AND(OR($DY$2&gt;0,$DY$1&gt;0),$I$1=2,ROW()&gt;$BI$1+2,ROW()&lt;=$BI$1+4),"………………..",IFERROR(INDEX($AC$3:$AC$400,MATCH(ROWS(BO$3:BO140),BI$3:BI$400,0),1),"")))</f>
        <v/>
      </c>
      <c r="BP140" s="48">
        <f t="shared" ca="1" si="283"/>
        <v>0</v>
      </c>
      <c r="BQ140" s="48" t="str">
        <f ca="1">IF(AND(OR($DY$2=0,$DY$1=0),$I$1=2,ROW()&gt;$BJ$1+2,ROW()&lt;=$BJ$1+4),"………………..",IF(AND(OR($DY$2&gt;0,$DY$1&gt;0),$I$1=2,ROW()&gt;$BJ$1+2,ROW()&lt;=$BJ$1+4),"………………..",IFERROR(INDEX($AC$3:$AC$400,MATCH(ROWS(BQ$3:BQ140),BJ$3:BJ$400,0),1),"")))</f>
        <v/>
      </c>
      <c r="BR140" s="48">
        <f t="shared" ca="1" si="284"/>
        <v>0</v>
      </c>
      <c r="BS140" s="48">
        <f ca="1">IF(IF(AND(OR(INDEX(PDC,MATCH($AC140,DEN_PDC,0),4)="D",INDEX(PDC,MATCH($AC140,DEN_PDC,0),4)="D/A"),SUMIFS(DARE,DEN_G,$AC140)&gt;=SUMIFS(AVERE,DEN_G,$AC140)),SUMIFS(DARE,DEN_G,$AC140),IF(AND(OR(INDEX(PDC,MATCH($AC140,DEN_PDC,0),4)="A",INDEX(PDC,MATCH($AC140,DEN_PDC,0),4)="D/A"),SUMIFS(AVERE,DEN_G,$AC140)&gt;=SUMIFS(DARE,DEN_G,$AC140)),SUMIFS(AVERE,DEN_G,$AC140),))&gt;0,MAX($BS$2:BS139)+1,0)</f>
        <v>0</v>
      </c>
      <c r="BT140" s="48" t="str">
        <f ca="1">IF($CO$1=0,"",IF(AND($I$1=2,ROW()&gt;$BR$1,ROW()&lt;=$BS$1)," …………….",IF(AND($E$1=1,$BX$1=1,$I$1=2,ROW()=$BQ$1),"TOTALI",IFERROR(INDEX(PDC,MATCH(ROWS(BT$3:BT140),BS$3:BS537,0),2),""))))</f>
        <v/>
      </c>
      <c r="BU140" s="48">
        <f t="shared" ca="1" si="285"/>
        <v>0</v>
      </c>
      <c r="BV140" s="48">
        <f t="shared" ca="1" si="286"/>
        <v>0</v>
      </c>
      <c r="BW140" s="48">
        <f t="shared" ca="1" si="287"/>
        <v>0</v>
      </c>
      <c r="BX140" s="48">
        <f t="shared" ca="1" si="288"/>
        <v>0</v>
      </c>
      <c r="BY140" s="48">
        <f ca="1">IF(OR(BW140&gt;0,BX140&gt;0),MAX($BY$2:BY139)+1,0)</f>
        <v>0</v>
      </c>
      <c r="BZ140" s="48" t="str">
        <f ca="1">IFERROR(INDEX($BT$3:$BY$400,MATCH(ROWS(BZ$3:BZ140),$BY$3:$BY$400,0),1),"")</f>
        <v/>
      </c>
      <c r="CA140" s="48" t="str">
        <f ca="1">IFERROR(INDEX($BT$3:$BY$400,MATCH(ROWS(CA$3:CA140),$BY$3:$BY$400,0),4),"")</f>
        <v/>
      </c>
      <c r="CB140" s="48" t="str">
        <f ca="1">IFERROR(INDEX($BT$3:$BY$400,MATCH(ROWS(CB$3:CB140),$BY$3:$BY$400,0),5),"")</f>
        <v/>
      </c>
      <c r="CC140" s="48" t="str">
        <f t="shared" ca="1" si="289"/>
        <v/>
      </c>
      <c r="CD140" s="48">
        <f ca="1">IF(AND($BF$9=1,CE140&lt;&gt;0),MAX($CD$104:CD139)+1,0)</f>
        <v>0</v>
      </c>
      <c r="CE140" s="48">
        <f ca="1">IF(ROUND(SUMIFS(COPIA!$CB$3:$CB$400,COPIA!$CC$3:$CC$400,CF140)-SUMIFS(COPIA!$CA$3:$CA$400,COPIA!$CC$3:$CC$400,CF140),0)&lt;0,0,ROUND(SUMIFS(COPIA!$CB$3:$CB$400,COPIA!$CC$3:$CC$400,CF140)-SUMIFS(COPIA!$CA$3:$CA$400,COPIA!$CC$3:$CC$400,CF140),0))</f>
        <v>0</v>
      </c>
      <c r="CF140" s="48" t="s">
        <v>680</v>
      </c>
      <c r="CG140" s="242" t="s">
        <v>567</v>
      </c>
      <c r="CH140" s="48">
        <f t="shared" ca="1" si="259"/>
        <v>0</v>
      </c>
      <c r="CJ140" s="242">
        <f ca="1">SUMIFS(COPIA!$CB$3:$CB$400,COPIA!$CC$3:$CC$400,CF140)-SUMIFS(COPIA!$CA$3:$CA$400,COPIA!$CC$3:$CC$400,CF140)</f>
        <v>0</v>
      </c>
      <c r="CK140" s="48">
        <f ca="1">IF($CG$2=FALSE,0,IF(AND($BF$9=1,CJ140&lt;&gt;0),MAX($CK$21:CK139)+1,0))</f>
        <v>0</v>
      </c>
      <c r="CL140" s="48" t="s">
        <v>793</v>
      </c>
      <c r="CM140" s="242" t="str">
        <f t="shared" ca="1" si="305"/>
        <v/>
      </c>
      <c r="CN140" s="243">
        <f t="shared" ca="1" si="306"/>
        <v>0</v>
      </c>
      <c r="CO140" s="48" t="str">
        <f t="shared" ca="1" si="307"/>
        <v/>
      </c>
      <c r="CQ140" s="242"/>
      <c r="CR140" s="242"/>
      <c r="CU140" s="48">
        <f ca="1">IF(SUMIFS(AVERE,DEN_G,AC140,AVERE,"&gt;"&amp;0)+SUMIFS(DARE,DEN_G,AC140,DARE,"&gt;"&amp;0)&gt;0,MAX($CU$2:CU139)+1,0)</f>
        <v>0</v>
      </c>
      <c r="CV140" s="48" t="str">
        <f ca="1">IF(IFERROR(INDEX(PDC,MATCH(ROWS($CV$3:CV140),$CU$3:$CU$400,0),2),"")="CONTO DI RISULTATO ECONOMICO","",IFERROR(INDEX(PDC,MATCH(ROWS($CV$3:CV140),$CU$3:$CU$400,0),2),""))</f>
        <v/>
      </c>
      <c r="CW140" s="48">
        <f ca="1">IFERROR(IF(CV140&lt;&gt;"",MAX($CW$2:CW139)+1,0),0)</f>
        <v>0</v>
      </c>
      <c r="CX140" s="48">
        <f t="shared" ca="1" si="333"/>
        <v>11</v>
      </c>
      <c r="CY140" s="48" t="str">
        <f t="shared" ca="1" si="332"/>
        <v>MASTRO</v>
      </c>
      <c r="CZ140" s="48" t="e">
        <f t="shared" ca="1" si="336"/>
        <v>#N/A</v>
      </c>
      <c r="DA140" s="48" t="str">
        <f t="shared" ca="1" si="340"/>
        <v/>
      </c>
      <c r="DB140" s="48" t="str">
        <f t="shared" ca="1" si="212"/>
        <v/>
      </c>
      <c r="DC140" s="48" t="str">
        <f t="shared" ca="1" si="337"/>
        <v/>
      </c>
      <c r="DD140" s="48" t="str">
        <f t="shared" ca="1" si="338"/>
        <v/>
      </c>
      <c r="DE140" s="48" t="str">
        <f t="shared" ca="1" si="339"/>
        <v/>
      </c>
      <c r="DF140" s="48">
        <f ca="1">IF(AND(CX140=$DF$1,CX140&lt;&gt;""),0,IF(AND(DB140&lt;&gt;"",OR(DB139&lt;&gt;"",DB141&lt;&gt;"")),MAX($DF$2:DF139)+1,0))</f>
        <v>0</v>
      </c>
      <c r="DH140" s="244" t="s">
        <v>1093</v>
      </c>
      <c r="DI140" s="48" t="s">
        <v>400</v>
      </c>
      <c r="DJ140" s="48" t="s">
        <v>311</v>
      </c>
      <c r="DK140" s="48" t="s">
        <v>275</v>
      </c>
      <c r="DL140" s="48" t="s">
        <v>4</v>
      </c>
      <c r="DM140" s="48" t="s">
        <v>270</v>
      </c>
      <c r="DN140" s="48">
        <f ca="1">IF(DI140&lt;&gt;"",MAX($DN$2:DN139)+1,0)</f>
        <v>118</v>
      </c>
      <c r="DO140" s="48" t="s">
        <v>656</v>
      </c>
      <c r="DQ140" s="227" t="s">
        <v>401</v>
      </c>
      <c r="DR140" s="48" t="s">
        <v>283</v>
      </c>
      <c r="DS140" s="48" t="s">
        <v>312</v>
      </c>
      <c r="DT140" s="48" t="s">
        <v>298</v>
      </c>
      <c r="DU140" s="48" t="s">
        <v>272</v>
      </c>
      <c r="DV140" s="48" t="s">
        <v>299</v>
      </c>
      <c r="DW140" s="48">
        <f ca="1">IF(DR140&lt;&gt;"",MAX($DW$2:DW139)+1,0)</f>
        <v>85</v>
      </c>
      <c r="DX140" s="48" t="str">
        <f ca="1">IF($BF$9=1,"ppb2","ppb")</f>
        <v>ppb</v>
      </c>
      <c r="DY140" s="48" t="str">
        <f t="shared" ca="1" si="291"/>
        <v/>
      </c>
      <c r="DZ140" s="48" t="str">
        <f t="shared" ca="1" si="309"/>
        <v/>
      </c>
      <c r="EA140" s="48" t="str">
        <f t="shared" ca="1" si="310"/>
        <v/>
      </c>
      <c r="EB140" s="48">
        <f t="shared" ca="1" si="311"/>
        <v>0</v>
      </c>
      <c r="EC140" s="48">
        <f t="shared" ca="1" si="312"/>
        <v>0</v>
      </c>
      <c r="ED140" s="48" t="str">
        <f t="shared" ca="1" si="313"/>
        <v/>
      </c>
      <c r="EE140" s="48">
        <f t="shared" ca="1" si="314"/>
        <v>0</v>
      </c>
      <c r="EF140" s="48" t="str">
        <f t="shared" ca="1" si="315"/>
        <v/>
      </c>
      <c r="EG140" s="48">
        <f t="shared" ca="1" si="316"/>
        <v>0</v>
      </c>
      <c r="EH140" s="48" t="str">
        <f t="shared" ca="1" si="317"/>
        <v/>
      </c>
      <c r="EI140" s="48">
        <f t="shared" ca="1" si="318"/>
        <v>0</v>
      </c>
      <c r="EJ140" s="48" t="str">
        <f t="shared" ca="1" si="319"/>
        <v/>
      </c>
      <c r="EK140" s="48">
        <f t="shared" ca="1" si="320"/>
        <v>0</v>
      </c>
      <c r="EL140" s="48">
        <f t="shared" ca="1" si="292"/>
        <v>0</v>
      </c>
      <c r="EM140" s="48">
        <f ca="1">IF(EL140&gt;=0,0,MAX($EM$2:EM139)+1)</f>
        <v>0</v>
      </c>
      <c r="EN140" s="48" t="str">
        <f t="shared" ca="1" si="321"/>
        <v/>
      </c>
      <c r="EO140" s="48" t="str">
        <f ca="1">IFERROR(INDEX($EM$3:$EN$400,MATCH(ROWS($EO$3:EO140),$EM$3:$EM$400,0),2),"")</f>
        <v/>
      </c>
      <c r="EP140" s="48">
        <f>ROW()</f>
        <v>140</v>
      </c>
      <c r="EQ140" s="48">
        <f t="shared" ca="1" si="293"/>
        <v>0</v>
      </c>
      <c r="ER140" s="48">
        <f ca="1">IF(ISNA(EQ140)=TRUE,MAX($ER$2:ER139)+1,0)</f>
        <v>0</v>
      </c>
      <c r="ES140" s="48" t="str">
        <f t="shared" ca="1" si="322"/>
        <v/>
      </c>
      <c r="ET140" s="48" t="str">
        <f ca="1">IFERROR(INDEX($ER$3:$ES$400,MATCH(ROWS($ET$3:ET140),$ER$3:$ER$400,0),2),"")</f>
        <v/>
      </c>
      <c r="EV140" s="48">
        <f ca="1">IFERROR(INDEX(LIBRO_GIORNALE!$O$11:$P$408,MATCH(ROWS($EV$2:EV139),LIBRO_GIORNALE!$P$11:$P$408,0),1),0)</f>
        <v>0</v>
      </c>
      <c r="EW140" s="48" t="str">
        <f t="shared" ca="1" si="323"/>
        <v>0</v>
      </c>
      <c r="EX140" s="48">
        <f t="shared" ca="1" si="324"/>
        <v>0</v>
      </c>
      <c r="EY140" s="48">
        <f ca="1">IF(EX140&gt;0,MAX($EY$2:EY139)+1,0)</f>
        <v>0</v>
      </c>
      <c r="EZ140" s="48">
        <f ca="1">IFERROR(INDEX($EX$3:$EX$400,MATCH(ROWS($EZ$3:EZ140),$EY$3:$EY$400,0),1),0)</f>
        <v>0</v>
      </c>
      <c r="FA140" s="48">
        <f ca="1">IF(EZ140&gt;0,0,MAX($FA$2:FA139)+1)</f>
        <v>138</v>
      </c>
      <c r="FB140" s="48">
        <f t="shared" ca="1" si="325"/>
        <v>0</v>
      </c>
      <c r="FC140" s="48">
        <f t="shared" ca="1" si="326"/>
        <v>138</v>
      </c>
      <c r="FD140" s="48">
        <f t="shared" ca="1" si="327"/>
        <v>138</v>
      </c>
      <c r="FE140" s="48">
        <f ca="1">IF(FD140=0,0,MAX($FE$2:FE139)+1)</f>
        <v>138</v>
      </c>
      <c r="FF140" s="48">
        <f ca="1">IFERROR(INDEX($FD$3:$FE$400,MATCH(ROWS($FF$3:FF140),$FE$3:$FE$400,0),1),"")</f>
        <v>138</v>
      </c>
      <c r="FG140" s="48">
        <f t="shared" ca="1" si="255"/>
        <v>0</v>
      </c>
      <c r="FH140" s="48">
        <f t="shared" ca="1" si="328"/>
        <v>0</v>
      </c>
      <c r="FI140" s="48">
        <f ca="1">IF(FH140&lt;&gt;0,MAX($FI$2:FI139)+1,0)</f>
        <v>0</v>
      </c>
      <c r="FJ140" s="48" t="str">
        <f ca="1">IFERROR(INDEX($FH$3:$FI$400,MATCH(ROWS($FJ$3:FJ140),$FI$3:$FI$400,0),1),"")</f>
        <v/>
      </c>
      <c r="FK140" s="48">
        <f ca="1">IF(ABS(SUMIFS(DARE,DEN_G,"="&amp;FJ140,DATA,"&lt;="&amp;FINE_AC,DATA,"&gt;="&amp;INIZIO_A_PC)-SUMIFS(AVERE,DEN_G,"="&amp;FJ140,DATA,"&lt;="&amp;FINE_AC,DATA,"&gt;="&amp;INIZIO_A_PC))&gt;0,MAX($FK$2:FK139)+1,0)</f>
        <v>0</v>
      </c>
      <c r="FL140" s="48" t="str">
        <f ca="1">IF(AND(ROW()-2&lt;&gt;1,ROW()-2&lt;=$FK$1),CONCATENATE(" - ",IFERROR(INDEX($FJ$3:$FK$400,MATCH(ROWS($FL$3:FL140),$FK$3:$FK$400,0),1),"")),IFERROR(INDEX($FJ$3:$FK$400,MATCH(ROWS($FL$3:FL140),$FK$3:$FK$400,0),1),""))</f>
        <v/>
      </c>
      <c r="FM140" s="48">
        <f ca="1">IF(OR(B140="IVA ns/credito",B140="IVA NS/DEBITO",B140="IVA C/ACCONTO",B140="IMPOSTE C/ACCONTO",B140="CREDITI PER RITENUTE SUBITE",B140="CREDITI D'IMPOSTA"),MAX($FM$2:FM139)+1,0)</f>
        <v>0</v>
      </c>
      <c r="FN140" s="48" t="str">
        <f t="shared" ca="1" si="329"/>
        <v/>
      </c>
      <c r="FO140" s="48" t="str">
        <f ca="1">IFERROR(INDEX($FM$3:$FN$400,MATCH(ROWS($FO$3:FO140),$FM$3:$FM$400,0),2),"")</f>
        <v/>
      </c>
      <c r="FP140" s="48">
        <f ca="1">IF(ABS(SUMIFS(DARE,DEN_G,"="&amp;FO140,DATA,"&lt;="&amp;FINE_AC,DATA,"&gt;="&amp;INIZIO_A_PC)-SUMIFS(AVERE,DEN_G,"="&amp;FO140,DATA,"&lt;="&amp;FINE_AC,DATA,"&gt;="&amp;INIZIO_A_PC))&gt;0,MAX($FP$2:FP139)+1,0)</f>
        <v>0</v>
      </c>
      <c r="FQ140" s="48" t="str">
        <f ca="1">IF(AND(ROW()-2&lt;&gt;1,ROW()-2&lt;=$FP$1),CONCATENATE(" - ",IFERROR(INDEX($FO$3:$FP$400,MATCH(ROWS($FQ$3:FQ140),$FP$3:$FP$400,0),1),"")),IFERROR(INDEX($FO$3:$FP$400,MATCH(ROWS($FQ$3:FQ140),$FP$3:$FP$400,0),1),""))</f>
        <v/>
      </c>
    </row>
    <row r="141" spans="1:173" x14ac:dyDescent="0.3">
      <c r="A141" s="48" t="str">
        <f ca="1">IFERROR(IF($A$1=2,INDEX($DH$3:$DN$401,MATCH(ROWS(A$3:A141),$DN$3:$DN$401,0),COLUMN()),IF($A$1=1,INDEX($DQ$3:$DW$401,MATCH(ROWS(A$3:A141),$DW$3:$DW$401,0),COLUMN()),"")),"")</f>
        <v>14.00</v>
      </c>
      <c r="B141" s="48" t="str">
        <f ca="1">IFERROR(IF($A$1=2,INDEX($DH$3:$DN$401,MATCH(ROWS(B$3:B141),$DN$3:$DN$401,0),COLUMN()),IF($A$1=1,INDEX($DQ$3:$DW$400,MATCH(ROWS(B$3:B141),$DW$3:$DW$401,0),COLUMN()),"")),"")</f>
        <v>DEBITI COMMERCIALI</v>
      </c>
      <c r="C141" s="48">
        <f ca="1">IFERROR(IF($A$1=2,INDEX($DH$3:$DN$401,MATCH(ROWS(C$3:C141),$DN$3:$DN$401,0),COLUMN()),IF($A$1=1,INDEX($DQ$3:$DW$401,MATCH(ROWS(C$3:C141),$DW$3:$DW$401,0),COLUMN()),"")),"")</f>
        <v>0</v>
      </c>
      <c r="D141" s="48">
        <f ca="1">IFERROR(IF($A$1=2,INDEX($DH$3:$DN$401,MATCH(ROWS(D$3:D141),$DN$3:$DN$401,0),COLUMN()),IF($A$1=1,INDEX($DQ$3:$DW$401,MATCH(ROWS(D$3:D141),$DW$3:$DW$401,0),COLUMN()),"")),"")</f>
        <v>0</v>
      </c>
      <c r="E141" s="48">
        <f ca="1">IFERROR(IF($A$1=2,INDEX($DH$3:$DN$401,MATCH(ROWS(E$3:E141),$DN$3:$DN$401,0),COLUMN()),IF($A$1=1,INDEX($DQ$3:$DW$401,MATCH(ROWS(E$3:E141),$DW$3:$DW$401,0),COLUMN()),"")),"")</f>
        <v>0</v>
      </c>
      <c r="F141" s="48">
        <f ca="1">IFERROR(IF($A$1=2,INDEX($DH$3:$DN$401,MATCH(ROWS(F$3:F141),$DN$3:$DN$401,0),COLUMN()),IF($A$1=1,INDEX($DQ$3:$DX$401,MATCH(ROWS(F$3:F141),$DW$3:$DW$401,0),COLUMN()),"")),"")</f>
        <v>0</v>
      </c>
      <c r="G141" s="48" t="str">
        <f t="shared" ca="1" si="294"/>
        <v>0</v>
      </c>
      <c r="H141" s="48">
        <f ca="1">IFERROR(IF($A$1=2,INDEX($DH$3:$DO$400,MATCH(ROWS(H$3:H141),$DN$3:$DN$400,0),COLUMN()),IF($A$1=1,INDEX($DQ$3:$DX$400,MATCH(ROWS(H$3:H141),$DW$3:$DW$400,0),COLUMN()),"")),"")</f>
        <v>0</v>
      </c>
      <c r="I141" s="48" t="str">
        <f t="shared" ca="1" si="295"/>
        <v/>
      </c>
      <c r="J141" s="48" t="str">
        <f t="shared" ca="1" si="296"/>
        <v/>
      </c>
      <c r="K141" s="48">
        <f t="shared" ca="1" si="297"/>
        <v>0</v>
      </c>
      <c r="L141" s="48">
        <f t="shared" ca="1" si="298"/>
        <v>0</v>
      </c>
      <c r="M141" s="48">
        <f ca="1">IFERROR(IF(IF(MID($A141,3,3)=".00",MID(A141,1,2),"")&lt;&gt;"",MAX($M$2:M140)+1,0),"")</f>
        <v>15</v>
      </c>
      <c r="N141" s="48" t="str">
        <f t="shared" ca="1" si="299"/>
        <v>14</v>
      </c>
      <c r="O141" s="48" t="str">
        <f ca="1">IF(IFERROR(INDEX($N$3:$O$300,MATCH(ROWS($O$3:O141),$M$3:$M$300,0),1),"")&lt;&gt;"",CONCATENATE(INDEX($N$3:$O$300,MATCH(ROWS($O$3:O141),$M$3:$M$300,0),1),".00"),"")</f>
        <v/>
      </c>
      <c r="P141" s="48" t="str">
        <f t="shared" ca="1" si="300"/>
        <v/>
      </c>
      <c r="Q141" s="48">
        <f ca="1">IF(M141&gt;=1,0,MAX($Q$2:Q140)+1)</f>
        <v>0</v>
      </c>
      <c r="U141" s="48" t="str">
        <f ca="1">IFERROR(INDEX(PDC,MATCH(ROWS(U$3:U141),$V$3:$V$400,0),2),"")</f>
        <v>PERSONALE C/RETRIBUZIONI</v>
      </c>
      <c r="V141" s="48">
        <f ca="1">IF(AND($T$1="VISUALIZZA TUTTI I CONTI",AA141&lt;&gt;""),MAX($V$2:V140)+1,IF(AND($U$2=2,AI141=$T$1),MAX($V$2:V140)+1,IF(AND($U$2=1,$T$1=AF141),MAX($V$2:V140)+1,0)))</f>
        <v>139</v>
      </c>
      <c r="Z141" s="246"/>
      <c r="AA141" s="48" t="str">
        <f t="shared" ca="1" si="301"/>
        <v>15.00</v>
      </c>
      <c r="AB141" s="48" t="str">
        <f ca="1">IFERROR(INDEX($A$3:$G$400,MATCH(ROWS(AB$3:AB141),$Q$3:$Q$400,0),1),"")</f>
        <v>15.20</v>
      </c>
      <c r="AC141" s="48" t="str">
        <f ca="1">IFERROR(INDEX($A$3:$G$400,MATCH(ROWS($AC$3:AC141),$Q$3:$Q$400,0),2),"")</f>
        <v>PERSONALE C/RETRIBUZIONI</v>
      </c>
      <c r="AD141" s="48" t="str">
        <f ca="1">IFERROR(INDEX($A$3:$G$400,MATCH(ROWS(AD$3:AD141),$Q$3:$Q$400,0),3),"")</f>
        <v>F</v>
      </c>
      <c r="AE141" s="48" t="str">
        <f ca="1">IFERROR(INDEX($A$3:$G$400,MATCH(ROWS(AE$3:AE141),$Q$3:$Q$400,0),4),"")</f>
        <v>A</v>
      </c>
      <c r="AF141" s="48" t="str">
        <f ca="1">IFERROR(INDEX($A$3:$G$400,MATCH(ROWS(AF$3:AF141),$Q$3:$Q$400,0),5),"")</f>
        <v>DEBITI</v>
      </c>
      <c r="AG141" s="48" t="str">
        <f ca="1">IFERROR(INDEX($A$3:$G$400,MATCH(ROWS(AG$3:AG141),$Q$3:$Q$400,0),6),"")</f>
        <v>SP AVERE</v>
      </c>
      <c r="AH141" s="48" t="str">
        <f ca="1">IFERROR(INDEX($A$3:$G$400,MATCH(ROWS(AH$3:AH141),$Q$3:$Q$400,0),7),"")</f>
        <v>SP</v>
      </c>
      <c r="AI141" s="48" t="str">
        <f t="shared" ca="1" si="302"/>
        <v>DEBITI DIVERSI</v>
      </c>
      <c r="AJ141" s="48" t="str">
        <f ca="1">IFERROR(INDEX($A$3:$H$400,MATCH(ROWS(AJ$3:AJ141),$Q$3:$Q$400,0),8),"")</f>
        <v>ppd</v>
      </c>
      <c r="AK141" s="48">
        <f t="shared" ca="1" si="277"/>
        <v>0</v>
      </c>
      <c r="AL141" s="48">
        <f t="shared" ca="1" si="335"/>
        <v>0</v>
      </c>
      <c r="AM141" s="48">
        <f t="shared" ca="1" si="252"/>
        <v>0</v>
      </c>
      <c r="AN141" s="48">
        <f t="shared" ca="1" si="253"/>
        <v>0</v>
      </c>
      <c r="AO141" s="48">
        <f t="shared" ca="1" si="254"/>
        <v>0</v>
      </c>
      <c r="AP141" s="48">
        <f t="shared" ca="1" si="254"/>
        <v>0</v>
      </c>
      <c r="AQ141" s="48" t="str">
        <f t="shared" ca="1" si="278"/>
        <v>PERSONALE C/RETRIBUZIONI</v>
      </c>
      <c r="AR141" s="48">
        <f t="shared" ca="1" si="279"/>
        <v>0</v>
      </c>
      <c r="AS141" s="48">
        <f t="shared" ca="1" si="280"/>
        <v>0</v>
      </c>
      <c r="AT141" s="48">
        <f t="shared" ca="1" si="303"/>
        <v>0</v>
      </c>
      <c r="AU141" s="48">
        <f t="shared" ca="1" si="304"/>
        <v>0</v>
      </c>
      <c r="AV141" s="48">
        <f ca="1">IF(OR(AT141&gt;0,AU141&gt;0),MAX($AV$2:AV140)+1,0)</f>
        <v>0</v>
      </c>
      <c r="AZ141" s="241" t="str">
        <f t="shared" si="240"/>
        <v>41 V.I.</v>
      </c>
      <c r="BA141" s="48">
        <f t="shared" ca="1" si="330"/>
        <v>0</v>
      </c>
      <c r="BB141" s="48">
        <f t="shared" ca="1" si="247"/>
        <v>0</v>
      </c>
      <c r="BC141" s="48" t="str">
        <f t="shared" ca="1" si="248"/>
        <v/>
      </c>
      <c r="BD141" s="48">
        <f t="shared" ca="1" si="249"/>
        <v>0</v>
      </c>
      <c r="BE141" s="48">
        <f t="shared" ca="1" si="250"/>
        <v>0</v>
      </c>
      <c r="BF141" s="48">
        <v>39</v>
      </c>
      <c r="BG141" s="48">
        <f ca="1">IF(IF(AND(OR(INDEX(PDC,MATCH($AC141,DEN_PDC,0),6)="SP DARE",INDEX(PDC,MATCH($AC141,DEN_PDC,0),6)="SP DARE/AVERE"),SUMIFS(DARE,DEN_G,$AC141)&gt;=SUMIFS(AVERE,DEN_G,$AC141)),SUMIFS(DARE,DEN_G,$AC141)-SUMIFS(AVERE,DEN_G,$AC141),0)&gt;0,MAX($BG$2:BG140)+1,0)</f>
        <v>0</v>
      </c>
      <c r="BH141" s="48">
        <f ca="1">IF(IF(AND(OR(INDEX(PDC,MATCH($AC141,DEN_PDC,0),6)="SP AVERE",INDEX(PDC,MATCH($AC141,DEN_PDC,0),6)="SP DARE/AVERE"),SUMIFS(AVERE,DEN_G,$AC141)&gt;=SUMIFS(DARE,DEN_G,$AC141)),SUMIFS(AVERE,DEN_G,$AC141)-SUMIFS(DARE,DEN_G,$AC141),0)&gt;0,MAX(BH$2:BH140)+1,0)</f>
        <v>0</v>
      </c>
      <c r="BI141" s="48">
        <f ca="1">IF(IF(AND(OR(INDEX(PDC,MATCH($AC141,DEN_PDC,0),6)="SE DARE",INDEX(PDC,MATCH($AC141,DEN_PDC,0),6)="SE DARE/AVERE"),SUMIFS(DARE,DEN_G,$AC141)&gt;=SUMIFS(AVERE,DEN_G,$AC141)),SUMIFS(DARE,DEN_G,$AC141)-SUMIFS(AVERE,DEN_G,$AC141),0)&gt;0,MAX(BI$2:BI140)+1,0)</f>
        <v>0</v>
      </c>
      <c r="BJ141" s="48">
        <f ca="1">IF(IF(AND(OR(INDEX(PDC,MATCH($AC141,DEN_PDC,0),6)="SE AVERE",INDEX(PDC,MATCH($AC141,DEN_PDC,0),6)="SE DARE/AVERE"),SUMIFS(AVERE,DEN_G,$AC141)&gt;=SUMIFS(DARE,DEN_G,$AC141)),SUMIFS(AVERE,DEN_G,$AC141)-SUMIFS(DARE,DEN_G,$AC141),0)&gt;0,MAX(BJ$2:BJ140)+1,0)</f>
        <v>0</v>
      </c>
      <c r="BK141" s="48" t="str">
        <f ca="1">IF(AND(AND($DY$2=0,$DY$1=0),$I$1=2,ROW()&gt;$BG$1+2,ROW()&lt;=$BG$1+4),"………………..",IF(AND(OR($DY$2&gt;0,$DY$1&gt;0),$I$1=2,ROW()&gt;$BG$1+2,ROW()&lt;=$BG$1+4),"………………..",IFERROR(INDEX($AC$3:$AC$398,MATCH(ROWS(BK$3:BK141),BG$3:BG$398,0),1),"")))</f>
        <v/>
      </c>
      <c r="BL141" s="48">
        <f t="shared" ca="1" si="281"/>
        <v>0</v>
      </c>
      <c r="BM141" s="48" t="str">
        <f ca="1">IF(AND(OR($DY$2=0,$DY$1=0),$I$1=2,ROW()&gt;$BH$1+2,ROW()&lt;=$BH$1+4),"………………..",IF(AND(OR($DY$2&gt;0,$DY$1&gt;0),$I$1=2,ROW()&gt;$BH$1+2,ROW()&lt;=$BH$1+4),"………………..",IFERROR(INDEX($AC$3:$AC$400,MATCH(ROWS(BM$3:BM141),BH$3:BH$400,0),1),"")))</f>
        <v/>
      </c>
      <c r="BN141" s="48">
        <f t="shared" ca="1" si="282"/>
        <v>0</v>
      </c>
      <c r="BO141" s="48" t="str">
        <f ca="1">IF(AND(OR($DY$2=0,$DY$1=0),$I$1=2,ROW()&gt;$BI$1+2,ROW()&lt;=$BI$1+4),"………………..",IF(AND(OR($DY$2&gt;0,$DY$1&gt;0),$I$1=2,ROW()&gt;$BI$1+2,ROW()&lt;=$BI$1+4),"………………..",IFERROR(INDEX($AC$3:$AC$400,MATCH(ROWS(BO$3:BO141),BI$3:BI$400,0),1),"")))</f>
        <v/>
      </c>
      <c r="BP141" s="48">
        <f t="shared" ca="1" si="283"/>
        <v>0</v>
      </c>
      <c r="BQ141" s="48" t="str">
        <f ca="1">IF(AND(OR($DY$2=0,$DY$1=0),$I$1=2,ROW()&gt;$BJ$1+2,ROW()&lt;=$BJ$1+4),"………………..",IF(AND(OR($DY$2&gt;0,$DY$1&gt;0),$I$1=2,ROW()&gt;$BJ$1+2,ROW()&lt;=$BJ$1+4),"………………..",IFERROR(INDEX($AC$3:$AC$400,MATCH(ROWS(BQ$3:BQ141),BJ$3:BJ$400,0),1),"")))</f>
        <v/>
      </c>
      <c r="BR141" s="48">
        <f t="shared" ca="1" si="284"/>
        <v>0</v>
      </c>
      <c r="BS141" s="48">
        <f ca="1">IF(IF(AND(OR(INDEX(PDC,MATCH($AC141,DEN_PDC,0),4)="D",INDEX(PDC,MATCH($AC141,DEN_PDC,0),4)="D/A"),SUMIFS(DARE,DEN_G,$AC141)&gt;=SUMIFS(AVERE,DEN_G,$AC141)),SUMIFS(DARE,DEN_G,$AC141),IF(AND(OR(INDEX(PDC,MATCH($AC141,DEN_PDC,0),4)="A",INDEX(PDC,MATCH($AC141,DEN_PDC,0),4)="D/A"),SUMIFS(AVERE,DEN_G,$AC141)&gt;=SUMIFS(DARE,DEN_G,$AC141)),SUMIFS(AVERE,DEN_G,$AC141),))&gt;0,MAX($BS$2:BS140)+1,0)</f>
        <v>0</v>
      </c>
      <c r="BT141" s="48" t="str">
        <f ca="1">IF($CO$1=0,"",IF(AND($I$1=2,ROW()&gt;$BR$1,ROW()&lt;=$BS$1)," …………….",IF(AND($E$1=1,$BX$1=1,$I$1=2,ROW()=$BQ$1),"TOTALI",IFERROR(INDEX(PDC,MATCH(ROWS(BT$3:BT141),BS$3:BS538,0),2),""))))</f>
        <v/>
      </c>
      <c r="BU141" s="48">
        <f t="shared" ca="1" si="285"/>
        <v>0</v>
      </c>
      <c r="BV141" s="48">
        <f t="shared" ca="1" si="286"/>
        <v>0</v>
      </c>
      <c r="BW141" s="48">
        <f t="shared" ca="1" si="287"/>
        <v>0</v>
      </c>
      <c r="BX141" s="48">
        <f t="shared" ca="1" si="288"/>
        <v>0</v>
      </c>
      <c r="BY141" s="48">
        <f ca="1">IF(OR(BW141&gt;0,BX141&gt;0),MAX($BY$2:BY140)+1,0)</f>
        <v>0</v>
      </c>
      <c r="BZ141" s="48" t="str">
        <f ca="1">IFERROR(INDEX($BT$3:$BY$400,MATCH(ROWS(BZ$3:BZ141),$BY$3:$BY$400,0),1),"")</f>
        <v/>
      </c>
      <c r="CA141" s="48" t="str">
        <f ca="1">IFERROR(INDEX($BT$3:$BY$400,MATCH(ROWS(CA$3:CA141),$BY$3:$BY$400,0),4),"")</f>
        <v/>
      </c>
      <c r="CB141" s="48" t="str">
        <f ca="1">IFERROR(INDEX($BT$3:$BY$400,MATCH(ROWS(CB$3:CB141),$BY$3:$BY$400,0),5),"")</f>
        <v/>
      </c>
      <c r="CC141" s="48" t="str">
        <f t="shared" ca="1" si="289"/>
        <v/>
      </c>
      <c r="CD141" s="48">
        <f ca="1">IF(AND($BF$9=1,CE141&lt;&gt;0),MAX($CD$104:CD140)+1,0)</f>
        <v>0</v>
      </c>
      <c r="CE141" s="48">
        <f ca="1">ROUND(IFERROR(INDEX(BILANCIO!$I$13:$J$59,MATCH(CF141,BILANCIO!$J$13:$J$59,0),1),0),0)</f>
        <v>0</v>
      </c>
      <c r="CF141" s="48" t="s">
        <v>793</v>
      </c>
      <c r="CG141" s="242" t="s">
        <v>571</v>
      </c>
      <c r="CI141" s="48">
        <f t="shared" ca="1" si="331"/>
        <v>0</v>
      </c>
      <c r="CJ141" s="242">
        <f ca="1">SUMIFS(COPIA!$CB$3:$CB$400,COPIA!$CC$3:$CC$400,CF141)-SUMIFS(COPIA!$CA$3:$CA$400,COPIA!$CC$3:$CC$400,CF141)</f>
        <v>0</v>
      </c>
      <c r="CK141" s="48">
        <f ca="1">IF($CG$2=FALSE,0,IF(AND($BF$9=1,CJ141&lt;&gt;0),MAX($CK$21:CK140)+1,0))</f>
        <v>0</v>
      </c>
      <c r="CM141" s="242" t="str">
        <f t="shared" ca="1" si="305"/>
        <v/>
      </c>
      <c r="CN141" s="243">
        <f t="shared" ca="1" si="306"/>
        <v>0</v>
      </c>
      <c r="CO141" s="48" t="str">
        <f t="shared" ca="1" si="307"/>
        <v/>
      </c>
      <c r="CQ141" s="242"/>
      <c r="CR141" s="242"/>
      <c r="CU141" s="48">
        <f ca="1">IF(SUMIFS(AVERE,DEN_G,AC141,AVERE,"&gt;"&amp;0)+SUMIFS(DARE,DEN_G,AC141,DARE,"&gt;"&amp;0)&gt;0,MAX($CU$2:CU140)+1,0)</f>
        <v>0</v>
      </c>
      <c r="CV141" s="48" t="str">
        <f ca="1">IF(IFERROR(INDEX(PDC,MATCH(ROWS($CV$3:CV141),$CU$3:$CU$400,0),2),"")="CONTO DI RISULTATO ECONOMICO","",IFERROR(INDEX(PDC,MATCH(ROWS($CV$3:CV141),$CU$3:$CU$400,0),2),""))</f>
        <v/>
      </c>
      <c r="CW141" s="48">
        <f ca="1">IFERROR(IF(CV141&lt;&gt;"",MAX($CW$2:CW140)+1,0),0)</f>
        <v>0</v>
      </c>
      <c r="CX141" s="48">
        <f t="shared" ca="1" si="333"/>
        <v>11</v>
      </c>
      <c r="CY141" s="48" t="str">
        <f t="shared" ca="1" si="332"/>
        <v>MASTRO</v>
      </c>
      <c r="CZ141" s="48" t="e">
        <f t="shared" ca="1" si="336"/>
        <v>#N/A</v>
      </c>
      <c r="DA141" s="48" t="str">
        <f t="shared" ca="1" si="340"/>
        <v/>
      </c>
      <c r="DB141" s="48" t="str">
        <f t="shared" ca="1" si="212"/>
        <v/>
      </c>
      <c r="DC141" s="48" t="str">
        <f t="shared" ca="1" si="337"/>
        <v/>
      </c>
      <c r="DD141" s="48" t="str">
        <f t="shared" ca="1" si="338"/>
        <v/>
      </c>
      <c r="DE141" s="48" t="str">
        <f t="shared" ca="1" si="339"/>
        <v/>
      </c>
      <c r="DF141" s="48">
        <f ca="1">IF(AND(CX141=$DF$1,CX141&lt;&gt;""),0,IF(AND(DB141&lt;&gt;"",OR(DB140&lt;&gt;"",DB142&lt;&gt;"")),MAX($DF$2:DF140)+1,0))</f>
        <v>0</v>
      </c>
      <c r="DH141" s="244" t="s">
        <v>104</v>
      </c>
      <c r="DI141" s="228" t="s">
        <v>103</v>
      </c>
      <c r="DN141" s="48">
        <f ca="1">IF(DI141&lt;&gt;"",MAX($DN$2:DN140)+1,0)</f>
        <v>119</v>
      </c>
      <c r="DQ141" s="227" t="s">
        <v>962</v>
      </c>
      <c r="DR141" s="48" t="s">
        <v>869</v>
      </c>
      <c r="DS141" s="48" t="s">
        <v>312</v>
      </c>
      <c r="DT141" s="48" t="s">
        <v>298</v>
      </c>
      <c r="DU141" s="48" t="s">
        <v>272</v>
      </c>
      <c r="DV141" s="48" t="s">
        <v>299</v>
      </c>
      <c r="DW141" s="48">
        <f ca="1">IF(DR141&lt;&gt;"",MAX($DW$2:DW140)+1,0)</f>
        <v>86</v>
      </c>
      <c r="DX141" s="48" t="str">
        <f ca="1">IF($BF$9=1,"ppb4","ppb")</f>
        <v>ppb</v>
      </c>
      <c r="DY141" s="48" t="str">
        <f t="shared" ca="1" si="291"/>
        <v/>
      </c>
      <c r="DZ141" s="48" t="str">
        <f t="shared" ca="1" si="309"/>
        <v/>
      </c>
      <c r="EA141" s="48" t="str">
        <f t="shared" ca="1" si="310"/>
        <v/>
      </c>
      <c r="EB141" s="48">
        <f t="shared" ca="1" si="311"/>
        <v>0</v>
      </c>
      <c r="EC141" s="48">
        <f t="shared" ca="1" si="312"/>
        <v>0</v>
      </c>
      <c r="ED141" s="48" t="str">
        <f t="shared" ca="1" si="313"/>
        <v/>
      </c>
      <c r="EE141" s="48">
        <f t="shared" ca="1" si="314"/>
        <v>0</v>
      </c>
      <c r="EF141" s="48" t="str">
        <f t="shared" ca="1" si="315"/>
        <v/>
      </c>
      <c r="EG141" s="48">
        <f t="shared" ca="1" si="316"/>
        <v>0</v>
      </c>
      <c r="EH141" s="48" t="str">
        <f t="shared" ca="1" si="317"/>
        <v/>
      </c>
      <c r="EI141" s="48">
        <f t="shared" ca="1" si="318"/>
        <v>0</v>
      </c>
      <c r="EJ141" s="48" t="str">
        <f t="shared" ca="1" si="319"/>
        <v/>
      </c>
      <c r="EK141" s="48">
        <f t="shared" ca="1" si="320"/>
        <v>0</v>
      </c>
      <c r="EL141" s="48">
        <f t="shared" ca="1" si="292"/>
        <v>0</v>
      </c>
      <c r="EM141" s="48">
        <f ca="1">IF(EL141&gt;=0,0,MAX($EM$2:EM140)+1)</f>
        <v>0</v>
      </c>
      <c r="EN141" s="48" t="str">
        <f t="shared" ca="1" si="321"/>
        <v/>
      </c>
      <c r="EO141" s="48" t="str">
        <f ca="1">IFERROR(INDEX($EM$3:$EN$400,MATCH(ROWS($EO$3:EO141),$EM$3:$EM$400,0),2),"")</f>
        <v/>
      </c>
      <c r="EP141" s="48">
        <f>ROW()</f>
        <v>141</v>
      </c>
      <c r="EQ141" s="48">
        <f t="shared" ca="1" si="293"/>
        <v>0</v>
      </c>
      <c r="ER141" s="48">
        <f ca="1">IF(ISNA(EQ141)=TRUE,MAX($ER$2:ER140)+1,0)</f>
        <v>0</v>
      </c>
      <c r="ES141" s="48" t="str">
        <f t="shared" ca="1" si="322"/>
        <v/>
      </c>
      <c r="ET141" s="48" t="str">
        <f ca="1">IFERROR(INDEX($ER$3:$ES$400,MATCH(ROWS($ET$3:ET141),$ER$3:$ER$400,0),2),"")</f>
        <v/>
      </c>
      <c r="EV141" s="48">
        <f ca="1">IFERROR(INDEX(LIBRO_GIORNALE!$O$11:$P$408,MATCH(ROWS($EV$2:EV140),LIBRO_GIORNALE!$P$11:$P$408,0),1),0)</f>
        <v>0</v>
      </c>
      <c r="EW141" s="48" t="str">
        <f t="shared" ca="1" si="323"/>
        <v>0</v>
      </c>
      <c r="EX141" s="48">
        <f t="shared" ca="1" si="324"/>
        <v>0</v>
      </c>
      <c r="EY141" s="48">
        <f ca="1">IF(EX141&gt;0,MAX($EY$2:EY140)+1,0)</f>
        <v>0</v>
      </c>
      <c r="EZ141" s="48">
        <f ca="1">IFERROR(INDEX($EX$3:$EX$400,MATCH(ROWS($EZ$3:EZ141),$EY$3:$EY$400,0),1),0)</f>
        <v>0</v>
      </c>
      <c r="FA141" s="48">
        <f ca="1">IF(EZ141&gt;0,0,MAX($FA$2:FA140)+1)</f>
        <v>139</v>
      </c>
      <c r="FB141" s="48">
        <f t="shared" ca="1" si="325"/>
        <v>0</v>
      </c>
      <c r="FC141" s="48">
        <f t="shared" ca="1" si="326"/>
        <v>139</v>
      </c>
      <c r="FD141" s="48">
        <f t="shared" ca="1" si="327"/>
        <v>139</v>
      </c>
      <c r="FE141" s="48">
        <f ca="1">IF(FD141=0,0,MAX($FE$2:FE140)+1)</f>
        <v>139</v>
      </c>
      <c r="FF141" s="48">
        <f ca="1">IFERROR(INDEX($FD$3:$FE$400,MATCH(ROWS($FF$3:FF141),$FE$3:$FE$400,0),1),"")</f>
        <v>139</v>
      </c>
      <c r="FG141" s="48">
        <f t="shared" ca="1" si="255"/>
        <v>0</v>
      </c>
      <c r="FH141" s="48">
        <f t="shared" ca="1" si="328"/>
        <v>0</v>
      </c>
      <c r="FI141" s="48">
        <f ca="1">IF(FH141&lt;&gt;0,MAX($FI$2:FI140)+1,0)</f>
        <v>0</v>
      </c>
      <c r="FJ141" s="48" t="str">
        <f ca="1">IFERROR(INDEX($FH$3:$FI$400,MATCH(ROWS($FJ$3:FJ141),$FI$3:$FI$400,0),1),"")</f>
        <v/>
      </c>
      <c r="FK141" s="48">
        <f ca="1">IF(ABS(SUMIFS(DARE,DEN_G,"="&amp;FJ141,DATA,"&lt;="&amp;FINE_AC,DATA,"&gt;="&amp;INIZIO_A_PC)-SUMIFS(AVERE,DEN_G,"="&amp;FJ141,DATA,"&lt;="&amp;FINE_AC,DATA,"&gt;="&amp;INIZIO_A_PC))&gt;0,MAX($FK$2:FK140)+1,0)</f>
        <v>0</v>
      </c>
      <c r="FL141" s="48" t="str">
        <f ca="1">IF(AND(ROW()-2&lt;&gt;1,ROW()-2&lt;=$FK$1),CONCATENATE(" - ",IFERROR(INDEX($FJ$3:$FK$400,MATCH(ROWS($FL$3:FL141),$FK$3:$FK$400,0),1),"")),IFERROR(INDEX($FJ$3:$FK$400,MATCH(ROWS($FL$3:FL141),$FK$3:$FK$400,0),1),""))</f>
        <v/>
      </c>
      <c r="FM141" s="48">
        <f ca="1">IF(OR(B141="IVA ns/credito",B141="IVA NS/DEBITO",B141="IVA C/ACCONTO",B141="IMPOSTE C/ACCONTO",B141="CREDITI PER RITENUTE SUBITE",B141="CREDITI D'IMPOSTA"),MAX($FM$2:FM140)+1,0)</f>
        <v>0</v>
      </c>
      <c r="FN141" s="48" t="str">
        <f t="shared" ca="1" si="329"/>
        <v/>
      </c>
      <c r="FO141" s="48" t="str">
        <f ca="1">IFERROR(INDEX($FM$3:$FN$400,MATCH(ROWS($FO$3:FO141),$FM$3:$FM$400,0),2),"")</f>
        <v/>
      </c>
      <c r="FP141" s="48">
        <f ca="1">IF(ABS(SUMIFS(DARE,DEN_G,"="&amp;FO141,DATA,"&lt;="&amp;FINE_AC,DATA,"&gt;="&amp;INIZIO_A_PC)-SUMIFS(AVERE,DEN_G,"="&amp;FO141,DATA,"&lt;="&amp;FINE_AC,DATA,"&gt;="&amp;INIZIO_A_PC))&gt;0,MAX($FP$2:FP140)+1,0)</f>
        <v>0</v>
      </c>
      <c r="FQ141" s="48" t="str">
        <f ca="1">IF(AND(ROW()-2&lt;&gt;1,ROW()-2&lt;=$FP$1),CONCATENATE(" - ",IFERROR(INDEX($FO$3:$FP$400,MATCH(ROWS($FQ$3:FQ141),$FP$3:$FP$400,0),1),"")),IFERROR(INDEX($FO$3:$FP$400,MATCH(ROWS($FQ$3:FQ141),$FP$3:$FP$400,0),1),""))</f>
        <v/>
      </c>
    </row>
    <row r="142" spans="1:173" x14ac:dyDescent="0.3">
      <c r="A142" s="48" t="str">
        <f ca="1">IFERROR(IF($A$1=2,INDEX($DH$3:$DN$401,MATCH(ROWS(A$3:A142),$DN$3:$DN$401,0),COLUMN()),IF($A$1=1,INDEX($DQ$3:$DW$401,MATCH(ROWS(A$3:A142),$DW$3:$DW$401,0),COLUMN()),"")),"")</f>
        <v>14.01</v>
      </c>
      <c r="B142" s="48" t="str">
        <f ca="1">IFERROR(IF($A$1=2,INDEX($DH$3:$DN$401,MATCH(ROWS(B$3:B142),$DN$3:$DN$401,0),COLUMN()),IF($A$1=1,INDEX($DQ$3:$DW$400,MATCH(ROWS(B$3:B142),$DW$3:$DW$401,0),COLUMN()),"")),"")</f>
        <v>DEBITI V/FORNITORI</v>
      </c>
      <c r="C142" s="48" t="str">
        <f ca="1">IFERROR(IF($A$1=2,INDEX($DH$3:$DN$401,MATCH(ROWS(C$3:C142),$DN$3:$DN$401,0),COLUMN()),IF($A$1=1,INDEX($DQ$3:$DW$401,MATCH(ROWS(C$3:C142),$DW$3:$DW$401,0),COLUMN()),"")),"")</f>
        <v>F</v>
      </c>
      <c r="D142" s="48" t="str">
        <f ca="1">IFERROR(IF($A$1=2,INDEX($DH$3:$DN$401,MATCH(ROWS(D$3:D142),$DN$3:$DN$401,0),COLUMN()),IF($A$1=1,INDEX($DQ$3:$DW$401,MATCH(ROWS(D$3:D142),$DW$3:$DW$401,0),COLUMN()),"")),"")</f>
        <v>A</v>
      </c>
      <c r="E142" s="48" t="str">
        <f ca="1">IFERROR(IF($A$1=2,INDEX($DH$3:$DN$401,MATCH(ROWS(E$3:E142),$DN$3:$DN$401,0),COLUMN()),IF($A$1=1,INDEX($DQ$3:$DW$401,MATCH(ROWS(E$3:E142),$DW$3:$DW$401,0),COLUMN()),"")),"")</f>
        <v>DEBITI</v>
      </c>
      <c r="F142" s="48" t="str">
        <f ca="1">IFERROR(IF($A$1=2,INDEX($DH$3:$DN$401,MATCH(ROWS(F$3:F142),$DN$3:$DN$401,0),COLUMN()),IF($A$1=1,INDEX($DQ$3:$DX$401,MATCH(ROWS(F$3:F142),$DW$3:$DW$401,0),COLUMN()),"")),"")</f>
        <v>SP AVERE</v>
      </c>
      <c r="G142" s="48" t="str">
        <f t="shared" ca="1" si="294"/>
        <v>SP</v>
      </c>
      <c r="H142" s="48" t="str">
        <f ca="1">IFERROR(IF($A$1=2,INDEX($DH$3:$DO$400,MATCH(ROWS(H$3:H142),$DN$3:$DN$400,0),COLUMN()),IF($A$1=1,INDEX($DQ$3:$DX$400,MATCH(ROWS(H$3:H142),$DW$3:$DW$400,0),COLUMN()),"")),"")</f>
        <v>ppd</v>
      </c>
      <c r="I142" s="48" t="str">
        <f t="shared" ca="1" si="295"/>
        <v/>
      </c>
      <c r="J142" s="48" t="str">
        <f t="shared" ca="1" si="296"/>
        <v/>
      </c>
      <c r="K142" s="48">
        <f t="shared" ca="1" si="297"/>
        <v>0</v>
      </c>
      <c r="L142" s="48">
        <f t="shared" ca="1" si="298"/>
        <v>0</v>
      </c>
      <c r="M142" s="48">
        <f ca="1">IFERROR(IF(IF(MID($A142,3,3)=".00",MID(A142,1,2),"")&lt;&gt;"",MAX($M$2:M141)+1,0),"")</f>
        <v>0</v>
      </c>
      <c r="N142" s="48" t="str">
        <f t="shared" ca="1" si="299"/>
        <v/>
      </c>
      <c r="O142" s="48" t="str">
        <f ca="1">IF(IFERROR(INDEX($N$3:$O$300,MATCH(ROWS($O$3:O142),$M$3:$M$300,0),1),"")&lt;&gt;"",CONCATENATE(INDEX($N$3:$O$300,MATCH(ROWS($O$3:O142),$M$3:$M$300,0),1),".00"),"")</f>
        <v/>
      </c>
      <c r="P142" s="48" t="str">
        <f t="shared" ca="1" si="300"/>
        <v/>
      </c>
      <c r="Q142" s="48">
        <f ca="1">IF(M142&gt;=1,0,MAX($Q$2:Q141)+1)</f>
        <v>125</v>
      </c>
      <c r="U142" s="48" t="str">
        <f ca="1">IFERROR(INDEX(PDC,MATCH(ROWS(U$3:U142),$V$3:$V$400,0),2),"")</f>
        <v>PERSONALE C/LIQUIDAZIONE</v>
      </c>
      <c r="V142" s="48">
        <f ca="1">IF(AND($T$1="VISUALIZZA TUTTI I CONTI",AA142&lt;&gt;""),MAX($V$2:V141)+1,IF(AND($U$2=2,AI142=$T$1),MAX($V$2:V141)+1,IF(AND($U$2=1,$T$1=AF142),MAX($V$2:V141)+1,0)))</f>
        <v>140</v>
      </c>
      <c r="Z142" s="246"/>
      <c r="AA142" s="48" t="str">
        <f t="shared" ca="1" si="301"/>
        <v>15.00</v>
      </c>
      <c r="AB142" s="48" t="str">
        <f ca="1">IFERROR(INDEX($A$3:$G$400,MATCH(ROWS(AB$3:AB142),$Q$3:$Q$400,0),1),"")</f>
        <v>15.21</v>
      </c>
      <c r="AC142" s="48" t="str">
        <f ca="1">IFERROR(INDEX($A$3:$G$400,MATCH(ROWS($AC$3:AC142),$Q$3:$Q$400,0),2),"")</f>
        <v>PERSONALE C/LIQUIDAZIONE</v>
      </c>
      <c r="AD142" s="48" t="str">
        <f ca="1">IFERROR(INDEX($A$3:$G$400,MATCH(ROWS(AD$3:AD142),$Q$3:$Q$400,0),3),"")</f>
        <v>F</v>
      </c>
      <c r="AE142" s="48" t="str">
        <f ca="1">IFERROR(INDEX($A$3:$G$400,MATCH(ROWS(AE$3:AE142),$Q$3:$Q$400,0),4),"")</f>
        <v>A</v>
      </c>
      <c r="AF142" s="48" t="str">
        <f ca="1">IFERROR(INDEX($A$3:$G$400,MATCH(ROWS(AF$3:AF142),$Q$3:$Q$400,0),5),"")</f>
        <v>DEBITI</v>
      </c>
      <c r="AG142" s="48" t="str">
        <f ca="1">IFERROR(INDEX($A$3:$G$400,MATCH(ROWS(AG$3:AG142),$Q$3:$Q$400,0),6),"")</f>
        <v>SP AVERE</v>
      </c>
      <c r="AH142" s="48" t="str">
        <f ca="1">IFERROR(INDEX($A$3:$G$400,MATCH(ROWS(AH$3:AH142),$Q$3:$Q$400,0),7),"")</f>
        <v>SP</v>
      </c>
      <c r="AI142" s="48" t="str">
        <f t="shared" ca="1" si="302"/>
        <v>DEBITI DIVERSI</v>
      </c>
      <c r="AJ142" s="48" t="str">
        <f ca="1">IFERROR(INDEX($A$3:$H$400,MATCH(ROWS(AJ$3:AJ142),$Q$3:$Q$400,0),8),"")</f>
        <v>ppd</v>
      </c>
      <c r="AK142" s="48">
        <f t="shared" ca="1" si="277"/>
        <v>0</v>
      </c>
      <c r="AL142" s="48">
        <f t="shared" ca="1" si="335"/>
        <v>0</v>
      </c>
      <c r="AM142" s="48">
        <f t="shared" ca="1" si="252"/>
        <v>0</v>
      </c>
      <c r="AN142" s="48">
        <f t="shared" ca="1" si="253"/>
        <v>0</v>
      </c>
      <c r="AO142" s="48">
        <f t="shared" ca="1" si="254"/>
        <v>0</v>
      </c>
      <c r="AP142" s="48">
        <f t="shared" ca="1" si="254"/>
        <v>0</v>
      </c>
      <c r="AQ142" s="48" t="str">
        <f t="shared" ca="1" si="278"/>
        <v>PERSONALE C/LIQUIDAZIONE</v>
      </c>
      <c r="AR142" s="48">
        <f t="shared" ca="1" si="279"/>
        <v>0</v>
      </c>
      <c r="AS142" s="48">
        <f t="shared" ca="1" si="280"/>
        <v>0</v>
      </c>
      <c r="AT142" s="48">
        <f t="shared" ca="1" si="303"/>
        <v>0</v>
      </c>
      <c r="AU142" s="48">
        <f t="shared" ca="1" si="304"/>
        <v>0</v>
      </c>
      <c r="AV142" s="48">
        <f ca="1">IF(OR(AT142&gt;0,AU142&gt;0),MAX($AV$2:AV141)+1,0)</f>
        <v>0</v>
      </c>
      <c r="AZ142" s="241" t="str">
        <f t="shared" si="240"/>
        <v>42 V.I.</v>
      </c>
      <c r="BA142" s="48">
        <f t="shared" ca="1" si="330"/>
        <v>0</v>
      </c>
      <c r="BB142" s="48">
        <f t="shared" ca="1" si="247"/>
        <v>0</v>
      </c>
      <c r="BC142" s="48" t="str">
        <f t="shared" ca="1" si="248"/>
        <v/>
      </c>
      <c r="BD142" s="48">
        <f t="shared" ca="1" si="249"/>
        <v>0</v>
      </c>
      <c r="BE142" s="48">
        <f t="shared" ca="1" si="250"/>
        <v>0</v>
      </c>
      <c r="BF142" s="48">
        <v>40</v>
      </c>
      <c r="BG142" s="48">
        <f ca="1">IF(IF(AND(OR(INDEX(PDC,MATCH($AC142,DEN_PDC,0),6)="SP DARE",INDEX(PDC,MATCH($AC142,DEN_PDC,0),6)="SP DARE/AVERE"),SUMIFS(DARE,DEN_G,$AC142)&gt;=SUMIFS(AVERE,DEN_G,$AC142)),SUMIFS(DARE,DEN_G,$AC142)-SUMIFS(AVERE,DEN_G,$AC142),0)&gt;0,MAX($BG$2:BG141)+1,0)</f>
        <v>0</v>
      </c>
      <c r="BH142" s="48">
        <f ca="1">IF(IF(AND(OR(INDEX(PDC,MATCH($AC142,DEN_PDC,0),6)="SP AVERE",INDEX(PDC,MATCH($AC142,DEN_PDC,0),6)="SP DARE/AVERE"),SUMIFS(AVERE,DEN_G,$AC142)&gt;=SUMIFS(DARE,DEN_G,$AC142)),SUMIFS(AVERE,DEN_G,$AC142)-SUMIFS(DARE,DEN_G,$AC142),0)&gt;0,MAX(BH$2:BH141)+1,0)</f>
        <v>0</v>
      </c>
      <c r="BI142" s="48">
        <f ca="1">IF(IF(AND(OR(INDEX(PDC,MATCH($AC142,DEN_PDC,0),6)="SE DARE",INDEX(PDC,MATCH($AC142,DEN_PDC,0),6)="SE DARE/AVERE"),SUMIFS(DARE,DEN_G,$AC142)&gt;=SUMIFS(AVERE,DEN_G,$AC142)),SUMIFS(DARE,DEN_G,$AC142)-SUMIFS(AVERE,DEN_G,$AC142),0)&gt;0,MAX(BI$2:BI141)+1,0)</f>
        <v>0</v>
      </c>
      <c r="BJ142" s="48">
        <f ca="1">IF(IF(AND(OR(INDEX(PDC,MATCH($AC142,DEN_PDC,0),6)="SE AVERE",INDEX(PDC,MATCH($AC142,DEN_PDC,0),6)="SE DARE/AVERE"),SUMIFS(AVERE,DEN_G,$AC142)&gt;=SUMIFS(DARE,DEN_G,$AC142)),SUMIFS(AVERE,DEN_G,$AC142)-SUMIFS(DARE,DEN_G,$AC142),0)&gt;0,MAX(BJ$2:BJ141)+1,0)</f>
        <v>0</v>
      </c>
      <c r="BK142" s="48" t="str">
        <f ca="1">IF(AND(AND($DY$2=0,$DY$1=0),$I$1=2,ROW()&gt;$BG$1+2,ROW()&lt;=$BG$1+4),"………………..",IF(AND(OR($DY$2&gt;0,$DY$1&gt;0),$I$1=2,ROW()&gt;$BG$1+2,ROW()&lt;=$BG$1+4),"………………..",IFERROR(INDEX($AC$3:$AC$398,MATCH(ROWS(BK$3:BK142),BG$3:BG$398,0),1),"")))</f>
        <v/>
      </c>
      <c r="BL142" s="48">
        <f t="shared" ca="1" si="281"/>
        <v>0</v>
      </c>
      <c r="BM142" s="48" t="str">
        <f ca="1">IF(AND(OR($DY$2=0,$DY$1=0),$I$1=2,ROW()&gt;$BH$1+2,ROW()&lt;=$BH$1+4),"………………..",IF(AND(OR($DY$2&gt;0,$DY$1&gt;0),$I$1=2,ROW()&gt;$BH$1+2,ROW()&lt;=$BH$1+4),"………………..",IFERROR(INDEX($AC$3:$AC$400,MATCH(ROWS(BM$3:BM142),BH$3:BH$400,0),1),"")))</f>
        <v/>
      </c>
      <c r="BN142" s="48">
        <f t="shared" ca="1" si="282"/>
        <v>0</v>
      </c>
      <c r="BO142" s="48" t="str">
        <f ca="1">IF(AND(OR($DY$2=0,$DY$1=0),$I$1=2,ROW()&gt;$BI$1+2,ROW()&lt;=$BI$1+4),"………………..",IF(AND(OR($DY$2&gt;0,$DY$1&gt;0),$I$1=2,ROW()&gt;$BI$1+2,ROW()&lt;=$BI$1+4),"………………..",IFERROR(INDEX($AC$3:$AC$400,MATCH(ROWS(BO$3:BO142),BI$3:BI$400,0),1),"")))</f>
        <v/>
      </c>
      <c r="BP142" s="48">
        <f t="shared" ca="1" si="283"/>
        <v>0</v>
      </c>
      <c r="BQ142" s="48" t="str">
        <f ca="1">IF(AND(OR($DY$2=0,$DY$1=0),$I$1=2,ROW()&gt;$BJ$1+2,ROW()&lt;=$BJ$1+4),"………………..",IF(AND(OR($DY$2&gt;0,$DY$1&gt;0),$I$1=2,ROW()&gt;$BJ$1+2,ROW()&lt;=$BJ$1+4),"………………..",IFERROR(INDEX($AC$3:$AC$400,MATCH(ROWS(BQ$3:BQ142),BJ$3:BJ$400,0),1),"")))</f>
        <v/>
      </c>
      <c r="BR142" s="48">
        <f t="shared" ca="1" si="284"/>
        <v>0</v>
      </c>
      <c r="BS142" s="48">
        <f ca="1">IF(IF(AND(OR(INDEX(PDC,MATCH($AC142,DEN_PDC,0),4)="D",INDEX(PDC,MATCH($AC142,DEN_PDC,0),4)="D/A"),SUMIFS(DARE,DEN_G,$AC142)&gt;=SUMIFS(AVERE,DEN_G,$AC142)),SUMIFS(DARE,DEN_G,$AC142),IF(AND(OR(INDEX(PDC,MATCH($AC142,DEN_PDC,0),4)="A",INDEX(PDC,MATCH($AC142,DEN_PDC,0),4)="D/A"),SUMIFS(AVERE,DEN_G,$AC142)&gt;=SUMIFS(DARE,DEN_G,$AC142)),SUMIFS(AVERE,DEN_G,$AC142),))&gt;0,MAX($BS$2:BS141)+1,0)</f>
        <v>0</v>
      </c>
      <c r="BT142" s="48" t="str">
        <f ca="1">IF($CO$1=0,"",IF(AND($I$1=2,ROW()&gt;$BR$1,ROW()&lt;=$BS$1)," …………….",IF(AND($E$1=1,$BX$1=1,$I$1=2,ROW()=$BQ$1),"TOTALI",IFERROR(INDEX(PDC,MATCH(ROWS(BT$3:BT142),BS$3:BS539,0),2),""))))</f>
        <v/>
      </c>
      <c r="BU142" s="48">
        <f t="shared" ca="1" si="285"/>
        <v>0</v>
      </c>
      <c r="BV142" s="48">
        <f t="shared" ca="1" si="286"/>
        <v>0</v>
      </c>
      <c r="BW142" s="48">
        <f t="shared" ca="1" si="287"/>
        <v>0</v>
      </c>
      <c r="BX142" s="48">
        <f t="shared" ca="1" si="288"/>
        <v>0</v>
      </c>
      <c r="BY142" s="48">
        <f ca="1">IF(OR(BW142&gt;0,BX142&gt;0),MAX($BY$2:BY141)+1,0)</f>
        <v>0</v>
      </c>
      <c r="BZ142" s="48" t="str">
        <f ca="1">IFERROR(INDEX($BT$3:$BY$400,MATCH(ROWS(BZ$3:BZ142),$BY$3:$BY$400,0),1),"")</f>
        <v/>
      </c>
      <c r="CA142" s="48" t="str">
        <f ca="1">IFERROR(INDEX($BT$3:$BY$400,MATCH(ROWS(CA$3:CA142),$BY$3:$BY$400,0),4),"")</f>
        <v/>
      </c>
      <c r="CB142" s="48" t="str">
        <f ca="1">IFERROR(INDEX($BT$3:$BY$400,MATCH(ROWS(CB$3:CB142),$BY$3:$BY$400,0),5),"")</f>
        <v/>
      </c>
      <c r="CC142" s="48" t="str">
        <f t="shared" ca="1" si="289"/>
        <v/>
      </c>
      <c r="CD142" s="48">
        <f ca="1">IF(AND($BF$9=1,CE142&lt;&gt;0),MAX($CD$104:CD141)+1,0)</f>
        <v>0</v>
      </c>
      <c r="CE142" s="48">
        <f ca="1">IF(ROUND(SUMIFS(COPIA!$CB$3:$CB$400,COPIA!$CC$3:$CC$400,CF142)-SUMIFS(COPIA!$CA$3:$CA$400,COPIA!$CC$3:$CC$400,CF142),0)&lt;0,0,ROUND(SUMIFS(COPIA!$CB$3:$CB$400,COPIA!$CC$3:$CC$400,CF142)-SUMIFS(COPIA!$CA$3:$CA$400,COPIA!$CC$3:$CC$400,CF142),0))</f>
        <v>0</v>
      </c>
      <c r="CF142" s="48" t="s">
        <v>669</v>
      </c>
      <c r="CG142" s="242" t="s">
        <v>566</v>
      </c>
      <c r="CH142" s="48">
        <f t="shared" ca="1" si="259"/>
        <v>0</v>
      </c>
      <c r="CJ142" s="242">
        <f ca="1">SUMIFS(COPIA!$CB$3:$CB$400,COPIA!$CC$3:$CC$400,CF142)-SUMIFS(COPIA!$CA$3:$CA$400,COPIA!$CC$3:$CC$400,CF142)</f>
        <v>0</v>
      </c>
      <c r="CK142" s="48">
        <f ca="1">IF($CG$2=FALSE,0,IF(AND($BF$9=1,CJ142&lt;&gt;0),MAX($CK$21:CK141)+1,0))</f>
        <v>0</v>
      </c>
      <c r="CL142" s="48" t="s">
        <v>794</v>
      </c>
      <c r="CM142" s="242" t="str">
        <f t="shared" ca="1" si="305"/>
        <v/>
      </c>
      <c r="CN142" s="243">
        <f t="shared" ca="1" si="306"/>
        <v>0</v>
      </c>
      <c r="CO142" s="48" t="str">
        <f t="shared" ca="1" si="307"/>
        <v/>
      </c>
      <c r="CQ142" s="242"/>
      <c r="CR142" s="242"/>
      <c r="CU142" s="48">
        <f ca="1">IF(SUMIFS(AVERE,DEN_G,AC142,AVERE,"&gt;"&amp;0)+SUMIFS(DARE,DEN_G,AC142,DARE,"&gt;"&amp;0)&gt;0,MAX($CU$2:CU141)+1,0)</f>
        <v>0</v>
      </c>
      <c r="CV142" s="48" t="str">
        <f ca="1">IF(IFERROR(INDEX(PDC,MATCH(ROWS($CV$3:CV142),$CU$3:$CU$400,0),2),"")="CONTO DI RISULTATO ECONOMICO","",IFERROR(INDEX(PDC,MATCH(ROWS($CV$3:CV142),$CU$3:$CU$400,0),2),""))</f>
        <v/>
      </c>
      <c r="CW142" s="48">
        <f ca="1">IFERROR(IF(CV142&lt;&gt;"",MAX($CW$2:CW141)+1,0),0)</f>
        <v>0</v>
      </c>
      <c r="CX142" s="48">
        <f t="shared" ca="1" si="333"/>
        <v>11</v>
      </c>
      <c r="CY142" s="48" t="str">
        <f t="shared" ca="1" si="332"/>
        <v>MASTRO</v>
      </c>
      <c r="CZ142" s="48" t="e">
        <f t="shared" ca="1" si="336"/>
        <v>#N/A</v>
      </c>
      <c r="DA142" s="48" t="str">
        <f t="shared" ca="1" si="340"/>
        <v/>
      </c>
      <c r="DB142" s="48" t="str">
        <f t="shared" ca="1" si="212"/>
        <v/>
      </c>
      <c r="DC142" s="48" t="str">
        <f t="shared" ca="1" si="337"/>
        <v/>
      </c>
      <c r="DD142" s="48" t="str">
        <f t="shared" ca="1" si="338"/>
        <v/>
      </c>
      <c r="DE142" s="48" t="str">
        <f t="shared" ca="1" si="339"/>
        <v/>
      </c>
      <c r="DF142" s="48">
        <f ca="1">IF(AND(CX142=$DF$1,CX142&lt;&gt;""),0,IF(AND(DB142&lt;&gt;"",OR(DB141&lt;&gt;"",DB143&lt;&gt;"")),MAX($DF$2:DF141)+1,0))</f>
        <v>0</v>
      </c>
      <c r="DH142" s="244" t="s">
        <v>106</v>
      </c>
      <c r="DI142" s="48" t="s">
        <v>283</v>
      </c>
      <c r="DJ142" s="48" t="s">
        <v>312</v>
      </c>
      <c r="DK142" s="48" t="s">
        <v>298</v>
      </c>
      <c r="DL142" s="48" t="s">
        <v>272</v>
      </c>
      <c r="DM142" s="48" t="s">
        <v>299</v>
      </c>
      <c r="DN142" s="48">
        <f ca="1">IF(DI142&lt;&gt;"",MAX($DN$2:DN141)+1,0)</f>
        <v>120</v>
      </c>
      <c r="DO142" s="48" t="str">
        <f ca="1">IF($BF$9=1,"ppb2","ppb")</f>
        <v>ppb</v>
      </c>
      <c r="DW142" s="48">
        <f>IF(DR142&lt;&gt;"",MAX($DW$2:DW141)+1,0)</f>
        <v>0</v>
      </c>
      <c r="DY142" s="48" t="str">
        <f t="shared" ca="1" si="291"/>
        <v/>
      </c>
      <c r="DZ142" s="48" t="str">
        <f t="shared" ca="1" si="309"/>
        <v/>
      </c>
      <c r="EA142" s="48" t="str">
        <f t="shared" ca="1" si="310"/>
        <v/>
      </c>
      <c r="EB142" s="48">
        <f t="shared" ca="1" si="311"/>
        <v>0</v>
      </c>
      <c r="EC142" s="48">
        <f t="shared" ca="1" si="312"/>
        <v>0</v>
      </c>
      <c r="ED142" s="48" t="str">
        <f t="shared" ca="1" si="313"/>
        <v/>
      </c>
      <c r="EE142" s="48">
        <f t="shared" ca="1" si="314"/>
        <v>0</v>
      </c>
      <c r="EF142" s="48" t="str">
        <f t="shared" ca="1" si="315"/>
        <v/>
      </c>
      <c r="EG142" s="48">
        <f t="shared" ca="1" si="316"/>
        <v>0</v>
      </c>
      <c r="EH142" s="48" t="str">
        <f t="shared" ca="1" si="317"/>
        <v/>
      </c>
      <c r="EI142" s="48">
        <f t="shared" ca="1" si="318"/>
        <v>0</v>
      </c>
      <c r="EJ142" s="48" t="str">
        <f t="shared" ca="1" si="319"/>
        <v/>
      </c>
      <c r="EK142" s="48">
        <f t="shared" ca="1" si="320"/>
        <v>0</v>
      </c>
      <c r="EL142" s="48">
        <f t="shared" ca="1" si="292"/>
        <v>0</v>
      </c>
      <c r="EM142" s="48">
        <f ca="1">IF(EL142&gt;=0,0,MAX($EM$2:EM141)+1)</f>
        <v>0</v>
      </c>
      <c r="EN142" s="48" t="str">
        <f t="shared" ca="1" si="321"/>
        <v/>
      </c>
      <c r="EO142" s="48" t="str">
        <f ca="1">IFERROR(INDEX($EM$3:$EN$400,MATCH(ROWS($EO$3:EO142),$EM$3:$EM$400,0),2),"")</f>
        <v/>
      </c>
      <c r="EP142" s="48">
        <f>ROW()</f>
        <v>142</v>
      </c>
      <c r="EQ142" s="48">
        <f t="shared" ca="1" si="293"/>
        <v>0</v>
      </c>
      <c r="ER142" s="48">
        <f ca="1">IF(ISNA(EQ142)=TRUE,MAX($ER$2:ER141)+1,0)</f>
        <v>0</v>
      </c>
      <c r="ES142" s="48" t="str">
        <f t="shared" ca="1" si="322"/>
        <v/>
      </c>
      <c r="ET142" s="48" t="str">
        <f ca="1">IFERROR(INDEX($ER$3:$ES$400,MATCH(ROWS($ET$3:ET142),$ER$3:$ER$400,0),2),"")</f>
        <v/>
      </c>
      <c r="EV142" s="48">
        <f ca="1">IFERROR(INDEX(LIBRO_GIORNALE!$O$11:$P$408,MATCH(ROWS($EV$2:EV141),LIBRO_GIORNALE!$P$11:$P$408,0),1),0)</f>
        <v>0</v>
      </c>
      <c r="EW142" s="48" t="str">
        <f t="shared" ca="1" si="323"/>
        <v>0</v>
      </c>
      <c r="EX142" s="48">
        <f t="shared" ca="1" si="324"/>
        <v>0</v>
      </c>
      <c r="EY142" s="48">
        <f ca="1">IF(EX142&gt;0,MAX($EY$2:EY141)+1,0)</f>
        <v>0</v>
      </c>
      <c r="EZ142" s="48">
        <f ca="1">IFERROR(INDEX($EX$3:$EX$400,MATCH(ROWS($EZ$3:EZ142),$EY$3:$EY$400,0),1),0)</f>
        <v>0</v>
      </c>
      <c r="FA142" s="48">
        <f ca="1">IF(EZ142&gt;0,0,MAX($FA$2:FA141)+1)</f>
        <v>140</v>
      </c>
      <c r="FB142" s="48">
        <f t="shared" ca="1" si="325"/>
        <v>0</v>
      </c>
      <c r="FC142" s="48">
        <f t="shared" ca="1" si="326"/>
        <v>140</v>
      </c>
      <c r="FD142" s="48">
        <f t="shared" ca="1" si="327"/>
        <v>140</v>
      </c>
      <c r="FE142" s="48">
        <f ca="1">IF(FD142=0,0,MAX($FE$2:FE141)+1)</f>
        <v>140</v>
      </c>
      <c r="FF142" s="48">
        <f ca="1">IFERROR(INDEX($FD$3:$FE$400,MATCH(ROWS($FF$3:FF142),$FE$3:$FE$400,0),1),"")</f>
        <v>140</v>
      </c>
      <c r="FG142" s="48">
        <f t="shared" ca="1" si="255"/>
        <v>0</v>
      </c>
      <c r="FH142" s="48">
        <f t="shared" ca="1" si="328"/>
        <v>0</v>
      </c>
      <c r="FI142" s="48">
        <f ca="1">IF(FH142&lt;&gt;0,MAX($FI$2:FI141)+1,0)</f>
        <v>0</v>
      </c>
      <c r="FJ142" s="48" t="str">
        <f ca="1">IFERROR(INDEX($FH$3:$FI$400,MATCH(ROWS($FJ$3:FJ142),$FI$3:$FI$400,0),1),"")</f>
        <v/>
      </c>
      <c r="FK142" s="48">
        <f ca="1">IF(ABS(SUMIFS(DARE,DEN_G,"="&amp;FJ142,DATA,"&lt;="&amp;FINE_AC,DATA,"&gt;="&amp;INIZIO_A_PC)-SUMIFS(AVERE,DEN_G,"="&amp;FJ142,DATA,"&lt;="&amp;FINE_AC,DATA,"&gt;="&amp;INIZIO_A_PC))&gt;0,MAX($FK$2:FK141)+1,0)</f>
        <v>0</v>
      </c>
      <c r="FL142" s="48" t="str">
        <f ca="1">IF(AND(ROW()-2&lt;&gt;1,ROW()-2&lt;=$FK$1),CONCATENATE(" - ",IFERROR(INDEX($FJ$3:$FK$400,MATCH(ROWS($FL$3:FL142),$FK$3:$FK$400,0),1),"")),IFERROR(INDEX($FJ$3:$FK$400,MATCH(ROWS($FL$3:FL142),$FK$3:$FK$400,0),1),""))</f>
        <v/>
      </c>
      <c r="FM142" s="48">
        <f ca="1">IF(OR(B142="IVA ns/credito",B142="IVA NS/DEBITO",B142="IVA C/ACCONTO",B142="IMPOSTE C/ACCONTO",B142="CREDITI PER RITENUTE SUBITE",B142="CREDITI D'IMPOSTA"),MAX($FM$2:FM141)+1,0)</f>
        <v>0</v>
      </c>
      <c r="FN142" s="48" t="str">
        <f t="shared" ca="1" si="329"/>
        <v/>
      </c>
      <c r="FO142" s="48" t="str">
        <f ca="1">IFERROR(INDEX($FM$3:$FN$400,MATCH(ROWS($FO$3:FO142),$FM$3:$FM$400,0),2),"")</f>
        <v/>
      </c>
      <c r="FP142" s="48">
        <f ca="1">IF(ABS(SUMIFS(DARE,DEN_G,"="&amp;FO142,DATA,"&lt;="&amp;FINE_AC,DATA,"&gt;="&amp;INIZIO_A_PC)-SUMIFS(AVERE,DEN_G,"="&amp;FO142,DATA,"&lt;="&amp;FINE_AC,DATA,"&gt;="&amp;INIZIO_A_PC))&gt;0,MAX($FP$2:FP141)+1,0)</f>
        <v>0</v>
      </c>
      <c r="FQ142" s="48" t="str">
        <f ca="1">IF(AND(ROW()-2&lt;&gt;1,ROW()-2&lt;=$FP$1),CONCATENATE(" - ",IFERROR(INDEX($FO$3:$FP$400,MATCH(ROWS($FQ$3:FQ142),$FP$3:$FP$400,0),1),"")),IFERROR(INDEX($FO$3:$FP$400,MATCH(ROWS($FQ$3:FQ142),$FP$3:$FP$400,0),1),""))</f>
        <v/>
      </c>
    </row>
    <row r="143" spans="1:173" x14ac:dyDescent="0.3">
      <c r="A143" s="48" t="str">
        <f ca="1">IFERROR(IF($A$1=2,INDEX($DH$3:$DN$401,MATCH(ROWS(A$3:A143),$DN$3:$DN$401,0),COLUMN()),IF($A$1=1,INDEX($DQ$3:$DW$401,MATCH(ROWS(A$3:A143),$DW$3:$DW$401,0),COLUMN()),"")),"")</f>
        <v>14.02</v>
      </c>
      <c r="B143" s="48" t="str">
        <f ca="1">IFERROR(IF($A$1=2,INDEX($DH$3:$DN$401,MATCH(ROWS(B$3:B143),$DN$3:$DN$401,0),COLUMN()),IF($A$1=1,INDEX($DQ$3:$DW$400,MATCH(ROWS(B$3:B143),$DW$3:$DW$401,0),COLUMN()),"")),"")</f>
        <v>FATTURE DA RICEVERE</v>
      </c>
      <c r="C143" s="48" t="str">
        <f ca="1">IFERROR(IF($A$1=2,INDEX($DH$3:$DN$401,MATCH(ROWS(C$3:C143),$DN$3:$DN$401,0),COLUMN()),IF($A$1=1,INDEX($DQ$3:$DW$401,MATCH(ROWS(C$3:C143),$DW$3:$DW$401,0),COLUMN()),"")),"")</f>
        <v>F</v>
      </c>
      <c r="D143" s="48" t="str">
        <f ca="1">IFERROR(IF($A$1=2,INDEX($DH$3:$DN$401,MATCH(ROWS(D$3:D143),$DN$3:$DN$401,0),COLUMN()),IF($A$1=1,INDEX($DQ$3:$DW$401,MATCH(ROWS(D$3:D143),$DW$3:$DW$401,0),COLUMN()),"")),"")</f>
        <v>A</v>
      </c>
      <c r="E143" s="48" t="str">
        <f ca="1">IFERROR(IF($A$1=2,INDEX($DH$3:$DN$401,MATCH(ROWS(E$3:E143),$DN$3:$DN$401,0),COLUMN()),IF($A$1=1,INDEX($DQ$3:$DW$401,MATCH(ROWS(E$3:E143),$DW$3:$DW$401,0),COLUMN()),"")),"")</f>
        <v>DEBITI</v>
      </c>
      <c r="F143" s="48" t="str">
        <f ca="1">IFERROR(IF($A$1=2,INDEX($DH$3:$DN$401,MATCH(ROWS(F$3:F143),$DN$3:$DN$401,0),COLUMN()),IF($A$1=1,INDEX($DQ$3:$DX$401,MATCH(ROWS(F$3:F143),$DW$3:$DW$401,0),COLUMN()),"")),"")</f>
        <v>SP AVERE</v>
      </c>
      <c r="G143" s="48" t="str">
        <f t="shared" ca="1" si="294"/>
        <v>SP</v>
      </c>
      <c r="H143" s="48" t="str">
        <f ca="1">IFERROR(IF($A$1=2,INDEX($DH$3:$DO$400,MATCH(ROWS(H$3:H143),$DN$3:$DN$400,0),COLUMN()),IF($A$1=1,INDEX($DQ$3:$DX$400,MATCH(ROWS(H$3:H143),$DW$3:$DW$400,0),COLUMN()),"")),"")</f>
        <v>ppd</v>
      </c>
      <c r="I143" s="48" t="str">
        <f t="shared" ca="1" si="295"/>
        <v/>
      </c>
      <c r="J143" s="48" t="str">
        <f t="shared" ca="1" si="296"/>
        <v/>
      </c>
      <c r="K143" s="48">
        <f t="shared" ca="1" si="297"/>
        <v>0</v>
      </c>
      <c r="L143" s="48">
        <f t="shared" ca="1" si="298"/>
        <v>0</v>
      </c>
      <c r="M143" s="48">
        <f ca="1">IFERROR(IF(IF(MID($A143,3,3)=".00",MID(A143,1,2),"")&lt;&gt;"",MAX($M$2:M142)+1,0),"")</f>
        <v>0</v>
      </c>
      <c r="N143" s="48" t="str">
        <f t="shared" ca="1" si="299"/>
        <v/>
      </c>
      <c r="O143" s="48" t="str">
        <f ca="1">IF(IFERROR(INDEX($N$3:$O$300,MATCH(ROWS($O$3:O143),$M$3:$M$300,0),1),"")&lt;&gt;"",CONCATENATE(INDEX($N$3:$O$300,MATCH(ROWS($O$3:O143),$M$3:$M$300,0),1),".00"),"")</f>
        <v/>
      </c>
      <c r="P143" s="48" t="str">
        <f t="shared" ca="1" si="300"/>
        <v/>
      </c>
      <c r="Q143" s="48">
        <f ca="1">IF(M143&gt;=1,0,MAX($Q$2:Q142)+1)</f>
        <v>126</v>
      </c>
      <c r="U143" s="48" t="str">
        <f ca="1">IFERROR(INDEX(PDC,MATCH(ROWS(U$3:U143),$V$3:$V$400,0),2),"")</f>
        <v>DEBITI V/FONDI PENSIONE</v>
      </c>
      <c r="V143" s="48">
        <f ca="1">IF(AND($T$1="VISUALIZZA TUTTI I CONTI",AA143&lt;&gt;""),MAX($V$2:V142)+1,IF(AND($U$2=2,AI143=$T$1),MAX($V$2:V142)+1,IF(AND($U$2=1,$T$1=AF143),MAX($V$2:V142)+1,0)))</f>
        <v>141</v>
      </c>
      <c r="Z143" s="246"/>
      <c r="AA143" s="48" t="str">
        <f t="shared" ca="1" si="301"/>
        <v>15.00</v>
      </c>
      <c r="AB143" s="48" t="str">
        <f ca="1">IFERROR(INDEX($A$3:$G$400,MATCH(ROWS(AB$3:AB143),$Q$3:$Q$400,0),1),"")</f>
        <v>15.22</v>
      </c>
      <c r="AC143" s="48" t="str">
        <f ca="1">IFERROR(INDEX($A$3:$G$400,MATCH(ROWS($AC$3:AC143),$Q$3:$Q$400,0),2),"")</f>
        <v>DEBITI V/FONDI PENSIONE</v>
      </c>
      <c r="AD143" s="48" t="str">
        <f ca="1">IFERROR(INDEX($A$3:$G$400,MATCH(ROWS(AD$3:AD143),$Q$3:$Q$400,0),3),"")</f>
        <v>F</v>
      </c>
      <c r="AE143" s="48" t="str">
        <f ca="1">IFERROR(INDEX($A$3:$G$400,MATCH(ROWS(AE$3:AE143),$Q$3:$Q$400,0),4),"")</f>
        <v>A</v>
      </c>
      <c r="AF143" s="48" t="str">
        <f ca="1">IFERROR(INDEX($A$3:$G$400,MATCH(ROWS(AF$3:AF143),$Q$3:$Q$400,0),5),"")</f>
        <v>DEBITI</v>
      </c>
      <c r="AG143" s="48" t="str">
        <f ca="1">IFERROR(INDEX($A$3:$G$400,MATCH(ROWS(AG$3:AG143),$Q$3:$Q$400,0),6),"")</f>
        <v>SP AVERE</v>
      </c>
      <c r="AH143" s="48" t="str">
        <f ca="1">IFERROR(INDEX($A$3:$G$400,MATCH(ROWS(AH$3:AH143),$Q$3:$Q$400,0),7),"")</f>
        <v>SP</v>
      </c>
      <c r="AI143" s="48" t="str">
        <f t="shared" ca="1" si="302"/>
        <v>DEBITI DIVERSI</v>
      </c>
      <c r="AJ143" s="48" t="str">
        <f ca="1">IFERROR(INDEX($A$3:$H$400,MATCH(ROWS(AJ$3:AJ143),$Q$3:$Q$400,0),8),"")</f>
        <v>ppd</v>
      </c>
      <c r="AK143" s="48">
        <f t="shared" ca="1" si="277"/>
        <v>0</v>
      </c>
      <c r="AL143" s="48">
        <f t="shared" ca="1" si="335"/>
        <v>0</v>
      </c>
      <c r="AM143" s="48">
        <f t="shared" ca="1" si="252"/>
        <v>0</v>
      </c>
      <c r="AN143" s="48">
        <f t="shared" ca="1" si="253"/>
        <v>0</v>
      </c>
      <c r="AO143" s="48">
        <f t="shared" ca="1" si="254"/>
        <v>0</v>
      </c>
      <c r="AP143" s="48">
        <f t="shared" ca="1" si="254"/>
        <v>0</v>
      </c>
      <c r="AQ143" s="48" t="str">
        <f t="shared" ca="1" si="278"/>
        <v>DEBITI V/FONDI PENSIONE</v>
      </c>
      <c r="AR143" s="48">
        <f t="shared" ca="1" si="279"/>
        <v>0</v>
      </c>
      <c r="AS143" s="48">
        <f t="shared" ca="1" si="280"/>
        <v>0</v>
      </c>
      <c r="AT143" s="48">
        <f t="shared" ca="1" si="303"/>
        <v>0</v>
      </c>
      <c r="AU143" s="48">
        <f t="shared" ca="1" si="304"/>
        <v>0</v>
      </c>
      <c r="AV143" s="48">
        <f ca="1">IF(OR(AT143&gt;0,AU143&gt;0),MAX($AV$2:AV142)+1,0)</f>
        <v>0</v>
      </c>
      <c r="AZ143" s="241" t="str">
        <f t="shared" si="240"/>
        <v>43 V.I.</v>
      </c>
      <c r="BA143" s="48">
        <f t="shared" ca="1" si="330"/>
        <v>0</v>
      </c>
      <c r="BB143" s="48">
        <f t="shared" ca="1" si="247"/>
        <v>0</v>
      </c>
      <c r="BC143" s="48" t="str">
        <f t="shared" ca="1" si="248"/>
        <v/>
      </c>
      <c r="BD143" s="48">
        <f t="shared" ca="1" si="249"/>
        <v>0</v>
      </c>
      <c r="BE143" s="48">
        <f t="shared" ca="1" si="250"/>
        <v>0</v>
      </c>
      <c r="BG143" s="48">
        <f ca="1">IF(IF(AND(OR(INDEX(PDC,MATCH($AC143,DEN_PDC,0),6)="SP DARE",INDEX(PDC,MATCH($AC143,DEN_PDC,0),6)="SP DARE/AVERE"),SUMIFS(DARE,DEN_G,$AC143)&gt;=SUMIFS(AVERE,DEN_G,$AC143)),SUMIFS(DARE,DEN_G,$AC143)-SUMIFS(AVERE,DEN_G,$AC143),0)&gt;0,MAX($BG$2:BG142)+1,0)</f>
        <v>0</v>
      </c>
      <c r="BH143" s="48">
        <f ca="1">IF(IF(AND(OR(INDEX(PDC,MATCH($AC143,DEN_PDC,0),6)="SP AVERE",INDEX(PDC,MATCH($AC143,DEN_PDC,0),6)="SP DARE/AVERE"),SUMIFS(AVERE,DEN_G,$AC143)&gt;=SUMIFS(DARE,DEN_G,$AC143)),SUMIFS(AVERE,DEN_G,$AC143)-SUMIFS(DARE,DEN_G,$AC143),0)&gt;0,MAX(BH$2:BH142)+1,0)</f>
        <v>0</v>
      </c>
      <c r="BI143" s="48">
        <f ca="1">IF(IF(AND(OR(INDEX(PDC,MATCH($AC143,DEN_PDC,0),6)="SE DARE",INDEX(PDC,MATCH($AC143,DEN_PDC,0),6)="SE DARE/AVERE"),SUMIFS(DARE,DEN_G,$AC143)&gt;=SUMIFS(AVERE,DEN_G,$AC143)),SUMIFS(DARE,DEN_G,$AC143)-SUMIFS(AVERE,DEN_G,$AC143),0)&gt;0,MAX(BI$2:BI142)+1,0)</f>
        <v>0</v>
      </c>
      <c r="BJ143" s="48">
        <f ca="1">IF(IF(AND(OR(INDEX(PDC,MATCH($AC143,DEN_PDC,0),6)="SE AVERE",INDEX(PDC,MATCH($AC143,DEN_PDC,0),6)="SE DARE/AVERE"),SUMIFS(AVERE,DEN_G,$AC143)&gt;=SUMIFS(DARE,DEN_G,$AC143)),SUMIFS(AVERE,DEN_G,$AC143)-SUMIFS(DARE,DEN_G,$AC143),0)&gt;0,MAX(BJ$2:BJ142)+1,0)</f>
        <v>0</v>
      </c>
      <c r="BK143" s="48" t="str">
        <f ca="1">IF(AND(AND($DY$2=0,$DY$1=0),$I$1=2,ROW()&gt;$BG$1+2,ROW()&lt;=$BG$1+4),"………………..",IF(AND(OR($DY$2&gt;0,$DY$1&gt;0),$I$1=2,ROW()&gt;$BG$1+2,ROW()&lt;=$BG$1+4),"………………..",IFERROR(INDEX($AC$3:$AC$398,MATCH(ROWS(BK$3:BK143),BG$3:BG$398,0),1),"")))</f>
        <v/>
      </c>
      <c r="BL143" s="48">
        <f t="shared" ca="1" si="281"/>
        <v>0</v>
      </c>
      <c r="BM143" s="48" t="str">
        <f ca="1">IF(AND(OR($DY$2=0,$DY$1=0),$I$1=2,ROW()&gt;$BH$1+2,ROW()&lt;=$BH$1+4),"………………..",IF(AND(OR($DY$2&gt;0,$DY$1&gt;0),$I$1=2,ROW()&gt;$BH$1+2,ROW()&lt;=$BH$1+4),"………………..",IFERROR(INDEX($AC$3:$AC$400,MATCH(ROWS(BM$3:BM143),BH$3:BH$400,0),1),"")))</f>
        <v/>
      </c>
      <c r="BN143" s="48">
        <f t="shared" ca="1" si="282"/>
        <v>0</v>
      </c>
      <c r="BO143" s="48" t="str">
        <f ca="1">IF(AND(OR($DY$2=0,$DY$1=0),$I$1=2,ROW()&gt;$BI$1+2,ROW()&lt;=$BI$1+4),"………………..",IF(AND(OR($DY$2&gt;0,$DY$1&gt;0),$I$1=2,ROW()&gt;$BI$1+2,ROW()&lt;=$BI$1+4),"………………..",IFERROR(INDEX($AC$3:$AC$400,MATCH(ROWS(BO$3:BO143),BI$3:BI$400,0),1),"")))</f>
        <v/>
      </c>
      <c r="BP143" s="48">
        <f t="shared" ca="1" si="283"/>
        <v>0</v>
      </c>
      <c r="BQ143" s="48" t="str">
        <f ca="1">IF(AND(OR($DY$2=0,$DY$1=0),$I$1=2,ROW()&gt;$BJ$1+2,ROW()&lt;=$BJ$1+4),"………………..",IF(AND(OR($DY$2&gt;0,$DY$1&gt;0),$I$1=2,ROW()&gt;$BJ$1+2,ROW()&lt;=$BJ$1+4),"………………..",IFERROR(INDEX($AC$3:$AC$400,MATCH(ROWS(BQ$3:BQ143),BJ$3:BJ$400,0),1),"")))</f>
        <v/>
      </c>
      <c r="BR143" s="48">
        <f t="shared" ca="1" si="284"/>
        <v>0</v>
      </c>
      <c r="BS143" s="48">
        <f ca="1">IF(IF(AND(OR(INDEX(PDC,MATCH($AC143,DEN_PDC,0),4)="D",INDEX(PDC,MATCH($AC143,DEN_PDC,0),4)="D/A"),SUMIFS(DARE,DEN_G,$AC143)&gt;=SUMIFS(AVERE,DEN_G,$AC143)),SUMIFS(DARE,DEN_G,$AC143),IF(AND(OR(INDEX(PDC,MATCH($AC143,DEN_PDC,0),4)="A",INDEX(PDC,MATCH($AC143,DEN_PDC,0),4)="D/A"),SUMIFS(AVERE,DEN_G,$AC143)&gt;=SUMIFS(DARE,DEN_G,$AC143)),SUMIFS(AVERE,DEN_G,$AC143),))&gt;0,MAX($BS$2:BS142)+1,0)</f>
        <v>0</v>
      </c>
      <c r="BT143" s="48" t="str">
        <f ca="1">IF($CO$1=0,"",IF(AND($I$1=2,ROW()&gt;$BR$1,ROW()&lt;=$BS$1)," …………….",IF(AND($E$1=1,$BX$1=1,$I$1=2,ROW()=$BQ$1),"TOTALI",IFERROR(INDEX(PDC,MATCH(ROWS(BT$3:BT143),BS$3:BS540,0),2),""))))</f>
        <v/>
      </c>
      <c r="BU143" s="48">
        <f t="shared" ca="1" si="285"/>
        <v>0</v>
      </c>
      <c r="BV143" s="48">
        <f t="shared" ca="1" si="286"/>
        <v>0</v>
      </c>
      <c r="BW143" s="48">
        <f t="shared" ca="1" si="287"/>
        <v>0</v>
      </c>
      <c r="BX143" s="48">
        <f t="shared" ca="1" si="288"/>
        <v>0</v>
      </c>
      <c r="BY143" s="48">
        <f ca="1">IF(OR(BW143&gt;0,BX143&gt;0),MAX($BY$2:BY142)+1,0)</f>
        <v>0</v>
      </c>
      <c r="BZ143" s="48" t="str">
        <f ca="1">IFERROR(INDEX($BT$3:$BY$400,MATCH(ROWS(BZ$3:BZ143),$BY$3:$BY$400,0),1),"")</f>
        <v/>
      </c>
      <c r="CA143" s="48" t="str">
        <f ca="1">IFERROR(INDEX($BT$3:$BY$400,MATCH(ROWS(CA$3:CA143),$BY$3:$BY$400,0),4),"")</f>
        <v/>
      </c>
      <c r="CB143" s="48" t="str">
        <f ca="1">IFERROR(INDEX($BT$3:$BY$400,MATCH(ROWS(CB$3:CB143),$BY$3:$BY$400,0),5),"")</f>
        <v/>
      </c>
      <c r="CC143" s="48" t="str">
        <f t="shared" ca="1" si="289"/>
        <v/>
      </c>
      <c r="CD143" s="48">
        <f ca="1">IF(AND($BF$9=1,CE143&lt;&gt;0),MAX($CD$104:CD142)+1,0)</f>
        <v>0</v>
      </c>
      <c r="CE143" s="48">
        <f ca="1">ROUND(IFERROR(INDEX(BILANCIO!$I$13:$J$59,MATCH(CF143,BILANCIO!$J$13:$J$59,0),1),0),0)</f>
        <v>0</v>
      </c>
      <c r="CF143" s="48" t="s">
        <v>794</v>
      </c>
      <c r="CG143" s="242" t="s">
        <v>571</v>
      </c>
      <c r="CI143" s="48">
        <f t="shared" ca="1" si="331"/>
        <v>0</v>
      </c>
      <c r="CJ143" s="242">
        <f ca="1">SUMIFS(COPIA!$CB$3:$CB$400,COPIA!$CC$3:$CC$400,CF143)-SUMIFS(COPIA!$CA$3:$CA$400,COPIA!$CC$3:$CC$400,CF143)</f>
        <v>0</v>
      </c>
      <c r="CK143" s="48">
        <f ca="1">IF($CG$2=FALSE,0,IF(AND($BF$9=1,CJ143&lt;&gt;0),MAX($CK$21:CK142)+1,0))</f>
        <v>0</v>
      </c>
      <c r="CM143" s="242" t="str">
        <f t="shared" ca="1" si="305"/>
        <v/>
      </c>
      <c r="CN143" s="243">
        <f t="shared" ca="1" si="306"/>
        <v>0</v>
      </c>
      <c r="CO143" s="48" t="str">
        <f t="shared" ca="1" si="307"/>
        <v/>
      </c>
      <c r="CQ143" s="242"/>
      <c r="CR143" s="242"/>
      <c r="CU143" s="48">
        <f ca="1">IF(SUMIFS(AVERE,DEN_G,AC143,AVERE,"&gt;"&amp;0)+SUMIFS(DARE,DEN_G,AC143,DARE,"&gt;"&amp;0)&gt;0,MAX($CU$2:CU142)+1,0)</f>
        <v>0</v>
      </c>
      <c r="CV143" s="48" t="str">
        <f ca="1">IF(IFERROR(INDEX(PDC,MATCH(ROWS($CV$3:CV143),$CU$3:$CU$400,0),2),"")="CONTO DI RISULTATO ECONOMICO","",IFERROR(INDEX(PDC,MATCH(ROWS($CV$3:CV143),$CU$3:$CU$400,0),2),""))</f>
        <v/>
      </c>
      <c r="CW143" s="48">
        <f ca="1">IFERROR(IF(CV143&lt;&gt;"",MAX($CW$2:CW142)+1,0),0)</f>
        <v>0</v>
      </c>
      <c r="CX143" s="48">
        <f t="shared" ca="1" si="333"/>
        <v>11</v>
      </c>
      <c r="CY143" s="48" t="str">
        <f t="shared" ca="1" si="332"/>
        <v>MASTRO</v>
      </c>
      <c r="CZ143" s="48" t="e">
        <f t="shared" ca="1" si="336"/>
        <v>#N/A</v>
      </c>
      <c r="DA143" s="48" t="str">
        <f t="shared" ca="1" si="340"/>
        <v/>
      </c>
      <c r="DB143" s="48" t="str">
        <f t="shared" ca="1" si="212"/>
        <v/>
      </c>
      <c r="DC143" s="48" t="str">
        <f t="shared" ca="1" si="337"/>
        <v/>
      </c>
      <c r="DD143" s="48" t="str">
        <f t="shared" ca="1" si="338"/>
        <v/>
      </c>
      <c r="DE143" s="48" t="str">
        <f t="shared" ca="1" si="339"/>
        <v/>
      </c>
      <c r="DF143" s="48">
        <f ca="1">IF(AND(CX143=$DF$1,CX143&lt;&gt;""),0,IF(AND(DB143&lt;&gt;"",OR(DB142&lt;&gt;"",DB144&lt;&gt;"")),MAX($DF$2:DF142)+1,0))</f>
        <v>0</v>
      </c>
      <c r="DH143" s="244"/>
      <c r="DI143" s="48" t="s">
        <v>1019</v>
      </c>
      <c r="DJ143" s="48" t="s">
        <v>312</v>
      </c>
      <c r="DK143" s="48" t="s">
        <v>298</v>
      </c>
      <c r="DL143" s="48" t="s">
        <v>272</v>
      </c>
      <c r="DM143" s="48" t="s">
        <v>299</v>
      </c>
      <c r="DO143" s="48" t="str">
        <f ca="1">IF($BF$9=1,"ppb2","ppb")</f>
        <v>ppb</v>
      </c>
      <c r="DR143" s="228"/>
      <c r="DW143" s="48">
        <f>IF(DR143&lt;&gt;"",MAX($DW$2:DW142)+1,0)</f>
        <v>0</v>
      </c>
      <c r="DY143" s="48" t="str">
        <f t="shared" ca="1" si="291"/>
        <v/>
      </c>
      <c r="DZ143" s="48" t="str">
        <f t="shared" ca="1" si="309"/>
        <v/>
      </c>
      <c r="EA143" s="48" t="str">
        <f t="shared" ca="1" si="310"/>
        <v/>
      </c>
      <c r="EB143" s="48">
        <f t="shared" ca="1" si="311"/>
        <v>0</v>
      </c>
      <c r="EC143" s="48">
        <f t="shared" ca="1" si="312"/>
        <v>0</v>
      </c>
      <c r="ED143" s="48" t="str">
        <f t="shared" ca="1" si="313"/>
        <v/>
      </c>
      <c r="EE143" s="48">
        <f t="shared" ca="1" si="314"/>
        <v>0</v>
      </c>
      <c r="EF143" s="48" t="str">
        <f t="shared" ca="1" si="315"/>
        <v/>
      </c>
      <c r="EG143" s="48">
        <f t="shared" ca="1" si="316"/>
        <v>0</v>
      </c>
      <c r="EH143" s="48" t="str">
        <f t="shared" ca="1" si="317"/>
        <v/>
      </c>
      <c r="EI143" s="48">
        <f t="shared" ca="1" si="318"/>
        <v>0</v>
      </c>
      <c r="EJ143" s="48" t="str">
        <f t="shared" ca="1" si="319"/>
        <v/>
      </c>
      <c r="EK143" s="48">
        <f t="shared" ca="1" si="320"/>
        <v>0</v>
      </c>
      <c r="EL143" s="48">
        <f t="shared" ca="1" si="292"/>
        <v>0</v>
      </c>
      <c r="EM143" s="48">
        <f ca="1">IF(EL143&gt;=0,0,MAX($EM$2:EM142)+1)</f>
        <v>0</v>
      </c>
      <c r="EN143" s="48" t="str">
        <f t="shared" ca="1" si="321"/>
        <v/>
      </c>
      <c r="EO143" s="48" t="str">
        <f ca="1">IFERROR(INDEX($EM$3:$EN$400,MATCH(ROWS($EO$3:EO143),$EM$3:$EM$400,0),2),"")</f>
        <v/>
      </c>
      <c r="EP143" s="48">
        <f>ROW()</f>
        <v>143</v>
      </c>
      <c r="EQ143" s="48">
        <f t="shared" ca="1" si="293"/>
        <v>0</v>
      </c>
      <c r="ER143" s="48">
        <f ca="1">IF(ISNA(EQ143)=TRUE,MAX($ER$2:ER142)+1,0)</f>
        <v>0</v>
      </c>
      <c r="ES143" s="48" t="str">
        <f t="shared" ca="1" si="322"/>
        <v/>
      </c>
      <c r="ET143" s="48" t="str">
        <f ca="1">IFERROR(INDEX($ER$3:$ES$400,MATCH(ROWS($ET$3:ET143),$ER$3:$ER$400,0),2),"")</f>
        <v/>
      </c>
      <c r="EV143" s="48">
        <f ca="1">IFERROR(INDEX(LIBRO_GIORNALE!$O$11:$P$408,MATCH(ROWS($EV$2:EV142),LIBRO_GIORNALE!$P$11:$P$408,0),1),0)</f>
        <v>0</v>
      </c>
      <c r="EW143" s="48" t="str">
        <f t="shared" ca="1" si="323"/>
        <v>0</v>
      </c>
      <c r="EX143" s="48">
        <f t="shared" ca="1" si="324"/>
        <v>0</v>
      </c>
      <c r="EY143" s="48">
        <f ca="1">IF(EX143&gt;0,MAX($EY$2:EY142)+1,0)</f>
        <v>0</v>
      </c>
      <c r="EZ143" s="48">
        <f ca="1">IFERROR(INDEX($EX$3:$EX$400,MATCH(ROWS($EZ$3:EZ143),$EY$3:$EY$400,0),1),0)</f>
        <v>0</v>
      </c>
      <c r="FA143" s="48">
        <f ca="1">IF(EZ143&gt;0,0,MAX($FA$2:FA142)+1)</f>
        <v>141</v>
      </c>
      <c r="FB143" s="48">
        <f t="shared" ca="1" si="325"/>
        <v>0</v>
      </c>
      <c r="FC143" s="48">
        <f t="shared" ca="1" si="326"/>
        <v>141</v>
      </c>
      <c r="FD143" s="48">
        <f t="shared" ca="1" si="327"/>
        <v>141</v>
      </c>
      <c r="FE143" s="48">
        <f ca="1">IF(FD143=0,0,MAX($FE$2:FE142)+1)</f>
        <v>141</v>
      </c>
      <c r="FF143" s="48">
        <f ca="1">IFERROR(INDEX($FD$3:$FE$400,MATCH(ROWS($FF$3:FF143),$FE$3:$FE$400,0),1),"")</f>
        <v>141</v>
      </c>
      <c r="FG143" s="48">
        <f t="shared" ca="1" si="255"/>
        <v>0</v>
      </c>
      <c r="FH143" s="48">
        <f t="shared" ca="1" si="328"/>
        <v>0</v>
      </c>
      <c r="FI143" s="48">
        <f ca="1">IF(FH143&lt;&gt;0,MAX($FI$2:FI142)+1,0)</f>
        <v>0</v>
      </c>
      <c r="FJ143" s="48" t="str">
        <f ca="1">IFERROR(INDEX($FH$3:$FI$400,MATCH(ROWS($FJ$3:FJ143),$FI$3:$FI$400,0),1),"")</f>
        <v/>
      </c>
      <c r="FK143" s="48">
        <f ca="1">IF(ABS(SUMIFS(DARE,DEN_G,"="&amp;FJ143,DATA,"&lt;="&amp;FINE_AC,DATA,"&gt;="&amp;INIZIO_A_PC)-SUMIFS(AVERE,DEN_G,"="&amp;FJ143,DATA,"&lt;="&amp;FINE_AC,DATA,"&gt;="&amp;INIZIO_A_PC))&gt;0,MAX($FK$2:FK142)+1,0)</f>
        <v>0</v>
      </c>
      <c r="FL143" s="48" t="str">
        <f ca="1">IF(AND(ROW()-2&lt;&gt;1,ROW()-2&lt;=$FK$1),CONCATENATE(" - ",IFERROR(INDEX($FJ$3:$FK$400,MATCH(ROWS($FL$3:FL143),$FK$3:$FK$400,0),1),"")),IFERROR(INDEX($FJ$3:$FK$400,MATCH(ROWS($FL$3:FL143),$FK$3:$FK$400,0),1),""))</f>
        <v/>
      </c>
      <c r="FM143" s="48">
        <f ca="1">IF(OR(B143="IVA ns/credito",B143="IVA NS/DEBITO",B143="IVA C/ACCONTO",B143="IMPOSTE C/ACCONTO",B143="CREDITI PER RITENUTE SUBITE",B143="CREDITI D'IMPOSTA"),MAX($FM$2:FM142)+1,0)</f>
        <v>0</v>
      </c>
      <c r="FN143" s="48" t="str">
        <f t="shared" ca="1" si="329"/>
        <v/>
      </c>
      <c r="FO143" s="48" t="str">
        <f ca="1">IFERROR(INDEX($FM$3:$FN$400,MATCH(ROWS($FO$3:FO143),$FM$3:$FM$400,0),2),"")</f>
        <v/>
      </c>
      <c r="FP143" s="48">
        <f ca="1">IF(ABS(SUMIFS(DARE,DEN_G,"="&amp;FO143,DATA,"&lt;="&amp;FINE_AC,DATA,"&gt;="&amp;INIZIO_A_PC)-SUMIFS(AVERE,DEN_G,"="&amp;FO143,DATA,"&lt;="&amp;FINE_AC,DATA,"&gt;="&amp;INIZIO_A_PC))&gt;0,MAX($FP$2:FP142)+1,0)</f>
        <v>0</v>
      </c>
      <c r="FQ143" s="48" t="str">
        <f ca="1">IF(AND(ROW()-2&lt;&gt;1,ROW()-2&lt;=$FP$1),CONCATENATE(" - ",IFERROR(INDEX($FO$3:$FP$400,MATCH(ROWS($FQ$3:FQ143),$FP$3:$FP$400,0),1),"")),IFERROR(INDEX($FO$3:$FP$400,MATCH(ROWS($FQ$3:FQ143),$FP$3:$FP$400,0),1),""))</f>
        <v/>
      </c>
    </row>
    <row r="144" spans="1:173" x14ac:dyDescent="0.3">
      <c r="A144" s="48" t="str">
        <f ca="1">IFERROR(IF($A$1=2,INDEX($DH$3:$DN$401,MATCH(ROWS(A$3:A144),$DN$3:$DN$401,0),COLUMN()),IF($A$1=1,INDEX($DQ$3:$DW$401,MATCH(ROWS(A$3:A144),$DW$3:$DW$401,0),COLUMN()),"")),"")</f>
        <v>14.03</v>
      </c>
      <c r="B144" s="48" t="str">
        <f ca="1">IFERROR(IF($A$1=2,INDEX($DH$3:$DN$401,MATCH(ROWS(B$3:B144),$DN$3:$DN$401,0),COLUMN()),IF($A$1=1,INDEX($DQ$3:$DW$400,MATCH(ROWS(B$3:B144),$DW$3:$DW$401,0),COLUMN()),"")),"")</f>
        <v>DEBITI COMMERCIALI DIVERSI</v>
      </c>
      <c r="C144" s="48" t="str">
        <f ca="1">IFERROR(IF($A$1=2,INDEX($DH$3:$DN$401,MATCH(ROWS(C$3:C144),$DN$3:$DN$401,0),COLUMN()),IF($A$1=1,INDEX($DQ$3:$DW$401,MATCH(ROWS(C$3:C144),$DW$3:$DW$401,0),COLUMN()),"")),"")</f>
        <v>F</v>
      </c>
      <c r="D144" s="48" t="str">
        <f ca="1">IFERROR(IF($A$1=2,INDEX($DH$3:$DN$401,MATCH(ROWS(D$3:D144),$DN$3:$DN$401,0),COLUMN()),IF($A$1=1,INDEX($DQ$3:$DW$401,MATCH(ROWS(D$3:D144),$DW$3:$DW$401,0),COLUMN()),"")),"")</f>
        <v>A</v>
      </c>
      <c r="E144" s="48" t="str">
        <f ca="1">IFERROR(IF($A$1=2,INDEX($DH$3:$DN$401,MATCH(ROWS(E$3:E144),$DN$3:$DN$401,0),COLUMN()),IF($A$1=1,INDEX($DQ$3:$DW$401,MATCH(ROWS(E$3:E144),$DW$3:$DW$401,0),COLUMN()),"")),"")</f>
        <v>DEBITI</v>
      </c>
      <c r="F144" s="48" t="str">
        <f ca="1">IFERROR(IF($A$1=2,INDEX($DH$3:$DN$401,MATCH(ROWS(F$3:F144),$DN$3:$DN$401,0),COLUMN()),IF($A$1=1,INDEX($DQ$3:$DX$401,MATCH(ROWS(F$3:F144),$DW$3:$DW$401,0),COLUMN()),"")),"")</f>
        <v>SP AVERE</v>
      </c>
      <c r="G144" s="48" t="str">
        <f t="shared" ca="1" si="294"/>
        <v>SP</v>
      </c>
      <c r="H144" s="48" t="str">
        <f ca="1">IFERROR(IF($A$1=2,INDEX($DH$3:$DO$400,MATCH(ROWS(H$3:H144),$DN$3:$DN$400,0),COLUMN()),IF($A$1=1,INDEX($DQ$3:$DX$400,MATCH(ROWS(H$3:H144),$DW$3:$DW$400,0),COLUMN()),"")),"")</f>
        <v>ppd</v>
      </c>
      <c r="I144" s="48" t="str">
        <f t="shared" ca="1" si="295"/>
        <v/>
      </c>
      <c r="J144" s="48" t="str">
        <f t="shared" ca="1" si="296"/>
        <v/>
      </c>
      <c r="K144" s="48">
        <f t="shared" ca="1" si="297"/>
        <v>0</v>
      </c>
      <c r="L144" s="48">
        <f t="shared" ca="1" si="298"/>
        <v>0</v>
      </c>
      <c r="M144" s="48">
        <f ca="1">IFERROR(IF(IF(MID($A144,3,3)=".00",MID(A144,1,2),"")&lt;&gt;"",MAX($M$2:M143)+1,0),"")</f>
        <v>0</v>
      </c>
      <c r="N144" s="48" t="str">
        <f t="shared" ca="1" si="299"/>
        <v/>
      </c>
      <c r="O144" s="48" t="str">
        <f ca="1">IF(IFERROR(INDEX($N$3:$O$300,MATCH(ROWS($O$3:O144),$M$3:$M$300,0),1),"")&lt;&gt;"",CONCATENATE(INDEX($N$3:$O$300,MATCH(ROWS($O$3:O144),$M$3:$M$300,0),1),".00"),"")</f>
        <v/>
      </c>
      <c r="P144" s="48" t="str">
        <f t="shared" ca="1" si="300"/>
        <v/>
      </c>
      <c r="Q144" s="48">
        <f ca="1">IF(M144&gt;=1,0,MAX($Q$2:Q143)+1)</f>
        <v>127</v>
      </c>
      <c r="U144" s="48" t="str">
        <f ca="1">IFERROR(INDEX(PDC,MATCH(ROWS(U$3:U144),$V$3:$V$400,0),2),"")</f>
        <v>DEBITI DIVERSI</v>
      </c>
      <c r="V144" s="48">
        <f ca="1">IF(AND($T$1="VISUALIZZA TUTTI I CONTI",AA144&lt;&gt;""),MAX($V$2:V143)+1,IF(AND($U$2=2,AI144=$T$1),MAX($V$2:V143)+1,IF(AND($U$2=1,$T$1=AF144),MAX($V$2:V143)+1,0)))</f>
        <v>142</v>
      </c>
      <c r="Z144" s="246"/>
      <c r="AA144" s="48" t="str">
        <f t="shared" ca="1" si="301"/>
        <v>15.00</v>
      </c>
      <c r="AB144" s="48" t="str">
        <f ca="1">IFERROR(INDEX($A$3:$G$400,MATCH(ROWS(AB$3:AB144),$Q$3:$Q$400,0),1),"")</f>
        <v>15.30</v>
      </c>
      <c r="AC144" s="48" t="str">
        <f ca="1">IFERROR(INDEX($A$3:$G$400,MATCH(ROWS($AC$3:AC144),$Q$3:$Q$400,0),2),"")</f>
        <v>DEBITI DIVERSI</v>
      </c>
      <c r="AD144" s="48" t="str">
        <f ca="1">IFERROR(INDEX($A$3:$G$400,MATCH(ROWS(AD$3:AD144),$Q$3:$Q$400,0),3),"")</f>
        <v>F</v>
      </c>
      <c r="AE144" s="48" t="str">
        <f ca="1">IFERROR(INDEX($A$3:$G$400,MATCH(ROWS(AE$3:AE144),$Q$3:$Q$400,0),4),"")</f>
        <v>A</v>
      </c>
      <c r="AF144" s="48" t="str">
        <f ca="1">IFERROR(INDEX($A$3:$G$400,MATCH(ROWS(AF$3:AF144),$Q$3:$Q$400,0),5),"")</f>
        <v>DEBITI</v>
      </c>
      <c r="AG144" s="48" t="str">
        <f ca="1">IFERROR(INDEX($A$3:$G$400,MATCH(ROWS(AG$3:AG144),$Q$3:$Q$400,0),6),"")</f>
        <v>SP AVERE</v>
      </c>
      <c r="AH144" s="48" t="str">
        <f ca="1">IFERROR(INDEX($A$3:$G$400,MATCH(ROWS(AH$3:AH144),$Q$3:$Q$400,0),7),"")</f>
        <v>SP</v>
      </c>
      <c r="AI144" s="48" t="str">
        <f t="shared" ca="1" si="302"/>
        <v>DEBITI DIVERSI</v>
      </c>
      <c r="AJ144" s="48" t="str">
        <f ca="1">IFERROR(INDEX($A$3:$H$400,MATCH(ROWS(AJ$3:AJ144),$Q$3:$Q$400,0),8),"")</f>
        <v>ppd</v>
      </c>
      <c r="AK144" s="48">
        <f t="shared" ca="1" si="277"/>
        <v>0</v>
      </c>
      <c r="AL144" s="48">
        <f t="shared" ca="1" si="335"/>
        <v>0</v>
      </c>
      <c r="AM144" s="48">
        <f t="shared" ca="1" si="252"/>
        <v>0</v>
      </c>
      <c r="AN144" s="48">
        <f t="shared" ca="1" si="253"/>
        <v>0</v>
      </c>
      <c r="AO144" s="48">
        <f t="shared" ca="1" si="254"/>
        <v>0</v>
      </c>
      <c r="AP144" s="48">
        <f t="shared" ca="1" si="254"/>
        <v>0</v>
      </c>
      <c r="AQ144" s="48" t="str">
        <f t="shared" ca="1" si="278"/>
        <v>DEBITI DIVERSI</v>
      </c>
      <c r="AR144" s="48">
        <f t="shared" ca="1" si="279"/>
        <v>0</v>
      </c>
      <c r="AS144" s="48">
        <f t="shared" ca="1" si="280"/>
        <v>0</v>
      </c>
      <c r="AT144" s="48">
        <f t="shared" ca="1" si="303"/>
        <v>0</v>
      </c>
      <c r="AU144" s="48">
        <f t="shared" ca="1" si="304"/>
        <v>0</v>
      </c>
      <c r="AV144" s="48">
        <f ca="1">IF(OR(AT144&gt;0,AU144&gt;0),MAX($AV$2:AV143)+1,0)</f>
        <v>0</v>
      </c>
      <c r="AZ144" s="241" t="str">
        <f t="shared" si="240"/>
        <v>44 V.I.</v>
      </c>
      <c r="BA144" s="48">
        <f t="shared" ca="1" si="330"/>
        <v>0</v>
      </c>
      <c r="BB144" s="48">
        <f t="shared" ca="1" si="247"/>
        <v>0</v>
      </c>
      <c r="BC144" s="48" t="str">
        <f t="shared" ca="1" si="248"/>
        <v/>
      </c>
      <c r="BD144" s="48">
        <f t="shared" ca="1" si="249"/>
        <v>0</v>
      </c>
      <c r="BE144" s="48">
        <f t="shared" ca="1" si="250"/>
        <v>0</v>
      </c>
      <c r="BG144" s="48">
        <f ca="1">IF(IF(AND(OR(INDEX(PDC,MATCH($AC144,DEN_PDC,0),6)="SP DARE",INDEX(PDC,MATCH($AC144,DEN_PDC,0),6)="SP DARE/AVERE"),SUMIFS(DARE,DEN_G,$AC144)&gt;=SUMIFS(AVERE,DEN_G,$AC144)),SUMIFS(DARE,DEN_G,$AC144)-SUMIFS(AVERE,DEN_G,$AC144),0)&gt;0,MAX($BG$2:BG143)+1,0)</f>
        <v>0</v>
      </c>
      <c r="BH144" s="48">
        <f ca="1">IF(IF(AND(OR(INDEX(PDC,MATCH($AC144,DEN_PDC,0),6)="SP AVERE",INDEX(PDC,MATCH($AC144,DEN_PDC,0),6)="SP DARE/AVERE"),SUMIFS(AVERE,DEN_G,$AC144)&gt;=SUMIFS(DARE,DEN_G,$AC144)),SUMIFS(AVERE,DEN_G,$AC144)-SUMIFS(DARE,DEN_G,$AC144),0)&gt;0,MAX(BH$2:BH143)+1,0)</f>
        <v>0</v>
      </c>
      <c r="BI144" s="48">
        <f ca="1">IF(IF(AND(OR(INDEX(PDC,MATCH($AC144,DEN_PDC,0),6)="SE DARE",INDEX(PDC,MATCH($AC144,DEN_PDC,0),6)="SE DARE/AVERE"),SUMIFS(DARE,DEN_G,$AC144)&gt;=SUMIFS(AVERE,DEN_G,$AC144)),SUMIFS(DARE,DEN_G,$AC144)-SUMIFS(AVERE,DEN_G,$AC144),0)&gt;0,MAX(BI$2:BI143)+1,0)</f>
        <v>0</v>
      </c>
      <c r="BJ144" s="48">
        <f ca="1">IF(IF(AND(OR(INDEX(PDC,MATCH($AC144,DEN_PDC,0),6)="SE AVERE",INDEX(PDC,MATCH($AC144,DEN_PDC,0),6)="SE DARE/AVERE"),SUMIFS(AVERE,DEN_G,$AC144)&gt;=SUMIFS(DARE,DEN_G,$AC144)),SUMIFS(AVERE,DEN_G,$AC144)-SUMIFS(DARE,DEN_G,$AC144),0)&gt;0,MAX(BJ$2:BJ143)+1,0)</f>
        <v>0</v>
      </c>
      <c r="BK144" s="48" t="str">
        <f ca="1">IF(AND(AND($DY$2=0,$DY$1=0),$I$1=2,ROW()&gt;$BG$1+2,ROW()&lt;=$BG$1+4),"………………..",IF(AND(OR($DY$2&gt;0,$DY$1&gt;0),$I$1=2,ROW()&gt;$BG$1+2,ROW()&lt;=$BG$1+4),"………………..",IFERROR(INDEX($AC$3:$AC$398,MATCH(ROWS(BK$3:BK144),BG$3:BG$398,0),1),"")))</f>
        <v/>
      </c>
      <c r="BL144" s="48">
        <f t="shared" ca="1" si="281"/>
        <v>0</v>
      </c>
      <c r="BM144" s="48" t="str">
        <f ca="1">IF(AND(OR($DY$2=0,$DY$1=0),$I$1=2,ROW()&gt;$BH$1+2,ROW()&lt;=$BH$1+4),"………………..",IF(AND(OR($DY$2&gt;0,$DY$1&gt;0),$I$1=2,ROW()&gt;$BH$1+2,ROW()&lt;=$BH$1+4),"………………..",IFERROR(INDEX($AC$3:$AC$400,MATCH(ROWS(BM$3:BM144),BH$3:BH$400,0),1),"")))</f>
        <v/>
      </c>
      <c r="BN144" s="48">
        <f t="shared" ca="1" si="282"/>
        <v>0</v>
      </c>
      <c r="BO144" s="48" t="str">
        <f ca="1">IF(AND(OR($DY$2=0,$DY$1=0),$I$1=2,ROW()&gt;$BI$1+2,ROW()&lt;=$BI$1+4),"………………..",IF(AND(OR($DY$2&gt;0,$DY$1&gt;0),$I$1=2,ROW()&gt;$BI$1+2,ROW()&lt;=$BI$1+4),"………………..",IFERROR(INDEX($AC$3:$AC$400,MATCH(ROWS(BO$3:BO144),BI$3:BI$400,0),1),"")))</f>
        <v/>
      </c>
      <c r="BP144" s="48">
        <f t="shared" ca="1" si="283"/>
        <v>0</v>
      </c>
      <c r="BQ144" s="48" t="str">
        <f ca="1">IF(AND(OR($DY$2=0,$DY$1=0),$I$1=2,ROW()&gt;$BJ$1+2,ROW()&lt;=$BJ$1+4),"………………..",IF(AND(OR($DY$2&gt;0,$DY$1&gt;0),$I$1=2,ROW()&gt;$BJ$1+2,ROW()&lt;=$BJ$1+4),"………………..",IFERROR(INDEX($AC$3:$AC$400,MATCH(ROWS(BQ$3:BQ144),BJ$3:BJ$400,0),1),"")))</f>
        <v/>
      </c>
      <c r="BR144" s="48">
        <f t="shared" ca="1" si="284"/>
        <v>0</v>
      </c>
      <c r="BS144" s="48">
        <f ca="1">IF(IF(AND(OR(INDEX(PDC,MATCH($AC144,DEN_PDC,0),4)="D",INDEX(PDC,MATCH($AC144,DEN_PDC,0),4)="D/A"),SUMIFS(DARE,DEN_G,$AC144)&gt;=SUMIFS(AVERE,DEN_G,$AC144)),SUMIFS(DARE,DEN_G,$AC144),IF(AND(OR(INDEX(PDC,MATCH($AC144,DEN_PDC,0),4)="A",INDEX(PDC,MATCH($AC144,DEN_PDC,0),4)="D/A"),SUMIFS(AVERE,DEN_G,$AC144)&gt;=SUMIFS(DARE,DEN_G,$AC144)),SUMIFS(AVERE,DEN_G,$AC144),))&gt;0,MAX($BS$2:BS143)+1,0)</f>
        <v>0</v>
      </c>
      <c r="BT144" s="48" t="str">
        <f ca="1">IF($CO$1=0,"",IF(AND($I$1=2,ROW()&gt;$BR$1,ROW()&lt;=$BS$1)," …………….",IF(AND($E$1=1,$BX$1=1,$I$1=2,ROW()=$BQ$1),"TOTALI",IFERROR(INDEX(PDC,MATCH(ROWS(BT$3:BT144),BS$3:BS541,0),2),""))))</f>
        <v/>
      </c>
      <c r="BU144" s="48">
        <f t="shared" ca="1" si="285"/>
        <v>0</v>
      </c>
      <c r="BV144" s="48">
        <f t="shared" ca="1" si="286"/>
        <v>0</v>
      </c>
      <c r="BW144" s="48">
        <f t="shared" ca="1" si="287"/>
        <v>0</v>
      </c>
      <c r="BX144" s="48">
        <f t="shared" ca="1" si="288"/>
        <v>0</v>
      </c>
      <c r="BY144" s="48">
        <f ca="1">IF(OR(BW144&gt;0,BX144&gt;0),MAX($BY$2:BY143)+1,0)</f>
        <v>0</v>
      </c>
      <c r="BZ144" s="48" t="str">
        <f ca="1">IFERROR(INDEX($BT$3:$BY$400,MATCH(ROWS(BZ$3:BZ144),$BY$3:$BY$400,0),1),"")</f>
        <v/>
      </c>
      <c r="CA144" s="48" t="str">
        <f ca="1">IFERROR(INDEX($BT$3:$BY$400,MATCH(ROWS(CA$3:CA144),$BY$3:$BY$400,0),4),"")</f>
        <v/>
      </c>
      <c r="CB144" s="48" t="str">
        <f ca="1">IFERROR(INDEX($BT$3:$BY$400,MATCH(ROWS(CB$3:CB144),$BY$3:$BY$400,0),5),"")</f>
        <v/>
      </c>
      <c r="CC144" s="48" t="str">
        <f t="shared" ca="1" si="289"/>
        <v/>
      </c>
      <c r="CD144" s="48">
        <f ca="1">IF(AND($BF$9=1,CE144&lt;&gt;0),MAX($CD$104:CD143)+1,0)</f>
        <v>0</v>
      </c>
      <c r="CE144" s="48">
        <f ca="1">IF(ROUND(SUMIFS(COPIA!$CB$3:$CB$400,COPIA!$CC$3:$CC$400,CF144)-SUMIFS(COPIA!$CA$3:$CA$400,COPIA!$CC$3:$CC$400,CF144),0)&lt;0,0,ROUND(SUMIFS(COPIA!$CB$3:$CB$400,COPIA!$CC$3:$CC$400,CF144)-SUMIFS(COPIA!$CA$3:$CA$400,COPIA!$CC$3:$CC$400,CF144),0))</f>
        <v>0</v>
      </c>
      <c r="CF144" s="48" t="s">
        <v>671</v>
      </c>
      <c r="CG144" s="242" t="s">
        <v>565</v>
      </c>
      <c r="CH144" s="48">
        <f t="shared" ca="1" si="259"/>
        <v>0</v>
      </c>
      <c r="CJ144" s="242">
        <f ca="1">SUMIFS(COPIA!$CB$3:$CB$400,COPIA!$CC$3:$CC$400,CF144)-SUMIFS(COPIA!$CA$3:$CA$400,COPIA!$CC$3:$CC$400,CF144)</f>
        <v>0</v>
      </c>
      <c r="CK144" s="48">
        <f ca="1">IF($CG$2=FALSE,0,IF(AND($BF$9=1,CJ144&lt;&gt;0),MAX($CK$21:CK143)+1,0))</f>
        <v>0</v>
      </c>
      <c r="CL144" s="48" t="s">
        <v>795</v>
      </c>
      <c r="CM144" s="242" t="str">
        <f t="shared" ca="1" si="305"/>
        <v/>
      </c>
      <c r="CN144" s="243">
        <f t="shared" ca="1" si="306"/>
        <v>0</v>
      </c>
      <c r="CO144" s="48" t="str">
        <f t="shared" ca="1" si="307"/>
        <v/>
      </c>
      <c r="CQ144" s="242"/>
      <c r="CR144" s="242"/>
      <c r="CU144" s="48">
        <f ca="1">IF(SUMIFS(AVERE,DEN_G,AC144,AVERE,"&gt;"&amp;0)+SUMIFS(DARE,DEN_G,AC144,DARE,"&gt;"&amp;0)&gt;0,MAX($CU$2:CU143)+1,0)</f>
        <v>0</v>
      </c>
      <c r="CV144" s="48" t="str">
        <f ca="1">IF(IFERROR(INDEX(PDC,MATCH(ROWS($CV$3:CV144),$CU$3:$CU$400,0),2),"")="CONTO DI RISULTATO ECONOMICO","",IFERROR(INDEX(PDC,MATCH(ROWS($CV$3:CV144),$CU$3:$CU$400,0),2),""))</f>
        <v/>
      </c>
      <c r="CW144" s="48">
        <f ca="1">IFERROR(IF(CV144&lt;&gt;"",MAX($CW$2:CW143)+1,0),0)</f>
        <v>0</v>
      </c>
      <c r="CX144" s="48">
        <f t="shared" ca="1" si="333"/>
        <v>11</v>
      </c>
      <c r="CY144" s="48" t="str">
        <f t="shared" ca="1" si="332"/>
        <v>MASTRO</v>
      </c>
      <c r="CZ144" s="48" t="e">
        <f t="shared" ca="1" si="336"/>
        <v>#N/A</v>
      </c>
      <c r="DA144" s="48" t="str">
        <f t="shared" ca="1" si="340"/>
        <v/>
      </c>
      <c r="DB144" s="48" t="str">
        <f t="shared" ca="1" si="212"/>
        <v/>
      </c>
      <c r="DC144" s="48" t="str">
        <f t="shared" ca="1" si="337"/>
        <v/>
      </c>
      <c r="DD144" s="48" t="str">
        <f t="shared" ca="1" si="338"/>
        <v/>
      </c>
      <c r="DE144" s="48" t="str">
        <f t="shared" ca="1" si="339"/>
        <v/>
      </c>
      <c r="DF144" s="48">
        <f ca="1">IF(AND(CX144=$DF$1,CX144&lt;&gt;""),0,IF(AND(DB144&lt;&gt;"",OR(DB143&lt;&gt;"",DB145&lt;&gt;"")),MAX($DF$2:DF143)+1,0))</f>
        <v>0</v>
      </c>
      <c r="DH144" s="244" t="s">
        <v>402</v>
      </c>
      <c r="DI144" s="48" t="s">
        <v>105</v>
      </c>
      <c r="DJ144" s="48" t="s">
        <v>312</v>
      </c>
      <c r="DK144" s="48" t="s">
        <v>298</v>
      </c>
      <c r="DL144" s="48" t="s">
        <v>272</v>
      </c>
      <c r="DM144" s="48" t="s">
        <v>299</v>
      </c>
      <c r="DN144" s="48">
        <f ca="1">IF(DI144&lt;&gt;"",MAX($DN$2:DN143)+1,0)</f>
        <v>121</v>
      </c>
      <c r="DO144" s="48" t="str">
        <f ca="1">IF($BF$9=1,"ppb4","ppb")</f>
        <v>ppb</v>
      </c>
      <c r="DQ144" s="227" t="s">
        <v>108</v>
      </c>
      <c r="DR144" s="228" t="s">
        <v>107</v>
      </c>
      <c r="DW144" s="48">
        <f ca="1">IF(DR144&lt;&gt;"",MAX($DW$2:DW143)+1,0)</f>
        <v>87</v>
      </c>
      <c r="DY144" s="48" t="str">
        <f t="shared" ca="1" si="291"/>
        <v/>
      </c>
      <c r="DZ144" s="48" t="str">
        <f t="shared" ca="1" si="309"/>
        <v/>
      </c>
      <c r="EA144" s="48" t="str">
        <f t="shared" ca="1" si="310"/>
        <v/>
      </c>
      <c r="EB144" s="48">
        <f t="shared" ca="1" si="311"/>
        <v>0</v>
      </c>
      <c r="EC144" s="48">
        <f t="shared" ca="1" si="312"/>
        <v>0</v>
      </c>
      <c r="ED144" s="48" t="str">
        <f t="shared" ca="1" si="313"/>
        <v/>
      </c>
      <c r="EE144" s="48">
        <f t="shared" ca="1" si="314"/>
        <v>0</v>
      </c>
      <c r="EF144" s="48" t="str">
        <f t="shared" ca="1" si="315"/>
        <v/>
      </c>
      <c r="EG144" s="48">
        <f t="shared" ca="1" si="316"/>
        <v>0</v>
      </c>
      <c r="EH144" s="48" t="str">
        <f t="shared" ca="1" si="317"/>
        <v/>
      </c>
      <c r="EI144" s="48">
        <f t="shared" ca="1" si="318"/>
        <v>0</v>
      </c>
      <c r="EJ144" s="48" t="str">
        <f t="shared" ca="1" si="319"/>
        <v/>
      </c>
      <c r="EK144" s="48">
        <f t="shared" ca="1" si="320"/>
        <v>0</v>
      </c>
      <c r="EL144" s="48">
        <f t="shared" ca="1" si="292"/>
        <v>0</v>
      </c>
      <c r="EM144" s="48">
        <f ca="1">IF(EL144&gt;=0,0,MAX($EM$2:EM143)+1)</f>
        <v>0</v>
      </c>
      <c r="EN144" s="48" t="str">
        <f t="shared" ca="1" si="321"/>
        <v/>
      </c>
      <c r="EO144" s="48" t="str">
        <f ca="1">IFERROR(INDEX($EM$3:$EN$400,MATCH(ROWS($EO$3:EO144),$EM$3:$EM$400,0),2),"")</f>
        <v/>
      </c>
      <c r="EP144" s="48">
        <f>ROW()</f>
        <v>144</v>
      </c>
      <c r="EQ144" s="48">
        <f t="shared" ca="1" si="293"/>
        <v>0</v>
      </c>
      <c r="ER144" s="48">
        <f ca="1">IF(ISNA(EQ144)=TRUE,MAX($ER$2:ER143)+1,0)</f>
        <v>0</v>
      </c>
      <c r="ES144" s="48" t="str">
        <f t="shared" ca="1" si="322"/>
        <v/>
      </c>
      <c r="ET144" s="48" t="str">
        <f ca="1">IFERROR(INDEX($ER$3:$ES$400,MATCH(ROWS($ET$3:ET144),$ER$3:$ER$400,0),2),"")</f>
        <v/>
      </c>
      <c r="EV144" s="48">
        <f ca="1">IFERROR(INDEX(LIBRO_GIORNALE!$O$11:$P$408,MATCH(ROWS($EV$2:EV143),LIBRO_GIORNALE!$P$11:$P$408,0),1),0)</f>
        <v>0</v>
      </c>
      <c r="EW144" s="48" t="str">
        <f t="shared" ca="1" si="323"/>
        <v>0</v>
      </c>
      <c r="EX144" s="48">
        <f t="shared" ca="1" si="324"/>
        <v>0</v>
      </c>
      <c r="EY144" s="48">
        <f ca="1">IF(EX144&gt;0,MAX($EY$2:EY143)+1,0)</f>
        <v>0</v>
      </c>
      <c r="EZ144" s="48">
        <f ca="1">IFERROR(INDEX($EX$3:$EX$400,MATCH(ROWS($EZ$3:EZ144),$EY$3:$EY$400,0),1),0)</f>
        <v>0</v>
      </c>
      <c r="FA144" s="48">
        <f ca="1">IF(EZ144&gt;0,0,MAX($FA$2:FA143)+1)</f>
        <v>142</v>
      </c>
      <c r="FB144" s="48">
        <f t="shared" ca="1" si="325"/>
        <v>0</v>
      </c>
      <c r="FC144" s="48">
        <f t="shared" ca="1" si="326"/>
        <v>142</v>
      </c>
      <c r="FD144" s="48">
        <f t="shared" ca="1" si="327"/>
        <v>142</v>
      </c>
      <c r="FE144" s="48">
        <f ca="1">IF(FD144=0,0,MAX($FE$2:FE143)+1)</f>
        <v>142</v>
      </c>
      <c r="FF144" s="48">
        <f ca="1">IFERROR(INDEX($FD$3:$FE$400,MATCH(ROWS($FF$3:FF144),$FE$3:$FE$400,0),1),"")</f>
        <v>142</v>
      </c>
      <c r="FG144" s="48">
        <f t="shared" ca="1" si="255"/>
        <v>0</v>
      </c>
      <c r="FH144" s="48">
        <f t="shared" ca="1" si="328"/>
        <v>0</v>
      </c>
      <c r="FI144" s="48">
        <f ca="1">IF(FH144&lt;&gt;0,MAX($FI$2:FI143)+1,0)</f>
        <v>0</v>
      </c>
      <c r="FJ144" s="48" t="str">
        <f ca="1">IFERROR(INDEX($FH$3:$FI$400,MATCH(ROWS($FJ$3:FJ144),$FI$3:$FI$400,0),1),"")</f>
        <v/>
      </c>
      <c r="FK144" s="48">
        <f ca="1">IF(ABS(SUMIFS(DARE,DEN_G,"="&amp;FJ144,DATA,"&lt;="&amp;FINE_AC,DATA,"&gt;="&amp;INIZIO_A_PC)-SUMIFS(AVERE,DEN_G,"="&amp;FJ144,DATA,"&lt;="&amp;FINE_AC,DATA,"&gt;="&amp;INIZIO_A_PC))&gt;0,MAX($FK$2:FK143)+1,0)</f>
        <v>0</v>
      </c>
      <c r="FL144" s="48" t="str">
        <f ca="1">IF(AND(ROW()-2&lt;&gt;1,ROW()-2&lt;=$FK$1),CONCATENATE(" - ",IFERROR(INDEX($FJ$3:$FK$400,MATCH(ROWS($FL$3:FL144),$FK$3:$FK$400,0),1),"")),IFERROR(INDEX($FJ$3:$FK$400,MATCH(ROWS($FL$3:FL144),$FK$3:$FK$400,0),1),""))</f>
        <v/>
      </c>
      <c r="FM144" s="48">
        <f ca="1">IF(OR(B144="IVA ns/credito",B144="IVA NS/DEBITO",B144="IVA C/ACCONTO",B144="IMPOSTE C/ACCONTO",B144="CREDITI PER RITENUTE SUBITE",B144="CREDITI D'IMPOSTA"),MAX($FM$2:FM143)+1,0)</f>
        <v>0</v>
      </c>
      <c r="FN144" s="48" t="str">
        <f t="shared" ca="1" si="329"/>
        <v/>
      </c>
      <c r="FO144" s="48" t="str">
        <f ca="1">IFERROR(INDEX($FM$3:$FN$400,MATCH(ROWS($FO$3:FO144),$FM$3:$FM$400,0),2),"")</f>
        <v/>
      </c>
      <c r="FP144" s="48">
        <f ca="1">IF(ABS(SUMIFS(DARE,DEN_G,"="&amp;FO144,DATA,"&lt;="&amp;FINE_AC,DATA,"&gt;="&amp;INIZIO_A_PC)-SUMIFS(AVERE,DEN_G,"="&amp;FO144,DATA,"&lt;="&amp;FINE_AC,DATA,"&gt;="&amp;INIZIO_A_PC))&gt;0,MAX($FP$2:FP143)+1,0)</f>
        <v>0</v>
      </c>
      <c r="FQ144" s="48" t="str">
        <f ca="1">IF(AND(ROW()-2&lt;&gt;1,ROW()-2&lt;=$FP$1),CONCATENATE(" - ",IFERROR(INDEX($FO$3:$FP$400,MATCH(ROWS($FQ$3:FQ144),$FP$3:$FP$400,0),1),"")),IFERROR(INDEX($FO$3:$FP$400,MATCH(ROWS($FQ$3:FQ144),$FP$3:$FP$400,0),1),""))</f>
        <v/>
      </c>
    </row>
    <row r="145" spans="1:173" x14ac:dyDescent="0.3">
      <c r="A145" s="48" t="str">
        <f ca="1">IFERROR(IF($A$1=2,INDEX($DH$3:$DN$401,MATCH(ROWS(A$3:A145),$DN$3:$DN$401,0),COLUMN()),IF($A$1=1,INDEX($DQ$3:$DW$401,MATCH(ROWS(A$3:A145),$DW$3:$DW$401,0),COLUMN()),"")),"")</f>
        <v>14.06</v>
      </c>
      <c r="B145" s="48" t="str">
        <f ca="1">IFERROR(IF($A$1=2,INDEX($DH$3:$DN$401,MATCH(ROWS(B$3:B145),$DN$3:$DN$401,0),COLUMN()),IF($A$1=1,INDEX($DQ$3:$DW$400,MATCH(ROWS(B$3:B145),$DW$3:$DW$401,0),COLUMN()),"")),"")</f>
        <v>CAMBIALI PASSIVE</v>
      </c>
      <c r="C145" s="48" t="str">
        <f ca="1">IFERROR(IF($A$1=2,INDEX($DH$3:$DN$401,MATCH(ROWS(C$3:C145),$DN$3:$DN$401,0),COLUMN()),IF($A$1=1,INDEX($DQ$3:$DW$401,MATCH(ROWS(C$3:C145),$DW$3:$DW$401,0),COLUMN()),"")),"")</f>
        <v>F</v>
      </c>
      <c r="D145" s="48" t="str">
        <f ca="1">IFERROR(IF($A$1=2,INDEX($DH$3:$DN$401,MATCH(ROWS(D$3:D145),$DN$3:$DN$401,0),COLUMN()),IF($A$1=1,INDEX($DQ$3:$DW$401,MATCH(ROWS(D$3:D145),$DW$3:$DW$401,0),COLUMN()),"")),"")</f>
        <v>A</v>
      </c>
      <c r="E145" s="48" t="str">
        <f ca="1">IFERROR(IF($A$1=2,INDEX($DH$3:$DN$401,MATCH(ROWS(E$3:E145),$DN$3:$DN$401,0),COLUMN()),IF($A$1=1,INDEX($DQ$3:$DW$401,MATCH(ROWS(E$3:E145),$DW$3:$DW$401,0),COLUMN()),"")),"")</f>
        <v>DEBITI</v>
      </c>
      <c r="F145" s="48" t="str">
        <f ca="1">IFERROR(IF($A$1=2,INDEX($DH$3:$DN$401,MATCH(ROWS(F$3:F145),$DN$3:$DN$401,0),COLUMN()),IF($A$1=1,INDEX($DQ$3:$DX$401,MATCH(ROWS(F$3:F145),$DW$3:$DW$401,0),COLUMN()),"")),"")</f>
        <v>SP AVERE</v>
      </c>
      <c r="G145" s="48" t="str">
        <f t="shared" ca="1" si="294"/>
        <v>SP</v>
      </c>
      <c r="H145" s="48" t="str">
        <f ca="1">IFERROR(IF($A$1=2,INDEX($DH$3:$DO$400,MATCH(ROWS(H$3:H145),$DN$3:$DN$400,0),COLUMN()),IF($A$1=1,INDEX($DQ$3:$DX$400,MATCH(ROWS(H$3:H145),$DW$3:$DW$400,0),COLUMN()),"")),"")</f>
        <v>ppd</v>
      </c>
      <c r="I145" s="48" t="str">
        <f t="shared" ca="1" si="295"/>
        <v/>
      </c>
      <c r="J145" s="48" t="str">
        <f t="shared" ca="1" si="296"/>
        <v/>
      </c>
      <c r="K145" s="48">
        <f t="shared" ca="1" si="297"/>
        <v>0</v>
      </c>
      <c r="L145" s="48">
        <f t="shared" ca="1" si="298"/>
        <v>0</v>
      </c>
      <c r="M145" s="48">
        <f ca="1">IFERROR(IF(IF(MID($A145,3,3)=".00",MID(A145,1,2),"")&lt;&gt;"",MAX($M$2:M144)+1,0),"")</f>
        <v>0</v>
      </c>
      <c r="N145" s="48" t="str">
        <f t="shared" ca="1" si="299"/>
        <v/>
      </c>
      <c r="O145" s="48" t="str">
        <f ca="1">IF(IFERROR(INDEX($N$3:$O$300,MATCH(ROWS($O$3:O145),$M$3:$M$300,0),1),"")&lt;&gt;"",CONCATENATE(INDEX($N$3:$O$300,MATCH(ROWS($O$3:O145),$M$3:$M$300,0),1),".00"),"")</f>
        <v/>
      </c>
      <c r="P145" s="48" t="str">
        <f t="shared" ca="1" si="300"/>
        <v/>
      </c>
      <c r="Q145" s="48">
        <f ca="1">IF(M145&gt;=1,0,MAX($Q$2:Q144)+1)</f>
        <v>128</v>
      </c>
      <c r="U145" s="48" t="str">
        <f ca="1">IFERROR(INDEX(PDC,MATCH(ROWS(U$3:U145),$V$3:$V$400,0),2),"")</f>
        <v>AZIONISTI C/DIVIDENDI</v>
      </c>
      <c r="V145" s="48">
        <f ca="1">IF(AND($T$1="VISUALIZZA TUTTI I CONTI",AA145&lt;&gt;""),MAX($V$2:V144)+1,IF(AND($U$2=2,AI145=$T$1),MAX($V$2:V144)+1,IF(AND($U$2=1,$T$1=AF145),MAX($V$2:V144)+1,0)))</f>
        <v>143</v>
      </c>
      <c r="Z145" s="246"/>
      <c r="AA145" s="48" t="str">
        <f t="shared" ca="1" si="301"/>
        <v>15.00</v>
      </c>
      <c r="AB145" s="48" t="str">
        <f ca="1">IFERROR(INDEX($A$3:$G$400,MATCH(ROWS(AB$3:AB145),$Q$3:$Q$400,0),1),"")</f>
        <v>15.40</v>
      </c>
      <c r="AC145" s="48" t="str">
        <f ca="1">IFERROR(INDEX($A$3:$G$400,MATCH(ROWS($AC$3:AC145),$Q$3:$Q$400,0),2),"")</f>
        <v>AZIONISTI C/DIVIDENDI</v>
      </c>
      <c r="AD145" s="48" t="str">
        <f ca="1">IFERROR(INDEX($A$3:$G$400,MATCH(ROWS(AD$3:AD145),$Q$3:$Q$400,0),3),"")</f>
        <v>F</v>
      </c>
      <c r="AE145" s="48" t="str">
        <f ca="1">IFERROR(INDEX($A$3:$G$400,MATCH(ROWS(AE$3:AE145),$Q$3:$Q$400,0),4),"")</f>
        <v>A</v>
      </c>
      <c r="AF145" s="48" t="str">
        <f ca="1">IFERROR(INDEX($A$3:$G$400,MATCH(ROWS(AF$3:AF145),$Q$3:$Q$400,0),5),"")</f>
        <v>DEBITI</v>
      </c>
      <c r="AG145" s="48" t="str">
        <f ca="1">IFERROR(INDEX($A$3:$G$400,MATCH(ROWS(AG$3:AG145),$Q$3:$Q$400,0),6),"")</f>
        <v>SP AVERE</v>
      </c>
      <c r="AH145" s="48" t="str">
        <f ca="1">IFERROR(INDEX($A$3:$G$400,MATCH(ROWS(AH$3:AH145),$Q$3:$Q$400,0),7),"")</f>
        <v>SP</v>
      </c>
      <c r="AI145" s="48" t="str">
        <f t="shared" ca="1" si="302"/>
        <v>DEBITI DIVERSI</v>
      </c>
      <c r="AJ145" s="48" t="str">
        <f ca="1">IFERROR(INDEX($A$3:$H$400,MATCH(ROWS(AJ$3:AJ145),$Q$3:$Q$400,0),8),"")</f>
        <v>ppd</v>
      </c>
      <c r="AK145" s="48">
        <f t="shared" ca="1" si="277"/>
        <v>0</v>
      </c>
      <c r="AL145" s="48">
        <f t="shared" ca="1" si="335"/>
        <v>0</v>
      </c>
      <c r="AM145" s="48">
        <f t="shared" ca="1" si="252"/>
        <v>0</v>
      </c>
      <c r="AN145" s="48">
        <f t="shared" ca="1" si="253"/>
        <v>0</v>
      </c>
      <c r="AO145" s="48">
        <f t="shared" ca="1" si="254"/>
        <v>0</v>
      </c>
      <c r="AP145" s="48">
        <f t="shared" ca="1" si="254"/>
        <v>0</v>
      </c>
      <c r="AQ145" s="48" t="str">
        <f t="shared" ca="1" si="278"/>
        <v>AZIONISTI C/DIVIDENDI</v>
      </c>
      <c r="AR145" s="48">
        <f t="shared" ca="1" si="279"/>
        <v>0</v>
      </c>
      <c r="AS145" s="48">
        <f t="shared" ca="1" si="280"/>
        <v>0</v>
      </c>
      <c r="AT145" s="48">
        <f t="shared" ca="1" si="303"/>
        <v>0</v>
      </c>
      <c r="AU145" s="48">
        <f t="shared" ca="1" si="304"/>
        <v>0</v>
      </c>
      <c r="AV145" s="48">
        <f ca="1">IF(OR(AT145&gt;0,AU145&gt;0),MAX($AV$2:AV144)+1,0)</f>
        <v>0</v>
      </c>
      <c r="AZ145" s="241" t="str">
        <f t="shared" si="240"/>
        <v>45 V.I.</v>
      </c>
      <c r="BA145" s="48">
        <f t="shared" ca="1" si="330"/>
        <v>0</v>
      </c>
      <c r="BB145" s="48">
        <f t="shared" ca="1" si="247"/>
        <v>0</v>
      </c>
      <c r="BC145" s="48" t="str">
        <f t="shared" ca="1" si="248"/>
        <v/>
      </c>
      <c r="BD145" s="48">
        <f t="shared" ca="1" si="249"/>
        <v>0</v>
      </c>
      <c r="BE145" s="48">
        <f t="shared" ca="1" si="250"/>
        <v>0</v>
      </c>
      <c r="BG145" s="48">
        <f ca="1">IF(IF(AND(OR(INDEX(PDC,MATCH($AC145,DEN_PDC,0),6)="SP DARE",INDEX(PDC,MATCH($AC145,DEN_PDC,0),6)="SP DARE/AVERE"),SUMIFS(DARE,DEN_G,$AC145)&gt;=SUMIFS(AVERE,DEN_G,$AC145)),SUMIFS(DARE,DEN_G,$AC145)-SUMIFS(AVERE,DEN_G,$AC145),0)&gt;0,MAX($BG$2:BG144)+1,0)</f>
        <v>0</v>
      </c>
      <c r="BH145" s="48">
        <f ca="1">IF(IF(AND(OR(INDEX(PDC,MATCH($AC145,DEN_PDC,0),6)="SP AVERE",INDEX(PDC,MATCH($AC145,DEN_PDC,0),6)="SP DARE/AVERE"),SUMIFS(AVERE,DEN_G,$AC145)&gt;=SUMIFS(DARE,DEN_G,$AC145)),SUMIFS(AVERE,DEN_G,$AC145)-SUMIFS(DARE,DEN_G,$AC145),0)&gt;0,MAX(BH$2:BH144)+1,0)</f>
        <v>0</v>
      </c>
      <c r="BI145" s="48">
        <f ca="1">IF(IF(AND(OR(INDEX(PDC,MATCH($AC145,DEN_PDC,0),6)="SE DARE",INDEX(PDC,MATCH($AC145,DEN_PDC,0),6)="SE DARE/AVERE"),SUMIFS(DARE,DEN_G,$AC145)&gt;=SUMIFS(AVERE,DEN_G,$AC145)),SUMIFS(DARE,DEN_G,$AC145)-SUMIFS(AVERE,DEN_G,$AC145),0)&gt;0,MAX(BI$2:BI144)+1,0)</f>
        <v>0</v>
      </c>
      <c r="BJ145" s="48">
        <f ca="1">IF(IF(AND(OR(INDEX(PDC,MATCH($AC145,DEN_PDC,0),6)="SE AVERE",INDEX(PDC,MATCH($AC145,DEN_PDC,0),6)="SE DARE/AVERE"),SUMIFS(AVERE,DEN_G,$AC145)&gt;=SUMIFS(DARE,DEN_G,$AC145)),SUMIFS(AVERE,DEN_G,$AC145)-SUMIFS(DARE,DEN_G,$AC145),0)&gt;0,MAX(BJ$2:BJ144)+1,0)</f>
        <v>0</v>
      </c>
      <c r="BK145" s="48" t="str">
        <f ca="1">IF(AND(AND($DY$2=0,$DY$1=0),$I$1=2,ROW()&gt;$BG$1+2,ROW()&lt;=$BG$1+4),"………………..",IF(AND(OR($DY$2&gt;0,$DY$1&gt;0),$I$1=2,ROW()&gt;$BG$1+2,ROW()&lt;=$BG$1+4),"………………..",IFERROR(INDEX($AC$3:$AC$398,MATCH(ROWS(BK$3:BK145),BG$3:BG$398,0),1),"")))</f>
        <v/>
      </c>
      <c r="BL145" s="48">
        <f t="shared" ca="1" si="281"/>
        <v>0</v>
      </c>
      <c r="BM145" s="48" t="str">
        <f ca="1">IF(AND(OR($DY$2=0,$DY$1=0),$I$1=2,ROW()&gt;$BH$1+2,ROW()&lt;=$BH$1+4),"………………..",IF(AND(OR($DY$2&gt;0,$DY$1&gt;0),$I$1=2,ROW()&gt;$BH$1+2,ROW()&lt;=$BH$1+4),"………………..",IFERROR(INDEX($AC$3:$AC$400,MATCH(ROWS(BM$3:BM145),BH$3:BH$400,0),1),"")))</f>
        <v/>
      </c>
      <c r="BN145" s="48">
        <f t="shared" ca="1" si="282"/>
        <v>0</v>
      </c>
      <c r="BO145" s="48" t="str">
        <f ca="1">IF(AND(OR($DY$2=0,$DY$1=0),$I$1=2,ROW()&gt;$BI$1+2,ROW()&lt;=$BI$1+4),"………………..",IF(AND(OR($DY$2&gt;0,$DY$1&gt;0),$I$1=2,ROW()&gt;$BI$1+2,ROW()&lt;=$BI$1+4),"………………..",IFERROR(INDEX($AC$3:$AC$400,MATCH(ROWS(BO$3:BO145),BI$3:BI$400,0),1),"")))</f>
        <v/>
      </c>
      <c r="BP145" s="48">
        <f t="shared" ca="1" si="283"/>
        <v>0</v>
      </c>
      <c r="BQ145" s="48" t="str">
        <f ca="1">IF(AND(OR($DY$2=0,$DY$1=0),$I$1=2,ROW()&gt;$BJ$1+2,ROW()&lt;=$BJ$1+4),"………………..",IF(AND(OR($DY$2&gt;0,$DY$1&gt;0),$I$1=2,ROW()&gt;$BJ$1+2,ROW()&lt;=$BJ$1+4),"………………..",IFERROR(INDEX($AC$3:$AC$400,MATCH(ROWS(BQ$3:BQ145),BJ$3:BJ$400,0),1),"")))</f>
        <v/>
      </c>
      <c r="BR145" s="48">
        <f t="shared" ca="1" si="284"/>
        <v>0</v>
      </c>
      <c r="BS145" s="48">
        <f ca="1">IF(IF(AND(OR(INDEX(PDC,MATCH($AC145,DEN_PDC,0),4)="D",INDEX(PDC,MATCH($AC145,DEN_PDC,0),4)="D/A"),SUMIFS(DARE,DEN_G,$AC145)&gt;=SUMIFS(AVERE,DEN_G,$AC145)),SUMIFS(DARE,DEN_G,$AC145),IF(AND(OR(INDEX(PDC,MATCH($AC145,DEN_PDC,0),4)="A",INDEX(PDC,MATCH($AC145,DEN_PDC,0),4)="D/A"),SUMIFS(AVERE,DEN_G,$AC145)&gt;=SUMIFS(DARE,DEN_G,$AC145)),SUMIFS(AVERE,DEN_G,$AC145),))&gt;0,MAX($BS$2:BS144)+1,0)</f>
        <v>0</v>
      </c>
      <c r="BT145" s="48" t="str">
        <f ca="1">IF($CO$1=0,"",IF(AND($I$1=2,ROW()&gt;$BR$1,ROW()&lt;=$BS$1)," …………….",IF(AND($E$1=1,$BX$1=1,$I$1=2,ROW()=$BQ$1),"TOTALI",IFERROR(INDEX(PDC,MATCH(ROWS(BT$3:BT145),BS$3:BS542,0),2),""))))</f>
        <v/>
      </c>
      <c r="BU145" s="48">
        <f t="shared" ca="1" si="285"/>
        <v>0</v>
      </c>
      <c r="BV145" s="48">
        <f t="shared" ca="1" si="286"/>
        <v>0</v>
      </c>
      <c r="BW145" s="48">
        <f t="shared" ca="1" si="287"/>
        <v>0</v>
      </c>
      <c r="BX145" s="48">
        <f t="shared" ca="1" si="288"/>
        <v>0</v>
      </c>
      <c r="BY145" s="48">
        <f ca="1">IF(OR(BW145&gt;0,BX145&gt;0),MAX($BY$2:BY144)+1,0)</f>
        <v>0</v>
      </c>
      <c r="BZ145" s="48" t="str">
        <f ca="1">IFERROR(INDEX($BT$3:$BY$400,MATCH(ROWS(BZ$3:BZ145),$BY$3:$BY$400,0),1),"")</f>
        <v/>
      </c>
      <c r="CA145" s="48" t="str">
        <f ca="1">IFERROR(INDEX($BT$3:$BY$400,MATCH(ROWS(CA$3:CA145),$BY$3:$BY$400,0),4),"")</f>
        <v/>
      </c>
      <c r="CB145" s="48" t="str">
        <f ca="1">IFERROR(INDEX($BT$3:$BY$400,MATCH(ROWS(CB$3:CB145),$BY$3:$BY$400,0),5),"")</f>
        <v/>
      </c>
      <c r="CC145" s="48" t="str">
        <f t="shared" ca="1" si="289"/>
        <v/>
      </c>
      <c r="CD145" s="48">
        <f ca="1">IF(AND($BF$9=1,CE145&lt;&gt;0),MAX($CD$104:CD144)+1,0)</f>
        <v>0</v>
      </c>
      <c r="CE145" s="48">
        <f ca="1">ROUND(IFERROR(INDEX(BILANCIO!$I$13:$J$59,MATCH(CF145,BILANCIO!$J$13:$J$59,0),1),0),0)</f>
        <v>0</v>
      </c>
      <c r="CF145" s="48" t="s">
        <v>795</v>
      </c>
      <c r="CG145" s="242" t="s">
        <v>571</v>
      </c>
      <c r="CI145" s="48">
        <f t="shared" ca="1" si="331"/>
        <v>0</v>
      </c>
      <c r="CJ145" s="242">
        <f ca="1">SUMIFS(COPIA!$CB$3:$CB$400,COPIA!$CC$3:$CC$400,CF145)-SUMIFS(COPIA!$CA$3:$CA$400,COPIA!$CC$3:$CC$400,CF145)</f>
        <v>0</v>
      </c>
      <c r="CK145" s="48">
        <f ca="1">IF($CG$2=FALSE,0,IF(AND($BF$9=1,CJ145&lt;&gt;0),MAX($CK$21:CK144)+1,0))</f>
        <v>0</v>
      </c>
      <c r="CM145" s="242" t="str">
        <f t="shared" ca="1" si="305"/>
        <v/>
      </c>
      <c r="CN145" s="243">
        <f t="shared" ca="1" si="306"/>
        <v>0</v>
      </c>
      <c r="CO145" s="48" t="str">
        <f t="shared" ca="1" si="307"/>
        <v/>
      </c>
      <c r="CQ145" s="242"/>
      <c r="CR145" s="242"/>
      <c r="CU145" s="48">
        <f ca="1">IF(SUMIFS(AVERE,DEN_G,AC145,AVERE,"&gt;"&amp;0)+SUMIFS(DARE,DEN_G,AC145,DARE,"&gt;"&amp;0)&gt;0,MAX($CU$2:CU144)+1,0)</f>
        <v>0</v>
      </c>
      <c r="CV145" s="48" t="str">
        <f ca="1">IF(IFERROR(INDEX(PDC,MATCH(ROWS($CV$3:CV145),$CU$3:$CU$400,0),2),"")="CONTO DI RISULTATO ECONOMICO","",IFERROR(INDEX(PDC,MATCH(ROWS($CV$3:CV145),$CU$3:$CU$400,0),2),""))</f>
        <v/>
      </c>
      <c r="CW145" s="48">
        <f ca="1">IFERROR(IF(CV145&lt;&gt;"",MAX($CW$2:CW144)+1,0),0)</f>
        <v>0</v>
      </c>
      <c r="CY145" s="48" t="s">
        <v>500</v>
      </c>
      <c r="DB145" s="48" t="str">
        <f t="shared" ref="DB145" ca="1" si="341">IF(CX144=$DF$1,"","MASTRO")</f>
        <v>MASTRO</v>
      </c>
      <c r="DF145" s="48">
        <f ca="1">IF(AND(CX145=$DF$1,CX145&lt;&gt;""),0,IF(AND(DB145&lt;&gt;"",OR(DB144&lt;&gt;"",DB146&lt;&gt;"")),MAX($DF$2:DF144)+1,0))</f>
        <v>0</v>
      </c>
      <c r="DH145" s="244" t="s">
        <v>962</v>
      </c>
      <c r="DI145" s="48" t="s">
        <v>869</v>
      </c>
      <c r="DJ145" s="48" t="s">
        <v>312</v>
      </c>
      <c r="DK145" s="48" t="s">
        <v>298</v>
      </c>
      <c r="DL145" s="48" t="s">
        <v>272</v>
      </c>
      <c r="DM145" s="48" t="s">
        <v>299</v>
      </c>
      <c r="DN145" s="48">
        <f ca="1">IF(DI145&lt;&gt;"",MAX($DN$2:DN144)+1,0)</f>
        <v>122</v>
      </c>
      <c r="DO145" s="48" t="str">
        <f t="shared" ref="DO145:DO147" ca="1" si="342">IF($BF$9=1,"ppb4","ppb")</f>
        <v>ppb</v>
      </c>
      <c r="DQ145" s="227" t="s">
        <v>110</v>
      </c>
      <c r="DR145" s="48" t="s">
        <v>109</v>
      </c>
      <c r="DS145" s="48" t="s">
        <v>312</v>
      </c>
      <c r="DT145" s="48" t="s">
        <v>298</v>
      </c>
      <c r="DU145" s="48" t="s">
        <v>5</v>
      </c>
      <c r="DV145" s="48" t="s">
        <v>299</v>
      </c>
      <c r="DW145" s="48">
        <f ca="1">IF(DR145&lt;&gt;"",MAX($DW$2:DW144)+1,0)</f>
        <v>88</v>
      </c>
      <c r="DX145" s="48" t="s">
        <v>659</v>
      </c>
      <c r="DY145" s="48" t="str">
        <f t="shared" ca="1" si="291"/>
        <v/>
      </c>
      <c r="DZ145" s="48" t="str">
        <f t="shared" ca="1" si="309"/>
        <v/>
      </c>
      <c r="EA145" s="48" t="str">
        <f t="shared" ca="1" si="310"/>
        <v/>
      </c>
      <c r="EB145" s="48">
        <f t="shared" ca="1" si="311"/>
        <v>0</v>
      </c>
      <c r="EC145" s="48">
        <f t="shared" ca="1" si="312"/>
        <v>0</v>
      </c>
      <c r="ED145" s="48" t="str">
        <f t="shared" ca="1" si="313"/>
        <v/>
      </c>
      <c r="EE145" s="48">
        <f t="shared" ca="1" si="314"/>
        <v>0</v>
      </c>
      <c r="EF145" s="48" t="str">
        <f t="shared" ca="1" si="315"/>
        <v/>
      </c>
      <c r="EG145" s="48">
        <f t="shared" ca="1" si="316"/>
        <v>0</v>
      </c>
      <c r="EH145" s="48" t="str">
        <f t="shared" ca="1" si="317"/>
        <v/>
      </c>
      <c r="EI145" s="48">
        <f t="shared" ca="1" si="318"/>
        <v>0</v>
      </c>
      <c r="EJ145" s="48" t="str">
        <f t="shared" ca="1" si="319"/>
        <v/>
      </c>
      <c r="EK145" s="48">
        <f t="shared" ca="1" si="320"/>
        <v>0</v>
      </c>
      <c r="EL145" s="48">
        <f t="shared" ca="1" si="292"/>
        <v>0</v>
      </c>
      <c r="EM145" s="48">
        <f ca="1">IF(EL145&gt;=0,0,MAX($EM$2:EM144)+1)</f>
        <v>0</v>
      </c>
      <c r="EN145" s="48" t="str">
        <f t="shared" ca="1" si="321"/>
        <v/>
      </c>
      <c r="EO145" s="48" t="str">
        <f ca="1">IFERROR(INDEX($EM$3:$EN$400,MATCH(ROWS($EO$3:EO145),$EM$3:$EM$400,0),2),"")</f>
        <v/>
      </c>
      <c r="EP145" s="48">
        <f>ROW()</f>
        <v>145</v>
      </c>
      <c r="EQ145" s="48">
        <f t="shared" ca="1" si="293"/>
        <v>0</v>
      </c>
      <c r="ER145" s="48">
        <f ca="1">IF(ISNA(EQ145)=TRUE,MAX($ER$2:ER144)+1,0)</f>
        <v>0</v>
      </c>
      <c r="ES145" s="48" t="str">
        <f t="shared" ca="1" si="322"/>
        <v/>
      </c>
      <c r="ET145" s="48" t="str">
        <f ca="1">IFERROR(INDEX($ER$3:$ES$400,MATCH(ROWS($ET$3:ET145),$ER$3:$ER$400,0),2),"")</f>
        <v/>
      </c>
      <c r="EV145" s="48">
        <f ca="1">IFERROR(INDEX(LIBRO_GIORNALE!$O$11:$P$408,MATCH(ROWS($EV$2:EV144),LIBRO_GIORNALE!$P$11:$P$408,0),1),0)</f>
        <v>0</v>
      </c>
      <c r="EW145" s="48" t="str">
        <f t="shared" ca="1" si="323"/>
        <v>0</v>
      </c>
      <c r="EX145" s="48">
        <f t="shared" ca="1" si="324"/>
        <v>0</v>
      </c>
      <c r="EY145" s="48">
        <f ca="1">IF(EX145&gt;0,MAX($EY$2:EY144)+1,0)</f>
        <v>0</v>
      </c>
      <c r="EZ145" s="48">
        <f ca="1">IFERROR(INDEX($EX$3:$EX$400,MATCH(ROWS($EZ$3:EZ145),$EY$3:$EY$400,0),1),0)</f>
        <v>0</v>
      </c>
      <c r="FA145" s="48">
        <f ca="1">IF(EZ145&gt;0,0,MAX($FA$2:FA144)+1)</f>
        <v>143</v>
      </c>
      <c r="FB145" s="48">
        <f t="shared" ca="1" si="325"/>
        <v>0</v>
      </c>
      <c r="FC145" s="48">
        <f t="shared" ca="1" si="326"/>
        <v>143</v>
      </c>
      <c r="FD145" s="48">
        <f t="shared" ca="1" si="327"/>
        <v>143</v>
      </c>
      <c r="FE145" s="48">
        <f ca="1">IF(FD145=0,0,MAX($FE$2:FE144)+1)</f>
        <v>143</v>
      </c>
      <c r="FF145" s="48">
        <f ca="1">IFERROR(INDEX($FD$3:$FE$400,MATCH(ROWS($FF$3:FF145),$FE$3:$FE$400,0),1),"")</f>
        <v>143</v>
      </c>
      <c r="FG145" s="48">
        <f t="shared" ca="1" si="255"/>
        <v>0</v>
      </c>
      <c r="FH145" s="48">
        <f t="shared" ca="1" si="328"/>
        <v>0</v>
      </c>
      <c r="FI145" s="48">
        <f ca="1">IF(FH145&lt;&gt;0,MAX($FI$2:FI144)+1,0)</f>
        <v>0</v>
      </c>
      <c r="FJ145" s="48" t="str">
        <f ca="1">IFERROR(INDEX($FH$3:$FI$400,MATCH(ROWS($FJ$3:FJ145),$FI$3:$FI$400,0),1),"")</f>
        <v/>
      </c>
      <c r="FK145" s="48">
        <f ca="1">IF(ABS(SUMIFS(DARE,DEN_G,"="&amp;FJ145,DATA,"&lt;="&amp;FINE_AC,DATA,"&gt;="&amp;INIZIO_A_PC)-SUMIFS(AVERE,DEN_G,"="&amp;FJ145,DATA,"&lt;="&amp;FINE_AC,DATA,"&gt;="&amp;INIZIO_A_PC))&gt;0,MAX($FK$2:FK144)+1,0)</f>
        <v>0</v>
      </c>
      <c r="FL145" s="48" t="str">
        <f ca="1">IF(AND(ROW()-2&lt;&gt;1,ROW()-2&lt;=$FK$1),CONCATENATE(" - ",IFERROR(INDEX($FJ$3:$FK$400,MATCH(ROWS($FL$3:FL145),$FK$3:$FK$400,0),1),"")),IFERROR(INDEX($FJ$3:$FK$400,MATCH(ROWS($FL$3:FL145),$FK$3:$FK$400,0),1),""))</f>
        <v/>
      </c>
      <c r="FM145" s="48">
        <f ca="1">IF(OR(B145="IVA ns/credito",B145="IVA NS/DEBITO",B145="IVA C/ACCONTO",B145="IMPOSTE C/ACCONTO",B145="CREDITI PER RITENUTE SUBITE",B145="CREDITI D'IMPOSTA"),MAX($FM$2:FM144)+1,0)</f>
        <v>0</v>
      </c>
      <c r="FN145" s="48" t="str">
        <f t="shared" ca="1" si="329"/>
        <v/>
      </c>
      <c r="FO145" s="48" t="str">
        <f ca="1">IFERROR(INDEX($FM$3:$FN$400,MATCH(ROWS($FO$3:FO145),$FM$3:$FM$400,0),2),"")</f>
        <v/>
      </c>
      <c r="FP145" s="48">
        <f ca="1">IF(ABS(SUMIFS(DARE,DEN_G,"="&amp;FO145,DATA,"&lt;="&amp;FINE_AC,DATA,"&gt;="&amp;INIZIO_A_PC)-SUMIFS(AVERE,DEN_G,"="&amp;FO145,DATA,"&lt;="&amp;FINE_AC,DATA,"&gt;="&amp;INIZIO_A_PC))&gt;0,MAX($FP$2:FP144)+1,0)</f>
        <v>0</v>
      </c>
      <c r="FQ145" s="48" t="str">
        <f ca="1">IF(AND(ROW()-2&lt;&gt;1,ROW()-2&lt;=$FP$1),CONCATENATE(" - ",IFERROR(INDEX($FO$3:$FP$400,MATCH(ROWS($FQ$3:FQ145),$FP$3:$FP$400,0),1),"")),IFERROR(INDEX($FO$3:$FP$400,MATCH(ROWS($FQ$3:FQ145),$FP$3:$FP$400,0),1),""))</f>
        <v/>
      </c>
    </row>
    <row r="146" spans="1:173" x14ac:dyDescent="0.3">
      <c r="A146" s="48" t="str">
        <f ca="1">IFERROR(IF($A$1=2,INDEX($DH$3:$DN$401,MATCH(ROWS(A$3:A146),$DN$3:$DN$401,0),COLUMN()),IF($A$1=1,INDEX($DQ$3:$DW$401,MATCH(ROWS(A$3:A146),$DW$3:$DW$401,0),COLUMN()),"")),"")</f>
        <v>14.09</v>
      </c>
      <c r="B146" s="48" t="str">
        <f ca="1">IFERROR(IF($A$1=2,INDEX($DH$3:$DN$401,MATCH(ROWS(B$3:B146),$DN$3:$DN$401,0),COLUMN()),IF($A$1=1,INDEX($DQ$3:$DW$400,MATCH(ROWS(B$3:B146),$DW$3:$DW$401,0),COLUMN()),"")),"")</f>
        <v>DEBITI DA LIQUIDARE</v>
      </c>
      <c r="C146" s="48" t="str">
        <f ca="1">IFERROR(IF($A$1=2,INDEX($DH$3:$DN$401,MATCH(ROWS(C$3:C146),$DN$3:$DN$401,0),COLUMN()),IF($A$1=1,INDEX($DQ$3:$DW$401,MATCH(ROWS(C$3:C146),$DW$3:$DW$401,0),COLUMN()),"")),"")</f>
        <v>F</v>
      </c>
      <c r="D146" s="48" t="str">
        <f ca="1">IFERROR(IF($A$1=2,INDEX($DH$3:$DN$401,MATCH(ROWS(D$3:D146),$DN$3:$DN$401,0),COLUMN()),IF($A$1=1,INDEX($DQ$3:$DW$401,MATCH(ROWS(D$3:D146),$DW$3:$DW$401,0),COLUMN()),"")),"")</f>
        <v>A</v>
      </c>
      <c r="E146" s="48" t="str">
        <f ca="1">IFERROR(IF($A$1=2,INDEX($DH$3:$DN$401,MATCH(ROWS(E$3:E146),$DN$3:$DN$401,0),COLUMN()),IF($A$1=1,INDEX($DQ$3:$DW$401,MATCH(ROWS(E$3:E146),$DW$3:$DW$401,0),COLUMN()),"")),"")</f>
        <v>DEBITI</v>
      </c>
      <c r="F146" s="48" t="str">
        <f ca="1">IFERROR(IF($A$1=2,INDEX($DH$3:$DN$401,MATCH(ROWS(F$3:F146),$DN$3:$DN$401,0),COLUMN()),IF($A$1=1,INDEX($DQ$3:$DX$401,MATCH(ROWS(F$3:F146),$DW$3:$DW$401,0),COLUMN()),"")),"")</f>
        <v>SP AVERE</v>
      </c>
      <c r="G146" s="48" t="str">
        <f t="shared" ca="1" si="294"/>
        <v>SP</v>
      </c>
      <c r="H146" s="48" t="str">
        <f ca="1">IFERROR(IF($A$1=2,INDEX($DH$3:$DO$400,MATCH(ROWS(H$3:H146),$DN$3:$DN$400,0),COLUMN()),IF($A$1=1,INDEX($DQ$3:$DX$400,MATCH(ROWS(H$3:H146),$DW$3:$DW$400,0),COLUMN()),"")),"")</f>
        <v>ppd</v>
      </c>
      <c r="I146" s="48" t="str">
        <f t="shared" ca="1" si="295"/>
        <v/>
      </c>
      <c r="J146" s="48" t="str">
        <f t="shared" ca="1" si="296"/>
        <v/>
      </c>
      <c r="K146" s="48">
        <f t="shared" ca="1" si="297"/>
        <v>0</v>
      </c>
      <c r="L146" s="48">
        <f t="shared" ca="1" si="298"/>
        <v>0</v>
      </c>
      <c r="M146" s="48">
        <f ca="1">IFERROR(IF(IF(MID($A146,3,3)=".00",MID(A146,1,2),"")&lt;&gt;"",MAX($M$2:M145)+1,0),"")</f>
        <v>0</v>
      </c>
      <c r="N146" s="48" t="str">
        <f t="shared" ca="1" si="299"/>
        <v/>
      </c>
      <c r="O146" s="48" t="str">
        <f ca="1">IF(IFERROR(INDEX($N$3:$O$300,MATCH(ROWS($O$3:O146),$M$3:$M$300,0),1),"")&lt;&gt;"",CONCATENATE(INDEX($N$3:$O$300,MATCH(ROWS($O$3:O146),$M$3:$M$300,0),1),".00"),"")</f>
        <v/>
      </c>
      <c r="P146" s="48" t="str">
        <f t="shared" ca="1" si="300"/>
        <v/>
      </c>
      <c r="Q146" s="48">
        <f ca="1">IF(M146&gt;=1,0,MAX($Q$2:Q145)+1)</f>
        <v>129</v>
      </c>
      <c r="U146" s="48" t="str">
        <f ca="1">IFERROR(INDEX(PDC,MATCH(ROWS(U$3:U146),$V$3:$V$400,0),2),"")</f>
        <v>AZIONISTI C/RIMBORSO</v>
      </c>
      <c r="V146" s="48">
        <f ca="1">IF(AND($T$1="VISUALIZZA TUTTI I CONTI",AA146&lt;&gt;""),MAX($V$2:V145)+1,IF(AND($U$2=2,AI146=$T$1),MAX($V$2:V145)+1,IF(AND($U$2=1,$T$1=AF146),MAX($V$2:V145)+1,0)))</f>
        <v>144</v>
      </c>
      <c r="Z146" s="246"/>
      <c r="AA146" s="48" t="str">
        <f t="shared" ca="1" si="301"/>
        <v>15.00</v>
      </c>
      <c r="AB146" s="48" t="str">
        <f ca="1">IFERROR(INDEX($A$3:$G$400,MATCH(ROWS(AB$3:AB146),$Q$3:$Q$400,0),1),"")</f>
        <v>15.50</v>
      </c>
      <c r="AC146" s="48" t="str">
        <f ca="1">IFERROR(INDEX($A$3:$G$400,MATCH(ROWS($AC$3:AC146),$Q$3:$Q$400,0),2),"")</f>
        <v>AZIONISTI C/RIMBORSO</v>
      </c>
      <c r="AD146" s="48" t="str">
        <f ca="1">IFERROR(INDEX($A$3:$G$400,MATCH(ROWS(AD$3:AD146),$Q$3:$Q$400,0),3),"")</f>
        <v>F</v>
      </c>
      <c r="AE146" s="48" t="str">
        <f ca="1">IFERROR(INDEX($A$3:$G$400,MATCH(ROWS(AE$3:AE146),$Q$3:$Q$400,0),4),"")</f>
        <v>A</v>
      </c>
      <c r="AF146" s="48" t="str">
        <f ca="1">IFERROR(INDEX($A$3:$G$400,MATCH(ROWS(AF$3:AF146),$Q$3:$Q$400,0),5),"")</f>
        <v>DEBITI</v>
      </c>
      <c r="AG146" s="48" t="str">
        <f ca="1">IFERROR(INDEX($A$3:$G$400,MATCH(ROWS(AG$3:AG146),$Q$3:$Q$400,0),6),"")</f>
        <v>SP AVERE</v>
      </c>
      <c r="AH146" s="48" t="str">
        <f ca="1">IFERROR(INDEX($A$3:$G$400,MATCH(ROWS(AH$3:AH146),$Q$3:$Q$400,0),7),"")</f>
        <v>SP</v>
      </c>
      <c r="AI146" s="48" t="str">
        <f t="shared" ca="1" si="302"/>
        <v>DEBITI DIVERSI</v>
      </c>
      <c r="AJ146" s="48" t="str">
        <f ca="1">IFERROR(INDEX($A$3:$H$400,MATCH(ROWS(AJ$3:AJ146),$Q$3:$Q$400,0),8),"")</f>
        <v>ppd</v>
      </c>
      <c r="AK146" s="48">
        <f t="shared" ca="1" si="277"/>
        <v>0</v>
      </c>
      <c r="AL146" s="48">
        <f t="shared" ca="1" si="335"/>
        <v>0</v>
      </c>
      <c r="AM146" s="48">
        <f t="shared" ca="1" si="252"/>
        <v>0</v>
      </c>
      <c r="AN146" s="48">
        <f t="shared" ca="1" si="253"/>
        <v>0</v>
      </c>
      <c r="AO146" s="48">
        <f t="shared" ca="1" si="254"/>
        <v>0</v>
      </c>
      <c r="AP146" s="48">
        <f t="shared" ca="1" si="254"/>
        <v>0</v>
      </c>
      <c r="AQ146" s="48" t="str">
        <f t="shared" ca="1" si="278"/>
        <v>AZIONISTI C/RIMBORSO</v>
      </c>
      <c r="AR146" s="48">
        <f t="shared" ca="1" si="279"/>
        <v>0</v>
      </c>
      <c r="AS146" s="48">
        <f t="shared" ca="1" si="280"/>
        <v>0</v>
      </c>
      <c r="AT146" s="48">
        <f t="shared" ca="1" si="303"/>
        <v>0</v>
      </c>
      <c r="AU146" s="48">
        <f t="shared" ca="1" si="304"/>
        <v>0</v>
      </c>
      <c r="AV146" s="48">
        <f ca="1">IF(OR(AT146&gt;0,AU146&gt;0),MAX($AV$2:AV145)+1,0)</f>
        <v>0</v>
      </c>
      <c r="AZ146" s="241" t="str">
        <f t="shared" si="240"/>
        <v>46 V.I.</v>
      </c>
      <c r="BA146" s="48">
        <f t="shared" ca="1" si="330"/>
        <v>0</v>
      </c>
      <c r="BB146" s="48">
        <f t="shared" ca="1" si="247"/>
        <v>0</v>
      </c>
      <c r="BC146" s="48" t="str">
        <f t="shared" ca="1" si="248"/>
        <v/>
      </c>
      <c r="BD146" s="48">
        <f t="shared" ca="1" si="249"/>
        <v>0</v>
      </c>
      <c r="BE146" s="48">
        <f t="shared" ca="1" si="250"/>
        <v>0</v>
      </c>
      <c r="BG146" s="48">
        <f ca="1">IF(IF(AND(OR(INDEX(PDC,MATCH($AC146,DEN_PDC,0),6)="SP DARE",INDEX(PDC,MATCH($AC146,DEN_PDC,0),6)="SP DARE/AVERE"),SUMIFS(DARE,DEN_G,$AC146)&gt;=SUMIFS(AVERE,DEN_G,$AC146)),SUMIFS(DARE,DEN_G,$AC146)-SUMIFS(AVERE,DEN_G,$AC146),0)&gt;0,MAX($BG$2:BG145)+1,0)</f>
        <v>0</v>
      </c>
      <c r="BH146" s="48">
        <f ca="1">IF(IF(AND(OR(INDEX(PDC,MATCH($AC146,DEN_PDC,0),6)="SP AVERE",INDEX(PDC,MATCH($AC146,DEN_PDC,0),6)="SP DARE/AVERE"),SUMIFS(AVERE,DEN_G,$AC146)&gt;=SUMIFS(DARE,DEN_G,$AC146)),SUMIFS(AVERE,DEN_G,$AC146)-SUMIFS(DARE,DEN_G,$AC146),0)&gt;0,MAX(BH$2:BH145)+1,0)</f>
        <v>0</v>
      </c>
      <c r="BI146" s="48">
        <f ca="1">IF(IF(AND(OR(INDEX(PDC,MATCH($AC146,DEN_PDC,0),6)="SE DARE",INDEX(PDC,MATCH($AC146,DEN_PDC,0),6)="SE DARE/AVERE"),SUMIFS(DARE,DEN_G,$AC146)&gt;=SUMIFS(AVERE,DEN_G,$AC146)),SUMIFS(DARE,DEN_G,$AC146)-SUMIFS(AVERE,DEN_G,$AC146),0)&gt;0,MAX(BI$2:BI145)+1,0)</f>
        <v>0</v>
      </c>
      <c r="BJ146" s="48">
        <f ca="1">IF(IF(AND(OR(INDEX(PDC,MATCH($AC146,DEN_PDC,0),6)="SE AVERE",INDEX(PDC,MATCH($AC146,DEN_PDC,0),6)="SE DARE/AVERE"),SUMIFS(AVERE,DEN_G,$AC146)&gt;=SUMIFS(DARE,DEN_G,$AC146)),SUMIFS(AVERE,DEN_G,$AC146)-SUMIFS(DARE,DEN_G,$AC146),0)&gt;0,MAX(BJ$2:BJ145)+1,0)</f>
        <v>0</v>
      </c>
      <c r="BK146" s="48" t="str">
        <f ca="1">IF(AND(AND($DY$2=0,$DY$1=0),$I$1=2,ROW()&gt;$BG$1+2,ROW()&lt;=$BG$1+4),"………………..",IF(AND(OR($DY$2&gt;0,$DY$1&gt;0),$I$1=2,ROW()&gt;$BG$1+2,ROW()&lt;=$BG$1+4),"………………..",IFERROR(INDEX($AC$3:$AC$398,MATCH(ROWS(BK$3:BK146),BG$3:BG$398,0),1),"")))</f>
        <v/>
      </c>
      <c r="BL146" s="48">
        <f t="shared" ca="1" si="281"/>
        <v>0</v>
      </c>
      <c r="BM146" s="48" t="str">
        <f ca="1">IF(AND(OR($DY$2=0,$DY$1=0),$I$1=2,ROW()&gt;$BH$1+2,ROW()&lt;=$BH$1+4),"………………..",IF(AND(OR($DY$2&gt;0,$DY$1&gt;0),$I$1=2,ROW()&gt;$BH$1+2,ROW()&lt;=$BH$1+4),"………………..",IFERROR(INDEX($AC$3:$AC$400,MATCH(ROWS(BM$3:BM146),BH$3:BH$400,0),1),"")))</f>
        <v/>
      </c>
      <c r="BN146" s="48">
        <f t="shared" ca="1" si="282"/>
        <v>0</v>
      </c>
      <c r="BO146" s="48" t="str">
        <f ca="1">IF(AND(OR($DY$2=0,$DY$1=0),$I$1=2,ROW()&gt;$BI$1+2,ROW()&lt;=$BI$1+4),"………………..",IF(AND(OR($DY$2&gt;0,$DY$1&gt;0),$I$1=2,ROW()&gt;$BI$1+2,ROW()&lt;=$BI$1+4),"………………..",IFERROR(INDEX($AC$3:$AC$400,MATCH(ROWS(BO$3:BO146),BI$3:BI$400,0),1),"")))</f>
        <v/>
      </c>
      <c r="BP146" s="48">
        <f t="shared" ca="1" si="283"/>
        <v>0</v>
      </c>
      <c r="BQ146" s="48" t="str">
        <f ca="1">IF(AND(OR($DY$2=0,$DY$1=0),$I$1=2,ROW()&gt;$BJ$1+2,ROW()&lt;=$BJ$1+4),"………………..",IF(AND(OR($DY$2&gt;0,$DY$1&gt;0),$I$1=2,ROW()&gt;$BJ$1+2,ROW()&lt;=$BJ$1+4),"………………..",IFERROR(INDEX($AC$3:$AC$400,MATCH(ROWS(BQ$3:BQ146),BJ$3:BJ$400,0),1),"")))</f>
        <v/>
      </c>
      <c r="BR146" s="48">
        <f t="shared" ca="1" si="284"/>
        <v>0</v>
      </c>
      <c r="BS146" s="48">
        <f ca="1">IF(IF(AND(OR(INDEX(PDC,MATCH($AC146,DEN_PDC,0),4)="D",INDEX(PDC,MATCH($AC146,DEN_PDC,0),4)="D/A"),SUMIFS(DARE,DEN_G,$AC146)&gt;=SUMIFS(AVERE,DEN_G,$AC146)),SUMIFS(DARE,DEN_G,$AC146),IF(AND(OR(INDEX(PDC,MATCH($AC146,DEN_PDC,0),4)="A",INDEX(PDC,MATCH($AC146,DEN_PDC,0),4)="D/A"),SUMIFS(AVERE,DEN_G,$AC146)&gt;=SUMIFS(DARE,DEN_G,$AC146)),SUMIFS(AVERE,DEN_G,$AC146),))&gt;0,MAX($BS$2:BS145)+1,0)</f>
        <v>0</v>
      </c>
      <c r="BT146" s="48" t="str">
        <f ca="1">IF($CO$1=0,"",IF(AND($I$1=2,ROW()&gt;$BR$1,ROW()&lt;=$BS$1)," …………….",IF(AND($E$1=1,$BX$1=1,$I$1=2,ROW()=$BQ$1),"TOTALI",IFERROR(INDEX(PDC,MATCH(ROWS(BT$3:BT146),BS$3:BS543,0),2),""))))</f>
        <v/>
      </c>
      <c r="BU146" s="48">
        <f t="shared" ca="1" si="285"/>
        <v>0</v>
      </c>
      <c r="BV146" s="48">
        <f t="shared" ca="1" si="286"/>
        <v>0</v>
      </c>
      <c r="BW146" s="48">
        <f t="shared" ca="1" si="287"/>
        <v>0</v>
      </c>
      <c r="BX146" s="48">
        <f t="shared" ca="1" si="288"/>
        <v>0</v>
      </c>
      <c r="BY146" s="48">
        <f ca="1">IF(OR(BW146&gt;0,BX146&gt;0),MAX($BY$2:BY145)+1,0)</f>
        <v>0</v>
      </c>
      <c r="BZ146" s="48" t="str">
        <f ca="1">IFERROR(INDEX($BT$3:$BY$400,MATCH(ROWS(BZ$3:BZ146),$BY$3:$BY$400,0),1),"")</f>
        <v/>
      </c>
      <c r="CA146" s="48" t="str">
        <f ca="1">IFERROR(INDEX($BT$3:$BY$400,MATCH(ROWS(CA$3:CA146),$BY$3:$BY$400,0),4),"")</f>
        <v/>
      </c>
      <c r="CB146" s="48" t="str">
        <f ca="1">IFERROR(INDEX($BT$3:$BY$400,MATCH(ROWS(CB$3:CB146),$BY$3:$BY$400,0),5),"")</f>
        <v/>
      </c>
      <c r="CC146" s="48" t="str">
        <f t="shared" ca="1" si="289"/>
        <v/>
      </c>
      <c r="CD146" s="48">
        <f ca="1">IF(AND($BF$9=1,CE146&lt;&gt;0),MAX($CD$104:CD145)+1,0)</f>
        <v>0</v>
      </c>
      <c r="CE146" s="48">
        <f ca="1">IF(ROUND(SUMIFS(COPIA!$CB$3:$CB$400,COPIA!$CC$3:$CC$400,CF146)-SUMIFS(COPIA!$CA$3:$CA$400,COPIA!$CC$3:$CC$400,CF146),0)&lt;0,0,ROUND(SUMIFS(COPIA!$CB$3:$CB$400,COPIA!$CC$3:$CC$400,CF146)-SUMIFS(COPIA!$CA$3:$CA$400,COPIA!$CC$3:$CC$400,CF146),0))</f>
        <v>0</v>
      </c>
      <c r="CF146" s="48" t="s">
        <v>670</v>
      </c>
      <c r="CG146" s="242" t="s">
        <v>564</v>
      </c>
      <c r="CH146" s="48">
        <f t="shared" ca="1" si="259"/>
        <v>0</v>
      </c>
      <c r="CJ146" s="242">
        <f ca="1">SUMIFS(COPIA!$CB$3:$CB$400,COPIA!$CC$3:$CC$400,CF146)-SUMIFS(COPIA!$CA$3:$CA$400,COPIA!$CC$3:$CC$400,CF146)</f>
        <v>0</v>
      </c>
      <c r="CK146" s="48">
        <f ca="1">IF($CG$2=FALSE,0,IF(AND($BF$9=1,CJ146&lt;&gt;0),MAX($CK$21:CK145)+1,0))</f>
        <v>0</v>
      </c>
      <c r="CL146" s="48" t="s">
        <v>796</v>
      </c>
      <c r="CM146" s="242" t="str">
        <f t="shared" ca="1" si="305"/>
        <v/>
      </c>
      <c r="CN146" s="243">
        <f t="shared" ca="1" si="306"/>
        <v>0</v>
      </c>
      <c r="CO146" s="48" t="str">
        <f t="shared" ca="1" si="307"/>
        <v/>
      </c>
      <c r="CQ146" s="242"/>
      <c r="CR146" s="242"/>
      <c r="CU146" s="48">
        <f ca="1">IF(SUMIFS(AVERE,DEN_G,AC146,AVERE,"&gt;"&amp;0)+SUMIFS(DARE,DEN_G,AC146,DARE,"&gt;"&amp;0)&gt;0,MAX($CU$2:CU145)+1,0)</f>
        <v>0</v>
      </c>
      <c r="CV146" s="48" t="str">
        <f ca="1">IF(IFERROR(INDEX(PDC,MATCH(ROWS($CV$3:CV146),$CU$3:$CU$400,0),2),"")="CONTO DI RISULTATO ECONOMICO","",IFERROR(INDEX(PDC,MATCH(ROWS($CV$3:CV146),$CU$3:$CU$400,0),2),""))</f>
        <v/>
      </c>
      <c r="CW146" s="48">
        <f ca="1">IFERROR(IF(CV146&lt;&gt;"",MAX($CW$2:CW145)+1,0),0)</f>
        <v>0</v>
      </c>
      <c r="CX146" s="48">
        <f ca="1">$FF$14</f>
        <v>12</v>
      </c>
      <c r="CY146" s="48" t="str">
        <f t="shared" ref="CY146:CY157" ca="1" si="343">IF(ISERROR(INDEX($CV$3:$CX$1302,MATCH(CX146,$CW$3:$CW$1302,0),1)),"MASTRO",INDEX($CV$3:$CX$1302,MATCH(CX146,$CW$3:$CW$1302,0),1))</f>
        <v>MASTRO</v>
      </c>
      <c r="DA146" s="48" t="str">
        <f>IF(CY145="MASTRO","Conto n.","")</f>
        <v>Conto n.</v>
      </c>
      <c r="DB146" s="48" t="str">
        <f ca="1">IF(CY146=0,"",INDEX(PDC,MATCH(DC146,DEN_PDC,0),1))</f>
        <v/>
      </c>
      <c r="DC146" s="48" t="str">
        <f ca="1">IF(OR(CY146=0,CY146="mastro"),"",CY146)</f>
        <v/>
      </c>
      <c r="DD146" s="48" t="str">
        <f ca="1">IF(AND($DA$2=TRUE,OR(INDEX(PDC,MATCH($DC146,DEN_PDC,0),4)="A",INDEX(PDC,MATCH($DC146,DEN_PDC,0),4)="D/A"),SUMIFS(AVERE,DEN_G,"="&amp;$DC146,DATA,"&lt;="&amp;FINE_AC,DATA,"&gt;="&amp;INIZIO_AC)&gt;SUMIFS(DARE,DEN_G,"="&amp;$DC146,DATA,"&lt;="&amp;FINE_AC,DATA,"&gt;="&amp;INIZIO_AC)),CONCATENATE("s ",FIXED(ABS(SUMIFS(AVERE,DEN_G,"="&amp;$DC146,DATA,"&lt;="&amp;FINE_AC,DATA,"&gt;="&amp;INIZIO_AC)-SUMIFS(DARE,DEN_G,"="&amp;$DC146,DATA,"&lt;="&amp;FINE_AC,DATA,"&gt;="&amp;INIZIO_AC)),2)),"")</f>
        <v/>
      </c>
      <c r="DE146" s="48" t="str">
        <f ca="1">IF(AND($DA$2=TRUE,OR(INDEX(PDC,MATCH($DC146,DEN_PDC,0),4)="D",INDEX(PDC,MATCH($DC146,DEN_PDC,0),4)="D/A"),SUMIFS(DARE,DEN_G,"="&amp;$DC146,DATA,"&lt;="&amp;FINE_AC,DATA,"&gt;="&amp;INIZIO_AC)&gt;SUMIFS(AVERE,DEN_G,"="&amp;$DC146,DATA,"&lt;="&amp;FINE_AC,DATA,"&gt;="&amp;INIZIO_AC)),CONCATENATE("s ",FIXED(ABS(SUMIFS(DARE,DEN_G,"="&amp;$DC146,DATA,"&lt;="&amp;FINE_AC,DATA,"&gt;="&amp;INIZIO_AC)-SUMIFS(AVERE,DEN_G,"="&amp;$DC146,DATA,"&lt;="&amp;FINE_AC,DATA,"&gt;="&amp;INIZIO_AC)),2)),"")</f>
        <v/>
      </c>
      <c r="DF146" s="48">
        <f ca="1">IF(AND(CX146=$DF$1,CX146&lt;&gt;""),0,IF(AND(DB146&lt;&gt;"",OR(DB145&lt;&gt;"",DB147&lt;&gt;"")),MAX($DF$2:DF145)+1,0))</f>
        <v>0</v>
      </c>
      <c r="DH146" s="244" t="s">
        <v>1020</v>
      </c>
      <c r="DI146" s="48" t="s">
        <v>1094</v>
      </c>
      <c r="DJ146" s="48" t="s">
        <v>312</v>
      </c>
      <c r="DK146" s="48" t="s">
        <v>298</v>
      </c>
      <c r="DL146" s="48" t="s">
        <v>272</v>
      </c>
      <c r="DM146" s="48" t="s">
        <v>299</v>
      </c>
      <c r="DN146" s="48">
        <f ca="1">IF(DI146&lt;&gt;"",MAX($DN$2:DN145)+1,0)</f>
        <v>123</v>
      </c>
      <c r="DO146" s="48" t="str">
        <f t="shared" ca="1" si="342"/>
        <v>ppb</v>
      </c>
      <c r="DQ146" s="227" t="s">
        <v>112</v>
      </c>
      <c r="DR146" s="228" t="s">
        <v>111</v>
      </c>
      <c r="DW146" s="48">
        <f ca="1">IF(DR146&lt;&gt;"",MAX($DW$2:DW145)+1,0)</f>
        <v>89</v>
      </c>
      <c r="DY146" s="48" t="str">
        <f t="shared" ca="1" si="291"/>
        <v/>
      </c>
      <c r="DZ146" s="48" t="str">
        <f t="shared" ca="1" si="309"/>
        <v/>
      </c>
      <c r="EA146" s="48" t="str">
        <f t="shared" ca="1" si="310"/>
        <v/>
      </c>
      <c r="EB146" s="48">
        <f t="shared" ca="1" si="311"/>
        <v>0</v>
      </c>
      <c r="EC146" s="48">
        <f t="shared" ca="1" si="312"/>
        <v>0</v>
      </c>
      <c r="ED146" s="48" t="str">
        <f t="shared" ca="1" si="313"/>
        <v/>
      </c>
      <c r="EE146" s="48">
        <f t="shared" ca="1" si="314"/>
        <v>0</v>
      </c>
      <c r="EF146" s="48" t="str">
        <f t="shared" ca="1" si="315"/>
        <v/>
      </c>
      <c r="EG146" s="48">
        <f t="shared" ca="1" si="316"/>
        <v>0</v>
      </c>
      <c r="EH146" s="48" t="str">
        <f t="shared" ca="1" si="317"/>
        <v/>
      </c>
      <c r="EI146" s="48">
        <f t="shared" ca="1" si="318"/>
        <v>0</v>
      </c>
      <c r="EJ146" s="48" t="str">
        <f t="shared" ca="1" si="319"/>
        <v/>
      </c>
      <c r="EK146" s="48">
        <f t="shared" ca="1" si="320"/>
        <v>0</v>
      </c>
      <c r="EL146" s="48">
        <f t="shared" ca="1" si="292"/>
        <v>0</v>
      </c>
      <c r="EM146" s="48">
        <f ca="1">IF(EL146&gt;=0,0,MAX($EM$2:EM145)+1)</f>
        <v>0</v>
      </c>
      <c r="EN146" s="48" t="str">
        <f t="shared" ca="1" si="321"/>
        <v/>
      </c>
      <c r="EO146" s="48" t="str">
        <f ca="1">IFERROR(INDEX($EM$3:$EN$400,MATCH(ROWS($EO$3:EO146),$EM$3:$EM$400,0),2),"")</f>
        <v/>
      </c>
      <c r="EP146" s="48">
        <f>ROW()</f>
        <v>146</v>
      </c>
      <c r="EQ146" s="48">
        <f t="shared" ca="1" si="293"/>
        <v>0</v>
      </c>
      <c r="ER146" s="48">
        <f ca="1">IF(ISNA(EQ146)=TRUE,MAX($ER$2:ER145)+1,0)</f>
        <v>0</v>
      </c>
      <c r="ES146" s="48" t="str">
        <f t="shared" ca="1" si="322"/>
        <v/>
      </c>
      <c r="ET146" s="48" t="str">
        <f ca="1">IFERROR(INDEX($ER$3:$ES$400,MATCH(ROWS($ET$3:ET146),$ER$3:$ER$400,0),2),"")</f>
        <v/>
      </c>
      <c r="EV146" s="48">
        <f ca="1">IFERROR(INDEX(LIBRO_GIORNALE!$O$11:$P$408,MATCH(ROWS($EV$2:EV145),LIBRO_GIORNALE!$P$11:$P$408,0),1),0)</f>
        <v>0</v>
      </c>
      <c r="EW146" s="48" t="str">
        <f t="shared" ca="1" si="323"/>
        <v>0</v>
      </c>
      <c r="EX146" s="48">
        <f t="shared" ca="1" si="324"/>
        <v>0</v>
      </c>
      <c r="EY146" s="48">
        <f ca="1">IF(EX146&gt;0,MAX($EY$2:EY145)+1,0)</f>
        <v>0</v>
      </c>
      <c r="EZ146" s="48">
        <f ca="1">IFERROR(INDEX($EX$3:$EX$400,MATCH(ROWS($EZ$3:EZ146),$EY$3:$EY$400,0),1),0)</f>
        <v>0</v>
      </c>
      <c r="FA146" s="48">
        <f ca="1">IF(EZ146&gt;0,0,MAX($FA$2:FA145)+1)</f>
        <v>144</v>
      </c>
      <c r="FB146" s="48">
        <f t="shared" ca="1" si="325"/>
        <v>0</v>
      </c>
      <c r="FC146" s="48">
        <f t="shared" ca="1" si="326"/>
        <v>144</v>
      </c>
      <c r="FD146" s="48">
        <f t="shared" ca="1" si="327"/>
        <v>144</v>
      </c>
      <c r="FE146" s="48">
        <f ca="1">IF(FD146=0,0,MAX($FE$2:FE145)+1)</f>
        <v>144</v>
      </c>
      <c r="FF146" s="48">
        <f ca="1">IFERROR(INDEX($FD$3:$FE$400,MATCH(ROWS($FF$3:FF146),$FE$3:$FE$400,0),1),"")</f>
        <v>144</v>
      </c>
      <c r="FG146" s="48">
        <f t="shared" ca="1" si="255"/>
        <v>0</v>
      </c>
      <c r="FH146" s="48">
        <f t="shared" ca="1" si="328"/>
        <v>0</v>
      </c>
      <c r="FI146" s="48">
        <f ca="1">IF(FH146&lt;&gt;0,MAX($FI$2:FI145)+1,0)</f>
        <v>0</v>
      </c>
      <c r="FJ146" s="48" t="str">
        <f ca="1">IFERROR(INDEX($FH$3:$FI$400,MATCH(ROWS($FJ$3:FJ146),$FI$3:$FI$400,0),1),"")</f>
        <v/>
      </c>
      <c r="FK146" s="48">
        <f ca="1">IF(ABS(SUMIFS(DARE,DEN_G,"="&amp;FJ146,DATA,"&lt;="&amp;FINE_AC,DATA,"&gt;="&amp;INIZIO_A_PC)-SUMIFS(AVERE,DEN_G,"="&amp;FJ146,DATA,"&lt;="&amp;FINE_AC,DATA,"&gt;="&amp;INIZIO_A_PC))&gt;0,MAX($FK$2:FK145)+1,0)</f>
        <v>0</v>
      </c>
      <c r="FL146" s="48" t="str">
        <f ca="1">IF(AND(ROW()-2&lt;&gt;1,ROW()-2&lt;=$FK$1),CONCATENATE(" - ",IFERROR(INDEX($FJ$3:$FK$400,MATCH(ROWS($FL$3:FL146),$FK$3:$FK$400,0),1),"")),IFERROR(INDEX($FJ$3:$FK$400,MATCH(ROWS($FL$3:FL146),$FK$3:$FK$400,0),1),""))</f>
        <v/>
      </c>
      <c r="FM146" s="48">
        <f ca="1">IF(OR(B146="IVA ns/credito",B146="IVA NS/DEBITO",B146="IVA C/ACCONTO",B146="IMPOSTE C/ACCONTO",B146="CREDITI PER RITENUTE SUBITE",B146="CREDITI D'IMPOSTA"),MAX($FM$2:FM145)+1,0)</f>
        <v>0</v>
      </c>
      <c r="FN146" s="48" t="str">
        <f t="shared" ca="1" si="329"/>
        <v/>
      </c>
      <c r="FO146" s="48" t="str">
        <f ca="1">IFERROR(INDEX($FM$3:$FN$400,MATCH(ROWS($FO$3:FO146),$FM$3:$FM$400,0),2),"")</f>
        <v/>
      </c>
      <c r="FP146" s="48">
        <f ca="1">IF(ABS(SUMIFS(DARE,DEN_G,"="&amp;FO146,DATA,"&lt;="&amp;FINE_AC,DATA,"&gt;="&amp;INIZIO_A_PC)-SUMIFS(AVERE,DEN_G,"="&amp;FO146,DATA,"&lt;="&amp;FINE_AC,DATA,"&gt;="&amp;INIZIO_A_PC))&gt;0,MAX($FP$2:FP145)+1,0)</f>
        <v>0</v>
      </c>
      <c r="FQ146" s="48" t="str">
        <f ca="1">IF(AND(ROW()-2&lt;&gt;1,ROW()-2&lt;=$FP$1),CONCATENATE(" - ",IFERROR(INDEX($FO$3:$FP$400,MATCH(ROWS($FQ$3:FQ146),$FP$3:$FP$400,0),1),"")),IFERROR(INDEX($FO$3:$FP$400,MATCH(ROWS($FQ$3:FQ146),$FP$3:$FP$400,0),1),""))</f>
        <v/>
      </c>
    </row>
    <row r="147" spans="1:173" x14ac:dyDescent="0.3">
      <c r="A147" s="48" t="str">
        <f ca="1">IFERROR(IF($A$1=2,INDEX($DH$3:$DN$401,MATCH(ROWS(A$3:A147),$DN$3:$DN$401,0),COLUMN()),IF($A$1=1,INDEX($DQ$3:$DW$401,MATCH(ROWS(A$3:A147),$DW$3:$DW$401,0),COLUMN()),"")),"")</f>
        <v>14.15</v>
      </c>
      <c r="B147" s="48" t="str">
        <f ca="1">IFERROR(IF($A$1=2,INDEX($DH$3:$DN$401,MATCH(ROWS(B$3:B147),$DN$3:$DN$401,0),COLUMN()),IF($A$1=1,INDEX($DQ$3:$DW$400,MATCH(ROWS(B$3:B147),$DW$3:$DW$401,0),COLUMN()),"")),"")</f>
        <v>DEBITI PER ACCONTI A FORNITORI</v>
      </c>
      <c r="C147" s="48" t="str">
        <f ca="1">IFERROR(IF($A$1=2,INDEX($DH$3:$DN$401,MATCH(ROWS(C$3:C147),$DN$3:$DN$401,0),COLUMN()),IF($A$1=1,INDEX($DQ$3:$DW$401,MATCH(ROWS(C$3:C147),$DW$3:$DW$401,0),COLUMN()),"")),"")</f>
        <v>F</v>
      </c>
      <c r="D147" s="48" t="str">
        <f ca="1">IFERROR(IF($A$1=2,INDEX($DH$3:$DN$401,MATCH(ROWS(D$3:D147),$DN$3:$DN$401,0),COLUMN()),IF($A$1=1,INDEX($DQ$3:$DW$401,MATCH(ROWS(D$3:D147),$DW$3:$DW$401,0),COLUMN()),"")),"")</f>
        <v>A</v>
      </c>
      <c r="E147" s="48" t="str">
        <f ca="1">IFERROR(IF($A$1=2,INDEX($DH$3:$DN$401,MATCH(ROWS(E$3:E147),$DN$3:$DN$401,0),COLUMN()),IF($A$1=1,INDEX($DQ$3:$DW$401,MATCH(ROWS(E$3:E147),$DW$3:$DW$401,0),COLUMN()),"")),"")</f>
        <v>DEBITI</v>
      </c>
      <c r="F147" s="48" t="str">
        <f ca="1">IFERROR(IF($A$1=2,INDEX($DH$3:$DN$401,MATCH(ROWS(F$3:F147),$DN$3:$DN$401,0),COLUMN()),IF($A$1=1,INDEX($DQ$3:$DX$401,MATCH(ROWS(F$3:F147),$DW$3:$DW$401,0),COLUMN()),"")),"")</f>
        <v>SP AVERE</v>
      </c>
      <c r="G147" s="48" t="str">
        <f t="shared" ca="1" si="294"/>
        <v>SP</v>
      </c>
      <c r="H147" s="48" t="str">
        <f ca="1">IFERROR(IF($A$1=2,INDEX($DH$3:$DO$400,MATCH(ROWS(H$3:H147),$DN$3:$DN$400,0),COLUMN()),IF($A$1=1,INDEX($DQ$3:$DX$400,MATCH(ROWS(H$3:H147),$DW$3:$DW$400,0),COLUMN()),"")),"")</f>
        <v>ppd</v>
      </c>
      <c r="I147" s="48" t="str">
        <f t="shared" ca="1" si="295"/>
        <v/>
      </c>
      <c r="J147" s="48" t="str">
        <f t="shared" ca="1" si="296"/>
        <v/>
      </c>
      <c r="K147" s="48">
        <f t="shared" ca="1" si="297"/>
        <v>0</v>
      </c>
      <c r="L147" s="48">
        <f t="shared" ca="1" si="298"/>
        <v>0</v>
      </c>
      <c r="M147" s="48">
        <f ca="1">IFERROR(IF(IF(MID($A147,3,3)=".00",MID(A147,1,2),"")&lt;&gt;"",MAX($M$2:M146)+1,0),"")</f>
        <v>0</v>
      </c>
      <c r="N147" s="48" t="str">
        <f t="shared" ca="1" si="299"/>
        <v/>
      </c>
      <c r="O147" s="48" t="str">
        <f ca="1">IF(IFERROR(INDEX($N$3:$O$300,MATCH(ROWS($O$3:O147),$M$3:$M$300,0),1),"")&lt;&gt;"",CONCATENATE(INDEX($N$3:$O$300,MATCH(ROWS($O$3:O147),$M$3:$M$300,0),1),".00"),"")</f>
        <v/>
      </c>
      <c r="P147" s="48" t="str">
        <f t="shared" ca="1" si="300"/>
        <v/>
      </c>
      <c r="Q147" s="48">
        <f ca="1">IF(M147&gt;=1,0,MAX($Q$2:Q146)+1)</f>
        <v>130</v>
      </c>
      <c r="U147" s="48" t="str">
        <f ca="1">IFERROR(INDEX(PDC,MATCH(ROWS(U$3:U147),$V$3:$V$400,0),2),"")</f>
        <v>DEBITI PER AZIONI ESTRATTE</v>
      </c>
      <c r="V147" s="48">
        <f ca="1">IF(AND($T$1="VISUALIZZA TUTTI I CONTI",AA147&lt;&gt;""),MAX($V$2:V146)+1,IF(AND($U$2=2,AI147=$T$1),MAX($V$2:V146)+1,IF(AND($U$2=1,$T$1=AF147),MAX($V$2:V146)+1,0)))</f>
        <v>145</v>
      </c>
      <c r="Z147" s="246"/>
      <c r="AA147" s="48" t="str">
        <f t="shared" ca="1" si="301"/>
        <v>15.00</v>
      </c>
      <c r="AB147" s="48" t="str">
        <f ca="1">IFERROR(INDEX($A$3:$G$400,MATCH(ROWS(AB$3:AB147),$Q$3:$Q$400,0),1),"")</f>
        <v>15.51</v>
      </c>
      <c r="AC147" s="48" t="str">
        <f ca="1">IFERROR(INDEX($A$3:$G$400,MATCH(ROWS($AC$3:AC147),$Q$3:$Q$400,0),2),"")</f>
        <v>DEBITI PER AZIONI ESTRATTE</v>
      </c>
      <c r="AD147" s="48" t="str">
        <f ca="1">IFERROR(INDEX($A$3:$G$400,MATCH(ROWS(AD$3:AD147),$Q$3:$Q$400,0),3),"")</f>
        <v>F</v>
      </c>
      <c r="AE147" s="48" t="str">
        <f ca="1">IFERROR(INDEX($A$3:$G$400,MATCH(ROWS(AE$3:AE147),$Q$3:$Q$400,0),4),"")</f>
        <v>A</v>
      </c>
      <c r="AF147" s="48" t="str">
        <f ca="1">IFERROR(INDEX($A$3:$G$400,MATCH(ROWS(AF$3:AF147),$Q$3:$Q$400,0),5),"")</f>
        <v>DEBITI</v>
      </c>
      <c r="AG147" s="48" t="str">
        <f ca="1">IFERROR(INDEX($A$3:$G$400,MATCH(ROWS(AG$3:AG147),$Q$3:$Q$400,0),6),"")</f>
        <v>SP AVERE</v>
      </c>
      <c r="AH147" s="48" t="str">
        <f ca="1">IFERROR(INDEX($A$3:$G$400,MATCH(ROWS(AH$3:AH147),$Q$3:$Q$400,0),7),"")</f>
        <v>SP</v>
      </c>
      <c r="AI147" s="48" t="str">
        <f t="shared" ca="1" si="302"/>
        <v>DEBITI DIVERSI</v>
      </c>
      <c r="AJ147" s="48" t="str">
        <f ca="1">IFERROR(INDEX($A$3:$H$400,MATCH(ROWS(AJ$3:AJ147),$Q$3:$Q$400,0),8),"")</f>
        <v>ppd</v>
      </c>
      <c r="AK147" s="48">
        <f t="shared" ca="1" si="277"/>
        <v>0</v>
      </c>
      <c r="AL147" s="48">
        <f t="shared" ca="1" si="335"/>
        <v>0</v>
      </c>
      <c r="AM147" s="48">
        <f t="shared" ca="1" si="252"/>
        <v>0</v>
      </c>
      <c r="AN147" s="48">
        <f t="shared" ca="1" si="253"/>
        <v>0</v>
      </c>
      <c r="AO147" s="48">
        <f t="shared" ca="1" si="254"/>
        <v>0</v>
      </c>
      <c r="AP147" s="48">
        <f t="shared" ca="1" si="254"/>
        <v>0</v>
      </c>
      <c r="AQ147" s="48" t="str">
        <f t="shared" ca="1" si="278"/>
        <v>DEBITI PER AZIONI ESTRATTE</v>
      </c>
      <c r="AR147" s="48">
        <f t="shared" ca="1" si="279"/>
        <v>0</v>
      </c>
      <c r="AS147" s="48">
        <f t="shared" ca="1" si="280"/>
        <v>0</v>
      </c>
      <c r="AT147" s="48">
        <f t="shared" ca="1" si="303"/>
        <v>0</v>
      </c>
      <c r="AU147" s="48">
        <f t="shared" ca="1" si="304"/>
        <v>0</v>
      </c>
      <c r="AV147" s="48">
        <f ca="1">IF(OR(AT147&gt;0,AU147&gt;0),MAX($AV$2:AV146)+1,0)</f>
        <v>0</v>
      </c>
      <c r="AZ147" s="241" t="str">
        <f t="shared" si="240"/>
        <v>47 V.I.</v>
      </c>
      <c r="BA147" s="48">
        <f t="shared" ca="1" si="330"/>
        <v>0</v>
      </c>
      <c r="BB147" s="48">
        <f t="shared" ca="1" si="247"/>
        <v>0</v>
      </c>
      <c r="BC147" s="48" t="str">
        <f t="shared" ca="1" si="248"/>
        <v/>
      </c>
      <c r="BD147" s="48">
        <f t="shared" ca="1" si="249"/>
        <v>0</v>
      </c>
      <c r="BE147" s="48">
        <f t="shared" ca="1" si="250"/>
        <v>0</v>
      </c>
      <c r="BG147" s="48">
        <f ca="1">IF(IF(AND(OR(INDEX(PDC,MATCH($AC147,DEN_PDC,0),6)="SP DARE",INDEX(PDC,MATCH($AC147,DEN_PDC,0),6)="SP DARE/AVERE"),SUMIFS(DARE,DEN_G,$AC147)&gt;=SUMIFS(AVERE,DEN_G,$AC147)),SUMIFS(DARE,DEN_G,$AC147)-SUMIFS(AVERE,DEN_G,$AC147),0)&gt;0,MAX($BG$2:BG146)+1,0)</f>
        <v>0</v>
      </c>
      <c r="BH147" s="48">
        <f ca="1">IF(IF(AND(OR(INDEX(PDC,MATCH($AC147,DEN_PDC,0),6)="SP AVERE",INDEX(PDC,MATCH($AC147,DEN_PDC,0),6)="SP DARE/AVERE"),SUMIFS(AVERE,DEN_G,$AC147)&gt;=SUMIFS(DARE,DEN_G,$AC147)),SUMIFS(AVERE,DEN_G,$AC147)-SUMIFS(DARE,DEN_G,$AC147),0)&gt;0,MAX(BH$2:BH146)+1,0)</f>
        <v>0</v>
      </c>
      <c r="BI147" s="48">
        <f ca="1">IF(IF(AND(OR(INDEX(PDC,MATCH($AC147,DEN_PDC,0),6)="SE DARE",INDEX(PDC,MATCH($AC147,DEN_PDC,0),6)="SE DARE/AVERE"),SUMIFS(DARE,DEN_G,$AC147)&gt;=SUMIFS(AVERE,DEN_G,$AC147)),SUMIFS(DARE,DEN_G,$AC147)-SUMIFS(AVERE,DEN_G,$AC147),0)&gt;0,MAX(BI$2:BI146)+1,0)</f>
        <v>0</v>
      </c>
      <c r="BJ147" s="48">
        <f ca="1">IF(IF(AND(OR(INDEX(PDC,MATCH($AC147,DEN_PDC,0),6)="SE AVERE",INDEX(PDC,MATCH($AC147,DEN_PDC,0),6)="SE DARE/AVERE"),SUMIFS(AVERE,DEN_G,$AC147)&gt;=SUMIFS(DARE,DEN_G,$AC147)),SUMIFS(AVERE,DEN_G,$AC147)-SUMIFS(DARE,DEN_G,$AC147),0)&gt;0,MAX(BJ$2:BJ146)+1,0)</f>
        <v>0</v>
      </c>
      <c r="BK147" s="48" t="str">
        <f ca="1">IF(AND(AND($DY$2=0,$DY$1=0),$I$1=2,ROW()&gt;$BG$1+2,ROW()&lt;=$BG$1+4),"………………..",IF(AND(OR($DY$2&gt;0,$DY$1&gt;0),$I$1=2,ROW()&gt;$BG$1+2,ROW()&lt;=$BG$1+4),"………………..",IFERROR(INDEX($AC$3:$AC$398,MATCH(ROWS(BK$3:BK147),BG$3:BG$398,0),1),"")))</f>
        <v/>
      </c>
      <c r="BL147" s="48">
        <f t="shared" ca="1" si="281"/>
        <v>0</v>
      </c>
      <c r="BM147" s="48" t="str">
        <f ca="1">IF(AND(OR($DY$2=0,$DY$1=0),$I$1=2,ROW()&gt;$BH$1+2,ROW()&lt;=$BH$1+4),"………………..",IF(AND(OR($DY$2&gt;0,$DY$1&gt;0),$I$1=2,ROW()&gt;$BH$1+2,ROW()&lt;=$BH$1+4),"………………..",IFERROR(INDEX($AC$3:$AC$400,MATCH(ROWS(BM$3:BM147),BH$3:BH$400,0),1),"")))</f>
        <v/>
      </c>
      <c r="BN147" s="48">
        <f t="shared" ca="1" si="282"/>
        <v>0</v>
      </c>
      <c r="BO147" s="48" t="str">
        <f ca="1">IF(AND(OR($DY$2=0,$DY$1=0),$I$1=2,ROW()&gt;$BI$1+2,ROW()&lt;=$BI$1+4),"………………..",IF(AND(OR($DY$2&gt;0,$DY$1&gt;0),$I$1=2,ROW()&gt;$BI$1+2,ROW()&lt;=$BI$1+4),"………………..",IFERROR(INDEX($AC$3:$AC$400,MATCH(ROWS(BO$3:BO147),BI$3:BI$400,0),1),"")))</f>
        <v/>
      </c>
      <c r="BP147" s="48">
        <f t="shared" ca="1" si="283"/>
        <v>0</v>
      </c>
      <c r="BQ147" s="48" t="str">
        <f ca="1">IF(AND(OR($DY$2=0,$DY$1=0),$I$1=2,ROW()&gt;$BJ$1+2,ROW()&lt;=$BJ$1+4),"………………..",IF(AND(OR($DY$2&gt;0,$DY$1&gt;0),$I$1=2,ROW()&gt;$BJ$1+2,ROW()&lt;=$BJ$1+4),"………………..",IFERROR(INDEX($AC$3:$AC$400,MATCH(ROWS(BQ$3:BQ147),BJ$3:BJ$400,0),1),"")))</f>
        <v/>
      </c>
      <c r="BR147" s="48">
        <f t="shared" ca="1" si="284"/>
        <v>0</v>
      </c>
      <c r="BS147" s="48">
        <f ca="1">IF(IF(AND(OR(INDEX(PDC,MATCH($AC147,DEN_PDC,0),4)="D",INDEX(PDC,MATCH($AC147,DEN_PDC,0),4)="D/A"),SUMIFS(DARE,DEN_G,$AC147)&gt;=SUMIFS(AVERE,DEN_G,$AC147)),SUMIFS(DARE,DEN_G,$AC147),IF(AND(OR(INDEX(PDC,MATCH($AC147,DEN_PDC,0),4)="A",INDEX(PDC,MATCH($AC147,DEN_PDC,0),4)="D/A"),SUMIFS(AVERE,DEN_G,$AC147)&gt;=SUMIFS(DARE,DEN_G,$AC147)),SUMIFS(AVERE,DEN_G,$AC147),))&gt;0,MAX($BS$2:BS146)+1,0)</f>
        <v>0</v>
      </c>
      <c r="BT147" s="48" t="str">
        <f ca="1">IF($CO$1=0,"",IF(AND($I$1=2,ROW()&gt;$BR$1,ROW()&lt;=$BS$1)," …………….",IF(AND($E$1=1,$BX$1=1,$I$1=2,ROW()=$BQ$1),"TOTALI",IFERROR(INDEX(PDC,MATCH(ROWS(BT$3:BT147),BS$3:BS544,0),2),""))))</f>
        <v/>
      </c>
      <c r="BU147" s="48">
        <f t="shared" ca="1" si="285"/>
        <v>0</v>
      </c>
      <c r="BV147" s="48">
        <f t="shared" ca="1" si="286"/>
        <v>0</v>
      </c>
      <c r="BW147" s="48">
        <f t="shared" ca="1" si="287"/>
        <v>0</v>
      </c>
      <c r="BX147" s="48">
        <f t="shared" ca="1" si="288"/>
        <v>0</v>
      </c>
      <c r="BY147" s="48">
        <f ca="1">IF(OR(BW147&gt;0,BX147&gt;0),MAX($BY$2:BY146)+1,0)</f>
        <v>0</v>
      </c>
      <c r="BZ147" s="48" t="str">
        <f ca="1">IFERROR(INDEX($BT$3:$BY$400,MATCH(ROWS(BZ$3:BZ147),$BY$3:$BY$400,0),1),"")</f>
        <v/>
      </c>
      <c r="CA147" s="48" t="str">
        <f ca="1">IFERROR(INDEX($BT$3:$BY$400,MATCH(ROWS(CA$3:CA147),$BY$3:$BY$400,0),4),"")</f>
        <v/>
      </c>
      <c r="CB147" s="48" t="str">
        <f ca="1">IFERROR(INDEX($BT$3:$BY$400,MATCH(ROWS(CB$3:CB147),$BY$3:$BY$400,0),5),"")</f>
        <v/>
      </c>
      <c r="CC147" s="48" t="str">
        <f t="shared" ca="1" si="289"/>
        <v/>
      </c>
      <c r="CD147" s="48">
        <f ca="1">IF(AND($BF$9=1,CE147&lt;&gt;0),MAX($CD$104:CD146)+1,0)</f>
        <v>0</v>
      </c>
      <c r="CE147" s="48">
        <f ca="1">ROUND(IFERROR(INDEX(BILANCIO!$I$13:$J$59,MATCH(CF147,BILANCIO!$J$13:$J$59,0),1),0),0)</f>
        <v>0</v>
      </c>
      <c r="CF147" s="48" t="s">
        <v>796</v>
      </c>
      <c r="CG147" s="242" t="s">
        <v>571</v>
      </c>
      <c r="CI147" s="48">
        <f t="shared" ca="1" si="331"/>
        <v>0</v>
      </c>
      <c r="CJ147" s="242">
        <f ca="1">SUMIFS(COPIA!$CB$3:$CB$400,COPIA!$CC$3:$CC$400,CF147)-SUMIFS(COPIA!$CA$3:$CA$400,COPIA!$CC$3:$CC$400,CF147)</f>
        <v>0</v>
      </c>
      <c r="CK147" s="48">
        <f ca="1">IF($CG$2=FALSE,0,IF(AND($BF$9=1,CJ147&lt;&gt;0),MAX($CK$21:CK146)+1,0))</f>
        <v>0</v>
      </c>
      <c r="CM147" s="242" t="str">
        <f t="shared" ca="1" si="305"/>
        <v/>
      </c>
      <c r="CN147" s="243">
        <f t="shared" ca="1" si="306"/>
        <v>0</v>
      </c>
      <c r="CO147" s="48" t="str">
        <f t="shared" ca="1" si="307"/>
        <v/>
      </c>
      <c r="CQ147" s="242"/>
      <c r="CR147" s="242"/>
      <c r="CU147" s="48">
        <f ca="1">IF(SUMIFS(AVERE,DEN_G,AC147,AVERE,"&gt;"&amp;0)+SUMIFS(DARE,DEN_G,AC147,DARE,"&gt;"&amp;0)&gt;0,MAX($CU$2:CU146)+1,0)</f>
        <v>0</v>
      </c>
      <c r="CV147" s="48" t="str">
        <f ca="1">IF(IFERROR(INDEX(PDC,MATCH(ROWS($CV$3:CV147),$CU$3:$CU$400,0),2),"")="CONTO DI RISULTATO ECONOMICO","",IFERROR(INDEX(PDC,MATCH(ROWS($CV$3:CV147),$CU$3:$CU$400,0),2),""))</f>
        <v/>
      </c>
      <c r="CW147" s="48">
        <f ca="1">IFERROR(IF(CV147&lt;&gt;"",MAX($CW$2:CW146)+1,0),0)</f>
        <v>0</v>
      </c>
      <c r="CX147" s="48">
        <f t="shared" ref="CX147:CX157" ca="1" si="344">$FF$14</f>
        <v>12</v>
      </c>
      <c r="CY147" s="48" t="str">
        <f t="shared" ca="1" si="343"/>
        <v>MASTRO</v>
      </c>
      <c r="DA147" s="48" t="str">
        <f ca="1">IF(DB146="","","Num. riga")</f>
        <v/>
      </c>
      <c r="DB147" s="48" t="str">
        <f t="shared" ref="DB147" ca="1" si="345">IF(DB146="","","Data")</f>
        <v/>
      </c>
      <c r="DC147" s="48" t="str">
        <f ca="1">IF(DB146="","","Operazioni")</f>
        <v/>
      </c>
      <c r="DD147" s="48" t="str">
        <f ca="1">IF(DB146="","","Dare        ")</f>
        <v/>
      </c>
      <c r="DE147" s="48" t="str">
        <f ca="1">IF(DB146="","","Avere        ")</f>
        <v/>
      </c>
      <c r="DF147" s="48">
        <f ca="1">IF(AND(CX147=$DF$1,CX147&lt;&gt;""),0,IF(AND(DB147&lt;&gt;"",OR(DB146&lt;&gt;"",DB148&lt;&gt;"")),MAX($DF$2:DF146)+1,0))</f>
        <v>0</v>
      </c>
      <c r="DH147" s="244"/>
      <c r="DI147" s="48" t="s">
        <v>1021</v>
      </c>
      <c r="DJ147" s="48" t="s">
        <v>312</v>
      </c>
      <c r="DK147" s="48" t="s">
        <v>298</v>
      </c>
      <c r="DL147" s="48" t="s">
        <v>272</v>
      </c>
      <c r="DM147" s="48" t="s">
        <v>299</v>
      </c>
      <c r="DO147" s="48" t="str">
        <f t="shared" ca="1" si="342"/>
        <v>ppb</v>
      </c>
      <c r="DQ147" s="227" t="s">
        <v>403</v>
      </c>
      <c r="DR147" s="48" t="s">
        <v>113</v>
      </c>
      <c r="DS147" s="48" t="s">
        <v>312</v>
      </c>
      <c r="DT147" s="48" t="s">
        <v>298</v>
      </c>
      <c r="DU147" s="48" t="s">
        <v>5</v>
      </c>
      <c r="DV147" s="48" t="s">
        <v>299</v>
      </c>
      <c r="DW147" s="48">
        <f ca="1">IF(DR147&lt;&gt;"",MAX($DW$2:DW146)+1,0)</f>
        <v>90</v>
      </c>
      <c r="DX147" s="48" t="str">
        <f ca="1">IF($BF$9=1,"ppd4","ppd")</f>
        <v>ppd</v>
      </c>
      <c r="DY147" s="48" t="str">
        <f t="shared" ca="1" si="291"/>
        <v/>
      </c>
      <c r="DZ147" s="48" t="str">
        <f t="shared" ca="1" si="309"/>
        <v/>
      </c>
      <c r="EA147" s="48" t="str">
        <f t="shared" ca="1" si="310"/>
        <v/>
      </c>
      <c r="EB147" s="48">
        <f t="shared" ca="1" si="311"/>
        <v>0</v>
      </c>
      <c r="EC147" s="48">
        <f t="shared" ca="1" si="312"/>
        <v>0</v>
      </c>
      <c r="ED147" s="48" t="str">
        <f t="shared" ca="1" si="313"/>
        <v/>
      </c>
      <c r="EE147" s="48">
        <f t="shared" ca="1" si="314"/>
        <v>0</v>
      </c>
      <c r="EF147" s="48" t="str">
        <f t="shared" ca="1" si="315"/>
        <v/>
      </c>
      <c r="EG147" s="48">
        <f t="shared" ca="1" si="316"/>
        <v>0</v>
      </c>
      <c r="EH147" s="48" t="str">
        <f t="shared" ca="1" si="317"/>
        <v/>
      </c>
      <c r="EI147" s="48">
        <f t="shared" ca="1" si="318"/>
        <v>0</v>
      </c>
      <c r="EJ147" s="48" t="str">
        <f t="shared" ca="1" si="319"/>
        <v/>
      </c>
      <c r="EK147" s="48">
        <f t="shared" ca="1" si="320"/>
        <v>0</v>
      </c>
      <c r="EL147" s="48">
        <f t="shared" ca="1" si="292"/>
        <v>0</v>
      </c>
      <c r="EM147" s="48">
        <f ca="1">IF(EL147&gt;=0,0,MAX($EM$2:EM146)+1)</f>
        <v>0</v>
      </c>
      <c r="EN147" s="48" t="str">
        <f t="shared" ca="1" si="321"/>
        <v/>
      </c>
      <c r="EO147" s="48" t="str">
        <f ca="1">IFERROR(INDEX($EM$3:$EN$400,MATCH(ROWS($EO$3:EO147),$EM$3:$EM$400,0),2),"")</f>
        <v/>
      </c>
      <c r="EP147" s="48">
        <f>ROW()</f>
        <v>147</v>
      </c>
      <c r="EQ147" s="48">
        <f t="shared" ca="1" si="293"/>
        <v>0</v>
      </c>
      <c r="ER147" s="48">
        <f ca="1">IF(ISNA(EQ147)=TRUE,MAX($ER$2:ER146)+1,0)</f>
        <v>0</v>
      </c>
      <c r="ES147" s="48" t="str">
        <f t="shared" ca="1" si="322"/>
        <v/>
      </c>
      <c r="ET147" s="48" t="str">
        <f ca="1">IFERROR(INDEX($ER$3:$ES$400,MATCH(ROWS($ET$3:ET147),$ER$3:$ER$400,0),2),"")</f>
        <v/>
      </c>
      <c r="EV147" s="48">
        <f ca="1">IFERROR(INDEX(LIBRO_GIORNALE!$O$11:$P$408,MATCH(ROWS($EV$2:EV146),LIBRO_GIORNALE!$P$11:$P$408,0),1),0)</f>
        <v>0</v>
      </c>
      <c r="EW147" s="48" t="str">
        <f t="shared" ca="1" si="323"/>
        <v>0</v>
      </c>
      <c r="EX147" s="48">
        <f t="shared" ca="1" si="324"/>
        <v>0</v>
      </c>
      <c r="EY147" s="48">
        <f ca="1">IF(EX147&gt;0,MAX($EY$2:EY146)+1,0)</f>
        <v>0</v>
      </c>
      <c r="EZ147" s="48">
        <f ca="1">IFERROR(INDEX($EX$3:$EX$400,MATCH(ROWS($EZ$3:EZ147),$EY$3:$EY$400,0),1),0)</f>
        <v>0</v>
      </c>
      <c r="FA147" s="48">
        <f ca="1">IF(EZ147&gt;0,0,MAX($FA$2:FA146)+1)</f>
        <v>145</v>
      </c>
      <c r="FB147" s="48">
        <f t="shared" ca="1" si="325"/>
        <v>0</v>
      </c>
      <c r="FC147" s="48">
        <f t="shared" ca="1" si="326"/>
        <v>145</v>
      </c>
      <c r="FD147" s="48">
        <f t="shared" ca="1" si="327"/>
        <v>145</v>
      </c>
      <c r="FE147" s="48">
        <f ca="1">IF(FD147=0,0,MAX($FE$2:FE146)+1)</f>
        <v>145</v>
      </c>
      <c r="FF147" s="48">
        <f ca="1">IFERROR(INDEX($FD$3:$FE$400,MATCH(ROWS($FF$3:FF147),$FE$3:$FE$400,0),1),"")</f>
        <v>145</v>
      </c>
      <c r="FG147" s="48">
        <f t="shared" ca="1" si="255"/>
        <v>0</v>
      </c>
      <c r="FH147" s="48">
        <f t="shared" ca="1" si="328"/>
        <v>0</v>
      </c>
      <c r="FI147" s="48">
        <f ca="1">IF(FH147&lt;&gt;0,MAX($FI$2:FI146)+1,0)</f>
        <v>0</v>
      </c>
      <c r="FJ147" s="48" t="str">
        <f ca="1">IFERROR(INDEX($FH$3:$FI$400,MATCH(ROWS($FJ$3:FJ147),$FI$3:$FI$400,0),1),"")</f>
        <v/>
      </c>
      <c r="FK147" s="48">
        <f ca="1">IF(ABS(SUMIFS(DARE,DEN_G,"="&amp;FJ147,DATA,"&lt;="&amp;FINE_AC,DATA,"&gt;="&amp;INIZIO_A_PC)-SUMIFS(AVERE,DEN_G,"="&amp;FJ147,DATA,"&lt;="&amp;FINE_AC,DATA,"&gt;="&amp;INIZIO_A_PC))&gt;0,MAX($FK$2:FK146)+1,0)</f>
        <v>0</v>
      </c>
      <c r="FL147" s="48" t="str">
        <f ca="1">IF(AND(ROW()-2&lt;&gt;1,ROW()-2&lt;=$FK$1),CONCATENATE(" - ",IFERROR(INDEX($FJ$3:$FK$400,MATCH(ROWS($FL$3:FL147),$FK$3:$FK$400,0),1),"")),IFERROR(INDEX($FJ$3:$FK$400,MATCH(ROWS($FL$3:FL147),$FK$3:$FK$400,0),1),""))</f>
        <v/>
      </c>
      <c r="FM147" s="48">
        <f ca="1">IF(OR(B147="IVA ns/credito",B147="IVA NS/DEBITO",B147="IVA C/ACCONTO",B147="IMPOSTE C/ACCONTO",B147="CREDITI PER RITENUTE SUBITE",B147="CREDITI D'IMPOSTA"),MAX($FM$2:FM146)+1,0)</f>
        <v>0</v>
      </c>
      <c r="FN147" s="48" t="str">
        <f t="shared" ca="1" si="329"/>
        <v/>
      </c>
      <c r="FO147" s="48" t="str">
        <f ca="1">IFERROR(INDEX($FM$3:$FN$400,MATCH(ROWS($FO$3:FO147),$FM$3:$FM$400,0),2),"")</f>
        <v/>
      </c>
      <c r="FP147" s="48">
        <f ca="1">IF(ABS(SUMIFS(DARE,DEN_G,"="&amp;FO147,DATA,"&lt;="&amp;FINE_AC,DATA,"&gt;="&amp;INIZIO_A_PC)-SUMIFS(AVERE,DEN_G,"="&amp;FO147,DATA,"&lt;="&amp;FINE_AC,DATA,"&gt;="&amp;INIZIO_A_PC))&gt;0,MAX($FP$2:FP146)+1,0)</f>
        <v>0</v>
      </c>
      <c r="FQ147" s="48" t="str">
        <f ca="1">IF(AND(ROW()-2&lt;&gt;1,ROW()-2&lt;=$FP$1),CONCATENATE(" - ",IFERROR(INDEX($FO$3:$FP$400,MATCH(ROWS($FQ$3:FQ147),$FP$3:$FP$400,0),1),"")),IFERROR(INDEX($FO$3:$FP$400,MATCH(ROWS($FQ$3:FQ147),$FP$3:$FP$400,0),1),""))</f>
        <v/>
      </c>
    </row>
    <row r="148" spans="1:173" x14ac:dyDescent="0.3">
      <c r="A148" s="48" t="str">
        <f ca="1">IFERROR(IF($A$1=2,INDEX($DH$3:$DN$401,MATCH(ROWS(A$3:A148),$DN$3:$DN$401,0),COLUMN()),IF($A$1=1,INDEX($DQ$3:$DW$401,MATCH(ROWS(A$3:A148),$DW$3:$DW$401,0),COLUMN()),"")),"")</f>
        <v>14.20</v>
      </c>
      <c r="B148" s="48" t="str">
        <f ca="1">IFERROR(IF($A$1=2,INDEX($DH$3:$DN$401,MATCH(ROWS(B$3:B148),$DN$3:$DN$401,0),COLUMN()),IF($A$1=1,INDEX($DQ$3:$DW$400,MATCH(ROWS(B$3:B148),$DW$3:$DW$401,0),COLUMN()),"")),"")</f>
        <v>CLIENTI C/ACCONTI</v>
      </c>
      <c r="C148" s="48" t="str">
        <f ca="1">IFERROR(IF($A$1=2,INDEX($DH$3:$DN$401,MATCH(ROWS(C$3:C148),$DN$3:$DN$401,0),COLUMN()),IF($A$1=1,INDEX($DQ$3:$DW$401,MATCH(ROWS(C$3:C148),$DW$3:$DW$401,0),COLUMN()),"")),"")</f>
        <v>F</v>
      </c>
      <c r="D148" s="48" t="str">
        <f ca="1">IFERROR(IF($A$1=2,INDEX($DH$3:$DN$401,MATCH(ROWS(D$3:D148),$DN$3:$DN$401,0),COLUMN()),IF($A$1=1,INDEX($DQ$3:$DW$401,MATCH(ROWS(D$3:D148),$DW$3:$DW$401,0),COLUMN()),"")),"")</f>
        <v>A</v>
      </c>
      <c r="E148" s="48" t="str">
        <f ca="1">IFERROR(IF($A$1=2,INDEX($DH$3:$DN$401,MATCH(ROWS(E$3:E148),$DN$3:$DN$401,0),COLUMN()),IF($A$1=1,INDEX($DQ$3:$DW$401,MATCH(ROWS(E$3:E148),$DW$3:$DW$401,0),COLUMN()),"")),"")</f>
        <v>DEBITI</v>
      </c>
      <c r="F148" s="48" t="str">
        <f ca="1">IFERROR(IF($A$1=2,INDEX($DH$3:$DN$401,MATCH(ROWS(F$3:F148),$DN$3:$DN$401,0),COLUMN()),IF($A$1=1,INDEX($DQ$3:$DX$401,MATCH(ROWS(F$3:F148),$DW$3:$DW$401,0),COLUMN()),"")),"")</f>
        <v>SP AVERE</v>
      </c>
      <c r="G148" s="48" t="str">
        <f t="shared" ca="1" si="294"/>
        <v>SP</v>
      </c>
      <c r="H148" s="48" t="str">
        <f ca="1">IFERROR(IF($A$1=2,INDEX($DH$3:$DO$400,MATCH(ROWS(H$3:H148),$DN$3:$DN$400,0),COLUMN()),IF($A$1=1,INDEX($DQ$3:$DX$400,MATCH(ROWS(H$3:H148),$DW$3:$DW$400,0),COLUMN()),"")),"")</f>
        <v>ppd</v>
      </c>
      <c r="I148" s="48" t="str">
        <f t="shared" ca="1" si="295"/>
        <v/>
      </c>
      <c r="J148" s="48" t="str">
        <f t="shared" ca="1" si="296"/>
        <v/>
      </c>
      <c r="K148" s="48">
        <f t="shared" ca="1" si="297"/>
        <v>0</v>
      </c>
      <c r="L148" s="48">
        <f t="shared" ca="1" si="298"/>
        <v>0</v>
      </c>
      <c r="M148" s="48">
        <f ca="1">IFERROR(IF(IF(MID($A148,3,3)=".00",MID(A148,1,2),"")&lt;&gt;"",MAX($M$2:M147)+1,0),"")</f>
        <v>0</v>
      </c>
      <c r="N148" s="48" t="str">
        <f t="shared" ca="1" si="299"/>
        <v/>
      </c>
      <c r="O148" s="48" t="str">
        <f ca="1">IF(IFERROR(INDEX($N$3:$O$300,MATCH(ROWS($O$3:O148),$M$3:$M$300,0),1),"")&lt;&gt;"",CONCATENATE(INDEX($N$3:$O$300,MATCH(ROWS($O$3:O148),$M$3:$M$300,0),1),".00"),"")</f>
        <v/>
      </c>
      <c r="P148" s="48" t="str">
        <f t="shared" ca="1" si="300"/>
        <v/>
      </c>
      <c r="Q148" s="48">
        <f ca="1">IF(M148&gt;=1,0,MAX($Q$2:Q147)+1)</f>
        <v>131</v>
      </c>
      <c r="U148" s="48" t="str">
        <f ca="1">IFERROR(INDEX(PDC,MATCH(ROWS(U$3:U148),$V$3:$V$400,0),2),"")</f>
        <v>OBBLIGAZIONISTI C/INTERESSI</v>
      </c>
      <c r="V148" s="48">
        <f ca="1">IF(AND($T$1="VISUALIZZA TUTTI I CONTI",AA148&lt;&gt;""),MAX($V$2:V147)+1,IF(AND($U$2=2,AI148=$T$1),MAX($V$2:V147)+1,IF(AND($U$2=1,$T$1=AF148),MAX($V$2:V147)+1,0)))</f>
        <v>146</v>
      </c>
      <c r="Z148" s="246"/>
      <c r="AA148" s="48" t="str">
        <f t="shared" ca="1" si="301"/>
        <v>15.00</v>
      </c>
      <c r="AB148" s="48" t="str">
        <f ca="1">IFERROR(INDEX($A$3:$G$400,MATCH(ROWS(AB$3:AB148),$Q$3:$Q$400,0),1),"")</f>
        <v>15.60</v>
      </c>
      <c r="AC148" s="48" t="str">
        <f ca="1">IFERROR(INDEX($A$3:$G$400,MATCH(ROWS($AC$3:AC148),$Q$3:$Q$400,0),2),"")</f>
        <v>OBBLIGAZIONISTI C/INTERESSI</v>
      </c>
      <c r="AD148" s="48" t="str">
        <f ca="1">IFERROR(INDEX($A$3:$G$400,MATCH(ROWS(AD$3:AD148),$Q$3:$Q$400,0),3),"")</f>
        <v>F</v>
      </c>
      <c r="AE148" s="48" t="str">
        <f ca="1">IFERROR(INDEX($A$3:$G$400,MATCH(ROWS(AE$3:AE148),$Q$3:$Q$400,0),4),"")</f>
        <v>A</v>
      </c>
      <c r="AF148" s="48" t="str">
        <f ca="1">IFERROR(INDEX($A$3:$G$400,MATCH(ROWS(AF$3:AF148),$Q$3:$Q$400,0),5),"")</f>
        <v>DEBITI</v>
      </c>
      <c r="AG148" s="48" t="str">
        <f ca="1">IFERROR(INDEX($A$3:$G$400,MATCH(ROWS(AG$3:AG148),$Q$3:$Q$400,0),6),"")</f>
        <v>SP AVERE</v>
      </c>
      <c r="AH148" s="48" t="str">
        <f ca="1">IFERROR(INDEX($A$3:$G$400,MATCH(ROWS(AH$3:AH148),$Q$3:$Q$400,0),7),"")</f>
        <v>SP</v>
      </c>
      <c r="AI148" s="48" t="str">
        <f t="shared" ca="1" si="302"/>
        <v>DEBITI DIVERSI</v>
      </c>
      <c r="AJ148" s="48" t="str">
        <f ca="1">IFERROR(INDEX($A$3:$H$400,MATCH(ROWS(AJ$3:AJ148),$Q$3:$Q$400,0),8),"")</f>
        <v>ppd</v>
      </c>
      <c r="AK148" s="48">
        <f t="shared" ca="1" si="277"/>
        <v>0</v>
      </c>
      <c r="AL148" s="48">
        <f t="shared" ca="1" si="335"/>
        <v>0</v>
      </c>
      <c r="AM148" s="48">
        <f t="shared" ca="1" si="252"/>
        <v>0</v>
      </c>
      <c r="AN148" s="48">
        <f t="shared" ca="1" si="253"/>
        <v>0</v>
      </c>
      <c r="AO148" s="48">
        <f t="shared" ca="1" si="254"/>
        <v>0</v>
      </c>
      <c r="AP148" s="48">
        <f t="shared" ca="1" si="254"/>
        <v>0</v>
      </c>
      <c r="AQ148" s="48" t="str">
        <f t="shared" ca="1" si="278"/>
        <v>OBBLIGAZIONISTI C/INTERESSI</v>
      </c>
      <c r="AR148" s="48">
        <f t="shared" ca="1" si="279"/>
        <v>0</v>
      </c>
      <c r="AS148" s="48">
        <f t="shared" ca="1" si="280"/>
        <v>0</v>
      </c>
      <c r="AT148" s="48">
        <f t="shared" ca="1" si="303"/>
        <v>0</v>
      </c>
      <c r="AU148" s="48">
        <f t="shared" ca="1" si="304"/>
        <v>0</v>
      </c>
      <c r="AV148" s="48">
        <f ca="1">IF(OR(AT148&gt;0,AU148&gt;0),MAX($AV$2:AV147)+1,0)</f>
        <v>0</v>
      </c>
      <c r="AZ148" s="241" t="str">
        <f t="shared" si="240"/>
        <v>48 V.I.</v>
      </c>
      <c r="BA148" s="48">
        <f t="shared" ca="1" si="330"/>
        <v>0</v>
      </c>
      <c r="BB148" s="48">
        <f t="shared" ca="1" si="247"/>
        <v>0</v>
      </c>
      <c r="BC148" s="48" t="str">
        <f t="shared" ca="1" si="248"/>
        <v/>
      </c>
      <c r="BD148" s="48">
        <f t="shared" ca="1" si="249"/>
        <v>0</v>
      </c>
      <c r="BE148" s="48">
        <f t="shared" ca="1" si="250"/>
        <v>0</v>
      </c>
      <c r="BG148" s="48">
        <f ca="1">IF(IF(AND(OR(INDEX(PDC,MATCH($AC148,DEN_PDC,0),6)="SP DARE",INDEX(PDC,MATCH($AC148,DEN_PDC,0),6)="SP DARE/AVERE"),SUMIFS(DARE,DEN_G,$AC148)&gt;=SUMIFS(AVERE,DEN_G,$AC148)),SUMIFS(DARE,DEN_G,$AC148)-SUMIFS(AVERE,DEN_G,$AC148),0)&gt;0,MAX($BG$2:BG147)+1,0)</f>
        <v>0</v>
      </c>
      <c r="BH148" s="48">
        <f ca="1">IF(IF(AND(OR(INDEX(PDC,MATCH($AC148,DEN_PDC,0),6)="SP AVERE",INDEX(PDC,MATCH($AC148,DEN_PDC,0),6)="SP DARE/AVERE"),SUMIFS(AVERE,DEN_G,$AC148)&gt;=SUMIFS(DARE,DEN_G,$AC148)),SUMIFS(AVERE,DEN_G,$AC148)-SUMIFS(DARE,DEN_G,$AC148),0)&gt;0,MAX(BH$2:BH147)+1,0)</f>
        <v>0</v>
      </c>
      <c r="BI148" s="48">
        <f ca="1">IF(IF(AND(OR(INDEX(PDC,MATCH($AC148,DEN_PDC,0),6)="SE DARE",INDEX(PDC,MATCH($AC148,DEN_PDC,0),6)="SE DARE/AVERE"),SUMIFS(DARE,DEN_G,$AC148)&gt;=SUMIFS(AVERE,DEN_G,$AC148)),SUMIFS(DARE,DEN_G,$AC148)-SUMIFS(AVERE,DEN_G,$AC148),0)&gt;0,MAX(BI$2:BI147)+1,0)</f>
        <v>0</v>
      </c>
      <c r="BJ148" s="48">
        <f ca="1">IF(IF(AND(OR(INDEX(PDC,MATCH($AC148,DEN_PDC,0),6)="SE AVERE",INDEX(PDC,MATCH($AC148,DEN_PDC,0),6)="SE DARE/AVERE"),SUMIFS(AVERE,DEN_G,$AC148)&gt;=SUMIFS(DARE,DEN_G,$AC148)),SUMIFS(AVERE,DEN_G,$AC148)-SUMIFS(DARE,DEN_G,$AC148),0)&gt;0,MAX(BJ$2:BJ147)+1,0)</f>
        <v>0</v>
      </c>
      <c r="BK148" s="48" t="str">
        <f ca="1">IF(AND(AND($DY$2=0,$DY$1=0),$I$1=2,ROW()&gt;$BG$1+2,ROW()&lt;=$BG$1+4),"………………..",IF(AND(OR($DY$2&gt;0,$DY$1&gt;0),$I$1=2,ROW()&gt;$BG$1+2,ROW()&lt;=$BG$1+4),"………………..",IFERROR(INDEX($AC$3:$AC$398,MATCH(ROWS(BK$3:BK148),BG$3:BG$398,0),1),"")))</f>
        <v/>
      </c>
      <c r="BL148" s="48">
        <f t="shared" ca="1" si="281"/>
        <v>0</v>
      </c>
      <c r="BM148" s="48" t="str">
        <f ca="1">IF(AND(OR($DY$2=0,$DY$1=0),$I$1=2,ROW()&gt;$BH$1+2,ROW()&lt;=$BH$1+4),"………………..",IF(AND(OR($DY$2&gt;0,$DY$1&gt;0),$I$1=2,ROW()&gt;$BH$1+2,ROW()&lt;=$BH$1+4),"………………..",IFERROR(INDEX($AC$3:$AC$400,MATCH(ROWS(BM$3:BM148),BH$3:BH$400,0),1),"")))</f>
        <v/>
      </c>
      <c r="BN148" s="48">
        <f t="shared" ca="1" si="282"/>
        <v>0</v>
      </c>
      <c r="BO148" s="48" t="str">
        <f ca="1">IF(AND(OR($DY$2=0,$DY$1=0),$I$1=2,ROW()&gt;$BI$1+2,ROW()&lt;=$BI$1+4),"………………..",IF(AND(OR($DY$2&gt;0,$DY$1&gt;0),$I$1=2,ROW()&gt;$BI$1+2,ROW()&lt;=$BI$1+4),"………………..",IFERROR(INDEX($AC$3:$AC$400,MATCH(ROWS(BO$3:BO148),BI$3:BI$400,0),1),"")))</f>
        <v/>
      </c>
      <c r="BP148" s="48">
        <f t="shared" ca="1" si="283"/>
        <v>0</v>
      </c>
      <c r="BQ148" s="48" t="str">
        <f ca="1">IF(AND(OR($DY$2=0,$DY$1=0),$I$1=2,ROW()&gt;$BJ$1+2,ROW()&lt;=$BJ$1+4),"………………..",IF(AND(OR($DY$2&gt;0,$DY$1&gt;0),$I$1=2,ROW()&gt;$BJ$1+2,ROW()&lt;=$BJ$1+4),"………………..",IFERROR(INDEX($AC$3:$AC$400,MATCH(ROWS(BQ$3:BQ148),BJ$3:BJ$400,0),1),"")))</f>
        <v/>
      </c>
      <c r="BR148" s="48">
        <f t="shared" ca="1" si="284"/>
        <v>0</v>
      </c>
      <c r="BS148" s="48">
        <f ca="1">IF(IF(AND(OR(INDEX(PDC,MATCH($AC148,DEN_PDC,0),4)="D",INDEX(PDC,MATCH($AC148,DEN_PDC,0),4)="D/A"),SUMIFS(DARE,DEN_G,$AC148)&gt;=SUMIFS(AVERE,DEN_G,$AC148)),SUMIFS(DARE,DEN_G,$AC148),IF(AND(OR(INDEX(PDC,MATCH($AC148,DEN_PDC,0),4)="A",INDEX(PDC,MATCH($AC148,DEN_PDC,0),4)="D/A"),SUMIFS(AVERE,DEN_G,$AC148)&gt;=SUMIFS(DARE,DEN_G,$AC148)),SUMIFS(AVERE,DEN_G,$AC148),))&gt;0,MAX($BS$2:BS147)+1,0)</f>
        <v>0</v>
      </c>
      <c r="BT148" s="48" t="str">
        <f ca="1">IF($CO$1=0,"",IF(AND($I$1=2,ROW()&gt;$BR$1,ROW()&lt;=$BS$1)," …………….",IF(AND($E$1=1,$BX$1=1,$I$1=2,ROW()=$BQ$1),"TOTALI",IFERROR(INDEX(PDC,MATCH(ROWS(BT$3:BT148),BS$3:BS545,0),2),""))))</f>
        <v/>
      </c>
      <c r="BU148" s="48">
        <f t="shared" ca="1" si="285"/>
        <v>0</v>
      </c>
      <c r="BV148" s="48">
        <f t="shared" ca="1" si="286"/>
        <v>0</v>
      </c>
      <c r="BW148" s="48">
        <f t="shared" ca="1" si="287"/>
        <v>0</v>
      </c>
      <c r="BX148" s="48">
        <f t="shared" ca="1" si="288"/>
        <v>0</v>
      </c>
      <c r="BY148" s="48">
        <f ca="1">IF(OR(BW148&gt;0,BX148&gt;0),MAX($BY$2:BY147)+1,0)</f>
        <v>0</v>
      </c>
      <c r="BZ148" s="48" t="str">
        <f ca="1">IFERROR(INDEX($BT$3:$BY$400,MATCH(ROWS(BZ$3:BZ148),$BY$3:$BY$400,0),1),"")</f>
        <v/>
      </c>
      <c r="CA148" s="48" t="str">
        <f ca="1">IFERROR(INDEX($BT$3:$BY$400,MATCH(ROWS(CA$3:CA148),$BY$3:$BY$400,0),4),"")</f>
        <v/>
      </c>
      <c r="CB148" s="48" t="str">
        <f ca="1">IFERROR(INDEX($BT$3:$BY$400,MATCH(ROWS(CB$3:CB148),$BY$3:$BY$400,0),5),"")</f>
        <v/>
      </c>
      <c r="CC148" s="48" t="str">
        <f t="shared" ca="1" si="289"/>
        <v/>
      </c>
      <c r="CD148" s="48">
        <f ca="1">IF(AND($BF$9=1,CE148&lt;&gt;0),MAX($CD$104:CD147)+1,0)</f>
        <v>0</v>
      </c>
      <c r="CE148" s="48">
        <f ca="1">IF(ROUND(SUMIFS(COPIA!$CB$3:$CB$400,COPIA!$CC$3:$CC$400,CF148)-SUMIFS(COPIA!$CA$3:$CA$400,COPIA!$CC$3:$CC$400,CF148),0)&lt;0,0,ROUND(SUMIFS(COPIA!$CB$3:$CB$400,COPIA!$CC$3:$CC$400,CF148)-SUMIFS(COPIA!$CA$3:$CA$400,COPIA!$CC$3:$CC$400,CF148),0))</f>
        <v>0</v>
      </c>
      <c r="CF148" s="48" t="s">
        <v>666</v>
      </c>
      <c r="CG148" s="242" t="s">
        <v>563</v>
      </c>
      <c r="CH148" s="48">
        <f t="shared" ca="1" si="259"/>
        <v>0</v>
      </c>
      <c r="CJ148" s="242">
        <f ca="1">SUMIFS(COPIA!$CB$3:$CB$400,COPIA!$CC$3:$CC$400,CF148)-SUMIFS(COPIA!$CA$3:$CA$400,COPIA!$CC$3:$CC$400,CF148)</f>
        <v>0</v>
      </c>
      <c r="CK148" s="48">
        <f ca="1">IF($CG$2=FALSE,0,IF(AND($BF$9=1,CJ148&lt;&gt;0),MAX($CK$21:CK147)+1,0))</f>
        <v>0</v>
      </c>
      <c r="CL148" s="48" t="s">
        <v>797</v>
      </c>
      <c r="CM148" s="242" t="str">
        <f t="shared" ca="1" si="305"/>
        <v/>
      </c>
      <c r="CN148" s="243">
        <f t="shared" ca="1" si="306"/>
        <v>0</v>
      </c>
      <c r="CO148" s="48" t="str">
        <f t="shared" ca="1" si="307"/>
        <v/>
      </c>
      <c r="CQ148" s="242"/>
      <c r="CR148" s="242"/>
      <c r="CU148" s="48">
        <f ca="1">IF(SUMIFS(AVERE,DEN_G,AC148,AVERE,"&gt;"&amp;0)+SUMIFS(DARE,DEN_G,AC148,DARE,"&gt;"&amp;0)&gt;0,MAX($CU$2:CU147)+1,0)</f>
        <v>0</v>
      </c>
      <c r="CV148" s="48" t="str">
        <f ca="1">IF(IFERROR(INDEX(PDC,MATCH(ROWS($CV$3:CV148),$CU$3:$CU$400,0),2),"")="CONTO DI RISULTATO ECONOMICO","",IFERROR(INDEX(PDC,MATCH(ROWS($CV$3:CV148),$CU$3:$CU$400,0),2),""))</f>
        <v/>
      </c>
      <c r="CW148" s="48">
        <f ca="1">IFERROR(IF(CV148&lt;&gt;"",MAX($CW$2:CW147)+1,0),0)</f>
        <v>0</v>
      </c>
      <c r="CX148" s="48">
        <f t="shared" ca="1" si="344"/>
        <v>12</v>
      </c>
      <c r="CY148" s="48" t="str">
        <f t="shared" ca="1" si="343"/>
        <v>MASTRO</v>
      </c>
      <c r="CZ148" s="48" t="e">
        <f t="shared" ref="CZ148:CZ157" ca="1" si="346">SUM(MATCH($CY148,INDIRECT(ADDRESS(SUM(CZ147)+3,54)&amp;":"&amp;ADDRESS(400,54)),0),CZ147)</f>
        <v>#N/A</v>
      </c>
      <c r="DA148" s="48" t="str">
        <f ca="1">IFERROR(INDEX(LIBRO_GIORNALE,CZ148,1),"")</f>
        <v/>
      </c>
      <c r="DB148" s="48" t="str">
        <f t="shared" ref="DB148:DB209" ca="1" si="347">IF(RIGHT(TEXT(IFERROR(INDEX(LIBRO_GIORNALE,CZ148,2),""),"gg/mm/aa"),1)="a",TEXT(IFERROR(INDEX(LIBRO_GIORNALE,CZ148,2),""),"dd/mm/yy"),TEXT(IFERROR(INDEX(LIBRO_GIORNALE,CZ148,2),""),"gg/mm/aa"))</f>
        <v/>
      </c>
      <c r="DC148" s="48" t="str">
        <f t="shared" ref="DC148:DC157" ca="1" si="348">IF(IFERROR(INDEX(LIBRO_GIORNALE,CZ148,4),"")=0,"manca la descrizione dell'operazione",IFERROR(INDEX(LIBRO_GIORNALE,CZ148,4),""))</f>
        <v/>
      </c>
      <c r="DD148" s="48" t="str">
        <f t="shared" ref="DD148:DD157" ca="1" si="349">IFERROR(IF(INDEX(LIBRO_GIORNALE,CZ148,5)&gt;0,INDEX(LIBRO_GIORNALE,CZ148,5),""),"")</f>
        <v/>
      </c>
      <c r="DE148" s="48" t="str">
        <f t="shared" ref="DE148:DE157" ca="1" si="350">IFERROR(IF(INDEX(LIBRO_GIORNALE,CZ148,6)&gt;0,INDEX(LIBRO_GIORNALE,CZ148,6),""),"")</f>
        <v/>
      </c>
      <c r="DF148" s="48">
        <f ca="1">IF(AND(CX148=$DF$1,CX148&lt;&gt;""),0,IF(AND(DB148&lt;&gt;"",OR(DB147&lt;&gt;"",DB149&lt;&gt;"")),MAX($DF$2:DF147)+1,0))</f>
        <v>0</v>
      </c>
      <c r="DH148" s="244" t="s">
        <v>108</v>
      </c>
      <c r="DI148" s="228" t="s">
        <v>107</v>
      </c>
      <c r="DN148" s="48">
        <f ca="1">IF(DI148&lt;&gt;"",MAX($DN$2:DN147)+1,0)</f>
        <v>124</v>
      </c>
      <c r="DQ148" s="227" t="s">
        <v>119</v>
      </c>
      <c r="DR148" s="48" t="s">
        <v>114</v>
      </c>
      <c r="DS148" s="48" t="s">
        <v>312</v>
      </c>
      <c r="DT148" s="48" t="s">
        <v>298</v>
      </c>
      <c r="DU148" s="48" t="s">
        <v>5</v>
      </c>
      <c r="DV148" s="48" t="s">
        <v>299</v>
      </c>
      <c r="DW148" s="48">
        <f ca="1">IF(DR148&lt;&gt;"",MAX($DW$2:DW147)+1,0)</f>
        <v>91</v>
      </c>
      <c r="DX148" s="48" t="str">
        <f ca="1">IF($BF$9=1,"ppd4","ppd")</f>
        <v>ppd</v>
      </c>
      <c r="DY148" s="48" t="str">
        <f t="shared" ca="1" si="291"/>
        <v/>
      </c>
      <c r="DZ148" s="48" t="str">
        <f t="shared" ca="1" si="309"/>
        <v/>
      </c>
      <c r="EA148" s="48" t="str">
        <f t="shared" ca="1" si="310"/>
        <v/>
      </c>
      <c r="EB148" s="48">
        <f t="shared" ca="1" si="311"/>
        <v>0</v>
      </c>
      <c r="EC148" s="48">
        <f t="shared" ca="1" si="312"/>
        <v>0</v>
      </c>
      <c r="ED148" s="48" t="str">
        <f t="shared" ca="1" si="313"/>
        <v/>
      </c>
      <c r="EE148" s="48">
        <f t="shared" ca="1" si="314"/>
        <v>0</v>
      </c>
      <c r="EF148" s="48" t="str">
        <f t="shared" ca="1" si="315"/>
        <v/>
      </c>
      <c r="EG148" s="48">
        <f t="shared" ca="1" si="316"/>
        <v>0</v>
      </c>
      <c r="EH148" s="48" t="str">
        <f t="shared" ca="1" si="317"/>
        <v/>
      </c>
      <c r="EI148" s="48">
        <f t="shared" ca="1" si="318"/>
        <v>0</v>
      </c>
      <c r="EJ148" s="48" t="str">
        <f t="shared" ca="1" si="319"/>
        <v/>
      </c>
      <c r="EK148" s="48">
        <f t="shared" ca="1" si="320"/>
        <v>0</v>
      </c>
      <c r="EL148" s="48">
        <f t="shared" ca="1" si="292"/>
        <v>0</v>
      </c>
      <c r="EM148" s="48">
        <f ca="1">IF(EL148&gt;=0,0,MAX($EM$2:EM147)+1)</f>
        <v>0</v>
      </c>
      <c r="EN148" s="48" t="str">
        <f t="shared" ca="1" si="321"/>
        <v/>
      </c>
      <c r="EO148" s="48" t="str">
        <f ca="1">IFERROR(INDEX($EM$3:$EN$400,MATCH(ROWS($EO$3:EO148),$EM$3:$EM$400,0),2),"")</f>
        <v/>
      </c>
      <c r="EP148" s="48">
        <f>ROW()</f>
        <v>148</v>
      </c>
      <c r="EQ148" s="48">
        <f t="shared" ca="1" si="293"/>
        <v>0</v>
      </c>
      <c r="ER148" s="48">
        <f ca="1">IF(ISNA(EQ148)=TRUE,MAX($ER$2:ER147)+1,0)</f>
        <v>0</v>
      </c>
      <c r="ES148" s="48" t="str">
        <f t="shared" ca="1" si="322"/>
        <v/>
      </c>
      <c r="ET148" s="48" t="str">
        <f ca="1">IFERROR(INDEX($ER$3:$ES$400,MATCH(ROWS($ET$3:ET148),$ER$3:$ER$400,0),2),"")</f>
        <v/>
      </c>
      <c r="EV148" s="48">
        <f ca="1">IFERROR(INDEX(LIBRO_GIORNALE!$O$11:$P$408,MATCH(ROWS($EV$2:EV147),LIBRO_GIORNALE!$P$11:$P$408,0),1),0)</f>
        <v>0</v>
      </c>
      <c r="EW148" s="48" t="str">
        <f t="shared" ca="1" si="323"/>
        <v>0</v>
      </c>
      <c r="EX148" s="48">
        <f t="shared" ca="1" si="324"/>
        <v>0</v>
      </c>
      <c r="EY148" s="48">
        <f ca="1">IF(EX148&gt;0,MAX($EY$2:EY147)+1,0)</f>
        <v>0</v>
      </c>
      <c r="EZ148" s="48">
        <f ca="1">IFERROR(INDEX($EX$3:$EX$400,MATCH(ROWS($EZ$3:EZ148),$EY$3:$EY$400,0),1),0)</f>
        <v>0</v>
      </c>
      <c r="FA148" s="48">
        <f ca="1">IF(EZ148&gt;0,0,MAX($FA$2:FA147)+1)</f>
        <v>146</v>
      </c>
      <c r="FB148" s="48">
        <f t="shared" ca="1" si="325"/>
        <v>0</v>
      </c>
      <c r="FC148" s="48">
        <f t="shared" ca="1" si="326"/>
        <v>146</v>
      </c>
      <c r="FD148" s="48">
        <f t="shared" ca="1" si="327"/>
        <v>146</v>
      </c>
      <c r="FE148" s="48">
        <f ca="1">IF(FD148=0,0,MAX($FE$2:FE147)+1)</f>
        <v>146</v>
      </c>
      <c r="FF148" s="48">
        <f ca="1">IFERROR(INDEX($FD$3:$FE$400,MATCH(ROWS($FF$3:FF148),$FE$3:$FE$400,0),1),"")</f>
        <v>146</v>
      </c>
      <c r="FG148" s="48">
        <f t="shared" ca="1" si="255"/>
        <v>0</v>
      </c>
      <c r="FH148" s="48">
        <f t="shared" ca="1" si="328"/>
        <v>0</v>
      </c>
      <c r="FI148" s="48">
        <f ca="1">IF(FH148&lt;&gt;0,MAX($FI$2:FI147)+1,0)</f>
        <v>0</v>
      </c>
      <c r="FJ148" s="48" t="str">
        <f ca="1">IFERROR(INDEX($FH$3:$FI$400,MATCH(ROWS($FJ$3:FJ148),$FI$3:$FI$400,0),1),"")</f>
        <v/>
      </c>
      <c r="FK148" s="48">
        <f ca="1">IF(ABS(SUMIFS(DARE,DEN_G,"="&amp;FJ148,DATA,"&lt;="&amp;FINE_AC,DATA,"&gt;="&amp;INIZIO_A_PC)-SUMIFS(AVERE,DEN_G,"="&amp;FJ148,DATA,"&lt;="&amp;FINE_AC,DATA,"&gt;="&amp;INIZIO_A_PC))&gt;0,MAX($FK$2:FK147)+1,0)</f>
        <v>0</v>
      </c>
      <c r="FL148" s="48" t="str">
        <f ca="1">IF(AND(ROW()-2&lt;&gt;1,ROW()-2&lt;=$FK$1),CONCATENATE(" - ",IFERROR(INDEX($FJ$3:$FK$400,MATCH(ROWS($FL$3:FL148),$FK$3:$FK$400,0),1),"")),IFERROR(INDEX($FJ$3:$FK$400,MATCH(ROWS($FL$3:FL148),$FK$3:$FK$400,0),1),""))</f>
        <v/>
      </c>
      <c r="FM148" s="48">
        <f ca="1">IF(OR(B148="IVA ns/credito",B148="IVA NS/DEBITO",B148="IVA C/ACCONTO",B148="IMPOSTE C/ACCONTO",B148="CREDITI PER RITENUTE SUBITE",B148="CREDITI D'IMPOSTA"),MAX($FM$2:FM147)+1,0)</f>
        <v>0</v>
      </c>
      <c r="FN148" s="48" t="str">
        <f t="shared" ca="1" si="329"/>
        <v/>
      </c>
      <c r="FO148" s="48" t="str">
        <f ca="1">IFERROR(INDEX($FM$3:$FN$400,MATCH(ROWS($FO$3:FO148),$FM$3:$FM$400,0),2),"")</f>
        <v/>
      </c>
      <c r="FP148" s="48">
        <f ca="1">IF(ABS(SUMIFS(DARE,DEN_G,"="&amp;FO148,DATA,"&lt;="&amp;FINE_AC,DATA,"&gt;="&amp;INIZIO_A_PC)-SUMIFS(AVERE,DEN_G,"="&amp;FO148,DATA,"&lt;="&amp;FINE_AC,DATA,"&gt;="&amp;INIZIO_A_PC))&gt;0,MAX($FP$2:FP147)+1,0)</f>
        <v>0</v>
      </c>
      <c r="FQ148" s="48" t="str">
        <f ca="1">IF(AND(ROW()-2&lt;&gt;1,ROW()-2&lt;=$FP$1),CONCATENATE(" - ",IFERROR(INDEX($FO$3:$FP$400,MATCH(ROWS($FQ$3:FQ148),$FP$3:$FP$400,0),1),"")),IFERROR(INDEX($FO$3:$FP$400,MATCH(ROWS($FQ$3:FQ148),$FP$3:$FP$400,0),1),""))</f>
        <v/>
      </c>
    </row>
    <row r="149" spans="1:173" x14ac:dyDescent="0.3">
      <c r="A149" s="48" t="str">
        <f ca="1">IFERROR(IF($A$1=2,INDEX($DH$3:$DN$401,MATCH(ROWS(A$3:A149),$DN$3:$DN$401,0),COLUMN()),IF($A$1=1,INDEX($DQ$3:$DW$401,MATCH(ROWS(A$3:A149),$DW$3:$DW$401,0),COLUMN()),"")),"")</f>
        <v>15.00</v>
      </c>
      <c r="B149" s="48" t="str">
        <f ca="1">IFERROR(IF($A$1=2,INDEX($DH$3:$DN$401,MATCH(ROWS(B$3:B149),$DN$3:$DN$401,0),COLUMN()),IF($A$1=1,INDEX($DQ$3:$DW$400,MATCH(ROWS(B$3:B149),$DW$3:$DW$401,0),COLUMN()),"")),"")</f>
        <v>DEBITI DIVERSI</v>
      </c>
      <c r="C149" s="48">
        <f ca="1">IFERROR(IF($A$1=2,INDEX($DH$3:$DN$401,MATCH(ROWS(C$3:C149),$DN$3:$DN$401,0),COLUMN()),IF($A$1=1,INDEX($DQ$3:$DW$401,MATCH(ROWS(C$3:C149),$DW$3:$DW$401,0),COLUMN()),"")),"")</f>
        <v>0</v>
      </c>
      <c r="D149" s="48">
        <f ca="1">IFERROR(IF($A$1=2,INDEX($DH$3:$DN$401,MATCH(ROWS(D$3:D149),$DN$3:$DN$401,0),COLUMN()),IF($A$1=1,INDEX($DQ$3:$DW$401,MATCH(ROWS(D$3:D149),$DW$3:$DW$401,0),COLUMN()),"")),"")</f>
        <v>0</v>
      </c>
      <c r="E149" s="48">
        <f ca="1">IFERROR(IF($A$1=2,INDEX($DH$3:$DN$401,MATCH(ROWS(E$3:E149),$DN$3:$DN$401,0),COLUMN()),IF($A$1=1,INDEX($DQ$3:$DW$401,MATCH(ROWS(E$3:E149),$DW$3:$DW$401,0),COLUMN()),"")),"")</f>
        <v>0</v>
      </c>
      <c r="F149" s="48">
        <f ca="1">IFERROR(IF($A$1=2,INDEX($DH$3:$DN$401,MATCH(ROWS(F$3:F149),$DN$3:$DN$401,0),COLUMN()),IF($A$1=1,INDEX($DQ$3:$DX$401,MATCH(ROWS(F$3:F149),$DW$3:$DW$401,0),COLUMN()),"")),"")</f>
        <v>0</v>
      </c>
      <c r="G149" s="48" t="str">
        <f t="shared" ca="1" si="294"/>
        <v>0</v>
      </c>
      <c r="H149" s="48">
        <f ca="1">IFERROR(IF($A$1=2,INDEX($DH$3:$DO$400,MATCH(ROWS(H$3:H149),$DN$3:$DN$400,0),COLUMN()),IF($A$1=1,INDEX($DQ$3:$DX$400,MATCH(ROWS(H$3:H149),$DW$3:$DW$400,0),COLUMN()),"")),"")</f>
        <v>0</v>
      </c>
      <c r="I149" s="48" t="str">
        <f t="shared" ca="1" si="295"/>
        <v/>
      </c>
      <c r="J149" s="48" t="str">
        <f t="shared" ca="1" si="296"/>
        <v/>
      </c>
      <c r="K149" s="48">
        <f t="shared" ca="1" si="297"/>
        <v>0</v>
      </c>
      <c r="L149" s="48">
        <f t="shared" ca="1" si="298"/>
        <v>0</v>
      </c>
      <c r="M149" s="48">
        <f ca="1">IFERROR(IF(IF(MID($A149,3,3)=".00",MID(A149,1,2),"")&lt;&gt;"",MAX($M$2:M148)+1,0),"")</f>
        <v>16</v>
      </c>
      <c r="N149" s="48" t="str">
        <f t="shared" ca="1" si="299"/>
        <v>15</v>
      </c>
      <c r="O149" s="48" t="str">
        <f ca="1">IF(IFERROR(INDEX($N$3:$O$300,MATCH(ROWS($O$3:O149),$M$3:$M$300,0),1),"")&lt;&gt;"",CONCATENATE(INDEX($N$3:$O$300,MATCH(ROWS($O$3:O149),$M$3:$M$300,0),1),".00"),"")</f>
        <v/>
      </c>
      <c r="P149" s="48" t="str">
        <f t="shared" ca="1" si="300"/>
        <v/>
      </c>
      <c r="Q149" s="48">
        <f ca="1">IF(M149&gt;=1,0,MAX($Q$2:Q148)+1)</f>
        <v>0</v>
      </c>
      <c r="U149" s="48" t="str">
        <f ca="1">IFERROR(INDEX(PDC,MATCH(ROWS(U$3:U149),$V$3:$V$400,0),2),"")</f>
        <v>OBBLIGAZIONISTI C/RIMBORSI</v>
      </c>
      <c r="V149" s="48">
        <f ca="1">IF(AND($T$1="VISUALIZZA TUTTI I CONTI",AA149&lt;&gt;""),MAX($V$2:V148)+1,IF(AND($U$2=2,AI149=$T$1),MAX($V$2:V148)+1,IF(AND($U$2=1,$T$1=AF149),MAX($V$2:V148)+1,0)))</f>
        <v>147</v>
      </c>
      <c r="Z149" s="246"/>
      <c r="AA149" s="48" t="str">
        <f t="shared" ca="1" si="301"/>
        <v>15.00</v>
      </c>
      <c r="AB149" s="48" t="str">
        <f ca="1">IFERROR(INDEX($A$3:$G$400,MATCH(ROWS(AB$3:AB149),$Q$3:$Q$400,0),1),"")</f>
        <v>15.61</v>
      </c>
      <c r="AC149" s="48" t="str">
        <f ca="1">IFERROR(INDEX($A$3:$G$400,MATCH(ROWS($AC$3:AC149),$Q$3:$Q$400,0),2),"")</f>
        <v>OBBLIGAZIONISTI C/RIMBORSI</v>
      </c>
      <c r="AD149" s="48" t="str">
        <f ca="1">IFERROR(INDEX($A$3:$G$400,MATCH(ROWS(AD$3:AD149),$Q$3:$Q$400,0),3),"")</f>
        <v>F</v>
      </c>
      <c r="AE149" s="48" t="str">
        <f ca="1">IFERROR(INDEX($A$3:$G$400,MATCH(ROWS(AE$3:AE149),$Q$3:$Q$400,0),4),"")</f>
        <v>A</v>
      </c>
      <c r="AF149" s="48" t="str">
        <f ca="1">IFERROR(INDEX($A$3:$G$400,MATCH(ROWS(AF$3:AF149),$Q$3:$Q$400,0),5),"")</f>
        <v>DEBITI</v>
      </c>
      <c r="AG149" s="48" t="str">
        <f ca="1">IFERROR(INDEX($A$3:$G$400,MATCH(ROWS(AG$3:AG149),$Q$3:$Q$400,0),6),"")</f>
        <v>SP AVERE</v>
      </c>
      <c r="AH149" s="48" t="str">
        <f ca="1">IFERROR(INDEX($A$3:$G$400,MATCH(ROWS(AH$3:AH149),$Q$3:$Q$400,0),7),"")</f>
        <v>SP</v>
      </c>
      <c r="AI149" s="48" t="str">
        <f t="shared" ca="1" si="302"/>
        <v>DEBITI DIVERSI</v>
      </c>
      <c r="AJ149" s="48" t="str">
        <f ca="1">IFERROR(INDEX($A$3:$H$400,MATCH(ROWS(AJ$3:AJ149),$Q$3:$Q$400,0),8),"")</f>
        <v>ppd</v>
      </c>
      <c r="AK149" s="48">
        <f t="shared" ca="1" si="277"/>
        <v>0</v>
      </c>
      <c r="AL149" s="48">
        <f t="shared" ca="1" si="335"/>
        <v>0</v>
      </c>
      <c r="AM149" s="48">
        <f t="shared" ca="1" si="252"/>
        <v>0</v>
      </c>
      <c r="AN149" s="48">
        <f t="shared" ca="1" si="253"/>
        <v>0</v>
      </c>
      <c r="AO149" s="48">
        <f t="shared" ca="1" si="254"/>
        <v>0</v>
      </c>
      <c r="AP149" s="48">
        <f t="shared" ca="1" si="254"/>
        <v>0</v>
      </c>
      <c r="AQ149" s="48" t="str">
        <f t="shared" ca="1" si="278"/>
        <v>OBBLIGAZIONISTI C/RIMBORSI</v>
      </c>
      <c r="AR149" s="48">
        <f t="shared" ca="1" si="279"/>
        <v>0</v>
      </c>
      <c r="AS149" s="48">
        <f t="shared" ca="1" si="280"/>
        <v>0</v>
      </c>
      <c r="AT149" s="48">
        <f t="shared" ca="1" si="303"/>
        <v>0</v>
      </c>
      <c r="AU149" s="48">
        <f t="shared" ca="1" si="304"/>
        <v>0</v>
      </c>
      <c r="AV149" s="48">
        <f ca="1">IF(OR(AT149&gt;0,AU149&gt;0),MAX($AV$2:AV148)+1,0)</f>
        <v>0</v>
      </c>
      <c r="AZ149" s="241" t="str">
        <f t="shared" si="240"/>
        <v>49 V.I.</v>
      </c>
      <c r="BA149" s="48">
        <f t="shared" ca="1" si="330"/>
        <v>0</v>
      </c>
      <c r="BB149" s="48">
        <f t="shared" ca="1" si="247"/>
        <v>0</v>
      </c>
      <c r="BC149" s="48" t="str">
        <f t="shared" ca="1" si="248"/>
        <v/>
      </c>
      <c r="BD149" s="48">
        <f t="shared" ca="1" si="249"/>
        <v>0</v>
      </c>
      <c r="BE149" s="48">
        <f t="shared" ca="1" si="250"/>
        <v>0</v>
      </c>
      <c r="BG149" s="48">
        <f ca="1">IF(IF(AND(OR(INDEX(PDC,MATCH($AC149,DEN_PDC,0),6)="SP DARE",INDEX(PDC,MATCH($AC149,DEN_PDC,0),6)="SP DARE/AVERE"),SUMIFS(DARE,DEN_G,$AC149)&gt;=SUMIFS(AVERE,DEN_G,$AC149)),SUMIFS(DARE,DEN_G,$AC149)-SUMIFS(AVERE,DEN_G,$AC149),0)&gt;0,MAX($BG$2:BG148)+1,0)</f>
        <v>0</v>
      </c>
      <c r="BH149" s="48">
        <f ca="1">IF(IF(AND(OR(INDEX(PDC,MATCH($AC149,DEN_PDC,0),6)="SP AVERE",INDEX(PDC,MATCH($AC149,DEN_PDC,0),6)="SP DARE/AVERE"),SUMIFS(AVERE,DEN_G,$AC149)&gt;=SUMIFS(DARE,DEN_G,$AC149)),SUMIFS(AVERE,DEN_G,$AC149)-SUMIFS(DARE,DEN_G,$AC149),0)&gt;0,MAX(BH$2:BH148)+1,0)</f>
        <v>0</v>
      </c>
      <c r="BI149" s="48">
        <f ca="1">IF(IF(AND(OR(INDEX(PDC,MATCH($AC149,DEN_PDC,0),6)="SE DARE",INDEX(PDC,MATCH($AC149,DEN_PDC,0),6)="SE DARE/AVERE"),SUMIFS(DARE,DEN_G,$AC149)&gt;=SUMIFS(AVERE,DEN_G,$AC149)),SUMIFS(DARE,DEN_G,$AC149)-SUMIFS(AVERE,DEN_G,$AC149),0)&gt;0,MAX(BI$2:BI148)+1,0)</f>
        <v>0</v>
      </c>
      <c r="BJ149" s="48">
        <f ca="1">IF(IF(AND(OR(INDEX(PDC,MATCH($AC149,DEN_PDC,0),6)="SE AVERE",INDEX(PDC,MATCH($AC149,DEN_PDC,0),6)="SE DARE/AVERE"),SUMIFS(AVERE,DEN_G,$AC149)&gt;=SUMIFS(DARE,DEN_G,$AC149)),SUMIFS(AVERE,DEN_G,$AC149)-SUMIFS(DARE,DEN_G,$AC149),0)&gt;0,MAX(BJ$2:BJ148)+1,0)</f>
        <v>0</v>
      </c>
      <c r="BK149" s="48" t="str">
        <f ca="1">IF(AND(AND($DY$2=0,$DY$1=0),$I$1=2,ROW()&gt;$BG$1+2,ROW()&lt;=$BG$1+4),"………………..",IF(AND(OR($DY$2&gt;0,$DY$1&gt;0),$I$1=2,ROW()&gt;$BG$1+2,ROW()&lt;=$BG$1+4),"………………..",IFERROR(INDEX($AC$3:$AC$398,MATCH(ROWS(BK$3:BK149),BG$3:BG$398,0),1),"")))</f>
        <v/>
      </c>
      <c r="BL149" s="48">
        <f t="shared" ca="1" si="281"/>
        <v>0</v>
      </c>
      <c r="BM149" s="48" t="str">
        <f ca="1">IF(AND(OR($DY$2=0,$DY$1=0),$I$1=2,ROW()&gt;$BH$1+2,ROW()&lt;=$BH$1+4),"………………..",IF(AND(OR($DY$2&gt;0,$DY$1&gt;0),$I$1=2,ROW()&gt;$BH$1+2,ROW()&lt;=$BH$1+4),"………………..",IFERROR(INDEX($AC$3:$AC$400,MATCH(ROWS(BM$3:BM149),BH$3:BH$400,0),1),"")))</f>
        <v/>
      </c>
      <c r="BN149" s="48">
        <f t="shared" ca="1" si="282"/>
        <v>0</v>
      </c>
      <c r="BO149" s="48" t="str">
        <f ca="1">IF(AND(OR($DY$2=0,$DY$1=0),$I$1=2,ROW()&gt;$BI$1+2,ROW()&lt;=$BI$1+4),"………………..",IF(AND(OR($DY$2&gt;0,$DY$1&gt;0),$I$1=2,ROW()&gt;$BI$1+2,ROW()&lt;=$BI$1+4),"………………..",IFERROR(INDEX($AC$3:$AC$400,MATCH(ROWS(BO$3:BO149),BI$3:BI$400,0),1),"")))</f>
        <v/>
      </c>
      <c r="BP149" s="48">
        <f t="shared" ca="1" si="283"/>
        <v>0</v>
      </c>
      <c r="BQ149" s="48" t="str">
        <f ca="1">IF(AND(OR($DY$2=0,$DY$1=0),$I$1=2,ROW()&gt;$BJ$1+2,ROW()&lt;=$BJ$1+4),"………………..",IF(AND(OR($DY$2&gt;0,$DY$1&gt;0),$I$1=2,ROW()&gt;$BJ$1+2,ROW()&lt;=$BJ$1+4),"………………..",IFERROR(INDEX($AC$3:$AC$400,MATCH(ROWS(BQ$3:BQ149),BJ$3:BJ$400,0),1),"")))</f>
        <v/>
      </c>
      <c r="BR149" s="48">
        <f t="shared" ca="1" si="284"/>
        <v>0</v>
      </c>
      <c r="BS149" s="48">
        <f ca="1">IF(IF(AND(OR(INDEX(PDC,MATCH($AC149,DEN_PDC,0),4)="D",INDEX(PDC,MATCH($AC149,DEN_PDC,0),4)="D/A"),SUMIFS(DARE,DEN_G,$AC149)&gt;=SUMIFS(AVERE,DEN_G,$AC149)),SUMIFS(DARE,DEN_G,$AC149),IF(AND(OR(INDEX(PDC,MATCH($AC149,DEN_PDC,0),4)="A",INDEX(PDC,MATCH($AC149,DEN_PDC,0),4)="D/A"),SUMIFS(AVERE,DEN_G,$AC149)&gt;=SUMIFS(DARE,DEN_G,$AC149)),SUMIFS(AVERE,DEN_G,$AC149),))&gt;0,MAX($BS$2:BS148)+1,0)</f>
        <v>0</v>
      </c>
      <c r="BT149" s="48" t="str">
        <f ca="1">IF($CO$1=0,"",IF(AND($I$1=2,ROW()&gt;$BR$1,ROW()&lt;=$BS$1)," …………….",IF(AND($E$1=1,$BX$1=1,$I$1=2,ROW()=$BQ$1),"TOTALI",IFERROR(INDEX(PDC,MATCH(ROWS(BT$3:BT149),BS$3:BS546,0),2),""))))</f>
        <v/>
      </c>
      <c r="BU149" s="48">
        <f t="shared" ca="1" si="285"/>
        <v>0</v>
      </c>
      <c r="BV149" s="48">
        <f t="shared" ca="1" si="286"/>
        <v>0</v>
      </c>
      <c r="BW149" s="48">
        <f t="shared" ca="1" si="287"/>
        <v>0</v>
      </c>
      <c r="BX149" s="48">
        <f t="shared" ca="1" si="288"/>
        <v>0</v>
      </c>
      <c r="BY149" s="48">
        <f ca="1">IF(OR(BW149&gt;0,BX149&gt;0),MAX($BY$2:BY148)+1,0)</f>
        <v>0</v>
      </c>
      <c r="BZ149" s="48" t="str">
        <f ca="1">IFERROR(INDEX($BT$3:$BY$400,MATCH(ROWS(BZ$3:BZ149),$BY$3:$BY$400,0),1),"")</f>
        <v/>
      </c>
      <c r="CA149" s="48" t="str">
        <f ca="1">IFERROR(INDEX($BT$3:$BY$400,MATCH(ROWS(CA$3:CA149),$BY$3:$BY$400,0),4),"")</f>
        <v/>
      </c>
      <c r="CB149" s="48" t="str">
        <f ca="1">IFERROR(INDEX($BT$3:$BY$400,MATCH(ROWS(CB$3:CB149),$BY$3:$BY$400,0),5),"")</f>
        <v/>
      </c>
      <c r="CC149" s="48" t="str">
        <f t="shared" ca="1" si="289"/>
        <v/>
      </c>
      <c r="CD149" s="48">
        <f ca="1">IF(AND($BF$9=1,CE149&lt;&gt;0),MAX($CD$104:CD148)+1,0)</f>
        <v>0</v>
      </c>
      <c r="CE149" s="48">
        <f ca="1">ROUND(IFERROR(INDEX(BILANCIO!$I$13:$J$59,MATCH(CF149,BILANCIO!$J$13:$J$59,0),1),0),0)</f>
        <v>0</v>
      </c>
      <c r="CF149" s="48" t="s">
        <v>797</v>
      </c>
      <c r="CG149" s="242" t="s">
        <v>571</v>
      </c>
      <c r="CI149" s="48">
        <f t="shared" ca="1" si="331"/>
        <v>0</v>
      </c>
      <c r="CJ149" s="242">
        <f ca="1">SUMIFS(COPIA!$CB$3:$CB$400,COPIA!$CC$3:$CC$400,CF149)-SUMIFS(COPIA!$CA$3:$CA$400,COPIA!$CC$3:$CC$400,CF149)</f>
        <v>0</v>
      </c>
      <c r="CK149" s="48">
        <f ca="1">IF($CG$2=FALSE,0,IF(AND($BF$9=1,CJ149&lt;&gt;0),MAX($CK$21:CK148)+1,0))</f>
        <v>0</v>
      </c>
      <c r="CM149" s="242" t="str">
        <f t="shared" ca="1" si="305"/>
        <v/>
      </c>
      <c r="CN149" s="243">
        <f t="shared" ca="1" si="306"/>
        <v>0</v>
      </c>
      <c r="CO149" s="48" t="str">
        <f t="shared" ca="1" si="307"/>
        <v/>
      </c>
      <c r="CQ149" s="242"/>
      <c r="CR149" s="242"/>
      <c r="CU149" s="48">
        <f ca="1">IF(SUMIFS(AVERE,DEN_G,AC149,AVERE,"&gt;"&amp;0)+SUMIFS(DARE,DEN_G,AC149,DARE,"&gt;"&amp;0)&gt;0,MAX($CU$2:CU148)+1,0)</f>
        <v>0</v>
      </c>
      <c r="CV149" s="48" t="str">
        <f ca="1">IF(IFERROR(INDEX(PDC,MATCH(ROWS($CV$3:CV149),$CU$3:$CU$400,0),2),"")="CONTO DI RISULTATO ECONOMICO","",IFERROR(INDEX(PDC,MATCH(ROWS($CV$3:CV149),$CU$3:$CU$400,0),2),""))</f>
        <v/>
      </c>
      <c r="CW149" s="48">
        <f ca="1">IFERROR(IF(CV149&lt;&gt;"",MAX($CW$2:CW148)+1,0),0)</f>
        <v>0</v>
      </c>
      <c r="CX149" s="48">
        <f t="shared" ca="1" si="344"/>
        <v>12</v>
      </c>
      <c r="CY149" s="48" t="str">
        <f t="shared" ca="1" si="343"/>
        <v>MASTRO</v>
      </c>
      <c r="CZ149" s="48" t="e">
        <f t="shared" ca="1" si="346"/>
        <v>#N/A</v>
      </c>
      <c r="DA149" s="48" t="str">
        <f t="shared" ref="DA149:DA157" ca="1" si="351">IFERROR(INDEX(LIBRO_GIORNALE,CZ149,1),"")</f>
        <v/>
      </c>
      <c r="DB149" s="48" t="str">
        <f t="shared" ca="1" si="347"/>
        <v/>
      </c>
      <c r="DC149" s="48" t="str">
        <f t="shared" ca="1" si="348"/>
        <v/>
      </c>
      <c r="DD149" s="48" t="str">
        <f t="shared" ca="1" si="349"/>
        <v/>
      </c>
      <c r="DE149" s="48" t="str">
        <f t="shared" ca="1" si="350"/>
        <v/>
      </c>
      <c r="DF149" s="48">
        <f ca="1">IF(AND(CX149=$DF$1,CX149&lt;&gt;""),0,IF(AND(DB149&lt;&gt;"",OR(DB148&lt;&gt;"",DB150&lt;&gt;"")),MAX($DF$2:DF148)+1,0))</f>
        <v>0</v>
      </c>
      <c r="DH149" s="244" t="s">
        <v>110</v>
      </c>
      <c r="DI149" s="48" t="s">
        <v>109</v>
      </c>
      <c r="DJ149" s="48" t="s">
        <v>312</v>
      </c>
      <c r="DK149" s="48" t="s">
        <v>298</v>
      </c>
      <c r="DL149" s="48" t="s">
        <v>5</v>
      </c>
      <c r="DM149" s="48" t="s">
        <v>299</v>
      </c>
      <c r="DN149" s="48">
        <f ca="1">IF(DI149&lt;&gt;"",MAX($DN$2:DN148)+1,0)</f>
        <v>125</v>
      </c>
      <c r="DO149" s="48" t="s">
        <v>659</v>
      </c>
      <c r="DQ149" s="227" t="s">
        <v>120</v>
      </c>
      <c r="DR149" s="48" t="s">
        <v>115</v>
      </c>
      <c r="DS149" s="48" t="s">
        <v>312</v>
      </c>
      <c r="DT149" s="48" t="s">
        <v>298</v>
      </c>
      <c r="DU149" s="48" t="s">
        <v>5</v>
      </c>
      <c r="DV149" s="48" t="s">
        <v>299</v>
      </c>
      <c r="DW149" s="48">
        <f ca="1">IF(DR149&lt;&gt;"",MAX($DW$2:DW148)+1,0)</f>
        <v>92</v>
      </c>
      <c r="DX149" s="48" t="str">
        <f t="shared" ref="DX149:DX152" ca="1" si="352">IF($BF$9=1,"ppd4","ppd")</f>
        <v>ppd</v>
      </c>
      <c r="DY149" s="48" t="str">
        <f t="shared" ca="1" si="291"/>
        <v/>
      </c>
      <c r="DZ149" s="48" t="str">
        <f t="shared" ca="1" si="309"/>
        <v/>
      </c>
      <c r="EA149" s="48" t="str">
        <f t="shared" ca="1" si="310"/>
        <v/>
      </c>
      <c r="EB149" s="48">
        <f t="shared" ca="1" si="311"/>
        <v>0</v>
      </c>
      <c r="EC149" s="48">
        <f t="shared" ca="1" si="312"/>
        <v>0</v>
      </c>
      <c r="ED149" s="48" t="str">
        <f t="shared" ca="1" si="313"/>
        <v/>
      </c>
      <c r="EE149" s="48">
        <f t="shared" ca="1" si="314"/>
        <v>0</v>
      </c>
      <c r="EF149" s="48" t="str">
        <f t="shared" ca="1" si="315"/>
        <v/>
      </c>
      <c r="EG149" s="48">
        <f t="shared" ca="1" si="316"/>
        <v>0</v>
      </c>
      <c r="EH149" s="48" t="str">
        <f t="shared" ca="1" si="317"/>
        <v/>
      </c>
      <c r="EI149" s="48">
        <f t="shared" ca="1" si="318"/>
        <v>0</v>
      </c>
      <c r="EJ149" s="48" t="str">
        <f t="shared" ca="1" si="319"/>
        <v/>
      </c>
      <c r="EK149" s="48">
        <f t="shared" ca="1" si="320"/>
        <v>0</v>
      </c>
      <c r="EL149" s="48">
        <f t="shared" ca="1" si="292"/>
        <v>0</v>
      </c>
      <c r="EM149" s="48">
        <f ca="1">IF(EL149&gt;=0,0,MAX($EM$2:EM148)+1)</f>
        <v>0</v>
      </c>
      <c r="EN149" s="48" t="str">
        <f t="shared" ca="1" si="321"/>
        <v/>
      </c>
      <c r="EO149" s="48" t="str">
        <f ca="1">IFERROR(INDEX($EM$3:$EN$400,MATCH(ROWS($EO$3:EO149),$EM$3:$EM$400,0),2),"")</f>
        <v/>
      </c>
      <c r="EP149" s="48">
        <f>ROW()</f>
        <v>149</v>
      </c>
      <c r="EQ149" s="48">
        <f t="shared" ca="1" si="293"/>
        <v>0</v>
      </c>
      <c r="ER149" s="48">
        <f ca="1">IF(ISNA(EQ149)=TRUE,MAX($ER$2:ER148)+1,0)</f>
        <v>0</v>
      </c>
      <c r="ES149" s="48" t="str">
        <f t="shared" ca="1" si="322"/>
        <v/>
      </c>
      <c r="ET149" s="48" t="str">
        <f ca="1">IFERROR(INDEX($ER$3:$ES$400,MATCH(ROWS($ET$3:ET149),$ER$3:$ER$400,0),2),"")</f>
        <v/>
      </c>
      <c r="EV149" s="48">
        <f ca="1">IFERROR(INDEX(LIBRO_GIORNALE!$O$11:$P$408,MATCH(ROWS($EV$2:EV148),LIBRO_GIORNALE!$P$11:$P$408,0),1),0)</f>
        <v>0</v>
      </c>
      <c r="EW149" s="48" t="str">
        <f t="shared" ca="1" si="323"/>
        <v>0</v>
      </c>
      <c r="EX149" s="48">
        <f t="shared" ca="1" si="324"/>
        <v>0</v>
      </c>
      <c r="EY149" s="48">
        <f ca="1">IF(EX149&gt;0,MAX($EY$2:EY148)+1,0)</f>
        <v>0</v>
      </c>
      <c r="EZ149" s="48">
        <f ca="1">IFERROR(INDEX($EX$3:$EX$400,MATCH(ROWS($EZ$3:EZ149),$EY$3:$EY$400,0),1),0)</f>
        <v>0</v>
      </c>
      <c r="FA149" s="48">
        <f ca="1">IF(EZ149&gt;0,0,MAX($FA$2:FA148)+1)</f>
        <v>147</v>
      </c>
      <c r="FB149" s="48">
        <f t="shared" ca="1" si="325"/>
        <v>0</v>
      </c>
      <c r="FC149" s="48">
        <f t="shared" ca="1" si="326"/>
        <v>147</v>
      </c>
      <c r="FD149" s="48">
        <f t="shared" ca="1" si="327"/>
        <v>147</v>
      </c>
      <c r="FE149" s="48">
        <f ca="1">IF(FD149=0,0,MAX($FE$2:FE148)+1)</f>
        <v>147</v>
      </c>
      <c r="FF149" s="48">
        <f ca="1">IFERROR(INDEX($FD$3:$FE$400,MATCH(ROWS($FF$3:FF149),$FE$3:$FE$400,0),1),"")</f>
        <v>147</v>
      </c>
      <c r="FG149" s="48">
        <f t="shared" ca="1" si="255"/>
        <v>0</v>
      </c>
      <c r="FH149" s="48">
        <f t="shared" ca="1" si="328"/>
        <v>0</v>
      </c>
      <c r="FI149" s="48">
        <f ca="1">IF(FH149&lt;&gt;0,MAX($FI$2:FI148)+1,0)</f>
        <v>0</v>
      </c>
      <c r="FJ149" s="48" t="str">
        <f ca="1">IFERROR(INDEX($FH$3:$FI$400,MATCH(ROWS($FJ$3:FJ149),$FI$3:$FI$400,0),1),"")</f>
        <v/>
      </c>
      <c r="FK149" s="48">
        <f ca="1">IF(ABS(SUMIFS(DARE,DEN_G,"="&amp;FJ149,DATA,"&lt;="&amp;FINE_AC,DATA,"&gt;="&amp;INIZIO_A_PC)-SUMIFS(AVERE,DEN_G,"="&amp;FJ149,DATA,"&lt;="&amp;FINE_AC,DATA,"&gt;="&amp;INIZIO_A_PC))&gt;0,MAX($FK$2:FK148)+1,0)</f>
        <v>0</v>
      </c>
      <c r="FL149" s="48" t="str">
        <f ca="1">IF(AND(ROW()-2&lt;&gt;1,ROW()-2&lt;=$FK$1),CONCATENATE(" - ",IFERROR(INDEX($FJ$3:$FK$400,MATCH(ROWS($FL$3:FL149),$FK$3:$FK$400,0),1),"")),IFERROR(INDEX($FJ$3:$FK$400,MATCH(ROWS($FL$3:FL149),$FK$3:$FK$400,0),1),""))</f>
        <v/>
      </c>
      <c r="FM149" s="48">
        <f ca="1">IF(OR(B149="IVA ns/credito",B149="IVA NS/DEBITO",B149="IVA C/ACCONTO",B149="IMPOSTE C/ACCONTO",B149="CREDITI PER RITENUTE SUBITE",B149="CREDITI D'IMPOSTA"),MAX($FM$2:FM148)+1,0)</f>
        <v>0</v>
      </c>
      <c r="FN149" s="48" t="str">
        <f t="shared" ca="1" si="329"/>
        <v/>
      </c>
      <c r="FO149" s="48" t="str">
        <f ca="1">IFERROR(INDEX($FM$3:$FN$400,MATCH(ROWS($FO$3:FO149),$FM$3:$FM$400,0),2),"")</f>
        <v/>
      </c>
      <c r="FP149" s="48">
        <f ca="1">IF(ABS(SUMIFS(DARE,DEN_G,"="&amp;FO149,DATA,"&lt;="&amp;FINE_AC,DATA,"&gt;="&amp;INIZIO_A_PC)-SUMIFS(AVERE,DEN_G,"="&amp;FO149,DATA,"&lt;="&amp;FINE_AC,DATA,"&gt;="&amp;INIZIO_A_PC))&gt;0,MAX($FP$2:FP148)+1,0)</f>
        <v>0</v>
      </c>
      <c r="FQ149" s="48" t="str">
        <f ca="1">IF(AND(ROW()-2&lt;&gt;1,ROW()-2&lt;=$FP$1),CONCATENATE(" - ",IFERROR(INDEX($FO$3:$FP$400,MATCH(ROWS($FQ$3:FQ149),$FP$3:$FP$400,0),1),"")),IFERROR(INDEX($FO$3:$FP$400,MATCH(ROWS($FQ$3:FQ149),$FP$3:$FP$400,0),1),""))</f>
        <v/>
      </c>
    </row>
    <row r="150" spans="1:173" x14ac:dyDescent="0.3">
      <c r="A150" s="48" t="str">
        <f ca="1">IFERROR(IF($A$1=2,INDEX($DH$3:$DN$401,MATCH(ROWS(A$3:A150),$DN$3:$DN$401,0),COLUMN()),IF($A$1=1,INDEX($DQ$3:$DW$401,MATCH(ROWS(A$3:A150),$DW$3:$DW$401,0),COLUMN()),"")),"")</f>
        <v>15.01</v>
      </c>
      <c r="B150" s="48" t="str">
        <f ca="1">IFERROR(IF($A$1=2,INDEX($DH$3:$DN$401,MATCH(ROWS(B$3:B150),$DN$3:$DN$401,0),COLUMN()),IF($A$1=1,INDEX($DQ$3:$DW$400,MATCH(ROWS(B$3:B150),$DW$3:$DW$401,0),COLUMN()),"")),"")</f>
        <v>IVA NS/DEBITO</v>
      </c>
      <c r="C150" s="48" t="str">
        <f ca="1">IFERROR(IF($A$1=2,INDEX($DH$3:$DN$401,MATCH(ROWS(C$3:C150),$DN$3:$DN$401,0),COLUMN()),IF($A$1=1,INDEX($DQ$3:$DW$401,MATCH(ROWS(C$3:C150),$DW$3:$DW$401,0),COLUMN()),"")),"")</f>
        <v>F</v>
      </c>
      <c r="D150" s="48" t="str">
        <f ca="1">IFERROR(IF($A$1=2,INDEX($DH$3:$DN$401,MATCH(ROWS(D$3:D150),$DN$3:$DN$401,0),COLUMN()),IF($A$1=1,INDEX($DQ$3:$DW$401,MATCH(ROWS(D$3:D150),$DW$3:$DW$401,0),COLUMN()),"")),"")</f>
        <v>A</v>
      </c>
      <c r="E150" s="48" t="str">
        <f ca="1">IFERROR(IF($A$1=2,INDEX($DH$3:$DN$401,MATCH(ROWS(E$3:E150),$DN$3:$DN$401,0),COLUMN()),IF($A$1=1,INDEX($DQ$3:$DW$401,MATCH(ROWS(E$3:E150),$DW$3:$DW$401,0),COLUMN()),"")),"")</f>
        <v>DEBITI</v>
      </c>
      <c r="F150" s="48" t="str">
        <f ca="1">IFERROR(IF($A$1=2,INDEX($DH$3:$DN$401,MATCH(ROWS(F$3:F150),$DN$3:$DN$401,0),COLUMN()),IF($A$1=1,INDEX($DQ$3:$DX$401,MATCH(ROWS(F$3:F150),$DW$3:$DW$401,0),COLUMN()),"")),"")</f>
        <v>SP AVERE</v>
      </c>
      <c r="G150" s="48" t="str">
        <f t="shared" ca="1" si="294"/>
        <v>SP</v>
      </c>
      <c r="H150" s="48" t="str">
        <f ca="1">IFERROR(IF($A$1=2,INDEX($DH$3:$DO$400,MATCH(ROWS(H$3:H150),$DN$3:$DN$400,0),COLUMN()),IF($A$1=1,INDEX($DQ$3:$DX$400,MATCH(ROWS(H$3:H150),$DW$3:$DW$400,0),COLUMN()),"")),"")</f>
        <v>ppd</v>
      </c>
      <c r="I150" s="48" t="str">
        <f t="shared" ca="1" si="295"/>
        <v/>
      </c>
      <c r="J150" s="48" t="str">
        <f t="shared" ca="1" si="296"/>
        <v/>
      </c>
      <c r="K150" s="48">
        <f t="shared" ca="1" si="297"/>
        <v>0</v>
      </c>
      <c r="L150" s="48">
        <f t="shared" ca="1" si="298"/>
        <v>0</v>
      </c>
      <c r="M150" s="48">
        <f ca="1">IFERROR(IF(IF(MID($A150,3,3)=".00",MID(A150,1,2),"")&lt;&gt;"",MAX($M$2:M149)+1,0),"")</f>
        <v>0</v>
      </c>
      <c r="N150" s="48" t="str">
        <f t="shared" ca="1" si="299"/>
        <v/>
      </c>
      <c r="O150" s="48" t="str">
        <f ca="1">IF(IFERROR(INDEX($N$3:$O$300,MATCH(ROWS($O$3:O150),$M$3:$M$300,0),1),"")&lt;&gt;"",CONCATENATE(INDEX($N$3:$O$300,MATCH(ROWS($O$3:O150),$M$3:$M$300,0),1),".00"),"")</f>
        <v/>
      </c>
      <c r="P150" s="48" t="str">
        <f t="shared" ca="1" si="300"/>
        <v/>
      </c>
      <c r="Q150" s="48">
        <f ca="1">IF(M150&gt;=1,0,MAX($Q$2:Q149)+1)</f>
        <v>132</v>
      </c>
      <c r="U150" s="48" t="str">
        <f ca="1">IFERROR(INDEX(PDC,MATCH(ROWS(U$3:U150),$V$3:$V$400,0),2),"")</f>
        <v>AMMINISTRATORI C/COMPETENZE</v>
      </c>
      <c r="V150" s="48">
        <f ca="1">IF(AND($T$1="VISUALIZZA TUTTI I CONTI",AA150&lt;&gt;""),MAX($V$2:V149)+1,IF(AND($U$2=2,AI150=$T$1),MAX($V$2:V149)+1,IF(AND($U$2=1,$T$1=AF150),MAX($V$2:V149)+1,0)))</f>
        <v>148</v>
      </c>
      <c r="Z150" s="246"/>
      <c r="AA150" s="48" t="str">
        <f t="shared" ca="1" si="301"/>
        <v>15.00</v>
      </c>
      <c r="AB150" s="48" t="str">
        <f ca="1">IFERROR(INDEX($A$3:$G$400,MATCH(ROWS(AB$3:AB150),$Q$3:$Q$400,0),1),"")</f>
        <v>15.70</v>
      </c>
      <c r="AC150" s="48" t="str">
        <f ca="1">IFERROR(INDEX($A$3:$G$400,MATCH(ROWS($AC$3:AC150),$Q$3:$Q$400,0),2),"")</f>
        <v>AMMINISTRATORI C/COMPETENZE</v>
      </c>
      <c r="AD150" s="48" t="str">
        <f ca="1">IFERROR(INDEX($A$3:$G$400,MATCH(ROWS(AD$3:AD150),$Q$3:$Q$400,0),3),"")</f>
        <v>F</v>
      </c>
      <c r="AE150" s="48" t="str">
        <f ca="1">IFERROR(INDEX($A$3:$G$400,MATCH(ROWS(AE$3:AE150),$Q$3:$Q$400,0),4),"")</f>
        <v>A</v>
      </c>
      <c r="AF150" s="48" t="str">
        <f ca="1">IFERROR(INDEX($A$3:$G$400,MATCH(ROWS(AF$3:AF150),$Q$3:$Q$400,0),5),"")</f>
        <v>DEBITI</v>
      </c>
      <c r="AG150" s="48" t="str">
        <f ca="1">IFERROR(INDEX($A$3:$G$400,MATCH(ROWS(AG$3:AG150),$Q$3:$Q$400,0),6),"")</f>
        <v>SP AVERE</v>
      </c>
      <c r="AH150" s="48" t="str">
        <f ca="1">IFERROR(INDEX($A$3:$G$400,MATCH(ROWS(AH$3:AH150),$Q$3:$Q$400,0),7),"")</f>
        <v>SP</v>
      </c>
      <c r="AI150" s="48" t="str">
        <f t="shared" ca="1" si="302"/>
        <v>DEBITI DIVERSI</v>
      </c>
      <c r="AJ150" s="48" t="str">
        <f ca="1">IFERROR(INDEX($A$3:$H$400,MATCH(ROWS(AJ$3:AJ150),$Q$3:$Q$400,0),8),"")</f>
        <v>ppd</v>
      </c>
      <c r="AK150" s="48">
        <f t="shared" ca="1" si="277"/>
        <v>0</v>
      </c>
      <c r="AL150" s="48">
        <f t="shared" ca="1" si="335"/>
        <v>0</v>
      </c>
      <c r="AM150" s="48">
        <f t="shared" ca="1" si="252"/>
        <v>0</v>
      </c>
      <c r="AN150" s="48">
        <f t="shared" ca="1" si="253"/>
        <v>0</v>
      </c>
      <c r="AO150" s="48">
        <f t="shared" ca="1" si="254"/>
        <v>0</v>
      </c>
      <c r="AP150" s="48">
        <f t="shared" ca="1" si="254"/>
        <v>0</v>
      </c>
      <c r="AQ150" s="48" t="str">
        <f t="shared" ca="1" si="278"/>
        <v>AMMINISTRATORI C/COMPETENZE</v>
      </c>
      <c r="AR150" s="48">
        <f t="shared" ca="1" si="279"/>
        <v>0</v>
      </c>
      <c r="AS150" s="48">
        <f t="shared" ca="1" si="280"/>
        <v>0</v>
      </c>
      <c r="AT150" s="48">
        <f t="shared" ca="1" si="303"/>
        <v>0</v>
      </c>
      <c r="AU150" s="48">
        <f t="shared" ca="1" si="304"/>
        <v>0</v>
      </c>
      <c r="AV150" s="48">
        <f ca="1">IF(OR(AT150&gt;0,AU150&gt;0),MAX($AV$2:AV149)+1,0)</f>
        <v>0</v>
      </c>
      <c r="AZ150" s="241" t="str">
        <f t="shared" si="240"/>
        <v>50 V.I.</v>
      </c>
      <c r="BA150" s="48">
        <f t="shared" ca="1" si="330"/>
        <v>0</v>
      </c>
      <c r="BB150" s="48">
        <f t="shared" ca="1" si="247"/>
        <v>0</v>
      </c>
      <c r="BC150" s="48" t="str">
        <f t="shared" ca="1" si="248"/>
        <v/>
      </c>
      <c r="BD150" s="48">
        <f t="shared" ca="1" si="249"/>
        <v>0</v>
      </c>
      <c r="BE150" s="48">
        <f t="shared" ca="1" si="250"/>
        <v>0</v>
      </c>
      <c r="BG150" s="48">
        <f ca="1">IF(IF(AND(OR(INDEX(PDC,MATCH($AC150,DEN_PDC,0),6)="SP DARE",INDEX(PDC,MATCH($AC150,DEN_PDC,0),6)="SP DARE/AVERE"),SUMIFS(DARE,DEN_G,$AC150)&gt;=SUMIFS(AVERE,DEN_G,$AC150)),SUMIFS(DARE,DEN_G,$AC150)-SUMIFS(AVERE,DEN_G,$AC150),0)&gt;0,MAX($BG$2:BG149)+1,0)</f>
        <v>0</v>
      </c>
      <c r="BH150" s="48">
        <f ca="1">IF(IF(AND(OR(INDEX(PDC,MATCH($AC150,DEN_PDC,0),6)="SP AVERE",INDEX(PDC,MATCH($AC150,DEN_PDC,0),6)="SP DARE/AVERE"),SUMIFS(AVERE,DEN_G,$AC150)&gt;=SUMIFS(DARE,DEN_G,$AC150)),SUMIFS(AVERE,DEN_G,$AC150)-SUMIFS(DARE,DEN_G,$AC150),0)&gt;0,MAX(BH$2:BH149)+1,0)</f>
        <v>0</v>
      </c>
      <c r="BI150" s="48">
        <f ca="1">IF(IF(AND(OR(INDEX(PDC,MATCH($AC150,DEN_PDC,0),6)="SE DARE",INDEX(PDC,MATCH($AC150,DEN_PDC,0),6)="SE DARE/AVERE"),SUMIFS(DARE,DEN_G,$AC150)&gt;=SUMIFS(AVERE,DEN_G,$AC150)),SUMIFS(DARE,DEN_G,$AC150)-SUMIFS(AVERE,DEN_G,$AC150),0)&gt;0,MAX(BI$2:BI149)+1,0)</f>
        <v>0</v>
      </c>
      <c r="BJ150" s="48">
        <f ca="1">IF(IF(AND(OR(INDEX(PDC,MATCH($AC150,DEN_PDC,0),6)="SE AVERE",INDEX(PDC,MATCH($AC150,DEN_PDC,0),6)="SE DARE/AVERE"),SUMIFS(AVERE,DEN_G,$AC150)&gt;=SUMIFS(DARE,DEN_G,$AC150)),SUMIFS(AVERE,DEN_G,$AC150)-SUMIFS(DARE,DEN_G,$AC150),0)&gt;0,MAX(BJ$2:BJ149)+1,0)</f>
        <v>0</v>
      </c>
      <c r="BK150" s="48" t="str">
        <f ca="1">IF(AND(AND($DY$2=0,$DY$1=0),$I$1=2,ROW()&gt;$BG$1+2,ROW()&lt;=$BG$1+4),"………………..",IF(AND(OR($DY$2&gt;0,$DY$1&gt;0),$I$1=2,ROW()&gt;$BG$1+2,ROW()&lt;=$BG$1+4),"………………..",IFERROR(INDEX($AC$3:$AC$398,MATCH(ROWS(BK$3:BK150),BG$3:BG$398,0),1),"")))</f>
        <v/>
      </c>
      <c r="BL150" s="48">
        <f t="shared" ca="1" si="281"/>
        <v>0</v>
      </c>
      <c r="BM150" s="48" t="str">
        <f ca="1">IF(AND(OR($DY$2=0,$DY$1=0),$I$1=2,ROW()&gt;$BH$1+2,ROW()&lt;=$BH$1+4),"………………..",IF(AND(OR($DY$2&gt;0,$DY$1&gt;0),$I$1=2,ROW()&gt;$BH$1+2,ROW()&lt;=$BH$1+4),"………………..",IFERROR(INDEX($AC$3:$AC$400,MATCH(ROWS(BM$3:BM150),BH$3:BH$400,0),1),"")))</f>
        <v/>
      </c>
      <c r="BN150" s="48">
        <f t="shared" ca="1" si="282"/>
        <v>0</v>
      </c>
      <c r="BO150" s="48" t="str">
        <f ca="1">IF(AND(OR($DY$2=0,$DY$1=0),$I$1=2,ROW()&gt;$BI$1+2,ROW()&lt;=$BI$1+4),"………………..",IF(AND(OR($DY$2&gt;0,$DY$1&gt;0),$I$1=2,ROW()&gt;$BI$1+2,ROW()&lt;=$BI$1+4),"………………..",IFERROR(INDEX($AC$3:$AC$400,MATCH(ROWS(BO$3:BO150),BI$3:BI$400,0),1),"")))</f>
        <v/>
      </c>
      <c r="BP150" s="48">
        <f t="shared" ca="1" si="283"/>
        <v>0</v>
      </c>
      <c r="BQ150" s="48" t="str">
        <f ca="1">IF(AND(OR($DY$2=0,$DY$1=0),$I$1=2,ROW()&gt;$BJ$1+2,ROW()&lt;=$BJ$1+4),"………………..",IF(AND(OR($DY$2&gt;0,$DY$1&gt;0),$I$1=2,ROW()&gt;$BJ$1+2,ROW()&lt;=$BJ$1+4),"………………..",IFERROR(INDEX($AC$3:$AC$400,MATCH(ROWS(BQ$3:BQ150),BJ$3:BJ$400,0),1),"")))</f>
        <v/>
      </c>
      <c r="BR150" s="48">
        <f t="shared" ca="1" si="284"/>
        <v>0</v>
      </c>
      <c r="BS150" s="48">
        <f ca="1">IF(IF(AND(OR(INDEX(PDC,MATCH($AC150,DEN_PDC,0),4)="D",INDEX(PDC,MATCH($AC150,DEN_PDC,0),4)="D/A"),SUMIFS(DARE,DEN_G,$AC150)&gt;=SUMIFS(AVERE,DEN_G,$AC150)),SUMIFS(DARE,DEN_G,$AC150),IF(AND(OR(INDEX(PDC,MATCH($AC150,DEN_PDC,0),4)="A",INDEX(PDC,MATCH($AC150,DEN_PDC,0),4)="D/A"),SUMIFS(AVERE,DEN_G,$AC150)&gt;=SUMIFS(DARE,DEN_G,$AC150)),SUMIFS(AVERE,DEN_G,$AC150),))&gt;0,MAX($BS$2:BS149)+1,0)</f>
        <v>0</v>
      </c>
      <c r="BT150" s="48" t="str">
        <f ca="1">IF($CO$1=0,"",IF(AND($I$1=2,ROW()&gt;$BR$1,ROW()&lt;=$BS$1)," …………….",IF(AND($E$1=1,$BX$1=1,$I$1=2,ROW()=$BQ$1),"TOTALI",IFERROR(INDEX(PDC,MATCH(ROWS(BT$3:BT150),BS$3:BS547,0),2),""))))</f>
        <v/>
      </c>
      <c r="BU150" s="48">
        <f t="shared" ca="1" si="285"/>
        <v>0</v>
      </c>
      <c r="BV150" s="48">
        <f t="shared" ca="1" si="286"/>
        <v>0</v>
      </c>
      <c r="BW150" s="48">
        <f t="shared" ca="1" si="287"/>
        <v>0</v>
      </c>
      <c r="BX150" s="48">
        <f t="shared" ca="1" si="288"/>
        <v>0</v>
      </c>
      <c r="BY150" s="48">
        <f ca="1">IF(OR(BW150&gt;0,BX150&gt;0),MAX($BY$2:BY149)+1,0)</f>
        <v>0</v>
      </c>
      <c r="BZ150" s="48" t="str">
        <f ca="1">IFERROR(INDEX($BT$3:$BY$400,MATCH(ROWS(BZ$3:BZ150),$BY$3:$BY$400,0),1),"")</f>
        <v/>
      </c>
      <c r="CA150" s="48" t="str">
        <f ca="1">IFERROR(INDEX($BT$3:$BY$400,MATCH(ROWS(CA$3:CA150),$BY$3:$BY$400,0),4),"")</f>
        <v/>
      </c>
      <c r="CB150" s="48" t="str">
        <f ca="1">IFERROR(INDEX($BT$3:$BY$400,MATCH(ROWS(CB$3:CB150),$BY$3:$BY$400,0),5),"")</f>
        <v/>
      </c>
      <c r="CC150" s="48" t="str">
        <f t="shared" ca="1" si="289"/>
        <v/>
      </c>
      <c r="CD150" s="48">
        <f ca="1">IF(AND($BF$9=1,CE150&lt;&gt;0),MAX($CD$104:CD149)+1,0)</f>
        <v>0</v>
      </c>
      <c r="CE150" s="48">
        <f ca="1">IF(ROUND(SUMIFS(COPIA!$CB$3:$CB$400,COPIA!$CC$3:$CC$400,CF150)-SUMIFS(COPIA!$CA$3:$CA$400,COPIA!$CC$3:$CC$400,CF150),0)&lt;0,0,ROUND(SUMIFS(COPIA!$CB$3:$CB$400,COPIA!$CC$3:$CC$400,CF150)-SUMIFS(COPIA!$CA$3:$CA$400,COPIA!$CC$3:$CC$400,CF150),0))</f>
        <v>0</v>
      </c>
      <c r="CF150" s="48" t="s">
        <v>667</v>
      </c>
      <c r="CG150" s="242" t="s">
        <v>562</v>
      </c>
      <c r="CH150" s="48">
        <f t="shared" ca="1" si="259"/>
        <v>0</v>
      </c>
      <c r="CJ150" s="242">
        <f ca="1">SUMIFS(COPIA!$CB$3:$CB$400,COPIA!$CC$3:$CC$400,CF150)-SUMIFS(COPIA!$CA$3:$CA$400,COPIA!$CC$3:$CC$400,CF150)</f>
        <v>0</v>
      </c>
      <c r="CK150" s="48">
        <f ca="1">IF($CG$2=FALSE,0,IF(AND($BF$9=1,CJ150&lt;&gt;0),MAX($CK$21:CK149)+1,0))</f>
        <v>0</v>
      </c>
      <c r="CL150" s="48" t="s">
        <v>798</v>
      </c>
      <c r="CM150" s="242" t="str">
        <f t="shared" ca="1" si="305"/>
        <v/>
      </c>
      <c r="CN150" s="243">
        <f t="shared" ca="1" si="306"/>
        <v>0</v>
      </c>
      <c r="CO150" s="48" t="str">
        <f t="shared" ca="1" si="307"/>
        <v/>
      </c>
      <c r="CQ150" s="242"/>
      <c r="CR150" s="242"/>
      <c r="CU150" s="48">
        <f ca="1">IF(SUMIFS(AVERE,DEN_G,AC150,AVERE,"&gt;"&amp;0)+SUMIFS(DARE,DEN_G,AC150,DARE,"&gt;"&amp;0)&gt;0,MAX($CU$2:CU149)+1,0)</f>
        <v>0</v>
      </c>
      <c r="CV150" s="48" t="str">
        <f ca="1">IF(IFERROR(INDEX(PDC,MATCH(ROWS($CV$3:CV150),$CU$3:$CU$400,0),2),"")="CONTO DI RISULTATO ECONOMICO","",IFERROR(INDEX(PDC,MATCH(ROWS($CV$3:CV150),$CU$3:$CU$400,0),2),""))</f>
        <v/>
      </c>
      <c r="CW150" s="48">
        <f ca="1">IFERROR(IF(CV150&lt;&gt;"",MAX($CW$2:CW149)+1,0),0)</f>
        <v>0</v>
      </c>
      <c r="CX150" s="48">
        <f t="shared" ca="1" si="344"/>
        <v>12</v>
      </c>
      <c r="CY150" s="48" t="str">
        <f t="shared" ca="1" si="343"/>
        <v>MASTRO</v>
      </c>
      <c r="CZ150" s="48" t="e">
        <f t="shared" ca="1" si="346"/>
        <v>#N/A</v>
      </c>
      <c r="DA150" s="48" t="str">
        <f t="shared" ca="1" si="351"/>
        <v/>
      </c>
      <c r="DB150" s="48" t="str">
        <f t="shared" ca="1" si="347"/>
        <v/>
      </c>
      <c r="DC150" s="48" t="str">
        <f t="shared" ca="1" si="348"/>
        <v/>
      </c>
      <c r="DD150" s="48" t="str">
        <f t="shared" ca="1" si="349"/>
        <v/>
      </c>
      <c r="DE150" s="48" t="str">
        <f t="shared" ca="1" si="350"/>
        <v/>
      </c>
      <c r="DF150" s="48">
        <f ca="1">IF(AND(CX150=$DF$1,CX150&lt;&gt;""),0,IF(AND(DB150&lt;&gt;"",OR(DB149&lt;&gt;"",DB151&lt;&gt;"")),MAX($DF$2:DF149)+1,0))</f>
        <v>0</v>
      </c>
      <c r="DH150" s="244" t="s">
        <v>112</v>
      </c>
      <c r="DI150" s="228" t="s">
        <v>111</v>
      </c>
      <c r="DN150" s="48">
        <f ca="1">IF(DI150&lt;&gt;"",MAX($DN$2:DN149)+1,0)</f>
        <v>126</v>
      </c>
      <c r="DQ150" s="227" t="s">
        <v>407</v>
      </c>
      <c r="DR150" s="48" t="s">
        <v>1053</v>
      </c>
      <c r="DS150" s="48" t="s">
        <v>312</v>
      </c>
      <c r="DT150" s="48" t="s">
        <v>298</v>
      </c>
      <c r="DU150" s="48" t="s">
        <v>5</v>
      </c>
      <c r="DV150" s="48" t="s">
        <v>299</v>
      </c>
      <c r="DW150" s="48">
        <f ca="1">IF(DR150&lt;&gt;"",MAX($DW$2:DW149)+1,0)</f>
        <v>93</v>
      </c>
      <c r="DX150" s="48" t="str">
        <f t="shared" ca="1" si="352"/>
        <v>ppd</v>
      </c>
      <c r="DY150" s="48" t="str">
        <f t="shared" ca="1" si="291"/>
        <v/>
      </c>
      <c r="DZ150" s="48" t="str">
        <f t="shared" ca="1" si="309"/>
        <v/>
      </c>
      <c r="EA150" s="48" t="str">
        <f t="shared" ca="1" si="310"/>
        <v/>
      </c>
      <c r="EB150" s="48">
        <f t="shared" ca="1" si="311"/>
        <v>0</v>
      </c>
      <c r="EC150" s="48">
        <f t="shared" ca="1" si="312"/>
        <v>0</v>
      </c>
      <c r="ED150" s="48" t="str">
        <f t="shared" ca="1" si="313"/>
        <v/>
      </c>
      <c r="EE150" s="48">
        <f t="shared" ca="1" si="314"/>
        <v>0</v>
      </c>
      <c r="EF150" s="48" t="str">
        <f t="shared" ca="1" si="315"/>
        <v/>
      </c>
      <c r="EG150" s="48">
        <f t="shared" ca="1" si="316"/>
        <v>0</v>
      </c>
      <c r="EH150" s="48" t="str">
        <f t="shared" ca="1" si="317"/>
        <v/>
      </c>
      <c r="EI150" s="48">
        <f t="shared" ca="1" si="318"/>
        <v>0</v>
      </c>
      <c r="EJ150" s="48" t="str">
        <f t="shared" ca="1" si="319"/>
        <v/>
      </c>
      <c r="EK150" s="48">
        <f t="shared" ca="1" si="320"/>
        <v>0</v>
      </c>
      <c r="EL150" s="48">
        <f t="shared" ca="1" si="292"/>
        <v>0</v>
      </c>
      <c r="EM150" s="48">
        <f ca="1">IF(EL150&gt;=0,0,MAX($EM$2:EM149)+1)</f>
        <v>0</v>
      </c>
      <c r="EN150" s="48" t="str">
        <f t="shared" ca="1" si="321"/>
        <v/>
      </c>
      <c r="EO150" s="48" t="str">
        <f ca="1">IFERROR(INDEX($EM$3:$EN$400,MATCH(ROWS($EO$3:EO150),$EM$3:$EM$400,0),2),"")</f>
        <v/>
      </c>
      <c r="EP150" s="48">
        <f>ROW()</f>
        <v>150</v>
      </c>
      <c r="EQ150" s="48">
        <f t="shared" ca="1" si="293"/>
        <v>0</v>
      </c>
      <c r="ER150" s="48">
        <f ca="1">IF(ISNA(EQ150)=TRUE,MAX($ER$2:ER149)+1,0)</f>
        <v>0</v>
      </c>
      <c r="ES150" s="48" t="str">
        <f t="shared" ca="1" si="322"/>
        <v/>
      </c>
      <c r="ET150" s="48" t="str">
        <f ca="1">IFERROR(INDEX($ER$3:$ES$400,MATCH(ROWS($ET$3:ET150),$ER$3:$ER$400,0),2),"")</f>
        <v/>
      </c>
      <c r="EV150" s="48">
        <f ca="1">IFERROR(INDEX(LIBRO_GIORNALE!$O$11:$P$408,MATCH(ROWS($EV$2:EV149),LIBRO_GIORNALE!$P$11:$P$408,0),1),0)</f>
        <v>0</v>
      </c>
      <c r="EW150" s="48" t="str">
        <f t="shared" ca="1" si="323"/>
        <v>0</v>
      </c>
      <c r="EX150" s="48">
        <f t="shared" ca="1" si="324"/>
        <v>0</v>
      </c>
      <c r="EY150" s="48">
        <f ca="1">IF(EX150&gt;0,MAX($EY$2:EY149)+1,0)</f>
        <v>0</v>
      </c>
      <c r="EZ150" s="48">
        <f ca="1">IFERROR(INDEX($EX$3:$EX$400,MATCH(ROWS($EZ$3:EZ150),$EY$3:$EY$400,0),1),0)</f>
        <v>0</v>
      </c>
      <c r="FA150" s="48">
        <f ca="1">IF(EZ150&gt;0,0,MAX($FA$2:FA149)+1)</f>
        <v>148</v>
      </c>
      <c r="FB150" s="48">
        <f t="shared" ca="1" si="325"/>
        <v>0</v>
      </c>
      <c r="FC150" s="48">
        <f t="shared" ca="1" si="326"/>
        <v>148</v>
      </c>
      <c r="FD150" s="48">
        <f t="shared" ca="1" si="327"/>
        <v>148</v>
      </c>
      <c r="FE150" s="48">
        <f ca="1">IF(FD150=0,0,MAX($FE$2:FE149)+1)</f>
        <v>148</v>
      </c>
      <c r="FF150" s="48">
        <f ca="1">IFERROR(INDEX($FD$3:$FE$400,MATCH(ROWS($FF$3:FF150),$FE$3:$FE$400,0),1),"")</f>
        <v>148</v>
      </c>
      <c r="FG150" s="48">
        <f t="shared" ca="1" si="255"/>
        <v>0</v>
      </c>
      <c r="FH150" s="48">
        <f t="shared" ca="1" si="328"/>
        <v>0</v>
      </c>
      <c r="FI150" s="48">
        <f ca="1">IF(FH150&lt;&gt;0,MAX($FI$2:FI149)+1,0)</f>
        <v>0</v>
      </c>
      <c r="FJ150" s="48" t="str">
        <f ca="1">IFERROR(INDEX($FH$3:$FI$400,MATCH(ROWS($FJ$3:FJ150),$FI$3:$FI$400,0),1),"")</f>
        <v/>
      </c>
      <c r="FK150" s="48">
        <f ca="1">IF(ABS(SUMIFS(DARE,DEN_G,"="&amp;FJ150,DATA,"&lt;="&amp;FINE_AC,DATA,"&gt;="&amp;INIZIO_A_PC)-SUMIFS(AVERE,DEN_G,"="&amp;FJ150,DATA,"&lt;="&amp;FINE_AC,DATA,"&gt;="&amp;INIZIO_A_PC))&gt;0,MAX($FK$2:FK149)+1,0)</f>
        <v>0</v>
      </c>
      <c r="FL150" s="48" t="str">
        <f ca="1">IF(AND(ROW()-2&lt;&gt;1,ROW()-2&lt;=$FK$1),CONCATENATE(" - ",IFERROR(INDEX($FJ$3:$FK$400,MATCH(ROWS($FL$3:FL150),$FK$3:$FK$400,0),1),"")),IFERROR(INDEX($FJ$3:$FK$400,MATCH(ROWS($FL$3:FL150),$FK$3:$FK$400,0),1),""))</f>
        <v/>
      </c>
      <c r="FM150" s="48">
        <f ca="1">IF(OR(B150="IVA ns/credito",B150="IVA NS/DEBITO",B150="IVA C/ACCONTO",B150="IMPOSTE C/ACCONTO",B150="CREDITI PER RITENUTE SUBITE",B150="CREDITI D'IMPOSTA"),MAX($FM$2:FM149)+1,0)</f>
        <v>6</v>
      </c>
      <c r="FN150" s="48" t="str">
        <f t="shared" ca="1" si="329"/>
        <v>IVA NS/DEBITO</v>
      </c>
      <c r="FO150" s="48" t="str">
        <f ca="1">IFERROR(INDEX($FM$3:$FN$400,MATCH(ROWS($FO$3:FO150),$FM$3:$FM$400,0),2),"")</f>
        <v/>
      </c>
      <c r="FP150" s="48">
        <f ca="1">IF(ABS(SUMIFS(DARE,DEN_G,"="&amp;FO150,DATA,"&lt;="&amp;FINE_AC,DATA,"&gt;="&amp;INIZIO_A_PC)-SUMIFS(AVERE,DEN_G,"="&amp;FO150,DATA,"&lt;="&amp;FINE_AC,DATA,"&gt;="&amp;INIZIO_A_PC))&gt;0,MAX($FP$2:FP149)+1,0)</f>
        <v>0</v>
      </c>
      <c r="FQ150" s="48" t="str">
        <f ca="1">IF(AND(ROW()-2&lt;&gt;1,ROW()-2&lt;=$FP$1),CONCATENATE(" - ",IFERROR(INDEX($FO$3:$FP$400,MATCH(ROWS($FQ$3:FQ150),$FP$3:$FP$400,0),1),"")),IFERROR(INDEX($FO$3:$FP$400,MATCH(ROWS($FQ$3:FQ150),$FP$3:$FP$400,0),1),""))</f>
        <v/>
      </c>
    </row>
    <row r="151" spans="1:173" x14ac:dyDescent="0.3">
      <c r="A151" s="48" t="str">
        <f ca="1">IFERROR(IF($A$1=2,INDEX($DH$3:$DN$401,MATCH(ROWS(A$3:A151),$DN$3:$DN$401,0),COLUMN()),IF($A$1=1,INDEX($DQ$3:$DW$401,MATCH(ROWS(A$3:A151),$DW$3:$DW$401,0),COLUMN()),"")),"")</f>
        <v>15.02</v>
      </c>
      <c r="B151" s="48" t="str">
        <f ca="1">IFERROR(IF($A$1=2,INDEX($DH$3:$DN$401,MATCH(ROWS(B$3:B151),$DN$3:$DN$401,0),COLUMN()),IF($A$1=1,INDEX($DQ$3:$DW$400,MATCH(ROWS(B$3:B151),$DW$3:$DW$401,0),COLUMN()),"")),"")</f>
        <v>DEBITI PER RITENUTE DA VERSARE</v>
      </c>
      <c r="C151" s="48" t="str">
        <f ca="1">IFERROR(IF($A$1=2,INDEX($DH$3:$DN$401,MATCH(ROWS(C$3:C151),$DN$3:$DN$401,0),COLUMN()),IF($A$1=1,INDEX($DQ$3:$DW$401,MATCH(ROWS(C$3:C151),$DW$3:$DW$401,0),COLUMN()),"")),"")</f>
        <v>F</v>
      </c>
      <c r="D151" s="48" t="str">
        <f ca="1">IFERROR(IF($A$1=2,INDEX($DH$3:$DN$401,MATCH(ROWS(D$3:D151),$DN$3:$DN$401,0),COLUMN()),IF($A$1=1,INDEX($DQ$3:$DW$401,MATCH(ROWS(D$3:D151),$DW$3:$DW$401,0),COLUMN()),"")),"")</f>
        <v>A</v>
      </c>
      <c r="E151" s="48" t="str">
        <f ca="1">IFERROR(IF($A$1=2,INDEX($DH$3:$DN$401,MATCH(ROWS(E$3:E151),$DN$3:$DN$401,0),COLUMN()),IF($A$1=1,INDEX($DQ$3:$DW$401,MATCH(ROWS(E$3:E151),$DW$3:$DW$401,0),COLUMN()),"")),"")</f>
        <v>DEBITI</v>
      </c>
      <c r="F151" s="48" t="str">
        <f ca="1">IFERROR(IF($A$1=2,INDEX($DH$3:$DN$401,MATCH(ROWS(F$3:F151),$DN$3:$DN$401,0),COLUMN()),IF($A$1=1,INDEX($DQ$3:$DX$401,MATCH(ROWS(F$3:F151),$DW$3:$DW$401,0),COLUMN()),"")),"")</f>
        <v>SP AVERE</v>
      </c>
      <c r="G151" s="48" t="str">
        <f t="shared" ca="1" si="294"/>
        <v>SP</v>
      </c>
      <c r="H151" s="48" t="str">
        <f ca="1">IFERROR(IF($A$1=2,INDEX($DH$3:$DO$400,MATCH(ROWS(H$3:H151),$DN$3:$DN$400,0),COLUMN()),IF($A$1=1,INDEX($DQ$3:$DX$400,MATCH(ROWS(H$3:H151),$DW$3:$DW$400,0),COLUMN()),"")),"")</f>
        <v>ppd</v>
      </c>
      <c r="I151" s="48" t="str">
        <f t="shared" ca="1" si="295"/>
        <v/>
      </c>
      <c r="J151" s="48" t="str">
        <f t="shared" ca="1" si="296"/>
        <v/>
      </c>
      <c r="K151" s="48">
        <f t="shared" ca="1" si="297"/>
        <v>0</v>
      </c>
      <c r="L151" s="48">
        <f t="shared" ca="1" si="298"/>
        <v>0</v>
      </c>
      <c r="M151" s="48">
        <f ca="1">IFERROR(IF(IF(MID($A151,3,3)=".00",MID(A151,1,2),"")&lt;&gt;"",MAX($M$2:M150)+1,0),"")</f>
        <v>0</v>
      </c>
      <c r="N151" s="48" t="str">
        <f t="shared" ca="1" si="299"/>
        <v/>
      </c>
      <c r="O151" s="48" t="str">
        <f ca="1">IF(IFERROR(INDEX($N$3:$O$300,MATCH(ROWS($O$3:O151),$M$3:$M$300,0),1),"")&lt;&gt;"",CONCATENATE(INDEX($N$3:$O$300,MATCH(ROWS($O$3:O151),$M$3:$M$300,0),1),".00"),"")</f>
        <v/>
      </c>
      <c r="P151" s="48" t="str">
        <f t="shared" ca="1" si="300"/>
        <v/>
      </c>
      <c r="Q151" s="48">
        <f ca="1">IF(M151&gt;=1,0,MAX($Q$2:Q150)+1)</f>
        <v>133</v>
      </c>
      <c r="U151" s="48" t="str">
        <f ca="1">IFERROR(INDEX(PDC,MATCH(ROWS(U$3:U151),$V$3:$V$400,0),2),"")</f>
        <v>SINDACI C/COMPETENZE</v>
      </c>
      <c r="V151" s="48">
        <f ca="1">IF(AND($T$1="VISUALIZZA TUTTI I CONTI",AA151&lt;&gt;""),MAX($V$2:V150)+1,IF(AND($U$2=2,AI151=$T$1),MAX($V$2:V150)+1,IF(AND($U$2=1,$T$1=AF151),MAX($V$2:V150)+1,0)))</f>
        <v>149</v>
      </c>
      <c r="AA151" s="48" t="str">
        <f t="shared" ca="1" si="301"/>
        <v>15.00</v>
      </c>
      <c r="AB151" s="48" t="str">
        <f ca="1">IFERROR(INDEX($A$3:$G$400,MATCH(ROWS(AB$3:AB151),$Q$3:$Q$400,0),1),"")</f>
        <v>15.71</v>
      </c>
      <c r="AC151" s="48" t="str">
        <f ca="1">IFERROR(INDEX($A$3:$G$400,MATCH(ROWS($AC$3:AC151),$Q$3:$Q$400,0),2),"")</f>
        <v>SINDACI C/COMPETENZE</v>
      </c>
      <c r="AD151" s="48" t="str">
        <f ca="1">IFERROR(INDEX($A$3:$G$400,MATCH(ROWS(AD$3:AD151),$Q$3:$Q$400,0),3),"")</f>
        <v>F</v>
      </c>
      <c r="AE151" s="48" t="str">
        <f ca="1">IFERROR(INDEX($A$3:$G$400,MATCH(ROWS(AE$3:AE151),$Q$3:$Q$400,0),4),"")</f>
        <v>A</v>
      </c>
      <c r="AF151" s="48" t="str">
        <f ca="1">IFERROR(INDEX($A$3:$G$400,MATCH(ROWS(AF$3:AF151),$Q$3:$Q$400,0),5),"")</f>
        <v>DEBITI</v>
      </c>
      <c r="AG151" s="48" t="str">
        <f ca="1">IFERROR(INDEX($A$3:$G$400,MATCH(ROWS(AG$3:AG151),$Q$3:$Q$400,0),6),"")</f>
        <v>SP AVERE</v>
      </c>
      <c r="AH151" s="48" t="str">
        <f ca="1">IFERROR(INDEX($A$3:$G$400,MATCH(ROWS(AH$3:AH151),$Q$3:$Q$400,0),7),"")</f>
        <v>SP</v>
      </c>
      <c r="AI151" s="48" t="str">
        <f t="shared" ca="1" si="302"/>
        <v>DEBITI DIVERSI</v>
      </c>
      <c r="AJ151" s="48" t="str">
        <f ca="1">IFERROR(INDEX($A$3:$H$400,MATCH(ROWS(AJ$3:AJ151),$Q$3:$Q$400,0),8),"")</f>
        <v>ppd</v>
      </c>
      <c r="AK151" s="48">
        <f t="shared" ca="1" si="277"/>
        <v>0</v>
      </c>
      <c r="AL151" s="48">
        <f t="shared" ca="1" si="335"/>
        <v>0</v>
      </c>
      <c r="AM151" s="48">
        <f t="shared" ca="1" si="252"/>
        <v>0</v>
      </c>
      <c r="AN151" s="48">
        <f t="shared" ca="1" si="253"/>
        <v>0</v>
      </c>
      <c r="AO151" s="48">
        <f t="shared" ca="1" si="254"/>
        <v>0</v>
      </c>
      <c r="AP151" s="48">
        <f t="shared" ca="1" si="254"/>
        <v>0</v>
      </c>
      <c r="AQ151" s="48" t="str">
        <f t="shared" ca="1" si="278"/>
        <v>SINDACI C/COMPETENZE</v>
      </c>
      <c r="AR151" s="48">
        <f t="shared" ca="1" si="279"/>
        <v>0</v>
      </c>
      <c r="AS151" s="48">
        <f t="shared" ca="1" si="280"/>
        <v>0</v>
      </c>
      <c r="AT151" s="48">
        <f t="shared" ca="1" si="303"/>
        <v>0</v>
      </c>
      <c r="AU151" s="48">
        <f t="shared" ca="1" si="304"/>
        <v>0</v>
      </c>
      <c r="AV151" s="48">
        <f ca="1">IF(OR(AT151&gt;0,AU151&gt;0),MAX($AV$2:AV150)+1,0)</f>
        <v>0</v>
      </c>
      <c r="AZ151" s="241" t="str">
        <f t="shared" si="240"/>
        <v>51 V.I.</v>
      </c>
      <c r="BA151" s="48">
        <f t="shared" ca="1" si="330"/>
        <v>0</v>
      </c>
      <c r="BB151" s="48">
        <f t="shared" ca="1" si="247"/>
        <v>0</v>
      </c>
      <c r="BC151" s="48" t="str">
        <f t="shared" ca="1" si="248"/>
        <v/>
      </c>
      <c r="BD151" s="48">
        <f t="shared" ca="1" si="249"/>
        <v>0</v>
      </c>
      <c r="BE151" s="48">
        <f t="shared" ca="1" si="250"/>
        <v>0</v>
      </c>
      <c r="BG151" s="48">
        <f ca="1">IF(IF(AND(OR(INDEX(PDC,MATCH($AC151,DEN_PDC,0),6)="SP DARE",INDEX(PDC,MATCH($AC151,DEN_PDC,0),6)="SP DARE/AVERE"),SUMIFS(DARE,DEN_G,$AC151)&gt;=SUMIFS(AVERE,DEN_G,$AC151)),SUMIFS(DARE,DEN_G,$AC151)-SUMIFS(AVERE,DEN_G,$AC151),0)&gt;0,MAX($BG$2:BG150)+1,0)</f>
        <v>0</v>
      </c>
      <c r="BH151" s="48">
        <f ca="1">IF(IF(AND(OR(INDEX(PDC,MATCH($AC151,DEN_PDC,0),6)="SP AVERE",INDEX(PDC,MATCH($AC151,DEN_PDC,0),6)="SP DARE/AVERE"),SUMIFS(AVERE,DEN_G,$AC151)&gt;=SUMIFS(DARE,DEN_G,$AC151)),SUMIFS(AVERE,DEN_G,$AC151)-SUMIFS(DARE,DEN_G,$AC151),0)&gt;0,MAX(BH$2:BH150)+1,0)</f>
        <v>0</v>
      </c>
      <c r="BI151" s="48">
        <f ca="1">IF(IF(AND(OR(INDEX(PDC,MATCH($AC151,DEN_PDC,0),6)="SE DARE",INDEX(PDC,MATCH($AC151,DEN_PDC,0),6)="SE DARE/AVERE"),SUMIFS(DARE,DEN_G,$AC151)&gt;=SUMIFS(AVERE,DEN_G,$AC151)),SUMIFS(DARE,DEN_G,$AC151)-SUMIFS(AVERE,DEN_G,$AC151),0)&gt;0,MAX(BI$2:BI150)+1,0)</f>
        <v>0</v>
      </c>
      <c r="BJ151" s="48">
        <f ca="1">IF(IF(AND(OR(INDEX(PDC,MATCH($AC151,DEN_PDC,0),6)="SE AVERE",INDEX(PDC,MATCH($AC151,DEN_PDC,0),6)="SE DARE/AVERE"),SUMIFS(AVERE,DEN_G,$AC151)&gt;=SUMIFS(DARE,DEN_G,$AC151)),SUMIFS(AVERE,DEN_G,$AC151)-SUMIFS(DARE,DEN_G,$AC151),0)&gt;0,MAX(BJ$2:BJ150)+1,0)</f>
        <v>0</v>
      </c>
      <c r="BK151" s="48" t="str">
        <f ca="1">IF(AND(AND($DY$2=0,$DY$1=0),$I$1=2,ROW()&gt;$BG$1+2,ROW()&lt;=$BG$1+4),"………………..",IF(AND(OR($DY$2&gt;0,$DY$1&gt;0),$I$1=2,ROW()&gt;$BG$1+2,ROW()&lt;=$BG$1+4),"………………..",IFERROR(INDEX($AC$3:$AC$398,MATCH(ROWS(BK$3:BK151),BG$3:BG$398,0),1),"")))</f>
        <v/>
      </c>
      <c r="BL151" s="48">
        <f t="shared" ca="1" si="281"/>
        <v>0</v>
      </c>
      <c r="BM151" s="48" t="str">
        <f ca="1">IF(AND(OR($DY$2=0,$DY$1=0),$I$1=2,ROW()&gt;$BH$1+2,ROW()&lt;=$BH$1+4),"………………..",IF(AND(OR($DY$2&gt;0,$DY$1&gt;0),$I$1=2,ROW()&gt;$BH$1+2,ROW()&lt;=$BH$1+4),"………………..",IFERROR(INDEX($AC$3:$AC$400,MATCH(ROWS(BM$3:BM151),BH$3:BH$400,0),1),"")))</f>
        <v/>
      </c>
      <c r="BN151" s="48">
        <f t="shared" ca="1" si="282"/>
        <v>0</v>
      </c>
      <c r="BO151" s="48" t="str">
        <f ca="1">IF(AND(OR($DY$2=0,$DY$1=0),$I$1=2,ROW()&gt;$BI$1+2,ROW()&lt;=$BI$1+4),"………………..",IF(AND(OR($DY$2&gt;0,$DY$1&gt;0),$I$1=2,ROW()&gt;$BI$1+2,ROW()&lt;=$BI$1+4),"………………..",IFERROR(INDEX($AC$3:$AC$400,MATCH(ROWS(BO$3:BO151),BI$3:BI$400,0),1),"")))</f>
        <v/>
      </c>
      <c r="BP151" s="48">
        <f t="shared" ca="1" si="283"/>
        <v>0</v>
      </c>
      <c r="BQ151" s="48" t="str">
        <f ca="1">IF(AND(OR($DY$2=0,$DY$1=0),$I$1=2,ROW()&gt;$BJ$1+2,ROW()&lt;=$BJ$1+4),"………………..",IF(AND(OR($DY$2&gt;0,$DY$1&gt;0),$I$1=2,ROW()&gt;$BJ$1+2,ROW()&lt;=$BJ$1+4),"………………..",IFERROR(INDEX($AC$3:$AC$400,MATCH(ROWS(BQ$3:BQ151),BJ$3:BJ$400,0),1),"")))</f>
        <v/>
      </c>
      <c r="BR151" s="48">
        <f t="shared" ca="1" si="284"/>
        <v>0</v>
      </c>
      <c r="BS151" s="48">
        <f ca="1">IF(IF(AND(OR(INDEX(PDC,MATCH($AC151,DEN_PDC,0),4)="D",INDEX(PDC,MATCH($AC151,DEN_PDC,0),4)="D/A"),SUMIFS(DARE,DEN_G,$AC151)&gt;=SUMIFS(AVERE,DEN_G,$AC151)),SUMIFS(DARE,DEN_G,$AC151),IF(AND(OR(INDEX(PDC,MATCH($AC151,DEN_PDC,0),4)="A",INDEX(PDC,MATCH($AC151,DEN_PDC,0),4)="D/A"),SUMIFS(AVERE,DEN_G,$AC151)&gt;=SUMIFS(DARE,DEN_G,$AC151)),SUMIFS(AVERE,DEN_G,$AC151),))&gt;0,MAX($BS$2:BS150)+1,0)</f>
        <v>0</v>
      </c>
      <c r="BT151" s="48" t="str">
        <f ca="1">IF($CO$1=0,"",IF(AND($I$1=2,ROW()&gt;$BR$1,ROW()&lt;=$BS$1)," …………….",IF(AND($E$1=1,$BX$1=1,$I$1=2,ROW()=$BQ$1),"TOTALI",IFERROR(INDEX(PDC,MATCH(ROWS(BT$3:BT151),BS$3:BS548,0),2),""))))</f>
        <v/>
      </c>
      <c r="BU151" s="48">
        <f t="shared" ca="1" si="285"/>
        <v>0</v>
      </c>
      <c r="BV151" s="48">
        <f t="shared" ca="1" si="286"/>
        <v>0</v>
      </c>
      <c r="BW151" s="48">
        <f t="shared" ca="1" si="287"/>
        <v>0</v>
      </c>
      <c r="BX151" s="48">
        <f t="shared" ca="1" si="288"/>
        <v>0</v>
      </c>
      <c r="BY151" s="48">
        <f ca="1">IF(OR(BW151&gt;0,BX151&gt;0),MAX($BY$2:BY150)+1,0)</f>
        <v>0</v>
      </c>
      <c r="BZ151" s="48" t="str">
        <f ca="1">IFERROR(INDEX($BT$3:$BY$400,MATCH(ROWS(BZ$3:BZ151),$BY$3:$BY$400,0),1),"")</f>
        <v/>
      </c>
      <c r="CA151" s="48" t="str">
        <f ca="1">IFERROR(INDEX($BT$3:$BY$400,MATCH(ROWS(CA$3:CA151),$BY$3:$BY$400,0),4),"")</f>
        <v/>
      </c>
      <c r="CB151" s="48" t="str">
        <f ca="1">IFERROR(INDEX($BT$3:$BY$400,MATCH(ROWS(CB$3:CB151),$BY$3:$BY$400,0),5),"")</f>
        <v/>
      </c>
      <c r="CC151" s="48" t="str">
        <f t="shared" ca="1" si="289"/>
        <v/>
      </c>
      <c r="CD151" s="48">
        <f ca="1">IF(AND($BF$9=1,CE151&lt;&gt;0),MAX($CD$104:CD150)+1,0)</f>
        <v>0</v>
      </c>
      <c r="CE151" s="48">
        <f ca="1">ROUND(IFERROR(INDEX(BILANCIO!$I$13:$J$59,MATCH(CF151,BILANCIO!$J$13:$J$59,0),1),0),0)</f>
        <v>0</v>
      </c>
      <c r="CF151" s="48" t="s">
        <v>798</v>
      </c>
      <c r="CG151" s="242" t="s">
        <v>571</v>
      </c>
      <c r="CI151" s="48">
        <f t="shared" ca="1" si="331"/>
        <v>0</v>
      </c>
      <c r="CJ151" s="242">
        <f ca="1">SUMIFS(COPIA!$CB$3:$CB$400,COPIA!$CC$3:$CC$400,CF151)-SUMIFS(COPIA!$CA$3:$CA$400,COPIA!$CC$3:$CC$400,CF151)</f>
        <v>0</v>
      </c>
      <c r="CK151" s="48">
        <f ca="1">IF($CG$2=FALSE,0,IF(AND($BF$9=1,CJ151&lt;&gt;0),MAX($CK$21:CK150)+1,0))</f>
        <v>0</v>
      </c>
      <c r="CM151" s="242" t="str">
        <f t="shared" ca="1" si="305"/>
        <v/>
      </c>
      <c r="CN151" s="243">
        <f t="shared" ca="1" si="306"/>
        <v>0</v>
      </c>
      <c r="CO151" s="48" t="str">
        <f t="shared" ca="1" si="307"/>
        <v/>
      </c>
      <c r="CQ151" s="242"/>
      <c r="CR151" s="242"/>
      <c r="CU151" s="48">
        <f ca="1">IF(SUMIFS(AVERE,DEN_G,AC151,AVERE,"&gt;"&amp;0)+SUMIFS(DARE,DEN_G,AC151,DARE,"&gt;"&amp;0)&gt;0,MAX($CU$2:CU150)+1,0)</f>
        <v>0</v>
      </c>
      <c r="CV151" s="48" t="str">
        <f ca="1">IF(IFERROR(INDEX(PDC,MATCH(ROWS($CV$3:CV151),$CU$3:$CU$400,0),2),"")="CONTO DI RISULTATO ECONOMICO","",IFERROR(INDEX(PDC,MATCH(ROWS($CV$3:CV151),$CU$3:$CU$400,0),2),""))</f>
        <v/>
      </c>
      <c r="CW151" s="48">
        <f ca="1">IFERROR(IF(CV151&lt;&gt;"",MAX($CW$2:CW150)+1,0),0)</f>
        <v>0</v>
      </c>
      <c r="CX151" s="48">
        <f t="shared" ca="1" si="344"/>
        <v>12</v>
      </c>
      <c r="CY151" s="48" t="str">
        <f t="shared" ca="1" si="343"/>
        <v>MASTRO</v>
      </c>
      <c r="CZ151" s="48" t="e">
        <f t="shared" ca="1" si="346"/>
        <v>#N/A</v>
      </c>
      <c r="DA151" s="48" t="str">
        <f t="shared" ca="1" si="351"/>
        <v/>
      </c>
      <c r="DB151" s="48" t="str">
        <f t="shared" ca="1" si="347"/>
        <v/>
      </c>
      <c r="DC151" s="48" t="str">
        <f t="shared" ca="1" si="348"/>
        <v/>
      </c>
      <c r="DD151" s="48" t="str">
        <f t="shared" ca="1" si="349"/>
        <v/>
      </c>
      <c r="DE151" s="48" t="str">
        <f t="shared" ca="1" si="350"/>
        <v/>
      </c>
      <c r="DF151" s="48">
        <f ca="1">IF(AND(CX151=$DF$1,CX151&lt;&gt;""),0,IF(AND(DB151&lt;&gt;"",OR(DB150&lt;&gt;"",DB152&lt;&gt;"")),MAX($DF$2:DF150)+1,0))</f>
        <v>0</v>
      </c>
      <c r="DH151" s="244" t="s">
        <v>403</v>
      </c>
      <c r="DI151" s="48" t="s">
        <v>404</v>
      </c>
      <c r="DJ151" s="48" t="s">
        <v>312</v>
      </c>
      <c r="DK151" s="48" t="s">
        <v>298</v>
      </c>
      <c r="DL151" s="48" t="s">
        <v>5</v>
      </c>
      <c r="DM151" s="48" t="s">
        <v>299</v>
      </c>
      <c r="DN151" s="48">
        <f ca="1">IF(DI151&lt;&gt;"",MAX($DN$2:DN150)+1,0)</f>
        <v>127</v>
      </c>
      <c r="DO151" s="48" t="str">
        <f ca="1">IF($BF$9=1,"ppd1","ppd")</f>
        <v>ppd</v>
      </c>
      <c r="DQ151" s="227" t="s">
        <v>121</v>
      </c>
      <c r="DR151" s="48" t="s">
        <v>116</v>
      </c>
      <c r="DS151" s="48" t="s">
        <v>312</v>
      </c>
      <c r="DT151" s="48" t="s">
        <v>298</v>
      </c>
      <c r="DU151" s="48" t="s">
        <v>5</v>
      </c>
      <c r="DV151" s="48" t="s">
        <v>299</v>
      </c>
      <c r="DW151" s="48">
        <f ca="1">IF(DR151&lt;&gt;"",MAX($DW$2:DW150)+1,0)</f>
        <v>94</v>
      </c>
      <c r="DX151" s="48" t="str">
        <f t="shared" ca="1" si="352"/>
        <v>ppd</v>
      </c>
      <c r="DY151" s="48" t="str">
        <f t="shared" ca="1" si="291"/>
        <v/>
      </c>
      <c r="DZ151" s="48" t="str">
        <f t="shared" ca="1" si="309"/>
        <v/>
      </c>
      <c r="EA151" s="48" t="str">
        <f t="shared" ca="1" si="310"/>
        <v/>
      </c>
      <c r="EB151" s="48">
        <f t="shared" ca="1" si="311"/>
        <v>0</v>
      </c>
      <c r="EC151" s="48">
        <f t="shared" ca="1" si="312"/>
        <v>0</v>
      </c>
      <c r="ED151" s="48" t="str">
        <f t="shared" ca="1" si="313"/>
        <v/>
      </c>
      <c r="EE151" s="48">
        <f t="shared" ca="1" si="314"/>
        <v>0</v>
      </c>
      <c r="EF151" s="48" t="str">
        <f t="shared" ca="1" si="315"/>
        <v/>
      </c>
      <c r="EG151" s="48">
        <f t="shared" ca="1" si="316"/>
        <v>0</v>
      </c>
      <c r="EH151" s="48" t="str">
        <f t="shared" ca="1" si="317"/>
        <v/>
      </c>
      <c r="EI151" s="48">
        <f t="shared" ca="1" si="318"/>
        <v>0</v>
      </c>
      <c r="EJ151" s="48" t="str">
        <f t="shared" ca="1" si="319"/>
        <v/>
      </c>
      <c r="EK151" s="48">
        <f t="shared" ca="1" si="320"/>
        <v>0</v>
      </c>
      <c r="EL151" s="48">
        <f t="shared" ca="1" si="292"/>
        <v>0</v>
      </c>
      <c r="EM151" s="48">
        <f ca="1">IF(EL151&gt;=0,0,MAX($EM$2:EM150)+1)</f>
        <v>0</v>
      </c>
      <c r="EN151" s="48" t="str">
        <f t="shared" ca="1" si="321"/>
        <v/>
      </c>
      <c r="EO151" s="48" t="str">
        <f ca="1">IFERROR(INDEX($EM$3:$EN$400,MATCH(ROWS($EO$3:EO151),$EM$3:$EM$400,0),2),"")</f>
        <v/>
      </c>
      <c r="EP151" s="48">
        <f>ROW()</f>
        <v>151</v>
      </c>
      <c r="EQ151" s="48">
        <f t="shared" ca="1" si="293"/>
        <v>0</v>
      </c>
      <c r="ER151" s="48">
        <f ca="1">IF(ISNA(EQ151)=TRUE,MAX($ER$2:ER150)+1,0)</f>
        <v>0</v>
      </c>
      <c r="ES151" s="48" t="str">
        <f t="shared" ca="1" si="322"/>
        <v/>
      </c>
      <c r="ET151" s="48" t="str">
        <f ca="1">IFERROR(INDEX($ER$3:$ES$400,MATCH(ROWS($ET$3:ET151),$ER$3:$ER$400,0),2),"")</f>
        <v/>
      </c>
      <c r="EV151" s="48">
        <f ca="1">IFERROR(INDEX(LIBRO_GIORNALE!$O$11:$P$408,MATCH(ROWS($EV$2:EV150),LIBRO_GIORNALE!$P$11:$P$408,0),1),0)</f>
        <v>0</v>
      </c>
      <c r="EW151" s="48" t="str">
        <f t="shared" ca="1" si="323"/>
        <v>0</v>
      </c>
      <c r="EX151" s="48">
        <f t="shared" ca="1" si="324"/>
        <v>0</v>
      </c>
      <c r="EY151" s="48">
        <f ca="1">IF(EX151&gt;0,MAX($EY$2:EY150)+1,0)</f>
        <v>0</v>
      </c>
      <c r="EZ151" s="48">
        <f ca="1">IFERROR(INDEX($EX$3:$EX$400,MATCH(ROWS($EZ$3:EZ151),$EY$3:$EY$400,0),1),0)</f>
        <v>0</v>
      </c>
      <c r="FA151" s="48">
        <f ca="1">IF(EZ151&gt;0,0,MAX($FA$2:FA150)+1)</f>
        <v>149</v>
      </c>
      <c r="FB151" s="48">
        <f t="shared" ca="1" si="325"/>
        <v>0</v>
      </c>
      <c r="FC151" s="48">
        <f t="shared" ca="1" si="326"/>
        <v>149</v>
      </c>
      <c r="FD151" s="48">
        <f t="shared" ca="1" si="327"/>
        <v>149</v>
      </c>
      <c r="FE151" s="48">
        <f ca="1">IF(FD151=0,0,MAX($FE$2:FE150)+1)</f>
        <v>149</v>
      </c>
      <c r="FF151" s="48">
        <f ca="1">IFERROR(INDEX($FD$3:$FE$400,MATCH(ROWS($FF$3:FF151),$FE$3:$FE$400,0),1),"")</f>
        <v>149</v>
      </c>
      <c r="FG151" s="48">
        <f t="shared" ca="1" si="255"/>
        <v>0</v>
      </c>
      <c r="FH151" s="48">
        <f t="shared" ca="1" si="328"/>
        <v>0</v>
      </c>
      <c r="FI151" s="48">
        <f ca="1">IF(FH151&lt;&gt;0,MAX($FI$2:FI150)+1,0)</f>
        <v>0</v>
      </c>
      <c r="FJ151" s="48" t="str">
        <f ca="1">IFERROR(INDEX($FH$3:$FI$400,MATCH(ROWS($FJ$3:FJ151),$FI$3:$FI$400,0),1),"")</f>
        <v/>
      </c>
      <c r="FK151" s="48">
        <f ca="1">IF(ABS(SUMIFS(DARE,DEN_G,"="&amp;FJ151,DATA,"&lt;="&amp;FINE_AC,DATA,"&gt;="&amp;INIZIO_A_PC)-SUMIFS(AVERE,DEN_G,"="&amp;FJ151,DATA,"&lt;="&amp;FINE_AC,DATA,"&gt;="&amp;INIZIO_A_PC))&gt;0,MAX($FK$2:FK150)+1,0)</f>
        <v>0</v>
      </c>
      <c r="FL151" s="48" t="str">
        <f ca="1">IF(AND(ROW()-2&lt;&gt;1,ROW()-2&lt;=$FK$1),CONCATENATE(" - ",IFERROR(INDEX($FJ$3:$FK$400,MATCH(ROWS($FL$3:FL151),$FK$3:$FK$400,0),1),"")),IFERROR(INDEX($FJ$3:$FK$400,MATCH(ROWS($FL$3:FL151),$FK$3:$FK$400,0),1),""))</f>
        <v/>
      </c>
      <c r="FM151" s="48">
        <f ca="1">IF(OR(B151="IVA ns/credito",B151="IVA NS/DEBITO",B151="IVA C/ACCONTO",B151="IMPOSTE C/ACCONTO",B151="CREDITI PER RITENUTE SUBITE",B151="CREDITI D'IMPOSTA"),MAX($FM$2:FM150)+1,0)</f>
        <v>0</v>
      </c>
      <c r="FN151" s="48" t="str">
        <f t="shared" ca="1" si="329"/>
        <v/>
      </c>
      <c r="FO151" s="48" t="str">
        <f ca="1">IFERROR(INDEX($FM$3:$FN$400,MATCH(ROWS($FO$3:FO151),$FM$3:$FM$400,0),2),"")</f>
        <v/>
      </c>
      <c r="FP151" s="48">
        <f ca="1">IF(ABS(SUMIFS(DARE,DEN_G,"="&amp;FO151,DATA,"&lt;="&amp;FINE_AC,DATA,"&gt;="&amp;INIZIO_A_PC)-SUMIFS(AVERE,DEN_G,"="&amp;FO151,DATA,"&lt;="&amp;FINE_AC,DATA,"&gt;="&amp;INIZIO_A_PC))&gt;0,MAX($FP$2:FP150)+1,0)</f>
        <v>0</v>
      </c>
      <c r="FQ151" s="48" t="str">
        <f ca="1">IF(AND(ROW()-2&lt;&gt;1,ROW()-2&lt;=$FP$1),CONCATENATE(" - ",IFERROR(INDEX($FO$3:$FP$400,MATCH(ROWS($FQ$3:FQ151),$FP$3:$FP$400,0),1),"")),IFERROR(INDEX($FO$3:$FP$400,MATCH(ROWS($FQ$3:FQ151),$FP$3:$FP$400,0),1),""))</f>
        <v/>
      </c>
    </row>
    <row r="152" spans="1:173" x14ac:dyDescent="0.3">
      <c r="A152" s="48" t="str">
        <f ca="1">IFERROR(IF($A$1=2,INDEX($DH$3:$DN$401,MATCH(ROWS(A$3:A152),$DN$3:$DN$401,0),COLUMN()),IF($A$1=1,INDEX($DQ$3:$DW$401,MATCH(ROWS(A$3:A152),$DW$3:$DW$401,0),COLUMN()),"")),"")</f>
        <v>15.03</v>
      </c>
      <c r="B152" s="48" t="str">
        <f ca="1">IFERROR(IF($A$1=2,INDEX($DH$3:$DN$401,MATCH(ROWS(B$3:B152),$DN$3:$DN$401,0),COLUMN()),IF($A$1=1,INDEX($DQ$3:$DW$400,MATCH(ROWS(B$3:B152),$DW$3:$DW$401,0),COLUMN()),"")),"")</f>
        <v>DEBITI PER IVA</v>
      </c>
      <c r="C152" s="48" t="str">
        <f ca="1">IFERROR(IF($A$1=2,INDEX($DH$3:$DN$401,MATCH(ROWS(C$3:C152),$DN$3:$DN$401,0),COLUMN()),IF($A$1=1,INDEX($DQ$3:$DW$401,MATCH(ROWS(C$3:C152),$DW$3:$DW$401,0),COLUMN()),"")),"")</f>
        <v>F</v>
      </c>
      <c r="D152" s="48" t="str">
        <f ca="1">IFERROR(IF($A$1=2,INDEX($DH$3:$DN$401,MATCH(ROWS(D$3:D152),$DN$3:$DN$401,0),COLUMN()),IF($A$1=1,INDEX($DQ$3:$DW$401,MATCH(ROWS(D$3:D152),$DW$3:$DW$401,0),COLUMN()),"")),"")</f>
        <v>A</v>
      </c>
      <c r="E152" s="48" t="str">
        <f ca="1">IFERROR(IF($A$1=2,INDEX($DH$3:$DN$401,MATCH(ROWS(E$3:E152),$DN$3:$DN$401,0),COLUMN()),IF($A$1=1,INDEX($DQ$3:$DW$401,MATCH(ROWS(E$3:E152),$DW$3:$DW$401,0),COLUMN()),"")),"")</f>
        <v>DEBITI</v>
      </c>
      <c r="F152" s="48" t="str">
        <f ca="1">IFERROR(IF($A$1=2,INDEX($DH$3:$DN$401,MATCH(ROWS(F$3:F152),$DN$3:$DN$401,0),COLUMN()),IF($A$1=1,INDEX($DQ$3:$DX$401,MATCH(ROWS(F$3:F152),$DW$3:$DW$401,0),COLUMN()),"")),"")</f>
        <v>SP AVERE</v>
      </c>
      <c r="G152" s="48" t="str">
        <f t="shared" ca="1" si="294"/>
        <v>SP</v>
      </c>
      <c r="H152" s="48" t="str">
        <f ca="1">IFERROR(IF($A$1=2,INDEX($DH$3:$DO$400,MATCH(ROWS(H$3:H152),$DN$3:$DN$400,0),COLUMN()),IF($A$1=1,INDEX($DQ$3:$DX$400,MATCH(ROWS(H$3:H152),$DW$3:$DW$400,0),COLUMN()),"")),"")</f>
        <v>ppd</v>
      </c>
      <c r="I152" s="48" t="str">
        <f t="shared" ca="1" si="295"/>
        <v/>
      </c>
      <c r="J152" s="48" t="str">
        <f t="shared" ca="1" si="296"/>
        <v/>
      </c>
      <c r="K152" s="48">
        <f t="shared" ca="1" si="297"/>
        <v>0</v>
      </c>
      <c r="L152" s="48">
        <f t="shared" ca="1" si="298"/>
        <v>0</v>
      </c>
      <c r="M152" s="48">
        <f ca="1">IFERROR(IF(IF(MID($A152,3,3)=".00",MID(A152,1,2),"")&lt;&gt;"",MAX($M$2:M151)+1,0),"")</f>
        <v>0</v>
      </c>
      <c r="N152" s="48" t="str">
        <f t="shared" ca="1" si="299"/>
        <v/>
      </c>
      <c r="O152" s="48" t="str">
        <f ca="1">IF(IFERROR(INDEX($N$3:$O$300,MATCH(ROWS($O$3:O152),$M$3:$M$300,0),1),"")&lt;&gt;"",CONCATENATE(INDEX($N$3:$O$300,MATCH(ROWS($O$3:O152),$M$3:$M$300,0),1),".00"),"")</f>
        <v/>
      </c>
      <c r="P152" s="48" t="str">
        <f t="shared" ca="1" si="300"/>
        <v/>
      </c>
      <c r="Q152" s="48">
        <f ca="1">IF(M152&gt;=1,0,MAX($Q$2:Q151)+1)</f>
        <v>134</v>
      </c>
      <c r="U152" s="48" t="str">
        <f ca="1">IFERROR(INDEX(PDC,MATCH(ROWS(U$3:U152),$V$3:$V$400,0),2),"")</f>
        <v>RATEI PASSIVI</v>
      </c>
      <c r="V152" s="48">
        <f ca="1">IF(AND($T$1="VISUALIZZA TUTTI I CONTI",AA152&lt;&gt;""),MAX($V$2:V151)+1,IF(AND($U$2=2,AI152=$T$1),MAX($V$2:V151)+1,IF(AND($U$2=1,$T$1=AF152),MAX($V$2:V151)+1,0)))</f>
        <v>150</v>
      </c>
      <c r="AA152" s="48" t="str">
        <f t="shared" ca="1" si="301"/>
        <v>16.00</v>
      </c>
      <c r="AB152" s="48" t="str">
        <f ca="1">IFERROR(INDEX($A$3:$G$400,MATCH(ROWS(AB$3:AB152),$Q$3:$Q$400,0),1),"")</f>
        <v>16.01</v>
      </c>
      <c r="AC152" s="48" t="str">
        <f ca="1">IFERROR(INDEX($A$3:$G$400,MATCH(ROWS($AC$3:AC152),$Q$3:$Q$400,0),2),"")</f>
        <v>RATEI PASSIVI</v>
      </c>
      <c r="AD152" s="48" t="str">
        <f ca="1">IFERROR(INDEX($A$3:$G$400,MATCH(ROWS(AD$3:AD152),$Q$3:$Q$400,0),3),"")</f>
        <v>F</v>
      </c>
      <c r="AE152" s="48" t="str">
        <f ca="1">IFERROR(INDEX($A$3:$G$400,MATCH(ROWS(AE$3:AE152),$Q$3:$Q$400,0),4),"")</f>
        <v>A</v>
      </c>
      <c r="AF152" s="48" t="str">
        <f ca="1">IFERROR(INDEX($A$3:$G$400,MATCH(ROWS(AF$3:AF152),$Q$3:$Q$400,0),5),"")</f>
        <v>RATEI, FONDI RISCHI E ONERI</v>
      </c>
      <c r="AG152" s="48" t="str">
        <f ca="1">IFERROR(INDEX($A$3:$G$400,MATCH(ROWS(AG$3:AG152),$Q$3:$Q$400,0),6),"")</f>
        <v>SP AVERE</v>
      </c>
      <c r="AH152" s="48" t="str">
        <f ca="1">IFERROR(INDEX($A$3:$G$400,MATCH(ROWS(AH$3:AH152),$Q$3:$Q$400,0),7),"")</f>
        <v>SP</v>
      </c>
      <c r="AI152" s="48" t="str">
        <f t="shared" ca="1" si="302"/>
        <v>RATEI E RISCONTI PASSIVI</v>
      </c>
      <c r="AJ152" s="48" t="str">
        <f ca="1">IFERROR(INDEX($A$3:$H$400,MATCH(ROWS(AJ$3:AJ152),$Q$3:$Q$400,0),8),"")</f>
        <v>ppe</v>
      </c>
      <c r="AK152" s="48">
        <f t="shared" ca="1" si="277"/>
        <v>0</v>
      </c>
      <c r="AL152" s="48">
        <f t="shared" ca="1" si="335"/>
        <v>0</v>
      </c>
      <c r="AM152" s="48">
        <f t="shared" ca="1" si="252"/>
        <v>0</v>
      </c>
      <c r="AN152" s="48">
        <f t="shared" ca="1" si="253"/>
        <v>0</v>
      </c>
      <c r="AO152" s="48">
        <f t="shared" ca="1" si="254"/>
        <v>0</v>
      </c>
      <c r="AP152" s="48">
        <f t="shared" ca="1" si="254"/>
        <v>0</v>
      </c>
      <c r="AQ152" s="48" t="str">
        <f t="shared" ca="1" si="278"/>
        <v>RATEI PASSIVI</v>
      </c>
      <c r="AR152" s="48">
        <f t="shared" ca="1" si="279"/>
        <v>0</v>
      </c>
      <c r="AS152" s="48">
        <f t="shared" ca="1" si="280"/>
        <v>0</v>
      </c>
      <c r="AT152" s="48">
        <f t="shared" ca="1" si="303"/>
        <v>0</v>
      </c>
      <c r="AU152" s="48">
        <f t="shared" ca="1" si="304"/>
        <v>0</v>
      </c>
      <c r="AV152" s="48">
        <f ca="1">IF(OR(AT152&gt;0,AU152&gt;0),MAX($AV$2:AV151)+1,0)</f>
        <v>0</v>
      </c>
      <c r="AZ152" s="241" t="str">
        <f t="shared" si="240"/>
        <v>52 V.I.</v>
      </c>
      <c r="BA152" s="48">
        <f t="shared" ca="1" si="330"/>
        <v>0</v>
      </c>
      <c r="BB152" s="48">
        <f t="shared" ca="1" si="247"/>
        <v>0</v>
      </c>
      <c r="BC152" s="48" t="str">
        <f t="shared" ca="1" si="248"/>
        <v/>
      </c>
      <c r="BD152" s="48">
        <f t="shared" ca="1" si="249"/>
        <v>0</v>
      </c>
      <c r="BE152" s="48">
        <f t="shared" ca="1" si="250"/>
        <v>0</v>
      </c>
      <c r="BG152" s="48">
        <f ca="1">IF(IF(AND(OR(INDEX(PDC,MATCH($AC152,DEN_PDC,0),6)="SP DARE",INDEX(PDC,MATCH($AC152,DEN_PDC,0),6)="SP DARE/AVERE"),SUMIFS(DARE,DEN_G,$AC152)&gt;=SUMIFS(AVERE,DEN_G,$AC152)),SUMIFS(DARE,DEN_G,$AC152)-SUMIFS(AVERE,DEN_G,$AC152),0)&gt;0,MAX($BG$2:BG151)+1,0)</f>
        <v>0</v>
      </c>
      <c r="BH152" s="48">
        <f ca="1">IF(IF(AND(OR(INDEX(PDC,MATCH($AC152,DEN_PDC,0),6)="SP AVERE",INDEX(PDC,MATCH($AC152,DEN_PDC,0),6)="SP DARE/AVERE"),SUMIFS(AVERE,DEN_G,$AC152)&gt;=SUMIFS(DARE,DEN_G,$AC152)),SUMIFS(AVERE,DEN_G,$AC152)-SUMIFS(DARE,DEN_G,$AC152),0)&gt;0,MAX(BH$2:BH151)+1,0)</f>
        <v>0</v>
      </c>
      <c r="BI152" s="48">
        <f ca="1">IF(IF(AND(OR(INDEX(PDC,MATCH($AC152,DEN_PDC,0),6)="SE DARE",INDEX(PDC,MATCH($AC152,DEN_PDC,0),6)="SE DARE/AVERE"),SUMIFS(DARE,DEN_G,$AC152)&gt;=SUMIFS(AVERE,DEN_G,$AC152)),SUMIFS(DARE,DEN_G,$AC152)-SUMIFS(AVERE,DEN_G,$AC152),0)&gt;0,MAX(BI$2:BI151)+1,0)</f>
        <v>0</v>
      </c>
      <c r="BJ152" s="48">
        <f ca="1">IF(IF(AND(OR(INDEX(PDC,MATCH($AC152,DEN_PDC,0),6)="SE AVERE",INDEX(PDC,MATCH($AC152,DEN_PDC,0),6)="SE DARE/AVERE"),SUMIFS(AVERE,DEN_G,$AC152)&gt;=SUMIFS(DARE,DEN_G,$AC152)),SUMIFS(AVERE,DEN_G,$AC152)-SUMIFS(DARE,DEN_G,$AC152),0)&gt;0,MAX(BJ$2:BJ151)+1,0)</f>
        <v>0</v>
      </c>
      <c r="BK152" s="48" t="str">
        <f ca="1">IF(AND(AND($DY$2=0,$DY$1=0),$I$1=2,ROW()&gt;$BG$1+2,ROW()&lt;=$BG$1+4),"………………..",IF(AND(OR($DY$2&gt;0,$DY$1&gt;0),$I$1=2,ROW()&gt;$BG$1+2,ROW()&lt;=$BG$1+4),"………………..",IFERROR(INDEX($AC$3:$AC$398,MATCH(ROWS(BK$3:BK152),BG$3:BG$398,0),1),"")))</f>
        <v/>
      </c>
      <c r="BL152" s="48">
        <f t="shared" ca="1" si="281"/>
        <v>0</v>
      </c>
      <c r="BM152" s="48" t="str">
        <f ca="1">IF(AND(OR($DY$2=0,$DY$1=0),$I$1=2,ROW()&gt;$BH$1+2,ROW()&lt;=$BH$1+4),"………………..",IF(AND(OR($DY$2&gt;0,$DY$1&gt;0),$I$1=2,ROW()&gt;$BH$1+2,ROW()&lt;=$BH$1+4),"………………..",IFERROR(INDEX($AC$3:$AC$400,MATCH(ROWS(BM$3:BM152),BH$3:BH$400,0),1),"")))</f>
        <v/>
      </c>
      <c r="BN152" s="48">
        <f t="shared" ca="1" si="282"/>
        <v>0</v>
      </c>
      <c r="BO152" s="48" t="str">
        <f ca="1">IF(AND(OR($DY$2=0,$DY$1=0),$I$1=2,ROW()&gt;$BI$1+2,ROW()&lt;=$BI$1+4),"………………..",IF(AND(OR($DY$2&gt;0,$DY$1&gt;0),$I$1=2,ROW()&gt;$BI$1+2,ROW()&lt;=$BI$1+4),"………………..",IFERROR(INDEX($AC$3:$AC$400,MATCH(ROWS(BO$3:BO152),BI$3:BI$400,0),1),"")))</f>
        <v/>
      </c>
      <c r="BP152" s="48">
        <f t="shared" ca="1" si="283"/>
        <v>0</v>
      </c>
      <c r="BQ152" s="48" t="str">
        <f ca="1">IF(AND(OR($DY$2=0,$DY$1=0),$I$1=2,ROW()&gt;$BJ$1+2,ROW()&lt;=$BJ$1+4),"………………..",IF(AND(OR($DY$2&gt;0,$DY$1&gt;0),$I$1=2,ROW()&gt;$BJ$1+2,ROW()&lt;=$BJ$1+4),"………………..",IFERROR(INDEX($AC$3:$AC$400,MATCH(ROWS(BQ$3:BQ152),BJ$3:BJ$400,0),1),"")))</f>
        <v/>
      </c>
      <c r="BR152" s="48">
        <f t="shared" ca="1" si="284"/>
        <v>0</v>
      </c>
      <c r="BS152" s="48">
        <f ca="1">IF(IF(AND(OR(INDEX(PDC,MATCH($AC152,DEN_PDC,0),4)="D",INDEX(PDC,MATCH($AC152,DEN_PDC,0),4)="D/A"),SUMIFS(DARE,DEN_G,$AC152)&gt;=SUMIFS(AVERE,DEN_G,$AC152)),SUMIFS(DARE,DEN_G,$AC152),IF(AND(OR(INDEX(PDC,MATCH($AC152,DEN_PDC,0),4)="A",INDEX(PDC,MATCH($AC152,DEN_PDC,0),4)="D/A"),SUMIFS(AVERE,DEN_G,$AC152)&gt;=SUMIFS(DARE,DEN_G,$AC152)),SUMIFS(AVERE,DEN_G,$AC152),))&gt;0,MAX($BS$2:BS151)+1,0)</f>
        <v>0</v>
      </c>
      <c r="BT152" s="48" t="str">
        <f ca="1">IF($CO$1=0,"",IF(AND($I$1=2,ROW()&gt;$BR$1,ROW()&lt;=$BS$1)," …………….",IF(AND($E$1=1,$BX$1=1,$I$1=2,ROW()=$BQ$1),"TOTALI",IFERROR(INDEX(PDC,MATCH(ROWS(BT$3:BT152),BS$3:BS549,0),2),""))))</f>
        <v/>
      </c>
      <c r="BU152" s="48">
        <f t="shared" ca="1" si="285"/>
        <v>0</v>
      </c>
      <c r="BV152" s="48">
        <f t="shared" ca="1" si="286"/>
        <v>0</v>
      </c>
      <c r="BW152" s="48">
        <f t="shared" ca="1" si="287"/>
        <v>0</v>
      </c>
      <c r="BX152" s="48">
        <f t="shared" ca="1" si="288"/>
        <v>0</v>
      </c>
      <c r="BY152" s="48">
        <f ca="1">IF(OR(BW152&gt;0,BX152&gt;0),MAX($BY$2:BY151)+1,0)</f>
        <v>0</v>
      </c>
      <c r="BZ152" s="48" t="str">
        <f ca="1">IFERROR(INDEX($BT$3:$BY$400,MATCH(ROWS(BZ$3:BZ152),$BY$3:$BY$400,0),1),"")</f>
        <v/>
      </c>
      <c r="CA152" s="48" t="str">
        <f ca="1">IFERROR(INDEX($BT$3:$BY$400,MATCH(ROWS(CA$3:CA152),$BY$3:$BY$400,0),4),"")</f>
        <v/>
      </c>
      <c r="CB152" s="48" t="str">
        <f ca="1">IFERROR(INDEX($BT$3:$BY$400,MATCH(ROWS(CB$3:CB152),$BY$3:$BY$400,0),5),"")</f>
        <v/>
      </c>
      <c r="CC152" s="48" t="str">
        <f t="shared" ca="1" si="289"/>
        <v/>
      </c>
      <c r="CD152" s="48">
        <f ca="1">IF(AND($BF$9=1,CE152&lt;&gt;0),MAX($CD$104:CD151)+1,0)</f>
        <v>0</v>
      </c>
      <c r="CE152" s="48">
        <f ca="1">IF(ROUND(SUMIFS(COPIA!$CB$3:$CB$400,COPIA!$CC$3:$CC$400,CF152)-SUMIFS(COPIA!$CA$3:$CA$400,COPIA!$CC$3:$CC$400,CF152),0)&lt;0,0,ROUND(SUMIFS(COPIA!$CB$3:$CB$400,COPIA!$CC$3:$CC$400,CF152)-SUMIFS(COPIA!$CA$3:$CA$400,COPIA!$CC$3:$CC$400,CF152),0))</f>
        <v>0</v>
      </c>
      <c r="CF152" s="48" t="s">
        <v>668</v>
      </c>
      <c r="CG152" s="242" t="s">
        <v>561</v>
      </c>
      <c r="CH152" s="48">
        <f t="shared" ca="1" si="259"/>
        <v>0</v>
      </c>
      <c r="CJ152" s="242">
        <f ca="1">SUMIFS(COPIA!$CB$3:$CB$400,COPIA!$CC$3:$CC$400,CF152)-SUMIFS(COPIA!$CA$3:$CA$400,COPIA!$CC$3:$CC$400,CF152)</f>
        <v>0</v>
      </c>
      <c r="CK152" s="48">
        <f ca="1">IF($CG$2=FALSE,0,IF(AND($BF$9=1,CJ152&lt;&gt;0),MAX($CK$21:CK151)+1,0))</f>
        <v>0</v>
      </c>
      <c r="CL152" s="48" t="s">
        <v>799</v>
      </c>
      <c r="CM152" s="242" t="str">
        <f t="shared" ca="1" si="305"/>
        <v/>
      </c>
      <c r="CN152" s="243">
        <f t="shared" ca="1" si="306"/>
        <v>0</v>
      </c>
      <c r="CO152" s="48" t="str">
        <f t="shared" ca="1" si="307"/>
        <v/>
      </c>
      <c r="CQ152" s="242"/>
      <c r="CR152" s="242"/>
      <c r="CU152" s="48">
        <f ca="1">IF(SUMIFS(AVERE,DEN_G,AC152,AVERE,"&gt;"&amp;0)+SUMIFS(DARE,DEN_G,AC152,DARE,"&gt;"&amp;0)&gt;0,MAX($CU$2:CU151)+1,0)</f>
        <v>0</v>
      </c>
      <c r="CV152" s="48" t="str">
        <f ca="1">IF(IFERROR(INDEX(PDC,MATCH(ROWS($CV$3:CV152),$CU$3:$CU$400,0),2),"")="CONTO DI RISULTATO ECONOMICO","",IFERROR(INDEX(PDC,MATCH(ROWS($CV$3:CV152),$CU$3:$CU$400,0),2),""))</f>
        <v/>
      </c>
      <c r="CW152" s="48">
        <f ca="1">IFERROR(IF(CV152&lt;&gt;"",MAX($CW$2:CW151)+1,0),0)</f>
        <v>0</v>
      </c>
      <c r="CX152" s="48">
        <f t="shared" ca="1" si="344"/>
        <v>12</v>
      </c>
      <c r="CY152" s="48" t="str">
        <f t="shared" ca="1" si="343"/>
        <v>MASTRO</v>
      </c>
      <c r="CZ152" s="48" t="e">
        <f t="shared" ca="1" si="346"/>
        <v>#N/A</v>
      </c>
      <c r="DA152" s="48" t="str">
        <f t="shared" ca="1" si="351"/>
        <v/>
      </c>
      <c r="DB152" s="48" t="str">
        <f t="shared" ca="1" si="347"/>
        <v/>
      </c>
      <c r="DC152" s="48" t="str">
        <f t="shared" ca="1" si="348"/>
        <v/>
      </c>
      <c r="DD152" s="48" t="str">
        <f t="shared" ca="1" si="349"/>
        <v/>
      </c>
      <c r="DE152" s="48" t="str">
        <f t="shared" ca="1" si="350"/>
        <v/>
      </c>
      <c r="DF152" s="48">
        <f ca="1">IF(AND(CX152=$DF$1,CX152&lt;&gt;""),0,IF(AND(DB152&lt;&gt;"",OR(DB151&lt;&gt;"",DB153&lt;&gt;"")),MAX($DF$2:DF151)+1,0))</f>
        <v>0</v>
      </c>
      <c r="DH152" s="244" t="s">
        <v>405</v>
      </c>
      <c r="DI152" s="48" t="s">
        <v>406</v>
      </c>
      <c r="DJ152" s="48" t="s">
        <v>312</v>
      </c>
      <c r="DK152" s="48" t="s">
        <v>298</v>
      </c>
      <c r="DL152" s="48" t="s">
        <v>5</v>
      </c>
      <c r="DM152" s="48" t="s">
        <v>299</v>
      </c>
      <c r="DN152" s="48">
        <f ca="1">IF(DI152&lt;&gt;"",MAX($DN$2:DN151)+1,0)</f>
        <v>128</v>
      </c>
      <c r="DO152" s="48" t="str">
        <f ca="1">IF($BF$9=1,"ppd2","ppd")</f>
        <v>ppd</v>
      </c>
      <c r="DQ152" s="227" t="s">
        <v>122</v>
      </c>
      <c r="DR152" s="48" t="s">
        <v>117</v>
      </c>
      <c r="DS152" s="48" t="s">
        <v>312</v>
      </c>
      <c r="DT152" s="48" t="s">
        <v>298</v>
      </c>
      <c r="DU152" s="48" t="s">
        <v>5</v>
      </c>
      <c r="DV152" s="48" t="s">
        <v>299</v>
      </c>
      <c r="DW152" s="48">
        <f ca="1">IF(DR152&lt;&gt;"",MAX($DW$2:DW151)+1,0)</f>
        <v>95</v>
      </c>
      <c r="DX152" s="48" t="str">
        <f t="shared" ca="1" si="352"/>
        <v>ppd</v>
      </c>
      <c r="DY152" s="48" t="str">
        <f t="shared" ca="1" si="291"/>
        <v/>
      </c>
      <c r="DZ152" s="48" t="str">
        <f t="shared" ca="1" si="309"/>
        <v/>
      </c>
      <c r="EA152" s="48" t="str">
        <f t="shared" ca="1" si="310"/>
        <v/>
      </c>
      <c r="EB152" s="48">
        <f t="shared" ca="1" si="311"/>
        <v>0</v>
      </c>
      <c r="EC152" s="48">
        <f t="shared" ca="1" si="312"/>
        <v>0</v>
      </c>
      <c r="ED152" s="48" t="str">
        <f t="shared" ca="1" si="313"/>
        <v/>
      </c>
      <c r="EE152" s="48">
        <f t="shared" ca="1" si="314"/>
        <v>0</v>
      </c>
      <c r="EF152" s="48" t="str">
        <f t="shared" ca="1" si="315"/>
        <v/>
      </c>
      <c r="EG152" s="48">
        <f t="shared" ca="1" si="316"/>
        <v>0</v>
      </c>
      <c r="EH152" s="48" t="str">
        <f t="shared" ca="1" si="317"/>
        <v/>
      </c>
      <c r="EI152" s="48">
        <f t="shared" ca="1" si="318"/>
        <v>0</v>
      </c>
      <c r="EJ152" s="48" t="str">
        <f t="shared" ca="1" si="319"/>
        <v/>
      </c>
      <c r="EK152" s="48">
        <f t="shared" ca="1" si="320"/>
        <v>0</v>
      </c>
      <c r="EL152" s="48">
        <f t="shared" ca="1" si="292"/>
        <v>0</v>
      </c>
      <c r="EM152" s="48">
        <f ca="1">IF(EL152&gt;=0,0,MAX($EM$2:EM151)+1)</f>
        <v>0</v>
      </c>
      <c r="EN152" s="48" t="str">
        <f t="shared" ca="1" si="321"/>
        <v/>
      </c>
      <c r="EO152" s="48" t="str">
        <f ca="1">IFERROR(INDEX($EM$3:$EN$400,MATCH(ROWS($EO$3:EO152),$EM$3:$EM$400,0),2),"")</f>
        <v/>
      </c>
      <c r="EP152" s="48">
        <f>ROW()</f>
        <v>152</v>
      </c>
      <c r="EQ152" s="48">
        <f t="shared" ca="1" si="293"/>
        <v>0</v>
      </c>
      <c r="ER152" s="48">
        <f ca="1">IF(ISNA(EQ152)=TRUE,MAX($ER$2:ER151)+1,0)</f>
        <v>0</v>
      </c>
      <c r="ES152" s="48" t="str">
        <f t="shared" ca="1" si="322"/>
        <v/>
      </c>
      <c r="ET152" s="48" t="str">
        <f ca="1">IFERROR(INDEX($ER$3:$ES$400,MATCH(ROWS($ET$3:ET152),$ER$3:$ER$400,0),2),"")</f>
        <v/>
      </c>
      <c r="EV152" s="48">
        <f ca="1">IFERROR(INDEX(LIBRO_GIORNALE!$O$11:$P$408,MATCH(ROWS($EV$2:EV151),LIBRO_GIORNALE!$P$11:$P$408,0),1),0)</f>
        <v>0</v>
      </c>
      <c r="EW152" s="48" t="str">
        <f t="shared" ca="1" si="323"/>
        <v>0</v>
      </c>
      <c r="EX152" s="48">
        <f t="shared" ca="1" si="324"/>
        <v>0</v>
      </c>
      <c r="EY152" s="48">
        <f ca="1">IF(EX152&gt;0,MAX($EY$2:EY151)+1,0)</f>
        <v>0</v>
      </c>
      <c r="EZ152" s="48">
        <f ca="1">IFERROR(INDEX($EX$3:$EX$400,MATCH(ROWS($EZ$3:EZ152),$EY$3:$EY$400,0),1),0)</f>
        <v>0</v>
      </c>
      <c r="FA152" s="48">
        <f ca="1">IF(EZ152&gt;0,0,MAX($FA$2:FA151)+1)</f>
        <v>150</v>
      </c>
      <c r="FB152" s="48">
        <f t="shared" ca="1" si="325"/>
        <v>0</v>
      </c>
      <c r="FC152" s="48">
        <f t="shared" ca="1" si="326"/>
        <v>150</v>
      </c>
      <c r="FD152" s="48">
        <f t="shared" ca="1" si="327"/>
        <v>150</v>
      </c>
      <c r="FE152" s="48">
        <f ca="1">IF(FD152=0,0,MAX($FE$2:FE151)+1)</f>
        <v>150</v>
      </c>
      <c r="FF152" s="48">
        <f ca="1">IFERROR(INDEX($FD$3:$FE$400,MATCH(ROWS($FF$3:FF152),$FE$3:$FE$400,0),1),"")</f>
        <v>150</v>
      </c>
      <c r="FG152" s="48">
        <f t="shared" ca="1" si="255"/>
        <v>0</v>
      </c>
      <c r="FH152" s="48">
        <f t="shared" ca="1" si="328"/>
        <v>0</v>
      </c>
      <c r="FI152" s="48">
        <f ca="1">IF(FH152&lt;&gt;0,MAX($FI$2:FI151)+1,0)</f>
        <v>0</v>
      </c>
      <c r="FJ152" s="48" t="str">
        <f ca="1">IFERROR(INDEX($FH$3:$FI$400,MATCH(ROWS($FJ$3:FJ152),$FI$3:$FI$400,0),1),"")</f>
        <v/>
      </c>
      <c r="FK152" s="48">
        <f ca="1">IF(ABS(SUMIFS(DARE,DEN_G,"="&amp;FJ152,DATA,"&lt;="&amp;FINE_AC,DATA,"&gt;="&amp;INIZIO_A_PC)-SUMIFS(AVERE,DEN_G,"="&amp;FJ152,DATA,"&lt;="&amp;FINE_AC,DATA,"&gt;="&amp;INIZIO_A_PC))&gt;0,MAX($FK$2:FK151)+1,0)</f>
        <v>0</v>
      </c>
      <c r="FL152" s="48" t="str">
        <f ca="1">IF(AND(ROW()-2&lt;&gt;1,ROW()-2&lt;=$FK$1),CONCATENATE(" - ",IFERROR(INDEX($FJ$3:$FK$400,MATCH(ROWS($FL$3:FL152),$FK$3:$FK$400,0),1),"")),IFERROR(INDEX($FJ$3:$FK$400,MATCH(ROWS($FL$3:FL152),$FK$3:$FK$400,0),1),""))</f>
        <v/>
      </c>
      <c r="FM152" s="48">
        <f ca="1">IF(OR(B152="IVA ns/credito",B152="IVA NS/DEBITO",B152="IVA C/ACCONTO",B152="IMPOSTE C/ACCONTO",B152="CREDITI PER RITENUTE SUBITE",B152="CREDITI D'IMPOSTA"),MAX($FM$2:FM151)+1,0)</f>
        <v>0</v>
      </c>
      <c r="FN152" s="48" t="str">
        <f t="shared" ca="1" si="329"/>
        <v/>
      </c>
      <c r="FO152" s="48" t="str">
        <f ca="1">IFERROR(INDEX($FM$3:$FN$400,MATCH(ROWS($FO$3:FO152),$FM$3:$FM$400,0),2),"")</f>
        <v/>
      </c>
      <c r="FP152" s="48">
        <f ca="1">IF(ABS(SUMIFS(DARE,DEN_G,"="&amp;FO152,DATA,"&lt;="&amp;FINE_AC,DATA,"&gt;="&amp;INIZIO_A_PC)-SUMIFS(AVERE,DEN_G,"="&amp;FO152,DATA,"&lt;="&amp;FINE_AC,DATA,"&gt;="&amp;INIZIO_A_PC))&gt;0,MAX($FP$2:FP151)+1,0)</f>
        <v>0</v>
      </c>
      <c r="FQ152" s="48" t="str">
        <f ca="1">IF(AND(ROW()-2&lt;&gt;1,ROW()-2&lt;=$FP$1),CONCATENATE(" - ",IFERROR(INDEX($FO$3:$FP$400,MATCH(ROWS($FQ$3:FQ152),$FP$3:$FP$400,0),1),"")),IFERROR(INDEX($FO$3:$FP$400,MATCH(ROWS($FQ$3:FQ152),$FP$3:$FP$400,0),1),""))</f>
        <v/>
      </c>
    </row>
    <row r="153" spans="1:173" x14ac:dyDescent="0.3">
      <c r="A153" s="48" t="str">
        <f ca="1">IFERROR(IF($A$1=2,INDEX($DH$3:$DN$401,MATCH(ROWS(A$3:A153),$DN$3:$DN$401,0),COLUMN()),IF($A$1=1,INDEX($DQ$3:$DW$401,MATCH(ROWS(A$3:A153),$DW$3:$DW$401,0),COLUMN()),"")),"")</f>
        <v>15.04</v>
      </c>
      <c r="B153" s="48" t="str">
        <f ca="1">IFERROR(IF($A$1=2,INDEX($DH$3:$DN$401,MATCH(ROWS(B$3:B153),$DN$3:$DN$401,0),COLUMN()),IF($A$1=1,INDEX($DQ$3:$DW$400,MATCH(ROWS(B$3:B153),$DW$3:$DW$401,0),COLUMN()),"")),"")</f>
        <v>DEBITI PER IMPOSTE</v>
      </c>
      <c r="C153" s="48" t="str">
        <f ca="1">IFERROR(IF($A$1=2,INDEX($DH$3:$DN$401,MATCH(ROWS(C$3:C153),$DN$3:$DN$401,0),COLUMN()),IF($A$1=1,INDEX($DQ$3:$DW$401,MATCH(ROWS(C$3:C153),$DW$3:$DW$401,0),COLUMN()),"")),"")</f>
        <v>F</v>
      </c>
      <c r="D153" s="48" t="str">
        <f ca="1">IFERROR(IF($A$1=2,INDEX($DH$3:$DN$401,MATCH(ROWS(D$3:D153),$DN$3:$DN$401,0),COLUMN()),IF($A$1=1,INDEX($DQ$3:$DW$401,MATCH(ROWS(D$3:D153),$DW$3:$DW$401,0),COLUMN()),"")),"")</f>
        <v>A</v>
      </c>
      <c r="E153" s="48" t="str">
        <f ca="1">IFERROR(IF($A$1=2,INDEX($DH$3:$DN$401,MATCH(ROWS(E$3:E153),$DN$3:$DN$401,0),COLUMN()),IF($A$1=1,INDEX($DQ$3:$DW$401,MATCH(ROWS(E$3:E153),$DW$3:$DW$401,0),COLUMN()),"")),"")</f>
        <v>DEBITI</v>
      </c>
      <c r="F153" s="48" t="str">
        <f ca="1">IFERROR(IF($A$1=2,INDEX($DH$3:$DN$401,MATCH(ROWS(F$3:F153),$DN$3:$DN$401,0),COLUMN()),IF($A$1=1,INDEX($DQ$3:$DX$401,MATCH(ROWS(F$3:F153),$DW$3:$DW$401,0),COLUMN()),"")),"")</f>
        <v>SP AVERE</v>
      </c>
      <c r="G153" s="48" t="str">
        <f t="shared" ca="1" si="294"/>
        <v>SP</v>
      </c>
      <c r="H153" s="48" t="str">
        <f ca="1">IFERROR(IF($A$1=2,INDEX($DH$3:$DO$400,MATCH(ROWS(H$3:H153),$DN$3:$DN$400,0),COLUMN()),IF($A$1=1,INDEX($DQ$3:$DX$400,MATCH(ROWS(H$3:H153),$DW$3:$DW$400,0),COLUMN()),"")),"")</f>
        <v>ppd</v>
      </c>
      <c r="I153" s="48" t="str">
        <f t="shared" ca="1" si="295"/>
        <v/>
      </c>
      <c r="J153" s="48" t="str">
        <f t="shared" ca="1" si="296"/>
        <v/>
      </c>
      <c r="K153" s="48">
        <f t="shared" ca="1" si="297"/>
        <v>0</v>
      </c>
      <c r="L153" s="48">
        <f t="shared" ca="1" si="298"/>
        <v>0</v>
      </c>
      <c r="M153" s="48">
        <f ca="1">IFERROR(IF(IF(MID($A153,3,3)=".00",MID(A153,1,2),"")&lt;&gt;"",MAX($M$2:M152)+1,0),"")</f>
        <v>0</v>
      </c>
      <c r="N153" s="48" t="str">
        <f t="shared" ca="1" si="299"/>
        <v/>
      </c>
      <c r="O153" s="48" t="str">
        <f ca="1">IF(IFERROR(INDEX($N$3:$O$300,MATCH(ROWS($O$3:O153),$M$3:$M$300,0),1),"")&lt;&gt;"",CONCATENATE(INDEX($N$3:$O$300,MATCH(ROWS($O$3:O153),$M$3:$M$300,0),1),".00"),"")</f>
        <v/>
      </c>
      <c r="P153" s="48" t="str">
        <f t="shared" ca="1" si="300"/>
        <v/>
      </c>
      <c r="Q153" s="48">
        <f ca="1">IF(M153&gt;=1,0,MAX($Q$2:Q152)+1)</f>
        <v>135</v>
      </c>
      <c r="U153" s="48" t="str">
        <f ca="1">IFERROR(INDEX(PDC,MATCH(ROWS(U$3:U153),$V$3:$V$400,0),2),"")</f>
        <v>RISCONTI PASSIVI</v>
      </c>
      <c r="V153" s="48">
        <f ca="1">IF(AND($T$1="VISUALIZZA TUTTI I CONTI",AA153&lt;&gt;""),MAX($V$2:V152)+1,IF(AND($U$2=2,AI153=$T$1),MAX($V$2:V152)+1,IF(AND($U$2=1,$T$1=AF153),MAX($V$2:V152)+1,0)))</f>
        <v>151</v>
      </c>
      <c r="AA153" s="48" t="str">
        <f t="shared" ca="1" si="301"/>
        <v>16.00</v>
      </c>
      <c r="AB153" s="48" t="str">
        <f ca="1">IFERROR(INDEX($A$3:$G$400,MATCH(ROWS(AB$3:AB153),$Q$3:$Q$400,0),1),"")</f>
        <v>16.02</v>
      </c>
      <c r="AC153" s="48" t="str">
        <f ca="1">IFERROR(INDEX($A$3:$G$400,MATCH(ROWS($AC$3:AC153),$Q$3:$Q$400,0),2),"")</f>
        <v>RISCONTI PASSIVI</v>
      </c>
      <c r="AD153" s="48" t="str">
        <f ca="1">IFERROR(INDEX($A$3:$G$400,MATCH(ROWS(AD$3:AD153),$Q$3:$Q$400,0),3),"")</f>
        <v>E</v>
      </c>
      <c r="AE153" s="48" t="str">
        <f ca="1">IFERROR(INDEX($A$3:$G$400,MATCH(ROWS(AE$3:AE153),$Q$3:$Q$400,0),4),"")</f>
        <v>A</v>
      </c>
      <c r="AF153" s="48" t="str">
        <f ca="1">IFERROR(INDEX($A$3:$G$400,MATCH(ROWS(AF$3:AF153),$Q$3:$Q$400,0),5),"")</f>
        <v>RICAVI SOSPESI</v>
      </c>
      <c r="AG153" s="48" t="str">
        <f ca="1">IFERROR(INDEX($A$3:$G$400,MATCH(ROWS(AG$3:AG153),$Q$3:$Q$400,0),6),"")</f>
        <v>SP AVERE</v>
      </c>
      <c r="AH153" s="48" t="str">
        <f ca="1">IFERROR(INDEX($A$3:$G$400,MATCH(ROWS(AH$3:AH153),$Q$3:$Q$400,0),7),"")</f>
        <v>SP</v>
      </c>
      <c r="AI153" s="48" t="str">
        <f t="shared" ca="1" si="302"/>
        <v>RATEI E RISCONTI PASSIVI</v>
      </c>
      <c r="AJ153" s="48" t="str">
        <f ca="1">IFERROR(INDEX($A$3:$H$400,MATCH(ROWS(AJ$3:AJ153),$Q$3:$Q$400,0),8),"")</f>
        <v>ppe</v>
      </c>
      <c r="AK153" s="48">
        <f t="shared" ca="1" si="277"/>
        <v>0</v>
      </c>
      <c r="AL153" s="48">
        <f t="shared" ca="1" si="335"/>
        <v>0</v>
      </c>
      <c r="AM153" s="48">
        <f t="shared" ca="1" si="252"/>
        <v>0</v>
      </c>
      <c r="AN153" s="48">
        <f t="shared" ca="1" si="253"/>
        <v>0</v>
      </c>
      <c r="AO153" s="48">
        <f t="shared" ca="1" si="254"/>
        <v>0</v>
      </c>
      <c r="AP153" s="48">
        <f t="shared" ca="1" si="254"/>
        <v>0</v>
      </c>
      <c r="AQ153" s="48" t="str">
        <f t="shared" ca="1" si="278"/>
        <v>RISCONTI PASSIVI</v>
      </c>
      <c r="AR153" s="48">
        <f t="shared" ca="1" si="279"/>
        <v>0</v>
      </c>
      <c r="AS153" s="48">
        <f t="shared" ca="1" si="280"/>
        <v>0</v>
      </c>
      <c r="AT153" s="48">
        <f t="shared" ca="1" si="303"/>
        <v>0</v>
      </c>
      <c r="AU153" s="48">
        <f t="shared" ca="1" si="304"/>
        <v>0</v>
      </c>
      <c r="AV153" s="48">
        <f ca="1">IF(OR(AT153&gt;0,AU153&gt;0),MAX($AV$2:AV152)+1,0)</f>
        <v>0</v>
      </c>
      <c r="AZ153" s="241" t="str">
        <f t="shared" si="240"/>
        <v>53 V.I.</v>
      </c>
      <c r="BA153" s="48">
        <f t="shared" ca="1" si="330"/>
        <v>0</v>
      </c>
      <c r="BB153" s="48">
        <f t="shared" ca="1" si="247"/>
        <v>0</v>
      </c>
      <c r="BC153" s="48" t="str">
        <f t="shared" ca="1" si="248"/>
        <v/>
      </c>
      <c r="BD153" s="48">
        <f t="shared" ca="1" si="249"/>
        <v>0</v>
      </c>
      <c r="BE153" s="48">
        <f t="shared" ca="1" si="250"/>
        <v>0</v>
      </c>
      <c r="BG153" s="48">
        <f ca="1">IF(IF(AND(OR(INDEX(PDC,MATCH($AC153,DEN_PDC,0),6)="SP DARE",INDEX(PDC,MATCH($AC153,DEN_PDC,0),6)="SP DARE/AVERE"),SUMIFS(DARE,DEN_G,$AC153)&gt;=SUMIFS(AVERE,DEN_G,$AC153)),SUMIFS(DARE,DEN_G,$AC153)-SUMIFS(AVERE,DEN_G,$AC153),0)&gt;0,MAX($BG$2:BG152)+1,0)</f>
        <v>0</v>
      </c>
      <c r="BH153" s="48">
        <f ca="1">IF(IF(AND(OR(INDEX(PDC,MATCH($AC153,DEN_PDC,0),6)="SP AVERE",INDEX(PDC,MATCH($AC153,DEN_PDC,0),6)="SP DARE/AVERE"),SUMIFS(AVERE,DEN_G,$AC153)&gt;=SUMIFS(DARE,DEN_G,$AC153)),SUMIFS(AVERE,DEN_G,$AC153)-SUMIFS(DARE,DEN_G,$AC153),0)&gt;0,MAX(BH$2:BH152)+1,0)</f>
        <v>0</v>
      </c>
      <c r="BI153" s="48">
        <f ca="1">IF(IF(AND(OR(INDEX(PDC,MATCH($AC153,DEN_PDC,0),6)="SE DARE",INDEX(PDC,MATCH($AC153,DEN_PDC,0),6)="SE DARE/AVERE"),SUMIFS(DARE,DEN_G,$AC153)&gt;=SUMIFS(AVERE,DEN_G,$AC153)),SUMIFS(DARE,DEN_G,$AC153)-SUMIFS(AVERE,DEN_G,$AC153),0)&gt;0,MAX(BI$2:BI152)+1,0)</f>
        <v>0</v>
      </c>
      <c r="BJ153" s="48">
        <f ca="1">IF(IF(AND(OR(INDEX(PDC,MATCH($AC153,DEN_PDC,0),6)="SE AVERE",INDEX(PDC,MATCH($AC153,DEN_PDC,0),6)="SE DARE/AVERE"),SUMIFS(AVERE,DEN_G,$AC153)&gt;=SUMIFS(DARE,DEN_G,$AC153)),SUMIFS(AVERE,DEN_G,$AC153)-SUMIFS(DARE,DEN_G,$AC153),0)&gt;0,MAX(BJ$2:BJ152)+1,0)</f>
        <v>0</v>
      </c>
      <c r="BK153" s="48" t="str">
        <f ca="1">IF(AND(AND($DY$2=0,$DY$1=0),$I$1=2,ROW()&gt;$BG$1+2,ROW()&lt;=$BG$1+4),"………………..",IF(AND(OR($DY$2&gt;0,$DY$1&gt;0),$I$1=2,ROW()&gt;$BG$1+2,ROW()&lt;=$BG$1+4),"………………..",IFERROR(INDEX($AC$3:$AC$398,MATCH(ROWS(BK$3:BK153),BG$3:BG$398,0),1),"")))</f>
        <v/>
      </c>
      <c r="BL153" s="48">
        <f t="shared" ca="1" si="281"/>
        <v>0</v>
      </c>
      <c r="BM153" s="48" t="str">
        <f ca="1">IF(AND(OR($DY$2=0,$DY$1=0),$I$1=2,ROW()&gt;$BH$1+2,ROW()&lt;=$BH$1+4),"………………..",IF(AND(OR($DY$2&gt;0,$DY$1&gt;0),$I$1=2,ROW()&gt;$BH$1+2,ROW()&lt;=$BH$1+4),"………………..",IFERROR(INDEX($AC$3:$AC$400,MATCH(ROWS(BM$3:BM153),BH$3:BH$400,0),1),"")))</f>
        <v/>
      </c>
      <c r="BN153" s="48">
        <f t="shared" ca="1" si="282"/>
        <v>0</v>
      </c>
      <c r="BO153" s="48" t="str">
        <f ca="1">IF(AND(OR($DY$2=0,$DY$1=0),$I$1=2,ROW()&gt;$BI$1+2,ROW()&lt;=$BI$1+4),"………………..",IF(AND(OR($DY$2&gt;0,$DY$1&gt;0),$I$1=2,ROW()&gt;$BI$1+2,ROW()&lt;=$BI$1+4),"………………..",IFERROR(INDEX($AC$3:$AC$400,MATCH(ROWS(BO$3:BO153),BI$3:BI$400,0),1),"")))</f>
        <v/>
      </c>
      <c r="BP153" s="48">
        <f t="shared" ca="1" si="283"/>
        <v>0</v>
      </c>
      <c r="BQ153" s="48" t="str">
        <f ca="1">IF(AND(OR($DY$2=0,$DY$1=0),$I$1=2,ROW()&gt;$BJ$1+2,ROW()&lt;=$BJ$1+4),"………………..",IF(AND(OR($DY$2&gt;0,$DY$1&gt;0),$I$1=2,ROW()&gt;$BJ$1+2,ROW()&lt;=$BJ$1+4),"………………..",IFERROR(INDEX($AC$3:$AC$400,MATCH(ROWS(BQ$3:BQ153),BJ$3:BJ$400,0),1),"")))</f>
        <v/>
      </c>
      <c r="BR153" s="48">
        <f t="shared" ca="1" si="284"/>
        <v>0</v>
      </c>
      <c r="BS153" s="48">
        <f ca="1">IF(IF(AND(OR(INDEX(PDC,MATCH($AC153,DEN_PDC,0),4)="D",INDEX(PDC,MATCH($AC153,DEN_PDC,0),4)="D/A"),SUMIFS(DARE,DEN_G,$AC153)&gt;=SUMIFS(AVERE,DEN_G,$AC153)),SUMIFS(DARE,DEN_G,$AC153),IF(AND(OR(INDEX(PDC,MATCH($AC153,DEN_PDC,0),4)="A",INDEX(PDC,MATCH($AC153,DEN_PDC,0),4)="D/A"),SUMIFS(AVERE,DEN_G,$AC153)&gt;=SUMIFS(DARE,DEN_G,$AC153)),SUMIFS(AVERE,DEN_G,$AC153),))&gt;0,MAX($BS$2:BS152)+1,0)</f>
        <v>0</v>
      </c>
      <c r="BT153" s="48" t="str">
        <f ca="1">IF($CO$1=0,"",IF(AND($I$1=2,ROW()&gt;$BR$1,ROW()&lt;=$BS$1)," …………….",IF(AND($E$1=1,$BX$1=1,$I$1=2,ROW()=$BQ$1),"TOTALI",IFERROR(INDEX(PDC,MATCH(ROWS(BT$3:BT153),BS$3:BS550,0),2),""))))</f>
        <v/>
      </c>
      <c r="BU153" s="48">
        <f t="shared" ca="1" si="285"/>
        <v>0</v>
      </c>
      <c r="BV153" s="48">
        <f t="shared" ca="1" si="286"/>
        <v>0</v>
      </c>
      <c r="BW153" s="48">
        <f t="shared" ca="1" si="287"/>
        <v>0</v>
      </c>
      <c r="BX153" s="48">
        <f t="shared" ca="1" si="288"/>
        <v>0</v>
      </c>
      <c r="BY153" s="48">
        <f ca="1">IF(OR(BW153&gt;0,BX153&gt;0),MAX($BY$2:BY152)+1,0)</f>
        <v>0</v>
      </c>
      <c r="BZ153" s="48" t="str">
        <f ca="1">IFERROR(INDEX($BT$3:$BY$400,MATCH(ROWS(BZ$3:BZ153),$BY$3:$BY$400,0),1),"")</f>
        <v/>
      </c>
      <c r="CA153" s="48" t="str">
        <f ca="1">IFERROR(INDEX($BT$3:$BY$400,MATCH(ROWS(CA$3:CA153),$BY$3:$BY$400,0),4),"")</f>
        <v/>
      </c>
      <c r="CB153" s="48" t="str">
        <f ca="1">IFERROR(INDEX($BT$3:$BY$400,MATCH(ROWS(CB$3:CB153),$BY$3:$BY$400,0),5),"")</f>
        <v/>
      </c>
      <c r="CC153" s="48" t="str">
        <f t="shared" ca="1" si="289"/>
        <v/>
      </c>
      <c r="CD153" s="48">
        <f ca="1">IF(AND($BF$9=1,CE153&lt;&gt;0),MAX($CD$104:CD152)+1,0)</f>
        <v>0</v>
      </c>
      <c r="CE153" s="48">
        <f ca="1">ROUND(IFERROR(INDEX(BILANCIO!$I$13:$J$59,MATCH(CF153,BILANCIO!$J$13:$J$59,0),1),0),0)</f>
        <v>0</v>
      </c>
      <c r="CF153" s="48" t="s">
        <v>799</v>
      </c>
      <c r="CG153" s="242" t="s">
        <v>571</v>
      </c>
      <c r="CI153" s="48">
        <f t="shared" ca="1" si="331"/>
        <v>0</v>
      </c>
      <c r="CJ153" s="242">
        <f ca="1">SUMIFS(COPIA!$CB$3:$CB$400,COPIA!$CC$3:$CC$400,CF153)-SUMIFS(COPIA!$CA$3:$CA$400,COPIA!$CC$3:$CC$400,CF153)</f>
        <v>0</v>
      </c>
      <c r="CK153" s="48">
        <f ca="1">IF($CG$2=FALSE,0,IF(AND($BF$9=1,CJ153&lt;&gt;0),MAX($CK$21:CK152)+1,0))</f>
        <v>0</v>
      </c>
      <c r="CM153" s="242" t="str">
        <f t="shared" ca="1" si="305"/>
        <v/>
      </c>
      <c r="CN153" s="243">
        <f t="shared" ca="1" si="306"/>
        <v>0</v>
      </c>
      <c r="CO153" s="48" t="str">
        <f t="shared" ca="1" si="307"/>
        <v/>
      </c>
      <c r="CQ153" s="242"/>
      <c r="CR153" s="242"/>
      <c r="CU153" s="48">
        <f ca="1">IF(SUMIFS(AVERE,DEN_G,AC153,AVERE,"&gt;"&amp;0)+SUMIFS(DARE,DEN_G,AC153,DARE,"&gt;"&amp;0)&gt;0,MAX($CU$2:CU152)+1,0)</f>
        <v>0</v>
      </c>
      <c r="CV153" s="48" t="str">
        <f ca="1">IF(IFERROR(INDEX(PDC,MATCH(ROWS($CV$3:CV153),$CU$3:$CU$400,0),2),"")="CONTO DI RISULTATO ECONOMICO","",IFERROR(INDEX(PDC,MATCH(ROWS($CV$3:CV153),$CU$3:$CU$400,0),2),""))</f>
        <v/>
      </c>
      <c r="CW153" s="48">
        <f ca="1">IFERROR(IF(CV153&lt;&gt;"",MAX($CW$2:CW152)+1,0),0)</f>
        <v>0</v>
      </c>
      <c r="CX153" s="48">
        <f t="shared" ca="1" si="344"/>
        <v>12</v>
      </c>
      <c r="CY153" s="48" t="str">
        <f t="shared" ca="1" si="343"/>
        <v>MASTRO</v>
      </c>
      <c r="CZ153" s="48" t="e">
        <f t="shared" ca="1" si="346"/>
        <v>#N/A</v>
      </c>
      <c r="DA153" s="48" t="str">
        <f t="shared" ca="1" si="351"/>
        <v/>
      </c>
      <c r="DB153" s="48" t="str">
        <f t="shared" ca="1" si="347"/>
        <v/>
      </c>
      <c r="DC153" s="48" t="str">
        <f t="shared" ca="1" si="348"/>
        <v/>
      </c>
      <c r="DD153" s="48" t="str">
        <f t="shared" ca="1" si="349"/>
        <v/>
      </c>
      <c r="DE153" s="48" t="str">
        <f t="shared" ca="1" si="350"/>
        <v/>
      </c>
      <c r="DF153" s="48">
        <f ca="1">IF(AND(CX153=$DF$1,CX153&lt;&gt;""),0,IF(AND(DB153&lt;&gt;"",OR(DB152&lt;&gt;"",DB154&lt;&gt;"")),MAX($DF$2:DF152)+1,0))</f>
        <v>0</v>
      </c>
      <c r="DH153" s="249" t="s">
        <v>1022</v>
      </c>
      <c r="DI153" s="48" t="str">
        <f ca="1">IF($DL$1=TRUE,"SOCI C/FINANZIAMENTI","AZIONISTI C/FINANZIAMENTI")</f>
        <v>AZIONISTI C/FINANZIAMENTI</v>
      </c>
      <c r="DJ153" s="48" t="s">
        <v>312</v>
      </c>
      <c r="DK153" s="48" t="s">
        <v>298</v>
      </c>
      <c r="DL153" s="48" t="s">
        <v>5</v>
      </c>
      <c r="DM153" s="48" t="s">
        <v>299</v>
      </c>
      <c r="DO153" s="48" t="str">
        <f ca="1">IF($BF$9=1,"ppd3","ppd")</f>
        <v>ppd</v>
      </c>
      <c r="DW153" s="48">
        <f>IF(DR153&lt;&gt;"",MAX($DW$2:DW152)+1,0)</f>
        <v>0</v>
      </c>
      <c r="DY153" s="48" t="str">
        <f t="shared" ca="1" si="291"/>
        <v/>
      </c>
      <c r="DZ153" s="48" t="str">
        <f t="shared" ca="1" si="309"/>
        <v/>
      </c>
      <c r="EA153" s="48" t="str">
        <f t="shared" ca="1" si="310"/>
        <v/>
      </c>
      <c r="EB153" s="48">
        <f t="shared" ca="1" si="311"/>
        <v>0</v>
      </c>
      <c r="EC153" s="48">
        <f t="shared" ca="1" si="312"/>
        <v>0</v>
      </c>
      <c r="ED153" s="48" t="str">
        <f t="shared" ca="1" si="313"/>
        <v/>
      </c>
      <c r="EE153" s="48">
        <f t="shared" ca="1" si="314"/>
        <v>0</v>
      </c>
      <c r="EF153" s="48" t="str">
        <f t="shared" ca="1" si="315"/>
        <v/>
      </c>
      <c r="EG153" s="48">
        <f t="shared" ca="1" si="316"/>
        <v>0</v>
      </c>
      <c r="EH153" s="48" t="str">
        <f t="shared" ca="1" si="317"/>
        <v/>
      </c>
      <c r="EI153" s="48">
        <f t="shared" ca="1" si="318"/>
        <v>0</v>
      </c>
      <c r="EJ153" s="48" t="str">
        <f t="shared" ca="1" si="319"/>
        <v/>
      </c>
      <c r="EK153" s="48">
        <f t="shared" ca="1" si="320"/>
        <v>0</v>
      </c>
      <c r="EL153" s="48">
        <f t="shared" ca="1" si="292"/>
        <v>0</v>
      </c>
      <c r="EM153" s="48">
        <f ca="1">IF(EL153&gt;=0,0,MAX($EM$2:EM152)+1)</f>
        <v>0</v>
      </c>
      <c r="EN153" s="48" t="str">
        <f t="shared" ca="1" si="321"/>
        <v/>
      </c>
      <c r="EO153" s="48" t="str">
        <f ca="1">IFERROR(INDEX($EM$3:$EN$400,MATCH(ROWS($EO$3:EO153),$EM$3:$EM$400,0),2),"")</f>
        <v/>
      </c>
      <c r="EP153" s="48">
        <f>ROW()</f>
        <v>153</v>
      </c>
      <c r="EQ153" s="48">
        <f t="shared" ca="1" si="293"/>
        <v>0</v>
      </c>
      <c r="ER153" s="48">
        <f ca="1">IF(ISNA(EQ153)=TRUE,MAX($ER$2:ER152)+1,0)</f>
        <v>0</v>
      </c>
      <c r="ES153" s="48" t="str">
        <f t="shared" ca="1" si="322"/>
        <v/>
      </c>
      <c r="ET153" s="48" t="str">
        <f ca="1">IFERROR(INDEX($ER$3:$ES$400,MATCH(ROWS($ET$3:ET153),$ER$3:$ER$400,0),2),"")</f>
        <v/>
      </c>
      <c r="EV153" s="48">
        <f ca="1">IFERROR(INDEX(LIBRO_GIORNALE!$O$11:$P$408,MATCH(ROWS($EV$2:EV152),LIBRO_GIORNALE!$P$11:$P$408,0),1),0)</f>
        <v>0</v>
      </c>
      <c r="EW153" s="48" t="str">
        <f t="shared" ca="1" si="323"/>
        <v>0</v>
      </c>
      <c r="EX153" s="48">
        <f t="shared" ca="1" si="324"/>
        <v>0</v>
      </c>
      <c r="EY153" s="48">
        <f ca="1">IF(EX153&gt;0,MAX($EY$2:EY152)+1,0)</f>
        <v>0</v>
      </c>
      <c r="EZ153" s="48">
        <f ca="1">IFERROR(INDEX($EX$3:$EX$400,MATCH(ROWS($EZ$3:EZ153),$EY$3:$EY$400,0),1),0)</f>
        <v>0</v>
      </c>
      <c r="FA153" s="48">
        <f ca="1">IF(EZ153&gt;0,0,MAX($FA$2:FA152)+1)</f>
        <v>151</v>
      </c>
      <c r="FB153" s="48">
        <f t="shared" ca="1" si="325"/>
        <v>0</v>
      </c>
      <c r="FC153" s="48">
        <f t="shared" ca="1" si="326"/>
        <v>151</v>
      </c>
      <c r="FD153" s="48">
        <f t="shared" ca="1" si="327"/>
        <v>151</v>
      </c>
      <c r="FE153" s="48">
        <f ca="1">IF(FD153=0,0,MAX($FE$2:FE152)+1)</f>
        <v>151</v>
      </c>
      <c r="FF153" s="48">
        <f ca="1">IFERROR(INDEX($FD$3:$FE$400,MATCH(ROWS($FF$3:FF153),$FE$3:$FE$400,0),1),"")</f>
        <v>151</v>
      </c>
      <c r="FG153" s="48">
        <f t="shared" ca="1" si="255"/>
        <v>0</v>
      </c>
      <c r="FH153" s="48">
        <f t="shared" ca="1" si="328"/>
        <v>0</v>
      </c>
      <c r="FI153" s="48">
        <f ca="1">IF(FH153&lt;&gt;0,MAX($FI$2:FI152)+1,0)</f>
        <v>0</v>
      </c>
      <c r="FJ153" s="48" t="str">
        <f ca="1">IFERROR(INDEX($FH$3:$FI$400,MATCH(ROWS($FJ$3:FJ153),$FI$3:$FI$400,0),1),"")</f>
        <v/>
      </c>
      <c r="FK153" s="48">
        <f ca="1">IF(ABS(SUMIFS(DARE,DEN_G,"="&amp;FJ153,DATA,"&lt;="&amp;FINE_AC,DATA,"&gt;="&amp;INIZIO_A_PC)-SUMIFS(AVERE,DEN_G,"="&amp;FJ153,DATA,"&lt;="&amp;FINE_AC,DATA,"&gt;="&amp;INIZIO_A_PC))&gt;0,MAX($FK$2:FK152)+1,0)</f>
        <v>0</v>
      </c>
      <c r="FL153" s="48" t="str">
        <f ca="1">IF(AND(ROW()-2&lt;&gt;1,ROW()-2&lt;=$FK$1),CONCATENATE(" - ",IFERROR(INDEX($FJ$3:$FK$400,MATCH(ROWS($FL$3:FL153),$FK$3:$FK$400,0),1),"")),IFERROR(INDEX($FJ$3:$FK$400,MATCH(ROWS($FL$3:FL153),$FK$3:$FK$400,0),1),""))</f>
        <v/>
      </c>
      <c r="FM153" s="48">
        <f ca="1">IF(OR(B153="IVA ns/credito",B153="IVA NS/DEBITO",B153="IVA C/ACCONTO",B153="IMPOSTE C/ACCONTO",B153="CREDITI PER RITENUTE SUBITE",B153="CREDITI D'IMPOSTA"),MAX($FM$2:FM152)+1,0)</f>
        <v>0</v>
      </c>
      <c r="FN153" s="48" t="str">
        <f t="shared" ca="1" si="329"/>
        <v/>
      </c>
      <c r="FO153" s="48" t="str">
        <f ca="1">IFERROR(INDEX($FM$3:$FN$400,MATCH(ROWS($FO$3:FO153),$FM$3:$FM$400,0),2),"")</f>
        <v/>
      </c>
      <c r="FP153" s="48">
        <f ca="1">IF(ABS(SUMIFS(DARE,DEN_G,"="&amp;FO153,DATA,"&lt;="&amp;FINE_AC,DATA,"&gt;="&amp;INIZIO_A_PC)-SUMIFS(AVERE,DEN_G,"="&amp;FO153,DATA,"&lt;="&amp;FINE_AC,DATA,"&gt;="&amp;INIZIO_A_PC))&gt;0,MAX($FP$2:FP152)+1,0)</f>
        <v>0</v>
      </c>
      <c r="FQ153" s="48" t="str">
        <f ca="1">IF(AND(ROW()-2&lt;&gt;1,ROW()-2&lt;=$FP$1),CONCATENATE(" - ",IFERROR(INDEX($FO$3:$FP$400,MATCH(ROWS($FQ$3:FQ153),$FP$3:$FP$400,0),1),"")),IFERROR(INDEX($FO$3:$FP$400,MATCH(ROWS($FQ$3:FQ153),$FP$3:$FP$400,0),1),""))</f>
        <v/>
      </c>
    </row>
    <row r="154" spans="1:173" x14ac:dyDescent="0.3">
      <c r="A154" s="48" t="str">
        <f ca="1">IFERROR(IF($A$1=2,INDEX($DH$3:$DN$401,MATCH(ROWS(A$3:A154),$DN$3:$DN$401,0),COLUMN()),IF($A$1=1,INDEX($DQ$3:$DW$401,MATCH(ROWS(A$3:A154),$DW$3:$DW$401,0),COLUMN()),"")),"")</f>
        <v>15.05</v>
      </c>
      <c r="B154" s="48" t="str">
        <f ca="1">IFERROR(IF($A$1=2,INDEX($DH$3:$DN$401,MATCH(ROWS(B$3:B154),$DN$3:$DN$401,0),COLUMN()),IF($A$1=1,INDEX($DQ$3:$DW$400,MATCH(ROWS(B$3:B154),$DW$3:$DW$401,0),COLUMN()),"")),"")</f>
        <v>DEBITI FISCALI DIVERSI</v>
      </c>
      <c r="C154" s="48" t="str">
        <f ca="1">IFERROR(IF($A$1=2,INDEX($DH$3:$DN$401,MATCH(ROWS(C$3:C154),$DN$3:$DN$401,0),COLUMN()),IF($A$1=1,INDEX($DQ$3:$DW$401,MATCH(ROWS(C$3:C154),$DW$3:$DW$401,0),COLUMN()),"")),"")</f>
        <v>F</v>
      </c>
      <c r="D154" s="48" t="str">
        <f ca="1">IFERROR(IF($A$1=2,INDEX($DH$3:$DN$401,MATCH(ROWS(D$3:D154),$DN$3:$DN$401,0),COLUMN()),IF($A$1=1,INDEX($DQ$3:$DW$401,MATCH(ROWS(D$3:D154),$DW$3:$DW$401,0),COLUMN()),"")),"")</f>
        <v>A</v>
      </c>
      <c r="E154" s="48" t="str">
        <f ca="1">IFERROR(IF($A$1=2,INDEX($DH$3:$DN$401,MATCH(ROWS(E$3:E154),$DN$3:$DN$401,0),COLUMN()),IF($A$1=1,INDEX($DQ$3:$DW$401,MATCH(ROWS(E$3:E154),$DW$3:$DW$401,0),COLUMN()),"")),"")</f>
        <v>DEBITI</v>
      </c>
      <c r="F154" s="48" t="str">
        <f ca="1">IFERROR(IF($A$1=2,INDEX($DH$3:$DN$401,MATCH(ROWS(F$3:F154),$DN$3:$DN$401,0),COLUMN()),IF($A$1=1,INDEX($DQ$3:$DX$401,MATCH(ROWS(F$3:F154),$DW$3:$DW$401,0),COLUMN()),"")),"")</f>
        <v>SP AVERE</v>
      </c>
      <c r="G154" s="48" t="str">
        <f t="shared" ca="1" si="294"/>
        <v>SP</v>
      </c>
      <c r="H154" s="48" t="str">
        <f ca="1">IFERROR(IF($A$1=2,INDEX($DH$3:$DO$400,MATCH(ROWS(H$3:H154),$DN$3:$DN$400,0),COLUMN()),IF($A$1=1,INDEX($DQ$3:$DX$400,MATCH(ROWS(H$3:H154),$DW$3:$DW$400,0),COLUMN()),"")),"")</f>
        <v>ppd</v>
      </c>
      <c r="I154" s="48" t="str">
        <f t="shared" ca="1" si="295"/>
        <v/>
      </c>
      <c r="J154" s="48" t="str">
        <f t="shared" ca="1" si="296"/>
        <v/>
      </c>
      <c r="K154" s="48">
        <f t="shared" ca="1" si="297"/>
        <v>0</v>
      </c>
      <c r="L154" s="48">
        <f t="shared" ca="1" si="298"/>
        <v>0</v>
      </c>
      <c r="M154" s="48">
        <f ca="1">IFERROR(IF(IF(MID($A154,3,3)=".00",MID(A154,1,2),"")&lt;&gt;"",MAX($M$2:M153)+1,0),"")</f>
        <v>0</v>
      </c>
      <c r="N154" s="48" t="str">
        <f t="shared" ca="1" si="299"/>
        <v/>
      </c>
      <c r="O154" s="48" t="str">
        <f ca="1">IF(IFERROR(INDEX($N$3:$O$300,MATCH(ROWS($O$3:O154),$M$3:$M$300,0),1),"")&lt;&gt;"",CONCATENATE(INDEX($N$3:$O$300,MATCH(ROWS($O$3:O154),$M$3:$M$300,0),1),".00"),"")</f>
        <v/>
      </c>
      <c r="P154" s="48" t="str">
        <f t="shared" ca="1" si="300"/>
        <v/>
      </c>
      <c r="Q154" s="48">
        <f ca="1">IF(M154&gt;=1,0,MAX($Q$2:Q153)+1)</f>
        <v>136</v>
      </c>
      <c r="U154" s="48" t="str">
        <f ca="1">IFERROR(INDEX(PDC,MATCH(ROWS(U$3:U154),$V$3:$V$400,0),2),"")</f>
        <v>BILANCIO DI APERTURA</v>
      </c>
      <c r="V154" s="48">
        <f ca="1">IF(AND($T$1="VISUALIZZA TUTTI I CONTI",AA154&lt;&gt;""),MAX($V$2:V153)+1,IF(AND($U$2=2,AI154=$T$1),MAX($V$2:V153)+1,IF(AND($U$2=1,$T$1=AF154),MAX($V$2:V153)+1,0)))</f>
        <v>152</v>
      </c>
      <c r="AA154" s="48" t="str">
        <f t="shared" ca="1" si="301"/>
        <v>18.00</v>
      </c>
      <c r="AB154" s="48" t="str">
        <f ca="1">IFERROR(INDEX($A$3:$G$400,MATCH(ROWS(AB$3:AB154),$Q$3:$Q$400,0),1),"")</f>
        <v>18.01</v>
      </c>
      <c r="AC154" s="48" t="str">
        <f ca="1">IFERROR(INDEX($A$3:$G$400,MATCH(ROWS($AC$3:AC154),$Q$3:$Q$400,0),2),"")</f>
        <v>BILANCIO DI APERTURA</v>
      </c>
      <c r="AD154" s="48">
        <f ca="1">IFERROR(INDEX($A$3:$G$400,MATCH(ROWS(AD$3:AD154),$Q$3:$Q$400,0),3),"")</f>
        <v>0</v>
      </c>
      <c r="AE154" s="48" t="str">
        <f ca="1">IFERROR(INDEX($A$3:$G$400,MATCH(ROWS(AE$3:AE154),$Q$3:$Q$400,0),4),"")</f>
        <v>D/A</v>
      </c>
      <c r="AF154" s="48" t="str">
        <f ca="1">IFERROR(INDEX($A$3:$G$400,MATCH(ROWS(AF$3:AF154),$Q$3:$Q$400,0),5),"")</f>
        <v>TRANSITORIO DI CONTROPARTITA</v>
      </c>
      <c r="AG154" s="48">
        <f ca="1">IFERROR(INDEX($A$3:$G$400,MATCH(ROWS(AG$3:AG154),$Q$3:$Q$400,0),6),"")</f>
        <v>0</v>
      </c>
      <c r="AH154" s="48" t="str">
        <f ca="1">IFERROR(INDEX($A$3:$G$400,MATCH(ROWS(AH$3:AH154),$Q$3:$Q$400,0),7),"")</f>
        <v>0</v>
      </c>
      <c r="AI154" s="48" t="str">
        <f t="shared" ca="1" si="302"/>
        <v>CONTI TRANSITORI E DIVERSI</v>
      </c>
      <c r="AJ154" s="48">
        <f ca="1">IFERROR(INDEX($A$3:$H$400,MATCH(ROWS(AJ$3:AJ154),$Q$3:$Q$400,0),8),"")</f>
        <v>0</v>
      </c>
      <c r="AK154" s="48">
        <f t="shared" ca="1" si="277"/>
        <v>0</v>
      </c>
      <c r="AL154" s="48">
        <f t="shared" ca="1" si="335"/>
        <v>0</v>
      </c>
      <c r="AM154" s="48">
        <f t="shared" ca="1" si="252"/>
        <v>0</v>
      </c>
      <c r="AN154" s="48">
        <f t="shared" ca="1" si="253"/>
        <v>0</v>
      </c>
      <c r="AO154" s="48">
        <f t="shared" ca="1" si="254"/>
        <v>0</v>
      </c>
      <c r="AP154" s="48">
        <f t="shared" ca="1" si="254"/>
        <v>0</v>
      </c>
      <c r="AQ154" s="48" t="str">
        <f t="shared" ca="1" si="278"/>
        <v/>
      </c>
      <c r="AR154" s="48">
        <f t="shared" ca="1" si="279"/>
        <v>0</v>
      </c>
      <c r="AS154" s="48">
        <f t="shared" ca="1" si="280"/>
        <v>0</v>
      </c>
      <c r="AT154" s="48">
        <f t="shared" ca="1" si="303"/>
        <v>0</v>
      </c>
      <c r="AU154" s="48">
        <f t="shared" ca="1" si="304"/>
        <v>0</v>
      </c>
      <c r="AV154" s="48">
        <f ca="1">IF(OR(AT154&gt;0,AU154&gt;0),MAX($AV$2:AV153)+1,0)</f>
        <v>0</v>
      </c>
      <c r="AZ154" s="241" t="str">
        <f t="shared" si="240"/>
        <v>54 V.I.</v>
      </c>
      <c r="BA154" s="48">
        <f t="shared" ca="1" si="330"/>
        <v>0</v>
      </c>
      <c r="BB154" s="48">
        <f t="shared" ca="1" si="247"/>
        <v>0</v>
      </c>
      <c r="BC154" s="48" t="str">
        <f t="shared" ca="1" si="248"/>
        <v/>
      </c>
      <c r="BD154" s="48">
        <f t="shared" ca="1" si="249"/>
        <v>0</v>
      </c>
      <c r="BE154" s="48">
        <f t="shared" ca="1" si="250"/>
        <v>0</v>
      </c>
      <c r="BG154" s="48">
        <f ca="1">IF(IF(AND(OR(INDEX(PDC,MATCH($AC154,DEN_PDC,0),6)="SP DARE",INDEX(PDC,MATCH($AC154,DEN_PDC,0),6)="SP DARE/AVERE"),SUMIFS(DARE,DEN_G,$AC154)&gt;=SUMIFS(AVERE,DEN_G,$AC154)),SUMIFS(DARE,DEN_G,$AC154)-SUMIFS(AVERE,DEN_G,$AC154),0)&gt;0,MAX($BG$2:BG153)+1,0)</f>
        <v>0</v>
      </c>
      <c r="BH154" s="48">
        <f ca="1">IF(IF(AND(OR(INDEX(PDC,MATCH($AC154,DEN_PDC,0),6)="SP AVERE",INDEX(PDC,MATCH($AC154,DEN_PDC,0),6)="SP DARE/AVERE"),SUMIFS(AVERE,DEN_G,$AC154)&gt;=SUMIFS(DARE,DEN_G,$AC154)),SUMIFS(AVERE,DEN_G,$AC154)-SUMIFS(DARE,DEN_G,$AC154),0)&gt;0,MAX(BH$2:BH153)+1,0)</f>
        <v>0</v>
      </c>
      <c r="BI154" s="48">
        <f ca="1">IF(IF(AND(OR(INDEX(PDC,MATCH($AC154,DEN_PDC,0),6)="SE DARE",INDEX(PDC,MATCH($AC154,DEN_PDC,0),6)="SE DARE/AVERE"),SUMIFS(DARE,DEN_G,$AC154)&gt;=SUMIFS(AVERE,DEN_G,$AC154)),SUMIFS(DARE,DEN_G,$AC154)-SUMIFS(AVERE,DEN_G,$AC154),0)&gt;0,MAX(BI$2:BI153)+1,0)</f>
        <v>0</v>
      </c>
      <c r="BJ154" s="48">
        <f ca="1">IF(IF(AND(OR(INDEX(PDC,MATCH($AC154,DEN_PDC,0),6)="SE AVERE",INDEX(PDC,MATCH($AC154,DEN_PDC,0),6)="SE DARE/AVERE"),SUMIFS(AVERE,DEN_G,$AC154)&gt;=SUMIFS(DARE,DEN_G,$AC154)),SUMIFS(AVERE,DEN_G,$AC154)-SUMIFS(DARE,DEN_G,$AC154),0)&gt;0,MAX(BJ$2:BJ153)+1,0)</f>
        <v>0</v>
      </c>
      <c r="BK154" s="48" t="str">
        <f ca="1">IF(AND(AND($DY$2=0,$DY$1=0),$I$1=2,ROW()&gt;$BG$1+2,ROW()&lt;=$BG$1+4),"………………..",IF(AND(OR($DY$2&gt;0,$DY$1&gt;0),$I$1=2,ROW()&gt;$BG$1+2,ROW()&lt;=$BG$1+4),"………………..",IFERROR(INDEX($AC$3:$AC$398,MATCH(ROWS(BK$3:BK154),BG$3:BG$398,0),1),"")))</f>
        <v/>
      </c>
      <c r="BL154" s="48">
        <f t="shared" ca="1" si="281"/>
        <v>0</v>
      </c>
      <c r="BM154" s="48" t="str">
        <f ca="1">IF(AND(OR($DY$2=0,$DY$1=0),$I$1=2,ROW()&gt;$BH$1+2,ROW()&lt;=$BH$1+4),"………………..",IF(AND(OR($DY$2&gt;0,$DY$1&gt;0),$I$1=2,ROW()&gt;$BH$1+2,ROW()&lt;=$BH$1+4),"………………..",IFERROR(INDEX($AC$3:$AC$400,MATCH(ROWS(BM$3:BM154),BH$3:BH$400,0),1),"")))</f>
        <v/>
      </c>
      <c r="BN154" s="48">
        <f t="shared" ca="1" si="282"/>
        <v>0</v>
      </c>
      <c r="BO154" s="48" t="str">
        <f ca="1">IF(AND(OR($DY$2=0,$DY$1=0),$I$1=2,ROW()&gt;$BI$1+2,ROW()&lt;=$BI$1+4),"………………..",IF(AND(OR($DY$2&gt;0,$DY$1&gt;0),$I$1=2,ROW()&gt;$BI$1+2,ROW()&lt;=$BI$1+4),"………………..",IFERROR(INDEX($AC$3:$AC$400,MATCH(ROWS(BO$3:BO154),BI$3:BI$400,0),1),"")))</f>
        <v/>
      </c>
      <c r="BP154" s="48">
        <f t="shared" ca="1" si="283"/>
        <v>0</v>
      </c>
      <c r="BQ154" s="48" t="str">
        <f ca="1">IF(AND(OR($DY$2=0,$DY$1=0),$I$1=2,ROW()&gt;$BJ$1+2,ROW()&lt;=$BJ$1+4),"………………..",IF(AND(OR($DY$2&gt;0,$DY$1&gt;0),$I$1=2,ROW()&gt;$BJ$1+2,ROW()&lt;=$BJ$1+4),"………………..",IFERROR(INDEX($AC$3:$AC$400,MATCH(ROWS(BQ$3:BQ154),BJ$3:BJ$400,0),1),"")))</f>
        <v/>
      </c>
      <c r="BR154" s="48">
        <f t="shared" ca="1" si="284"/>
        <v>0</v>
      </c>
      <c r="BS154" s="48">
        <f ca="1">IF(IF(AND(OR(INDEX(PDC,MATCH($AC154,DEN_PDC,0),4)="D",INDEX(PDC,MATCH($AC154,DEN_PDC,0),4)="D/A"),SUMIFS(DARE,DEN_G,$AC154)&gt;=SUMIFS(AVERE,DEN_G,$AC154)),SUMIFS(DARE,DEN_G,$AC154),IF(AND(OR(INDEX(PDC,MATCH($AC154,DEN_PDC,0),4)="A",INDEX(PDC,MATCH($AC154,DEN_PDC,0),4)="D/A"),SUMIFS(AVERE,DEN_G,$AC154)&gt;=SUMIFS(DARE,DEN_G,$AC154)),SUMIFS(AVERE,DEN_G,$AC154),))&gt;0,MAX($BS$2:BS153)+1,0)</f>
        <v>0</v>
      </c>
      <c r="BT154" s="48" t="str">
        <f ca="1">IF($CO$1=0,"",IF(AND($I$1=2,ROW()&gt;$BR$1,ROW()&lt;=$BS$1)," …………….",IF(AND($E$1=1,$BX$1=1,$I$1=2,ROW()=$BQ$1),"TOTALI",IFERROR(INDEX(PDC,MATCH(ROWS(BT$3:BT154),BS$3:BS551,0),2),""))))</f>
        <v/>
      </c>
      <c r="BU154" s="48">
        <f t="shared" ca="1" si="285"/>
        <v>0</v>
      </c>
      <c r="BV154" s="48">
        <f t="shared" ca="1" si="286"/>
        <v>0</v>
      </c>
      <c r="BW154" s="48">
        <f t="shared" ca="1" si="287"/>
        <v>0</v>
      </c>
      <c r="BX154" s="48">
        <f t="shared" ca="1" si="288"/>
        <v>0</v>
      </c>
      <c r="BY154" s="48">
        <f ca="1">IF(OR(BW154&gt;0,BX154&gt;0),MAX($BY$2:BY153)+1,0)</f>
        <v>0</v>
      </c>
      <c r="BZ154" s="48" t="str">
        <f ca="1">IFERROR(INDEX($BT$3:$BY$400,MATCH(ROWS(BZ$3:BZ154),$BY$3:$BY$400,0),1),"")</f>
        <v/>
      </c>
      <c r="CA154" s="48" t="str">
        <f ca="1">IFERROR(INDEX($BT$3:$BY$400,MATCH(ROWS(CA$3:CA154),$BY$3:$BY$400,0),4),"")</f>
        <v/>
      </c>
      <c r="CB154" s="48" t="str">
        <f ca="1">IFERROR(INDEX($BT$3:$BY$400,MATCH(ROWS(CB$3:CB154),$BY$3:$BY$400,0),5),"")</f>
        <v/>
      </c>
      <c r="CC154" s="48" t="str">
        <f t="shared" ca="1" si="289"/>
        <v/>
      </c>
      <c r="CD154" s="48">
        <f ca="1">IF(AND($BF$9=1,CE154&lt;&gt;0),MAX($CD$104:CD153)+1,0)</f>
        <v>0</v>
      </c>
      <c r="CE154" s="48">
        <f ca="1">IF(ROUND(SUMIFS(COPIA!$CB$3:$CB$400,COPIA!$CC$3:$CC$400,CF154)-SUMIFS(COPIA!$CA$3:$CA$400,COPIA!$CC$3:$CC$400,CF154),0)&lt;0,0,ROUND(SUMIFS(COPIA!$CB$3:$CB$400,COPIA!$CC$3:$CC$400,CF154)-SUMIFS(COPIA!$CA$3:$CA$400,COPIA!$CC$3:$CC$400,CF154),0))</f>
        <v>0</v>
      </c>
      <c r="CF154" s="48" t="s">
        <v>681</v>
      </c>
      <c r="CG154" s="242" t="s">
        <v>847</v>
      </c>
      <c r="CH154" s="48">
        <f t="shared" ca="1" si="259"/>
        <v>0</v>
      </c>
      <c r="CJ154" s="242">
        <f ca="1">SUMIFS(COPIA!$CB$3:$CB$400,COPIA!$CC$3:$CC$400,CF154)-SUMIFS(COPIA!$CA$3:$CA$400,COPIA!$CC$3:$CC$400,CF154)</f>
        <v>0</v>
      </c>
      <c r="CK154" s="48">
        <f ca="1">IF($CG$2=FALSE,0,IF(AND($BF$9=1,CJ154&lt;&gt;0),MAX($CK$21:CK153)+1,0))</f>
        <v>0</v>
      </c>
      <c r="CL154" s="48" t="s">
        <v>800</v>
      </c>
      <c r="CM154" s="242" t="str">
        <f t="shared" ca="1" si="305"/>
        <v/>
      </c>
      <c r="CN154" s="243">
        <f t="shared" ca="1" si="306"/>
        <v>0</v>
      </c>
      <c r="CO154" s="48" t="str">
        <f t="shared" ca="1" si="307"/>
        <v/>
      </c>
      <c r="CQ154" s="242"/>
      <c r="CR154" s="242"/>
      <c r="CU154" s="48">
        <f ca="1">IF(SUMIFS(AVERE,DEN_G,AC154,AVERE,"&gt;"&amp;0)+SUMIFS(DARE,DEN_G,AC154,DARE,"&gt;"&amp;0)&gt;0,MAX($CU$2:CU153)+1,0)</f>
        <v>0</v>
      </c>
      <c r="CV154" s="48" t="str">
        <f ca="1">IF(IFERROR(INDEX(PDC,MATCH(ROWS($CV$3:CV154),$CU$3:$CU$400,0),2),"")="CONTO DI RISULTATO ECONOMICO","",IFERROR(INDEX(PDC,MATCH(ROWS($CV$3:CV154),$CU$3:$CU$400,0),2),""))</f>
        <v/>
      </c>
      <c r="CW154" s="48">
        <f ca="1">IFERROR(IF(CV154&lt;&gt;"",MAX($CW$2:CW153)+1,0),0)</f>
        <v>0</v>
      </c>
      <c r="CX154" s="48">
        <f t="shared" ca="1" si="344"/>
        <v>12</v>
      </c>
      <c r="CY154" s="48" t="str">
        <f t="shared" ca="1" si="343"/>
        <v>MASTRO</v>
      </c>
      <c r="CZ154" s="48" t="e">
        <f t="shared" ca="1" si="346"/>
        <v>#N/A</v>
      </c>
      <c r="DA154" s="48" t="str">
        <f t="shared" ca="1" si="351"/>
        <v/>
      </c>
      <c r="DB154" s="48" t="str">
        <f t="shared" ca="1" si="347"/>
        <v/>
      </c>
      <c r="DC154" s="48" t="str">
        <f t="shared" ca="1" si="348"/>
        <v/>
      </c>
      <c r="DD154" s="48" t="str">
        <f t="shared" ca="1" si="349"/>
        <v/>
      </c>
      <c r="DE154" s="48" t="str">
        <f t="shared" ca="1" si="350"/>
        <v/>
      </c>
      <c r="DF154" s="48">
        <f ca="1">IF(AND(CX154=$DF$1,CX154&lt;&gt;""),0,IF(AND(DB154&lt;&gt;"",OR(DB153&lt;&gt;"",DB155&lt;&gt;"")),MAX($DF$2:DF153)+1,0))</f>
        <v>0</v>
      </c>
      <c r="DG154" s="48">
        <f ca="1">DG5</f>
        <v>0</v>
      </c>
      <c r="DH154" s="249" t="s">
        <v>1022</v>
      </c>
      <c r="DI154" s="48" t="str">
        <f ca="1">IFERROR(IF(AND($DL$1=TRUE,DG154&lt;&gt;0),CONCATENATE("SOCIO ",DG154," C/FINANZIAMENTI"),IF(AND($DL$1=FALSE,DG154&lt;&gt;0),CONCATENATE("AZIONISTA ",DG154," C/FINANZIAMENTI"),"")),"")</f>
        <v/>
      </c>
      <c r="DJ154" s="48" t="s">
        <v>312</v>
      </c>
      <c r="DK154" s="48" t="s">
        <v>298</v>
      </c>
      <c r="DL154" s="48" t="s">
        <v>5</v>
      </c>
      <c r="DM154" s="48" t="s">
        <v>299</v>
      </c>
      <c r="DO154" s="48" t="str">
        <f t="shared" ref="DO154:DO157" ca="1" si="353">IF($BF$9=1,"ppd3","ppd")</f>
        <v>ppd</v>
      </c>
      <c r="DW154" s="48">
        <f>IF(DR154&lt;&gt;"",MAX($DW$2:DW153)+1,0)</f>
        <v>0</v>
      </c>
      <c r="DY154" s="48" t="str">
        <f t="shared" ca="1" si="291"/>
        <v/>
      </c>
      <c r="DZ154" s="48" t="str">
        <f t="shared" ca="1" si="309"/>
        <v/>
      </c>
      <c r="EA154" s="48" t="str">
        <f t="shared" ca="1" si="310"/>
        <v/>
      </c>
      <c r="EB154" s="48">
        <f t="shared" ca="1" si="311"/>
        <v>0</v>
      </c>
      <c r="EC154" s="48">
        <f t="shared" ca="1" si="312"/>
        <v>0</v>
      </c>
      <c r="ED154" s="48" t="str">
        <f t="shared" ca="1" si="313"/>
        <v/>
      </c>
      <c r="EE154" s="48">
        <f t="shared" ca="1" si="314"/>
        <v>0</v>
      </c>
      <c r="EF154" s="48" t="str">
        <f t="shared" ca="1" si="315"/>
        <v/>
      </c>
      <c r="EG154" s="48">
        <f t="shared" ca="1" si="316"/>
        <v>0</v>
      </c>
      <c r="EH154" s="48" t="str">
        <f t="shared" ca="1" si="317"/>
        <v/>
      </c>
      <c r="EI154" s="48">
        <f t="shared" ca="1" si="318"/>
        <v>0</v>
      </c>
      <c r="EJ154" s="48" t="str">
        <f t="shared" ca="1" si="319"/>
        <v/>
      </c>
      <c r="EK154" s="48">
        <f t="shared" ca="1" si="320"/>
        <v>0</v>
      </c>
      <c r="EL154" s="48">
        <f t="shared" ca="1" si="292"/>
        <v>0</v>
      </c>
      <c r="EM154" s="48">
        <f ca="1">IF(EL154&gt;=0,0,MAX($EM$2:EM153)+1)</f>
        <v>0</v>
      </c>
      <c r="EN154" s="48" t="str">
        <f t="shared" ca="1" si="321"/>
        <v/>
      </c>
      <c r="EO154" s="48" t="str">
        <f ca="1">IFERROR(INDEX($EM$3:$EN$400,MATCH(ROWS($EO$3:EO154),$EM$3:$EM$400,0),2),"")</f>
        <v/>
      </c>
      <c r="EP154" s="48">
        <f>ROW()</f>
        <v>154</v>
      </c>
      <c r="EQ154" s="48">
        <f t="shared" ca="1" si="293"/>
        <v>0</v>
      </c>
      <c r="ER154" s="48">
        <f ca="1">IF(ISNA(EQ154)=TRUE,MAX($ER$2:ER153)+1,0)</f>
        <v>0</v>
      </c>
      <c r="ES154" s="48" t="str">
        <f t="shared" ca="1" si="322"/>
        <v/>
      </c>
      <c r="ET154" s="48" t="str">
        <f ca="1">IFERROR(INDEX($ER$3:$ES$400,MATCH(ROWS($ET$3:ET154),$ER$3:$ER$400,0),2),"")</f>
        <v/>
      </c>
      <c r="EV154" s="48">
        <f ca="1">IFERROR(INDEX(LIBRO_GIORNALE!$O$11:$P$408,MATCH(ROWS($EV$2:EV153),LIBRO_GIORNALE!$P$11:$P$408,0),1),0)</f>
        <v>0</v>
      </c>
      <c r="EW154" s="48" t="str">
        <f t="shared" ca="1" si="323"/>
        <v>0</v>
      </c>
      <c r="EX154" s="48">
        <f t="shared" ca="1" si="324"/>
        <v>0</v>
      </c>
      <c r="EY154" s="48">
        <f ca="1">IF(EX154&gt;0,MAX($EY$2:EY153)+1,0)</f>
        <v>0</v>
      </c>
      <c r="EZ154" s="48">
        <f ca="1">IFERROR(INDEX($EX$3:$EX$400,MATCH(ROWS($EZ$3:EZ154),$EY$3:$EY$400,0),1),0)</f>
        <v>0</v>
      </c>
      <c r="FA154" s="48">
        <f ca="1">IF(EZ154&gt;0,0,MAX($FA$2:FA153)+1)</f>
        <v>152</v>
      </c>
      <c r="FB154" s="48">
        <f t="shared" ca="1" si="325"/>
        <v>0</v>
      </c>
      <c r="FC154" s="48">
        <f t="shared" ca="1" si="326"/>
        <v>152</v>
      </c>
      <c r="FD154" s="48">
        <f t="shared" ca="1" si="327"/>
        <v>152</v>
      </c>
      <c r="FE154" s="48">
        <f ca="1">IF(FD154=0,0,MAX($FE$2:FE153)+1)</f>
        <v>152</v>
      </c>
      <c r="FF154" s="48">
        <f ca="1">IFERROR(INDEX($FD$3:$FE$400,MATCH(ROWS($FF$3:FF154),$FE$3:$FE$400,0),1),"")</f>
        <v>152</v>
      </c>
      <c r="FG154" s="48">
        <f t="shared" ca="1" si="255"/>
        <v>0</v>
      </c>
      <c r="FH154" s="48">
        <f t="shared" ca="1" si="328"/>
        <v>0</v>
      </c>
      <c r="FI154" s="48">
        <f ca="1">IF(FH154&lt;&gt;0,MAX($FI$2:FI153)+1,0)</f>
        <v>0</v>
      </c>
      <c r="FJ154" s="48" t="str">
        <f ca="1">IFERROR(INDEX($FH$3:$FI$400,MATCH(ROWS($FJ$3:FJ154),$FI$3:$FI$400,0),1),"")</f>
        <v/>
      </c>
      <c r="FK154" s="48">
        <f ca="1">IF(ABS(SUMIFS(DARE,DEN_G,"="&amp;FJ154,DATA,"&lt;="&amp;FINE_AC,DATA,"&gt;="&amp;INIZIO_A_PC)-SUMIFS(AVERE,DEN_G,"="&amp;FJ154,DATA,"&lt;="&amp;FINE_AC,DATA,"&gt;="&amp;INIZIO_A_PC))&gt;0,MAX($FK$2:FK153)+1,0)</f>
        <v>0</v>
      </c>
      <c r="FL154" s="48" t="str">
        <f ca="1">IF(AND(ROW()-2&lt;&gt;1,ROW()-2&lt;=$FK$1),CONCATENATE(" - ",IFERROR(INDEX($FJ$3:$FK$400,MATCH(ROWS($FL$3:FL154),$FK$3:$FK$400,0),1),"")),IFERROR(INDEX($FJ$3:$FK$400,MATCH(ROWS($FL$3:FL154),$FK$3:$FK$400,0),1),""))</f>
        <v/>
      </c>
      <c r="FM154" s="48">
        <f ca="1">IF(OR(B154="IVA ns/credito",B154="IVA NS/DEBITO",B154="IVA C/ACCONTO",B154="IMPOSTE C/ACCONTO",B154="CREDITI PER RITENUTE SUBITE",B154="CREDITI D'IMPOSTA"),MAX($FM$2:FM153)+1,0)</f>
        <v>0</v>
      </c>
      <c r="FN154" s="48" t="str">
        <f t="shared" ca="1" si="329"/>
        <v/>
      </c>
      <c r="FO154" s="48" t="str">
        <f ca="1">IFERROR(INDEX($FM$3:$FN$400,MATCH(ROWS($FO$3:FO154),$FM$3:$FM$400,0),2),"")</f>
        <v/>
      </c>
      <c r="FP154" s="48">
        <f ca="1">IF(ABS(SUMIFS(DARE,DEN_G,"="&amp;FO154,DATA,"&lt;="&amp;FINE_AC,DATA,"&gt;="&amp;INIZIO_A_PC)-SUMIFS(AVERE,DEN_G,"="&amp;FO154,DATA,"&lt;="&amp;FINE_AC,DATA,"&gt;="&amp;INIZIO_A_PC))&gt;0,MAX($FP$2:FP153)+1,0)</f>
        <v>0</v>
      </c>
      <c r="FQ154" s="48" t="str">
        <f ca="1">IF(AND(ROW()-2&lt;&gt;1,ROW()-2&lt;=$FP$1),CONCATENATE(" - ",IFERROR(INDEX($FO$3:$FP$400,MATCH(ROWS($FQ$3:FQ154),$FP$3:$FP$400,0),1),"")),IFERROR(INDEX($FO$3:$FP$400,MATCH(ROWS($FQ$3:FQ154),$FP$3:$FP$400,0),1),""))</f>
        <v/>
      </c>
    </row>
    <row r="155" spans="1:173" x14ac:dyDescent="0.3">
      <c r="A155" s="48" t="str">
        <f ca="1">IFERROR(IF($A$1=2,INDEX($DH$3:$DN$401,MATCH(ROWS(A$3:A155),$DN$3:$DN$401,0),COLUMN()),IF($A$1=1,INDEX($DQ$3:$DW$401,MATCH(ROWS(A$3:A155),$DW$3:$DW$401,0),COLUMN()),"")),"")</f>
        <v>15.06</v>
      </c>
      <c r="B155" s="48" t="str">
        <f ca="1">IFERROR(IF($A$1=2,INDEX($DH$3:$DN$401,MATCH(ROWS(B$3:B155),$DN$3:$DN$401,0),COLUMN()),IF($A$1=1,INDEX($DQ$3:$DW$400,MATCH(ROWS(B$3:B155),$DW$3:$DW$401,0),COLUMN()),"")),"")</f>
        <v>DEBITI V/ISTITUTI PREVIDENZIALI</v>
      </c>
      <c r="C155" s="48" t="str">
        <f ca="1">IFERROR(IF($A$1=2,INDEX($DH$3:$DN$401,MATCH(ROWS(C$3:C155),$DN$3:$DN$401,0),COLUMN()),IF($A$1=1,INDEX($DQ$3:$DW$401,MATCH(ROWS(C$3:C155),$DW$3:$DW$401,0),COLUMN()),"")),"")</f>
        <v>F</v>
      </c>
      <c r="D155" s="48" t="str">
        <f ca="1">IFERROR(IF($A$1=2,INDEX($DH$3:$DN$401,MATCH(ROWS(D$3:D155),$DN$3:$DN$401,0),COLUMN()),IF($A$1=1,INDEX($DQ$3:$DW$401,MATCH(ROWS(D$3:D155),$DW$3:$DW$401,0),COLUMN()),"")),"")</f>
        <v>A</v>
      </c>
      <c r="E155" s="48" t="str">
        <f ca="1">IFERROR(IF($A$1=2,INDEX($DH$3:$DN$401,MATCH(ROWS(E$3:E155),$DN$3:$DN$401,0),COLUMN()),IF($A$1=1,INDEX($DQ$3:$DW$401,MATCH(ROWS(E$3:E155),$DW$3:$DW$401,0),COLUMN()),"")),"")</f>
        <v>DEBITI</v>
      </c>
      <c r="F155" s="48" t="str">
        <f ca="1">IFERROR(IF($A$1=2,INDEX($DH$3:$DN$401,MATCH(ROWS(F$3:F155),$DN$3:$DN$401,0),COLUMN()),IF($A$1=1,INDEX($DQ$3:$DX$401,MATCH(ROWS(F$3:F155),$DW$3:$DW$401,0),COLUMN()),"")),"")</f>
        <v>SP AVERE</v>
      </c>
      <c r="G155" s="48" t="str">
        <f t="shared" ca="1" si="294"/>
        <v>SP</v>
      </c>
      <c r="H155" s="48" t="str">
        <f ca="1">IFERROR(IF($A$1=2,INDEX($DH$3:$DO$400,MATCH(ROWS(H$3:H155),$DN$3:$DN$400,0),COLUMN()),IF($A$1=1,INDEX($DQ$3:$DX$400,MATCH(ROWS(H$3:H155),$DW$3:$DW$400,0),COLUMN()),"")),"")</f>
        <v>ppd</v>
      </c>
      <c r="I155" s="48" t="str">
        <f t="shared" ca="1" si="295"/>
        <v/>
      </c>
      <c r="J155" s="48" t="str">
        <f t="shared" ca="1" si="296"/>
        <v/>
      </c>
      <c r="K155" s="48">
        <f t="shared" ca="1" si="297"/>
        <v>0</v>
      </c>
      <c r="L155" s="48">
        <f t="shared" ca="1" si="298"/>
        <v>0</v>
      </c>
      <c r="M155" s="48">
        <f ca="1">IFERROR(IF(IF(MID($A155,3,3)=".00",MID(A155,1,2),"")&lt;&gt;"",MAX($M$2:M154)+1,0),"")</f>
        <v>0</v>
      </c>
      <c r="N155" s="48" t="str">
        <f t="shared" ca="1" si="299"/>
        <v/>
      </c>
      <c r="O155" s="48" t="str">
        <f ca="1">IF(IFERROR(INDEX($N$3:$O$300,MATCH(ROWS($O$3:O155),$M$3:$M$300,0),1),"")&lt;&gt;"",CONCATENATE(INDEX($N$3:$O$300,MATCH(ROWS($O$3:O155),$M$3:$M$300,0),1),".00"),"")</f>
        <v/>
      </c>
      <c r="P155" s="48" t="str">
        <f t="shared" ca="1" si="300"/>
        <v/>
      </c>
      <c r="Q155" s="48">
        <f ca="1">IF(M155&gt;=1,0,MAX($Q$2:Q154)+1)</f>
        <v>137</v>
      </c>
      <c r="U155" s="48" t="str">
        <f ca="1">IFERROR(INDEX(PDC,MATCH(ROWS(U$3:U155),$V$3:$V$400,0),2),"")</f>
        <v>BILANCIO DI CHIUSURA</v>
      </c>
      <c r="V155" s="48">
        <f ca="1">IF(AND($T$1="VISUALIZZA TUTTI I CONTI",AA155&lt;&gt;""),MAX($V$2:V154)+1,IF(AND($U$2=2,AI155=$T$1),MAX($V$2:V154)+1,IF(AND($U$2=1,$T$1=AF155),MAX($V$2:V154)+1,0)))</f>
        <v>153</v>
      </c>
      <c r="AA155" s="48" t="str">
        <f t="shared" ca="1" si="301"/>
        <v>18.00</v>
      </c>
      <c r="AB155" s="48" t="str">
        <f ca="1">IFERROR(INDEX($A$3:$G$400,MATCH(ROWS(AB$3:AB155),$Q$3:$Q$400,0),1),"")</f>
        <v>18.02</v>
      </c>
      <c r="AC155" s="48" t="str">
        <f ca="1">IFERROR(INDEX($A$3:$G$400,MATCH(ROWS($AC$3:AC155),$Q$3:$Q$400,0),2),"")</f>
        <v>BILANCIO DI CHIUSURA</v>
      </c>
      <c r="AD155" s="48">
        <f ca="1">IFERROR(INDEX($A$3:$G$400,MATCH(ROWS(AD$3:AD155),$Q$3:$Q$400,0),3),"")</f>
        <v>0</v>
      </c>
      <c r="AE155" s="48" t="str">
        <f ca="1">IFERROR(INDEX($A$3:$G$400,MATCH(ROWS(AE$3:AE155),$Q$3:$Q$400,0),4),"")</f>
        <v>D/A</v>
      </c>
      <c r="AF155" s="48" t="str">
        <f ca="1">IFERROR(INDEX($A$3:$G$400,MATCH(ROWS(AF$3:AF155),$Q$3:$Q$400,0),5),"")</f>
        <v>TRANSITORIO DI CONTROPARTITA</v>
      </c>
      <c r="AG155" s="48">
        <f ca="1">IFERROR(INDEX($A$3:$G$400,MATCH(ROWS(AG$3:AG155),$Q$3:$Q$400,0),6),"")</f>
        <v>0</v>
      </c>
      <c r="AH155" s="48" t="str">
        <f ca="1">IFERROR(INDEX($A$3:$G$400,MATCH(ROWS(AH$3:AH155),$Q$3:$Q$400,0),7),"")</f>
        <v>0</v>
      </c>
      <c r="AI155" s="48" t="str">
        <f t="shared" ca="1" si="302"/>
        <v>CONTI TRANSITORI E DIVERSI</v>
      </c>
      <c r="AJ155" s="48">
        <f ca="1">IFERROR(INDEX($A$3:$H$400,MATCH(ROWS(AJ$3:AJ155),$Q$3:$Q$400,0),8),"")</f>
        <v>0</v>
      </c>
      <c r="AK155" s="48">
        <f t="shared" ca="1" si="277"/>
        <v>0</v>
      </c>
      <c r="AL155" s="48">
        <f t="shared" ca="1" si="335"/>
        <v>0</v>
      </c>
      <c r="AM155" s="48">
        <f t="shared" ca="1" si="252"/>
        <v>0</v>
      </c>
      <c r="AN155" s="48">
        <f t="shared" ca="1" si="253"/>
        <v>0</v>
      </c>
      <c r="AO155" s="48">
        <f t="shared" ca="1" si="254"/>
        <v>0</v>
      </c>
      <c r="AP155" s="48">
        <f t="shared" ca="1" si="254"/>
        <v>0</v>
      </c>
      <c r="AQ155" s="48" t="str">
        <f t="shared" ca="1" si="278"/>
        <v/>
      </c>
      <c r="AR155" s="48">
        <f t="shared" ca="1" si="279"/>
        <v>0</v>
      </c>
      <c r="AS155" s="48">
        <f t="shared" ca="1" si="280"/>
        <v>0</v>
      </c>
      <c r="AT155" s="48">
        <f t="shared" ca="1" si="303"/>
        <v>0</v>
      </c>
      <c r="AU155" s="48">
        <f t="shared" ca="1" si="304"/>
        <v>0</v>
      </c>
      <c r="AV155" s="48">
        <f ca="1">IF(OR(AT155&gt;0,AU155&gt;0),MAX($AV$2:AV154)+1,0)</f>
        <v>0</v>
      </c>
      <c r="AZ155" s="241" t="str">
        <f t="shared" si="240"/>
        <v>55 V.I.</v>
      </c>
      <c r="BA155" s="48">
        <f t="shared" ca="1" si="330"/>
        <v>0</v>
      </c>
      <c r="BB155" s="48">
        <f t="shared" ca="1" si="247"/>
        <v>0</v>
      </c>
      <c r="BC155" s="48" t="str">
        <f t="shared" ca="1" si="248"/>
        <v/>
      </c>
      <c r="BD155" s="48">
        <f t="shared" ca="1" si="249"/>
        <v>0</v>
      </c>
      <c r="BE155" s="48">
        <f t="shared" ca="1" si="250"/>
        <v>0</v>
      </c>
      <c r="BG155" s="48">
        <f ca="1">IF(IF(AND(OR(INDEX(PDC,MATCH($AC155,DEN_PDC,0),6)="SP DARE",INDEX(PDC,MATCH($AC155,DEN_PDC,0),6)="SP DARE/AVERE"),SUMIFS(DARE,DEN_G,$AC155)&gt;=SUMIFS(AVERE,DEN_G,$AC155)),SUMIFS(DARE,DEN_G,$AC155)-SUMIFS(AVERE,DEN_G,$AC155),0)&gt;0,MAX($BG$2:BG154)+1,0)</f>
        <v>0</v>
      </c>
      <c r="BH155" s="48">
        <f ca="1">IF(IF(AND(OR(INDEX(PDC,MATCH($AC155,DEN_PDC,0),6)="SP AVERE",INDEX(PDC,MATCH($AC155,DEN_PDC,0),6)="SP DARE/AVERE"),SUMIFS(AVERE,DEN_G,$AC155)&gt;=SUMIFS(DARE,DEN_G,$AC155)),SUMIFS(AVERE,DEN_G,$AC155)-SUMIFS(DARE,DEN_G,$AC155),0)&gt;0,MAX(BH$2:BH154)+1,0)</f>
        <v>0</v>
      </c>
      <c r="BI155" s="48">
        <f ca="1">IF(IF(AND(OR(INDEX(PDC,MATCH($AC155,DEN_PDC,0),6)="SE DARE",INDEX(PDC,MATCH($AC155,DEN_PDC,0),6)="SE DARE/AVERE"),SUMIFS(DARE,DEN_G,$AC155)&gt;=SUMIFS(AVERE,DEN_G,$AC155)),SUMIFS(DARE,DEN_G,$AC155)-SUMIFS(AVERE,DEN_G,$AC155),0)&gt;0,MAX(BI$2:BI154)+1,0)</f>
        <v>0</v>
      </c>
      <c r="BJ155" s="48">
        <f ca="1">IF(IF(AND(OR(INDEX(PDC,MATCH($AC155,DEN_PDC,0),6)="SE AVERE",INDEX(PDC,MATCH($AC155,DEN_PDC,0),6)="SE DARE/AVERE"),SUMIFS(AVERE,DEN_G,$AC155)&gt;=SUMIFS(DARE,DEN_G,$AC155)),SUMIFS(AVERE,DEN_G,$AC155)-SUMIFS(DARE,DEN_G,$AC155),0)&gt;0,MAX(BJ$2:BJ154)+1,0)</f>
        <v>0</v>
      </c>
      <c r="BK155" s="48" t="str">
        <f ca="1">IF(AND(AND($DY$2=0,$DY$1=0),$I$1=2,ROW()&gt;$BG$1+2,ROW()&lt;=$BG$1+4),"………………..",IF(AND(OR($DY$2&gt;0,$DY$1&gt;0),$I$1=2,ROW()&gt;$BG$1+2,ROW()&lt;=$BG$1+4),"………………..",IFERROR(INDEX($AC$3:$AC$398,MATCH(ROWS(BK$3:BK155),BG$3:BG$398,0),1),"")))</f>
        <v/>
      </c>
      <c r="BL155" s="48">
        <f t="shared" ca="1" si="281"/>
        <v>0</v>
      </c>
      <c r="BM155" s="48" t="str">
        <f ca="1">IF(AND(OR($DY$2=0,$DY$1=0),$I$1=2,ROW()&gt;$BH$1+2,ROW()&lt;=$BH$1+4),"………………..",IF(AND(OR($DY$2&gt;0,$DY$1&gt;0),$I$1=2,ROW()&gt;$BH$1+2,ROW()&lt;=$BH$1+4),"………………..",IFERROR(INDEX($AC$3:$AC$400,MATCH(ROWS(BM$3:BM155),BH$3:BH$400,0),1),"")))</f>
        <v/>
      </c>
      <c r="BN155" s="48">
        <f t="shared" ca="1" si="282"/>
        <v>0</v>
      </c>
      <c r="BO155" s="48" t="str">
        <f ca="1">IF(AND(OR($DY$2=0,$DY$1=0),$I$1=2,ROW()&gt;$BI$1+2,ROW()&lt;=$BI$1+4),"………………..",IF(AND(OR($DY$2&gt;0,$DY$1&gt;0),$I$1=2,ROW()&gt;$BI$1+2,ROW()&lt;=$BI$1+4),"………………..",IFERROR(INDEX($AC$3:$AC$400,MATCH(ROWS(BO$3:BO155),BI$3:BI$400,0),1),"")))</f>
        <v/>
      </c>
      <c r="BP155" s="48">
        <f t="shared" ca="1" si="283"/>
        <v>0</v>
      </c>
      <c r="BQ155" s="48" t="str">
        <f ca="1">IF(AND(OR($DY$2=0,$DY$1=0),$I$1=2,ROW()&gt;$BJ$1+2,ROW()&lt;=$BJ$1+4),"………………..",IF(AND(OR($DY$2&gt;0,$DY$1&gt;0),$I$1=2,ROW()&gt;$BJ$1+2,ROW()&lt;=$BJ$1+4),"………………..",IFERROR(INDEX($AC$3:$AC$400,MATCH(ROWS(BQ$3:BQ155),BJ$3:BJ$400,0),1),"")))</f>
        <v/>
      </c>
      <c r="BR155" s="48">
        <f t="shared" ca="1" si="284"/>
        <v>0</v>
      </c>
      <c r="BS155" s="48">
        <f ca="1">IF(IF(AND(OR(INDEX(PDC,MATCH($AC155,DEN_PDC,0),4)="D",INDEX(PDC,MATCH($AC155,DEN_PDC,0),4)="D/A"),SUMIFS(DARE,DEN_G,$AC155)&gt;=SUMIFS(AVERE,DEN_G,$AC155)),SUMIFS(DARE,DEN_G,$AC155),IF(AND(OR(INDEX(PDC,MATCH($AC155,DEN_PDC,0),4)="A",INDEX(PDC,MATCH($AC155,DEN_PDC,0),4)="D/A"),SUMIFS(AVERE,DEN_G,$AC155)&gt;=SUMIFS(DARE,DEN_G,$AC155)),SUMIFS(AVERE,DEN_G,$AC155),))&gt;0,MAX($BS$2:BS154)+1,0)</f>
        <v>0</v>
      </c>
      <c r="BT155" s="48" t="str">
        <f ca="1">IF($CO$1=0,"",IF(AND($I$1=2,ROW()&gt;$BR$1,ROW()&lt;=$BS$1)," …………….",IF(AND($E$1=1,$BX$1=1,$I$1=2,ROW()=$BQ$1),"TOTALI",IFERROR(INDEX(PDC,MATCH(ROWS(BT$3:BT155),BS$3:BS552,0),2),""))))</f>
        <v/>
      </c>
      <c r="BU155" s="48">
        <f t="shared" ca="1" si="285"/>
        <v>0</v>
      </c>
      <c r="BV155" s="48">
        <f t="shared" ca="1" si="286"/>
        <v>0</v>
      </c>
      <c r="BW155" s="48">
        <f t="shared" ca="1" si="287"/>
        <v>0</v>
      </c>
      <c r="BX155" s="48">
        <f t="shared" ca="1" si="288"/>
        <v>0</v>
      </c>
      <c r="BY155" s="48">
        <f ca="1">IF(OR(BW155&gt;0,BX155&gt;0),MAX($BY$2:BY154)+1,0)</f>
        <v>0</v>
      </c>
      <c r="BZ155" s="48" t="str">
        <f ca="1">IFERROR(INDEX($BT$3:$BY$400,MATCH(ROWS(BZ$3:BZ155),$BY$3:$BY$400,0),1),"")</f>
        <v/>
      </c>
      <c r="CA155" s="48" t="str">
        <f ca="1">IFERROR(INDEX($BT$3:$BY$400,MATCH(ROWS(CA$3:CA155),$BY$3:$BY$400,0),4),"")</f>
        <v/>
      </c>
      <c r="CB155" s="48" t="str">
        <f ca="1">IFERROR(INDEX($BT$3:$BY$400,MATCH(ROWS(CB$3:CB155),$BY$3:$BY$400,0),5),"")</f>
        <v/>
      </c>
      <c r="CC155" s="48" t="str">
        <f t="shared" ca="1" si="289"/>
        <v/>
      </c>
      <c r="CD155" s="48">
        <f ca="1">IF(AND($BF$9=1,CE155&lt;&gt;0),MAX($CD$104:CD154)+1,0)</f>
        <v>0</v>
      </c>
      <c r="CE155" s="48">
        <f ca="1">ROUND(IFERROR(INDEX(BILANCIO!$I$13:$J$59,MATCH(CF155,BILANCIO!$J$13:$J$59,0),1),0),0)</f>
        <v>0</v>
      </c>
      <c r="CF155" s="48" t="s">
        <v>800</v>
      </c>
      <c r="CG155" s="242" t="s">
        <v>571</v>
      </c>
      <c r="CI155" s="48">
        <f t="shared" ca="1" si="331"/>
        <v>0</v>
      </c>
      <c r="CJ155" s="242">
        <f ca="1">SUMIFS(COPIA!$CB$3:$CB$400,COPIA!$CC$3:$CC$400,CF155)-SUMIFS(COPIA!$CA$3:$CA$400,COPIA!$CC$3:$CC$400,CF155)</f>
        <v>0</v>
      </c>
      <c r="CK155" s="48">
        <f ca="1">IF($CG$2=FALSE,0,IF(AND($BF$9=1,CJ155&lt;&gt;0),MAX($CK$21:CK154)+1,0))</f>
        <v>0</v>
      </c>
      <c r="CM155" s="242" t="str">
        <f t="shared" ca="1" si="305"/>
        <v/>
      </c>
      <c r="CN155" s="243">
        <f t="shared" ca="1" si="306"/>
        <v>0</v>
      </c>
      <c r="CO155" s="48" t="str">
        <f t="shared" ca="1" si="307"/>
        <v/>
      </c>
      <c r="CQ155" s="242"/>
      <c r="CR155" s="242"/>
      <c r="CU155" s="48">
        <f ca="1">IF(SUMIFS(AVERE,DEN_G,AC155,AVERE,"&gt;"&amp;0)+SUMIFS(DARE,DEN_G,AC155,DARE,"&gt;"&amp;0)&gt;0,MAX($CU$2:CU154)+1,0)</f>
        <v>0</v>
      </c>
      <c r="CV155" s="48" t="str">
        <f ca="1">IF(IFERROR(INDEX(PDC,MATCH(ROWS($CV$3:CV155),$CU$3:$CU$400,0),2),"")="CONTO DI RISULTATO ECONOMICO","",IFERROR(INDEX(PDC,MATCH(ROWS($CV$3:CV155),$CU$3:$CU$400,0),2),""))</f>
        <v/>
      </c>
      <c r="CW155" s="48">
        <f ca="1">IFERROR(IF(CV155&lt;&gt;"",MAX($CW$2:CW154)+1,0),0)</f>
        <v>0</v>
      </c>
      <c r="CX155" s="48">
        <f t="shared" ca="1" si="344"/>
        <v>12</v>
      </c>
      <c r="CY155" s="48" t="str">
        <f t="shared" ca="1" si="343"/>
        <v>MASTRO</v>
      </c>
      <c r="CZ155" s="48" t="e">
        <f t="shared" ca="1" si="346"/>
        <v>#N/A</v>
      </c>
      <c r="DA155" s="48" t="str">
        <f t="shared" ca="1" si="351"/>
        <v/>
      </c>
      <c r="DB155" s="48" t="str">
        <f t="shared" ca="1" si="347"/>
        <v/>
      </c>
      <c r="DC155" s="48" t="str">
        <f t="shared" ca="1" si="348"/>
        <v/>
      </c>
      <c r="DD155" s="48" t="str">
        <f t="shared" ca="1" si="349"/>
        <v/>
      </c>
      <c r="DE155" s="48" t="str">
        <f t="shared" ca="1" si="350"/>
        <v/>
      </c>
      <c r="DF155" s="48">
        <f ca="1">IF(AND(CX155=$DF$1,CX155&lt;&gt;""),0,IF(AND(DB155&lt;&gt;"",OR(DB154&lt;&gt;"",DB156&lt;&gt;"")),MAX($DF$2:DF154)+1,0))</f>
        <v>0</v>
      </c>
      <c r="DG155" s="48">
        <f t="shared" ref="DG155:DG157" ca="1" si="354">DG6</f>
        <v>0</v>
      </c>
      <c r="DH155" s="249" t="s">
        <v>1022</v>
      </c>
      <c r="DI155" s="48" t="str">
        <f t="shared" ref="DI155:DI156" ca="1" si="355">IFERROR(IF(AND($DL$1=TRUE,DG155&lt;&gt;0),CONCATENATE("SOCIO ",DG155," C/FINANZIAMENTI"),IF(AND($DL$1=FALSE,DG155&lt;&gt;0),CONCATENATE("AZIONISTA ",DG155," C/FINANZIAMENTI"),"")),"")</f>
        <v/>
      </c>
      <c r="DJ155" s="48" t="s">
        <v>312</v>
      </c>
      <c r="DK155" s="48" t="s">
        <v>298</v>
      </c>
      <c r="DL155" s="48" t="s">
        <v>5</v>
      </c>
      <c r="DM155" s="48" t="s">
        <v>299</v>
      </c>
      <c r="DO155" s="48" t="str">
        <f t="shared" ca="1" si="353"/>
        <v>ppd</v>
      </c>
      <c r="DQ155" s="227" t="s">
        <v>408</v>
      </c>
      <c r="DR155" s="48" t="str">
        <f ca="1">IF($DR$1=0,"SOCIO … C/FINANZIAMENTI","")</f>
        <v>SOCIO … C/FINANZIAMENTI</v>
      </c>
      <c r="DS155" s="48" t="s">
        <v>312</v>
      </c>
      <c r="DT155" s="48" t="s">
        <v>298</v>
      </c>
      <c r="DU155" s="48" t="s">
        <v>5</v>
      </c>
      <c r="DV155" s="48" t="s">
        <v>299</v>
      </c>
      <c r="DX155" s="48" t="str">
        <f ca="1">IF($BF$9=1,"ppd3","ppd")</f>
        <v>ppd</v>
      </c>
      <c r="DY155" s="48" t="str">
        <f t="shared" ca="1" si="291"/>
        <v/>
      </c>
      <c r="DZ155" s="48" t="str">
        <f t="shared" ca="1" si="309"/>
        <v/>
      </c>
      <c r="EA155" s="48" t="str">
        <f t="shared" ca="1" si="310"/>
        <v/>
      </c>
      <c r="EB155" s="48">
        <f t="shared" ca="1" si="311"/>
        <v>0</v>
      </c>
      <c r="EC155" s="48">
        <f t="shared" ca="1" si="312"/>
        <v>0</v>
      </c>
      <c r="ED155" s="48" t="str">
        <f t="shared" ca="1" si="313"/>
        <v/>
      </c>
      <c r="EE155" s="48">
        <f t="shared" ca="1" si="314"/>
        <v>0</v>
      </c>
      <c r="EF155" s="48" t="str">
        <f t="shared" ca="1" si="315"/>
        <v/>
      </c>
      <c r="EG155" s="48">
        <f t="shared" ca="1" si="316"/>
        <v>0</v>
      </c>
      <c r="EH155" s="48" t="str">
        <f t="shared" ca="1" si="317"/>
        <v/>
      </c>
      <c r="EI155" s="48">
        <f t="shared" ca="1" si="318"/>
        <v>0</v>
      </c>
      <c r="EJ155" s="48" t="str">
        <f t="shared" ca="1" si="319"/>
        <v/>
      </c>
      <c r="EK155" s="48">
        <f t="shared" ca="1" si="320"/>
        <v>0</v>
      </c>
      <c r="EL155" s="48">
        <f t="shared" ca="1" si="292"/>
        <v>0</v>
      </c>
      <c r="EM155" s="48">
        <f ca="1">IF(EL155&gt;=0,0,MAX($EM$2:EM154)+1)</f>
        <v>0</v>
      </c>
      <c r="EN155" s="48" t="str">
        <f t="shared" ca="1" si="321"/>
        <v/>
      </c>
      <c r="EO155" s="48" t="str">
        <f ca="1">IFERROR(INDEX($EM$3:$EN$400,MATCH(ROWS($EO$3:EO155),$EM$3:$EM$400,0),2),"")</f>
        <v/>
      </c>
      <c r="EP155" s="48">
        <f>ROW()</f>
        <v>155</v>
      </c>
      <c r="EQ155" s="48">
        <f t="shared" ca="1" si="293"/>
        <v>0</v>
      </c>
      <c r="ER155" s="48">
        <f ca="1">IF(ISNA(EQ155)=TRUE,MAX($ER$2:ER154)+1,0)</f>
        <v>0</v>
      </c>
      <c r="ES155" s="48" t="str">
        <f t="shared" ca="1" si="322"/>
        <v/>
      </c>
      <c r="ET155" s="48" t="str">
        <f ca="1">IFERROR(INDEX($ER$3:$ES$400,MATCH(ROWS($ET$3:ET155),$ER$3:$ER$400,0),2),"")</f>
        <v/>
      </c>
      <c r="EV155" s="48">
        <f ca="1">IFERROR(INDEX(LIBRO_GIORNALE!$O$11:$P$408,MATCH(ROWS($EV$2:EV154),LIBRO_GIORNALE!$P$11:$P$408,0),1),0)</f>
        <v>0</v>
      </c>
      <c r="EW155" s="48" t="str">
        <f t="shared" ca="1" si="323"/>
        <v>0</v>
      </c>
      <c r="EX155" s="48">
        <f t="shared" ca="1" si="324"/>
        <v>0</v>
      </c>
      <c r="EY155" s="48">
        <f ca="1">IF(EX155&gt;0,MAX($EY$2:EY154)+1,0)</f>
        <v>0</v>
      </c>
      <c r="EZ155" s="48">
        <f ca="1">IFERROR(INDEX($EX$3:$EX$400,MATCH(ROWS($EZ$3:EZ155),$EY$3:$EY$400,0),1),0)</f>
        <v>0</v>
      </c>
      <c r="FA155" s="48">
        <f ca="1">IF(EZ155&gt;0,0,MAX($FA$2:FA154)+1)</f>
        <v>153</v>
      </c>
      <c r="FB155" s="48">
        <f t="shared" ca="1" si="325"/>
        <v>0</v>
      </c>
      <c r="FC155" s="48">
        <f t="shared" ca="1" si="326"/>
        <v>153</v>
      </c>
      <c r="FD155" s="48">
        <f t="shared" ca="1" si="327"/>
        <v>153</v>
      </c>
      <c r="FE155" s="48">
        <f ca="1">IF(FD155=0,0,MAX($FE$2:FE154)+1)</f>
        <v>153</v>
      </c>
      <c r="FF155" s="48">
        <f ca="1">IFERROR(INDEX($FD$3:$FE$400,MATCH(ROWS($FF$3:FF155),$FE$3:$FE$400,0),1),"")</f>
        <v>153</v>
      </c>
      <c r="FG155" s="48">
        <f t="shared" ca="1" si="255"/>
        <v>0</v>
      </c>
      <c r="FH155" s="48">
        <f t="shared" ca="1" si="328"/>
        <v>0</v>
      </c>
      <c r="FI155" s="48">
        <f ca="1">IF(FH155&lt;&gt;0,MAX($FI$2:FI154)+1,0)</f>
        <v>0</v>
      </c>
      <c r="FJ155" s="48" t="str">
        <f ca="1">IFERROR(INDEX($FH$3:$FI$400,MATCH(ROWS($FJ$3:FJ155),$FI$3:$FI$400,0),1),"")</f>
        <v/>
      </c>
      <c r="FK155" s="48">
        <f ca="1">IF(ABS(SUMIFS(DARE,DEN_G,"="&amp;FJ155,DATA,"&lt;="&amp;FINE_AC,DATA,"&gt;="&amp;INIZIO_A_PC)-SUMIFS(AVERE,DEN_G,"="&amp;FJ155,DATA,"&lt;="&amp;FINE_AC,DATA,"&gt;="&amp;INIZIO_A_PC))&gt;0,MAX($FK$2:FK154)+1,0)</f>
        <v>0</v>
      </c>
      <c r="FL155" s="48" t="str">
        <f ca="1">IF(AND(ROW()-2&lt;&gt;1,ROW()-2&lt;=$FK$1),CONCATENATE(" - ",IFERROR(INDEX($FJ$3:$FK$400,MATCH(ROWS($FL$3:FL155),$FK$3:$FK$400,0),1),"")),IFERROR(INDEX($FJ$3:$FK$400,MATCH(ROWS($FL$3:FL155),$FK$3:$FK$400,0),1),""))</f>
        <v/>
      </c>
      <c r="FM155" s="48">
        <f ca="1">IF(OR(B155="IVA ns/credito",B155="IVA NS/DEBITO",B155="IVA C/ACCONTO",B155="IMPOSTE C/ACCONTO",B155="CREDITI PER RITENUTE SUBITE",B155="CREDITI D'IMPOSTA"),MAX($FM$2:FM154)+1,0)</f>
        <v>0</v>
      </c>
      <c r="FN155" s="48" t="str">
        <f t="shared" ca="1" si="329"/>
        <v/>
      </c>
      <c r="FO155" s="48" t="str">
        <f ca="1">IFERROR(INDEX($FM$3:$FN$400,MATCH(ROWS($FO$3:FO155),$FM$3:$FM$400,0),2),"")</f>
        <v/>
      </c>
      <c r="FP155" s="48">
        <f ca="1">IF(ABS(SUMIFS(DARE,DEN_G,"="&amp;FO155,DATA,"&lt;="&amp;FINE_AC,DATA,"&gt;="&amp;INIZIO_A_PC)-SUMIFS(AVERE,DEN_G,"="&amp;FO155,DATA,"&lt;="&amp;FINE_AC,DATA,"&gt;="&amp;INIZIO_A_PC))&gt;0,MAX($FP$2:FP154)+1,0)</f>
        <v>0</v>
      </c>
      <c r="FQ155" s="48" t="str">
        <f ca="1">IF(AND(ROW()-2&lt;&gt;1,ROW()-2&lt;=$FP$1),CONCATENATE(" - ",IFERROR(INDEX($FO$3:$FP$400,MATCH(ROWS($FQ$3:FQ155),$FP$3:$FP$400,0),1),"")),IFERROR(INDEX($FO$3:$FP$400,MATCH(ROWS($FQ$3:FQ155),$FP$3:$FP$400,0),1),""))</f>
        <v/>
      </c>
    </row>
    <row r="156" spans="1:173" x14ac:dyDescent="0.3">
      <c r="A156" s="48" t="str">
        <f ca="1">IFERROR(IF($A$1=2,INDEX($DH$3:$DN$401,MATCH(ROWS(A$3:A156),$DN$3:$DN$401,0),COLUMN()),IF($A$1=1,INDEX($DQ$3:$DW$401,MATCH(ROWS(A$3:A156),$DW$3:$DW$401,0),COLUMN()),"")),"")</f>
        <v>15.07</v>
      </c>
      <c r="B156" s="48" t="str">
        <f ca="1">IFERROR(IF($A$1=2,INDEX($DH$3:$DN$401,MATCH(ROWS(B$3:B156),$DN$3:$DN$401,0),COLUMN()),IF($A$1=1,INDEX($DQ$3:$DW$400,MATCH(ROWS(B$3:B156),$DW$3:$DW$401,0),COLUMN()),"")),"")</f>
        <v>DEBITI PER CAUZIONI</v>
      </c>
      <c r="C156" s="48" t="str">
        <f ca="1">IFERROR(IF($A$1=2,INDEX($DH$3:$DN$401,MATCH(ROWS(C$3:C156),$DN$3:$DN$401,0),COLUMN()),IF($A$1=1,INDEX($DQ$3:$DW$401,MATCH(ROWS(C$3:C156),$DW$3:$DW$401,0),COLUMN()),"")),"")</f>
        <v>F</v>
      </c>
      <c r="D156" s="48" t="str">
        <f ca="1">IFERROR(IF($A$1=2,INDEX($DH$3:$DN$401,MATCH(ROWS(D$3:D156),$DN$3:$DN$401,0),COLUMN()),IF($A$1=1,INDEX($DQ$3:$DW$401,MATCH(ROWS(D$3:D156),$DW$3:$DW$401,0),COLUMN()),"")),"")</f>
        <v>A</v>
      </c>
      <c r="E156" s="48" t="str">
        <f ca="1">IFERROR(IF($A$1=2,INDEX($DH$3:$DN$401,MATCH(ROWS(E$3:E156),$DN$3:$DN$401,0),COLUMN()),IF($A$1=1,INDEX($DQ$3:$DW$401,MATCH(ROWS(E$3:E156),$DW$3:$DW$401,0),COLUMN()),"")),"")</f>
        <v>DEBITI</v>
      </c>
      <c r="F156" s="48" t="str">
        <f ca="1">IFERROR(IF($A$1=2,INDEX($DH$3:$DN$401,MATCH(ROWS(F$3:F156),$DN$3:$DN$401,0),COLUMN()),IF($A$1=1,INDEX($DQ$3:$DX$401,MATCH(ROWS(F$3:F156),$DW$3:$DW$401,0),COLUMN()),"")),"")</f>
        <v>SP AVERE</v>
      </c>
      <c r="G156" s="48" t="str">
        <f t="shared" ca="1" si="294"/>
        <v>SP</v>
      </c>
      <c r="H156" s="48" t="str">
        <f ca="1">IFERROR(IF($A$1=2,INDEX($DH$3:$DO$400,MATCH(ROWS(H$3:H156),$DN$3:$DN$400,0),COLUMN()),IF($A$1=1,INDEX($DQ$3:$DX$400,MATCH(ROWS(H$3:H156),$DW$3:$DW$400,0),COLUMN()),"")),"")</f>
        <v>ppd</v>
      </c>
      <c r="I156" s="48" t="str">
        <f t="shared" ca="1" si="295"/>
        <v/>
      </c>
      <c r="J156" s="48" t="str">
        <f t="shared" ca="1" si="296"/>
        <v/>
      </c>
      <c r="K156" s="48">
        <f t="shared" ca="1" si="297"/>
        <v>0</v>
      </c>
      <c r="L156" s="48">
        <f t="shared" ca="1" si="298"/>
        <v>0</v>
      </c>
      <c r="M156" s="48">
        <f ca="1">IFERROR(IF(IF(MID($A156,3,3)=".00",MID(A156,1,2),"")&lt;&gt;"",MAX($M$2:M155)+1,0),"")</f>
        <v>0</v>
      </c>
      <c r="N156" s="48" t="str">
        <f t="shared" ca="1" si="299"/>
        <v/>
      </c>
      <c r="O156" s="48" t="str">
        <f ca="1">IF(IFERROR(INDEX($N$3:$O$300,MATCH(ROWS($O$3:O156),$M$3:$M$300,0),1),"")&lt;&gt;"",CONCATENATE(INDEX($N$3:$O$300,MATCH(ROWS($O$3:O156),$M$3:$M$300,0),1),".00"),"")</f>
        <v/>
      </c>
      <c r="P156" s="48" t="str">
        <f t="shared" ca="1" si="300"/>
        <v/>
      </c>
      <c r="Q156" s="48">
        <f ca="1">IF(M156&gt;=1,0,MAX($Q$2:Q155)+1)</f>
        <v>138</v>
      </c>
      <c r="U156" s="48" t="str">
        <f ca="1">IFERROR(INDEX(PDC,MATCH(ROWS(U$3:U156),$V$3:$V$400,0),2),"")</f>
        <v>IVA C/LIQUIDAZIONE</v>
      </c>
      <c r="V156" s="48">
        <f ca="1">IF(AND($T$1="VISUALIZZA TUTTI I CONTI",AA156&lt;&gt;""),MAX($V$2:V155)+1,IF(AND($U$2=2,AI156=$T$1),MAX($V$2:V155)+1,IF(AND($U$2=1,$T$1=AF156),MAX($V$2:V155)+1,0)))</f>
        <v>154</v>
      </c>
      <c r="AA156" s="48" t="str">
        <f t="shared" ca="1" si="301"/>
        <v>18.00</v>
      </c>
      <c r="AB156" s="48" t="str">
        <f ca="1">IFERROR(INDEX($A$3:$G$400,MATCH(ROWS(AB$3:AB156),$Q$3:$Q$400,0),1),"")</f>
        <v>18.10</v>
      </c>
      <c r="AC156" s="48" t="str">
        <f ca="1">IFERROR(INDEX($A$3:$G$400,MATCH(ROWS($AC$3:AC156),$Q$3:$Q$400,0),2),"")</f>
        <v>IVA C/LIQUIDAZIONE</v>
      </c>
      <c r="AD156" s="48" t="str">
        <f ca="1">IFERROR(INDEX($A$3:$G$400,MATCH(ROWS(AD$3:AD156),$Q$3:$Q$400,0),3),"")</f>
        <v>F</v>
      </c>
      <c r="AE156" s="48" t="str">
        <f ca="1">IFERROR(INDEX($A$3:$G$400,MATCH(ROWS(AE$3:AE156),$Q$3:$Q$400,0),4),"")</f>
        <v>D/A</v>
      </c>
      <c r="AF156" s="48" t="str">
        <f ca="1">IFERROR(INDEX($A$3:$G$400,MATCH(ROWS(AF$3:AF156),$Q$3:$Q$400,0),5),"")</f>
        <v>CONTI CON ALTERNANZA DI SALDO</v>
      </c>
      <c r="AG156" s="48" t="str">
        <f ca="1">IFERROR(INDEX($A$3:$G$400,MATCH(ROWS(AG$3:AG156),$Q$3:$Q$400,0),6),"")</f>
        <v>SP DARE/AVERE</v>
      </c>
      <c r="AH156" s="48" t="str">
        <f ca="1">IFERROR(INDEX($A$3:$G$400,MATCH(ROWS(AH$3:AH156),$Q$3:$Q$400,0),7),"")</f>
        <v>SP</v>
      </c>
      <c r="AI156" s="48" t="str">
        <f t="shared" ca="1" si="302"/>
        <v>CONTI TRANSITORI E DIVERSI</v>
      </c>
      <c r="AJ156" s="48" t="str">
        <f ca="1">IFERROR(INDEX($A$3:$H$400,MATCH(ROWS(AJ$3:AJ156),$Q$3:$Q$400,0),8),"")</f>
        <v>ppd</v>
      </c>
      <c r="AK156" s="48">
        <f t="shared" ca="1" si="277"/>
        <v>0</v>
      </c>
      <c r="AL156" s="48">
        <f t="shared" ca="1" si="335"/>
        <v>0</v>
      </c>
      <c r="AM156" s="48">
        <f t="shared" ca="1" si="252"/>
        <v>0</v>
      </c>
      <c r="AN156" s="48">
        <f t="shared" ca="1" si="253"/>
        <v>0</v>
      </c>
      <c r="AO156" s="48">
        <f t="shared" ca="1" si="254"/>
        <v>0</v>
      </c>
      <c r="AP156" s="48">
        <f t="shared" ca="1" si="254"/>
        <v>0</v>
      </c>
      <c r="AQ156" s="48" t="str">
        <f t="shared" ca="1" si="278"/>
        <v>IVA C/LIQUIDAZIONE</v>
      </c>
      <c r="AR156" s="48">
        <f t="shared" ca="1" si="279"/>
        <v>0</v>
      </c>
      <c r="AS156" s="48">
        <f t="shared" ca="1" si="280"/>
        <v>0</v>
      </c>
      <c r="AT156" s="48">
        <f t="shared" ca="1" si="303"/>
        <v>0</v>
      </c>
      <c r="AU156" s="48">
        <f t="shared" ca="1" si="304"/>
        <v>0</v>
      </c>
      <c r="AV156" s="48">
        <f ca="1">IF(OR(AT156&gt;0,AU156&gt;0),MAX($AV$2:AV155)+1,0)</f>
        <v>0</v>
      </c>
      <c r="AZ156" s="241" t="str">
        <f t="shared" si="240"/>
        <v>56 V.I.</v>
      </c>
      <c r="BA156" s="48">
        <f t="shared" ca="1" si="330"/>
        <v>0</v>
      </c>
      <c r="BB156" s="48">
        <f t="shared" ca="1" si="247"/>
        <v>0</v>
      </c>
      <c r="BC156" s="48" t="str">
        <f t="shared" ca="1" si="248"/>
        <v/>
      </c>
      <c r="BD156" s="48">
        <f t="shared" ca="1" si="249"/>
        <v>0</v>
      </c>
      <c r="BE156" s="48">
        <f t="shared" ca="1" si="250"/>
        <v>0</v>
      </c>
      <c r="BG156" s="48">
        <f ca="1">IF(IF(AND(OR(INDEX(PDC,MATCH($AC156,DEN_PDC,0),6)="SP DARE",INDEX(PDC,MATCH($AC156,DEN_PDC,0),6)="SP DARE/AVERE"),SUMIFS(DARE,DEN_G,$AC156)&gt;=SUMIFS(AVERE,DEN_G,$AC156)),SUMIFS(DARE,DEN_G,$AC156)-SUMIFS(AVERE,DEN_G,$AC156),0)&gt;0,MAX($BG$2:BG155)+1,0)</f>
        <v>0</v>
      </c>
      <c r="BH156" s="48">
        <f ca="1">IF(IF(AND(OR(INDEX(PDC,MATCH($AC156,DEN_PDC,0),6)="SP AVERE",INDEX(PDC,MATCH($AC156,DEN_PDC,0),6)="SP DARE/AVERE"),SUMIFS(AVERE,DEN_G,$AC156)&gt;=SUMIFS(DARE,DEN_G,$AC156)),SUMIFS(AVERE,DEN_G,$AC156)-SUMIFS(DARE,DEN_G,$AC156),0)&gt;0,MAX(BH$2:BH155)+1,0)</f>
        <v>0</v>
      </c>
      <c r="BI156" s="48">
        <f ca="1">IF(IF(AND(OR(INDEX(PDC,MATCH($AC156,DEN_PDC,0),6)="SE DARE",INDEX(PDC,MATCH($AC156,DEN_PDC,0),6)="SE DARE/AVERE"),SUMIFS(DARE,DEN_G,$AC156)&gt;=SUMIFS(AVERE,DEN_G,$AC156)),SUMIFS(DARE,DEN_G,$AC156)-SUMIFS(AVERE,DEN_G,$AC156),0)&gt;0,MAX(BI$2:BI155)+1,0)</f>
        <v>0</v>
      </c>
      <c r="BJ156" s="48">
        <f ca="1">IF(IF(AND(OR(INDEX(PDC,MATCH($AC156,DEN_PDC,0),6)="SE AVERE",INDEX(PDC,MATCH($AC156,DEN_PDC,0),6)="SE DARE/AVERE"),SUMIFS(AVERE,DEN_G,$AC156)&gt;=SUMIFS(DARE,DEN_G,$AC156)),SUMIFS(AVERE,DEN_G,$AC156)-SUMIFS(DARE,DEN_G,$AC156),0)&gt;0,MAX(BJ$2:BJ155)+1,0)</f>
        <v>0</v>
      </c>
      <c r="BK156" s="48" t="str">
        <f ca="1">IF(AND(AND($DY$2=0,$DY$1=0),$I$1=2,ROW()&gt;$BG$1+2,ROW()&lt;=$BG$1+4),"………………..",IF(AND(OR($DY$2&gt;0,$DY$1&gt;0),$I$1=2,ROW()&gt;$BG$1+2,ROW()&lt;=$BG$1+4),"………………..",IFERROR(INDEX($AC$3:$AC$398,MATCH(ROWS(BK$3:BK156),BG$3:BG$398,0),1),"")))</f>
        <v/>
      </c>
      <c r="BL156" s="48">
        <f t="shared" ca="1" si="281"/>
        <v>0</v>
      </c>
      <c r="BM156" s="48" t="str">
        <f ca="1">IF(AND(OR($DY$2=0,$DY$1=0),$I$1=2,ROW()&gt;$BH$1+2,ROW()&lt;=$BH$1+4),"………………..",IF(AND(OR($DY$2&gt;0,$DY$1&gt;0),$I$1=2,ROW()&gt;$BH$1+2,ROW()&lt;=$BH$1+4),"………………..",IFERROR(INDEX($AC$3:$AC$400,MATCH(ROWS(BM$3:BM156),BH$3:BH$400,0),1),"")))</f>
        <v/>
      </c>
      <c r="BN156" s="48">
        <f t="shared" ca="1" si="282"/>
        <v>0</v>
      </c>
      <c r="BO156" s="48" t="str">
        <f ca="1">IF(AND(OR($DY$2=0,$DY$1=0),$I$1=2,ROW()&gt;$BI$1+2,ROW()&lt;=$BI$1+4),"………………..",IF(AND(OR($DY$2&gt;0,$DY$1&gt;0),$I$1=2,ROW()&gt;$BI$1+2,ROW()&lt;=$BI$1+4),"………………..",IFERROR(INDEX($AC$3:$AC$400,MATCH(ROWS(BO$3:BO156),BI$3:BI$400,0),1),"")))</f>
        <v/>
      </c>
      <c r="BP156" s="48">
        <f t="shared" ca="1" si="283"/>
        <v>0</v>
      </c>
      <c r="BQ156" s="48" t="str">
        <f ca="1">IF(AND(OR($DY$2=0,$DY$1=0),$I$1=2,ROW()&gt;$BJ$1+2,ROW()&lt;=$BJ$1+4),"………………..",IF(AND(OR($DY$2&gt;0,$DY$1&gt;0),$I$1=2,ROW()&gt;$BJ$1+2,ROW()&lt;=$BJ$1+4),"………………..",IFERROR(INDEX($AC$3:$AC$400,MATCH(ROWS(BQ$3:BQ156),BJ$3:BJ$400,0),1),"")))</f>
        <v/>
      </c>
      <c r="BR156" s="48">
        <f t="shared" ca="1" si="284"/>
        <v>0</v>
      </c>
      <c r="BS156" s="48">
        <f ca="1">IF(IF(AND(OR(INDEX(PDC,MATCH($AC156,DEN_PDC,0),4)="D",INDEX(PDC,MATCH($AC156,DEN_PDC,0),4)="D/A"),SUMIFS(DARE,DEN_G,$AC156)&gt;=SUMIFS(AVERE,DEN_G,$AC156)),SUMIFS(DARE,DEN_G,$AC156),IF(AND(OR(INDEX(PDC,MATCH($AC156,DEN_PDC,0),4)="A",INDEX(PDC,MATCH($AC156,DEN_PDC,0),4)="D/A"),SUMIFS(AVERE,DEN_G,$AC156)&gt;=SUMIFS(DARE,DEN_G,$AC156)),SUMIFS(AVERE,DEN_G,$AC156),))&gt;0,MAX($BS$2:BS155)+1,0)</f>
        <v>0</v>
      </c>
      <c r="BT156" s="48" t="str">
        <f ca="1">IF($CO$1=0,"",IF(AND($I$1=2,ROW()&gt;$BR$1,ROW()&lt;=$BS$1)," …………….",IF(AND($E$1=1,$BX$1=1,$I$1=2,ROW()=$BQ$1),"TOTALI",IFERROR(INDEX(PDC,MATCH(ROWS(BT$3:BT156),BS$3:BS553,0),2),""))))</f>
        <v/>
      </c>
      <c r="BU156" s="48">
        <f t="shared" ca="1" si="285"/>
        <v>0</v>
      </c>
      <c r="BV156" s="48">
        <f t="shared" ca="1" si="286"/>
        <v>0</v>
      </c>
      <c r="BW156" s="48">
        <f t="shared" ca="1" si="287"/>
        <v>0</v>
      </c>
      <c r="BX156" s="48">
        <f t="shared" ca="1" si="288"/>
        <v>0</v>
      </c>
      <c r="BY156" s="48">
        <f ca="1">IF(OR(BW156&gt;0,BX156&gt;0),MAX($BY$2:BY155)+1,0)</f>
        <v>0</v>
      </c>
      <c r="BZ156" s="48" t="str">
        <f ca="1">IFERROR(INDEX($BT$3:$BY$400,MATCH(ROWS(BZ$3:BZ156),$BY$3:$BY$400,0),1),"")</f>
        <v/>
      </c>
      <c r="CA156" s="48" t="str">
        <f ca="1">IFERROR(INDEX($BT$3:$BY$400,MATCH(ROWS(CA$3:CA156),$BY$3:$BY$400,0),4),"")</f>
        <v/>
      </c>
      <c r="CB156" s="48" t="str">
        <f ca="1">IFERROR(INDEX($BT$3:$BY$400,MATCH(ROWS(CB$3:CB156),$BY$3:$BY$400,0),5),"")</f>
        <v/>
      </c>
      <c r="CC156" s="48" t="str">
        <f t="shared" ca="1" si="289"/>
        <v/>
      </c>
      <c r="CD156" s="48">
        <f ca="1">IF(AND($BF$9=1,CE156&lt;&gt;0),MAX($CD$104:CD155)+1,0)</f>
        <v>0</v>
      </c>
      <c r="CE156" s="48">
        <f ca="1">IF(ROUND(SUMIFS(COPIA!$CB$3:$CB$400,COPIA!$CC$3:$CC$400,CF156)-SUMIFS(COPIA!$CA$3:$CA$400,COPIA!$CC$3:$CC$400,CF156),0)&lt;0,0,ROUND(SUMIFS(COPIA!$CB$3:$CB$400,COPIA!$CC$3:$CC$400,CF156)-SUMIFS(COPIA!$CA$3:$CA$400,COPIA!$CC$3:$CC$400,CF156),0))</f>
        <v>0</v>
      </c>
      <c r="CF156" s="48" t="s">
        <v>665</v>
      </c>
      <c r="CG156" s="242" t="s">
        <v>560</v>
      </c>
      <c r="CH156" s="48">
        <f t="shared" ca="1" si="259"/>
        <v>0</v>
      </c>
      <c r="CJ156" s="242">
        <f ca="1">SUMIFS(COPIA!$CB$3:$CB$400,COPIA!$CC$3:$CC$400,CF156)-SUMIFS(COPIA!$CA$3:$CA$400,COPIA!$CC$3:$CC$400,CF156)</f>
        <v>0</v>
      </c>
      <c r="CK156" s="48">
        <f ca="1">IF($CG$2=FALSE,0,IF(AND($BF$9=1,CJ156&lt;&gt;0),MAX($CK$21:CK155)+1,0))</f>
        <v>0</v>
      </c>
      <c r="CL156" s="48" t="s">
        <v>801</v>
      </c>
      <c r="CM156" s="242" t="str">
        <f t="shared" ca="1" si="305"/>
        <v/>
      </c>
      <c r="CN156" s="243">
        <f t="shared" ca="1" si="306"/>
        <v>0</v>
      </c>
      <c r="CO156" s="48" t="str">
        <f t="shared" ca="1" si="307"/>
        <v/>
      </c>
      <c r="CQ156" s="242"/>
      <c r="CR156" s="242"/>
      <c r="CU156" s="48">
        <f ca="1">IF(SUMIFS(AVERE,DEN_G,AC156,AVERE,"&gt;"&amp;0)+SUMIFS(DARE,DEN_G,AC156,DARE,"&gt;"&amp;0)&gt;0,MAX($CU$2:CU155)+1,0)</f>
        <v>0</v>
      </c>
      <c r="CV156" s="48" t="str">
        <f ca="1">IF(IFERROR(INDEX(PDC,MATCH(ROWS($CV$3:CV156),$CU$3:$CU$400,0),2),"")="CONTO DI RISULTATO ECONOMICO","",IFERROR(INDEX(PDC,MATCH(ROWS($CV$3:CV156),$CU$3:$CU$400,0),2),""))</f>
        <v/>
      </c>
      <c r="CW156" s="48">
        <f ca="1">IFERROR(IF(CV156&lt;&gt;"",MAX($CW$2:CW155)+1,0),0)</f>
        <v>0</v>
      </c>
      <c r="CX156" s="48">
        <f t="shared" ca="1" si="344"/>
        <v>12</v>
      </c>
      <c r="CY156" s="48" t="str">
        <f t="shared" ca="1" si="343"/>
        <v>MASTRO</v>
      </c>
      <c r="CZ156" s="48" t="e">
        <f t="shared" ca="1" si="346"/>
        <v>#N/A</v>
      </c>
      <c r="DA156" s="48" t="str">
        <f t="shared" ca="1" si="351"/>
        <v/>
      </c>
      <c r="DB156" s="48" t="str">
        <f t="shared" ca="1" si="347"/>
        <v/>
      </c>
      <c r="DC156" s="48" t="str">
        <f t="shared" ca="1" si="348"/>
        <v/>
      </c>
      <c r="DD156" s="48" t="str">
        <f t="shared" ca="1" si="349"/>
        <v/>
      </c>
      <c r="DE156" s="48" t="str">
        <f t="shared" ca="1" si="350"/>
        <v/>
      </c>
      <c r="DF156" s="48">
        <f ca="1">IF(AND(CX156=$DF$1,CX156&lt;&gt;""),0,IF(AND(DB156&lt;&gt;"",OR(DB155&lt;&gt;"",DB157&lt;&gt;"")),MAX($DF$2:DF155)+1,0))</f>
        <v>0</v>
      </c>
      <c r="DG156" s="48">
        <f t="shared" ca="1" si="354"/>
        <v>0</v>
      </c>
      <c r="DH156" s="249" t="s">
        <v>1022</v>
      </c>
      <c r="DI156" s="48" t="str">
        <f t="shared" ca="1" si="355"/>
        <v/>
      </c>
      <c r="DJ156" s="48" t="s">
        <v>312</v>
      </c>
      <c r="DK156" s="48" t="s">
        <v>298</v>
      </c>
      <c r="DL156" s="48" t="s">
        <v>5</v>
      </c>
      <c r="DM156" s="48" t="s">
        <v>299</v>
      </c>
      <c r="DO156" s="48" t="str">
        <f t="shared" ca="1" si="353"/>
        <v>ppd</v>
      </c>
      <c r="DP156" s="48">
        <f ca="1">DP5</f>
        <v>0</v>
      </c>
      <c r="DQ156" s="227" t="s">
        <v>408</v>
      </c>
      <c r="DR156" s="48" t="str">
        <f ca="1">IFERROR(IF(DP156&lt;&gt;0,CONCATENATE("SOCIO ",DP156," C/FINANZIAMENTI"),""),"")</f>
        <v/>
      </c>
      <c r="DS156" s="48" t="s">
        <v>312</v>
      </c>
      <c r="DT156" s="48" t="s">
        <v>298</v>
      </c>
      <c r="DU156" s="48" t="s">
        <v>5</v>
      </c>
      <c r="DV156" s="48" t="s">
        <v>299</v>
      </c>
      <c r="DX156" s="48" t="str">
        <f t="shared" ref="DX156:DX159" ca="1" si="356">IF($BF$9=1,"ppd3","ppd")</f>
        <v>ppd</v>
      </c>
      <c r="DY156" s="48" t="str">
        <f t="shared" ca="1" si="291"/>
        <v/>
      </c>
      <c r="DZ156" s="48" t="str">
        <f t="shared" ca="1" si="309"/>
        <v/>
      </c>
      <c r="EA156" s="48" t="str">
        <f t="shared" ca="1" si="310"/>
        <v/>
      </c>
      <c r="EB156" s="48">
        <f t="shared" ca="1" si="311"/>
        <v>0</v>
      </c>
      <c r="EC156" s="48">
        <f t="shared" ca="1" si="312"/>
        <v>0</v>
      </c>
      <c r="ED156" s="48" t="str">
        <f t="shared" ca="1" si="313"/>
        <v/>
      </c>
      <c r="EE156" s="48">
        <f t="shared" ca="1" si="314"/>
        <v>0</v>
      </c>
      <c r="EF156" s="48" t="str">
        <f t="shared" ca="1" si="315"/>
        <v/>
      </c>
      <c r="EG156" s="48">
        <f t="shared" ca="1" si="316"/>
        <v>0</v>
      </c>
      <c r="EH156" s="48" t="str">
        <f t="shared" ca="1" si="317"/>
        <v/>
      </c>
      <c r="EI156" s="48">
        <f t="shared" ca="1" si="318"/>
        <v>0</v>
      </c>
      <c r="EJ156" s="48" t="str">
        <f t="shared" ca="1" si="319"/>
        <v/>
      </c>
      <c r="EK156" s="48">
        <f t="shared" ca="1" si="320"/>
        <v>0</v>
      </c>
      <c r="EL156" s="48">
        <f t="shared" ca="1" si="292"/>
        <v>0</v>
      </c>
      <c r="EM156" s="48">
        <f ca="1">IF(EL156&gt;=0,0,MAX($EM$2:EM155)+1)</f>
        <v>0</v>
      </c>
      <c r="EN156" s="48" t="str">
        <f t="shared" ca="1" si="321"/>
        <v/>
      </c>
      <c r="EO156" s="48" t="str">
        <f ca="1">IFERROR(INDEX($EM$3:$EN$400,MATCH(ROWS($EO$3:EO156),$EM$3:$EM$400,0),2),"")</f>
        <v/>
      </c>
      <c r="EP156" s="48">
        <f>ROW()</f>
        <v>156</v>
      </c>
      <c r="EQ156" s="48">
        <f t="shared" ca="1" si="293"/>
        <v>0</v>
      </c>
      <c r="ER156" s="48">
        <f ca="1">IF(ISNA(EQ156)=TRUE,MAX($ER$2:ER155)+1,0)</f>
        <v>0</v>
      </c>
      <c r="ES156" s="48" t="str">
        <f t="shared" ca="1" si="322"/>
        <v/>
      </c>
      <c r="ET156" s="48" t="str">
        <f ca="1">IFERROR(INDEX($ER$3:$ES$400,MATCH(ROWS($ET$3:ET156),$ER$3:$ER$400,0),2),"")</f>
        <v/>
      </c>
      <c r="EV156" s="48">
        <f ca="1">IFERROR(INDEX(LIBRO_GIORNALE!$O$11:$P$408,MATCH(ROWS($EV$2:EV155),LIBRO_GIORNALE!$P$11:$P$408,0),1),0)</f>
        <v>0</v>
      </c>
      <c r="EW156" s="48" t="str">
        <f t="shared" ca="1" si="323"/>
        <v>0</v>
      </c>
      <c r="EX156" s="48">
        <f t="shared" ca="1" si="324"/>
        <v>0</v>
      </c>
      <c r="EY156" s="48">
        <f ca="1">IF(EX156&gt;0,MAX($EY$2:EY155)+1,0)</f>
        <v>0</v>
      </c>
      <c r="EZ156" s="48">
        <f ca="1">IFERROR(INDEX($EX$3:$EX$400,MATCH(ROWS($EZ$3:EZ156),$EY$3:$EY$400,0),1),0)</f>
        <v>0</v>
      </c>
      <c r="FA156" s="48">
        <f ca="1">IF(EZ156&gt;0,0,MAX($FA$2:FA155)+1)</f>
        <v>154</v>
      </c>
      <c r="FB156" s="48">
        <f t="shared" ca="1" si="325"/>
        <v>0</v>
      </c>
      <c r="FC156" s="48">
        <f t="shared" ca="1" si="326"/>
        <v>154</v>
      </c>
      <c r="FD156" s="48">
        <f t="shared" ca="1" si="327"/>
        <v>154</v>
      </c>
      <c r="FE156" s="48">
        <f ca="1">IF(FD156=0,0,MAX($FE$2:FE155)+1)</f>
        <v>154</v>
      </c>
      <c r="FF156" s="48">
        <f ca="1">IFERROR(INDEX($FD$3:$FE$400,MATCH(ROWS($FF$3:FF156),$FE$3:$FE$400,0),1),"")</f>
        <v>154</v>
      </c>
      <c r="FG156" s="48">
        <f t="shared" ca="1" si="255"/>
        <v>0</v>
      </c>
      <c r="FH156" s="48">
        <f t="shared" ca="1" si="328"/>
        <v>0</v>
      </c>
      <c r="FI156" s="48">
        <f ca="1">IF(FH156&lt;&gt;0,MAX($FI$2:FI155)+1,0)</f>
        <v>0</v>
      </c>
      <c r="FJ156" s="48" t="str">
        <f ca="1">IFERROR(INDEX($FH$3:$FI$400,MATCH(ROWS($FJ$3:FJ156),$FI$3:$FI$400,0),1),"")</f>
        <v/>
      </c>
      <c r="FK156" s="48">
        <f ca="1">IF(ABS(SUMIFS(DARE,DEN_G,"="&amp;FJ156,DATA,"&lt;="&amp;FINE_AC,DATA,"&gt;="&amp;INIZIO_A_PC)-SUMIFS(AVERE,DEN_G,"="&amp;FJ156,DATA,"&lt;="&amp;FINE_AC,DATA,"&gt;="&amp;INIZIO_A_PC))&gt;0,MAX($FK$2:FK155)+1,0)</f>
        <v>0</v>
      </c>
      <c r="FL156" s="48" t="str">
        <f ca="1">IF(AND(ROW()-2&lt;&gt;1,ROW()-2&lt;=$FK$1),CONCATENATE(" - ",IFERROR(INDEX($FJ$3:$FK$400,MATCH(ROWS($FL$3:FL156),$FK$3:$FK$400,0),1),"")),IFERROR(INDEX($FJ$3:$FK$400,MATCH(ROWS($FL$3:FL156),$FK$3:$FK$400,0),1),""))</f>
        <v/>
      </c>
      <c r="FM156" s="48">
        <f ca="1">IF(OR(B156="IVA ns/credito",B156="IVA NS/DEBITO",B156="IVA C/ACCONTO",B156="IMPOSTE C/ACCONTO",B156="CREDITI PER RITENUTE SUBITE",B156="CREDITI D'IMPOSTA"),MAX($FM$2:FM155)+1,0)</f>
        <v>0</v>
      </c>
      <c r="FN156" s="48" t="str">
        <f t="shared" ca="1" si="329"/>
        <v/>
      </c>
      <c r="FO156" s="48" t="str">
        <f ca="1">IFERROR(INDEX($FM$3:$FN$400,MATCH(ROWS($FO$3:FO156),$FM$3:$FM$400,0),2),"")</f>
        <v/>
      </c>
      <c r="FP156" s="48">
        <f ca="1">IF(ABS(SUMIFS(DARE,DEN_G,"="&amp;FO156,DATA,"&lt;="&amp;FINE_AC,DATA,"&gt;="&amp;INIZIO_A_PC)-SUMIFS(AVERE,DEN_G,"="&amp;FO156,DATA,"&lt;="&amp;FINE_AC,DATA,"&gt;="&amp;INIZIO_A_PC))&gt;0,MAX($FP$2:FP155)+1,0)</f>
        <v>0</v>
      </c>
      <c r="FQ156" s="48" t="str">
        <f ca="1">IF(AND(ROW()-2&lt;&gt;1,ROW()-2&lt;=$FP$1),CONCATENATE(" - ",IFERROR(INDEX($FO$3:$FP$400,MATCH(ROWS($FQ$3:FQ156),$FP$3:$FP$400,0),1),"")),IFERROR(INDEX($FO$3:$FP$400,MATCH(ROWS($FQ$3:FQ156),$FP$3:$FP$400,0),1),""))</f>
        <v/>
      </c>
    </row>
    <row r="157" spans="1:173" x14ac:dyDescent="0.3">
      <c r="A157" s="48" t="str">
        <f ca="1">IFERROR(IF($A$1=2,INDEX($DH$3:$DN$401,MATCH(ROWS(A$3:A157),$DN$3:$DN$401,0),COLUMN()),IF($A$1=1,INDEX($DQ$3:$DW$401,MATCH(ROWS(A$3:A157),$DW$3:$DW$401,0),COLUMN()),"")),"")</f>
        <v>15.20</v>
      </c>
      <c r="B157" s="48" t="str">
        <f ca="1">IFERROR(IF($A$1=2,INDEX($DH$3:$DN$401,MATCH(ROWS(B$3:B157),$DN$3:$DN$401,0),COLUMN()),IF($A$1=1,INDEX($DQ$3:$DW$400,MATCH(ROWS(B$3:B157),$DW$3:$DW$401,0),COLUMN()),"")),"")</f>
        <v>PERSONALE C/RETRIBUZIONI</v>
      </c>
      <c r="C157" s="48" t="str">
        <f ca="1">IFERROR(IF($A$1=2,INDEX($DH$3:$DN$401,MATCH(ROWS(C$3:C157),$DN$3:$DN$401,0),COLUMN()),IF($A$1=1,INDEX($DQ$3:$DW$401,MATCH(ROWS(C$3:C157),$DW$3:$DW$401,0),COLUMN()),"")),"")</f>
        <v>F</v>
      </c>
      <c r="D157" s="48" t="str">
        <f ca="1">IFERROR(IF($A$1=2,INDEX($DH$3:$DN$401,MATCH(ROWS(D$3:D157),$DN$3:$DN$401,0),COLUMN()),IF($A$1=1,INDEX($DQ$3:$DW$401,MATCH(ROWS(D$3:D157),$DW$3:$DW$401,0),COLUMN()),"")),"")</f>
        <v>A</v>
      </c>
      <c r="E157" s="48" t="str">
        <f ca="1">IFERROR(IF($A$1=2,INDEX($DH$3:$DN$401,MATCH(ROWS(E$3:E157),$DN$3:$DN$401,0),COLUMN()),IF($A$1=1,INDEX($DQ$3:$DW$401,MATCH(ROWS(E$3:E157),$DW$3:$DW$401,0),COLUMN()),"")),"")</f>
        <v>DEBITI</v>
      </c>
      <c r="F157" s="48" t="str">
        <f ca="1">IFERROR(IF($A$1=2,INDEX($DH$3:$DN$401,MATCH(ROWS(F$3:F157),$DN$3:$DN$401,0),COLUMN()),IF($A$1=1,INDEX($DQ$3:$DX$401,MATCH(ROWS(F$3:F157),$DW$3:$DW$401,0),COLUMN()),"")),"")</f>
        <v>SP AVERE</v>
      </c>
      <c r="G157" s="48" t="str">
        <f t="shared" ca="1" si="294"/>
        <v>SP</v>
      </c>
      <c r="H157" s="48" t="str">
        <f ca="1">IFERROR(IF($A$1=2,INDEX($DH$3:$DO$400,MATCH(ROWS(H$3:H157),$DN$3:$DN$400,0),COLUMN()),IF($A$1=1,INDEX($DQ$3:$DX$400,MATCH(ROWS(H$3:H157),$DW$3:$DW$400,0),COLUMN()),"")),"")</f>
        <v>ppd</v>
      </c>
      <c r="I157" s="48" t="str">
        <f t="shared" ca="1" si="295"/>
        <v/>
      </c>
      <c r="J157" s="48" t="str">
        <f t="shared" ca="1" si="296"/>
        <v/>
      </c>
      <c r="K157" s="48">
        <f t="shared" ca="1" si="297"/>
        <v>0</v>
      </c>
      <c r="L157" s="48">
        <f t="shared" ca="1" si="298"/>
        <v>0</v>
      </c>
      <c r="M157" s="48">
        <f ca="1">IFERROR(IF(IF(MID($A157,3,3)=".00",MID(A157,1,2),"")&lt;&gt;"",MAX($M$2:M156)+1,0),"")</f>
        <v>0</v>
      </c>
      <c r="N157" s="48" t="str">
        <f t="shared" ca="1" si="299"/>
        <v/>
      </c>
      <c r="O157" s="48" t="str">
        <f ca="1">IF(IFERROR(INDEX($N$3:$O$300,MATCH(ROWS($O$3:O157),$M$3:$M$300,0),1),"")&lt;&gt;"",CONCATENATE(INDEX($N$3:$O$300,MATCH(ROWS($O$3:O157),$M$3:$M$300,0),1),".00"),"")</f>
        <v/>
      </c>
      <c r="P157" s="48" t="str">
        <f t="shared" ca="1" si="300"/>
        <v/>
      </c>
      <c r="Q157" s="48">
        <f ca="1">IF(M157&gt;=1,0,MAX($Q$2:Q156)+1)</f>
        <v>139</v>
      </c>
      <c r="U157" s="48" t="str">
        <f ca="1">IFERROR(INDEX(PDC,MATCH(ROWS(U$3:U157),$V$3:$V$400,0),2),"")</f>
        <v>ISTITUTI PREVIDENZIALI</v>
      </c>
      <c r="V157" s="48">
        <f ca="1">IF(AND($T$1="VISUALIZZA TUTTI I CONTI",AA157&lt;&gt;""),MAX($V$2:V156)+1,IF(AND($U$2=2,AI157=$T$1),MAX($V$2:V156)+1,IF(AND($U$2=1,$T$1=AF157),MAX($V$2:V156)+1,0)))</f>
        <v>155</v>
      </c>
      <c r="AA157" s="48" t="str">
        <f t="shared" ca="1" si="301"/>
        <v>18.00</v>
      </c>
      <c r="AB157" s="48" t="str">
        <f ca="1">IFERROR(INDEX($A$3:$G$400,MATCH(ROWS(AB$3:AB157),$Q$3:$Q$400,0),1),"")</f>
        <v>18.11</v>
      </c>
      <c r="AC157" s="48" t="str">
        <f ca="1">IFERROR(INDEX($A$3:$G$400,MATCH(ROWS($AC$3:AC157),$Q$3:$Q$400,0),2),"")</f>
        <v>ISTITUTI PREVIDENZIALI</v>
      </c>
      <c r="AD157" s="48" t="str">
        <f ca="1">IFERROR(INDEX($A$3:$G$400,MATCH(ROWS(AD$3:AD157),$Q$3:$Q$400,0),3),"")</f>
        <v>F</v>
      </c>
      <c r="AE157" s="48" t="str">
        <f ca="1">IFERROR(INDEX($A$3:$G$400,MATCH(ROWS(AE$3:AE157),$Q$3:$Q$400,0),4),"")</f>
        <v>D/A</v>
      </c>
      <c r="AF157" s="48" t="str">
        <f ca="1">IFERROR(INDEX($A$3:$G$400,MATCH(ROWS(AF$3:AF157),$Q$3:$Q$400,0),5),"")</f>
        <v>CONTI CON ALTERNANZA DI SALDO</v>
      </c>
      <c r="AG157" s="48" t="str">
        <f ca="1">IFERROR(INDEX($A$3:$G$400,MATCH(ROWS(AG$3:AG157),$Q$3:$Q$400,0),6),"")</f>
        <v>SP DARE/AVERE</v>
      </c>
      <c r="AH157" s="48" t="str">
        <f ca="1">IFERROR(INDEX($A$3:$G$400,MATCH(ROWS(AH$3:AH157),$Q$3:$Q$400,0),7),"")</f>
        <v>SP</v>
      </c>
      <c r="AI157" s="48" t="str">
        <f t="shared" ca="1" si="302"/>
        <v>CONTI TRANSITORI E DIVERSI</v>
      </c>
      <c r="AJ157" s="48" t="str">
        <f ca="1">IFERROR(INDEX($A$3:$H$400,MATCH(ROWS(AJ$3:AJ157),$Q$3:$Q$400,0),8),"")</f>
        <v>ppd</v>
      </c>
      <c r="AK157" s="48">
        <f t="shared" ca="1" si="277"/>
        <v>0</v>
      </c>
      <c r="AL157" s="48">
        <f t="shared" ca="1" si="335"/>
        <v>0</v>
      </c>
      <c r="AM157" s="48">
        <f t="shared" ca="1" si="252"/>
        <v>0</v>
      </c>
      <c r="AN157" s="48">
        <f t="shared" ca="1" si="253"/>
        <v>0</v>
      </c>
      <c r="AO157" s="48">
        <f t="shared" ca="1" si="254"/>
        <v>0</v>
      </c>
      <c r="AP157" s="48">
        <f t="shared" ca="1" si="254"/>
        <v>0</v>
      </c>
      <c r="AQ157" s="48" t="str">
        <f t="shared" ca="1" si="278"/>
        <v>ISTITUTI PREVIDENZIALI</v>
      </c>
      <c r="AR157" s="48">
        <f t="shared" ca="1" si="279"/>
        <v>0</v>
      </c>
      <c r="AS157" s="48">
        <f t="shared" ca="1" si="280"/>
        <v>0</v>
      </c>
      <c r="AT157" s="48">
        <f t="shared" ca="1" si="303"/>
        <v>0</v>
      </c>
      <c r="AU157" s="48">
        <f t="shared" ca="1" si="304"/>
        <v>0</v>
      </c>
      <c r="AV157" s="48">
        <f ca="1">IF(OR(AT157&gt;0,AU157&gt;0),MAX($AV$2:AV156)+1,0)</f>
        <v>0</v>
      </c>
      <c r="AZ157" s="241" t="str">
        <f t="shared" si="240"/>
        <v>57 V.I.</v>
      </c>
      <c r="BA157" s="48">
        <f t="shared" ca="1" si="330"/>
        <v>0</v>
      </c>
      <c r="BB157" s="48">
        <f t="shared" ca="1" si="247"/>
        <v>0</v>
      </c>
      <c r="BC157" s="48" t="str">
        <f t="shared" ca="1" si="248"/>
        <v/>
      </c>
      <c r="BD157" s="48">
        <f t="shared" ca="1" si="249"/>
        <v>0</v>
      </c>
      <c r="BE157" s="48">
        <f t="shared" ca="1" si="250"/>
        <v>0</v>
      </c>
      <c r="BG157" s="48">
        <f ca="1">IF(IF(AND(OR(INDEX(PDC,MATCH($AC157,DEN_PDC,0),6)="SP DARE",INDEX(PDC,MATCH($AC157,DEN_PDC,0),6)="SP DARE/AVERE"),SUMIFS(DARE,DEN_G,$AC157)&gt;=SUMIFS(AVERE,DEN_G,$AC157)),SUMIFS(DARE,DEN_G,$AC157)-SUMIFS(AVERE,DEN_G,$AC157),0)&gt;0,MAX($BG$2:BG156)+1,0)</f>
        <v>0</v>
      </c>
      <c r="BH157" s="48">
        <f ca="1">IF(IF(AND(OR(INDEX(PDC,MATCH($AC157,DEN_PDC,0),6)="SP AVERE",INDEX(PDC,MATCH($AC157,DEN_PDC,0),6)="SP DARE/AVERE"),SUMIFS(AVERE,DEN_G,$AC157)&gt;=SUMIFS(DARE,DEN_G,$AC157)),SUMIFS(AVERE,DEN_G,$AC157)-SUMIFS(DARE,DEN_G,$AC157),0)&gt;0,MAX(BH$2:BH156)+1,0)</f>
        <v>0</v>
      </c>
      <c r="BI157" s="48">
        <f ca="1">IF(IF(AND(OR(INDEX(PDC,MATCH($AC157,DEN_PDC,0),6)="SE DARE",INDEX(PDC,MATCH($AC157,DEN_PDC,0),6)="SE DARE/AVERE"),SUMIFS(DARE,DEN_G,$AC157)&gt;=SUMIFS(AVERE,DEN_G,$AC157)),SUMIFS(DARE,DEN_G,$AC157)-SUMIFS(AVERE,DEN_G,$AC157),0)&gt;0,MAX(BI$2:BI156)+1,0)</f>
        <v>0</v>
      </c>
      <c r="BJ157" s="48">
        <f ca="1">IF(IF(AND(OR(INDEX(PDC,MATCH($AC157,DEN_PDC,0),6)="SE AVERE",INDEX(PDC,MATCH($AC157,DEN_PDC,0),6)="SE DARE/AVERE"),SUMIFS(AVERE,DEN_G,$AC157)&gt;=SUMIFS(DARE,DEN_G,$AC157)),SUMIFS(AVERE,DEN_G,$AC157)-SUMIFS(DARE,DEN_G,$AC157),0)&gt;0,MAX(BJ$2:BJ156)+1,0)</f>
        <v>0</v>
      </c>
      <c r="BK157" s="48" t="str">
        <f ca="1">IF(AND(AND($DY$2=0,$DY$1=0),$I$1=2,ROW()&gt;$BG$1+2,ROW()&lt;=$BG$1+4),"………………..",IF(AND(OR($DY$2&gt;0,$DY$1&gt;0),$I$1=2,ROW()&gt;$BG$1+2,ROW()&lt;=$BG$1+4),"………………..",IFERROR(INDEX($AC$3:$AC$398,MATCH(ROWS(BK$3:BK157),BG$3:BG$398,0),1),"")))</f>
        <v/>
      </c>
      <c r="BL157" s="48">
        <f t="shared" ca="1" si="281"/>
        <v>0</v>
      </c>
      <c r="BM157" s="48" t="str">
        <f ca="1">IF(AND(OR($DY$2=0,$DY$1=0),$I$1=2,ROW()&gt;$BH$1+2,ROW()&lt;=$BH$1+4),"………………..",IF(AND(OR($DY$2&gt;0,$DY$1&gt;0),$I$1=2,ROW()&gt;$BH$1+2,ROW()&lt;=$BH$1+4),"………………..",IFERROR(INDEX($AC$3:$AC$400,MATCH(ROWS(BM$3:BM157),BH$3:BH$400,0),1),"")))</f>
        <v/>
      </c>
      <c r="BN157" s="48">
        <f t="shared" ca="1" si="282"/>
        <v>0</v>
      </c>
      <c r="BO157" s="48" t="str">
        <f ca="1">IF(AND(OR($DY$2=0,$DY$1=0),$I$1=2,ROW()&gt;$BI$1+2,ROW()&lt;=$BI$1+4),"………………..",IF(AND(OR($DY$2&gt;0,$DY$1&gt;0),$I$1=2,ROW()&gt;$BI$1+2,ROW()&lt;=$BI$1+4),"………………..",IFERROR(INDEX($AC$3:$AC$400,MATCH(ROWS(BO$3:BO157),BI$3:BI$400,0),1),"")))</f>
        <v/>
      </c>
      <c r="BP157" s="48">
        <f t="shared" ca="1" si="283"/>
        <v>0</v>
      </c>
      <c r="BQ157" s="48" t="str">
        <f ca="1">IF(AND(OR($DY$2=0,$DY$1=0),$I$1=2,ROW()&gt;$BJ$1+2,ROW()&lt;=$BJ$1+4),"………………..",IF(AND(OR($DY$2&gt;0,$DY$1&gt;0),$I$1=2,ROW()&gt;$BJ$1+2,ROW()&lt;=$BJ$1+4),"………………..",IFERROR(INDEX($AC$3:$AC$400,MATCH(ROWS(BQ$3:BQ157),BJ$3:BJ$400,0),1),"")))</f>
        <v/>
      </c>
      <c r="BR157" s="48">
        <f t="shared" ca="1" si="284"/>
        <v>0</v>
      </c>
      <c r="BS157" s="48">
        <f ca="1">IF(IF(AND(OR(INDEX(PDC,MATCH($AC157,DEN_PDC,0),4)="D",INDEX(PDC,MATCH($AC157,DEN_PDC,0),4)="D/A"),SUMIFS(DARE,DEN_G,$AC157)&gt;=SUMIFS(AVERE,DEN_G,$AC157)),SUMIFS(DARE,DEN_G,$AC157),IF(AND(OR(INDEX(PDC,MATCH($AC157,DEN_PDC,0),4)="A",INDEX(PDC,MATCH($AC157,DEN_PDC,0),4)="D/A"),SUMIFS(AVERE,DEN_G,$AC157)&gt;=SUMIFS(DARE,DEN_G,$AC157)),SUMIFS(AVERE,DEN_G,$AC157),))&gt;0,MAX($BS$2:BS156)+1,0)</f>
        <v>0</v>
      </c>
      <c r="BT157" s="48" t="str">
        <f ca="1">IF($CO$1=0,"",IF(AND($I$1=2,ROW()&gt;$BR$1,ROW()&lt;=$BS$1)," …………….",IF(AND($E$1=1,$BX$1=1,$I$1=2,ROW()=$BQ$1),"TOTALI",IFERROR(INDEX(PDC,MATCH(ROWS(BT$3:BT157),BS$3:BS554,0),2),""))))</f>
        <v/>
      </c>
      <c r="BU157" s="48">
        <f t="shared" ca="1" si="285"/>
        <v>0</v>
      </c>
      <c r="BV157" s="48">
        <f t="shared" ca="1" si="286"/>
        <v>0</v>
      </c>
      <c r="BW157" s="48">
        <f t="shared" ca="1" si="287"/>
        <v>0</v>
      </c>
      <c r="BX157" s="48">
        <f t="shared" ca="1" si="288"/>
        <v>0</v>
      </c>
      <c r="BY157" s="48">
        <f ca="1">IF(OR(BW157&gt;0,BX157&gt;0),MAX($BY$2:BY156)+1,0)</f>
        <v>0</v>
      </c>
      <c r="BZ157" s="48" t="str">
        <f ca="1">IFERROR(INDEX($BT$3:$BY$400,MATCH(ROWS(BZ$3:BZ157),$BY$3:$BY$400,0),1),"")</f>
        <v/>
      </c>
      <c r="CA157" s="48" t="str">
        <f ca="1">IFERROR(INDEX($BT$3:$BY$400,MATCH(ROWS(CA$3:CA157),$BY$3:$BY$400,0),4),"")</f>
        <v/>
      </c>
      <c r="CB157" s="48" t="str">
        <f ca="1">IFERROR(INDEX($BT$3:$BY$400,MATCH(ROWS(CB$3:CB157),$BY$3:$BY$400,0),5),"")</f>
        <v/>
      </c>
      <c r="CC157" s="48" t="str">
        <f t="shared" ca="1" si="289"/>
        <v/>
      </c>
      <c r="CD157" s="48">
        <f ca="1">IF(AND($BF$9=1,CE157&lt;&gt;0),MAX($CD$104:CD156)+1,0)</f>
        <v>0</v>
      </c>
      <c r="CE157" s="48">
        <f ca="1">ROUND(IFERROR(INDEX(BILANCIO!$I$13:$J$59,MATCH(CF157,BILANCIO!$J$13:$J$59,0),1),0),0)</f>
        <v>0</v>
      </c>
      <c r="CF157" s="48" t="s">
        <v>801</v>
      </c>
      <c r="CG157" s="242" t="s">
        <v>571</v>
      </c>
      <c r="CI157" s="48">
        <f t="shared" ca="1" si="331"/>
        <v>0</v>
      </c>
      <c r="CJ157" s="242">
        <f ca="1">SUMIFS(COPIA!$CB$3:$CB$400,COPIA!$CC$3:$CC$400,CF157)-SUMIFS(COPIA!$CA$3:$CA$400,COPIA!$CC$3:$CC$400,CF157)</f>
        <v>0</v>
      </c>
      <c r="CK157" s="48">
        <f ca="1">IF($CG$2=FALSE,0,IF(AND($BF$9=1,CJ157&lt;&gt;0),MAX($CK$21:CK156)+1,0))</f>
        <v>0</v>
      </c>
      <c r="CM157" s="242" t="str">
        <f t="shared" ca="1" si="305"/>
        <v/>
      </c>
      <c r="CN157" s="243">
        <f t="shared" ca="1" si="306"/>
        <v>0</v>
      </c>
      <c r="CO157" s="48" t="str">
        <f t="shared" ca="1" si="307"/>
        <v/>
      </c>
      <c r="CQ157" s="242"/>
      <c r="CR157" s="242"/>
      <c r="CU157" s="48">
        <f ca="1">IF(SUMIFS(AVERE,DEN_G,AC157,AVERE,"&gt;"&amp;0)+SUMIFS(DARE,DEN_G,AC157,DARE,"&gt;"&amp;0)&gt;0,MAX($CU$2:CU156)+1,0)</f>
        <v>0</v>
      </c>
      <c r="CV157" s="48" t="str">
        <f ca="1">IF(IFERROR(INDEX(PDC,MATCH(ROWS($CV$3:CV157),$CU$3:$CU$400,0),2),"")="CONTO DI RISULTATO ECONOMICO","",IFERROR(INDEX(PDC,MATCH(ROWS($CV$3:CV157),$CU$3:$CU$400,0),2),""))</f>
        <v/>
      </c>
      <c r="CW157" s="48">
        <f ca="1">IFERROR(IF(CV157&lt;&gt;"",MAX($CW$2:CW156)+1,0),0)</f>
        <v>0</v>
      </c>
      <c r="CX157" s="48">
        <f t="shared" ca="1" si="344"/>
        <v>12</v>
      </c>
      <c r="CY157" s="48" t="str">
        <f t="shared" ca="1" si="343"/>
        <v>MASTRO</v>
      </c>
      <c r="CZ157" s="48" t="e">
        <f t="shared" ca="1" si="346"/>
        <v>#N/A</v>
      </c>
      <c r="DA157" s="48" t="str">
        <f t="shared" ca="1" si="351"/>
        <v/>
      </c>
      <c r="DB157" s="48" t="str">
        <f t="shared" ca="1" si="347"/>
        <v/>
      </c>
      <c r="DC157" s="48" t="str">
        <f t="shared" ca="1" si="348"/>
        <v/>
      </c>
      <c r="DD157" s="48" t="str">
        <f t="shared" ca="1" si="349"/>
        <v/>
      </c>
      <c r="DE157" s="48" t="str">
        <f t="shared" ca="1" si="350"/>
        <v/>
      </c>
      <c r="DF157" s="48">
        <f ca="1">IF(AND(CX157=$DF$1,CX157&lt;&gt;""),0,IF(AND(DB157&lt;&gt;"",OR(DB156&lt;&gt;"",DB158&lt;&gt;"")),MAX($DF$2:DF156)+1,0))</f>
        <v>0</v>
      </c>
      <c r="DG157" s="48">
        <f t="shared" ca="1" si="354"/>
        <v>0</v>
      </c>
      <c r="DH157" s="249" t="s">
        <v>1022</v>
      </c>
      <c r="DI157" s="48" t="str">
        <f ca="1">IFERROR(IF(AND($DL$1=TRUE,DG157&lt;&gt;0),CONCATENATE("SOCIO ",DG157," C/FINANZIAMENTI"),IF(AND($DL$1=FALSE,DG157&lt;&gt;0),CONCATENATE("AZIONISTA ",DG157," C/FINANZIAMENTI"),"")),"")</f>
        <v/>
      </c>
      <c r="DJ157" s="48" t="s">
        <v>312</v>
      </c>
      <c r="DK157" s="48" t="s">
        <v>298</v>
      </c>
      <c r="DL157" s="48" t="s">
        <v>5</v>
      </c>
      <c r="DM157" s="48" t="s">
        <v>299</v>
      </c>
      <c r="DO157" s="48" t="str">
        <f t="shared" ca="1" si="353"/>
        <v>ppd</v>
      </c>
      <c r="DP157" s="48">
        <f t="shared" ref="DP157:DP159" ca="1" si="357">DP6</f>
        <v>0</v>
      </c>
      <c r="DQ157" s="227" t="s">
        <v>410</v>
      </c>
      <c r="DR157" s="48" t="str">
        <f ca="1">IFERROR(IF(DP157&lt;&gt;0,CONCATENATE("SOCIO ",DP157," C/FINANZIAMENTI"),""),"")</f>
        <v/>
      </c>
      <c r="DS157" s="48" t="s">
        <v>312</v>
      </c>
      <c r="DT157" s="48" t="s">
        <v>298</v>
      </c>
      <c r="DU157" s="48" t="s">
        <v>5</v>
      </c>
      <c r="DV157" s="48" t="s">
        <v>299</v>
      </c>
      <c r="DX157" s="48" t="str">
        <f t="shared" ca="1" si="356"/>
        <v>ppd</v>
      </c>
      <c r="DY157" s="48" t="str">
        <f t="shared" ca="1" si="291"/>
        <v/>
      </c>
      <c r="DZ157" s="48" t="str">
        <f t="shared" ca="1" si="309"/>
        <v/>
      </c>
      <c r="EA157" s="48" t="str">
        <f t="shared" ca="1" si="310"/>
        <v/>
      </c>
      <c r="EB157" s="48">
        <f t="shared" ca="1" si="311"/>
        <v>0</v>
      </c>
      <c r="EC157" s="48">
        <f t="shared" ca="1" si="312"/>
        <v>0</v>
      </c>
      <c r="ED157" s="48" t="str">
        <f t="shared" ca="1" si="313"/>
        <v/>
      </c>
      <c r="EE157" s="48">
        <f t="shared" ca="1" si="314"/>
        <v>0</v>
      </c>
      <c r="EF157" s="48" t="str">
        <f t="shared" ca="1" si="315"/>
        <v/>
      </c>
      <c r="EG157" s="48">
        <f t="shared" ca="1" si="316"/>
        <v>0</v>
      </c>
      <c r="EH157" s="48" t="str">
        <f t="shared" ca="1" si="317"/>
        <v/>
      </c>
      <c r="EI157" s="48">
        <f t="shared" ca="1" si="318"/>
        <v>0</v>
      </c>
      <c r="EJ157" s="48" t="str">
        <f t="shared" ca="1" si="319"/>
        <v/>
      </c>
      <c r="EK157" s="48">
        <f t="shared" ca="1" si="320"/>
        <v>0</v>
      </c>
      <c r="EL157" s="48">
        <f t="shared" ca="1" si="292"/>
        <v>0</v>
      </c>
      <c r="EM157" s="48">
        <f ca="1">IF(EL157&gt;=0,0,MAX($EM$2:EM156)+1)</f>
        <v>0</v>
      </c>
      <c r="EN157" s="48" t="str">
        <f t="shared" ca="1" si="321"/>
        <v/>
      </c>
      <c r="EO157" s="48" t="str">
        <f ca="1">IFERROR(INDEX($EM$3:$EN$400,MATCH(ROWS($EO$3:EO157),$EM$3:$EM$400,0),2),"")</f>
        <v/>
      </c>
      <c r="EP157" s="48">
        <f>ROW()</f>
        <v>157</v>
      </c>
      <c r="EQ157" s="48">
        <f t="shared" ca="1" si="293"/>
        <v>0</v>
      </c>
      <c r="ER157" s="48">
        <f ca="1">IF(ISNA(EQ157)=TRUE,MAX($ER$2:ER156)+1,0)</f>
        <v>0</v>
      </c>
      <c r="ES157" s="48" t="str">
        <f t="shared" ca="1" si="322"/>
        <v/>
      </c>
      <c r="ET157" s="48" t="str">
        <f ca="1">IFERROR(INDEX($ER$3:$ES$400,MATCH(ROWS($ET$3:ET157),$ER$3:$ER$400,0),2),"")</f>
        <v/>
      </c>
      <c r="EV157" s="48">
        <f ca="1">IFERROR(INDEX(LIBRO_GIORNALE!$O$11:$P$408,MATCH(ROWS($EV$2:EV156),LIBRO_GIORNALE!$P$11:$P$408,0),1),0)</f>
        <v>0</v>
      </c>
      <c r="EW157" s="48" t="str">
        <f t="shared" ca="1" si="323"/>
        <v>0</v>
      </c>
      <c r="EX157" s="48">
        <f t="shared" ca="1" si="324"/>
        <v>0</v>
      </c>
      <c r="EY157" s="48">
        <f ca="1">IF(EX157&gt;0,MAX($EY$2:EY156)+1,0)</f>
        <v>0</v>
      </c>
      <c r="EZ157" s="48">
        <f ca="1">IFERROR(INDEX($EX$3:$EX$400,MATCH(ROWS($EZ$3:EZ157),$EY$3:$EY$400,0),1),0)</f>
        <v>0</v>
      </c>
      <c r="FA157" s="48">
        <f ca="1">IF(EZ157&gt;0,0,MAX($FA$2:FA156)+1)</f>
        <v>155</v>
      </c>
      <c r="FB157" s="48">
        <f t="shared" ca="1" si="325"/>
        <v>0</v>
      </c>
      <c r="FC157" s="48">
        <f t="shared" ca="1" si="326"/>
        <v>155</v>
      </c>
      <c r="FD157" s="48">
        <f t="shared" ca="1" si="327"/>
        <v>155</v>
      </c>
      <c r="FE157" s="48">
        <f ca="1">IF(FD157=0,0,MAX($FE$2:FE156)+1)</f>
        <v>155</v>
      </c>
      <c r="FF157" s="48">
        <f ca="1">IFERROR(INDEX($FD$3:$FE$400,MATCH(ROWS($FF$3:FF157),$FE$3:$FE$400,0),1),"")</f>
        <v>155</v>
      </c>
      <c r="FG157" s="48">
        <f t="shared" ca="1" si="255"/>
        <v>0</v>
      </c>
      <c r="FH157" s="48">
        <f t="shared" ca="1" si="328"/>
        <v>0</v>
      </c>
      <c r="FI157" s="48">
        <f ca="1">IF(FH157&lt;&gt;0,MAX($FI$2:FI156)+1,0)</f>
        <v>0</v>
      </c>
      <c r="FJ157" s="48" t="str">
        <f ca="1">IFERROR(INDEX($FH$3:$FI$400,MATCH(ROWS($FJ$3:FJ157),$FI$3:$FI$400,0),1),"")</f>
        <v/>
      </c>
      <c r="FK157" s="48">
        <f ca="1">IF(ABS(SUMIFS(DARE,DEN_G,"="&amp;FJ157,DATA,"&lt;="&amp;FINE_AC,DATA,"&gt;="&amp;INIZIO_A_PC)-SUMIFS(AVERE,DEN_G,"="&amp;FJ157,DATA,"&lt;="&amp;FINE_AC,DATA,"&gt;="&amp;INIZIO_A_PC))&gt;0,MAX($FK$2:FK156)+1,0)</f>
        <v>0</v>
      </c>
      <c r="FL157" s="48" t="str">
        <f ca="1">IF(AND(ROW()-2&lt;&gt;1,ROW()-2&lt;=$FK$1),CONCATENATE(" - ",IFERROR(INDEX($FJ$3:$FK$400,MATCH(ROWS($FL$3:FL157),$FK$3:$FK$400,0),1),"")),IFERROR(INDEX($FJ$3:$FK$400,MATCH(ROWS($FL$3:FL157),$FK$3:$FK$400,0),1),""))</f>
        <v/>
      </c>
      <c r="FM157" s="48">
        <f ca="1">IF(OR(B157="IVA ns/credito",B157="IVA NS/DEBITO",B157="IVA C/ACCONTO",B157="IMPOSTE C/ACCONTO",B157="CREDITI PER RITENUTE SUBITE",B157="CREDITI D'IMPOSTA"),MAX($FM$2:FM156)+1,0)</f>
        <v>0</v>
      </c>
      <c r="FN157" s="48" t="str">
        <f t="shared" ca="1" si="329"/>
        <v/>
      </c>
      <c r="FO157" s="48" t="str">
        <f ca="1">IFERROR(INDEX($FM$3:$FN$400,MATCH(ROWS($FO$3:FO157),$FM$3:$FM$400,0),2),"")</f>
        <v/>
      </c>
      <c r="FP157" s="48">
        <f ca="1">IF(ABS(SUMIFS(DARE,DEN_G,"="&amp;FO157,DATA,"&lt;="&amp;FINE_AC,DATA,"&gt;="&amp;INIZIO_A_PC)-SUMIFS(AVERE,DEN_G,"="&amp;FO157,DATA,"&lt;="&amp;FINE_AC,DATA,"&gt;="&amp;INIZIO_A_PC))&gt;0,MAX($FP$2:FP156)+1,0)</f>
        <v>0</v>
      </c>
      <c r="FQ157" s="48" t="str">
        <f ca="1">IF(AND(ROW()-2&lt;&gt;1,ROW()-2&lt;=$FP$1),CONCATENATE(" - ",IFERROR(INDEX($FO$3:$FP$400,MATCH(ROWS($FQ$3:FQ157),$FP$3:$FP$400,0),1),"")),IFERROR(INDEX($FO$3:$FP$400,MATCH(ROWS($FQ$3:FQ157),$FP$3:$FP$400,0),1),""))</f>
        <v/>
      </c>
    </row>
    <row r="158" spans="1:173" x14ac:dyDescent="0.3">
      <c r="A158" s="48" t="str">
        <f ca="1">IFERROR(IF($A$1=2,INDEX($DH$3:$DN$401,MATCH(ROWS(A$3:A158),$DN$3:$DN$401,0),COLUMN()),IF($A$1=1,INDEX($DQ$3:$DW$401,MATCH(ROWS(A$3:A158),$DW$3:$DW$401,0),COLUMN()),"")),"")</f>
        <v>15.21</v>
      </c>
      <c r="B158" s="48" t="str">
        <f ca="1">IFERROR(IF($A$1=2,INDEX($DH$3:$DN$401,MATCH(ROWS(B$3:B158),$DN$3:$DN$401,0),COLUMN()),IF($A$1=1,INDEX($DQ$3:$DW$400,MATCH(ROWS(B$3:B158),$DW$3:$DW$401,0),COLUMN()),"")),"")</f>
        <v>PERSONALE C/LIQUIDAZIONE</v>
      </c>
      <c r="C158" s="48" t="str">
        <f ca="1">IFERROR(IF($A$1=2,INDEX($DH$3:$DN$401,MATCH(ROWS(C$3:C158),$DN$3:$DN$401,0),COLUMN()),IF($A$1=1,INDEX($DQ$3:$DW$401,MATCH(ROWS(C$3:C158),$DW$3:$DW$401,0),COLUMN()),"")),"")</f>
        <v>F</v>
      </c>
      <c r="D158" s="48" t="str">
        <f ca="1">IFERROR(IF($A$1=2,INDEX($DH$3:$DN$401,MATCH(ROWS(D$3:D158),$DN$3:$DN$401,0),COLUMN()),IF($A$1=1,INDEX($DQ$3:$DW$401,MATCH(ROWS(D$3:D158),$DW$3:$DW$401,0),COLUMN()),"")),"")</f>
        <v>A</v>
      </c>
      <c r="E158" s="48" t="str">
        <f ca="1">IFERROR(IF($A$1=2,INDEX($DH$3:$DN$401,MATCH(ROWS(E$3:E158),$DN$3:$DN$401,0),COLUMN()),IF($A$1=1,INDEX($DQ$3:$DW$401,MATCH(ROWS(E$3:E158),$DW$3:$DW$401,0),COLUMN()),"")),"")</f>
        <v>DEBITI</v>
      </c>
      <c r="F158" s="48" t="str">
        <f ca="1">IFERROR(IF($A$1=2,INDEX($DH$3:$DN$401,MATCH(ROWS(F$3:F158),$DN$3:$DN$401,0),COLUMN()),IF($A$1=1,INDEX($DQ$3:$DX$401,MATCH(ROWS(F$3:F158),$DW$3:$DW$401,0),COLUMN()),"")),"")</f>
        <v>SP AVERE</v>
      </c>
      <c r="G158" s="48" t="str">
        <f t="shared" ca="1" si="294"/>
        <v>SP</v>
      </c>
      <c r="H158" s="48" t="str">
        <f ca="1">IFERROR(IF($A$1=2,INDEX($DH$3:$DO$400,MATCH(ROWS(H$3:H158),$DN$3:$DN$400,0),COLUMN()),IF($A$1=1,INDEX($DQ$3:$DX$400,MATCH(ROWS(H$3:H158),$DW$3:$DW$400,0),COLUMN()),"")),"")</f>
        <v>ppd</v>
      </c>
      <c r="I158" s="48" t="str">
        <f t="shared" ca="1" si="295"/>
        <v/>
      </c>
      <c r="J158" s="48" t="str">
        <f t="shared" ca="1" si="296"/>
        <v/>
      </c>
      <c r="K158" s="48">
        <f t="shared" ca="1" si="297"/>
        <v>0</v>
      </c>
      <c r="L158" s="48">
        <f t="shared" ca="1" si="298"/>
        <v>0</v>
      </c>
      <c r="M158" s="48">
        <f ca="1">IFERROR(IF(IF(MID($A158,3,3)=".00",MID(A158,1,2),"")&lt;&gt;"",MAX($M$2:M157)+1,0),"")</f>
        <v>0</v>
      </c>
      <c r="N158" s="48" t="str">
        <f t="shared" ca="1" si="299"/>
        <v/>
      </c>
      <c r="O158" s="48" t="str">
        <f ca="1">IF(IFERROR(INDEX($N$3:$O$300,MATCH(ROWS($O$3:O158),$M$3:$M$300,0),1),"")&lt;&gt;"",CONCATENATE(INDEX($N$3:$O$300,MATCH(ROWS($O$3:O158),$M$3:$M$300,0),1),".00"),"")</f>
        <v/>
      </c>
      <c r="P158" s="48" t="str">
        <f t="shared" ca="1" si="300"/>
        <v/>
      </c>
      <c r="Q158" s="48">
        <f ca="1">IF(M158&gt;=1,0,MAX($Q$2:Q157)+1)</f>
        <v>140</v>
      </c>
      <c r="U158" s="48" t="str">
        <f ca="1">IFERROR(INDEX(PDC,MATCH(ROWS(U$3:U158),$V$3:$V$400,0),2),"")</f>
        <v>BANCA X C/C</v>
      </c>
      <c r="V158" s="48">
        <f ca="1">IF(AND($T$1="VISUALIZZA TUTTI I CONTI",AA158&lt;&gt;""),MAX($V$2:V157)+1,IF(AND($U$2=2,AI158=$T$1),MAX($V$2:V157)+1,IF(AND($U$2=1,$T$1=AF158),MAX($V$2:V157)+1,0)))</f>
        <v>156</v>
      </c>
      <c r="AA158" s="48" t="str">
        <f t="shared" ca="1" si="301"/>
        <v>18.00</v>
      </c>
      <c r="AB158" s="48" t="str">
        <f ca="1">IFERROR(INDEX($A$3:$G$400,MATCH(ROWS(AB$3:AB158),$Q$3:$Q$400,0),1),"")</f>
        <v>18.20</v>
      </c>
      <c r="AC158" s="48" t="str">
        <f ca="1">IFERROR(INDEX($A$3:$G$400,MATCH(ROWS($AC$3:AC158),$Q$3:$Q$400,0),2),"")</f>
        <v>BANCA X C/C</v>
      </c>
      <c r="AD158" s="48" t="str">
        <f ca="1">IFERROR(INDEX($A$3:$G$400,MATCH(ROWS(AD$3:AD158),$Q$3:$Q$400,0),3),"")</f>
        <v>F</v>
      </c>
      <c r="AE158" s="48" t="str">
        <f ca="1">IFERROR(INDEX($A$3:$G$400,MATCH(ROWS(AE$3:AE158),$Q$3:$Q$400,0),4),"")</f>
        <v>D/A</v>
      </c>
      <c r="AF158" s="48" t="str">
        <f ca="1">IFERROR(INDEX($A$3:$G$400,MATCH(ROWS(AF$3:AF158),$Q$3:$Q$400,0),5),"")</f>
        <v>CONTI CON ALTERNANZA DI SALDO</v>
      </c>
      <c r="AG158" s="48" t="str">
        <f ca="1">IFERROR(INDEX($A$3:$G$400,MATCH(ROWS(AG$3:AG158),$Q$3:$Q$400,0),6),"")</f>
        <v>SP DARE/AVERE</v>
      </c>
      <c r="AH158" s="48" t="str">
        <f ca="1">IFERROR(INDEX($A$3:$G$400,MATCH(ROWS(AH$3:AH158),$Q$3:$Q$400,0),7),"")</f>
        <v>SP</v>
      </c>
      <c r="AI158" s="48" t="str">
        <f t="shared" ca="1" si="302"/>
        <v>CONTI TRANSITORI E DIVERSI</v>
      </c>
      <c r="AJ158" s="48" t="str">
        <f ca="1">IFERROR(INDEX($A$3:$H$400,MATCH(ROWS(AJ$3:AJ158),$Q$3:$Q$400,0),8),"")</f>
        <v>ppd</v>
      </c>
      <c r="AK158" s="48">
        <f t="shared" ca="1" si="277"/>
        <v>0</v>
      </c>
      <c r="AL158" s="48">
        <f t="shared" ca="1" si="335"/>
        <v>0</v>
      </c>
      <c r="AM158" s="48">
        <f t="shared" ca="1" si="252"/>
        <v>0</v>
      </c>
      <c r="AN158" s="48">
        <f t="shared" ca="1" si="253"/>
        <v>0</v>
      </c>
      <c r="AO158" s="48">
        <f t="shared" ca="1" si="254"/>
        <v>0</v>
      </c>
      <c r="AP158" s="48">
        <f t="shared" ca="1" si="254"/>
        <v>0</v>
      </c>
      <c r="AQ158" s="48" t="str">
        <f t="shared" ca="1" si="278"/>
        <v>BANCA X C/C</v>
      </c>
      <c r="AR158" s="48">
        <f t="shared" ca="1" si="279"/>
        <v>0</v>
      </c>
      <c r="AS158" s="48">
        <f t="shared" ca="1" si="280"/>
        <v>0</v>
      </c>
      <c r="AT158" s="48">
        <f t="shared" ca="1" si="303"/>
        <v>0</v>
      </c>
      <c r="AU158" s="48">
        <f t="shared" ca="1" si="304"/>
        <v>0</v>
      </c>
      <c r="AV158" s="48">
        <f ca="1">IF(OR(AT158&gt;0,AU158&gt;0),MAX($AV$2:AV157)+1,0)</f>
        <v>0</v>
      </c>
      <c r="AZ158" s="241" t="str">
        <f t="shared" si="240"/>
        <v>58 V.I.</v>
      </c>
      <c r="BA158" s="48">
        <f t="shared" ca="1" si="330"/>
        <v>0</v>
      </c>
      <c r="BB158" s="48">
        <f t="shared" ca="1" si="247"/>
        <v>0</v>
      </c>
      <c r="BC158" s="48" t="str">
        <f t="shared" ca="1" si="248"/>
        <v/>
      </c>
      <c r="BD158" s="48">
        <f t="shared" ca="1" si="249"/>
        <v>0</v>
      </c>
      <c r="BE158" s="48">
        <f t="shared" ca="1" si="250"/>
        <v>0</v>
      </c>
      <c r="BG158" s="48">
        <f ca="1">IF(IF(AND(OR(INDEX(PDC,MATCH($AC158,DEN_PDC,0),6)="SP DARE",INDEX(PDC,MATCH($AC158,DEN_PDC,0),6)="SP DARE/AVERE"),SUMIFS(DARE,DEN_G,$AC158)&gt;=SUMIFS(AVERE,DEN_G,$AC158)),SUMIFS(DARE,DEN_G,$AC158)-SUMIFS(AVERE,DEN_G,$AC158),0)&gt;0,MAX($BG$2:BG157)+1,0)</f>
        <v>0</v>
      </c>
      <c r="BH158" s="48">
        <f ca="1">IF(IF(AND(OR(INDEX(PDC,MATCH($AC158,DEN_PDC,0),6)="SP AVERE",INDEX(PDC,MATCH($AC158,DEN_PDC,0),6)="SP DARE/AVERE"),SUMIFS(AVERE,DEN_G,$AC158)&gt;=SUMIFS(DARE,DEN_G,$AC158)),SUMIFS(AVERE,DEN_G,$AC158)-SUMIFS(DARE,DEN_G,$AC158),0)&gt;0,MAX(BH$2:BH157)+1,0)</f>
        <v>0</v>
      </c>
      <c r="BI158" s="48">
        <f ca="1">IF(IF(AND(OR(INDEX(PDC,MATCH($AC158,DEN_PDC,0),6)="SE DARE",INDEX(PDC,MATCH($AC158,DEN_PDC,0),6)="SE DARE/AVERE"),SUMIFS(DARE,DEN_G,$AC158)&gt;=SUMIFS(AVERE,DEN_G,$AC158)),SUMIFS(DARE,DEN_G,$AC158)-SUMIFS(AVERE,DEN_G,$AC158),0)&gt;0,MAX(BI$2:BI157)+1,0)</f>
        <v>0</v>
      </c>
      <c r="BJ158" s="48">
        <f ca="1">IF(IF(AND(OR(INDEX(PDC,MATCH($AC158,DEN_PDC,0),6)="SE AVERE",INDEX(PDC,MATCH($AC158,DEN_PDC,0),6)="SE DARE/AVERE"),SUMIFS(AVERE,DEN_G,$AC158)&gt;=SUMIFS(DARE,DEN_G,$AC158)),SUMIFS(AVERE,DEN_G,$AC158)-SUMIFS(DARE,DEN_G,$AC158),0)&gt;0,MAX(BJ$2:BJ157)+1,0)</f>
        <v>0</v>
      </c>
      <c r="BK158" s="48" t="str">
        <f ca="1">IF(AND(AND($DY$2=0,$DY$1=0),$I$1=2,ROW()&gt;$BG$1+2,ROW()&lt;=$BG$1+4),"………………..",IF(AND(OR($DY$2&gt;0,$DY$1&gt;0),$I$1=2,ROW()&gt;$BG$1+2,ROW()&lt;=$BG$1+4),"………………..",IFERROR(INDEX($AC$3:$AC$398,MATCH(ROWS(BK$3:BK158),BG$3:BG$398,0),1),"")))</f>
        <v/>
      </c>
      <c r="BL158" s="48">
        <f t="shared" ca="1" si="281"/>
        <v>0</v>
      </c>
      <c r="BM158" s="48" t="str">
        <f ca="1">IF(AND(OR($DY$2=0,$DY$1=0),$I$1=2,ROW()&gt;$BH$1+2,ROW()&lt;=$BH$1+4),"………………..",IF(AND(OR($DY$2&gt;0,$DY$1&gt;0),$I$1=2,ROW()&gt;$BH$1+2,ROW()&lt;=$BH$1+4),"………………..",IFERROR(INDEX($AC$3:$AC$400,MATCH(ROWS(BM$3:BM158),BH$3:BH$400,0),1),"")))</f>
        <v/>
      </c>
      <c r="BN158" s="48">
        <f t="shared" ca="1" si="282"/>
        <v>0</v>
      </c>
      <c r="BO158" s="48" t="str">
        <f ca="1">IF(AND(OR($DY$2=0,$DY$1=0),$I$1=2,ROW()&gt;$BI$1+2,ROW()&lt;=$BI$1+4),"………………..",IF(AND(OR($DY$2&gt;0,$DY$1&gt;0),$I$1=2,ROW()&gt;$BI$1+2,ROW()&lt;=$BI$1+4),"………………..",IFERROR(INDEX($AC$3:$AC$400,MATCH(ROWS(BO$3:BO158),BI$3:BI$400,0),1),"")))</f>
        <v/>
      </c>
      <c r="BP158" s="48">
        <f t="shared" ca="1" si="283"/>
        <v>0</v>
      </c>
      <c r="BQ158" s="48" t="str">
        <f ca="1">IF(AND(OR($DY$2=0,$DY$1=0),$I$1=2,ROW()&gt;$BJ$1+2,ROW()&lt;=$BJ$1+4),"………………..",IF(AND(OR($DY$2&gt;0,$DY$1&gt;0),$I$1=2,ROW()&gt;$BJ$1+2,ROW()&lt;=$BJ$1+4),"………………..",IFERROR(INDEX($AC$3:$AC$400,MATCH(ROWS(BQ$3:BQ158),BJ$3:BJ$400,0),1),"")))</f>
        <v/>
      </c>
      <c r="BR158" s="48">
        <f t="shared" ca="1" si="284"/>
        <v>0</v>
      </c>
      <c r="BS158" s="48">
        <f ca="1">IF(IF(AND(OR(INDEX(PDC,MATCH($AC158,DEN_PDC,0),4)="D",INDEX(PDC,MATCH($AC158,DEN_PDC,0),4)="D/A"),SUMIFS(DARE,DEN_G,$AC158)&gt;=SUMIFS(AVERE,DEN_G,$AC158)),SUMIFS(DARE,DEN_G,$AC158),IF(AND(OR(INDEX(PDC,MATCH($AC158,DEN_PDC,0),4)="A",INDEX(PDC,MATCH($AC158,DEN_PDC,0),4)="D/A"),SUMIFS(AVERE,DEN_G,$AC158)&gt;=SUMIFS(DARE,DEN_G,$AC158)),SUMIFS(AVERE,DEN_G,$AC158),))&gt;0,MAX($BS$2:BS157)+1,0)</f>
        <v>0</v>
      </c>
      <c r="BT158" s="48" t="str">
        <f ca="1">IF($CO$1=0,"",IF(AND($I$1=2,ROW()&gt;$BR$1,ROW()&lt;=$BS$1)," …………….",IF(AND($E$1=1,$BX$1=1,$I$1=2,ROW()=$BQ$1),"TOTALI",IFERROR(INDEX(PDC,MATCH(ROWS(BT$3:BT158),BS$3:BS555,0),2),""))))</f>
        <v/>
      </c>
      <c r="BU158" s="48">
        <f t="shared" ca="1" si="285"/>
        <v>0</v>
      </c>
      <c r="BV158" s="48">
        <f t="shared" ca="1" si="286"/>
        <v>0</v>
      </c>
      <c r="BW158" s="48">
        <f t="shared" ca="1" si="287"/>
        <v>0</v>
      </c>
      <c r="BX158" s="48">
        <f t="shared" ca="1" si="288"/>
        <v>0</v>
      </c>
      <c r="BY158" s="48">
        <f ca="1">IF(OR(BW158&gt;0,BX158&gt;0),MAX($BY$2:BY157)+1,0)</f>
        <v>0</v>
      </c>
      <c r="BZ158" s="48" t="str">
        <f ca="1">IFERROR(INDEX($BT$3:$BY$400,MATCH(ROWS(BZ$3:BZ158),$BY$3:$BY$400,0),1),"")</f>
        <v/>
      </c>
      <c r="CA158" s="48" t="str">
        <f ca="1">IFERROR(INDEX($BT$3:$BY$400,MATCH(ROWS(CA$3:CA158),$BY$3:$BY$400,0),4),"")</f>
        <v/>
      </c>
      <c r="CB158" s="48" t="str">
        <f ca="1">IFERROR(INDEX($BT$3:$BY$400,MATCH(ROWS(CB$3:CB158),$BY$3:$BY$400,0),5),"")</f>
        <v/>
      </c>
      <c r="CC158" s="48" t="str">
        <f t="shared" ca="1" si="289"/>
        <v/>
      </c>
      <c r="CD158" s="48">
        <f ca="1">IF(AND($BF$9=1,CE158&lt;&gt;0),MAX($CD$104:CD157)+1,0)</f>
        <v>0</v>
      </c>
      <c r="CE158" s="48">
        <f ca="1">IF(ROUND(SUMIFS(COPIA!$CB$3:$CB$400,COPIA!$CC$3:$CC$400,CF158)-SUMIFS(COPIA!$CA$3:$CA$400,COPIA!$CC$3:$CC$400,CF158),0)&lt;0,0,ROUND(SUMIFS(COPIA!$CB$3:$CB$400,COPIA!$CC$3:$CC$400,CF158)-SUMIFS(COPIA!$CA$3:$CA$400,COPIA!$CC$3:$CC$400,CF158),0))</f>
        <v>0</v>
      </c>
      <c r="CF158" s="48" t="s">
        <v>664</v>
      </c>
      <c r="CG158" s="242" t="s">
        <v>969</v>
      </c>
      <c r="CH158" s="48">
        <f t="shared" ca="1" si="259"/>
        <v>0</v>
      </c>
      <c r="CJ158" s="242">
        <f ca="1">SUMIFS(COPIA!$CB$3:$CB$400,COPIA!$CC$3:$CC$400,CF158)-SUMIFS(COPIA!$CA$3:$CA$400,COPIA!$CC$3:$CC$400,CF158)</f>
        <v>0</v>
      </c>
      <c r="CK158" s="48">
        <f ca="1">IF($CG$2=FALSE,0,IF(AND($BF$9=1,CJ158&lt;&gt;0),MAX($CK$21:CK157)+1,0))</f>
        <v>0</v>
      </c>
      <c r="CL158" s="48" t="s">
        <v>802</v>
      </c>
      <c r="CM158" s="242" t="str">
        <f t="shared" ca="1" si="305"/>
        <v/>
      </c>
      <c r="CN158" s="243">
        <f t="shared" ca="1" si="306"/>
        <v>0</v>
      </c>
      <c r="CO158" s="48" t="str">
        <f t="shared" ca="1" si="307"/>
        <v/>
      </c>
      <c r="CQ158" s="242"/>
      <c r="CR158" s="242"/>
      <c r="CU158" s="48">
        <f ca="1">IF(SUMIFS(AVERE,DEN_G,AC158,AVERE,"&gt;"&amp;0)+SUMIFS(DARE,DEN_G,AC158,DARE,"&gt;"&amp;0)&gt;0,MAX($CU$2:CU157)+1,0)</f>
        <v>0</v>
      </c>
      <c r="CV158" s="48" t="str">
        <f ca="1">IF(IFERROR(INDEX(PDC,MATCH(ROWS($CV$3:CV158),$CU$3:$CU$400,0),2),"")="CONTO DI RISULTATO ECONOMICO","",IFERROR(INDEX(PDC,MATCH(ROWS($CV$3:CV158),$CU$3:$CU$400,0),2),""))</f>
        <v/>
      </c>
      <c r="CW158" s="48">
        <f ca="1">IFERROR(IF(CV158&lt;&gt;"",MAX($CW$2:CW157)+1,0),0)</f>
        <v>0</v>
      </c>
      <c r="CY158" s="48" t="s">
        <v>500</v>
      </c>
      <c r="DB158" s="48" t="str">
        <f t="shared" ref="DB158" ca="1" si="358">IF(CX157=$DF$1,"","MASTRO")</f>
        <v>MASTRO</v>
      </c>
      <c r="DF158" s="48">
        <f ca="1">IF(AND(CX158=$DF$1,CX158&lt;&gt;""),0,IF(AND(DB158&lt;&gt;"",OR(DB157&lt;&gt;"",DB159&lt;&gt;"")),MAX($DF$2:DF157)+1,0))</f>
        <v>0</v>
      </c>
      <c r="DH158" s="249" t="s">
        <v>1096</v>
      </c>
      <c r="DI158" s="48" t="s">
        <v>113</v>
      </c>
      <c r="DJ158" s="48" t="s">
        <v>312</v>
      </c>
      <c r="DK158" s="48" t="s">
        <v>298</v>
      </c>
      <c r="DL158" s="48" t="s">
        <v>5</v>
      </c>
      <c r="DM158" s="48" t="s">
        <v>299</v>
      </c>
      <c r="DN158" s="48">
        <f ca="1">IF(DI158&lt;&gt;"",MAX($DN$2:DN157)+1,0)</f>
        <v>129</v>
      </c>
      <c r="DO158" s="48" t="str">
        <f ca="1">IF($BF$9=1,"ppd4","ppd")</f>
        <v>ppd</v>
      </c>
      <c r="DP158" s="48">
        <f t="shared" ca="1" si="357"/>
        <v>0</v>
      </c>
      <c r="DQ158" s="227" t="s">
        <v>412</v>
      </c>
      <c r="DR158" s="48" t="str">
        <f ca="1">IFERROR(IF(DP158&lt;&gt;0,CONCATENATE("SOCIO ",DP158," C/FINANZIAMENTI"),""),"")</f>
        <v/>
      </c>
      <c r="DS158" s="48" t="s">
        <v>312</v>
      </c>
      <c r="DT158" s="48" t="s">
        <v>298</v>
      </c>
      <c r="DU158" s="48" t="s">
        <v>5</v>
      </c>
      <c r="DV158" s="48" t="s">
        <v>299</v>
      </c>
      <c r="DX158" s="48" t="str">
        <f t="shared" ca="1" si="356"/>
        <v>ppd</v>
      </c>
      <c r="DY158" s="48" t="str">
        <f t="shared" ca="1" si="291"/>
        <v/>
      </c>
      <c r="DZ158" s="48" t="str">
        <f t="shared" ca="1" si="309"/>
        <v/>
      </c>
      <c r="EA158" s="48" t="str">
        <f t="shared" ca="1" si="310"/>
        <v/>
      </c>
      <c r="EB158" s="48">
        <f t="shared" ca="1" si="311"/>
        <v>0</v>
      </c>
      <c r="EC158" s="48">
        <f t="shared" ca="1" si="312"/>
        <v>0</v>
      </c>
      <c r="ED158" s="48" t="str">
        <f t="shared" ca="1" si="313"/>
        <v/>
      </c>
      <c r="EE158" s="48">
        <f t="shared" ca="1" si="314"/>
        <v>0</v>
      </c>
      <c r="EF158" s="48" t="str">
        <f t="shared" ca="1" si="315"/>
        <v/>
      </c>
      <c r="EG158" s="48">
        <f t="shared" ca="1" si="316"/>
        <v>0</v>
      </c>
      <c r="EH158" s="48" t="str">
        <f t="shared" ca="1" si="317"/>
        <v/>
      </c>
      <c r="EI158" s="48">
        <f t="shared" ca="1" si="318"/>
        <v>0</v>
      </c>
      <c r="EJ158" s="48" t="str">
        <f t="shared" ca="1" si="319"/>
        <v/>
      </c>
      <c r="EK158" s="48">
        <f t="shared" ca="1" si="320"/>
        <v>0</v>
      </c>
      <c r="EL158" s="48">
        <f t="shared" ca="1" si="292"/>
        <v>0</v>
      </c>
      <c r="EM158" s="48">
        <f ca="1">IF(EL158&gt;=0,0,MAX($EM$2:EM157)+1)</f>
        <v>0</v>
      </c>
      <c r="EN158" s="48" t="str">
        <f t="shared" ca="1" si="321"/>
        <v/>
      </c>
      <c r="EO158" s="48" t="str">
        <f ca="1">IFERROR(INDEX($EM$3:$EN$400,MATCH(ROWS($EO$3:EO158),$EM$3:$EM$400,0),2),"")</f>
        <v/>
      </c>
      <c r="EP158" s="48">
        <f>ROW()</f>
        <v>158</v>
      </c>
      <c r="EQ158" s="48">
        <f t="shared" ca="1" si="293"/>
        <v>0</v>
      </c>
      <c r="ER158" s="48">
        <f ca="1">IF(ISNA(EQ158)=TRUE,MAX($ER$2:ER157)+1,0)</f>
        <v>0</v>
      </c>
      <c r="ES158" s="48" t="str">
        <f t="shared" ca="1" si="322"/>
        <v/>
      </c>
      <c r="ET158" s="48" t="str">
        <f ca="1">IFERROR(INDEX($ER$3:$ES$400,MATCH(ROWS($ET$3:ET158),$ER$3:$ER$400,0),2),"")</f>
        <v/>
      </c>
      <c r="EV158" s="48">
        <f ca="1">IFERROR(INDEX(LIBRO_GIORNALE!$O$11:$P$408,MATCH(ROWS($EV$2:EV157),LIBRO_GIORNALE!$P$11:$P$408,0),1),0)</f>
        <v>0</v>
      </c>
      <c r="EW158" s="48" t="str">
        <f t="shared" ca="1" si="323"/>
        <v>0</v>
      </c>
      <c r="EX158" s="48">
        <f t="shared" ca="1" si="324"/>
        <v>0</v>
      </c>
      <c r="EY158" s="48">
        <f ca="1">IF(EX158&gt;0,MAX($EY$2:EY157)+1,0)</f>
        <v>0</v>
      </c>
      <c r="EZ158" s="48">
        <f ca="1">IFERROR(INDEX($EX$3:$EX$400,MATCH(ROWS($EZ$3:EZ158),$EY$3:$EY$400,0),1),0)</f>
        <v>0</v>
      </c>
      <c r="FA158" s="48">
        <f ca="1">IF(EZ158&gt;0,0,MAX($FA$2:FA157)+1)</f>
        <v>156</v>
      </c>
      <c r="FB158" s="48">
        <f t="shared" ca="1" si="325"/>
        <v>0</v>
      </c>
      <c r="FC158" s="48">
        <f t="shared" ca="1" si="326"/>
        <v>156</v>
      </c>
      <c r="FD158" s="48">
        <f t="shared" ca="1" si="327"/>
        <v>156</v>
      </c>
      <c r="FE158" s="48">
        <f ca="1">IF(FD158=0,0,MAX($FE$2:FE157)+1)</f>
        <v>156</v>
      </c>
      <c r="FF158" s="48">
        <f ca="1">IFERROR(INDEX($FD$3:$FE$400,MATCH(ROWS($FF$3:FF158),$FE$3:$FE$400,0),1),"")</f>
        <v>156</v>
      </c>
      <c r="FG158" s="48">
        <f t="shared" ca="1" si="255"/>
        <v>0</v>
      </c>
      <c r="FH158" s="48">
        <f t="shared" ca="1" si="328"/>
        <v>0</v>
      </c>
      <c r="FI158" s="48">
        <f ca="1">IF(FH158&lt;&gt;0,MAX($FI$2:FI157)+1,0)</f>
        <v>0</v>
      </c>
      <c r="FJ158" s="48" t="str">
        <f ca="1">IFERROR(INDEX($FH$3:$FI$400,MATCH(ROWS($FJ$3:FJ158),$FI$3:$FI$400,0),1),"")</f>
        <v/>
      </c>
      <c r="FK158" s="48">
        <f ca="1">IF(ABS(SUMIFS(DARE,DEN_G,"="&amp;FJ158,DATA,"&lt;="&amp;FINE_AC,DATA,"&gt;="&amp;INIZIO_A_PC)-SUMIFS(AVERE,DEN_G,"="&amp;FJ158,DATA,"&lt;="&amp;FINE_AC,DATA,"&gt;="&amp;INIZIO_A_PC))&gt;0,MAX($FK$2:FK157)+1,0)</f>
        <v>0</v>
      </c>
      <c r="FL158" s="48" t="str">
        <f ca="1">IF(AND(ROW()-2&lt;&gt;1,ROW()-2&lt;=$FK$1),CONCATENATE(" - ",IFERROR(INDEX($FJ$3:$FK$400,MATCH(ROWS($FL$3:FL158),$FK$3:$FK$400,0),1),"")),IFERROR(INDEX($FJ$3:$FK$400,MATCH(ROWS($FL$3:FL158),$FK$3:$FK$400,0),1),""))</f>
        <v/>
      </c>
      <c r="FM158" s="48">
        <f ca="1">IF(OR(B158="IVA ns/credito",B158="IVA NS/DEBITO",B158="IVA C/ACCONTO",B158="IMPOSTE C/ACCONTO",B158="CREDITI PER RITENUTE SUBITE",B158="CREDITI D'IMPOSTA"),MAX($FM$2:FM157)+1,0)</f>
        <v>0</v>
      </c>
      <c r="FN158" s="48" t="str">
        <f t="shared" ca="1" si="329"/>
        <v/>
      </c>
      <c r="FO158" s="48" t="str">
        <f ca="1">IFERROR(INDEX($FM$3:$FN$400,MATCH(ROWS($FO$3:FO158),$FM$3:$FM$400,0),2),"")</f>
        <v/>
      </c>
      <c r="FP158" s="48">
        <f ca="1">IF(ABS(SUMIFS(DARE,DEN_G,"="&amp;FO158,DATA,"&lt;="&amp;FINE_AC,DATA,"&gt;="&amp;INIZIO_A_PC)-SUMIFS(AVERE,DEN_G,"="&amp;FO158,DATA,"&lt;="&amp;FINE_AC,DATA,"&gt;="&amp;INIZIO_A_PC))&gt;0,MAX($FP$2:FP157)+1,0)</f>
        <v>0</v>
      </c>
      <c r="FQ158" s="48" t="str">
        <f ca="1">IF(AND(ROW()-2&lt;&gt;1,ROW()-2&lt;=$FP$1),CONCATENATE(" - ",IFERROR(INDEX($FO$3:$FP$400,MATCH(ROWS($FQ$3:FQ158),$FP$3:$FP$400,0),1),"")),IFERROR(INDEX($FO$3:$FP$400,MATCH(ROWS($FQ$3:FQ158),$FP$3:$FP$400,0),1),""))</f>
        <v/>
      </c>
    </row>
    <row r="159" spans="1:173" x14ac:dyDescent="0.3">
      <c r="A159" s="48" t="str">
        <f ca="1">IFERROR(IF($A$1=2,INDEX($DH$3:$DN$401,MATCH(ROWS(A$3:A159),$DN$3:$DN$401,0),COLUMN()),IF($A$1=1,INDEX($DQ$3:$DW$401,MATCH(ROWS(A$3:A159),$DW$3:$DW$401,0),COLUMN()),"")),"")</f>
        <v>15.22</v>
      </c>
      <c r="B159" s="48" t="str">
        <f ca="1">IFERROR(IF($A$1=2,INDEX($DH$3:$DN$401,MATCH(ROWS(B$3:B159),$DN$3:$DN$401,0),COLUMN()),IF($A$1=1,INDEX($DQ$3:$DW$400,MATCH(ROWS(B$3:B159),$DW$3:$DW$401,0),COLUMN()),"")),"")</f>
        <v>DEBITI V/FONDI PENSIONE</v>
      </c>
      <c r="C159" s="48" t="str">
        <f ca="1">IFERROR(IF($A$1=2,INDEX($DH$3:$DN$401,MATCH(ROWS(C$3:C159),$DN$3:$DN$401,0),COLUMN()),IF($A$1=1,INDEX($DQ$3:$DW$401,MATCH(ROWS(C$3:C159),$DW$3:$DW$401,0),COLUMN()),"")),"")</f>
        <v>F</v>
      </c>
      <c r="D159" s="48" t="str">
        <f ca="1">IFERROR(IF($A$1=2,INDEX($DH$3:$DN$401,MATCH(ROWS(D$3:D159),$DN$3:$DN$401,0),COLUMN()),IF($A$1=1,INDEX($DQ$3:$DW$401,MATCH(ROWS(D$3:D159),$DW$3:$DW$401,0),COLUMN()),"")),"")</f>
        <v>A</v>
      </c>
      <c r="E159" s="48" t="str">
        <f ca="1">IFERROR(IF($A$1=2,INDEX($DH$3:$DN$401,MATCH(ROWS(E$3:E159),$DN$3:$DN$401,0),COLUMN()),IF($A$1=1,INDEX($DQ$3:$DW$401,MATCH(ROWS(E$3:E159),$DW$3:$DW$401,0),COLUMN()),"")),"")</f>
        <v>DEBITI</v>
      </c>
      <c r="F159" s="48" t="str">
        <f ca="1">IFERROR(IF($A$1=2,INDEX($DH$3:$DN$401,MATCH(ROWS(F$3:F159),$DN$3:$DN$401,0),COLUMN()),IF($A$1=1,INDEX($DQ$3:$DX$401,MATCH(ROWS(F$3:F159),$DW$3:$DW$401,0),COLUMN()),"")),"")</f>
        <v>SP AVERE</v>
      </c>
      <c r="G159" s="48" t="str">
        <f t="shared" ca="1" si="294"/>
        <v>SP</v>
      </c>
      <c r="H159" s="48" t="str">
        <f ca="1">IFERROR(IF($A$1=2,INDEX($DH$3:$DO$400,MATCH(ROWS(H$3:H159),$DN$3:$DN$400,0),COLUMN()),IF($A$1=1,INDEX($DQ$3:$DX$400,MATCH(ROWS(H$3:H159),$DW$3:$DW$400,0),COLUMN()),"")),"")</f>
        <v>ppd</v>
      </c>
      <c r="I159" s="48" t="str">
        <f t="shared" ca="1" si="295"/>
        <v/>
      </c>
      <c r="J159" s="48" t="str">
        <f t="shared" ca="1" si="296"/>
        <v/>
      </c>
      <c r="K159" s="48">
        <f t="shared" ca="1" si="297"/>
        <v>0</v>
      </c>
      <c r="L159" s="48">
        <f t="shared" ca="1" si="298"/>
        <v>0</v>
      </c>
      <c r="M159" s="48">
        <f ca="1">IFERROR(IF(IF(MID($A159,3,3)=".00",MID(A159,1,2),"")&lt;&gt;"",MAX($M$2:M158)+1,0),"")</f>
        <v>0</v>
      </c>
      <c r="N159" s="48" t="str">
        <f t="shared" ca="1" si="299"/>
        <v/>
      </c>
      <c r="O159" s="48" t="str">
        <f ca="1">IF(IFERROR(INDEX($N$3:$O$300,MATCH(ROWS($O$3:O159),$M$3:$M$300,0),1),"")&lt;&gt;"",CONCATENATE(INDEX($N$3:$O$300,MATCH(ROWS($O$3:O159),$M$3:$M$300,0),1),".00"),"")</f>
        <v/>
      </c>
      <c r="P159" s="48" t="str">
        <f t="shared" ca="1" si="300"/>
        <v/>
      </c>
      <c r="Q159" s="48">
        <f ca="1">IF(M159&gt;=1,0,MAX($Q$2:Q158)+1)</f>
        <v>141</v>
      </c>
      <c r="U159" s="48" t="str">
        <f ca="1">IFERROR(INDEX(PDC,MATCH(ROWS(U$3:U159),$V$3:$V$400,0),2),"")</f>
        <v>BANCA Y C/C</v>
      </c>
      <c r="V159" s="48">
        <f ca="1">IF(AND($T$1="VISUALIZZA TUTTI I CONTI",AA159&lt;&gt;""),MAX($V$2:V158)+1,IF(AND($U$2=2,AI159=$T$1),MAX($V$2:V158)+1,IF(AND($U$2=1,$T$1=AF159),MAX($V$2:V158)+1,0)))</f>
        <v>157</v>
      </c>
      <c r="AA159" s="48" t="str">
        <f t="shared" ca="1" si="301"/>
        <v>18.00</v>
      </c>
      <c r="AB159" s="48" t="str">
        <f ca="1">IFERROR(INDEX($A$3:$G$400,MATCH(ROWS(AB$3:AB159),$Q$3:$Q$400,0),1),"")</f>
        <v>18.21</v>
      </c>
      <c r="AC159" s="48" t="str">
        <f ca="1">IFERROR(INDEX($A$3:$G$400,MATCH(ROWS($AC$3:AC159),$Q$3:$Q$400,0),2),"")</f>
        <v>BANCA Y C/C</v>
      </c>
      <c r="AD159" s="48" t="str">
        <f ca="1">IFERROR(INDEX($A$3:$G$400,MATCH(ROWS(AD$3:AD159),$Q$3:$Q$400,0),3),"")</f>
        <v>F</v>
      </c>
      <c r="AE159" s="48" t="str">
        <f ca="1">IFERROR(INDEX($A$3:$G$400,MATCH(ROWS(AE$3:AE159),$Q$3:$Q$400,0),4),"")</f>
        <v>D/A</v>
      </c>
      <c r="AF159" s="48" t="str">
        <f ca="1">IFERROR(INDEX($A$3:$G$400,MATCH(ROWS(AF$3:AF159),$Q$3:$Q$400,0),5),"")</f>
        <v>CONTI CON ALTERNANZA DI SALDO</v>
      </c>
      <c r="AG159" s="48" t="str">
        <f ca="1">IFERROR(INDEX($A$3:$G$400,MATCH(ROWS(AG$3:AG159),$Q$3:$Q$400,0),6),"")</f>
        <v>SP DARE/AVERE</v>
      </c>
      <c r="AH159" s="48" t="str">
        <f ca="1">IFERROR(INDEX($A$3:$G$400,MATCH(ROWS(AH$3:AH159),$Q$3:$Q$400,0),7),"")</f>
        <v>SP</v>
      </c>
      <c r="AI159" s="48" t="str">
        <f t="shared" ca="1" si="302"/>
        <v>CONTI TRANSITORI E DIVERSI</v>
      </c>
      <c r="AJ159" s="48" t="str">
        <f ca="1">IFERROR(INDEX($A$3:$H$400,MATCH(ROWS(AJ$3:AJ159),$Q$3:$Q$400,0),8),"")</f>
        <v>ppd</v>
      </c>
      <c r="AK159" s="48">
        <f t="shared" ca="1" si="277"/>
        <v>0</v>
      </c>
      <c r="AL159" s="48">
        <f t="shared" ca="1" si="335"/>
        <v>0</v>
      </c>
      <c r="AM159" s="48">
        <f t="shared" ca="1" si="252"/>
        <v>0</v>
      </c>
      <c r="AN159" s="48">
        <f t="shared" ca="1" si="253"/>
        <v>0</v>
      </c>
      <c r="AO159" s="48">
        <f t="shared" ca="1" si="254"/>
        <v>0</v>
      </c>
      <c r="AP159" s="48">
        <f t="shared" ca="1" si="254"/>
        <v>0</v>
      </c>
      <c r="AQ159" s="48" t="str">
        <f t="shared" ca="1" si="278"/>
        <v>BANCA Y C/C</v>
      </c>
      <c r="AR159" s="48">
        <f t="shared" ca="1" si="279"/>
        <v>0</v>
      </c>
      <c r="AS159" s="48">
        <f t="shared" ca="1" si="280"/>
        <v>0</v>
      </c>
      <c r="AT159" s="48">
        <f t="shared" ca="1" si="303"/>
        <v>0</v>
      </c>
      <c r="AU159" s="48">
        <f t="shared" ca="1" si="304"/>
        <v>0</v>
      </c>
      <c r="AV159" s="48">
        <f ca="1">IF(OR(AT159&gt;0,AU159&gt;0),MAX($AV$2:AV158)+1,0)</f>
        <v>0</v>
      </c>
      <c r="AZ159" s="241" t="str">
        <f t="shared" si="240"/>
        <v>59 V.I.</v>
      </c>
      <c r="BA159" s="48">
        <f t="shared" ca="1" si="330"/>
        <v>0</v>
      </c>
      <c r="BB159" s="48">
        <f t="shared" ca="1" si="247"/>
        <v>0</v>
      </c>
      <c r="BC159" s="48" t="str">
        <f t="shared" ca="1" si="248"/>
        <v/>
      </c>
      <c r="BD159" s="48">
        <f t="shared" ca="1" si="249"/>
        <v>0</v>
      </c>
      <c r="BE159" s="48">
        <f t="shared" ca="1" si="250"/>
        <v>0</v>
      </c>
      <c r="BG159" s="48">
        <f ca="1">IF(IF(AND(OR(INDEX(PDC,MATCH($AC159,DEN_PDC,0),6)="SP DARE",INDEX(PDC,MATCH($AC159,DEN_PDC,0),6)="SP DARE/AVERE"),SUMIFS(DARE,DEN_G,$AC159)&gt;=SUMIFS(AVERE,DEN_G,$AC159)),SUMIFS(DARE,DEN_G,$AC159)-SUMIFS(AVERE,DEN_G,$AC159),0)&gt;0,MAX($BG$2:BG158)+1,0)</f>
        <v>0</v>
      </c>
      <c r="BH159" s="48">
        <f ca="1">IF(IF(AND(OR(INDEX(PDC,MATCH($AC159,DEN_PDC,0),6)="SP AVERE",INDEX(PDC,MATCH($AC159,DEN_PDC,0),6)="SP DARE/AVERE"),SUMIFS(AVERE,DEN_G,$AC159)&gt;=SUMIFS(DARE,DEN_G,$AC159)),SUMIFS(AVERE,DEN_G,$AC159)-SUMIFS(DARE,DEN_G,$AC159),0)&gt;0,MAX(BH$2:BH158)+1,0)</f>
        <v>0</v>
      </c>
      <c r="BI159" s="48">
        <f ca="1">IF(IF(AND(OR(INDEX(PDC,MATCH($AC159,DEN_PDC,0),6)="SE DARE",INDEX(PDC,MATCH($AC159,DEN_PDC,0),6)="SE DARE/AVERE"),SUMIFS(DARE,DEN_G,$AC159)&gt;=SUMIFS(AVERE,DEN_G,$AC159)),SUMIFS(DARE,DEN_G,$AC159)-SUMIFS(AVERE,DEN_G,$AC159),0)&gt;0,MAX(BI$2:BI158)+1,0)</f>
        <v>0</v>
      </c>
      <c r="BJ159" s="48">
        <f ca="1">IF(IF(AND(OR(INDEX(PDC,MATCH($AC159,DEN_PDC,0),6)="SE AVERE",INDEX(PDC,MATCH($AC159,DEN_PDC,0),6)="SE DARE/AVERE"),SUMIFS(AVERE,DEN_G,$AC159)&gt;=SUMIFS(DARE,DEN_G,$AC159)),SUMIFS(AVERE,DEN_G,$AC159)-SUMIFS(DARE,DEN_G,$AC159),0)&gt;0,MAX(BJ$2:BJ158)+1,0)</f>
        <v>0</v>
      </c>
      <c r="BK159" s="48" t="str">
        <f ca="1">IF(AND(AND($DY$2=0,$DY$1=0),$I$1=2,ROW()&gt;$BG$1+2,ROW()&lt;=$BG$1+4),"………………..",IF(AND(OR($DY$2&gt;0,$DY$1&gt;0),$I$1=2,ROW()&gt;$BG$1+2,ROW()&lt;=$BG$1+4),"………………..",IFERROR(INDEX($AC$3:$AC$398,MATCH(ROWS(BK$3:BK159),BG$3:BG$398,0),1),"")))</f>
        <v/>
      </c>
      <c r="BL159" s="48">
        <f t="shared" ca="1" si="281"/>
        <v>0</v>
      </c>
      <c r="BM159" s="48" t="str">
        <f ca="1">IF(AND(OR($DY$2=0,$DY$1=0),$I$1=2,ROW()&gt;$BH$1+2,ROW()&lt;=$BH$1+4),"………………..",IF(AND(OR($DY$2&gt;0,$DY$1&gt;0),$I$1=2,ROW()&gt;$BH$1+2,ROW()&lt;=$BH$1+4),"………………..",IFERROR(INDEX($AC$3:$AC$400,MATCH(ROWS(BM$3:BM159),BH$3:BH$400,0),1),"")))</f>
        <v/>
      </c>
      <c r="BN159" s="48">
        <f t="shared" ca="1" si="282"/>
        <v>0</v>
      </c>
      <c r="BO159" s="48" t="str">
        <f ca="1">IF(AND(OR($DY$2=0,$DY$1=0),$I$1=2,ROW()&gt;$BI$1+2,ROW()&lt;=$BI$1+4),"………………..",IF(AND(OR($DY$2&gt;0,$DY$1&gt;0),$I$1=2,ROW()&gt;$BI$1+2,ROW()&lt;=$BI$1+4),"………………..",IFERROR(INDEX($AC$3:$AC$400,MATCH(ROWS(BO$3:BO159),BI$3:BI$400,0),1),"")))</f>
        <v/>
      </c>
      <c r="BP159" s="48">
        <f t="shared" ca="1" si="283"/>
        <v>0</v>
      </c>
      <c r="BQ159" s="48" t="str">
        <f ca="1">IF(AND(OR($DY$2=0,$DY$1=0),$I$1=2,ROW()&gt;$BJ$1+2,ROW()&lt;=$BJ$1+4),"………………..",IF(AND(OR($DY$2&gt;0,$DY$1&gt;0),$I$1=2,ROW()&gt;$BJ$1+2,ROW()&lt;=$BJ$1+4),"………………..",IFERROR(INDEX($AC$3:$AC$400,MATCH(ROWS(BQ$3:BQ159),BJ$3:BJ$400,0),1),"")))</f>
        <v/>
      </c>
      <c r="BR159" s="48">
        <f t="shared" ca="1" si="284"/>
        <v>0</v>
      </c>
      <c r="BS159" s="48">
        <f ca="1">IF(IF(AND(OR(INDEX(PDC,MATCH($AC159,DEN_PDC,0),4)="D",INDEX(PDC,MATCH($AC159,DEN_PDC,0),4)="D/A"),SUMIFS(DARE,DEN_G,$AC159)&gt;=SUMIFS(AVERE,DEN_G,$AC159)),SUMIFS(DARE,DEN_G,$AC159),IF(AND(OR(INDEX(PDC,MATCH($AC159,DEN_PDC,0),4)="A",INDEX(PDC,MATCH($AC159,DEN_PDC,0),4)="D/A"),SUMIFS(AVERE,DEN_G,$AC159)&gt;=SUMIFS(DARE,DEN_G,$AC159)),SUMIFS(AVERE,DEN_G,$AC159),))&gt;0,MAX($BS$2:BS158)+1,0)</f>
        <v>0</v>
      </c>
      <c r="BT159" s="48" t="str">
        <f ca="1">IF($CO$1=0,"",IF(AND($I$1=2,ROW()&gt;$BR$1,ROW()&lt;=$BS$1)," …………….",IF(AND($E$1=1,$BX$1=1,$I$1=2,ROW()=$BQ$1),"TOTALI",IFERROR(INDEX(PDC,MATCH(ROWS(BT$3:BT159),BS$3:BS556,0),2),""))))</f>
        <v/>
      </c>
      <c r="BU159" s="48">
        <f t="shared" ca="1" si="285"/>
        <v>0</v>
      </c>
      <c r="BV159" s="48">
        <f t="shared" ca="1" si="286"/>
        <v>0</v>
      </c>
      <c r="BW159" s="48">
        <f t="shared" ca="1" si="287"/>
        <v>0</v>
      </c>
      <c r="BX159" s="48">
        <f t="shared" ca="1" si="288"/>
        <v>0</v>
      </c>
      <c r="BY159" s="48">
        <f ca="1">IF(OR(BW159&gt;0,BX159&gt;0),MAX($BY$2:BY158)+1,0)</f>
        <v>0</v>
      </c>
      <c r="BZ159" s="48" t="str">
        <f ca="1">IFERROR(INDEX($BT$3:$BY$400,MATCH(ROWS(BZ$3:BZ159),$BY$3:$BY$400,0),1),"")</f>
        <v/>
      </c>
      <c r="CA159" s="48" t="str">
        <f ca="1">IFERROR(INDEX($BT$3:$BY$400,MATCH(ROWS(CA$3:CA159),$BY$3:$BY$400,0),4),"")</f>
        <v/>
      </c>
      <c r="CB159" s="48" t="str">
        <f ca="1">IFERROR(INDEX($BT$3:$BY$400,MATCH(ROWS(CB$3:CB159),$BY$3:$BY$400,0),5),"")</f>
        <v/>
      </c>
      <c r="CC159" s="48" t="str">
        <f t="shared" ca="1" si="289"/>
        <v/>
      </c>
      <c r="CD159" s="48">
        <f ca="1">IF(AND($BF$9=1,CE159&lt;&gt;0),MAX($CD$104:CD158)+1,0)</f>
        <v>0</v>
      </c>
      <c r="CE159" s="48">
        <f ca="1">ROUND(IFERROR(INDEX(BILANCIO!$I$13:$J$59,MATCH(CF159,BILANCIO!$J$13:$J$59,0),1),0),0)</f>
        <v>0</v>
      </c>
      <c r="CF159" s="48" t="s">
        <v>802</v>
      </c>
      <c r="CG159" s="242" t="s">
        <v>571</v>
      </c>
      <c r="CI159" s="48">
        <f t="shared" ca="1" si="331"/>
        <v>0</v>
      </c>
      <c r="CJ159" s="242">
        <f ca="1">SUMIFS(COPIA!$CB$3:$CB$400,COPIA!$CC$3:$CC$400,CF159)-SUMIFS(COPIA!$CA$3:$CA$400,COPIA!$CC$3:$CC$400,CF159)</f>
        <v>0</v>
      </c>
      <c r="CK159" s="48">
        <f ca="1">IF($CG$2=FALSE,0,IF(AND($BF$9=1,CJ159&lt;&gt;0),MAX($CK$21:CK158)+1,0))</f>
        <v>0</v>
      </c>
      <c r="CM159" s="242" t="str">
        <f t="shared" ca="1" si="305"/>
        <v/>
      </c>
      <c r="CN159" s="243">
        <f t="shared" ca="1" si="306"/>
        <v>0</v>
      </c>
      <c r="CO159" s="48" t="str">
        <f t="shared" ca="1" si="307"/>
        <v/>
      </c>
      <c r="CQ159" s="242"/>
      <c r="CR159" s="242"/>
      <c r="CU159" s="48">
        <f ca="1">IF(SUMIFS(AVERE,DEN_G,AC159,AVERE,"&gt;"&amp;0)+SUMIFS(DARE,DEN_G,AC159,DARE,"&gt;"&amp;0)&gt;0,MAX($CU$2:CU158)+1,0)</f>
        <v>0</v>
      </c>
      <c r="CV159" s="48" t="str">
        <f ca="1">IF(IFERROR(INDEX(PDC,MATCH(ROWS($CV$3:CV159),$CU$3:$CU$400,0),2),"")="CONTO DI RISULTATO ECONOMICO","",IFERROR(INDEX(PDC,MATCH(ROWS($CV$3:CV159),$CU$3:$CU$400,0),2),""))</f>
        <v/>
      </c>
      <c r="CW159" s="48">
        <f ca="1">IFERROR(IF(CV159&lt;&gt;"",MAX($CW$2:CW158)+1,0),0)</f>
        <v>0</v>
      </c>
      <c r="CX159" s="48">
        <f ca="1">$FF$15</f>
        <v>13</v>
      </c>
      <c r="CY159" s="48" t="str">
        <f t="shared" ref="CY159:CY170" ca="1" si="359">IF(ISERROR(INDEX($CV$3:$CX$1302,MATCH(CX159,$CW$3:$CW$1302,0),1)),"MASTRO",INDEX($CV$3:$CX$1302,MATCH(CX159,$CW$3:$CW$1302,0),1))</f>
        <v>MASTRO</v>
      </c>
      <c r="DA159" s="48" t="str">
        <f>IF(CY158="MASTRO","Conto n.","")</f>
        <v>Conto n.</v>
      </c>
      <c r="DB159" s="48" t="str">
        <f ca="1">IF(CY159=0,"",INDEX(PDC,MATCH(DC159,DEN_PDC,0),1))</f>
        <v/>
      </c>
      <c r="DC159" s="48" t="str">
        <f ca="1">IF(OR(CY159=0,CY159="mastro"),"",CY159)</f>
        <v/>
      </c>
      <c r="DD159" s="48" t="str">
        <f ca="1">IF(AND($DA$2=TRUE,OR(INDEX(PDC,MATCH($DC159,DEN_PDC,0),4)="A",INDEX(PDC,MATCH($DC159,DEN_PDC,0),4)="D/A"),SUMIFS(AVERE,DEN_G,"="&amp;$DC159,DATA,"&lt;="&amp;FINE_AC,DATA,"&gt;="&amp;INIZIO_AC)&gt;SUMIFS(DARE,DEN_G,"="&amp;$DC159,DATA,"&lt;="&amp;FINE_AC,DATA,"&gt;="&amp;INIZIO_AC)),CONCATENATE("s ",FIXED(ABS(SUMIFS(AVERE,DEN_G,"="&amp;$DC159,DATA,"&lt;="&amp;FINE_AC,DATA,"&gt;="&amp;INIZIO_AC)-SUMIFS(DARE,DEN_G,"="&amp;$DC159,DATA,"&lt;="&amp;FINE_AC,DATA,"&gt;="&amp;INIZIO_AC)),2)),"")</f>
        <v/>
      </c>
      <c r="DE159" s="48" t="str">
        <f ca="1">IF(AND($DA$2=TRUE,OR(INDEX(PDC,MATCH($DC159,DEN_PDC,0),4)="D",INDEX(PDC,MATCH($DC159,DEN_PDC,0),4)="D/A"),SUMIFS(DARE,DEN_G,"="&amp;$DC159,DATA,"&lt;="&amp;FINE_AC,DATA,"&gt;="&amp;INIZIO_AC)&gt;SUMIFS(AVERE,DEN_G,"="&amp;$DC159,DATA,"&lt;="&amp;FINE_AC,DATA,"&gt;="&amp;INIZIO_AC)),CONCATENATE("s ",FIXED(ABS(SUMIFS(DARE,DEN_G,"="&amp;$DC159,DATA,"&lt;="&amp;FINE_AC,DATA,"&gt;="&amp;INIZIO_AC)-SUMIFS(AVERE,DEN_G,"="&amp;$DC159,DATA,"&lt;="&amp;FINE_AC,DATA,"&gt;="&amp;INIZIO_AC)),2)),"")</f>
        <v/>
      </c>
      <c r="DF159" s="48">
        <f ca="1">IF(AND(CX159=$DF$1,CX159&lt;&gt;""),0,IF(AND(DB159&lt;&gt;"",OR(DB158&lt;&gt;"",DB160&lt;&gt;"")),MAX($DF$2:DF158)+1,0))</f>
        <v>0</v>
      </c>
      <c r="DH159" s="249" t="s">
        <v>119</v>
      </c>
      <c r="DI159" s="48" t="s">
        <v>114</v>
      </c>
      <c r="DJ159" s="48" t="s">
        <v>312</v>
      </c>
      <c r="DK159" s="48" t="s">
        <v>298</v>
      </c>
      <c r="DL159" s="48" t="s">
        <v>5</v>
      </c>
      <c r="DM159" s="48" t="s">
        <v>299</v>
      </c>
      <c r="DN159" s="48">
        <f ca="1">IF(DI159&lt;&gt;"",MAX($DN$2:DN158)+1,0)</f>
        <v>130</v>
      </c>
      <c r="DO159" s="48" t="str">
        <f t="shared" ref="DO159:DO163" ca="1" si="360">IF($BF$9=1,"ppd4","ppd")</f>
        <v>ppd</v>
      </c>
      <c r="DP159" s="48">
        <f t="shared" ca="1" si="357"/>
        <v>0</v>
      </c>
      <c r="DQ159" s="227" t="s">
        <v>1033</v>
      </c>
      <c r="DR159" s="48" t="str">
        <f ca="1">IFERROR(IF(DP159&lt;&gt;0,CONCATENATE("SOCIO ",DP159," C/FINANZIAMENTI"),""),"")</f>
        <v/>
      </c>
      <c r="DS159" s="48" t="s">
        <v>312</v>
      </c>
      <c r="DT159" s="48" t="s">
        <v>298</v>
      </c>
      <c r="DU159" s="48" t="s">
        <v>5</v>
      </c>
      <c r="DV159" s="48" t="s">
        <v>299</v>
      </c>
      <c r="DX159" s="48" t="str">
        <f t="shared" ca="1" si="356"/>
        <v>ppd</v>
      </c>
      <c r="DY159" s="48" t="str">
        <f t="shared" ca="1" si="291"/>
        <v/>
      </c>
      <c r="DZ159" s="48" t="str">
        <f t="shared" ca="1" si="309"/>
        <v/>
      </c>
      <c r="EA159" s="48" t="str">
        <f t="shared" ca="1" si="310"/>
        <v/>
      </c>
      <c r="EB159" s="48">
        <f t="shared" ca="1" si="311"/>
        <v>0</v>
      </c>
      <c r="EC159" s="48">
        <f t="shared" ca="1" si="312"/>
        <v>0</v>
      </c>
      <c r="ED159" s="48" t="str">
        <f t="shared" ca="1" si="313"/>
        <v/>
      </c>
      <c r="EE159" s="48">
        <f t="shared" ca="1" si="314"/>
        <v>0</v>
      </c>
      <c r="EF159" s="48" t="str">
        <f t="shared" ca="1" si="315"/>
        <v/>
      </c>
      <c r="EG159" s="48">
        <f t="shared" ca="1" si="316"/>
        <v>0</v>
      </c>
      <c r="EH159" s="48" t="str">
        <f t="shared" ca="1" si="317"/>
        <v/>
      </c>
      <c r="EI159" s="48">
        <f t="shared" ca="1" si="318"/>
        <v>0</v>
      </c>
      <c r="EJ159" s="48" t="str">
        <f t="shared" ca="1" si="319"/>
        <v/>
      </c>
      <c r="EK159" s="48">
        <f t="shared" ca="1" si="320"/>
        <v>0</v>
      </c>
      <c r="EL159" s="48">
        <f t="shared" ca="1" si="292"/>
        <v>0</v>
      </c>
      <c r="EM159" s="48">
        <f ca="1">IF(EL159&gt;=0,0,MAX($EM$2:EM158)+1)</f>
        <v>0</v>
      </c>
      <c r="EN159" s="48" t="str">
        <f t="shared" ca="1" si="321"/>
        <v/>
      </c>
      <c r="EO159" s="48" t="str">
        <f ca="1">IFERROR(INDEX($EM$3:$EN$400,MATCH(ROWS($EO$3:EO159),$EM$3:$EM$400,0),2),"")</f>
        <v/>
      </c>
      <c r="EP159" s="48">
        <f>ROW()</f>
        <v>159</v>
      </c>
      <c r="EQ159" s="48">
        <f t="shared" ca="1" si="293"/>
        <v>0</v>
      </c>
      <c r="ER159" s="48">
        <f ca="1">IF(ISNA(EQ159)=TRUE,MAX($ER$2:ER158)+1,0)</f>
        <v>0</v>
      </c>
      <c r="ES159" s="48" t="str">
        <f t="shared" ca="1" si="322"/>
        <v/>
      </c>
      <c r="ET159" s="48" t="str">
        <f ca="1">IFERROR(INDEX($ER$3:$ES$400,MATCH(ROWS($ET$3:ET159),$ER$3:$ER$400,0),2),"")</f>
        <v/>
      </c>
      <c r="EV159" s="48">
        <f ca="1">IFERROR(INDEX(LIBRO_GIORNALE!$O$11:$P$408,MATCH(ROWS($EV$2:EV158),LIBRO_GIORNALE!$P$11:$P$408,0),1),0)</f>
        <v>0</v>
      </c>
      <c r="EW159" s="48" t="str">
        <f t="shared" ca="1" si="323"/>
        <v>0</v>
      </c>
      <c r="EX159" s="48">
        <f t="shared" ca="1" si="324"/>
        <v>0</v>
      </c>
      <c r="EY159" s="48">
        <f ca="1">IF(EX159&gt;0,MAX($EY$2:EY158)+1,0)</f>
        <v>0</v>
      </c>
      <c r="EZ159" s="48">
        <f ca="1">IFERROR(INDEX($EX$3:$EX$400,MATCH(ROWS($EZ$3:EZ159),$EY$3:$EY$400,0),1),0)</f>
        <v>0</v>
      </c>
      <c r="FA159" s="48">
        <f ca="1">IF(EZ159&gt;0,0,MAX($FA$2:FA158)+1)</f>
        <v>157</v>
      </c>
      <c r="FB159" s="48">
        <f t="shared" ca="1" si="325"/>
        <v>0</v>
      </c>
      <c r="FC159" s="48">
        <f t="shared" ca="1" si="326"/>
        <v>157</v>
      </c>
      <c r="FD159" s="48">
        <f t="shared" ca="1" si="327"/>
        <v>157</v>
      </c>
      <c r="FE159" s="48">
        <f ca="1">IF(FD159=0,0,MAX($FE$2:FE158)+1)</f>
        <v>157</v>
      </c>
      <c r="FF159" s="48">
        <f ca="1">IFERROR(INDEX($FD$3:$FE$400,MATCH(ROWS($FF$3:FF159),$FE$3:$FE$400,0),1),"")</f>
        <v>157</v>
      </c>
      <c r="FG159" s="48">
        <f t="shared" ca="1" si="255"/>
        <v>0</v>
      </c>
      <c r="FH159" s="48">
        <f t="shared" ca="1" si="328"/>
        <v>0</v>
      </c>
      <c r="FI159" s="48">
        <f ca="1">IF(FH159&lt;&gt;0,MAX($FI$2:FI158)+1,0)</f>
        <v>0</v>
      </c>
      <c r="FJ159" s="48" t="str">
        <f ca="1">IFERROR(INDEX($FH$3:$FI$400,MATCH(ROWS($FJ$3:FJ159),$FI$3:$FI$400,0),1),"")</f>
        <v/>
      </c>
      <c r="FK159" s="48">
        <f ca="1">IF(ABS(SUMIFS(DARE,DEN_G,"="&amp;FJ159,DATA,"&lt;="&amp;FINE_AC,DATA,"&gt;="&amp;INIZIO_A_PC)-SUMIFS(AVERE,DEN_G,"="&amp;FJ159,DATA,"&lt;="&amp;FINE_AC,DATA,"&gt;="&amp;INIZIO_A_PC))&gt;0,MAX($FK$2:FK158)+1,0)</f>
        <v>0</v>
      </c>
      <c r="FL159" s="48" t="str">
        <f ca="1">IF(AND(ROW()-2&lt;&gt;1,ROW()-2&lt;=$FK$1),CONCATENATE(" - ",IFERROR(INDEX($FJ$3:$FK$400,MATCH(ROWS($FL$3:FL159),$FK$3:$FK$400,0),1),"")),IFERROR(INDEX($FJ$3:$FK$400,MATCH(ROWS($FL$3:FL159),$FK$3:$FK$400,0),1),""))</f>
        <v/>
      </c>
      <c r="FM159" s="48">
        <f ca="1">IF(OR(B159="IVA ns/credito",B159="IVA NS/DEBITO",B159="IVA C/ACCONTO",B159="IMPOSTE C/ACCONTO",B159="CREDITI PER RITENUTE SUBITE",B159="CREDITI D'IMPOSTA"),MAX($FM$2:FM158)+1,0)</f>
        <v>0</v>
      </c>
      <c r="FN159" s="48" t="str">
        <f t="shared" ca="1" si="329"/>
        <v/>
      </c>
      <c r="FO159" s="48" t="str">
        <f ca="1">IFERROR(INDEX($FM$3:$FN$400,MATCH(ROWS($FO$3:FO159),$FM$3:$FM$400,0),2),"")</f>
        <v/>
      </c>
      <c r="FP159" s="48">
        <f ca="1">IF(ABS(SUMIFS(DARE,DEN_G,"="&amp;FO159,DATA,"&lt;="&amp;FINE_AC,DATA,"&gt;="&amp;INIZIO_A_PC)-SUMIFS(AVERE,DEN_G,"="&amp;FO159,DATA,"&lt;="&amp;FINE_AC,DATA,"&gt;="&amp;INIZIO_A_PC))&gt;0,MAX($FP$2:FP158)+1,0)</f>
        <v>0</v>
      </c>
      <c r="FQ159" s="48" t="str">
        <f ca="1">IF(AND(ROW()-2&lt;&gt;1,ROW()-2&lt;=$FP$1),CONCATENATE(" - ",IFERROR(INDEX($FO$3:$FP$400,MATCH(ROWS($FQ$3:FQ159),$FP$3:$FP$400,0),1),"")),IFERROR(INDEX($FO$3:$FP$400,MATCH(ROWS($FQ$3:FQ159),$FP$3:$FP$400,0),1),""))</f>
        <v/>
      </c>
    </row>
    <row r="160" spans="1:173" x14ac:dyDescent="0.3">
      <c r="A160" s="48" t="str">
        <f ca="1">IFERROR(IF($A$1=2,INDEX($DH$3:$DN$401,MATCH(ROWS(A$3:A160),$DN$3:$DN$401,0),COLUMN()),IF($A$1=1,INDEX($DQ$3:$DW$401,MATCH(ROWS(A$3:A160),$DW$3:$DW$401,0),COLUMN()),"")),"")</f>
        <v>15.30</v>
      </c>
      <c r="B160" s="48" t="str">
        <f ca="1">IFERROR(IF($A$1=2,INDEX($DH$3:$DN$401,MATCH(ROWS(B$3:B160),$DN$3:$DN$401,0),COLUMN()),IF($A$1=1,INDEX($DQ$3:$DW$400,MATCH(ROWS(B$3:B160),$DW$3:$DW$401,0),COLUMN()),"")),"")</f>
        <v>DEBITI DIVERSI</v>
      </c>
      <c r="C160" s="48" t="str">
        <f ca="1">IFERROR(IF($A$1=2,INDEX($DH$3:$DN$401,MATCH(ROWS(C$3:C160),$DN$3:$DN$401,0),COLUMN()),IF($A$1=1,INDEX($DQ$3:$DW$401,MATCH(ROWS(C$3:C160),$DW$3:$DW$401,0),COLUMN()),"")),"")</f>
        <v>F</v>
      </c>
      <c r="D160" s="48" t="str">
        <f ca="1">IFERROR(IF($A$1=2,INDEX($DH$3:$DN$401,MATCH(ROWS(D$3:D160),$DN$3:$DN$401,0),COLUMN()),IF($A$1=1,INDEX($DQ$3:$DW$401,MATCH(ROWS(D$3:D160),$DW$3:$DW$401,0),COLUMN()),"")),"")</f>
        <v>A</v>
      </c>
      <c r="E160" s="48" t="str">
        <f ca="1">IFERROR(IF($A$1=2,INDEX($DH$3:$DN$401,MATCH(ROWS(E$3:E160),$DN$3:$DN$401,0),COLUMN()),IF($A$1=1,INDEX($DQ$3:$DW$401,MATCH(ROWS(E$3:E160),$DW$3:$DW$401,0),COLUMN()),"")),"")</f>
        <v>DEBITI</v>
      </c>
      <c r="F160" s="48" t="str">
        <f ca="1">IFERROR(IF($A$1=2,INDEX($DH$3:$DN$401,MATCH(ROWS(F$3:F160),$DN$3:$DN$401,0),COLUMN()),IF($A$1=1,INDEX($DQ$3:$DX$401,MATCH(ROWS(F$3:F160),$DW$3:$DW$401,0),COLUMN()),"")),"")</f>
        <v>SP AVERE</v>
      </c>
      <c r="G160" s="48" t="str">
        <f t="shared" ca="1" si="294"/>
        <v>SP</v>
      </c>
      <c r="H160" s="48" t="str">
        <f ca="1">IFERROR(IF($A$1=2,INDEX($DH$3:$DO$400,MATCH(ROWS(H$3:H160),$DN$3:$DN$400,0),COLUMN()),IF($A$1=1,INDEX($DQ$3:$DX$400,MATCH(ROWS(H$3:H160),$DW$3:$DW$400,0),COLUMN()),"")),"")</f>
        <v>ppd</v>
      </c>
      <c r="I160" s="48" t="str">
        <f t="shared" ca="1" si="295"/>
        <v/>
      </c>
      <c r="J160" s="48" t="str">
        <f t="shared" ca="1" si="296"/>
        <v/>
      </c>
      <c r="K160" s="48">
        <f t="shared" ca="1" si="297"/>
        <v>0</v>
      </c>
      <c r="L160" s="48">
        <f t="shared" ca="1" si="298"/>
        <v>0</v>
      </c>
      <c r="M160" s="48">
        <f ca="1">IFERROR(IF(IF(MID($A160,3,3)=".00",MID(A160,1,2),"")&lt;&gt;"",MAX($M$2:M159)+1,0),"")</f>
        <v>0</v>
      </c>
      <c r="N160" s="48" t="str">
        <f t="shared" ca="1" si="299"/>
        <v/>
      </c>
      <c r="O160" s="48" t="str">
        <f ca="1">IF(IFERROR(INDEX($N$3:$O$300,MATCH(ROWS($O$3:O160),$M$3:$M$300,0),1),"")&lt;&gt;"",CONCATENATE(INDEX($N$3:$O$300,MATCH(ROWS($O$3:O160),$M$3:$M$300,0),1),".00"),"")</f>
        <v/>
      </c>
      <c r="P160" s="48" t="str">
        <f t="shared" ca="1" si="300"/>
        <v/>
      </c>
      <c r="Q160" s="48">
        <f ca="1">IF(M160&gt;=1,0,MAX($Q$2:Q159)+1)</f>
        <v>142</v>
      </c>
      <c r="U160" s="48" t="str">
        <f ca="1">IFERROR(INDEX(PDC,MATCH(ROWS(U$3:U160),$V$3:$V$400,0),2),"")</f>
        <v>BANCA Z C/C</v>
      </c>
      <c r="V160" s="48">
        <f ca="1">IF(AND($T$1="VISUALIZZA TUTTI I CONTI",AA160&lt;&gt;""),MAX($V$2:V159)+1,IF(AND($U$2=2,AI160=$T$1),MAX($V$2:V159)+1,IF(AND($U$2=1,$T$1=AF160),MAX($V$2:V159)+1,0)))</f>
        <v>158</v>
      </c>
      <c r="AA160" s="48" t="str">
        <f t="shared" ca="1" si="301"/>
        <v>18.00</v>
      </c>
      <c r="AB160" s="48" t="str">
        <f ca="1">IFERROR(INDEX($A$3:$G$400,MATCH(ROWS(AB$3:AB160),$Q$3:$Q$400,0),1),"")</f>
        <v>18.22</v>
      </c>
      <c r="AC160" s="48" t="str">
        <f ca="1">IFERROR(INDEX($A$3:$G$400,MATCH(ROWS($AC$3:AC160),$Q$3:$Q$400,0),2),"")</f>
        <v>BANCA Z C/C</v>
      </c>
      <c r="AD160" s="48" t="str">
        <f ca="1">IFERROR(INDEX($A$3:$G$400,MATCH(ROWS(AD$3:AD160),$Q$3:$Q$400,0),3),"")</f>
        <v>F</v>
      </c>
      <c r="AE160" s="48" t="str">
        <f ca="1">IFERROR(INDEX($A$3:$G$400,MATCH(ROWS(AE$3:AE160),$Q$3:$Q$400,0),4),"")</f>
        <v>D/A</v>
      </c>
      <c r="AF160" s="48" t="str">
        <f ca="1">IFERROR(INDEX($A$3:$G$400,MATCH(ROWS(AF$3:AF160),$Q$3:$Q$400,0),5),"")</f>
        <v>CONTI CON ALTERNANZA DI SALDO</v>
      </c>
      <c r="AG160" s="48" t="str">
        <f ca="1">IFERROR(INDEX($A$3:$G$400,MATCH(ROWS(AG$3:AG160),$Q$3:$Q$400,0),6),"")</f>
        <v>SP DARE/AVERE</v>
      </c>
      <c r="AH160" s="48" t="str">
        <f ca="1">IFERROR(INDEX($A$3:$G$400,MATCH(ROWS(AH$3:AH160),$Q$3:$Q$400,0),7),"")</f>
        <v>SP</v>
      </c>
      <c r="AI160" s="48" t="str">
        <f t="shared" ca="1" si="302"/>
        <v>CONTI TRANSITORI E DIVERSI</v>
      </c>
      <c r="AJ160" s="48" t="str">
        <f ca="1">IFERROR(INDEX($A$3:$H$400,MATCH(ROWS(AJ$3:AJ160),$Q$3:$Q$400,0),8),"")</f>
        <v>ppd</v>
      </c>
      <c r="AK160" s="48">
        <f t="shared" ca="1" si="277"/>
        <v>0</v>
      </c>
      <c r="AL160" s="48">
        <f t="shared" ca="1" si="335"/>
        <v>0</v>
      </c>
      <c r="AM160" s="48">
        <f t="shared" ca="1" si="252"/>
        <v>0</v>
      </c>
      <c r="AN160" s="48">
        <f t="shared" ca="1" si="253"/>
        <v>0</v>
      </c>
      <c r="AO160" s="48">
        <f t="shared" ca="1" si="254"/>
        <v>0</v>
      </c>
      <c r="AP160" s="48">
        <f t="shared" ca="1" si="254"/>
        <v>0</v>
      </c>
      <c r="AQ160" s="48" t="str">
        <f t="shared" ca="1" si="278"/>
        <v>BANCA Z C/C</v>
      </c>
      <c r="AR160" s="48">
        <f t="shared" ca="1" si="279"/>
        <v>0</v>
      </c>
      <c r="AS160" s="48">
        <f t="shared" ca="1" si="280"/>
        <v>0</v>
      </c>
      <c r="AT160" s="48">
        <f t="shared" ca="1" si="303"/>
        <v>0</v>
      </c>
      <c r="AU160" s="48">
        <f t="shared" ca="1" si="304"/>
        <v>0</v>
      </c>
      <c r="AV160" s="48">
        <f ca="1">IF(OR(AT160&gt;0,AU160&gt;0),MAX($AV$2:AV159)+1,0)</f>
        <v>0</v>
      </c>
      <c r="AZ160" s="241" t="str">
        <f t="shared" si="240"/>
        <v>60 V.I.</v>
      </c>
      <c r="BA160" s="48">
        <f t="shared" ca="1" si="330"/>
        <v>0</v>
      </c>
      <c r="BB160" s="48">
        <f t="shared" ca="1" si="247"/>
        <v>0</v>
      </c>
      <c r="BC160" s="48" t="str">
        <f t="shared" ca="1" si="248"/>
        <v/>
      </c>
      <c r="BD160" s="48">
        <f t="shared" ca="1" si="249"/>
        <v>0</v>
      </c>
      <c r="BE160" s="48">
        <f t="shared" ca="1" si="250"/>
        <v>0</v>
      </c>
      <c r="BG160" s="48">
        <f ca="1">IF(IF(AND(OR(INDEX(PDC,MATCH($AC160,DEN_PDC,0),6)="SP DARE",INDEX(PDC,MATCH($AC160,DEN_PDC,0),6)="SP DARE/AVERE"),SUMIFS(DARE,DEN_G,$AC160)&gt;=SUMIFS(AVERE,DEN_G,$AC160)),SUMIFS(DARE,DEN_G,$AC160)-SUMIFS(AVERE,DEN_G,$AC160),0)&gt;0,MAX($BG$2:BG159)+1,0)</f>
        <v>0</v>
      </c>
      <c r="BH160" s="48">
        <f ca="1">IF(IF(AND(OR(INDEX(PDC,MATCH($AC160,DEN_PDC,0),6)="SP AVERE",INDEX(PDC,MATCH($AC160,DEN_PDC,0),6)="SP DARE/AVERE"),SUMIFS(AVERE,DEN_G,$AC160)&gt;=SUMIFS(DARE,DEN_G,$AC160)),SUMIFS(AVERE,DEN_G,$AC160)-SUMIFS(DARE,DEN_G,$AC160),0)&gt;0,MAX(BH$2:BH159)+1,0)</f>
        <v>0</v>
      </c>
      <c r="BI160" s="48">
        <f ca="1">IF(IF(AND(OR(INDEX(PDC,MATCH($AC160,DEN_PDC,0),6)="SE DARE",INDEX(PDC,MATCH($AC160,DEN_PDC,0),6)="SE DARE/AVERE"),SUMIFS(DARE,DEN_G,$AC160)&gt;=SUMIFS(AVERE,DEN_G,$AC160)),SUMIFS(DARE,DEN_G,$AC160)-SUMIFS(AVERE,DEN_G,$AC160),0)&gt;0,MAX(BI$2:BI159)+1,0)</f>
        <v>0</v>
      </c>
      <c r="BJ160" s="48">
        <f ca="1">IF(IF(AND(OR(INDEX(PDC,MATCH($AC160,DEN_PDC,0),6)="SE AVERE",INDEX(PDC,MATCH($AC160,DEN_PDC,0),6)="SE DARE/AVERE"),SUMIFS(AVERE,DEN_G,$AC160)&gt;=SUMIFS(DARE,DEN_G,$AC160)),SUMIFS(AVERE,DEN_G,$AC160)-SUMIFS(DARE,DEN_G,$AC160),0)&gt;0,MAX(BJ$2:BJ159)+1,0)</f>
        <v>0</v>
      </c>
      <c r="BK160" s="48" t="str">
        <f ca="1">IF(AND(AND($DY$2=0,$DY$1=0),$I$1=2,ROW()&gt;$BG$1+2,ROW()&lt;=$BG$1+4),"………………..",IF(AND(OR($DY$2&gt;0,$DY$1&gt;0),$I$1=2,ROW()&gt;$BG$1+2,ROW()&lt;=$BG$1+4),"………………..",IFERROR(INDEX($AC$3:$AC$398,MATCH(ROWS(BK$3:BK160),BG$3:BG$398,0),1),"")))</f>
        <v/>
      </c>
      <c r="BL160" s="48">
        <f t="shared" ca="1" si="281"/>
        <v>0</v>
      </c>
      <c r="BM160" s="48" t="str">
        <f ca="1">IF(AND(OR($DY$2=0,$DY$1=0),$I$1=2,ROW()&gt;$BH$1+2,ROW()&lt;=$BH$1+4),"………………..",IF(AND(OR($DY$2&gt;0,$DY$1&gt;0),$I$1=2,ROW()&gt;$BH$1+2,ROW()&lt;=$BH$1+4),"………………..",IFERROR(INDEX($AC$3:$AC$400,MATCH(ROWS(BM$3:BM160),BH$3:BH$400,0),1),"")))</f>
        <v/>
      </c>
      <c r="BN160" s="48">
        <f t="shared" ca="1" si="282"/>
        <v>0</v>
      </c>
      <c r="BO160" s="48" t="str">
        <f ca="1">IF(AND(OR($DY$2=0,$DY$1=0),$I$1=2,ROW()&gt;$BI$1+2,ROW()&lt;=$BI$1+4),"………………..",IF(AND(OR($DY$2&gt;0,$DY$1&gt;0),$I$1=2,ROW()&gt;$BI$1+2,ROW()&lt;=$BI$1+4),"………………..",IFERROR(INDEX($AC$3:$AC$400,MATCH(ROWS(BO$3:BO160),BI$3:BI$400,0),1),"")))</f>
        <v/>
      </c>
      <c r="BP160" s="48">
        <f t="shared" ca="1" si="283"/>
        <v>0</v>
      </c>
      <c r="BQ160" s="48" t="str">
        <f ca="1">IF(AND(OR($DY$2=0,$DY$1=0),$I$1=2,ROW()&gt;$BJ$1+2,ROW()&lt;=$BJ$1+4),"………………..",IF(AND(OR($DY$2&gt;0,$DY$1&gt;0),$I$1=2,ROW()&gt;$BJ$1+2,ROW()&lt;=$BJ$1+4),"………………..",IFERROR(INDEX($AC$3:$AC$400,MATCH(ROWS(BQ$3:BQ160),BJ$3:BJ$400,0),1),"")))</f>
        <v/>
      </c>
      <c r="BR160" s="48">
        <f t="shared" ca="1" si="284"/>
        <v>0</v>
      </c>
      <c r="BS160" s="48">
        <f ca="1">IF(IF(AND(OR(INDEX(PDC,MATCH($AC160,DEN_PDC,0),4)="D",INDEX(PDC,MATCH($AC160,DEN_PDC,0),4)="D/A"),SUMIFS(DARE,DEN_G,$AC160)&gt;=SUMIFS(AVERE,DEN_G,$AC160)),SUMIFS(DARE,DEN_G,$AC160),IF(AND(OR(INDEX(PDC,MATCH($AC160,DEN_PDC,0),4)="A",INDEX(PDC,MATCH($AC160,DEN_PDC,0),4)="D/A"),SUMIFS(AVERE,DEN_G,$AC160)&gt;=SUMIFS(DARE,DEN_G,$AC160)),SUMIFS(AVERE,DEN_G,$AC160),))&gt;0,MAX($BS$2:BS159)+1,0)</f>
        <v>0</v>
      </c>
      <c r="BT160" s="48" t="str">
        <f ca="1">IF($CO$1=0,"",IF(AND($I$1=2,ROW()&gt;$BR$1,ROW()&lt;=$BS$1)," …………….",IF(AND($E$1=1,$BX$1=1,$I$1=2,ROW()=$BQ$1),"TOTALI",IFERROR(INDEX(PDC,MATCH(ROWS(BT$3:BT160),BS$3:BS557,0),2),""))))</f>
        <v/>
      </c>
      <c r="BU160" s="48">
        <f t="shared" ca="1" si="285"/>
        <v>0</v>
      </c>
      <c r="BV160" s="48">
        <f t="shared" ca="1" si="286"/>
        <v>0</v>
      </c>
      <c r="BW160" s="48">
        <f t="shared" ca="1" si="287"/>
        <v>0</v>
      </c>
      <c r="BX160" s="48">
        <f t="shared" ca="1" si="288"/>
        <v>0</v>
      </c>
      <c r="BY160" s="48">
        <f ca="1">IF(OR(BW160&gt;0,BX160&gt;0),MAX($BY$2:BY159)+1,0)</f>
        <v>0</v>
      </c>
      <c r="BZ160" s="48" t="str">
        <f ca="1">IFERROR(INDEX($BT$3:$BY$400,MATCH(ROWS(BZ$3:BZ160),$BY$3:$BY$400,0),1),"")</f>
        <v/>
      </c>
      <c r="CA160" s="48" t="str">
        <f ca="1">IFERROR(INDEX($BT$3:$BY$400,MATCH(ROWS(CA$3:CA160),$BY$3:$BY$400,0),4),"")</f>
        <v/>
      </c>
      <c r="CB160" s="48" t="str">
        <f ca="1">IFERROR(INDEX($BT$3:$BY$400,MATCH(ROWS(CB$3:CB160),$BY$3:$BY$400,0),5),"")</f>
        <v/>
      </c>
      <c r="CC160" s="48" t="str">
        <f t="shared" ca="1" si="289"/>
        <v/>
      </c>
      <c r="CD160" s="48">
        <f ca="1">IF(AND($BF$9=1,CE160&lt;&gt;0),MAX($CD$104:CD159)+1,0)</f>
        <v>0</v>
      </c>
      <c r="CE160" s="48">
        <f ca="1">IF(ROUND(SUMIFS(COPIA!$CB$3:$CB$400,COPIA!$CC$3:$CC$400,CF160)-SUMIFS(COPIA!$CA$3:$CA$400,COPIA!$CC$3:$CC$400,CF160),0)&lt;0,0,ROUND(SUMIFS(COPIA!$CB$3:$CB$400,COPIA!$CC$3:$CC$400,CF160)-SUMIFS(COPIA!$CA$3:$CA$400,COPIA!$CC$3:$CC$400,CF160),0))</f>
        <v>0</v>
      </c>
      <c r="CF160" s="48" t="s">
        <v>663</v>
      </c>
      <c r="CG160" s="242" t="s">
        <v>559</v>
      </c>
      <c r="CH160" s="48">
        <f t="shared" ca="1" si="259"/>
        <v>0</v>
      </c>
      <c r="CJ160" s="242">
        <f ca="1">SUMIFS(COPIA!$CB$3:$CB$400,COPIA!$CC$3:$CC$400,CF160)-SUMIFS(COPIA!$CA$3:$CA$400,COPIA!$CC$3:$CC$400,CF160)</f>
        <v>0</v>
      </c>
      <c r="CK160" s="48">
        <f ca="1">IF($CG$2=FALSE,0,IF(AND($BF$9=1,CJ160&lt;&gt;0),MAX($CK$21:CK159)+1,0))</f>
        <v>0</v>
      </c>
      <c r="CL160" s="48" t="s">
        <v>803</v>
      </c>
      <c r="CM160" s="242" t="str">
        <f t="shared" ca="1" si="305"/>
        <v/>
      </c>
      <c r="CN160" s="243">
        <f t="shared" ca="1" si="306"/>
        <v>0</v>
      </c>
      <c r="CO160" s="48" t="str">
        <f t="shared" ca="1" si="307"/>
        <v/>
      </c>
      <c r="CQ160" s="242"/>
      <c r="CR160" s="242"/>
      <c r="CU160" s="48">
        <f ca="1">IF(SUMIFS(AVERE,DEN_G,AC160,AVERE,"&gt;"&amp;0)+SUMIFS(DARE,DEN_G,AC160,DARE,"&gt;"&amp;0)&gt;0,MAX($CU$2:CU159)+1,0)</f>
        <v>0</v>
      </c>
      <c r="CV160" s="48" t="str">
        <f ca="1">IF(IFERROR(INDEX(PDC,MATCH(ROWS($CV$3:CV160),$CU$3:$CU$400,0),2),"")="CONTO DI RISULTATO ECONOMICO","",IFERROR(INDEX(PDC,MATCH(ROWS($CV$3:CV160),$CU$3:$CU$400,0),2),""))</f>
        <v/>
      </c>
      <c r="CW160" s="48">
        <f ca="1">IFERROR(IF(CV160&lt;&gt;"",MAX($CW$2:CW159)+1,0),0)</f>
        <v>0</v>
      </c>
      <c r="CX160" s="48">
        <f t="shared" ref="CX160:CX170" ca="1" si="361">$FF$15</f>
        <v>13</v>
      </c>
      <c r="CY160" s="48" t="str">
        <f t="shared" ca="1" si="359"/>
        <v>MASTRO</v>
      </c>
      <c r="DA160" s="48" t="str">
        <f ca="1">IF(DB159="","","Num. riga")</f>
        <v/>
      </c>
      <c r="DB160" s="48" t="str">
        <f t="shared" ref="DB160" ca="1" si="362">IF(DB159="","","Data")</f>
        <v/>
      </c>
      <c r="DC160" s="48" t="str">
        <f ca="1">IF(DB159="","","Operazioni")</f>
        <v/>
      </c>
      <c r="DD160" s="48" t="str">
        <f ca="1">IF(DB159="","","Dare        ")</f>
        <v/>
      </c>
      <c r="DE160" s="48" t="str">
        <f ca="1">IF(DB159="","","Avere        ")</f>
        <v/>
      </c>
      <c r="DF160" s="48">
        <f ca="1">IF(AND(CX160=$DF$1,CX160&lt;&gt;""),0,IF(AND(DB160&lt;&gt;"",OR(DB159&lt;&gt;"",DB161&lt;&gt;"")),MAX($DF$2:DF159)+1,0))</f>
        <v>0</v>
      </c>
      <c r="DH160" s="249" t="s">
        <v>120</v>
      </c>
      <c r="DI160" s="48" t="s">
        <v>115</v>
      </c>
      <c r="DJ160" s="48" t="s">
        <v>312</v>
      </c>
      <c r="DK160" s="48" t="s">
        <v>298</v>
      </c>
      <c r="DL160" s="48" t="s">
        <v>5</v>
      </c>
      <c r="DM160" s="48" t="s">
        <v>299</v>
      </c>
      <c r="DN160" s="48">
        <f ca="1">IF(DI160&lt;&gt;"",MAX($DN$2:DN159)+1,0)</f>
        <v>131</v>
      </c>
      <c r="DO160" s="48" t="str">
        <f t="shared" ca="1" si="360"/>
        <v>ppd</v>
      </c>
      <c r="DQ160" s="227" t="s">
        <v>408</v>
      </c>
      <c r="DR160" s="48" t="s">
        <v>118</v>
      </c>
      <c r="DS160" s="48" t="s">
        <v>312</v>
      </c>
      <c r="DT160" s="48" t="s">
        <v>298</v>
      </c>
      <c r="DU160" s="48" t="s">
        <v>5</v>
      </c>
      <c r="DV160" s="48" t="s">
        <v>299</v>
      </c>
      <c r="DW160" s="48">
        <f ca="1">IF(DR160&lt;&gt;"",MAX($DW$2:DW159)+1,0)</f>
        <v>96</v>
      </c>
      <c r="DX160" s="48" t="str">
        <f t="shared" ref="DX160" ca="1" si="363">IF($BF$9=1,"ppd5","ppd")</f>
        <v>ppd</v>
      </c>
      <c r="DY160" s="48" t="str">
        <f t="shared" ca="1" si="291"/>
        <v/>
      </c>
      <c r="DZ160" s="48" t="str">
        <f t="shared" ca="1" si="309"/>
        <v/>
      </c>
      <c r="EA160" s="48" t="str">
        <f t="shared" ca="1" si="310"/>
        <v/>
      </c>
      <c r="EB160" s="48">
        <f t="shared" ca="1" si="311"/>
        <v>0</v>
      </c>
      <c r="EC160" s="48">
        <f t="shared" ca="1" si="312"/>
        <v>0</v>
      </c>
      <c r="ED160" s="48" t="str">
        <f t="shared" ca="1" si="313"/>
        <v/>
      </c>
      <c r="EE160" s="48">
        <f t="shared" ca="1" si="314"/>
        <v>0</v>
      </c>
      <c r="EF160" s="48" t="str">
        <f t="shared" ca="1" si="315"/>
        <v/>
      </c>
      <c r="EG160" s="48">
        <f t="shared" ca="1" si="316"/>
        <v>0</v>
      </c>
      <c r="EH160" s="48" t="str">
        <f t="shared" ca="1" si="317"/>
        <v/>
      </c>
      <c r="EI160" s="48">
        <f t="shared" ca="1" si="318"/>
        <v>0</v>
      </c>
      <c r="EJ160" s="48" t="str">
        <f t="shared" ca="1" si="319"/>
        <v/>
      </c>
      <c r="EK160" s="48">
        <f t="shared" ca="1" si="320"/>
        <v>0</v>
      </c>
      <c r="EL160" s="48">
        <f t="shared" ca="1" si="292"/>
        <v>0</v>
      </c>
      <c r="EM160" s="48">
        <f ca="1">IF(EL160&gt;=0,0,MAX($EM$2:EM159)+1)</f>
        <v>0</v>
      </c>
      <c r="EN160" s="48" t="str">
        <f t="shared" ca="1" si="321"/>
        <v/>
      </c>
      <c r="EO160" s="48" t="str">
        <f ca="1">IFERROR(INDEX($EM$3:$EN$400,MATCH(ROWS($EO$3:EO160),$EM$3:$EM$400,0),2),"")</f>
        <v/>
      </c>
      <c r="EP160" s="48">
        <f>ROW()</f>
        <v>160</v>
      </c>
      <c r="EQ160" s="48">
        <f t="shared" ca="1" si="293"/>
        <v>0</v>
      </c>
      <c r="ER160" s="48">
        <f ca="1">IF(ISNA(EQ160)=TRUE,MAX($ER$2:ER159)+1,0)</f>
        <v>0</v>
      </c>
      <c r="ES160" s="48" t="str">
        <f t="shared" ca="1" si="322"/>
        <v/>
      </c>
      <c r="ET160" s="48" t="str">
        <f ca="1">IFERROR(INDEX($ER$3:$ES$400,MATCH(ROWS($ET$3:ET160),$ER$3:$ER$400,0),2),"")</f>
        <v/>
      </c>
      <c r="EV160" s="48">
        <f ca="1">IFERROR(INDEX(LIBRO_GIORNALE!$O$11:$P$408,MATCH(ROWS($EV$2:EV159),LIBRO_GIORNALE!$P$11:$P$408,0),1),0)</f>
        <v>0</v>
      </c>
      <c r="EW160" s="48" t="str">
        <f t="shared" ca="1" si="323"/>
        <v>0</v>
      </c>
      <c r="EX160" s="48">
        <f t="shared" ca="1" si="324"/>
        <v>0</v>
      </c>
      <c r="EY160" s="48">
        <f ca="1">IF(EX160&gt;0,MAX($EY$2:EY159)+1,0)</f>
        <v>0</v>
      </c>
      <c r="EZ160" s="48">
        <f ca="1">IFERROR(INDEX($EX$3:$EX$400,MATCH(ROWS($EZ$3:EZ160),$EY$3:$EY$400,0),1),0)</f>
        <v>0</v>
      </c>
      <c r="FA160" s="48">
        <f ca="1">IF(EZ160&gt;0,0,MAX($FA$2:FA159)+1)</f>
        <v>158</v>
      </c>
      <c r="FB160" s="48">
        <f t="shared" ca="1" si="325"/>
        <v>0</v>
      </c>
      <c r="FC160" s="48">
        <f t="shared" ca="1" si="326"/>
        <v>158</v>
      </c>
      <c r="FD160" s="48">
        <f t="shared" ca="1" si="327"/>
        <v>158</v>
      </c>
      <c r="FE160" s="48">
        <f ca="1">IF(FD160=0,0,MAX($FE$2:FE159)+1)</f>
        <v>158</v>
      </c>
      <c r="FF160" s="48">
        <f ca="1">IFERROR(INDEX($FD$3:$FE$400,MATCH(ROWS($FF$3:FF160),$FE$3:$FE$400,0),1),"")</f>
        <v>158</v>
      </c>
      <c r="FG160" s="48">
        <f t="shared" ca="1" si="255"/>
        <v>0</v>
      </c>
      <c r="FH160" s="48">
        <f t="shared" ca="1" si="328"/>
        <v>0</v>
      </c>
      <c r="FI160" s="48">
        <f ca="1">IF(FH160&lt;&gt;0,MAX($FI$2:FI159)+1,0)</f>
        <v>0</v>
      </c>
      <c r="FJ160" s="48" t="str">
        <f ca="1">IFERROR(INDEX($FH$3:$FI$400,MATCH(ROWS($FJ$3:FJ160),$FI$3:$FI$400,0),1),"")</f>
        <v/>
      </c>
      <c r="FK160" s="48">
        <f ca="1">IF(ABS(SUMIFS(DARE,DEN_G,"="&amp;FJ160,DATA,"&lt;="&amp;FINE_AC,DATA,"&gt;="&amp;INIZIO_A_PC)-SUMIFS(AVERE,DEN_G,"="&amp;FJ160,DATA,"&lt;="&amp;FINE_AC,DATA,"&gt;="&amp;INIZIO_A_PC))&gt;0,MAX($FK$2:FK159)+1,0)</f>
        <v>0</v>
      </c>
      <c r="FL160" s="48" t="str">
        <f ca="1">IF(AND(ROW()-2&lt;&gt;1,ROW()-2&lt;=$FK$1),CONCATENATE(" - ",IFERROR(INDEX($FJ$3:$FK$400,MATCH(ROWS($FL$3:FL160),$FK$3:$FK$400,0),1),"")),IFERROR(INDEX($FJ$3:$FK$400,MATCH(ROWS($FL$3:FL160),$FK$3:$FK$400,0),1),""))</f>
        <v/>
      </c>
      <c r="FM160" s="48">
        <f ca="1">IF(OR(B160="IVA ns/credito",B160="IVA NS/DEBITO",B160="IVA C/ACCONTO",B160="IMPOSTE C/ACCONTO",B160="CREDITI PER RITENUTE SUBITE",B160="CREDITI D'IMPOSTA"),MAX($FM$2:FM159)+1,0)</f>
        <v>0</v>
      </c>
      <c r="FN160" s="48" t="str">
        <f t="shared" ca="1" si="329"/>
        <v/>
      </c>
      <c r="FO160" s="48" t="str">
        <f ca="1">IFERROR(INDEX($FM$3:$FN$400,MATCH(ROWS($FO$3:FO160),$FM$3:$FM$400,0),2),"")</f>
        <v/>
      </c>
      <c r="FP160" s="48">
        <f ca="1">IF(ABS(SUMIFS(DARE,DEN_G,"="&amp;FO160,DATA,"&lt;="&amp;FINE_AC,DATA,"&gt;="&amp;INIZIO_A_PC)-SUMIFS(AVERE,DEN_G,"="&amp;FO160,DATA,"&lt;="&amp;FINE_AC,DATA,"&gt;="&amp;INIZIO_A_PC))&gt;0,MAX($FP$2:FP159)+1,0)</f>
        <v>0</v>
      </c>
      <c r="FQ160" s="48" t="str">
        <f ca="1">IF(AND(ROW()-2&lt;&gt;1,ROW()-2&lt;=$FP$1),CONCATENATE(" - ",IFERROR(INDEX($FO$3:$FP$400,MATCH(ROWS($FQ$3:FQ160),$FP$3:$FP$400,0),1),"")),IFERROR(INDEX($FO$3:$FP$400,MATCH(ROWS($FQ$3:FQ160),$FP$3:$FP$400,0),1),""))</f>
        <v/>
      </c>
    </row>
    <row r="161" spans="1:173" x14ac:dyDescent="0.3">
      <c r="A161" s="48" t="str">
        <f ca="1">IFERROR(IF($A$1=2,INDEX($DH$3:$DN$401,MATCH(ROWS(A$3:A161),$DN$3:$DN$401,0),COLUMN()),IF($A$1=1,INDEX($DQ$3:$DW$401,MATCH(ROWS(A$3:A161),$DW$3:$DW$401,0),COLUMN()),"")),"")</f>
        <v>15.40</v>
      </c>
      <c r="B161" s="48" t="str">
        <f ca="1">IFERROR(IF($A$1=2,INDEX($DH$3:$DN$401,MATCH(ROWS(B$3:B161),$DN$3:$DN$401,0),COLUMN()),IF($A$1=1,INDEX($DQ$3:$DW$400,MATCH(ROWS(B$3:B161),$DW$3:$DW$401,0),COLUMN()),"")),"")</f>
        <v>AZIONISTI C/DIVIDENDI</v>
      </c>
      <c r="C161" s="48" t="str">
        <f ca="1">IFERROR(IF($A$1=2,INDEX($DH$3:$DN$401,MATCH(ROWS(C$3:C161),$DN$3:$DN$401,0),COLUMN()),IF($A$1=1,INDEX($DQ$3:$DW$401,MATCH(ROWS(C$3:C161),$DW$3:$DW$401,0),COLUMN()),"")),"")</f>
        <v>F</v>
      </c>
      <c r="D161" s="48" t="str">
        <f ca="1">IFERROR(IF($A$1=2,INDEX($DH$3:$DN$401,MATCH(ROWS(D$3:D161),$DN$3:$DN$401,0),COLUMN()),IF($A$1=1,INDEX($DQ$3:$DW$401,MATCH(ROWS(D$3:D161),$DW$3:$DW$401,0),COLUMN()),"")),"")</f>
        <v>A</v>
      </c>
      <c r="E161" s="48" t="str">
        <f ca="1">IFERROR(IF($A$1=2,INDEX($DH$3:$DN$401,MATCH(ROWS(E$3:E161),$DN$3:$DN$401,0),COLUMN()),IF($A$1=1,INDEX($DQ$3:$DW$401,MATCH(ROWS(E$3:E161),$DW$3:$DW$401,0),COLUMN()),"")),"")</f>
        <v>DEBITI</v>
      </c>
      <c r="F161" s="48" t="str">
        <f ca="1">IFERROR(IF($A$1=2,INDEX($DH$3:$DN$401,MATCH(ROWS(F$3:F161),$DN$3:$DN$401,0),COLUMN()),IF($A$1=1,INDEX($DQ$3:$DX$401,MATCH(ROWS(F$3:F161),$DW$3:$DW$401,0),COLUMN()),"")),"")</f>
        <v>SP AVERE</v>
      </c>
      <c r="G161" s="48" t="str">
        <f t="shared" ca="1" si="294"/>
        <v>SP</v>
      </c>
      <c r="H161" s="48" t="str">
        <f ca="1">IFERROR(IF($A$1=2,INDEX($DH$3:$DO$400,MATCH(ROWS(H$3:H161),$DN$3:$DN$400,0),COLUMN()),IF($A$1=1,INDEX($DQ$3:$DX$400,MATCH(ROWS(H$3:H161),$DW$3:$DW$400,0),COLUMN()),"")),"")</f>
        <v>ppd</v>
      </c>
      <c r="I161" s="48" t="str">
        <f t="shared" ca="1" si="295"/>
        <v/>
      </c>
      <c r="J161" s="48" t="str">
        <f t="shared" ca="1" si="296"/>
        <v/>
      </c>
      <c r="K161" s="48">
        <f t="shared" ca="1" si="297"/>
        <v>0</v>
      </c>
      <c r="L161" s="48">
        <f t="shared" ca="1" si="298"/>
        <v>0</v>
      </c>
      <c r="M161" s="48">
        <f ca="1">IFERROR(IF(IF(MID($A161,3,3)=".00",MID(A161,1,2),"")&lt;&gt;"",MAX($M$2:M160)+1,0),"")</f>
        <v>0</v>
      </c>
      <c r="N161" s="48" t="str">
        <f t="shared" ca="1" si="299"/>
        <v/>
      </c>
      <c r="O161" s="48" t="str">
        <f ca="1">IF(IFERROR(INDEX($N$3:$O$300,MATCH(ROWS($O$3:O161),$M$3:$M$300,0),1),"")&lt;&gt;"",CONCATENATE(INDEX($N$3:$O$300,MATCH(ROWS($O$3:O161),$M$3:$M$300,0),1),".00"),"")</f>
        <v/>
      </c>
      <c r="P161" s="48" t="str">
        <f t="shared" ca="1" si="300"/>
        <v/>
      </c>
      <c r="Q161" s="48">
        <f ca="1">IF(M161&gt;=1,0,MAX($Q$2:Q160)+1)</f>
        <v>143</v>
      </c>
      <c r="U161" s="48" t="str">
        <f ca="1">IFERROR(INDEX(PDC,MATCH(ROWS(U$3:U161),$V$3:$V$400,0),2),"")</f>
        <v>SOCIETÀ DI FACTORING C/C</v>
      </c>
      <c r="V161" s="48">
        <f ca="1">IF(AND($T$1="VISUALIZZA TUTTI I CONTI",AA161&lt;&gt;""),MAX($V$2:V160)+1,IF(AND($U$2=2,AI161=$T$1),MAX($V$2:V160)+1,IF(AND($U$2=1,$T$1=AF161),MAX($V$2:V160)+1,0)))</f>
        <v>159</v>
      </c>
      <c r="AA161" s="48" t="str">
        <f t="shared" ca="1" si="301"/>
        <v>18.00</v>
      </c>
      <c r="AB161" s="48" t="str">
        <f ca="1">IFERROR(INDEX($A$3:$G$400,MATCH(ROWS(AB$3:AB161),$Q$3:$Q$400,0),1),"")</f>
        <v>18.30</v>
      </c>
      <c r="AC161" s="48" t="str">
        <f ca="1">IFERROR(INDEX($A$3:$G$400,MATCH(ROWS($AC$3:AC161),$Q$3:$Q$400,0),2),"")</f>
        <v>SOCIETÀ DI FACTORING C/C</v>
      </c>
      <c r="AD161" s="48" t="str">
        <f ca="1">IFERROR(INDEX($A$3:$G$400,MATCH(ROWS(AD$3:AD161),$Q$3:$Q$400,0),3),"")</f>
        <v>F</v>
      </c>
      <c r="AE161" s="48" t="str">
        <f ca="1">IFERROR(INDEX($A$3:$G$400,MATCH(ROWS(AE$3:AE161),$Q$3:$Q$400,0),4),"")</f>
        <v>D/A</v>
      </c>
      <c r="AF161" s="48" t="str">
        <f ca="1">IFERROR(INDEX($A$3:$G$400,MATCH(ROWS(AF$3:AF161),$Q$3:$Q$400,0),5),"")</f>
        <v>CONTI CON ALTERNANZA DI SALDO</v>
      </c>
      <c r="AG161" s="48" t="str">
        <f ca="1">IFERROR(INDEX($A$3:$G$400,MATCH(ROWS(AG$3:AG161),$Q$3:$Q$400,0),6),"")</f>
        <v>SP DARE/AVERE</v>
      </c>
      <c r="AH161" s="48" t="str">
        <f ca="1">IFERROR(INDEX($A$3:$G$400,MATCH(ROWS(AH$3:AH161),$Q$3:$Q$400,0),7),"")</f>
        <v>SP</v>
      </c>
      <c r="AI161" s="48" t="str">
        <f t="shared" ca="1" si="302"/>
        <v>CONTI TRANSITORI E DIVERSI</v>
      </c>
      <c r="AJ161" s="48" t="str">
        <f ca="1">IFERROR(INDEX($A$3:$H$400,MATCH(ROWS(AJ$3:AJ161),$Q$3:$Q$400,0),8),"")</f>
        <v>ppd</v>
      </c>
      <c r="AK161" s="48">
        <f t="shared" ca="1" si="277"/>
        <v>0</v>
      </c>
      <c r="AL161" s="48">
        <f t="shared" ca="1" si="335"/>
        <v>0</v>
      </c>
      <c r="AM161" s="48">
        <f t="shared" ca="1" si="252"/>
        <v>0</v>
      </c>
      <c r="AN161" s="48">
        <f t="shared" ca="1" si="253"/>
        <v>0</v>
      </c>
      <c r="AO161" s="48">
        <f t="shared" ca="1" si="254"/>
        <v>0</v>
      </c>
      <c r="AP161" s="48">
        <f t="shared" ca="1" si="254"/>
        <v>0</v>
      </c>
      <c r="AQ161" s="48" t="str">
        <f t="shared" ca="1" si="278"/>
        <v>SOCIETÀ DI FACTORING C/C</v>
      </c>
      <c r="AR161" s="48">
        <f t="shared" ca="1" si="279"/>
        <v>0</v>
      </c>
      <c r="AS161" s="48">
        <f t="shared" ca="1" si="280"/>
        <v>0</v>
      </c>
      <c r="AT161" s="48">
        <f t="shared" ca="1" si="303"/>
        <v>0</v>
      </c>
      <c r="AU161" s="48">
        <f t="shared" ca="1" si="304"/>
        <v>0</v>
      </c>
      <c r="AV161" s="48">
        <f ca="1">IF(OR(AT161&gt;0,AU161&gt;0),MAX($AV$2:AV160)+1,0)</f>
        <v>0</v>
      </c>
      <c r="AZ161" s="241" t="str">
        <f t="shared" si="240"/>
        <v>61 V.I.</v>
      </c>
      <c r="BA161" s="48">
        <f t="shared" ca="1" si="330"/>
        <v>0</v>
      </c>
      <c r="BB161" s="48">
        <f t="shared" ca="1" si="247"/>
        <v>0</v>
      </c>
      <c r="BC161" s="48" t="str">
        <f t="shared" ca="1" si="248"/>
        <v/>
      </c>
      <c r="BD161" s="48">
        <f t="shared" ca="1" si="249"/>
        <v>0</v>
      </c>
      <c r="BE161" s="48">
        <f t="shared" ca="1" si="250"/>
        <v>0</v>
      </c>
      <c r="BG161" s="48">
        <f ca="1">IF(IF(AND(OR(INDEX(PDC,MATCH($AC161,DEN_PDC,0),6)="SP DARE",INDEX(PDC,MATCH($AC161,DEN_PDC,0),6)="SP DARE/AVERE"),SUMIFS(DARE,DEN_G,$AC161)&gt;=SUMIFS(AVERE,DEN_G,$AC161)),SUMIFS(DARE,DEN_G,$AC161)-SUMIFS(AVERE,DEN_G,$AC161),0)&gt;0,MAX($BG$2:BG160)+1,0)</f>
        <v>0</v>
      </c>
      <c r="BH161" s="48">
        <f ca="1">IF(IF(AND(OR(INDEX(PDC,MATCH($AC161,DEN_PDC,0),6)="SP AVERE",INDEX(PDC,MATCH($AC161,DEN_PDC,0),6)="SP DARE/AVERE"),SUMIFS(AVERE,DEN_G,$AC161)&gt;=SUMIFS(DARE,DEN_G,$AC161)),SUMIFS(AVERE,DEN_G,$AC161)-SUMIFS(DARE,DEN_G,$AC161),0)&gt;0,MAX(BH$2:BH160)+1,0)</f>
        <v>0</v>
      </c>
      <c r="BI161" s="48">
        <f ca="1">IF(IF(AND(OR(INDEX(PDC,MATCH($AC161,DEN_PDC,0),6)="SE DARE",INDEX(PDC,MATCH($AC161,DEN_PDC,0),6)="SE DARE/AVERE"),SUMIFS(DARE,DEN_G,$AC161)&gt;=SUMIFS(AVERE,DEN_G,$AC161)),SUMIFS(DARE,DEN_G,$AC161)-SUMIFS(AVERE,DEN_G,$AC161),0)&gt;0,MAX(BI$2:BI160)+1,0)</f>
        <v>0</v>
      </c>
      <c r="BJ161" s="48">
        <f ca="1">IF(IF(AND(OR(INDEX(PDC,MATCH($AC161,DEN_PDC,0),6)="SE AVERE",INDEX(PDC,MATCH($AC161,DEN_PDC,0),6)="SE DARE/AVERE"),SUMIFS(AVERE,DEN_G,$AC161)&gt;=SUMIFS(DARE,DEN_G,$AC161)),SUMIFS(AVERE,DEN_G,$AC161)-SUMIFS(DARE,DEN_G,$AC161),0)&gt;0,MAX(BJ$2:BJ160)+1,0)</f>
        <v>0</v>
      </c>
      <c r="BK161" s="48" t="str">
        <f ca="1">IF(AND(AND($DY$2=0,$DY$1=0),$I$1=2,ROW()&gt;$BG$1+2,ROW()&lt;=$BG$1+4),"………………..",IF(AND(OR($DY$2&gt;0,$DY$1&gt;0),$I$1=2,ROW()&gt;$BG$1+2,ROW()&lt;=$BG$1+4),"………………..",IFERROR(INDEX($AC$3:$AC$398,MATCH(ROWS(BK$3:BK161),BG$3:BG$398,0),1),"")))</f>
        <v/>
      </c>
      <c r="BL161" s="48">
        <f t="shared" ca="1" si="281"/>
        <v>0</v>
      </c>
      <c r="BM161" s="48" t="str">
        <f ca="1">IF(AND(OR($DY$2=0,$DY$1=0),$I$1=2,ROW()&gt;$BH$1+2,ROW()&lt;=$BH$1+4),"………………..",IF(AND(OR($DY$2&gt;0,$DY$1&gt;0),$I$1=2,ROW()&gt;$BH$1+2,ROW()&lt;=$BH$1+4),"………………..",IFERROR(INDEX($AC$3:$AC$400,MATCH(ROWS(BM$3:BM161),BH$3:BH$400,0),1),"")))</f>
        <v/>
      </c>
      <c r="BN161" s="48">
        <f t="shared" ca="1" si="282"/>
        <v>0</v>
      </c>
      <c r="BO161" s="48" t="str">
        <f ca="1">IF(AND(OR($DY$2=0,$DY$1=0),$I$1=2,ROW()&gt;$BI$1+2,ROW()&lt;=$BI$1+4),"………………..",IF(AND(OR($DY$2&gt;0,$DY$1&gt;0),$I$1=2,ROW()&gt;$BI$1+2,ROW()&lt;=$BI$1+4),"………………..",IFERROR(INDEX($AC$3:$AC$400,MATCH(ROWS(BO$3:BO161),BI$3:BI$400,0),1),"")))</f>
        <v/>
      </c>
      <c r="BP161" s="48">
        <f t="shared" ca="1" si="283"/>
        <v>0</v>
      </c>
      <c r="BQ161" s="48" t="str">
        <f ca="1">IF(AND(OR($DY$2=0,$DY$1=0),$I$1=2,ROW()&gt;$BJ$1+2,ROW()&lt;=$BJ$1+4),"………………..",IF(AND(OR($DY$2&gt;0,$DY$1&gt;0),$I$1=2,ROW()&gt;$BJ$1+2,ROW()&lt;=$BJ$1+4),"………………..",IFERROR(INDEX($AC$3:$AC$400,MATCH(ROWS(BQ$3:BQ161),BJ$3:BJ$400,0),1),"")))</f>
        <v/>
      </c>
      <c r="BR161" s="48">
        <f t="shared" ca="1" si="284"/>
        <v>0</v>
      </c>
      <c r="BS161" s="48">
        <f ca="1">IF(IF(AND(OR(INDEX(PDC,MATCH($AC161,DEN_PDC,0),4)="D",INDEX(PDC,MATCH($AC161,DEN_PDC,0),4)="D/A"),SUMIFS(DARE,DEN_G,$AC161)&gt;=SUMIFS(AVERE,DEN_G,$AC161)),SUMIFS(DARE,DEN_G,$AC161),IF(AND(OR(INDEX(PDC,MATCH($AC161,DEN_PDC,0),4)="A",INDEX(PDC,MATCH($AC161,DEN_PDC,0),4)="D/A"),SUMIFS(AVERE,DEN_G,$AC161)&gt;=SUMIFS(DARE,DEN_G,$AC161)),SUMIFS(AVERE,DEN_G,$AC161),))&gt;0,MAX($BS$2:BS160)+1,0)</f>
        <v>0</v>
      </c>
      <c r="BT161" s="48" t="str">
        <f ca="1">IF($CO$1=0,"",IF(AND($I$1=2,ROW()&gt;$BR$1,ROW()&lt;=$BS$1)," …………….",IF(AND($E$1=1,$BX$1=1,$I$1=2,ROW()=$BQ$1),"TOTALI",IFERROR(INDEX(PDC,MATCH(ROWS(BT$3:BT161),BS$3:BS558,0),2),""))))</f>
        <v/>
      </c>
      <c r="BU161" s="48">
        <f t="shared" ca="1" si="285"/>
        <v>0</v>
      </c>
      <c r="BV161" s="48">
        <f t="shared" ca="1" si="286"/>
        <v>0</v>
      </c>
      <c r="BW161" s="48">
        <f t="shared" ca="1" si="287"/>
        <v>0</v>
      </c>
      <c r="BX161" s="48">
        <f t="shared" ca="1" si="288"/>
        <v>0</v>
      </c>
      <c r="BY161" s="48">
        <f ca="1">IF(OR(BW161&gt;0,BX161&gt;0),MAX($BY$2:BY160)+1,0)</f>
        <v>0</v>
      </c>
      <c r="BZ161" s="48" t="str">
        <f ca="1">IFERROR(INDEX($BT$3:$BY$400,MATCH(ROWS(BZ$3:BZ161),$BY$3:$BY$400,0),1),"")</f>
        <v/>
      </c>
      <c r="CA161" s="48" t="str">
        <f ca="1">IFERROR(INDEX($BT$3:$BY$400,MATCH(ROWS(CA$3:CA161),$BY$3:$BY$400,0),4),"")</f>
        <v/>
      </c>
      <c r="CB161" s="48" t="str">
        <f ca="1">IFERROR(INDEX($BT$3:$BY$400,MATCH(ROWS(CB$3:CB161),$BY$3:$BY$400,0),5),"")</f>
        <v/>
      </c>
      <c r="CC161" s="48" t="str">
        <f t="shared" ca="1" si="289"/>
        <v/>
      </c>
      <c r="CD161" s="48">
        <f ca="1">IF(AND($BF$9=1,CE161&lt;&gt;0),MAX($CD$104:CD160)+1,0)</f>
        <v>0</v>
      </c>
      <c r="CE161" s="48">
        <f ca="1">ROUND(IFERROR(INDEX(BILANCIO!$I$13:$J$59,MATCH(CF161,BILANCIO!$J$13:$J$59,0),1),0),0)</f>
        <v>0</v>
      </c>
      <c r="CF161" s="48" t="s">
        <v>803</v>
      </c>
      <c r="CG161" s="242" t="s">
        <v>571</v>
      </c>
      <c r="CI161" s="48">
        <f t="shared" ca="1" si="331"/>
        <v>0</v>
      </c>
      <c r="CJ161" s="242">
        <f ca="1">SUMIFS(COPIA!$CB$3:$CB$400,COPIA!$CC$3:$CC$400,CF161)-SUMIFS(COPIA!$CA$3:$CA$400,COPIA!$CC$3:$CC$400,CF161)</f>
        <v>0</v>
      </c>
      <c r="CK161" s="48">
        <f ca="1">IF($CG$2=FALSE,0,IF(AND($BF$9=1,CJ161&lt;&gt;0),MAX($CK$21:CK160)+1,0))</f>
        <v>0</v>
      </c>
      <c r="CM161" s="242" t="str">
        <f t="shared" ca="1" si="305"/>
        <v/>
      </c>
      <c r="CN161" s="243">
        <f t="shared" ca="1" si="306"/>
        <v>0</v>
      </c>
      <c r="CO161" s="48" t="str">
        <f t="shared" ca="1" si="307"/>
        <v/>
      </c>
      <c r="CQ161" s="242"/>
      <c r="CR161" s="242"/>
      <c r="CU161" s="48">
        <f ca="1">IF(SUMIFS(AVERE,DEN_G,AC161,AVERE,"&gt;"&amp;0)+SUMIFS(DARE,DEN_G,AC161,DARE,"&gt;"&amp;0)&gt;0,MAX($CU$2:CU160)+1,0)</f>
        <v>0</v>
      </c>
      <c r="CV161" s="48" t="str">
        <f ca="1">IF(IFERROR(INDEX(PDC,MATCH(ROWS($CV$3:CV161),$CU$3:$CU$400,0),2),"")="CONTO DI RISULTATO ECONOMICO","",IFERROR(INDEX(PDC,MATCH(ROWS($CV$3:CV161),$CU$3:$CU$400,0),2),""))</f>
        <v/>
      </c>
      <c r="CW161" s="48">
        <f ca="1">IFERROR(IF(CV161&lt;&gt;"",MAX($CW$2:CW160)+1,0),0)</f>
        <v>0</v>
      </c>
      <c r="CX161" s="48">
        <f t="shared" ca="1" si="361"/>
        <v>13</v>
      </c>
      <c r="CY161" s="48" t="str">
        <f t="shared" ca="1" si="359"/>
        <v>MASTRO</v>
      </c>
      <c r="CZ161" s="48" t="e">
        <f t="shared" ref="CZ161:CZ170" ca="1" si="364">SUM(MATCH($CY161,INDIRECT(ADDRESS(SUM(CZ160)+3,54)&amp;":"&amp;ADDRESS(400,54)),0),CZ160)</f>
        <v>#N/A</v>
      </c>
      <c r="DA161" s="48" t="str">
        <f ca="1">IFERROR(INDEX(LIBRO_GIORNALE,CZ161,1),"")</f>
        <v/>
      </c>
      <c r="DB161" s="48" t="str">
        <f t="shared" ca="1" si="347"/>
        <v/>
      </c>
      <c r="DC161" s="48" t="str">
        <f t="shared" ref="DC161:DC170" ca="1" si="365">IF(IFERROR(INDEX(LIBRO_GIORNALE,CZ161,4),"")=0,"manca la descrizione dell'operazione",IFERROR(INDEX(LIBRO_GIORNALE,CZ161,4),""))</f>
        <v/>
      </c>
      <c r="DD161" s="48" t="str">
        <f t="shared" ref="DD161:DD170" ca="1" si="366">IFERROR(IF(INDEX(LIBRO_GIORNALE,CZ161,5)&gt;0,INDEX(LIBRO_GIORNALE,CZ161,5),""),"")</f>
        <v/>
      </c>
      <c r="DE161" s="48" t="str">
        <f t="shared" ref="DE161:DE170" ca="1" si="367">IFERROR(IF(INDEX(LIBRO_GIORNALE,CZ161,6)&gt;0,INDEX(LIBRO_GIORNALE,CZ161,6),""),"")</f>
        <v/>
      </c>
      <c r="DF161" s="48">
        <f ca="1">IF(AND(CX161=$DF$1,CX161&lt;&gt;""),0,IF(AND(DB161&lt;&gt;"",OR(DB160&lt;&gt;"",DB162&lt;&gt;"")),MAX($DF$2:DF160)+1,0))</f>
        <v>0</v>
      </c>
      <c r="DH161" s="244" t="s">
        <v>407</v>
      </c>
      <c r="DI161" s="48" t="s">
        <v>1053</v>
      </c>
      <c r="DJ161" s="48" t="s">
        <v>312</v>
      </c>
      <c r="DK161" s="48" t="s">
        <v>298</v>
      </c>
      <c r="DL161" s="48" t="s">
        <v>5</v>
      </c>
      <c r="DM161" s="48" t="s">
        <v>299</v>
      </c>
      <c r="DN161" s="48">
        <f ca="1">IF(DI161&lt;&gt;"",MAX($DN$2:DN160)+1,0)</f>
        <v>132</v>
      </c>
      <c r="DO161" s="48" t="str">
        <f t="shared" ca="1" si="360"/>
        <v>ppd</v>
      </c>
      <c r="DR161" s="228"/>
      <c r="DW161" s="48">
        <f>IF(DR161&lt;&gt;"",MAX($DW$2:DW160)+1,0)</f>
        <v>0</v>
      </c>
      <c r="DY161" s="48" t="str">
        <f t="shared" ca="1" si="291"/>
        <v/>
      </c>
      <c r="DZ161" s="48" t="str">
        <f t="shared" ca="1" si="309"/>
        <v/>
      </c>
      <c r="EA161" s="48" t="str">
        <f t="shared" ca="1" si="310"/>
        <v/>
      </c>
      <c r="EB161" s="48">
        <f t="shared" ca="1" si="311"/>
        <v>0</v>
      </c>
      <c r="EC161" s="48">
        <f t="shared" ca="1" si="312"/>
        <v>0</v>
      </c>
      <c r="ED161" s="48" t="str">
        <f t="shared" ca="1" si="313"/>
        <v/>
      </c>
      <c r="EE161" s="48">
        <f t="shared" ca="1" si="314"/>
        <v>0</v>
      </c>
      <c r="EF161" s="48" t="str">
        <f t="shared" ca="1" si="315"/>
        <v/>
      </c>
      <c r="EG161" s="48">
        <f t="shared" ca="1" si="316"/>
        <v>0</v>
      </c>
      <c r="EH161" s="48" t="str">
        <f t="shared" ca="1" si="317"/>
        <v/>
      </c>
      <c r="EI161" s="48">
        <f t="shared" ca="1" si="318"/>
        <v>0</v>
      </c>
      <c r="EJ161" s="48" t="str">
        <f t="shared" ca="1" si="319"/>
        <v/>
      </c>
      <c r="EK161" s="48">
        <f t="shared" ca="1" si="320"/>
        <v>0</v>
      </c>
      <c r="EL161" s="48">
        <f t="shared" ca="1" si="292"/>
        <v>0</v>
      </c>
      <c r="EM161" s="48">
        <f ca="1">IF(EL161&gt;=0,0,MAX($EM$2:EM160)+1)</f>
        <v>0</v>
      </c>
      <c r="EN161" s="48" t="str">
        <f t="shared" ca="1" si="321"/>
        <v/>
      </c>
      <c r="EO161" s="48" t="str">
        <f ca="1">IFERROR(INDEX($EM$3:$EN$400,MATCH(ROWS($EO$3:EO161),$EM$3:$EM$400,0),2),"")</f>
        <v/>
      </c>
      <c r="EP161" s="48">
        <f>ROW()</f>
        <v>161</v>
      </c>
      <c r="EQ161" s="48">
        <f t="shared" ca="1" si="293"/>
        <v>0</v>
      </c>
      <c r="ER161" s="48">
        <f ca="1">IF(ISNA(EQ161)=TRUE,MAX($ER$2:ER160)+1,0)</f>
        <v>0</v>
      </c>
      <c r="ES161" s="48" t="str">
        <f t="shared" ca="1" si="322"/>
        <v/>
      </c>
      <c r="ET161" s="48" t="str">
        <f ca="1">IFERROR(INDEX($ER$3:$ES$400,MATCH(ROWS($ET$3:ET161),$ER$3:$ER$400,0),2),"")</f>
        <v/>
      </c>
      <c r="EV161" s="48">
        <f ca="1">IFERROR(INDEX(LIBRO_GIORNALE!$O$11:$P$408,MATCH(ROWS($EV$2:EV160),LIBRO_GIORNALE!$P$11:$P$408,0),1),0)</f>
        <v>0</v>
      </c>
      <c r="EW161" s="48" t="str">
        <f t="shared" ca="1" si="323"/>
        <v>0</v>
      </c>
      <c r="EX161" s="48">
        <f t="shared" ca="1" si="324"/>
        <v>0</v>
      </c>
      <c r="EY161" s="48">
        <f ca="1">IF(EX161&gt;0,MAX($EY$2:EY160)+1,0)</f>
        <v>0</v>
      </c>
      <c r="EZ161" s="48">
        <f ca="1">IFERROR(INDEX($EX$3:$EX$400,MATCH(ROWS($EZ$3:EZ161),$EY$3:$EY$400,0),1),0)</f>
        <v>0</v>
      </c>
      <c r="FA161" s="48">
        <f ca="1">IF(EZ161&gt;0,0,MAX($FA$2:FA160)+1)</f>
        <v>159</v>
      </c>
      <c r="FB161" s="48">
        <f t="shared" ca="1" si="325"/>
        <v>0</v>
      </c>
      <c r="FC161" s="48">
        <f t="shared" ca="1" si="326"/>
        <v>159</v>
      </c>
      <c r="FD161" s="48">
        <f t="shared" ca="1" si="327"/>
        <v>159</v>
      </c>
      <c r="FE161" s="48">
        <f ca="1">IF(FD161=0,0,MAX($FE$2:FE160)+1)</f>
        <v>159</v>
      </c>
      <c r="FF161" s="48">
        <f ca="1">IFERROR(INDEX($FD$3:$FE$400,MATCH(ROWS($FF$3:FF161),$FE$3:$FE$400,0),1),"")</f>
        <v>159</v>
      </c>
      <c r="FG161" s="48">
        <f t="shared" ca="1" si="255"/>
        <v>0</v>
      </c>
      <c r="FH161" s="48">
        <f t="shared" ca="1" si="328"/>
        <v>0</v>
      </c>
      <c r="FI161" s="48">
        <f ca="1">IF(FH161&lt;&gt;0,MAX($FI$2:FI160)+1,0)</f>
        <v>0</v>
      </c>
      <c r="FJ161" s="48" t="str">
        <f ca="1">IFERROR(INDEX($FH$3:$FI$400,MATCH(ROWS($FJ$3:FJ161),$FI$3:$FI$400,0),1),"")</f>
        <v/>
      </c>
      <c r="FK161" s="48">
        <f ca="1">IF(ABS(SUMIFS(DARE,DEN_G,"="&amp;FJ161,DATA,"&lt;="&amp;FINE_AC,DATA,"&gt;="&amp;INIZIO_A_PC)-SUMIFS(AVERE,DEN_G,"="&amp;FJ161,DATA,"&lt;="&amp;FINE_AC,DATA,"&gt;="&amp;INIZIO_A_PC))&gt;0,MAX($FK$2:FK160)+1,0)</f>
        <v>0</v>
      </c>
      <c r="FL161" s="48" t="str">
        <f ca="1">IF(AND(ROW()-2&lt;&gt;1,ROW()-2&lt;=$FK$1),CONCATENATE(" - ",IFERROR(INDEX($FJ$3:$FK$400,MATCH(ROWS($FL$3:FL161),$FK$3:$FK$400,0),1),"")),IFERROR(INDEX($FJ$3:$FK$400,MATCH(ROWS($FL$3:FL161),$FK$3:$FK$400,0),1),""))</f>
        <v/>
      </c>
      <c r="FM161" s="48">
        <f ca="1">IF(OR(B161="IVA ns/credito",B161="IVA NS/DEBITO",B161="IVA C/ACCONTO",B161="IMPOSTE C/ACCONTO",B161="CREDITI PER RITENUTE SUBITE",B161="CREDITI D'IMPOSTA"),MAX($FM$2:FM160)+1,0)</f>
        <v>0</v>
      </c>
      <c r="FN161" s="48" t="str">
        <f t="shared" ca="1" si="329"/>
        <v/>
      </c>
      <c r="FO161" s="48" t="str">
        <f ca="1">IFERROR(INDEX($FM$3:$FN$400,MATCH(ROWS($FO$3:FO161),$FM$3:$FM$400,0),2),"")</f>
        <v/>
      </c>
      <c r="FP161" s="48">
        <f ca="1">IF(ABS(SUMIFS(DARE,DEN_G,"="&amp;FO161,DATA,"&lt;="&amp;FINE_AC,DATA,"&gt;="&amp;INIZIO_A_PC)-SUMIFS(AVERE,DEN_G,"="&amp;FO161,DATA,"&lt;="&amp;FINE_AC,DATA,"&gt;="&amp;INIZIO_A_PC))&gt;0,MAX($FP$2:FP160)+1,0)</f>
        <v>0</v>
      </c>
      <c r="FQ161" s="48" t="str">
        <f ca="1">IF(AND(ROW()-2&lt;&gt;1,ROW()-2&lt;=$FP$1),CONCATENATE(" - ",IFERROR(INDEX($FO$3:$FP$400,MATCH(ROWS($FQ$3:FQ161),$FP$3:$FP$400,0),1),"")),IFERROR(INDEX($FO$3:$FP$400,MATCH(ROWS($FQ$3:FQ161),$FP$3:$FP$400,0),1),""))</f>
        <v/>
      </c>
    </row>
    <row r="162" spans="1:173" x14ac:dyDescent="0.3">
      <c r="A162" s="48" t="str">
        <f ca="1">IFERROR(IF($A$1=2,INDEX($DH$3:$DN$401,MATCH(ROWS(A$3:A162),$DN$3:$DN$401,0),COLUMN()),IF($A$1=1,INDEX($DQ$3:$DW$401,MATCH(ROWS(A$3:A162),$DW$3:$DW$401,0),COLUMN()),"")),"")</f>
        <v>15.50</v>
      </c>
      <c r="B162" s="48" t="str">
        <f ca="1">IFERROR(IF($A$1=2,INDEX($DH$3:$DN$401,MATCH(ROWS(B$3:B162),$DN$3:$DN$401,0),COLUMN()),IF($A$1=1,INDEX($DQ$3:$DW$400,MATCH(ROWS(B$3:B162),$DW$3:$DW$401,0),COLUMN()),"")),"")</f>
        <v>AZIONISTI C/RIMBORSO</v>
      </c>
      <c r="C162" s="48" t="str">
        <f ca="1">IFERROR(IF($A$1=2,INDEX($DH$3:$DN$401,MATCH(ROWS(C$3:C162),$DN$3:$DN$401,0),COLUMN()),IF($A$1=1,INDEX($DQ$3:$DW$401,MATCH(ROWS(C$3:C162),$DW$3:$DW$401,0),COLUMN()),"")),"")</f>
        <v>F</v>
      </c>
      <c r="D162" s="48" t="str">
        <f ca="1">IFERROR(IF($A$1=2,INDEX($DH$3:$DN$401,MATCH(ROWS(D$3:D162),$DN$3:$DN$401,0),COLUMN()),IF($A$1=1,INDEX($DQ$3:$DW$401,MATCH(ROWS(D$3:D162),$DW$3:$DW$401,0),COLUMN()),"")),"")</f>
        <v>A</v>
      </c>
      <c r="E162" s="48" t="str">
        <f ca="1">IFERROR(IF($A$1=2,INDEX($DH$3:$DN$401,MATCH(ROWS(E$3:E162),$DN$3:$DN$401,0),COLUMN()),IF($A$1=1,INDEX($DQ$3:$DW$401,MATCH(ROWS(E$3:E162),$DW$3:$DW$401,0),COLUMN()),"")),"")</f>
        <v>DEBITI</v>
      </c>
      <c r="F162" s="48" t="str">
        <f ca="1">IFERROR(IF($A$1=2,INDEX($DH$3:$DN$401,MATCH(ROWS(F$3:F162),$DN$3:$DN$401,0),COLUMN()),IF($A$1=1,INDEX($DQ$3:$DX$401,MATCH(ROWS(F$3:F162),$DW$3:$DW$401,0),COLUMN()),"")),"")</f>
        <v>SP AVERE</v>
      </c>
      <c r="G162" s="48" t="str">
        <f t="shared" ca="1" si="294"/>
        <v>SP</v>
      </c>
      <c r="H162" s="48" t="str">
        <f ca="1">IFERROR(IF($A$1=2,INDEX($DH$3:$DO$400,MATCH(ROWS(H$3:H162),$DN$3:$DN$400,0),COLUMN()),IF($A$1=1,INDEX($DQ$3:$DX$400,MATCH(ROWS(H$3:H162),$DW$3:$DW$400,0),COLUMN()),"")),"")</f>
        <v>ppd</v>
      </c>
      <c r="I162" s="48" t="str">
        <f t="shared" ca="1" si="295"/>
        <v/>
      </c>
      <c r="J162" s="48" t="str">
        <f t="shared" ca="1" si="296"/>
        <v/>
      </c>
      <c r="K162" s="48">
        <f t="shared" ca="1" si="297"/>
        <v>0</v>
      </c>
      <c r="L162" s="48">
        <f t="shared" ca="1" si="298"/>
        <v>0</v>
      </c>
      <c r="M162" s="48">
        <f ca="1">IFERROR(IF(IF(MID($A162,3,3)=".00",MID(A162,1,2),"")&lt;&gt;"",MAX($M$2:M161)+1,0),"")</f>
        <v>0</v>
      </c>
      <c r="N162" s="48" t="str">
        <f t="shared" ca="1" si="299"/>
        <v/>
      </c>
      <c r="O162" s="48" t="str">
        <f ca="1">IF(IFERROR(INDEX($N$3:$O$300,MATCH(ROWS($O$3:O162),$M$3:$M$300,0),1),"")&lt;&gt;"",CONCATENATE(INDEX($N$3:$O$300,MATCH(ROWS($O$3:O162),$M$3:$M$300,0),1),".00"),"")</f>
        <v/>
      </c>
      <c r="P162" s="48" t="str">
        <f t="shared" ca="1" si="300"/>
        <v/>
      </c>
      <c r="Q162" s="48">
        <f ca="1">IF(M162&gt;=1,0,MAX($Q$2:Q161)+1)</f>
        <v>144</v>
      </c>
      <c r="U162" s="48" t="str">
        <f ca="1">IFERROR(INDEX(PDC,MATCH(ROWS(U$3:U162),$V$3:$V$400,0),2),"")</f>
        <v>BENI DI TERZI</v>
      </c>
      <c r="V162" s="48">
        <f ca="1">IF(AND($T$1="VISUALIZZA TUTTI I CONTI",AA162&lt;&gt;""),MAX($V$2:V161)+1,IF(AND($U$2=2,AI162=$T$1),MAX($V$2:V161)+1,IF(AND($U$2=1,$T$1=AF162),MAX($V$2:V161)+1,0)))</f>
        <v>160</v>
      </c>
      <c r="AA162" s="48" t="str">
        <f t="shared" ca="1" si="301"/>
        <v>19.00</v>
      </c>
      <c r="AB162" s="48" t="str">
        <f ca="1">IFERROR(INDEX($A$3:$G$400,MATCH(ROWS(AB$3:AB162),$Q$3:$Q$400,0),1),"")</f>
        <v>19.01</v>
      </c>
      <c r="AC162" s="48" t="str">
        <f ca="1">IFERROR(INDEX($A$3:$G$400,MATCH(ROWS($AC$3:AC162),$Q$3:$Q$400,0),2),"")</f>
        <v>BENI DI TERZI</v>
      </c>
      <c r="AD162" s="48">
        <f ca="1">IFERROR(INDEX($A$3:$G$400,MATCH(ROWS(AD$3:AD162),$Q$3:$Q$400,0),3),"")</f>
        <v>0</v>
      </c>
      <c r="AE162" s="48" t="str">
        <f ca="1">IFERROR(INDEX($A$3:$G$400,MATCH(ROWS(AE$3:AE162),$Q$3:$Q$400,0),4),"")</f>
        <v>D</v>
      </c>
      <c r="AF162" s="48" t="str">
        <f ca="1">IFERROR(INDEX($A$3:$G$400,MATCH(ROWS(AF$3:AF162),$Q$3:$Q$400,0),5),"")</f>
        <v>CONTI D'ORDINE</v>
      </c>
      <c r="AG162" s="48" t="str">
        <f ca="1">IFERROR(INDEX($A$3:$G$400,MATCH(ROWS(AG$3:AG162),$Q$3:$Q$400,0),6),"")</f>
        <v>SP</v>
      </c>
      <c r="AH162" s="48" t="str">
        <f ca="1">IFERROR(INDEX($A$3:$G$400,MATCH(ROWS(AH$3:AH162),$Q$3:$Q$400,0),7),"")</f>
        <v>SP</v>
      </c>
      <c r="AI162" s="48" t="str">
        <f t="shared" ca="1" si="302"/>
        <v>CONTI DEI SISTEMI MINORI</v>
      </c>
      <c r="AJ162" s="48">
        <f ca="1">IFERROR(INDEX($A$3:$H$400,MATCH(ROWS(AJ$3:AJ162),$Q$3:$Q$400,0),8),"")</f>
        <v>0</v>
      </c>
      <c r="AK162" s="48">
        <f t="shared" ca="1" si="277"/>
        <v>0</v>
      </c>
      <c r="AL162" s="48">
        <f t="shared" ca="1" si="335"/>
        <v>0</v>
      </c>
      <c r="AM162" s="48">
        <f t="shared" ca="1" si="252"/>
        <v>0</v>
      </c>
      <c r="AN162" s="48">
        <f t="shared" ca="1" si="253"/>
        <v>0</v>
      </c>
      <c r="AO162" s="48">
        <f t="shared" ca="1" si="254"/>
        <v>0</v>
      </c>
      <c r="AP162" s="48">
        <f t="shared" ca="1" si="254"/>
        <v>0</v>
      </c>
      <c r="AQ162" s="48" t="str">
        <f t="shared" ca="1" si="278"/>
        <v>BENI DI TERZI</v>
      </c>
      <c r="AR162" s="48">
        <f t="shared" ca="1" si="279"/>
        <v>0</v>
      </c>
      <c r="AS162" s="48">
        <f t="shared" ca="1" si="280"/>
        <v>0</v>
      </c>
      <c r="AT162" s="48">
        <f t="shared" ca="1" si="303"/>
        <v>0</v>
      </c>
      <c r="AU162" s="48">
        <f t="shared" ca="1" si="304"/>
        <v>0</v>
      </c>
      <c r="AV162" s="48">
        <f ca="1">IF(OR(AT162&gt;0,AU162&gt;0),MAX($AV$2:AV161)+1,0)</f>
        <v>0</v>
      </c>
      <c r="AZ162" s="241" t="str">
        <f t="shared" si="240"/>
        <v>62 V.I.</v>
      </c>
      <c r="BA162" s="48">
        <f t="shared" ca="1" si="330"/>
        <v>0</v>
      </c>
      <c r="BB162" s="48">
        <f t="shared" ca="1" si="247"/>
        <v>0</v>
      </c>
      <c r="BC162" s="48" t="str">
        <f t="shared" ca="1" si="248"/>
        <v/>
      </c>
      <c r="BD162" s="48">
        <f t="shared" ca="1" si="249"/>
        <v>0</v>
      </c>
      <c r="BE162" s="48">
        <f t="shared" ca="1" si="250"/>
        <v>0</v>
      </c>
      <c r="BG162" s="48">
        <f ca="1">IF(IF(AND(OR(INDEX(PDC,MATCH($AC162,DEN_PDC,0),6)="SP DARE",INDEX(PDC,MATCH($AC162,DEN_PDC,0),6)="SP DARE/AVERE"),SUMIFS(DARE,DEN_G,$AC162)&gt;=SUMIFS(AVERE,DEN_G,$AC162)),SUMIFS(DARE,DEN_G,$AC162)-SUMIFS(AVERE,DEN_G,$AC162),0)&gt;0,MAX($BG$2:BG161)+1,0)</f>
        <v>0</v>
      </c>
      <c r="BH162" s="48">
        <f ca="1">IF(IF(AND(OR(INDEX(PDC,MATCH($AC162,DEN_PDC,0),6)="SP AVERE",INDEX(PDC,MATCH($AC162,DEN_PDC,0),6)="SP DARE/AVERE"),SUMIFS(AVERE,DEN_G,$AC162)&gt;=SUMIFS(DARE,DEN_G,$AC162)),SUMIFS(AVERE,DEN_G,$AC162)-SUMIFS(DARE,DEN_G,$AC162),0)&gt;0,MAX(BH$2:BH161)+1,0)</f>
        <v>0</v>
      </c>
      <c r="BI162" s="48">
        <f ca="1">IF(IF(AND(OR(INDEX(PDC,MATCH($AC162,DEN_PDC,0),6)="SE DARE",INDEX(PDC,MATCH($AC162,DEN_PDC,0),6)="SE DARE/AVERE"),SUMIFS(DARE,DEN_G,$AC162)&gt;=SUMIFS(AVERE,DEN_G,$AC162)),SUMIFS(DARE,DEN_G,$AC162)-SUMIFS(AVERE,DEN_G,$AC162),0)&gt;0,MAX(BI$2:BI161)+1,0)</f>
        <v>0</v>
      </c>
      <c r="BJ162" s="48">
        <f ca="1">IF(IF(AND(OR(INDEX(PDC,MATCH($AC162,DEN_PDC,0),6)="SE AVERE",INDEX(PDC,MATCH($AC162,DEN_PDC,0),6)="SE DARE/AVERE"),SUMIFS(AVERE,DEN_G,$AC162)&gt;=SUMIFS(DARE,DEN_G,$AC162)),SUMIFS(AVERE,DEN_G,$AC162)-SUMIFS(DARE,DEN_G,$AC162),0)&gt;0,MAX(BJ$2:BJ161)+1,0)</f>
        <v>0</v>
      </c>
      <c r="BK162" s="48" t="str">
        <f ca="1">IF(AND(AND($DY$2=0,$DY$1=0),$I$1=2,ROW()&gt;$BG$1+2,ROW()&lt;=$BG$1+4),"………………..",IF(AND(OR($DY$2&gt;0,$DY$1&gt;0),$I$1=2,ROW()&gt;$BG$1+2,ROW()&lt;=$BG$1+4),"………………..",IFERROR(INDEX($AC$3:$AC$398,MATCH(ROWS(BK$3:BK162),BG$3:BG$398,0),1),"")))</f>
        <v/>
      </c>
      <c r="BL162" s="48">
        <f t="shared" ca="1" si="281"/>
        <v>0</v>
      </c>
      <c r="BM162" s="48" t="str">
        <f ca="1">IF(AND(OR($DY$2=0,$DY$1=0),$I$1=2,ROW()&gt;$BH$1+2,ROW()&lt;=$BH$1+4),"………………..",IF(AND(OR($DY$2&gt;0,$DY$1&gt;0),$I$1=2,ROW()&gt;$BH$1+2,ROW()&lt;=$BH$1+4),"………………..",IFERROR(INDEX($AC$3:$AC$400,MATCH(ROWS(BM$3:BM162),BH$3:BH$400,0),1),"")))</f>
        <v/>
      </c>
      <c r="BN162" s="48">
        <f t="shared" ca="1" si="282"/>
        <v>0</v>
      </c>
      <c r="BO162" s="48" t="str">
        <f ca="1">IF(AND(OR($DY$2=0,$DY$1=0),$I$1=2,ROW()&gt;$BI$1+2,ROW()&lt;=$BI$1+4),"………………..",IF(AND(OR($DY$2&gt;0,$DY$1&gt;0),$I$1=2,ROW()&gt;$BI$1+2,ROW()&lt;=$BI$1+4),"………………..",IFERROR(INDEX($AC$3:$AC$400,MATCH(ROWS(BO$3:BO162),BI$3:BI$400,0),1),"")))</f>
        <v/>
      </c>
      <c r="BP162" s="48">
        <f t="shared" ca="1" si="283"/>
        <v>0</v>
      </c>
      <c r="BQ162" s="48" t="str">
        <f ca="1">IF(AND(OR($DY$2=0,$DY$1=0),$I$1=2,ROW()&gt;$BJ$1+2,ROW()&lt;=$BJ$1+4),"………………..",IF(AND(OR($DY$2&gt;0,$DY$1&gt;0),$I$1=2,ROW()&gt;$BJ$1+2,ROW()&lt;=$BJ$1+4),"………………..",IFERROR(INDEX($AC$3:$AC$400,MATCH(ROWS(BQ$3:BQ162),BJ$3:BJ$400,0),1),"")))</f>
        <v/>
      </c>
      <c r="BR162" s="48">
        <f t="shared" ca="1" si="284"/>
        <v>0</v>
      </c>
      <c r="BS162" s="48">
        <f ca="1">IF(IF(AND(OR(INDEX(PDC,MATCH($AC162,DEN_PDC,0),4)="D",INDEX(PDC,MATCH($AC162,DEN_PDC,0),4)="D/A"),SUMIFS(DARE,DEN_G,$AC162)&gt;=SUMIFS(AVERE,DEN_G,$AC162)),SUMIFS(DARE,DEN_G,$AC162),IF(AND(OR(INDEX(PDC,MATCH($AC162,DEN_PDC,0),4)="A",INDEX(PDC,MATCH($AC162,DEN_PDC,0),4)="D/A"),SUMIFS(AVERE,DEN_G,$AC162)&gt;=SUMIFS(DARE,DEN_G,$AC162)),SUMIFS(AVERE,DEN_G,$AC162),))&gt;0,MAX($BS$2:BS161)+1,0)</f>
        <v>0</v>
      </c>
      <c r="BT162" s="48" t="str">
        <f ca="1">IF($CO$1=0,"",IF(AND($I$1=2,ROW()&gt;$BR$1,ROW()&lt;=$BS$1)," …………….",IF(AND($E$1=1,$BX$1=1,$I$1=2,ROW()=$BQ$1),"TOTALI",IFERROR(INDEX(PDC,MATCH(ROWS(BT$3:BT162),BS$3:BS559,0),2),""))))</f>
        <v/>
      </c>
      <c r="BU162" s="48">
        <f t="shared" ca="1" si="285"/>
        <v>0</v>
      </c>
      <c r="BV162" s="48">
        <f t="shared" ca="1" si="286"/>
        <v>0</v>
      </c>
      <c r="BW162" s="48">
        <f t="shared" ca="1" si="287"/>
        <v>0</v>
      </c>
      <c r="BX162" s="48">
        <f t="shared" ca="1" si="288"/>
        <v>0</v>
      </c>
      <c r="BY162" s="48">
        <f ca="1">IF(OR(BW162&gt;0,BX162&gt;0),MAX($BY$2:BY161)+1,0)</f>
        <v>0</v>
      </c>
      <c r="BZ162" s="48" t="str">
        <f ca="1">IFERROR(INDEX($BT$3:$BY$400,MATCH(ROWS(BZ$3:BZ162),$BY$3:$BY$400,0),1),"")</f>
        <v/>
      </c>
      <c r="CA162" s="48" t="str">
        <f ca="1">IFERROR(INDEX($BT$3:$BY$400,MATCH(ROWS(CA$3:CA162),$BY$3:$BY$400,0),4),"")</f>
        <v/>
      </c>
      <c r="CB162" s="48" t="str">
        <f ca="1">IFERROR(INDEX($BT$3:$BY$400,MATCH(ROWS(CB$3:CB162),$BY$3:$BY$400,0),5),"")</f>
        <v/>
      </c>
      <c r="CC162" s="48" t="str">
        <f t="shared" ca="1" si="289"/>
        <v/>
      </c>
      <c r="CD162" s="48">
        <f ca="1">IF(AND($CF$1=TRUE,$BF$9=1,CE162&lt;&gt;0),MAX($CD$104:CD161)+1,0)</f>
        <v>0</v>
      </c>
      <c r="CE162" s="48">
        <f ca="1">IF($I$1=1,SUM(CE160+CE158+CE156+CE154+CE152+CE150+CE148+CE146+CE144+CE142+CE140+CE138+CE136+CE134+CE132),IF(AND($I$1=2,SUM(CE160+CE158+CE156+CE154+CE152+CE150+CE148+CE146+CE144+CE142+CE140+CE138+CE136+CE134+CE132)&gt;0),"_ _ _",0))</f>
        <v>0</v>
      </c>
      <c r="CG162" s="250" t="s">
        <v>556</v>
      </c>
      <c r="CH162" s="48">
        <f t="shared" ca="1" si="259"/>
        <v>0</v>
      </c>
      <c r="CM162" s="242" t="str">
        <f t="shared" ca="1" si="305"/>
        <v/>
      </c>
      <c r="CN162" s="243">
        <f t="shared" ca="1" si="306"/>
        <v>0</v>
      </c>
      <c r="CO162" s="48" t="str">
        <f t="shared" ca="1" si="307"/>
        <v/>
      </c>
      <c r="CQ162" s="242"/>
      <c r="CR162" s="242"/>
      <c r="CU162" s="48">
        <f ca="1">IF(SUMIFS(AVERE,DEN_G,AC162,AVERE,"&gt;"&amp;0)+SUMIFS(DARE,DEN_G,AC162,DARE,"&gt;"&amp;0)&gt;0,MAX($CU$2:CU161)+1,0)</f>
        <v>0</v>
      </c>
      <c r="CV162" s="48" t="str">
        <f ca="1">IF(IFERROR(INDEX(PDC,MATCH(ROWS($CV$3:CV162),$CU$3:$CU$400,0),2),"")="CONTO DI RISULTATO ECONOMICO","",IFERROR(INDEX(PDC,MATCH(ROWS($CV$3:CV162),$CU$3:$CU$400,0),2),""))</f>
        <v/>
      </c>
      <c r="CW162" s="48">
        <f ca="1">IFERROR(IF(CV162&lt;&gt;"",MAX($CW$2:CW161)+1,0),0)</f>
        <v>0</v>
      </c>
      <c r="CX162" s="48">
        <f t="shared" ca="1" si="361"/>
        <v>13</v>
      </c>
      <c r="CY162" s="48" t="str">
        <f t="shared" ca="1" si="359"/>
        <v>MASTRO</v>
      </c>
      <c r="CZ162" s="48" t="e">
        <f t="shared" ca="1" si="364"/>
        <v>#N/A</v>
      </c>
      <c r="DA162" s="48" t="str">
        <f t="shared" ref="DA162:DA170" ca="1" si="368">IFERROR(INDEX(LIBRO_GIORNALE,CZ162,1),"")</f>
        <v/>
      </c>
      <c r="DB162" s="48" t="str">
        <f t="shared" ca="1" si="347"/>
        <v/>
      </c>
      <c r="DC162" s="48" t="str">
        <f t="shared" ca="1" si="365"/>
        <v/>
      </c>
      <c r="DD162" s="48" t="str">
        <f t="shared" ca="1" si="366"/>
        <v/>
      </c>
      <c r="DE162" s="48" t="str">
        <f t="shared" ca="1" si="367"/>
        <v/>
      </c>
      <c r="DF162" s="48">
        <f ca="1">IF(AND(CX162=$DF$1,CX162&lt;&gt;""),0,IF(AND(DB162&lt;&gt;"",OR(DB161&lt;&gt;"",DB163&lt;&gt;"")),MAX($DF$2:DF161)+1,0))</f>
        <v>0</v>
      </c>
      <c r="DH162" s="244" t="s">
        <v>121</v>
      </c>
      <c r="DI162" s="48" t="s">
        <v>116</v>
      </c>
      <c r="DJ162" s="48" t="s">
        <v>312</v>
      </c>
      <c r="DK162" s="48" t="s">
        <v>298</v>
      </c>
      <c r="DL162" s="48" t="s">
        <v>5</v>
      </c>
      <c r="DM162" s="48" t="s">
        <v>299</v>
      </c>
      <c r="DN162" s="48">
        <f ca="1">IF(DI162&lt;&gt;"",MAX($DN$2:DN161)+1,0)</f>
        <v>133</v>
      </c>
      <c r="DO162" s="48" t="str">
        <f t="shared" ca="1" si="360"/>
        <v>ppd</v>
      </c>
      <c r="DW162" s="48">
        <f>IF(DR162&lt;&gt;"",MAX($DW$2:DW161)+1,0)</f>
        <v>0</v>
      </c>
      <c r="DY162" s="48" t="str">
        <f t="shared" ca="1" si="291"/>
        <v/>
      </c>
      <c r="DZ162" s="48" t="str">
        <f t="shared" ca="1" si="309"/>
        <v/>
      </c>
      <c r="EA162" s="48" t="str">
        <f t="shared" ca="1" si="310"/>
        <v/>
      </c>
      <c r="EB162" s="48">
        <f t="shared" ca="1" si="311"/>
        <v>0</v>
      </c>
      <c r="EC162" s="48">
        <f t="shared" ca="1" si="312"/>
        <v>0</v>
      </c>
      <c r="ED162" s="48" t="str">
        <f t="shared" ca="1" si="313"/>
        <v/>
      </c>
      <c r="EE162" s="48">
        <f t="shared" ca="1" si="314"/>
        <v>0</v>
      </c>
      <c r="EF162" s="48" t="str">
        <f t="shared" ca="1" si="315"/>
        <v/>
      </c>
      <c r="EG162" s="48">
        <f t="shared" ca="1" si="316"/>
        <v>0</v>
      </c>
      <c r="EH162" s="48" t="str">
        <f t="shared" ca="1" si="317"/>
        <v/>
      </c>
      <c r="EI162" s="48">
        <f t="shared" ca="1" si="318"/>
        <v>0</v>
      </c>
      <c r="EJ162" s="48" t="str">
        <f t="shared" ca="1" si="319"/>
        <v/>
      </c>
      <c r="EK162" s="48">
        <f t="shared" ca="1" si="320"/>
        <v>0</v>
      </c>
      <c r="EL162" s="48">
        <f t="shared" ca="1" si="292"/>
        <v>0</v>
      </c>
      <c r="EM162" s="48">
        <f ca="1">IF(EL162&gt;=0,0,MAX($EM$2:EM161)+1)</f>
        <v>0</v>
      </c>
      <c r="EN162" s="48" t="str">
        <f t="shared" ca="1" si="321"/>
        <v/>
      </c>
      <c r="EO162" s="48" t="str">
        <f ca="1">IFERROR(INDEX($EM$3:$EN$400,MATCH(ROWS($EO$3:EO162),$EM$3:$EM$400,0),2),"")</f>
        <v/>
      </c>
      <c r="EP162" s="48">
        <f>ROW()</f>
        <v>162</v>
      </c>
      <c r="EQ162" s="48">
        <f t="shared" ca="1" si="293"/>
        <v>0</v>
      </c>
      <c r="ER162" s="48">
        <f ca="1">IF(ISNA(EQ162)=TRUE,MAX($ER$2:ER161)+1,0)</f>
        <v>0</v>
      </c>
      <c r="ES162" s="48" t="str">
        <f t="shared" ca="1" si="322"/>
        <v/>
      </c>
      <c r="ET162" s="48" t="str">
        <f ca="1">IFERROR(INDEX($ER$3:$ES$400,MATCH(ROWS($ET$3:ET162),$ER$3:$ER$400,0),2),"")</f>
        <v/>
      </c>
      <c r="EV162" s="48">
        <f ca="1">IFERROR(INDEX(LIBRO_GIORNALE!$O$11:$P$408,MATCH(ROWS($EV$2:EV161),LIBRO_GIORNALE!$P$11:$P$408,0),1),0)</f>
        <v>0</v>
      </c>
      <c r="EW162" s="48" t="str">
        <f t="shared" ca="1" si="323"/>
        <v>0</v>
      </c>
      <c r="EX162" s="48">
        <f t="shared" ca="1" si="324"/>
        <v>0</v>
      </c>
      <c r="EY162" s="48">
        <f ca="1">IF(EX162&gt;0,MAX($EY$2:EY161)+1,0)</f>
        <v>0</v>
      </c>
      <c r="EZ162" s="48">
        <f ca="1">IFERROR(INDEX($EX$3:$EX$400,MATCH(ROWS($EZ$3:EZ162),$EY$3:$EY$400,0),1),0)</f>
        <v>0</v>
      </c>
      <c r="FA162" s="48">
        <f ca="1">IF(EZ162&gt;0,0,MAX($FA$2:FA161)+1)</f>
        <v>160</v>
      </c>
      <c r="FB162" s="48">
        <f t="shared" ca="1" si="325"/>
        <v>0</v>
      </c>
      <c r="FC162" s="48">
        <f t="shared" ca="1" si="326"/>
        <v>160</v>
      </c>
      <c r="FD162" s="48">
        <f t="shared" ca="1" si="327"/>
        <v>160</v>
      </c>
      <c r="FE162" s="48">
        <f ca="1">IF(FD162=0,0,MAX($FE$2:FE161)+1)</f>
        <v>160</v>
      </c>
      <c r="FF162" s="48">
        <f ca="1">IFERROR(INDEX($FD$3:$FE$400,MATCH(ROWS($FF$3:FF162),$FE$3:$FE$400,0),1),"")</f>
        <v>160</v>
      </c>
      <c r="FG162" s="48">
        <f t="shared" ca="1" si="255"/>
        <v>0</v>
      </c>
      <c r="FH162" s="48">
        <f t="shared" ca="1" si="328"/>
        <v>0</v>
      </c>
      <c r="FI162" s="48">
        <f ca="1">IF(FH162&lt;&gt;0,MAX($FI$2:FI161)+1,0)</f>
        <v>0</v>
      </c>
      <c r="FJ162" s="48" t="str">
        <f ca="1">IFERROR(INDEX($FH$3:$FI$400,MATCH(ROWS($FJ$3:FJ162),$FI$3:$FI$400,0),1),"")</f>
        <v/>
      </c>
      <c r="FK162" s="48">
        <f ca="1">IF(ABS(SUMIFS(DARE,DEN_G,"="&amp;FJ162,DATA,"&lt;="&amp;FINE_AC,DATA,"&gt;="&amp;INIZIO_A_PC)-SUMIFS(AVERE,DEN_G,"="&amp;FJ162,DATA,"&lt;="&amp;FINE_AC,DATA,"&gt;="&amp;INIZIO_A_PC))&gt;0,MAX($FK$2:FK161)+1,0)</f>
        <v>0</v>
      </c>
      <c r="FL162" s="48" t="str">
        <f ca="1">IF(AND(ROW()-2&lt;&gt;1,ROW()-2&lt;=$FK$1),CONCATENATE(" - ",IFERROR(INDEX($FJ$3:$FK$400,MATCH(ROWS($FL$3:FL162),$FK$3:$FK$400,0),1),"")),IFERROR(INDEX($FJ$3:$FK$400,MATCH(ROWS($FL$3:FL162),$FK$3:$FK$400,0),1),""))</f>
        <v/>
      </c>
      <c r="FM162" s="48">
        <f ca="1">IF(OR(B162="IVA ns/credito",B162="IVA NS/DEBITO",B162="IVA C/ACCONTO",B162="IMPOSTE C/ACCONTO",B162="CREDITI PER RITENUTE SUBITE",B162="CREDITI D'IMPOSTA"),MAX($FM$2:FM161)+1,0)</f>
        <v>0</v>
      </c>
      <c r="FN162" s="48" t="str">
        <f t="shared" ca="1" si="329"/>
        <v/>
      </c>
      <c r="FO162" s="48" t="str">
        <f ca="1">IFERROR(INDEX($FM$3:$FN$400,MATCH(ROWS($FO$3:FO162),$FM$3:$FM$400,0),2),"")</f>
        <v/>
      </c>
      <c r="FP162" s="48">
        <f ca="1">IF(ABS(SUMIFS(DARE,DEN_G,"="&amp;FO162,DATA,"&lt;="&amp;FINE_AC,DATA,"&gt;="&amp;INIZIO_A_PC)-SUMIFS(AVERE,DEN_G,"="&amp;FO162,DATA,"&lt;="&amp;FINE_AC,DATA,"&gt;="&amp;INIZIO_A_PC))&gt;0,MAX($FP$2:FP161)+1,0)</f>
        <v>0</v>
      </c>
      <c r="FQ162" s="48" t="str">
        <f ca="1">IF(AND(ROW()-2&lt;&gt;1,ROW()-2&lt;=$FP$1),CONCATENATE(" - ",IFERROR(INDEX($FO$3:$FP$400,MATCH(ROWS($FQ$3:FQ162),$FP$3:$FP$400,0),1),"")),IFERROR(INDEX($FO$3:$FP$400,MATCH(ROWS($FQ$3:FQ162),$FP$3:$FP$400,0),1),""))</f>
        <v/>
      </c>
    </row>
    <row r="163" spans="1:173" x14ac:dyDescent="0.3">
      <c r="A163" s="48" t="str">
        <f ca="1">IFERROR(IF($A$1=2,INDEX($DH$3:$DN$401,MATCH(ROWS(A$3:A163),$DN$3:$DN$401,0),COLUMN()),IF($A$1=1,INDEX($DQ$3:$DW$401,MATCH(ROWS(A$3:A163),$DW$3:$DW$401,0),COLUMN()),"")),"")</f>
        <v>15.51</v>
      </c>
      <c r="B163" s="48" t="str">
        <f ca="1">IFERROR(IF($A$1=2,INDEX($DH$3:$DN$401,MATCH(ROWS(B$3:B163),$DN$3:$DN$401,0),COLUMN()),IF($A$1=1,INDEX($DQ$3:$DW$400,MATCH(ROWS(B$3:B163),$DW$3:$DW$401,0),COLUMN()),"")),"")</f>
        <v>DEBITI PER AZIONI ESTRATTE</v>
      </c>
      <c r="C163" s="48" t="str">
        <f ca="1">IFERROR(IF($A$1=2,INDEX($DH$3:$DN$401,MATCH(ROWS(C$3:C163),$DN$3:$DN$401,0),COLUMN()),IF($A$1=1,INDEX($DQ$3:$DW$401,MATCH(ROWS(C$3:C163),$DW$3:$DW$401,0),COLUMN()),"")),"")</f>
        <v>F</v>
      </c>
      <c r="D163" s="48" t="str">
        <f ca="1">IFERROR(IF($A$1=2,INDEX($DH$3:$DN$401,MATCH(ROWS(D$3:D163),$DN$3:$DN$401,0),COLUMN()),IF($A$1=1,INDEX($DQ$3:$DW$401,MATCH(ROWS(D$3:D163),$DW$3:$DW$401,0),COLUMN()),"")),"")</f>
        <v>A</v>
      </c>
      <c r="E163" s="48" t="str">
        <f ca="1">IFERROR(IF($A$1=2,INDEX($DH$3:$DN$401,MATCH(ROWS(E$3:E163),$DN$3:$DN$401,0),COLUMN()),IF($A$1=1,INDEX($DQ$3:$DW$401,MATCH(ROWS(E$3:E163),$DW$3:$DW$401,0),COLUMN()),"")),"")</f>
        <v>DEBITI</v>
      </c>
      <c r="F163" s="48" t="str">
        <f ca="1">IFERROR(IF($A$1=2,INDEX($DH$3:$DN$401,MATCH(ROWS(F$3:F163),$DN$3:$DN$401,0),COLUMN()),IF($A$1=1,INDEX($DQ$3:$DX$401,MATCH(ROWS(F$3:F163),$DW$3:$DW$401,0),COLUMN()),"")),"")</f>
        <v>SP AVERE</v>
      </c>
      <c r="G163" s="48" t="str">
        <f t="shared" ca="1" si="294"/>
        <v>SP</v>
      </c>
      <c r="H163" s="48" t="str">
        <f ca="1">IFERROR(IF($A$1=2,INDEX($DH$3:$DO$400,MATCH(ROWS(H$3:H163),$DN$3:$DN$400,0),COLUMN()),IF($A$1=1,INDEX($DQ$3:$DX$400,MATCH(ROWS(H$3:H163),$DW$3:$DW$400,0),COLUMN()),"")),"")</f>
        <v>ppd</v>
      </c>
      <c r="I163" s="48" t="str">
        <f t="shared" ca="1" si="295"/>
        <v/>
      </c>
      <c r="J163" s="48" t="str">
        <f t="shared" ca="1" si="296"/>
        <v/>
      </c>
      <c r="K163" s="48">
        <f t="shared" ca="1" si="297"/>
        <v>0</v>
      </c>
      <c r="L163" s="48">
        <f t="shared" ca="1" si="298"/>
        <v>0</v>
      </c>
      <c r="M163" s="48">
        <f ca="1">IFERROR(IF(IF(MID($A163,3,3)=".00",MID(A163,1,2),"")&lt;&gt;"",MAX($M$2:M162)+1,0),"")</f>
        <v>0</v>
      </c>
      <c r="N163" s="48" t="str">
        <f t="shared" ca="1" si="299"/>
        <v/>
      </c>
      <c r="O163" s="48" t="str">
        <f ca="1">IF(IFERROR(INDEX($N$3:$O$300,MATCH(ROWS($O$3:O163),$M$3:$M$300,0),1),"")&lt;&gt;"",CONCATENATE(INDEX($N$3:$O$300,MATCH(ROWS($O$3:O163),$M$3:$M$300,0),1),".00"),"")</f>
        <v/>
      </c>
      <c r="P163" s="48" t="str">
        <f t="shared" ca="1" si="300"/>
        <v/>
      </c>
      <c r="Q163" s="48">
        <f ca="1">IF(M163&gt;=1,0,MAX($Q$2:Q162)+1)</f>
        <v>145</v>
      </c>
      <c r="U163" s="48" t="str">
        <f ca="1">IFERROR(INDEX(PDC,MATCH(ROWS(U$3:U163),$V$3:$V$400,0),2),"")</f>
        <v>DEPOSITANTI BENI</v>
      </c>
      <c r="V163" s="48">
        <f ca="1">IF(AND($T$1="VISUALIZZA TUTTI I CONTI",AA163&lt;&gt;""),MAX($V$2:V162)+1,IF(AND($U$2=2,AI163=$T$1),MAX($V$2:V162)+1,IF(AND($U$2=1,$T$1=AF163),MAX($V$2:V162)+1,0)))</f>
        <v>161</v>
      </c>
      <c r="AA163" s="48" t="str">
        <f t="shared" ca="1" si="301"/>
        <v>19.00</v>
      </c>
      <c r="AB163" s="48" t="str">
        <f ca="1">IFERROR(INDEX($A$3:$G$400,MATCH(ROWS(AB$3:AB163),$Q$3:$Q$400,0),1),"")</f>
        <v>19.02</v>
      </c>
      <c r="AC163" s="48" t="str">
        <f ca="1">IFERROR(INDEX($A$3:$G$400,MATCH(ROWS($AC$3:AC163),$Q$3:$Q$400,0),2),"")</f>
        <v>DEPOSITANTI BENI</v>
      </c>
      <c r="AD163" s="48">
        <f ca="1">IFERROR(INDEX($A$3:$G$400,MATCH(ROWS(AD$3:AD163),$Q$3:$Q$400,0),3),"")</f>
        <v>0</v>
      </c>
      <c r="AE163" s="48" t="str">
        <f ca="1">IFERROR(INDEX($A$3:$G$400,MATCH(ROWS(AE$3:AE163),$Q$3:$Q$400,0),4),"")</f>
        <v>A</v>
      </c>
      <c r="AF163" s="48" t="str">
        <f ca="1">IFERROR(INDEX($A$3:$G$400,MATCH(ROWS(AF$3:AF163),$Q$3:$Q$400,0),5),"")</f>
        <v>CONTI D'ORDINE</v>
      </c>
      <c r="AG163" s="48" t="str">
        <f ca="1">IFERROR(INDEX($A$3:$G$400,MATCH(ROWS(AG$3:AG163),$Q$3:$Q$400,0),6),"")</f>
        <v>SP</v>
      </c>
      <c r="AH163" s="48" t="str">
        <f ca="1">IFERROR(INDEX($A$3:$G$400,MATCH(ROWS(AH$3:AH163),$Q$3:$Q$400,0),7),"")</f>
        <v>SP</v>
      </c>
      <c r="AI163" s="48" t="str">
        <f t="shared" ca="1" si="302"/>
        <v>CONTI DEI SISTEMI MINORI</v>
      </c>
      <c r="AJ163" s="48">
        <f ca="1">IFERROR(INDEX($A$3:$H$400,MATCH(ROWS(AJ$3:AJ163),$Q$3:$Q$400,0),8),"")</f>
        <v>0</v>
      </c>
      <c r="AK163" s="48">
        <f t="shared" ca="1" si="277"/>
        <v>0</v>
      </c>
      <c r="AL163" s="48">
        <f t="shared" ca="1" si="335"/>
        <v>0</v>
      </c>
      <c r="AM163" s="48">
        <f t="shared" ca="1" si="252"/>
        <v>0</v>
      </c>
      <c r="AN163" s="48">
        <f t="shared" ca="1" si="253"/>
        <v>0</v>
      </c>
      <c r="AO163" s="48">
        <f t="shared" ca="1" si="254"/>
        <v>0</v>
      </c>
      <c r="AP163" s="48">
        <f t="shared" ca="1" si="254"/>
        <v>0</v>
      </c>
      <c r="AQ163" s="48" t="str">
        <f t="shared" ca="1" si="278"/>
        <v>DEPOSITANTI BENI</v>
      </c>
      <c r="AR163" s="48">
        <f t="shared" ca="1" si="279"/>
        <v>0</v>
      </c>
      <c r="AS163" s="48">
        <f t="shared" ca="1" si="280"/>
        <v>0</v>
      </c>
      <c r="AT163" s="48">
        <f t="shared" ca="1" si="303"/>
        <v>0</v>
      </c>
      <c r="AU163" s="48">
        <f t="shared" ca="1" si="304"/>
        <v>0</v>
      </c>
      <c r="AV163" s="48">
        <f ca="1">IF(OR(AT163&gt;0,AU163&gt;0),MAX($AV$2:AV162)+1,0)</f>
        <v>0</v>
      </c>
      <c r="AZ163" s="241" t="str">
        <f t="shared" si="240"/>
        <v>63 V.I.</v>
      </c>
      <c r="BA163" s="48">
        <f t="shared" ca="1" si="330"/>
        <v>0</v>
      </c>
      <c r="BB163" s="48">
        <f t="shared" ca="1" si="247"/>
        <v>0</v>
      </c>
      <c r="BC163" s="48" t="str">
        <f t="shared" ca="1" si="248"/>
        <v/>
      </c>
      <c r="BD163" s="48">
        <f t="shared" ca="1" si="249"/>
        <v>0</v>
      </c>
      <c r="BE163" s="48">
        <f t="shared" ca="1" si="250"/>
        <v>0</v>
      </c>
      <c r="BG163" s="48">
        <f ca="1">IF(IF(AND(OR(INDEX(PDC,MATCH($AC163,DEN_PDC,0),6)="SP DARE",INDEX(PDC,MATCH($AC163,DEN_PDC,0),6)="SP DARE/AVERE"),SUMIFS(DARE,DEN_G,$AC163)&gt;=SUMIFS(AVERE,DEN_G,$AC163)),SUMIFS(DARE,DEN_G,$AC163)-SUMIFS(AVERE,DEN_G,$AC163),0)&gt;0,MAX($BG$2:BG162)+1,0)</f>
        <v>0</v>
      </c>
      <c r="BH163" s="48">
        <f ca="1">IF(IF(AND(OR(INDEX(PDC,MATCH($AC163,DEN_PDC,0),6)="SP AVERE",INDEX(PDC,MATCH($AC163,DEN_PDC,0),6)="SP DARE/AVERE"),SUMIFS(AVERE,DEN_G,$AC163)&gt;=SUMIFS(DARE,DEN_G,$AC163)),SUMIFS(AVERE,DEN_G,$AC163)-SUMIFS(DARE,DEN_G,$AC163),0)&gt;0,MAX(BH$2:BH162)+1,0)</f>
        <v>0</v>
      </c>
      <c r="BI163" s="48">
        <f ca="1">IF(IF(AND(OR(INDEX(PDC,MATCH($AC163,DEN_PDC,0),6)="SE DARE",INDEX(PDC,MATCH($AC163,DEN_PDC,0),6)="SE DARE/AVERE"),SUMIFS(DARE,DEN_G,$AC163)&gt;=SUMIFS(AVERE,DEN_G,$AC163)),SUMIFS(DARE,DEN_G,$AC163)-SUMIFS(AVERE,DEN_G,$AC163),0)&gt;0,MAX(BI$2:BI162)+1,0)</f>
        <v>0</v>
      </c>
      <c r="BJ163" s="48">
        <f ca="1">IF(IF(AND(OR(INDEX(PDC,MATCH($AC163,DEN_PDC,0),6)="SE AVERE",INDEX(PDC,MATCH($AC163,DEN_PDC,0),6)="SE DARE/AVERE"),SUMIFS(AVERE,DEN_G,$AC163)&gt;=SUMIFS(DARE,DEN_G,$AC163)),SUMIFS(AVERE,DEN_G,$AC163)-SUMIFS(DARE,DEN_G,$AC163),0)&gt;0,MAX(BJ$2:BJ162)+1,0)</f>
        <v>0</v>
      </c>
      <c r="BK163" s="48" t="str">
        <f ca="1">IF(AND(AND($DY$2=0,$DY$1=0),$I$1=2,ROW()&gt;$BG$1+2,ROW()&lt;=$BG$1+4),"………………..",IF(AND(OR($DY$2&gt;0,$DY$1&gt;0),$I$1=2,ROW()&gt;$BG$1+2,ROW()&lt;=$BG$1+4),"………………..",IFERROR(INDEX($AC$3:$AC$398,MATCH(ROWS(BK$3:BK163),BG$3:BG$398,0),1),"")))</f>
        <v/>
      </c>
      <c r="BL163" s="48">
        <f t="shared" ca="1" si="281"/>
        <v>0</v>
      </c>
      <c r="BM163" s="48" t="str">
        <f ca="1">IF(AND(OR($DY$2=0,$DY$1=0),$I$1=2,ROW()&gt;$BH$1+2,ROW()&lt;=$BH$1+4),"………………..",IF(AND(OR($DY$2&gt;0,$DY$1&gt;0),$I$1=2,ROW()&gt;$BH$1+2,ROW()&lt;=$BH$1+4),"………………..",IFERROR(INDEX($AC$3:$AC$400,MATCH(ROWS(BM$3:BM163),BH$3:BH$400,0),1),"")))</f>
        <v/>
      </c>
      <c r="BN163" s="48">
        <f t="shared" ca="1" si="282"/>
        <v>0</v>
      </c>
      <c r="BO163" s="48" t="str">
        <f ca="1">IF(AND(OR($DY$2=0,$DY$1=0),$I$1=2,ROW()&gt;$BI$1+2,ROW()&lt;=$BI$1+4),"………………..",IF(AND(OR($DY$2&gt;0,$DY$1&gt;0),$I$1=2,ROW()&gt;$BI$1+2,ROW()&lt;=$BI$1+4),"………………..",IFERROR(INDEX($AC$3:$AC$400,MATCH(ROWS(BO$3:BO163),BI$3:BI$400,0),1),"")))</f>
        <v/>
      </c>
      <c r="BP163" s="48">
        <f t="shared" ca="1" si="283"/>
        <v>0</v>
      </c>
      <c r="BQ163" s="48" t="str">
        <f ca="1">IF(AND(OR($DY$2=0,$DY$1=0),$I$1=2,ROW()&gt;$BJ$1+2,ROW()&lt;=$BJ$1+4),"………………..",IF(AND(OR($DY$2&gt;0,$DY$1&gt;0),$I$1=2,ROW()&gt;$BJ$1+2,ROW()&lt;=$BJ$1+4),"………………..",IFERROR(INDEX($AC$3:$AC$400,MATCH(ROWS(BQ$3:BQ163),BJ$3:BJ$400,0),1),"")))</f>
        <v/>
      </c>
      <c r="BR163" s="48">
        <f t="shared" ca="1" si="284"/>
        <v>0</v>
      </c>
      <c r="BS163" s="48">
        <f ca="1">IF(IF(AND(OR(INDEX(PDC,MATCH($AC163,DEN_PDC,0),4)="D",INDEX(PDC,MATCH($AC163,DEN_PDC,0),4)="D/A"),SUMIFS(DARE,DEN_G,$AC163)&gt;=SUMIFS(AVERE,DEN_G,$AC163)),SUMIFS(DARE,DEN_G,$AC163),IF(AND(OR(INDEX(PDC,MATCH($AC163,DEN_PDC,0),4)="A",INDEX(PDC,MATCH($AC163,DEN_PDC,0),4)="D/A"),SUMIFS(AVERE,DEN_G,$AC163)&gt;=SUMIFS(DARE,DEN_G,$AC163)),SUMIFS(AVERE,DEN_G,$AC163),))&gt;0,MAX($BS$2:BS162)+1,0)</f>
        <v>0</v>
      </c>
      <c r="BT163" s="48" t="str">
        <f ca="1">IF($CO$1=0,"",IF(AND($I$1=2,ROW()&gt;$BR$1,ROW()&lt;=$BS$1)," …………….",IF(AND($E$1=1,$BX$1=1,$I$1=2,ROW()=$BQ$1),"TOTALI",IFERROR(INDEX(PDC,MATCH(ROWS(BT$3:BT163),BS$3:BS560,0),2),""))))</f>
        <v/>
      </c>
      <c r="BU163" s="48">
        <f t="shared" ca="1" si="285"/>
        <v>0</v>
      </c>
      <c r="BV163" s="48">
        <f t="shared" ca="1" si="286"/>
        <v>0</v>
      </c>
      <c r="BW163" s="48">
        <f t="shared" ca="1" si="287"/>
        <v>0</v>
      </c>
      <c r="BX163" s="48">
        <f t="shared" ca="1" si="288"/>
        <v>0</v>
      </c>
      <c r="BY163" s="48">
        <f ca="1">IF(OR(BW163&gt;0,BX163&gt;0),MAX($BY$2:BY162)+1,0)</f>
        <v>0</v>
      </c>
      <c r="BZ163" s="48" t="str">
        <f ca="1">IFERROR(INDEX($BT$3:$BY$400,MATCH(ROWS(BZ$3:BZ163),$BY$3:$BY$400,0),1),"")</f>
        <v/>
      </c>
      <c r="CA163" s="48" t="str">
        <f ca="1">IFERROR(INDEX($BT$3:$BY$400,MATCH(ROWS(CA$3:CA163),$BY$3:$BY$400,0),4),"")</f>
        <v/>
      </c>
      <c r="CB163" s="48" t="str">
        <f ca="1">IFERROR(INDEX($BT$3:$BY$400,MATCH(ROWS(CB$3:CB163),$BY$3:$BY$400,0),5),"")</f>
        <v/>
      </c>
      <c r="CC163" s="48" t="str">
        <f t="shared" ca="1" si="289"/>
        <v/>
      </c>
      <c r="CD163" s="48">
        <f ca="1">IF(AND($BF$9=1,CE163&lt;&gt;0),MAX($CD$104:CD162)+1,0)</f>
        <v>0</v>
      </c>
      <c r="CE163" s="48">
        <f ca="1">IF(ROUND(SUMIFS(COPIA!$CB$3:$CB$400,COPIA!$CC$3:$CC$400,CF163)-SUMIFS(COPIA!$CA$3:$CA$400,COPIA!$CC$3:$CC$400,CF163),0)&lt;0,0,ROUND(SUMIFS(COPIA!$CB$3:$CB$400,COPIA!$CC$3:$CC$400,CF163)-SUMIFS(COPIA!$CA$3:$CA$400,COPIA!$CC$3:$CC$400,CF163),0))</f>
        <v>0</v>
      </c>
      <c r="CF163" s="48" t="s">
        <v>737</v>
      </c>
      <c r="CG163" s="242" t="s">
        <v>778</v>
      </c>
      <c r="CH163" s="48">
        <f t="shared" ca="1" si="259"/>
        <v>0</v>
      </c>
      <c r="CM163" s="242" t="str">
        <f t="shared" ca="1" si="305"/>
        <v/>
      </c>
      <c r="CN163" s="243">
        <f t="shared" ca="1" si="306"/>
        <v>0</v>
      </c>
      <c r="CO163" s="48" t="str">
        <f t="shared" ca="1" si="307"/>
        <v/>
      </c>
      <c r="CQ163" s="242"/>
      <c r="CR163" s="242"/>
      <c r="CU163" s="48">
        <f ca="1">IF(SUMIFS(AVERE,DEN_G,AC163,AVERE,"&gt;"&amp;0)+SUMIFS(DARE,DEN_G,AC163,DARE,"&gt;"&amp;0)&gt;0,MAX($CU$2:CU162)+1,0)</f>
        <v>0</v>
      </c>
      <c r="CV163" s="48" t="str">
        <f ca="1">IF(IFERROR(INDEX(PDC,MATCH(ROWS($CV$3:CV163),$CU$3:$CU$400,0),2),"")="CONTO DI RISULTATO ECONOMICO","",IFERROR(INDEX(PDC,MATCH(ROWS($CV$3:CV163),$CU$3:$CU$400,0),2),""))</f>
        <v/>
      </c>
      <c r="CW163" s="48">
        <f ca="1">IFERROR(IF(CV163&lt;&gt;"",MAX($CW$2:CW162)+1,0),0)</f>
        <v>0</v>
      </c>
      <c r="CX163" s="48">
        <f t="shared" ca="1" si="361"/>
        <v>13</v>
      </c>
      <c r="CY163" s="48" t="str">
        <f t="shared" ca="1" si="359"/>
        <v>MASTRO</v>
      </c>
      <c r="CZ163" s="48" t="e">
        <f t="shared" ca="1" si="364"/>
        <v>#N/A</v>
      </c>
      <c r="DA163" s="48" t="str">
        <f t="shared" ca="1" si="368"/>
        <v/>
      </c>
      <c r="DB163" s="48" t="str">
        <f t="shared" ca="1" si="347"/>
        <v/>
      </c>
      <c r="DC163" s="48" t="str">
        <f t="shared" ca="1" si="365"/>
        <v/>
      </c>
      <c r="DD163" s="48" t="str">
        <f t="shared" ca="1" si="366"/>
        <v/>
      </c>
      <c r="DE163" s="48" t="str">
        <f t="shared" ca="1" si="367"/>
        <v/>
      </c>
      <c r="DF163" s="48">
        <f ca="1">IF(AND(CX163=$DF$1,CX163&lt;&gt;""),0,IF(AND(DB163&lt;&gt;"",OR(DB162&lt;&gt;"",DB164&lt;&gt;"")),MAX($DF$2:DF162)+1,0))</f>
        <v>0</v>
      </c>
      <c r="DH163" s="244" t="s">
        <v>122</v>
      </c>
      <c r="DI163" s="48" t="s">
        <v>117</v>
      </c>
      <c r="DJ163" s="48" t="s">
        <v>312</v>
      </c>
      <c r="DK163" s="48" t="s">
        <v>298</v>
      </c>
      <c r="DL163" s="48" t="s">
        <v>5</v>
      </c>
      <c r="DM163" s="48" t="s">
        <v>299</v>
      </c>
      <c r="DN163" s="48">
        <f ca="1">IF(DI163&lt;&gt;"",MAX($DN$2:DN162)+1,0)</f>
        <v>134</v>
      </c>
      <c r="DO163" s="48" t="str">
        <f t="shared" ca="1" si="360"/>
        <v>ppd</v>
      </c>
      <c r="DQ163" s="227" t="s">
        <v>123</v>
      </c>
      <c r="DR163" s="228" t="s">
        <v>124</v>
      </c>
      <c r="DW163" s="48">
        <f ca="1">IF(DR163&lt;&gt;"",MAX($DW$2:DW162)+1,0)</f>
        <v>97</v>
      </c>
      <c r="DY163" s="48" t="str">
        <f t="shared" ca="1" si="291"/>
        <v/>
      </c>
      <c r="DZ163" s="48" t="str">
        <f t="shared" ca="1" si="309"/>
        <v/>
      </c>
      <c r="EA163" s="48" t="str">
        <f t="shared" ca="1" si="310"/>
        <v/>
      </c>
      <c r="EB163" s="48">
        <f t="shared" ca="1" si="311"/>
        <v>0</v>
      </c>
      <c r="EC163" s="48">
        <f t="shared" ca="1" si="312"/>
        <v>0</v>
      </c>
      <c r="ED163" s="48" t="str">
        <f t="shared" ca="1" si="313"/>
        <v/>
      </c>
      <c r="EE163" s="48">
        <f t="shared" ca="1" si="314"/>
        <v>0</v>
      </c>
      <c r="EF163" s="48" t="str">
        <f t="shared" ca="1" si="315"/>
        <v/>
      </c>
      <c r="EG163" s="48">
        <f t="shared" ca="1" si="316"/>
        <v>0</v>
      </c>
      <c r="EH163" s="48" t="str">
        <f t="shared" ca="1" si="317"/>
        <v/>
      </c>
      <c r="EI163" s="48">
        <f t="shared" ca="1" si="318"/>
        <v>0</v>
      </c>
      <c r="EJ163" s="48" t="str">
        <f t="shared" ca="1" si="319"/>
        <v/>
      </c>
      <c r="EK163" s="48">
        <f t="shared" ca="1" si="320"/>
        <v>0</v>
      </c>
      <c r="EL163" s="48">
        <f t="shared" ca="1" si="292"/>
        <v>0</v>
      </c>
      <c r="EM163" s="48">
        <f ca="1">IF(EL163&gt;=0,0,MAX($EM$2:EM162)+1)</f>
        <v>0</v>
      </c>
      <c r="EN163" s="48" t="str">
        <f t="shared" ca="1" si="321"/>
        <v/>
      </c>
      <c r="EO163" s="48" t="str">
        <f ca="1">IFERROR(INDEX($EM$3:$EN$400,MATCH(ROWS($EO$3:EO163),$EM$3:$EM$400,0),2),"")</f>
        <v/>
      </c>
      <c r="EP163" s="48">
        <f>ROW()</f>
        <v>163</v>
      </c>
      <c r="EQ163" s="48">
        <f t="shared" ca="1" si="293"/>
        <v>0</v>
      </c>
      <c r="ER163" s="48">
        <f ca="1">IF(ISNA(EQ163)=TRUE,MAX($ER$2:ER162)+1,0)</f>
        <v>0</v>
      </c>
      <c r="ES163" s="48" t="str">
        <f t="shared" ca="1" si="322"/>
        <v/>
      </c>
      <c r="ET163" s="48" t="str">
        <f ca="1">IFERROR(INDEX($ER$3:$ES$400,MATCH(ROWS($ET$3:ET163),$ER$3:$ER$400,0),2),"")</f>
        <v/>
      </c>
      <c r="EV163" s="48">
        <f ca="1">IFERROR(INDEX(LIBRO_GIORNALE!$O$11:$P$408,MATCH(ROWS($EV$2:EV162),LIBRO_GIORNALE!$P$11:$P$408,0),1),0)</f>
        <v>0</v>
      </c>
      <c r="EW163" s="48" t="str">
        <f t="shared" ca="1" si="323"/>
        <v>0</v>
      </c>
      <c r="EX163" s="48">
        <f t="shared" ca="1" si="324"/>
        <v>0</v>
      </c>
      <c r="EY163" s="48">
        <f ca="1">IF(EX163&gt;0,MAX($EY$2:EY162)+1,0)</f>
        <v>0</v>
      </c>
      <c r="EZ163" s="48">
        <f ca="1">IFERROR(INDEX($EX$3:$EX$400,MATCH(ROWS($EZ$3:EZ163),$EY$3:$EY$400,0),1),0)</f>
        <v>0</v>
      </c>
      <c r="FA163" s="48">
        <f ca="1">IF(EZ163&gt;0,0,MAX($FA$2:FA162)+1)</f>
        <v>161</v>
      </c>
      <c r="FB163" s="48">
        <f t="shared" ca="1" si="325"/>
        <v>0</v>
      </c>
      <c r="FC163" s="48">
        <f t="shared" ca="1" si="326"/>
        <v>161</v>
      </c>
      <c r="FD163" s="48">
        <f t="shared" ca="1" si="327"/>
        <v>161</v>
      </c>
      <c r="FE163" s="48">
        <f ca="1">IF(FD163=0,0,MAX($FE$2:FE162)+1)</f>
        <v>161</v>
      </c>
      <c r="FF163" s="48">
        <f ca="1">IFERROR(INDEX($FD$3:$FE$400,MATCH(ROWS($FF$3:FF163),$FE$3:$FE$400,0),1),"")</f>
        <v>161</v>
      </c>
      <c r="FG163" s="48">
        <f t="shared" ca="1" si="255"/>
        <v>0</v>
      </c>
      <c r="FH163" s="48">
        <f t="shared" ca="1" si="328"/>
        <v>0</v>
      </c>
      <c r="FI163" s="48">
        <f ca="1">IF(FH163&lt;&gt;0,MAX($FI$2:FI162)+1,0)</f>
        <v>0</v>
      </c>
      <c r="FJ163" s="48" t="str">
        <f ca="1">IFERROR(INDEX($FH$3:$FI$400,MATCH(ROWS($FJ$3:FJ163),$FI$3:$FI$400,0),1),"")</f>
        <v/>
      </c>
      <c r="FK163" s="48">
        <f ca="1">IF(ABS(SUMIFS(DARE,DEN_G,"="&amp;FJ163,DATA,"&lt;="&amp;FINE_AC,DATA,"&gt;="&amp;INIZIO_A_PC)-SUMIFS(AVERE,DEN_G,"="&amp;FJ163,DATA,"&lt;="&amp;FINE_AC,DATA,"&gt;="&amp;INIZIO_A_PC))&gt;0,MAX($FK$2:FK162)+1,0)</f>
        <v>0</v>
      </c>
      <c r="FL163" s="48" t="str">
        <f ca="1">IF(AND(ROW()-2&lt;&gt;1,ROW()-2&lt;=$FK$1),CONCATENATE(" - ",IFERROR(INDEX($FJ$3:$FK$400,MATCH(ROWS($FL$3:FL163),$FK$3:$FK$400,0),1),"")),IFERROR(INDEX($FJ$3:$FK$400,MATCH(ROWS($FL$3:FL163),$FK$3:$FK$400,0),1),""))</f>
        <v/>
      </c>
      <c r="FM163" s="48">
        <f ca="1">IF(OR(B163="IVA ns/credito",B163="IVA NS/DEBITO",B163="IVA C/ACCONTO",B163="IMPOSTE C/ACCONTO",B163="CREDITI PER RITENUTE SUBITE",B163="CREDITI D'IMPOSTA"),MAX($FM$2:FM162)+1,0)</f>
        <v>0</v>
      </c>
      <c r="FN163" s="48" t="str">
        <f t="shared" ca="1" si="329"/>
        <v/>
      </c>
      <c r="FO163" s="48" t="str">
        <f ca="1">IFERROR(INDEX($FM$3:$FN$400,MATCH(ROWS($FO$3:FO163),$FM$3:$FM$400,0),2),"")</f>
        <v/>
      </c>
      <c r="FP163" s="48">
        <f ca="1">IF(ABS(SUMIFS(DARE,DEN_G,"="&amp;FO163,DATA,"&lt;="&amp;FINE_AC,DATA,"&gt;="&amp;INIZIO_A_PC)-SUMIFS(AVERE,DEN_G,"="&amp;FO163,DATA,"&lt;="&amp;FINE_AC,DATA,"&gt;="&amp;INIZIO_A_PC))&gt;0,MAX($FP$2:FP162)+1,0)</f>
        <v>0</v>
      </c>
      <c r="FQ163" s="48" t="str">
        <f ca="1">IF(AND(ROW()-2&lt;&gt;1,ROW()-2&lt;=$FP$1),CONCATENATE(" - ",IFERROR(INDEX($FO$3:$FP$400,MATCH(ROWS($FQ$3:FQ163),$FP$3:$FP$400,0),1),"")),IFERROR(INDEX($FO$3:$FP$400,MATCH(ROWS($FQ$3:FQ163),$FP$3:$FP$400,0),1),""))</f>
        <v/>
      </c>
    </row>
    <row r="164" spans="1:173" x14ac:dyDescent="0.3">
      <c r="A164" s="48" t="str">
        <f ca="1">IFERROR(IF($A$1=2,INDEX($DH$3:$DN$401,MATCH(ROWS(A$3:A164),$DN$3:$DN$401,0),COLUMN()),IF($A$1=1,INDEX($DQ$3:$DW$401,MATCH(ROWS(A$3:A164),$DW$3:$DW$401,0),COLUMN()),"")),"")</f>
        <v>15.60</v>
      </c>
      <c r="B164" s="48" t="str">
        <f ca="1">IFERROR(IF($A$1=2,INDEX($DH$3:$DN$401,MATCH(ROWS(B$3:B164),$DN$3:$DN$401,0),COLUMN()),IF($A$1=1,INDEX($DQ$3:$DW$400,MATCH(ROWS(B$3:B164),$DW$3:$DW$401,0),COLUMN()),"")),"")</f>
        <v>OBBLIGAZIONISTI C/INTERESSI</v>
      </c>
      <c r="C164" s="48" t="str">
        <f ca="1">IFERROR(IF($A$1=2,INDEX($DH$3:$DN$401,MATCH(ROWS(C$3:C164),$DN$3:$DN$401,0),COLUMN()),IF($A$1=1,INDEX($DQ$3:$DW$401,MATCH(ROWS(C$3:C164),$DW$3:$DW$401,0),COLUMN()),"")),"")</f>
        <v>F</v>
      </c>
      <c r="D164" s="48" t="str">
        <f ca="1">IFERROR(IF($A$1=2,INDEX($DH$3:$DN$401,MATCH(ROWS(D$3:D164),$DN$3:$DN$401,0),COLUMN()),IF($A$1=1,INDEX($DQ$3:$DW$401,MATCH(ROWS(D$3:D164),$DW$3:$DW$401,0),COLUMN()),"")),"")</f>
        <v>A</v>
      </c>
      <c r="E164" s="48" t="str">
        <f ca="1">IFERROR(IF($A$1=2,INDEX($DH$3:$DN$401,MATCH(ROWS(E$3:E164),$DN$3:$DN$401,0),COLUMN()),IF($A$1=1,INDEX($DQ$3:$DW$401,MATCH(ROWS(E$3:E164),$DW$3:$DW$401,0),COLUMN()),"")),"")</f>
        <v>DEBITI</v>
      </c>
      <c r="F164" s="48" t="str">
        <f ca="1">IFERROR(IF($A$1=2,INDEX($DH$3:$DN$401,MATCH(ROWS(F$3:F164),$DN$3:$DN$401,0),COLUMN()),IF($A$1=1,INDEX($DQ$3:$DX$401,MATCH(ROWS(F$3:F164),$DW$3:$DW$401,0),COLUMN()),"")),"")</f>
        <v>SP AVERE</v>
      </c>
      <c r="G164" s="48" t="str">
        <f t="shared" ca="1" si="294"/>
        <v>SP</v>
      </c>
      <c r="H164" s="48" t="str">
        <f ca="1">IFERROR(IF($A$1=2,INDEX($DH$3:$DO$400,MATCH(ROWS(H$3:H164),$DN$3:$DN$400,0),COLUMN()),IF($A$1=1,INDEX($DQ$3:$DX$400,MATCH(ROWS(H$3:H164),$DW$3:$DW$400,0),COLUMN()),"")),"")</f>
        <v>ppd</v>
      </c>
      <c r="I164" s="48" t="str">
        <f t="shared" ca="1" si="295"/>
        <v/>
      </c>
      <c r="J164" s="48" t="str">
        <f t="shared" ca="1" si="296"/>
        <v/>
      </c>
      <c r="K164" s="48">
        <f t="shared" ca="1" si="297"/>
        <v>0</v>
      </c>
      <c r="L164" s="48">
        <f t="shared" ca="1" si="298"/>
        <v>0</v>
      </c>
      <c r="M164" s="48">
        <f ca="1">IFERROR(IF(IF(MID($A164,3,3)=".00",MID(A164,1,2),"")&lt;&gt;"",MAX($M$2:M163)+1,0),"")</f>
        <v>0</v>
      </c>
      <c r="N164" s="48" t="str">
        <f t="shared" ca="1" si="299"/>
        <v/>
      </c>
      <c r="O164" s="48" t="str">
        <f ca="1">IF(IFERROR(INDEX($N$3:$O$300,MATCH(ROWS($O$3:O164),$M$3:$M$300,0),1),"")&lt;&gt;"",CONCATENATE(INDEX($N$3:$O$300,MATCH(ROWS($O$3:O164),$M$3:$M$300,0),1),".00"),"")</f>
        <v/>
      </c>
      <c r="P164" s="48" t="str">
        <f t="shared" ca="1" si="300"/>
        <v/>
      </c>
      <c r="Q164" s="48">
        <f ca="1">IF(M164&gt;=1,0,MAX($Q$2:Q163)+1)</f>
        <v>146</v>
      </c>
      <c r="U164" s="48" t="str">
        <f ca="1">IFERROR(INDEX(PDC,MATCH(ROWS(U$3:U164),$V$3:$V$400,0),2),"")</f>
        <v>IMPEGNI PER BENI IN LEASING</v>
      </c>
      <c r="V164" s="48">
        <f ca="1">IF(AND($T$1="VISUALIZZA TUTTI I CONTI",AA164&lt;&gt;""),MAX($V$2:V163)+1,IF(AND($U$2=2,AI164=$T$1),MAX($V$2:V163)+1,IF(AND($U$2=1,$T$1=AF164),MAX($V$2:V163)+1,0)))</f>
        <v>162</v>
      </c>
      <c r="AA164" s="48" t="str">
        <f t="shared" ca="1" si="301"/>
        <v>19.00</v>
      </c>
      <c r="AB164" s="48" t="str">
        <f ca="1">IFERROR(INDEX($A$3:$G$400,MATCH(ROWS(AB$3:AB164),$Q$3:$Q$400,0),1),"")</f>
        <v>19.11</v>
      </c>
      <c r="AC164" s="48" t="str">
        <f ca="1">IFERROR(INDEX($A$3:$G$400,MATCH(ROWS($AC$3:AC164),$Q$3:$Q$400,0),2),"")</f>
        <v>IMPEGNI PER BENI IN LEASING</v>
      </c>
      <c r="AD164" s="48">
        <f ca="1">IFERROR(INDEX($A$3:$G$400,MATCH(ROWS(AD$3:AD164),$Q$3:$Q$400,0),3),"")</f>
        <v>0</v>
      </c>
      <c r="AE164" s="48" t="str">
        <f ca="1">IFERROR(INDEX($A$3:$G$400,MATCH(ROWS(AE$3:AE164),$Q$3:$Q$400,0),4),"")</f>
        <v>D</v>
      </c>
      <c r="AF164" s="48" t="str">
        <f ca="1">IFERROR(INDEX($A$3:$G$400,MATCH(ROWS(AF$3:AF164),$Q$3:$Q$400,0),5),"")</f>
        <v>CONTI D'ORDINE</v>
      </c>
      <c r="AG164" s="48" t="str">
        <f ca="1">IFERROR(INDEX($A$3:$G$400,MATCH(ROWS(AG$3:AG164),$Q$3:$Q$400,0),6),"")</f>
        <v>SP</v>
      </c>
      <c r="AH164" s="48" t="str">
        <f ca="1">IFERROR(INDEX($A$3:$G$400,MATCH(ROWS(AH$3:AH164),$Q$3:$Q$400,0),7),"")</f>
        <v>SP</v>
      </c>
      <c r="AI164" s="48" t="str">
        <f t="shared" ca="1" si="302"/>
        <v>CONTI DEI SISTEMI MINORI</v>
      </c>
      <c r="AJ164" s="48">
        <f ca="1">IFERROR(INDEX($A$3:$H$400,MATCH(ROWS(AJ$3:AJ164),$Q$3:$Q$400,0),8),"")</f>
        <v>0</v>
      </c>
      <c r="AK164" s="48">
        <f t="shared" ca="1" si="277"/>
        <v>0</v>
      </c>
      <c r="AL164" s="48">
        <f t="shared" ca="1" si="335"/>
        <v>0</v>
      </c>
      <c r="AM164" s="48">
        <f t="shared" ca="1" si="252"/>
        <v>0</v>
      </c>
      <c r="AN164" s="48">
        <f t="shared" ca="1" si="253"/>
        <v>0</v>
      </c>
      <c r="AO164" s="48">
        <f t="shared" ca="1" si="254"/>
        <v>0</v>
      </c>
      <c r="AP164" s="48">
        <f t="shared" ca="1" si="254"/>
        <v>0</v>
      </c>
      <c r="AQ164" s="48" t="str">
        <f t="shared" ca="1" si="278"/>
        <v>IMPEGNI PER BENI IN LEASING</v>
      </c>
      <c r="AR164" s="48">
        <f t="shared" ca="1" si="279"/>
        <v>0</v>
      </c>
      <c r="AS164" s="48">
        <f t="shared" ca="1" si="280"/>
        <v>0</v>
      </c>
      <c r="AT164" s="48">
        <f t="shared" ca="1" si="303"/>
        <v>0</v>
      </c>
      <c r="AU164" s="48">
        <f t="shared" ca="1" si="304"/>
        <v>0</v>
      </c>
      <c r="AV164" s="48">
        <f ca="1">IF(OR(AT164&gt;0,AU164&gt;0),MAX($AV$2:AV163)+1,0)</f>
        <v>0</v>
      </c>
      <c r="AZ164" s="241" t="str">
        <f t="shared" si="240"/>
        <v>64 V.I.</v>
      </c>
      <c r="BA164" s="48">
        <f t="shared" ca="1" si="330"/>
        <v>0</v>
      </c>
      <c r="BB164" s="48">
        <f t="shared" ca="1" si="247"/>
        <v>0</v>
      </c>
      <c r="BC164" s="48" t="str">
        <f t="shared" ca="1" si="248"/>
        <v/>
      </c>
      <c r="BD164" s="48">
        <f t="shared" ca="1" si="249"/>
        <v>0</v>
      </c>
      <c r="BE164" s="48">
        <f t="shared" ca="1" si="250"/>
        <v>0</v>
      </c>
      <c r="BG164" s="48">
        <f ca="1">IF(IF(AND(OR(INDEX(PDC,MATCH($AC164,DEN_PDC,0),6)="SP DARE",INDEX(PDC,MATCH($AC164,DEN_PDC,0),6)="SP DARE/AVERE"),SUMIFS(DARE,DEN_G,$AC164)&gt;=SUMIFS(AVERE,DEN_G,$AC164)),SUMIFS(DARE,DEN_G,$AC164)-SUMIFS(AVERE,DEN_G,$AC164),0)&gt;0,MAX($BG$2:BG163)+1,0)</f>
        <v>0</v>
      </c>
      <c r="BH164" s="48">
        <f ca="1">IF(IF(AND(OR(INDEX(PDC,MATCH($AC164,DEN_PDC,0),6)="SP AVERE",INDEX(PDC,MATCH($AC164,DEN_PDC,0),6)="SP DARE/AVERE"),SUMIFS(AVERE,DEN_G,$AC164)&gt;=SUMIFS(DARE,DEN_G,$AC164)),SUMIFS(AVERE,DEN_G,$AC164)-SUMIFS(DARE,DEN_G,$AC164),0)&gt;0,MAX(BH$2:BH163)+1,0)</f>
        <v>0</v>
      </c>
      <c r="BI164" s="48">
        <f ca="1">IF(IF(AND(OR(INDEX(PDC,MATCH($AC164,DEN_PDC,0),6)="SE DARE",INDEX(PDC,MATCH($AC164,DEN_PDC,0),6)="SE DARE/AVERE"),SUMIFS(DARE,DEN_G,$AC164)&gt;=SUMIFS(AVERE,DEN_G,$AC164)),SUMIFS(DARE,DEN_G,$AC164)-SUMIFS(AVERE,DEN_G,$AC164),0)&gt;0,MAX(BI$2:BI163)+1,0)</f>
        <v>0</v>
      </c>
      <c r="BJ164" s="48">
        <f ca="1">IF(IF(AND(OR(INDEX(PDC,MATCH($AC164,DEN_PDC,0),6)="SE AVERE",INDEX(PDC,MATCH($AC164,DEN_PDC,0),6)="SE DARE/AVERE"),SUMIFS(AVERE,DEN_G,$AC164)&gt;=SUMIFS(DARE,DEN_G,$AC164)),SUMIFS(AVERE,DEN_G,$AC164)-SUMIFS(DARE,DEN_G,$AC164),0)&gt;0,MAX(BJ$2:BJ163)+1,0)</f>
        <v>0</v>
      </c>
      <c r="BK164" s="48" t="str">
        <f ca="1">IF(AND(AND($DY$2=0,$DY$1=0),$I$1=2,ROW()&gt;$BG$1+2,ROW()&lt;=$BG$1+4),"………………..",IF(AND(OR($DY$2&gt;0,$DY$1&gt;0),$I$1=2,ROW()&gt;$BG$1+2,ROW()&lt;=$BG$1+4),"………………..",IFERROR(INDEX($AC$3:$AC$398,MATCH(ROWS(BK$3:BK164),BG$3:BG$398,0),1),"")))</f>
        <v/>
      </c>
      <c r="BL164" s="48">
        <f t="shared" ca="1" si="281"/>
        <v>0</v>
      </c>
      <c r="BM164" s="48" t="str">
        <f ca="1">IF(AND(OR($DY$2=0,$DY$1=0),$I$1=2,ROW()&gt;$BH$1+2,ROW()&lt;=$BH$1+4),"………………..",IF(AND(OR($DY$2&gt;0,$DY$1&gt;0),$I$1=2,ROW()&gt;$BH$1+2,ROW()&lt;=$BH$1+4),"………………..",IFERROR(INDEX($AC$3:$AC$400,MATCH(ROWS(BM$3:BM164),BH$3:BH$400,0),1),"")))</f>
        <v/>
      </c>
      <c r="BN164" s="48">
        <f t="shared" ca="1" si="282"/>
        <v>0</v>
      </c>
      <c r="BO164" s="48" t="str">
        <f ca="1">IF(AND(OR($DY$2=0,$DY$1=0),$I$1=2,ROW()&gt;$BI$1+2,ROW()&lt;=$BI$1+4),"………………..",IF(AND(OR($DY$2&gt;0,$DY$1&gt;0),$I$1=2,ROW()&gt;$BI$1+2,ROW()&lt;=$BI$1+4),"………………..",IFERROR(INDEX($AC$3:$AC$400,MATCH(ROWS(BO$3:BO164),BI$3:BI$400,0),1),"")))</f>
        <v/>
      </c>
      <c r="BP164" s="48">
        <f t="shared" ca="1" si="283"/>
        <v>0</v>
      </c>
      <c r="BQ164" s="48" t="str">
        <f ca="1">IF(AND(OR($DY$2=0,$DY$1=0),$I$1=2,ROW()&gt;$BJ$1+2,ROW()&lt;=$BJ$1+4),"………………..",IF(AND(OR($DY$2&gt;0,$DY$1&gt;0),$I$1=2,ROW()&gt;$BJ$1+2,ROW()&lt;=$BJ$1+4),"………………..",IFERROR(INDEX($AC$3:$AC$400,MATCH(ROWS(BQ$3:BQ164),BJ$3:BJ$400,0),1),"")))</f>
        <v/>
      </c>
      <c r="BR164" s="48">
        <f t="shared" ca="1" si="284"/>
        <v>0</v>
      </c>
      <c r="BS164" s="48">
        <f ca="1">IF(IF(AND(OR(INDEX(PDC,MATCH($AC164,DEN_PDC,0),4)="D",INDEX(PDC,MATCH($AC164,DEN_PDC,0),4)="D/A"),SUMIFS(DARE,DEN_G,$AC164)&gt;=SUMIFS(AVERE,DEN_G,$AC164)),SUMIFS(DARE,DEN_G,$AC164),IF(AND(OR(INDEX(PDC,MATCH($AC164,DEN_PDC,0),4)="A",INDEX(PDC,MATCH($AC164,DEN_PDC,0),4)="D/A"),SUMIFS(AVERE,DEN_G,$AC164)&gt;=SUMIFS(DARE,DEN_G,$AC164)),SUMIFS(AVERE,DEN_G,$AC164),))&gt;0,MAX($BS$2:BS163)+1,0)</f>
        <v>0</v>
      </c>
      <c r="BT164" s="48" t="str">
        <f ca="1">IF($CO$1=0,"",IF(AND($I$1=2,ROW()&gt;$BR$1,ROW()&lt;=$BS$1)," …………….",IF(AND($E$1=1,$BX$1=1,$I$1=2,ROW()=$BQ$1),"TOTALI",IFERROR(INDEX(PDC,MATCH(ROWS(BT$3:BT164),BS$3:BS561,0),2),""))))</f>
        <v/>
      </c>
      <c r="BU164" s="48">
        <f t="shared" ca="1" si="285"/>
        <v>0</v>
      </c>
      <c r="BV164" s="48">
        <f t="shared" ca="1" si="286"/>
        <v>0</v>
      </c>
      <c r="BW164" s="48">
        <f t="shared" ca="1" si="287"/>
        <v>0</v>
      </c>
      <c r="BX164" s="48">
        <f t="shared" ca="1" si="288"/>
        <v>0</v>
      </c>
      <c r="BY164" s="48">
        <f ca="1">IF(OR(BW164&gt;0,BX164&gt;0),MAX($BY$2:BY163)+1,0)</f>
        <v>0</v>
      </c>
      <c r="BZ164" s="48" t="str">
        <f ca="1">IFERROR(INDEX($BT$3:$BY$400,MATCH(ROWS(BZ$3:BZ164),$BY$3:$BY$400,0),1),"")</f>
        <v/>
      </c>
      <c r="CA164" s="48" t="str">
        <f ca="1">IFERROR(INDEX($BT$3:$BY$400,MATCH(ROWS(CA$3:CA164),$BY$3:$BY$400,0),4),"")</f>
        <v/>
      </c>
      <c r="CB164" s="48" t="str">
        <f ca="1">IFERROR(INDEX($BT$3:$BY$400,MATCH(ROWS(CB$3:CB164),$BY$3:$BY$400,0),5),"")</f>
        <v/>
      </c>
      <c r="CC164" s="48" t="str">
        <f t="shared" ca="1" si="289"/>
        <v/>
      </c>
      <c r="CD164" s="48">
        <f ca="1">IF(OR($EL$2&gt;0,AY1&lt;&gt;0),0,IF(AND($BF$9=1,$F$1=1,$I$1=1),IF(MAX($CD$106:$CD$163)&gt;=MAX($CD$3:$CD$85),MAX($CD$106:$CD$163)+1,MAX($CD$3:$CD$85)+1),IF(AND($BF$9=1,$E$1=1,$I$1=2),IF(MAX($CD$106:$CD$163)&gt;=MAX($CD$3:$CD$85),MAX($CD$106:$CD$163)+1,MAX($CD$3:$CD$85)+1),0)))</f>
        <v>0</v>
      </c>
      <c r="CE164" s="48">
        <f ca="1">IF(EU3&gt;0,0,IF($I$1=1,SUM(CE163,CE162,CE129,CE123,CE130),IF(AND($I$1=2,OR(CE163="_ _ _",CE162&gt;0,CE130&gt;0,CE123="_ _ _",CE129="_ _ _",CE86="_ _ _")),"_ _ _",0)))</f>
        <v>0</v>
      </c>
      <c r="CG164" s="242" t="s">
        <v>746</v>
      </c>
      <c r="CH164" s="48">
        <f t="shared" ca="1" si="259"/>
        <v>0</v>
      </c>
      <c r="CM164" s="242" t="str">
        <f t="shared" ca="1" si="305"/>
        <v/>
      </c>
      <c r="CN164" s="243">
        <f t="shared" ca="1" si="306"/>
        <v>0</v>
      </c>
      <c r="CO164" s="48" t="str">
        <f t="shared" ca="1" si="307"/>
        <v/>
      </c>
      <c r="CQ164" s="242"/>
      <c r="CR164" s="242"/>
      <c r="CU164" s="48">
        <f ca="1">IF(SUMIFS(AVERE,DEN_G,AC164,AVERE,"&gt;"&amp;0)+SUMIFS(DARE,DEN_G,AC164,DARE,"&gt;"&amp;0)&gt;0,MAX($CU$2:CU163)+1,0)</f>
        <v>0</v>
      </c>
      <c r="CV164" s="48" t="str">
        <f ca="1">IF(IFERROR(INDEX(PDC,MATCH(ROWS($CV$3:CV164),$CU$3:$CU$400,0),2),"")="CONTO DI RISULTATO ECONOMICO","",IFERROR(INDEX(PDC,MATCH(ROWS($CV$3:CV164),$CU$3:$CU$400,0),2),""))</f>
        <v/>
      </c>
      <c r="CW164" s="48">
        <f ca="1">IFERROR(IF(CV164&lt;&gt;"",MAX($CW$2:CW163)+1,0),0)</f>
        <v>0</v>
      </c>
      <c r="CX164" s="48">
        <f t="shared" ca="1" si="361"/>
        <v>13</v>
      </c>
      <c r="CY164" s="48" t="str">
        <f t="shared" ca="1" si="359"/>
        <v>MASTRO</v>
      </c>
      <c r="CZ164" s="48" t="e">
        <f t="shared" ca="1" si="364"/>
        <v>#N/A</v>
      </c>
      <c r="DA164" s="48" t="str">
        <f t="shared" ca="1" si="368"/>
        <v/>
      </c>
      <c r="DB164" s="48" t="str">
        <f t="shared" ca="1" si="347"/>
        <v/>
      </c>
      <c r="DC164" s="48" t="str">
        <f t="shared" ca="1" si="365"/>
        <v/>
      </c>
      <c r="DD164" s="48" t="str">
        <f t="shared" ca="1" si="366"/>
        <v/>
      </c>
      <c r="DE164" s="48" t="str">
        <f t="shared" ca="1" si="367"/>
        <v/>
      </c>
      <c r="DF164" s="48">
        <f ca="1">IF(AND(CX164=$DF$1,CX164&lt;&gt;""),0,IF(AND(DB164&lt;&gt;"",OR(DB163&lt;&gt;"",DB165&lt;&gt;"")),MAX($DF$2:DF163)+1,0))</f>
        <v>0</v>
      </c>
      <c r="DH164" s="244" t="s">
        <v>408</v>
      </c>
      <c r="DI164" s="48" t="s">
        <v>409</v>
      </c>
      <c r="DJ164" s="48" t="s">
        <v>312</v>
      </c>
      <c r="DK164" s="48" t="s">
        <v>298</v>
      </c>
      <c r="DL164" s="48" t="s">
        <v>5</v>
      </c>
      <c r="DM164" s="48" t="s">
        <v>299</v>
      </c>
      <c r="DN164" s="48">
        <f ca="1">IF(DI164&lt;&gt;"",MAX($DN$2:DN163)+1,0)</f>
        <v>135</v>
      </c>
      <c r="DO164" s="48" t="str">
        <f ca="1">IF($BF$9=1,"ppd9","ppd")</f>
        <v>ppd</v>
      </c>
      <c r="DQ164" s="227" t="s">
        <v>128</v>
      </c>
      <c r="DR164" s="48" t="s">
        <v>870</v>
      </c>
      <c r="DS164" s="48" t="s">
        <v>312</v>
      </c>
      <c r="DT164" s="48" t="s">
        <v>298</v>
      </c>
      <c r="DU164" s="48" t="s">
        <v>5</v>
      </c>
      <c r="DV164" s="48" t="s">
        <v>299</v>
      </c>
      <c r="DW164" s="48">
        <f ca="1">IF(DR164&lt;&gt;"",MAX($DW$2:DW163)+1,0)</f>
        <v>98</v>
      </c>
      <c r="DX164" s="48" t="str">
        <f ca="1">IF($BF$9=1,"ppd7","ppd")</f>
        <v>ppd</v>
      </c>
      <c r="DY164" s="48" t="str">
        <f t="shared" ca="1" si="291"/>
        <v/>
      </c>
      <c r="DZ164" s="48" t="str">
        <f t="shared" ca="1" si="309"/>
        <v/>
      </c>
      <c r="EA164" s="48" t="str">
        <f t="shared" ca="1" si="310"/>
        <v/>
      </c>
      <c r="EB164" s="48">
        <f t="shared" ca="1" si="311"/>
        <v>0</v>
      </c>
      <c r="EC164" s="48">
        <f t="shared" ca="1" si="312"/>
        <v>0</v>
      </c>
      <c r="ED164" s="48" t="str">
        <f t="shared" ca="1" si="313"/>
        <v/>
      </c>
      <c r="EE164" s="48">
        <f t="shared" ca="1" si="314"/>
        <v>0</v>
      </c>
      <c r="EF164" s="48" t="str">
        <f t="shared" ca="1" si="315"/>
        <v/>
      </c>
      <c r="EG164" s="48">
        <f t="shared" ca="1" si="316"/>
        <v>0</v>
      </c>
      <c r="EH164" s="48" t="str">
        <f t="shared" ca="1" si="317"/>
        <v/>
      </c>
      <c r="EI164" s="48">
        <f t="shared" ca="1" si="318"/>
        <v>0</v>
      </c>
      <c r="EJ164" s="48" t="str">
        <f t="shared" ca="1" si="319"/>
        <v/>
      </c>
      <c r="EK164" s="48">
        <f t="shared" ca="1" si="320"/>
        <v>0</v>
      </c>
      <c r="EL164" s="48">
        <f t="shared" ca="1" si="292"/>
        <v>0</v>
      </c>
      <c r="EM164" s="48">
        <f ca="1">IF(EL164&gt;=0,0,MAX($EM$2:EM163)+1)</f>
        <v>0</v>
      </c>
      <c r="EN164" s="48" t="str">
        <f t="shared" ca="1" si="321"/>
        <v/>
      </c>
      <c r="EO164" s="48" t="str">
        <f ca="1">IFERROR(INDEX($EM$3:$EN$400,MATCH(ROWS($EO$3:EO164),$EM$3:$EM$400,0),2),"")</f>
        <v/>
      </c>
      <c r="EP164" s="48">
        <f>ROW()</f>
        <v>164</v>
      </c>
      <c r="EQ164" s="48">
        <f t="shared" ca="1" si="293"/>
        <v>0</v>
      </c>
      <c r="ER164" s="48">
        <f ca="1">IF(ISNA(EQ164)=TRUE,MAX($ER$2:ER163)+1,0)</f>
        <v>0</v>
      </c>
      <c r="ES164" s="48" t="str">
        <f t="shared" ca="1" si="322"/>
        <v/>
      </c>
      <c r="ET164" s="48" t="str">
        <f ca="1">IFERROR(INDEX($ER$3:$ES$400,MATCH(ROWS($ET$3:ET164),$ER$3:$ER$400,0),2),"")</f>
        <v/>
      </c>
      <c r="EV164" s="48">
        <f ca="1">IFERROR(INDEX(LIBRO_GIORNALE!$O$11:$P$408,MATCH(ROWS($EV$2:EV163),LIBRO_GIORNALE!$P$11:$P$408,0),1),0)</f>
        <v>0</v>
      </c>
      <c r="EW164" s="48" t="str">
        <f t="shared" ca="1" si="323"/>
        <v>0</v>
      </c>
      <c r="EX164" s="48">
        <f t="shared" ca="1" si="324"/>
        <v>0</v>
      </c>
      <c r="EY164" s="48">
        <f ca="1">IF(EX164&gt;0,MAX($EY$2:EY163)+1,0)</f>
        <v>0</v>
      </c>
      <c r="EZ164" s="48">
        <f ca="1">IFERROR(INDEX($EX$3:$EX$400,MATCH(ROWS($EZ$3:EZ164),$EY$3:$EY$400,0),1),0)</f>
        <v>0</v>
      </c>
      <c r="FA164" s="48">
        <f ca="1">IF(EZ164&gt;0,0,MAX($FA$2:FA163)+1)</f>
        <v>162</v>
      </c>
      <c r="FB164" s="48">
        <f t="shared" ca="1" si="325"/>
        <v>0</v>
      </c>
      <c r="FC164" s="48">
        <f t="shared" ca="1" si="326"/>
        <v>162</v>
      </c>
      <c r="FD164" s="48">
        <f t="shared" ca="1" si="327"/>
        <v>162</v>
      </c>
      <c r="FE164" s="48">
        <f ca="1">IF(FD164=0,0,MAX($FE$2:FE163)+1)</f>
        <v>162</v>
      </c>
      <c r="FF164" s="48">
        <f ca="1">IFERROR(INDEX($FD$3:$FE$400,MATCH(ROWS($FF$3:FF164),$FE$3:$FE$400,0),1),"")</f>
        <v>162</v>
      </c>
      <c r="FG164" s="48">
        <f t="shared" ca="1" si="255"/>
        <v>0</v>
      </c>
      <c r="FH164" s="48">
        <f t="shared" ca="1" si="328"/>
        <v>0</v>
      </c>
      <c r="FI164" s="48">
        <f ca="1">IF(FH164&lt;&gt;0,MAX($FI$2:FI163)+1,0)</f>
        <v>0</v>
      </c>
      <c r="FJ164" s="48" t="str">
        <f ca="1">IFERROR(INDEX($FH$3:$FI$400,MATCH(ROWS($FJ$3:FJ164),$FI$3:$FI$400,0),1),"")</f>
        <v/>
      </c>
      <c r="FK164" s="48">
        <f ca="1">IF(ABS(SUMIFS(DARE,DEN_G,"="&amp;FJ164,DATA,"&lt;="&amp;FINE_AC,DATA,"&gt;="&amp;INIZIO_A_PC)-SUMIFS(AVERE,DEN_G,"="&amp;FJ164,DATA,"&lt;="&amp;FINE_AC,DATA,"&gt;="&amp;INIZIO_A_PC))&gt;0,MAX($FK$2:FK163)+1,0)</f>
        <v>0</v>
      </c>
      <c r="FL164" s="48" t="str">
        <f ca="1">IF(AND(ROW()-2&lt;&gt;1,ROW()-2&lt;=$FK$1),CONCATENATE(" - ",IFERROR(INDEX($FJ$3:$FK$400,MATCH(ROWS($FL$3:FL164),$FK$3:$FK$400,0),1),"")),IFERROR(INDEX($FJ$3:$FK$400,MATCH(ROWS($FL$3:FL164),$FK$3:$FK$400,0),1),""))</f>
        <v/>
      </c>
      <c r="FM164" s="48">
        <f ca="1">IF(OR(B164="IVA ns/credito",B164="IVA NS/DEBITO",B164="IVA C/ACCONTO",B164="IMPOSTE C/ACCONTO",B164="CREDITI PER RITENUTE SUBITE",B164="CREDITI D'IMPOSTA"),MAX($FM$2:FM163)+1,0)</f>
        <v>0</v>
      </c>
      <c r="FN164" s="48" t="str">
        <f t="shared" ca="1" si="329"/>
        <v/>
      </c>
      <c r="FO164" s="48" t="str">
        <f ca="1">IFERROR(INDEX($FM$3:$FN$400,MATCH(ROWS($FO$3:FO164),$FM$3:$FM$400,0),2),"")</f>
        <v/>
      </c>
      <c r="FP164" s="48">
        <f ca="1">IF(ABS(SUMIFS(DARE,DEN_G,"="&amp;FO164,DATA,"&lt;="&amp;FINE_AC,DATA,"&gt;="&amp;INIZIO_A_PC)-SUMIFS(AVERE,DEN_G,"="&amp;FO164,DATA,"&lt;="&amp;FINE_AC,DATA,"&gt;="&amp;INIZIO_A_PC))&gt;0,MAX($FP$2:FP163)+1,0)</f>
        <v>0</v>
      </c>
      <c r="FQ164" s="48" t="str">
        <f ca="1">IF(AND(ROW()-2&lt;&gt;1,ROW()-2&lt;=$FP$1),CONCATENATE(" - ",IFERROR(INDEX($FO$3:$FP$400,MATCH(ROWS($FQ$3:FQ164),$FP$3:$FP$400,0),1),"")),IFERROR(INDEX($FO$3:$FP$400,MATCH(ROWS($FQ$3:FQ164),$FP$3:$FP$400,0),1),""))</f>
        <v/>
      </c>
    </row>
    <row r="165" spans="1:173" x14ac:dyDescent="0.3">
      <c r="A165" s="48" t="str">
        <f ca="1">IFERROR(IF($A$1=2,INDEX($DH$3:$DN$401,MATCH(ROWS(A$3:A165),$DN$3:$DN$401,0),COLUMN()),IF($A$1=1,INDEX($DQ$3:$DW$401,MATCH(ROWS(A$3:A165),$DW$3:$DW$401,0),COLUMN()),"")),"")</f>
        <v>15.61</v>
      </c>
      <c r="B165" s="48" t="str">
        <f ca="1">IFERROR(IF($A$1=2,INDEX($DH$3:$DN$401,MATCH(ROWS(B$3:B165),$DN$3:$DN$401,0),COLUMN()),IF($A$1=1,INDEX($DQ$3:$DW$400,MATCH(ROWS(B$3:B165),$DW$3:$DW$401,0),COLUMN()),"")),"")</f>
        <v>OBBLIGAZIONISTI C/RIMBORSI</v>
      </c>
      <c r="C165" s="48" t="str">
        <f ca="1">IFERROR(IF($A$1=2,INDEX($DH$3:$DN$401,MATCH(ROWS(C$3:C165),$DN$3:$DN$401,0),COLUMN()),IF($A$1=1,INDEX($DQ$3:$DW$401,MATCH(ROWS(C$3:C165),$DW$3:$DW$401,0),COLUMN()),"")),"")</f>
        <v>F</v>
      </c>
      <c r="D165" s="48" t="str">
        <f ca="1">IFERROR(IF($A$1=2,INDEX($DH$3:$DN$401,MATCH(ROWS(D$3:D165),$DN$3:$DN$401,0),COLUMN()),IF($A$1=1,INDEX($DQ$3:$DW$401,MATCH(ROWS(D$3:D165),$DW$3:$DW$401,0),COLUMN()),"")),"")</f>
        <v>A</v>
      </c>
      <c r="E165" s="48" t="str">
        <f ca="1">IFERROR(IF($A$1=2,INDEX($DH$3:$DN$401,MATCH(ROWS(E$3:E165),$DN$3:$DN$401,0),COLUMN()),IF($A$1=1,INDEX($DQ$3:$DW$401,MATCH(ROWS(E$3:E165),$DW$3:$DW$401,0),COLUMN()),"")),"")</f>
        <v>DEBITI</v>
      </c>
      <c r="F165" s="48" t="str">
        <f ca="1">IFERROR(IF($A$1=2,INDEX($DH$3:$DN$401,MATCH(ROWS(F$3:F165),$DN$3:$DN$401,0),COLUMN()),IF($A$1=1,INDEX($DQ$3:$DX$401,MATCH(ROWS(F$3:F165),$DW$3:$DW$401,0),COLUMN()),"")),"")</f>
        <v>SP AVERE</v>
      </c>
      <c r="G165" s="48" t="str">
        <f t="shared" ca="1" si="294"/>
        <v>SP</v>
      </c>
      <c r="H165" s="48" t="str">
        <f ca="1">IFERROR(IF($A$1=2,INDEX($DH$3:$DO$400,MATCH(ROWS(H$3:H165),$DN$3:$DN$400,0),COLUMN()),IF($A$1=1,INDEX($DQ$3:$DX$400,MATCH(ROWS(H$3:H165),$DW$3:$DW$400,0),COLUMN()),"")),"")</f>
        <v>ppd</v>
      </c>
      <c r="I165" s="48" t="str">
        <f t="shared" ca="1" si="295"/>
        <v/>
      </c>
      <c r="J165" s="48" t="str">
        <f t="shared" ca="1" si="296"/>
        <v/>
      </c>
      <c r="K165" s="48">
        <f t="shared" ca="1" si="297"/>
        <v>0</v>
      </c>
      <c r="L165" s="48">
        <f t="shared" ca="1" si="298"/>
        <v>0</v>
      </c>
      <c r="M165" s="48">
        <f ca="1">IFERROR(IF(IF(MID($A165,3,3)=".00",MID(A165,1,2),"")&lt;&gt;"",MAX($M$2:M164)+1,0),"")</f>
        <v>0</v>
      </c>
      <c r="N165" s="48" t="str">
        <f t="shared" ca="1" si="299"/>
        <v/>
      </c>
      <c r="O165" s="48" t="str">
        <f ca="1">IF(IFERROR(INDEX($N$3:$O$300,MATCH(ROWS($O$3:O165),$M$3:$M$300,0),1),"")&lt;&gt;"",CONCATENATE(INDEX($N$3:$O$300,MATCH(ROWS($O$3:O165),$M$3:$M$300,0),1),".00"),"")</f>
        <v/>
      </c>
      <c r="P165" s="48" t="str">
        <f t="shared" ca="1" si="300"/>
        <v/>
      </c>
      <c r="Q165" s="48">
        <f ca="1">IF(M165&gt;=1,0,MAX($Q$2:Q164)+1)</f>
        <v>147</v>
      </c>
      <c r="U165" s="48" t="str">
        <f ca="1">IFERROR(INDEX(PDC,MATCH(ROWS(U$3:U165),$V$3:$V$400,0),2),"")</f>
        <v>CREDITORI C/LEASING</v>
      </c>
      <c r="V165" s="48">
        <f ca="1">IF(AND($T$1="VISUALIZZA TUTTI I CONTI",AA165&lt;&gt;""),MAX($V$2:V164)+1,IF(AND($U$2=2,AI165=$T$1),MAX($V$2:V164)+1,IF(AND($U$2=1,$T$1=AF165),MAX($V$2:V164)+1,0)))</f>
        <v>163</v>
      </c>
      <c r="AA165" s="48" t="str">
        <f t="shared" ca="1" si="301"/>
        <v>19.00</v>
      </c>
      <c r="AB165" s="48" t="str">
        <f ca="1">IFERROR(INDEX($A$3:$G$400,MATCH(ROWS(AB$3:AB165),$Q$3:$Q$400,0),1),"")</f>
        <v>19.12</v>
      </c>
      <c r="AC165" s="48" t="str">
        <f ca="1">IFERROR(INDEX($A$3:$G$400,MATCH(ROWS($AC$3:AC165),$Q$3:$Q$400,0),2),"")</f>
        <v>CREDITORI C/LEASING</v>
      </c>
      <c r="AD165" s="48">
        <f ca="1">IFERROR(INDEX($A$3:$G$400,MATCH(ROWS(AD$3:AD165),$Q$3:$Q$400,0),3),"")</f>
        <v>0</v>
      </c>
      <c r="AE165" s="48" t="str">
        <f ca="1">IFERROR(INDEX($A$3:$G$400,MATCH(ROWS(AE$3:AE165),$Q$3:$Q$400,0),4),"")</f>
        <v>A</v>
      </c>
      <c r="AF165" s="48" t="str">
        <f ca="1">IFERROR(INDEX($A$3:$G$400,MATCH(ROWS(AF$3:AF165),$Q$3:$Q$400,0),5),"")</f>
        <v>CONTI D'ORDINE</v>
      </c>
      <c r="AG165" s="48" t="str">
        <f ca="1">IFERROR(INDEX($A$3:$G$400,MATCH(ROWS(AG$3:AG165),$Q$3:$Q$400,0),6),"")</f>
        <v>SP</v>
      </c>
      <c r="AH165" s="48" t="str">
        <f ca="1">IFERROR(INDEX($A$3:$G$400,MATCH(ROWS(AH$3:AH165),$Q$3:$Q$400,0),7),"")</f>
        <v>SP</v>
      </c>
      <c r="AI165" s="48" t="str">
        <f t="shared" ca="1" si="302"/>
        <v>CONTI DEI SISTEMI MINORI</v>
      </c>
      <c r="AJ165" s="48">
        <f ca="1">IFERROR(INDEX($A$3:$H$400,MATCH(ROWS(AJ$3:AJ165),$Q$3:$Q$400,0),8),"")</f>
        <v>0</v>
      </c>
      <c r="AK165" s="48">
        <f t="shared" ca="1" si="277"/>
        <v>0</v>
      </c>
      <c r="AL165" s="48">
        <f t="shared" ca="1" si="335"/>
        <v>0</v>
      </c>
      <c r="AM165" s="48">
        <f t="shared" ca="1" si="252"/>
        <v>0</v>
      </c>
      <c r="AN165" s="48">
        <f t="shared" ca="1" si="253"/>
        <v>0</v>
      </c>
      <c r="AO165" s="48">
        <f t="shared" ca="1" si="254"/>
        <v>0</v>
      </c>
      <c r="AP165" s="48">
        <f t="shared" ca="1" si="254"/>
        <v>0</v>
      </c>
      <c r="AQ165" s="48" t="str">
        <f t="shared" ca="1" si="278"/>
        <v>CREDITORI C/LEASING</v>
      </c>
      <c r="AR165" s="48">
        <f t="shared" ca="1" si="279"/>
        <v>0</v>
      </c>
      <c r="AS165" s="48">
        <f t="shared" ca="1" si="280"/>
        <v>0</v>
      </c>
      <c r="AT165" s="48">
        <f t="shared" ca="1" si="303"/>
        <v>0</v>
      </c>
      <c r="AU165" s="48">
        <f t="shared" ca="1" si="304"/>
        <v>0</v>
      </c>
      <c r="AV165" s="48">
        <f ca="1">IF(OR(AT165&gt;0,AU165&gt;0),MAX($AV$2:AV164)+1,0)</f>
        <v>0</v>
      </c>
      <c r="AZ165" s="241" t="str">
        <f t="shared" si="240"/>
        <v>65 V.I.</v>
      </c>
      <c r="BA165" s="48">
        <f t="shared" ref="BA165:BA200" ca="1" si="369">IF(AND(AL67&gt;=INIZIO_AC,AL67&gt;=INIZIO_A_PC,AL67&lt;=FINE_AC),AL67,0)</f>
        <v>0</v>
      </c>
      <c r="BB165" s="48">
        <f t="shared" ca="1" si="247"/>
        <v>0</v>
      </c>
      <c r="BC165" s="48" t="str">
        <f t="shared" ca="1" si="248"/>
        <v/>
      </c>
      <c r="BD165" s="48">
        <f t="shared" ca="1" si="249"/>
        <v>0</v>
      </c>
      <c r="BE165" s="48">
        <f t="shared" ca="1" si="250"/>
        <v>0</v>
      </c>
      <c r="BG165" s="48">
        <f ca="1">IF(IF(AND(OR(INDEX(PDC,MATCH($AC165,DEN_PDC,0),6)="SP DARE",INDEX(PDC,MATCH($AC165,DEN_PDC,0),6)="SP DARE/AVERE"),SUMIFS(DARE,DEN_G,$AC165)&gt;=SUMIFS(AVERE,DEN_G,$AC165)),SUMIFS(DARE,DEN_G,$AC165)-SUMIFS(AVERE,DEN_G,$AC165),0)&gt;0,MAX($BG$2:BG164)+1,0)</f>
        <v>0</v>
      </c>
      <c r="BH165" s="48">
        <f ca="1">IF(IF(AND(OR(INDEX(PDC,MATCH($AC165,DEN_PDC,0),6)="SP AVERE",INDEX(PDC,MATCH($AC165,DEN_PDC,0),6)="SP DARE/AVERE"),SUMIFS(AVERE,DEN_G,$AC165)&gt;=SUMIFS(DARE,DEN_G,$AC165)),SUMIFS(AVERE,DEN_G,$AC165)-SUMIFS(DARE,DEN_G,$AC165),0)&gt;0,MAX(BH$2:BH164)+1,0)</f>
        <v>0</v>
      </c>
      <c r="BI165" s="48">
        <f ca="1">IF(IF(AND(OR(INDEX(PDC,MATCH($AC165,DEN_PDC,0),6)="SE DARE",INDEX(PDC,MATCH($AC165,DEN_PDC,0),6)="SE DARE/AVERE"),SUMIFS(DARE,DEN_G,$AC165)&gt;=SUMIFS(AVERE,DEN_G,$AC165)),SUMIFS(DARE,DEN_G,$AC165)-SUMIFS(AVERE,DEN_G,$AC165),0)&gt;0,MAX(BI$2:BI164)+1,0)</f>
        <v>0</v>
      </c>
      <c r="BJ165" s="48">
        <f ca="1">IF(IF(AND(OR(INDEX(PDC,MATCH($AC165,DEN_PDC,0),6)="SE AVERE",INDEX(PDC,MATCH($AC165,DEN_PDC,0),6)="SE DARE/AVERE"),SUMIFS(AVERE,DEN_G,$AC165)&gt;=SUMIFS(DARE,DEN_G,$AC165)),SUMIFS(AVERE,DEN_G,$AC165)-SUMIFS(DARE,DEN_G,$AC165),0)&gt;0,MAX(BJ$2:BJ164)+1,0)</f>
        <v>0</v>
      </c>
      <c r="BK165" s="48" t="str">
        <f ca="1">IF(AND(AND($DY$2=0,$DY$1=0),$I$1=2,ROW()&gt;$BG$1+2,ROW()&lt;=$BG$1+4),"………………..",IF(AND(OR($DY$2&gt;0,$DY$1&gt;0),$I$1=2,ROW()&gt;$BG$1+2,ROW()&lt;=$BG$1+4),"………………..",IFERROR(INDEX($AC$3:$AC$398,MATCH(ROWS(BK$3:BK165),BG$3:BG$398,0),1),"")))</f>
        <v/>
      </c>
      <c r="BL165" s="48">
        <f t="shared" ca="1" si="281"/>
        <v>0</v>
      </c>
      <c r="BM165" s="48" t="str">
        <f ca="1">IF(AND(OR($DY$2=0,$DY$1=0),$I$1=2,ROW()&gt;$BH$1+2,ROW()&lt;=$BH$1+4),"………………..",IF(AND(OR($DY$2&gt;0,$DY$1&gt;0),$I$1=2,ROW()&gt;$BH$1+2,ROW()&lt;=$BH$1+4),"………………..",IFERROR(INDEX($AC$3:$AC$400,MATCH(ROWS(BM$3:BM165),BH$3:BH$400,0),1),"")))</f>
        <v/>
      </c>
      <c r="BN165" s="48">
        <f t="shared" ca="1" si="282"/>
        <v>0</v>
      </c>
      <c r="BO165" s="48" t="str">
        <f ca="1">IF(AND(OR($DY$2=0,$DY$1=0),$I$1=2,ROW()&gt;$BI$1+2,ROW()&lt;=$BI$1+4),"………………..",IF(AND(OR($DY$2&gt;0,$DY$1&gt;0),$I$1=2,ROW()&gt;$BI$1+2,ROW()&lt;=$BI$1+4),"………………..",IFERROR(INDEX($AC$3:$AC$400,MATCH(ROWS(BO$3:BO165),BI$3:BI$400,0),1),"")))</f>
        <v/>
      </c>
      <c r="BP165" s="48">
        <f t="shared" ca="1" si="283"/>
        <v>0</v>
      </c>
      <c r="BQ165" s="48" t="str">
        <f ca="1">IF(AND(OR($DY$2=0,$DY$1=0),$I$1=2,ROW()&gt;$BJ$1+2,ROW()&lt;=$BJ$1+4),"………………..",IF(AND(OR($DY$2&gt;0,$DY$1&gt;0),$I$1=2,ROW()&gt;$BJ$1+2,ROW()&lt;=$BJ$1+4),"………………..",IFERROR(INDEX($AC$3:$AC$400,MATCH(ROWS(BQ$3:BQ165),BJ$3:BJ$400,0),1),"")))</f>
        <v/>
      </c>
      <c r="BR165" s="48">
        <f t="shared" ca="1" si="284"/>
        <v>0</v>
      </c>
      <c r="BS165" s="48">
        <f ca="1">IF(IF(AND(OR(INDEX(PDC,MATCH($AC165,DEN_PDC,0),4)="D",INDEX(PDC,MATCH($AC165,DEN_PDC,0),4)="D/A"),SUMIFS(DARE,DEN_G,$AC165)&gt;=SUMIFS(AVERE,DEN_G,$AC165)),SUMIFS(DARE,DEN_G,$AC165),IF(AND(OR(INDEX(PDC,MATCH($AC165,DEN_PDC,0),4)="A",INDEX(PDC,MATCH($AC165,DEN_PDC,0),4)="D/A"),SUMIFS(AVERE,DEN_G,$AC165)&gt;=SUMIFS(DARE,DEN_G,$AC165)),SUMIFS(AVERE,DEN_G,$AC165),))&gt;0,MAX($BS$2:BS164)+1,0)</f>
        <v>0</v>
      </c>
      <c r="BT165" s="48" t="str">
        <f ca="1">IF($CO$1=0,"",IF(AND($I$1=2,ROW()&gt;$BR$1,ROW()&lt;=$BS$1)," …………….",IF(AND($E$1=1,$BX$1=1,$I$1=2,ROW()=$BQ$1),"TOTALI",IFERROR(INDEX(PDC,MATCH(ROWS(BT$3:BT165),BS$3:BS562,0),2),""))))</f>
        <v/>
      </c>
      <c r="BU165" s="48">
        <f t="shared" ca="1" si="285"/>
        <v>0</v>
      </c>
      <c r="BV165" s="48">
        <f t="shared" ca="1" si="286"/>
        <v>0</v>
      </c>
      <c r="BW165" s="48">
        <f t="shared" ca="1" si="287"/>
        <v>0</v>
      </c>
      <c r="BX165" s="48">
        <f t="shared" ca="1" si="288"/>
        <v>0</v>
      </c>
      <c r="BY165" s="48">
        <f ca="1">IF(OR(BW165&gt;0,BX165&gt;0),MAX($BY$2:BY164)+1,0)</f>
        <v>0</v>
      </c>
      <c r="BZ165" s="48" t="str">
        <f ca="1">IFERROR(INDEX($BT$3:$BY$400,MATCH(ROWS(BZ$3:BZ165),$BY$3:$BY$400,0),1),"")</f>
        <v/>
      </c>
      <c r="CA165" s="48" t="str">
        <f ca="1">IFERROR(INDEX($BT$3:$BY$400,MATCH(ROWS(CA$3:CA165),$BY$3:$BY$400,0),4),"")</f>
        <v/>
      </c>
      <c r="CB165" s="48" t="str">
        <f ca="1">IFERROR(INDEX($BT$3:$BY$400,MATCH(ROWS(CB$3:CB165),$BY$3:$BY$400,0),5),"")</f>
        <v/>
      </c>
      <c r="CC165" s="48" t="str">
        <f t="shared" ca="1" si="289"/>
        <v/>
      </c>
      <c r="CD165" s="48">
        <f ca="1">IF(AND($I$1=1,$F$1=0),0,IF(AND($I$1=2,$E$1=0),0,IF(AND($BF$9=2,CE165&gt;0),MAX($CD$87:CD164)+1,0)))</f>
        <v>0</v>
      </c>
      <c r="CE165" s="48">
        <f>CE105</f>
        <v>0</v>
      </c>
      <c r="CG165" s="242" t="s">
        <v>775</v>
      </c>
      <c r="CH165" s="48">
        <f t="shared" si="259"/>
        <v>0</v>
      </c>
      <c r="CM165" s="242" t="str">
        <f t="shared" ca="1" si="305"/>
        <v/>
      </c>
      <c r="CN165" s="243">
        <f t="shared" ca="1" si="306"/>
        <v>0</v>
      </c>
      <c r="CO165" s="48" t="str">
        <f t="shared" ca="1" si="307"/>
        <v/>
      </c>
      <c r="CQ165" s="242"/>
      <c r="CR165" s="242"/>
      <c r="CU165" s="48">
        <f ca="1">IF(SUMIFS(AVERE,DEN_G,AC165,AVERE,"&gt;"&amp;0)+SUMIFS(DARE,DEN_G,AC165,DARE,"&gt;"&amp;0)&gt;0,MAX($CU$2:CU164)+1,0)</f>
        <v>0</v>
      </c>
      <c r="CV165" s="48" t="str">
        <f ca="1">IF(IFERROR(INDEX(PDC,MATCH(ROWS($CV$3:CV165),$CU$3:$CU$400,0),2),"")="CONTO DI RISULTATO ECONOMICO","",IFERROR(INDEX(PDC,MATCH(ROWS($CV$3:CV165),$CU$3:$CU$400,0),2),""))</f>
        <v/>
      </c>
      <c r="CW165" s="48">
        <f ca="1">IFERROR(IF(CV165&lt;&gt;"",MAX($CW$2:CW164)+1,0),0)</f>
        <v>0</v>
      </c>
      <c r="CX165" s="48">
        <f t="shared" ca="1" si="361"/>
        <v>13</v>
      </c>
      <c r="CY165" s="48" t="str">
        <f t="shared" ca="1" si="359"/>
        <v>MASTRO</v>
      </c>
      <c r="CZ165" s="48" t="e">
        <f t="shared" ca="1" si="364"/>
        <v>#N/A</v>
      </c>
      <c r="DA165" s="48" t="str">
        <f t="shared" ca="1" si="368"/>
        <v/>
      </c>
      <c r="DB165" s="48" t="str">
        <f t="shared" ca="1" si="347"/>
        <v/>
      </c>
      <c r="DC165" s="48" t="str">
        <f t="shared" ca="1" si="365"/>
        <v/>
      </c>
      <c r="DD165" s="48" t="str">
        <f t="shared" ca="1" si="366"/>
        <v/>
      </c>
      <c r="DE165" s="48" t="str">
        <f t="shared" ca="1" si="367"/>
        <v/>
      </c>
      <c r="DF165" s="48">
        <f ca="1">IF(AND(CX165=$DF$1,CX165&lt;&gt;""),0,IF(AND(DB165&lt;&gt;"",OR(DB164&lt;&gt;"",DB166&lt;&gt;"")),MAX($DF$2:DF164)+1,0))</f>
        <v>0</v>
      </c>
      <c r="DH165" s="244" t="s">
        <v>410</v>
      </c>
      <c r="DI165" s="48" t="s">
        <v>411</v>
      </c>
      <c r="DJ165" s="48" t="s">
        <v>312</v>
      </c>
      <c r="DK165" s="48" t="s">
        <v>298</v>
      </c>
      <c r="DL165" s="48" t="s">
        <v>5</v>
      </c>
      <c r="DM165" s="48" t="s">
        <v>299</v>
      </c>
      <c r="DN165" s="48">
        <f ca="1">IF(DI165&lt;&gt;"",MAX($DN$2:DN164)+1,0)</f>
        <v>136</v>
      </c>
      <c r="DO165" s="48" t="str">
        <f ca="1">IF($BF$9=1,"ppd10","ppd")</f>
        <v>ppd</v>
      </c>
      <c r="DQ165" s="227" t="s">
        <v>1054</v>
      </c>
      <c r="DR165" s="48" t="s">
        <v>125</v>
      </c>
      <c r="DS165" s="48" t="s">
        <v>312</v>
      </c>
      <c r="DT165" s="48" t="s">
        <v>298</v>
      </c>
      <c r="DU165" s="48" t="s">
        <v>5</v>
      </c>
      <c r="DV165" s="48" t="s">
        <v>299</v>
      </c>
      <c r="DW165" s="48">
        <f ca="1">IF(DR165&lt;&gt;"",MAX($DW$2:DW164)+1,0)</f>
        <v>99</v>
      </c>
      <c r="DX165" s="48" t="str">
        <f ca="1">IF($BF$9=1,"ppd7","ppd")</f>
        <v>ppd</v>
      </c>
      <c r="DY165" s="48" t="str">
        <f t="shared" ca="1" si="291"/>
        <v/>
      </c>
      <c r="DZ165" s="48" t="str">
        <f t="shared" ca="1" si="309"/>
        <v/>
      </c>
      <c r="EA165" s="48" t="str">
        <f t="shared" ca="1" si="310"/>
        <v/>
      </c>
      <c r="EB165" s="48">
        <f t="shared" ca="1" si="311"/>
        <v>0</v>
      </c>
      <c r="EC165" s="48">
        <f t="shared" ca="1" si="312"/>
        <v>0</v>
      </c>
      <c r="ED165" s="48" t="str">
        <f t="shared" ca="1" si="313"/>
        <v/>
      </c>
      <c r="EE165" s="48">
        <f t="shared" ca="1" si="314"/>
        <v>0</v>
      </c>
      <c r="EF165" s="48" t="str">
        <f t="shared" ca="1" si="315"/>
        <v/>
      </c>
      <c r="EG165" s="48">
        <f t="shared" ca="1" si="316"/>
        <v>0</v>
      </c>
      <c r="EH165" s="48" t="str">
        <f t="shared" ca="1" si="317"/>
        <v/>
      </c>
      <c r="EI165" s="48">
        <f t="shared" ca="1" si="318"/>
        <v>0</v>
      </c>
      <c r="EJ165" s="48" t="str">
        <f t="shared" ca="1" si="319"/>
        <v/>
      </c>
      <c r="EK165" s="48">
        <f t="shared" ca="1" si="320"/>
        <v>0</v>
      </c>
      <c r="EL165" s="48">
        <f t="shared" ca="1" si="292"/>
        <v>0</v>
      </c>
      <c r="EM165" s="48">
        <f ca="1">IF(EL165&gt;=0,0,MAX($EM$2:EM164)+1)</f>
        <v>0</v>
      </c>
      <c r="EN165" s="48" t="str">
        <f t="shared" ca="1" si="321"/>
        <v/>
      </c>
      <c r="EO165" s="48" t="str">
        <f ca="1">IFERROR(INDEX($EM$3:$EN$400,MATCH(ROWS($EO$3:EO165),$EM$3:$EM$400,0),2),"")</f>
        <v/>
      </c>
      <c r="EP165" s="48">
        <f>ROW()</f>
        <v>165</v>
      </c>
      <c r="EQ165" s="48">
        <f t="shared" ca="1" si="293"/>
        <v>0</v>
      </c>
      <c r="ER165" s="48">
        <f ca="1">IF(ISNA(EQ165)=TRUE,MAX($ER$2:ER164)+1,0)</f>
        <v>0</v>
      </c>
      <c r="ES165" s="48" t="str">
        <f t="shared" ca="1" si="322"/>
        <v/>
      </c>
      <c r="ET165" s="48" t="str">
        <f ca="1">IFERROR(INDEX($ER$3:$ES$400,MATCH(ROWS($ET$3:ET165),$ER$3:$ER$400,0),2),"")</f>
        <v/>
      </c>
      <c r="EV165" s="48">
        <f ca="1">IFERROR(INDEX(LIBRO_GIORNALE!$O$11:$P$408,MATCH(ROWS($EV$2:EV164),LIBRO_GIORNALE!$P$11:$P$408,0),1),0)</f>
        <v>0</v>
      </c>
      <c r="EW165" s="48" t="str">
        <f t="shared" ca="1" si="323"/>
        <v>0</v>
      </c>
      <c r="EX165" s="48">
        <f t="shared" ca="1" si="324"/>
        <v>0</v>
      </c>
      <c r="EY165" s="48">
        <f ca="1">IF(EX165&gt;0,MAX($EY$2:EY164)+1,0)</f>
        <v>0</v>
      </c>
      <c r="EZ165" s="48">
        <f ca="1">IFERROR(INDEX($EX$3:$EX$400,MATCH(ROWS($EZ$3:EZ165),$EY$3:$EY$400,0),1),0)</f>
        <v>0</v>
      </c>
      <c r="FA165" s="48">
        <f ca="1">IF(EZ165&gt;0,0,MAX($FA$2:FA164)+1)</f>
        <v>163</v>
      </c>
      <c r="FB165" s="48">
        <f t="shared" ca="1" si="325"/>
        <v>0</v>
      </c>
      <c r="FC165" s="48">
        <f t="shared" ca="1" si="326"/>
        <v>163</v>
      </c>
      <c r="FD165" s="48">
        <f t="shared" ca="1" si="327"/>
        <v>163</v>
      </c>
      <c r="FE165" s="48">
        <f ca="1">IF(FD165=0,0,MAX($FE$2:FE164)+1)</f>
        <v>163</v>
      </c>
      <c r="FF165" s="48">
        <f ca="1">IFERROR(INDEX($FD$3:$FE$400,MATCH(ROWS($FF$3:FF165),$FE$3:$FE$400,0),1),"")</f>
        <v>163</v>
      </c>
      <c r="FG165" s="48">
        <f t="shared" ca="1" si="255"/>
        <v>0</v>
      </c>
      <c r="FH165" s="48">
        <f t="shared" ca="1" si="328"/>
        <v>0</v>
      </c>
      <c r="FI165" s="48">
        <f ca="1">IF(FH165&lt;&gt;0,MAX($FI$2:FI164)+1,0)</f>
        <v>0</v>
      </c>
      <c r="FJ165" s="48" t="str">
        <f ca="1">IFERROR(INDEX($FH$3:$FI$400,MATCH(ROWS($FJ$3:FJ165),$FI$3:$FI$400,0),1),"")</f>
        <v/>
      </c>
      <c r="FK165" s="48">
        <f ca="1">IF(ABS(SUMIFS(DARE,DEN_G,"="&amp;FJ165,DATA,"&lt;="&amp;FINE_AC,DATA,"&gt;="&amp;INIZIO_A_PC)-SUMIFS(AVERE,DEN_G,"="&amp;FJ165,DATA,"&lt;="&amp;FINE_AC,DATA,"&gt;="&amp;INIZIO_A_PC))&gt;0,MAX($FK$2:FK164)+1,0)</f>
        <v>0</v>
      </c>
      <c r="FL165" s="48" t="str">
        <f ca="1">IF(AND(ROW()-2&lt;&gt;1,ROW()-2&lt;=$FK$1),CONCATENATE(" - ",IFERROR(INDEX($FJ$3:$FK$400,MATCH(ROWS($FL$3:FL165),$FK$3:$FK$400,0),1),"")),IFERROR(INDEX($FJ$3:$FK$400,MATCH(ROWS($FL$3:FL165),$FK$3:$FK$400,0),1),""))</f>
        <v/>
      </c>
      <c r="FM165" s="48">
        <f ca="1">IF(OR(B165="IVA ns/credito",B165="IVA NS/DEBITO",B165="IVA C/ACCONTO",B165="IMPOSTE C/ACCONTO",B165="CREDITI PER RITENUTE SUBITE",B165="CREDITI D'IMPOSTA"),MAX($FM$2:FM164)+1,0)</f>
        <v>0</v>
      </c>
      <c r="FN165" s="48" t="str">
        <f t="shared" ca="1" si="329"/>
        <v/>
      </c>
      <c r="FO165" s="48" t="str">
        <f ca="1">IFERROR(INDEX($FM$3:$FN$400,MATCH(ROWS($FO$3:FO165),$FM$3:$FM$400,0),2),"")</f>
        <v/>
      </c>
      <c r="FP165" s="48">
        <f ca="1">IF(ABS(SUMIFS(DARE,DEN_G,"="&amp;FO165,DATA,"&lt;="&amp;FINE_AC,DATA,"&gt;="&amp;INIZIO_A_PC)-SUMIFS(AVERE,DEN_G,"="&amp;FO165,DATA,"&lt;="&amp;FINE_AC,DATA,"&gt;="&amp;INIZIO_A_PC))&gt;0,MAX($FP$2:FP164)+1,0)</f>
        <v>0</v>
      </c>
      <c r="FQ165" s="48" t="str">
        <f ca="1">IF(AND(ROW()-2&lt;&gt;1,ROW()-2&lt;=$FP$1),CONCATENATE(" - ",IFERROR(INDEX($FO$3:$FP$400,MATCH(ROWS($FQ$3:FQ165),$FP$3:$FP$400,0),1),"")),IFERROR(INDEX($FO$3:$FP$400,MATCH(ROWS($FQ$3:FQ165),$FP$3:$FP$400,0),1),""))</f>
        <v/>
      </c>
    </row>
    <row r="166" spans="1:173" x14ac:dyDescent="0.3">
      <c r="A166" s="48" t="str">
        <f ca="1">IFERROR(IF($A$1=2,INDEX($DH$3:$DN$401,MATCH(ROWS(A$3:A166),$DN$3:$DN$401,0),COLUMN()),IF($A$1=1,INDEX($DQ$3:$DW$401,MATCH(ROWS(A$3:A166),$DW$3:$DW$401,0),COLUMN()),"")),"")</f>
        <v>15.70</v>
      </c>
      <c r="B166" s="48" t="str">
        <f ca="1">IFERROR(IF($A$1=2,INDEX($DH$3:$DN$401,MATCH(ROWS(B$3:B166),$DN$3:$DN$401,0),COLUMN()),IF($A$1=1,INDEX($DQ$3:$DW$400,MATCH(ROWS(B$3:B166),$DW$3:$DW$401,0),COLUMN()),"")),"")</f>
        <v>AMMINISTRATORI C/COMPETENZE</v>
      </c>
      <c r="C166" s="48" t="str">
        <f ca="1">IFERROR(IF($A$1=2,INDEX($DH$3:$DN$401,MATCH(ROWS(C$3:C166),$DN$3:$DN$401,0),COLUMN()),IF($A$1=1,INDEX($DQ$3:$DW$401,MATCH(ROWS(C$3:C166),$DW$3:$DW$401,0),COLUMN()),"")),"")</f>
        <v>F</v>
      </c>
      <c r="D166" s="48" t="str">
        <f ca="1">IFERROR(IF($A$1=2,INDEX($DH$3:$DN$401,MATCH(ROWS(D$3:D166),$DN$3:$DN$401,0),COLUMN()),IF($A$1=1,INDEX($DQ$3:$DW$401,MATCH(ROWS(D$3:D166),$DW$3:$DW$401,0),COLUMN()),"")),"")</f>
        <v>A</v>
      </c>
      <c r="E166" s="48" t="str">
        <f ca="1">IFERROR(IF($A$1=2,INDEX($DH$3:$DN$401,MATCH(ROWS(E$3:E166),$DN$3:$DN$401,0),COLUMN()),IF($A$1=1,INDEX($DQ$3:$DW$401,MATCH(ROWS(E$3:E166),$DW$3:$DW$401,0),COLUMN()),"")),"")</f>
        <v>DEBITI</v>
      </c>
      <c r="F166" s="48" t="str">
        <f ca="1">IFERROR(IF($A$1=2,INDEX($DH$3:$DN$401,MATCH(ROWS(F$3:F166),$DN$3:$DN$401,0),COLUMN()),IF($A$1=1,INDEX($DQ$3:$DX$401,MATCH(ROWS(F$3:F166),$DW$3:$DW$401,0),COLUMN()),"")),"")</f>
        <v>SP AVERE</v>
      </c>
      <c r="G166" s="48" t="str">
        <f t="shared" ca="1" si="294"/>
        <v>SP</v>
      </c>
      <c r="H166" s="48" t="str">
        <f ca="1">IFERROR(IF($A$1=2,INDEX($DH$3:$DO$400,MATCH(ROWS(H$3:H166),$DN$3:$DN$400,0),COLUMN()),IF($A$1=1,INDEX($DQ$3:$DX$400,MATCH(ROWS(H$3:H166),$DW$3:$DW$400,0),COLUMN()),"")),"")</f>
        <v>ppd</v>
      </c>
      <c r="I166" s="48" t="str">
        <f t="shared" ca="1" si="295"/>
        <v/>
      </c>
      <c r="J166" s="48" t="str">
        <f t="shared" ca="1" si="296"/>
        <v/>
      </c>
      <c r="K166" s="48">
        <f t="shared" ca="1" si="297"/>
        <v>0</v>
      </c>
      <c r="L166" s="48">
        <f t="shared" ca="1" si="298"/>
        <v>0</v>
      </c>
      <c r="M166" s="48">
        <f ca="1">IFERROR(IF(IF(MID($A166,3,3)=".00",MID(A166,1,2),"")&lt;&gt;"",MAX($M$2:M165)+1,0),"")</f>
        <v>0</v>
      </c>
      <c r="N166" s="48" t="str">
        <f t="shared" ca="1" si="299"/>
        <v/>
      </c>
      <c r="O166" s="48" t="str">
        <f ca="1">IF(IFERROR(INDEX($N$3:$O$300,MATCH(ROWS($O$3:O166),$M$3:$M$300,0),1),"")&lt;&gt;"",CONCATENATE(INDEX($N$3:$O$300,MATCH(ROWS($O$3:O166),$M$3:$M$300,0),1),".00"),"")</f>
        <v/>
      </c>
      <c r="P166" s="48" t="str">
        <f t="shared" ca="1" si="300"/>
        <v/>
      </c>
      <c r="Q166" s="48">
        <f ca="1">IF(M166&gt;=1,0,MAX($Q$2:Q165)+1)</f>
        <v>148</v>
      </c>
      <c r="U166" s="48" t="str">
        <f ca="1">IFERROR(INDEX(PDC,MATCH(ROWS(U$3:U166),$V$3:$V$400,0),2),"")</f>
        <v>RISCHI PER FIDEIUSSIONI</v>
      </c>
      <c r="V166" s="48">
        <f ca="1">IF(AND($T$1="VISUALIZZA TUTTI I CONTI",AA166&lt;&gt;""),MAX($V$2:V165)+1,IF(AND($U$2=2,AI166=$T$1),MAX($V$2:V165)+1,IF(AND($U$2=1,$T$1=AF166),MAX($V$2:V165)+1,0)))</f>
        <v>164</v>
      </c>
      <c r="AA166" s="48" t="str">
        <f t="shared" ca="1" si="301"/>
        <v>19.00</v>
      </c>
      <c r="AB166" s="48" t="str">
        <f ca="1">IFERROR(INDEX($A$3:$G$400,MATCH(ROWS(AB$3:AB166),$Q$3:$Q$400,0),1),"")</f>
        <v>19.21</v>
      </c>
      <c r="AC166" s="48" t="str">
        <f ca="1">IFERROR(INDEX($A$3:$G$400,MATCH(ROWS($AC$3:AC166),$Q$3:$Q$400,0),2),"")</f>
        <v>RISCHI PER FIDEIUSSIONI</v>
      </c>
      <c r="AD166" s="48">
        <f ca="1">IFERROR(INDEX($A$3:$G$400,MATCH(ROWS(AD$3:AD166),$Q$3:$Q$400,0),3),"")</f>
        <v>0</v>
      </c>
      <c r="AE166" s="48" t="str">
        <f ca="1">IFERROR(INDEX($A$3:$G$400,MATCH(ROWS(AE$3:AE166),$Q$3:$Q$400,0),4),"")</f>
        <v>D</v>
      </c>
      <c r="AF166" s="48" t="str">
        <f ca="1">IFERROR(INDEX($A$3:$G$400,MATCH(ROWS(AF$3:AF166),$Q$3:$Q$400,0),5),"")</f>
        <v>CONTI D'ORDINE</v>
      </c>
      <c r="AG166" s="48" t="str">
        <f ca="1">IFERROR(INDEX($A$3:$G$400,MATCH(ROWS(AG$3:AG166),$Q$3:$Q$400,0),6),"")</f>
        <v>SP</v>
      </c>
      <c r="AH166" s="48" t="str">
        <f ca="1">IFERROR(INDEX($A$3:$G$400,MATCH(ROWS(AH$3:AH166),$Q$3:$Q$400,0),7),"")</f>
        <v>SP</v>
      </c>
      <c r="AI166" s="48" t="str">
        <f t="shared" ca="1" si="302"/>
        <v>CONTI DEI SISTEMI MINORI</v>
      </c>
      <c r="AJ166" s="48">
        <f ca="1">IFERROR(INDEX($A$3:$H$400,MATCH(ROWS(AJ$3:AJ166),$Q$3:$Q$400,0),8),"")</f>
        <v>0</v>
      </c>
      <c r="AK166" s="48">
        <f t="shared" ca="1" si="277"/>
        <v>0</v>
      </c>
      <c r="AL166" s="48">
        <f t="shared" ca="1" si="335"/>
        <v>0</v>
      </c>
      <c r="AM166" s="48">
        <f t="shared" ca="1" si="252"/>
        <v>0</v>
      </c>
      <c r="AN166" s="48">
        <f t="shared" ca="1" si="253"/>
        <v>0</v>
      </c>
      <c r="AO166" s="48">
        <f t="shared" ca="1" si="254"/>
        <v>0</v>
      </c>
      <c r="AP166" s="48">
        <f t="shared" ca="1" si="254"/>
        <v>0</v>
      </c>
      <c r="AQ166" s="48" t="str">
        <f t="shared" ca="1" si="278"/>
        <v>RISCHI PER FIDEIUSSIONI</v>
      </c>
      <c r="AR166" s="48">
        <f t="shared" ca="1" si="279"/>
        <v>0</v>
      </c>
      <c r="AS166" s="48">
        <f t="shared" ca="1" si="280"/>
        <v>0</v>
      </c>
      <c r="AT166" s="48">
        <f t="shared" ca="1" si="303"/>
        <v>0</v>
      </c>
      <c r="AU166" s="48">
        <f t="shared" ca="1" si="304"/>
        <v>0</v>
      </c>
      <c r="AV166" s="48">
        <f ca="1">IF(OR(AT166&gt;0,AU166&gt;0),MAX($AV$2:AV165)+1,0)</f>
        <v>0</v>
      </c>
      <c r="AZ166" s="241" t="str">
        <f>CONCATENATE(ROW()-100," V.I.")</f>
        <v>66 V.I.</v>
      </c>
      <c r="BA166" s="48">
        <f t="shared" ca="1" si="369"/>
        <v>0</v>
      </c>
      <c r="BB166" s="48">
        <f t="shared" ref="BB166:BB200" ca="1" si="370">IF($BA166=0,0,AM68)</f>
        <v>0</v>
      </c>
      <c r="BC166" s="48" t="str">
        <f ca="1">AN68</f>
        <v/>
      </c>
      <c r="BD166" s="48">
        <f t="shared" ref="BD166:BD168" ca="1" si="371">IF($BA166=0,0,AO68)</f>
        <v>0</v>
      </c>
      <c r="BE166" s="48">
        <f t="shared" ref="BE166:BE168" ca="1" si="372">IF($BA166=0,0,AP68)</f>
        <v>0</v>
      </c>
      <c r="BG166" s="48">
        <f ca="1">IF(IF(AND(OR(INDEX(PDC,MATCH($AC166,DEN_PDC,0),6)="SP DARE",INDEX(PDC,MATCH($AC166,DEN_PDC,0),6)="SP DARE/AVERE"),SUMIFS(DARE,DEN_G,$AC166)&gt;=SUMIFS(AVERE,DEN_G,$AC166)),SUMIFS(DARE,DEN_G,$AC166)-SUMIFS(AVERE,DEN_G,$AC166),0)&gt;0,MAX($BG$2:BG165)+1,0)</f>
        <v>0</v>
      </c>
      <c r="BH166" s="48">
        <f ca="1">IF(IF(AND(OR(INDEX(PDC,MATCH($AC166,DEN_PDC,0),6)="SP AVERE",INDEX(PDC,MATCH($AC166,DEN_PDC,0),6)="SP DARE/AVERE"),SUMIFS(AVERE,DEN_G,$AC166)&gt;=SUMIFS(DARE,DEN_G,$AC166)),SUMIFS(AVERE,DEN_G,$AC166)-SUMIFS(DARE,DEN_G,$AC166),0)&gt;0,MAX(BH$2:BH165)+1,0)</f>
        <v>0</v>
      </c>
      <c r="BI166" s="48">
        <f ca="1">IF(IF(AND(OR(INDEX(PDC,MATCH($AC166,DEN_PDC,0),6)="SE DARE",INDEX(PDC,MATCH($AC166,DEN_PDC,0),6)="SE DARE/AVERE"),SUMIFS(DARE,DEN_G,$AC166)&gt;=SUMIFS(AVERE,DEN_G,$AC166)),SUMIFS(DARE,DEN_G,$AC166)-SUMIFS(AVERE,DEN_G,$AC166),0)&gt;0,MAX(BI$2:BI165)+1,0)</f>
        <v>0</v>
      </c>
      <c r="BJ166" s="48">
        <f ca="1">IF(IF(AND(OR(INDEX(PDC,MATCH($AC166,DEN_PDC,0),6)="SE AVERE",INDEX(PDC,MATCH($AC166,DEN_PDC,0),6)="SE DARE/AVERE"),SUMIFS(AVERE,DEN_G,$AC166)&gt;=SUMIFS(DARE,DEN_G,$AC166)),SUMIFS(AVERE,DEN_G,$AC166)-SUMIFS(DARE,DEN_G,$AC166),0)&gt;0,MAX(BJ$2:BJ165)+1,0)</f>
        <v>0</v>
      </c>
      <c r="BK166" s="48" t="str">
        <f ca="1">IF(AND(AND($DY$2=0,$DY$1=0),$I$1=2,ROW()&gt;$BG$1+2,ROW()&lt;=$BG$1+4),"………………..",IF(AND(OR($DY$2&gt;0,$DY$1&gt;0),$I$1=2,ROW()&gt;$BG$1+2,ROW()&lt;=$BG$1+4),"………………..",IFERROR(INDEX($AC$3:$AC$398,MATCH(ROWS(BK$3:BK166),BG$3:BG$398,0),1),"")))</f>
        <v/>
      </c>
      <c r="BL166" s="48">
        <f t="shared" ca="1" si="281"/>
        <v>0</v>
      </c>
      <c r="BM166" s="48" t="str">
        <f ca="1">IF(AND(OR($DY$2=0,$DY$1=0),$I$1=2,ROW()&gt;$BH$1+2,ROW()&lt;=$BH$1+4),"………………..",IF(AND(OR($DY$2&gt;0,$DY$1&gt;0),$I$1=2,ROW()&gt;$BH$1+2,ROW()&lt;=$BH$1+4),"………………..",IFERROR(INDEX($AC$3:$AC$400,MATCH(ROWS(BM$3:BM166),BH$3:BH$400,0),1),"")))</f>
        <v/>
      </c>
      <c r="BN166" s="48">
        <f t="shared" ca="1" si="282"/>
        <v>0</v>
      </c>
      <c r="BO166" s="48" t="str">
        <f ca="1">IF(AND(OR($DY$2=0,$DY$1=0),$I$1=2,ROW()&gt;$BI$1+2,ROW()&lt;=$BI$1+4),"………………..",IF(AND(OR($DY$2&gt;0,$DY$1&gt;0),$I$1=2,ROW()&gt;$BI$1+2,ROW()&lt;=$BI$1+4),"………………..",IFERROR(INDEX($AC$3:$AC$400,MATCH(ROWS(BO$3:BO166),BI$3:BI$400,0),1),"")))</f>
        <v/>
      </c>
      <c r="BP166" s="48">
        <f t="shared" ca="1" si="283"/>
        <v>0</v>
      </c>
      <c r="BQ166" s="48" t="str">
        <f ca="1">IF(AND(OR($DY$2=0,$DY$1=0),$I$1=2,ROW()&gt;$BJ$1+2,ROW()&lt;=$BJ$1+4),"………………..",IF(AND(OR($DY$2&gt;0,$DY$1&gt;0),$I$1=2,ROW()&gt;$BJ$1+2,ROW()&lt;=$BJ$1+4),"………………..",IFERROR(INDEX($AC$3:$AC$400,MATCH(ROWS(BQ$3:BQ166),BJ$3:BJ$400,0),1),"")))</f>
        <v/>
      </c>
      <c r="BR166" s="48">
        <f t="shared" ca="1" si="284"/>
        <v>0</v>
      </c>
      <c r="BS166" s="48">
        <f ca="1">IF(IF(AND(OR(INDEX(PDC,MATCH($AC166,DEN_PDC,0),4)="D",INDEX(PDC,MATCH($AC166,DEN_PDC,0),4)="D/A"),SUMIFS(DARE,DEN_G,$AC166)&gt;=SUMIFS(AVERE,DEN_G,$AC166)),SUMIFS(DARE,DEN_G,$AC166),IF(AND(OR(INDEX(PDC,MATCH($AC166,DEN_PDC,0),4)="A",INDEX(PDC,MATCH($AC166,DEN_PDC,0),4)="D/A"),SUMIFS(AVERE,DEN_G,$AC166)&gt;=SUMIFS(DARE,DEN_G,$AC166)),SUMIFS(AVERE,DEN_G,$AC166),))&gt;0,MAX($BS$2:BS165)+1,0)</f>
        <v>0</v>
      </c>
      <c r="BT166" s="48" t="str">
        <f ca="1">IF($CO$1=0,"",IF(AND($I$1=2,ROW()&gt;$BR$1,ROW()&lt;=$BS$1)," …………….",IF(AND($E$1=1,$BX$1=1,$I$1=2,ROW()=$BQ$1),"TOTALI",IFERROR(INDEX(PDC,MATCH(ROWS(BT$3:BT166),BS$3:BS563,0),2),""))))</f>
        <v/>
      </c>
      <c r="BU166" s="48">
        <f t="shared" ca="1" si="285"/>
        <v>0</v>
      </c>
      <c r="BV166" s="48">
        <f t="shared" ca="1" si="286"/>
        <v>0</v>
      </c>
      <c r="BW166" s="48">
        <f t="shared" ca="1" si="287"/>
        <v>0</v>
      </c>
      <c r="BX166" s="48">
        <f t="shared" ca="1" si="288"/>
        <v>0</v>
      </c>
      <c r="BY166" s="48">
        <f ca="1">IF(OR(BW166&gt;0,BX166&gt;0),MAX($BY$2:BY165)+1,0)</f>
        <v>0</v>
      </c>
      <c r="BZ166" s="48" t="str">
        <f ca="1">IFERROR(INDEX($BT$3:$BY$400,MATCH(ROWS(BZ$3:BZ166),$BY$3:$BY$400,0),1),"")</f>
        <v/>
      </c>
      <c r="CA166" s="48" t="str">
        <f ca="1">IFERROR(INDEX($BT$3:$BY$400,MATCH(ROWS(CA$3:CA166),$BY$3:$BY$400,0),4),"")</f>
        <v/>
      </c>
      <c r="CB166" s="48" t="str">
        <f ca="1">IFERROR(INDEX($BT$3:$BY$400,MATCH(ROWS(CB$3:CB166),$BY$3:$BY$400,0),5),"")</f>
        <v/>
      </c>
      <c r="CC166" s="48" t="str">
        <f t="shared" ca="1" si="289"/>
        <v/>
      </c>
      <c r="CD166" s="48">
        <f ca="1">IF(AND($BF$9=2,CE166&lt;&gt;0),MAX($CD$165:CD165)+1,0)</f>
        <v>0</v>
      </c>
      <c r="CE166" s="48">
        <f ca="1">IF(OR(CE183&gt;0,CE183="_ _ _"),"A",0)</f>
        <v>0</v>
      </c>
      <c r="CF166" s="48">
        <f>CF106</f>
        <v>0</v>
      </c>
      <c r="CG166" s="48" t="str">
        <f>CG106</f>
        <v>A)_Patrimonio netto</v>
      </c>
      <c r="CM166" s="242" t="str">
        <f t="shared" ca="1" si="305"/>
        <v/>
      </c>
      <c r="CN166" s="243">
        <f t="shared" ca="1" si="306"/>
        <v>0</v>
      </c>
      <c r="CO166" s="48" t="str">
        <f t="shared" ca="1" si="307"/>
        <v/>
      </c>
      <c r="CQ166" s="242"/>
      <c r="CR166" s="242"/>
      <c r="CU166" s="48">
        <f ca="1">IF(SUMIFS(AVERE,DEN_G,AC166,AVERE,"&gt;"&amp;0)+SUMIFS(DARE,DEN_G,AC166,DARE,"&gt;"&amp;0)&gt;0,MAX($CU$2:CU165)+1,0)</f>
        <v>0</v>
      </c>
      <c r="CV166" s="48" t="str">
        <f ca="1">IF(IFERROR(INDEX(PDC,MATCH(ROWS($CV$3:CV166),$CU$3:$CU$400,0),2),"")="CONTO DI RISULTATO ECONOMICO","",IFERROR(INDEX(PDC,MATCH(ROWS($CV$3:CV166),$CU$3:$CU$400,0),2),""))</f>
        <v/>
      </c>
      <c r="CW166" s="48">
        <f ca="1">IFERROR(IF(CV166&lt;&gt;"",MAX($CW$2:CW165)+1,0),0)</f>
        <v>0</v>
      </c>
      <c r="CX166" s="48">
        <f t="shared" ca="1" si="361"/>
        <v>13</v>
      </c>
      <c r="CY166" s="48" t="str">
        <f t="shared" ca="1" si="359"/>
        <v>MASTRO</v>
      </c>
      <c r="CZ166" s="48" t="e">
        <f t="shared" ca="1" si="364"/>
        <v>#N/A</v>
      </c>
      <c r="DA166" s="48" t="str">
        <f t="shared" ca="1" si="368"/>
        <v/>
      </c>
      <c r="DB166" s="48" t="str">
        <f t="shared" ca="1" si="347"/>
        <v/>
      </c>
      <c r="DC166" s="48" t="str">
        <f t="shared" ca="1" si="365"/>
        <v/>
      </c>
      <c r="DD166" s="48" t="str">
        <f t="shared" ca="1" si="366"/>
        <v/>
      </c>
      <c r="DE166" s="48" t="str">
        <f t="shared" ca="1" si="367"/>
        <v/>
      </c>
      <c r="DF166" s="48">
        <f ca="1">IF(AND(CX166=$DF$1,CX166&lt;&gt;""),0,IF(AND(DB166&lt;&gt;"",OR(DB165&lt;&gt;"",DB167&lt;&gt;"")),MAX($DF$2:DF165)+1,0))</f>
        <v>0</v>
      </c>
      <c r="DH166" s="244" t="s">
        <v>412</v>
      </c>
      <c r="DI166" s="48" t="s">
        <v>1095</v>
      </c>
      <c r="DJ166" s="48" t="s">
        <v>312</v>
      </c>
      <c r="DK166" s="48" t="s">
        <v>298</v>
      </c>
      <c r="DL166" s="48" t="s">
        <v>5</v>
      </c>
      <c r="DM166" s="48" t="s">
        <v>299</v>
      </c>
      <c r="DN166" s="48">
        <f ca="1">IF(DI166&lt;&gt;"",MAX($DN$2:DN165)+1,0)</f>
        <v>137</v>
      </c>
      <c r="DO166" s="48" t="str">
        <f ca="1">IF($BF$9=1,"ppd11","ppd")</f>
        <v>ppd</v>
      </c>
      <c r="DQ166" s="227" t="s">
        <v>129</v>
      </c>
      <c r="DR166" s="48" t="s">
        <v>1055</v>
      </c>
      <c r="DS166" s="48" t="s">
        <v>312</v>
      </c>
      <c r="DT166" s="48" t="s">
        <v>298</v>
      </c>
      <c r="DU166" s="48" t="s">
        <v>5</v>
      </c>
      <c r="DV166" s="48" t="s">
        <v>299</v>
      </c>
      <c r="DW166" s="48">
        <f ca="1">IF(DR166&lt;&gt;"",MAX($DW$2:DW165)+1,0)</f>
        <v>100</v>
      </c>
      <c r="DX166" s="48" t="str">
        <f ca="1">IF($BF$9=1,"ppd7","ppd")</f>
        <v>ppd</v>
      </c>
      <c r="DY166" s="48" t="str">
        <f t="shared" ca="1" si="291"/>
        <v/>
      </c>
      <c r="DZ166" s="48" t="str">
        <f t="shared" ca="1" si="309"/>
        <v/>
      </c>
      <c r="EA166" s="48" t="str">
        <f t="shared" ca="1" si="310"/>
        <v/>
      </c>
      <c r="EB166" s="48">
        <f t="shared" ca="1" si="311"/>
        <v>0</v>
      </c>
      <c r="EC166" s="48">
        <f t="shared" ca="1" si="312"/>
        <v>0</v>
      </c>
      <c r="ED166" s="48" t="str">
        <f t="shared" ca="1" si="313"/>
        <v/>
      </c>
      <c r="EE166" s="48">
        <f t="shared" ca="1" si="314"/>
        <v>0</v>
      </c>
      <c r="EF166" s="48" t="str">
        <f t="shared" ca="1" si="315"/>
        <v/>
      </c>
      <c r="EG166" s="48">
        <f t="shared" ca="1" si="316"/>
        <v>0</v>
      </c>
      <c r="EH166" s="48" t="str">
        <f t="shared" ca="1" si="317"/>
        <v/>
      </c>
      <c r="EI166" s="48">
        <f t="shared" ca="1" si="318"/>
        <v>0</v>
      </c>
      <c r="EJ166" s="48" t="str">
        <f t="shared" ca="1" si="319"/>
        <v/>
      </c>
      <c r="EK166" s="48">
        <f t="shared" ca="1" si="320"/>
        <v>0</v>
      </c>
      <c r="EL166" s="48">
        <f t="shared" ca="1" si="292"/>
        <v>0</v>
      </c>
      <c r="EM166" s="48">
        <f ca="1">IF(EL166&gt;=0,0,MAX($EM$2:EM165)+1)</f>
        <v>0</v>
      </c>
      <c r="EN166" s="48" t="str">
        <f t="shared" ca="1" si="321"/>
        <v/>
      </c>
      <c r="EO166" s="48" t="str">
        <f ca="1">IFERROR(INDEX($EM$3:$EN$400,MATCH(ROWS($EO$3:EO166),$EM$3:$EM$400,0),2),"")</f>
        <v/>
      </c>
      <c r="EP166" s="48">
        <f>ROW()</f>
        <v>166</v>
      </c>
      <c r="EQ166" s="48">
        <f t="shared" ca="1" si="293"/>
        <v>0</v>
      </c>
      <c r="ER166" s="48">
        <f ca="1">IF(ISNA(EQ166)=TRUE,MAX($ER$2:ER165)+1,0)</f>
        <v>0</v>
      </c>
      <c r="ES166" s="48" t="str">
        <f t="shared" ca="1" si="322"/>
        <v/>
      </c>
      <c r="ET166" s="48" t="str">
        <f ca="1">IFERROR(INDEX($ER$3:$ES$400,MATCH(ROWS($ET$3:ET166),$ER$3:$ER$400,0),2),"")</f>
        <v/>
      </c>
      <c r="EV166" s="48">
        <f ca="1">IFERROR(INDEX(LIBRO_GIORNALE!$O$11:$P$408,MATCH(ROWS($EV$2:EV165),LIBRO_GIORNALE!$P$11:$P$408,0),1),0)</f>
        <v>0</v>
      </c>
      <c r="EW166" s="48" t="str">
        <f t="shared" ca="1" si="323"/>
        <v>0</v>
      </c>
      <c r="EX166" s="48">
        <f t="shared" ca="1" si="324"/>
        <v>0</v>
      </c>
      <c r="EY166" s="48">
        <f ca="1">IF(EX166&gt;0,MAX($EY$2:EY165)+1,0)</f>
        <v>0</v>
      </c>
      <c r="EZ166" s="48">
        <f ca="1">IFERROR(INDEX($EX$3:$EX$400,MATCH(ROWS($EZ$3:EZ166),$EY$3:$EY$400,0),1),0)</f>
        <v>0</v>
      </c>
      <c r="FA166" s="48">
        <f ca="1">IF(EZ166&gt;0,0,MAX($FA$2:FA165)+1)</f>
        <v>164</v>
      </c>
      <c r="FB166" s="48">
        <f t="shared" ca="1" si="325"/>
        <v>0</v>
      </c>
      <c r="FC166" s="48">
        <f t="shared" ca="1" si="326"/>
        <v>164</v>
      </c>
      <c r="FD166" s="48">
        <f t="shared" ca="1" si="327"/>
        <v>164</v>
      </c>
      <c r="FE166" s="48">
        <f ca="1">IF(FD166=0,0,MAX($FE$2:FE165)+1)</f>
        <v>164</v>
      </c>
      <c r="FF166" s="48">
        <f ca="1">IFERROR(INDEX($FD$3:$FE$400,MATCH(ROWS($FF$3:FF166),$FE$3:$FE$400,0),1),"")</f>
        <v>164</v>
      </c>
      <c r="FG166" s="48">
        <f t="shared" ca="1" si="255"/>
        <v>0</v>
      </c>
      <c r="FH166" s="48">
        <f t="shared" ca="1" si="328"/>
        <v>0</v>
      </c>
      <c r="FI166" s="48">
        <f ca="1">IF(FH166&lt;&gt;0,MAX($FI$2:FI165)+1,0)</f>
        <v>0</v>
      </c>
      <c r="FJ166" s="48" t="str">
        <f ca="1">IFERROR(INDEX($FH$3:$FI$400,MATCH(ROWS($FJ$3:FJ166),$FI$3:$FI$400,0),1),"")</f>
        <v/>
      </c>
      <c r="FK166" s="48">
        <f ca="1">IF(ABS(SUMIFS(DARE,DEN_G,"="&amp;FJ166,DATA,"&lt;="&amp;FINE_AC,DATA,"&gt;="&amp;INIZIO_A_PC)-SUMIFS(AVERE,DEN_G,"="&amp;FJ166,DATA,"&lt;="&amp;FINE_AC,DATA,"&gt;="&amp;INIZIO_A_PC))&gt;0,MAX($FK$2:FK165)+1,0)</f>
        <v>0</v>
      </c>
      <c r="FL166" s="48" t="str">
        <f ca="1">IF(AND(ROW()-2&lt;&gt;1,ROW()-2&lt;=$FK$1),CONCATENATE(" - ",IFERROR(INDEX($FJ$3:$FK$400,MATCH(ROWS($FL$3:FL166),$FK$3:$FK$400,0),1),"")),IFERROR(INDEX($FJ$3:$FK$400,MATCH(ROWS($FL$3:FL166),$FK$3:$FK$400,0),1),""))</f>
        <v/>
      </c>
      <c r="FM166" s="48">
        <f ca="1">IF(OR(B166="IVA ns/credito",B166="IVA NS/DEBITO",B166="IVA C/ACCONTO",B166="IMPOSTE C/ACCONTO",B166="CREDITI PER RITENUTE SUBITE",B166="CREDITI D'IMPOSTA"),MAX($FM$2:FM165)+1,0)</f>
        <v>0</v>
      </c>
      <c r="FN166" s="48" t="str">
        <f t="shared" ca="1" si="329"/>
        <v/>
      </c>
      <c r="FO166" s="48" t="str">
        <f ca="1">IFERROR(INDEX($FM$3:$FN$400,MATCH(ROWS($FO$3:FO166),$FM$3:$FM$400,0),2),"")</f>
        <v/>
      </c>
      <c r="FP166" s="48">
        <f ca="1">IF(ABS(SUMIFS(DARE,DEN_G,"="&amp;FO166,DATA,"&lt;="&amp;FINE_AC,DATA,"&gt;="&amp;INIZIO_A_PC)-SUMIFS(AVERE,DEN_G,"="&amp;FO166,DATA,"&lt;="&amp;FINE_AC,DATA,"&gt;="&amp;INIZIO_A_PC))&gt;0,MAX($FP$2:FP165)+1,0)</f>
        <v>0</v>
      </c>
      <c r="FQ166" s="48" t="str">
        <f ca="1">IF(AND(ROW()-2&lt;&gt;1,ROW()-2&lt;=$FP$1),CONCATENATE(" - ",IFERROR(INDEX($FO$3:$FP$400,MATCH(ROWS($FQ$3:FQ166),$FP$3:$FP$400,0),1),"")),IFERROR(INDEX($FO$3:$FP$400,MATCH(ROWS($FQ$3:FQ166),$FP$3:$FP$400,0),1),""))</f>
        <v/>
      </c>
    </row>
    <row r="167" spans="1:173" x14ac:dyDescent="0.3">
      <c r="A167" s="48" t="str">
        <f ca="1">IFERROR(IF($A$1=2,INDEX($DH$3:$DN$401,MATCH(ROWS(A$3:A167),$DN$3:$DN$401,0),COLUMN()),IF($A$1=1,INDEX($DQ$3:$DW$401,MATCH(ROWS(A$3:A167),$DW$3:$DW$401,0),COLUMN()),"")),"")</f>
        <v>15.71</v>
      </c>
      <c r="B167" s="48" t="str">
        <f ca="1">IFERROR(IF($A$1=2,INDEX($DH$3:$DN$401,MATCH(ROWS(B$3:B167),$DN$3:$DN$401,0),COLUMN()),IF($A$1=1,INDEX($DQ$3:$DW$400,MATCH(ROWS(B$3:B167),$DW$3:$DW$401,0),COLUMN()),"")),"")</f>
        <v>SINDACI C/COMPETENZE</v>
      </c>
      <c r="C167" s="48" t="str">
        <f ca="1">IFERROR(IF($A$1=2,INDEX($DH$3:$DN$401,MATCH(ROWS(C$3:C167),$DN$3:$DN$401,0),COLUMN()),IF($A$1=1,INDEX($DQ$3:$DW$401,MATCH(ROWS(C$3:C167),$DW$3:$DW$401,0),COLUMN()),"")),"")</f>
        <v>F</v>
      </c>
      <c r="D167" s="48" t="str">
        <f ca="1">IFERROR(IF($A$1=2,INDEX($DH$3:$DN$401,MATCH(ROWS(D$3:D167),$DN$3:$DN$401,0),COLUMN()),IF($A$1=1,INDEX($DQ$3:$DW$401,MATCH(ROWS(D$3:D167),$DW$3:$DW$401,0),COLUMN()),"")),"")</f>
        <v>A</v>
      </c>
      <c r="E167" s="48" t="str">
        <f ca="1">IFERROR(IF($A$1=2,INDEX($DH$3:$DN$401,MATCH(ROWS(E$3:E167),$DN$3:$DN$401,0),COLUMN()),IF($A$1=1,INDEX($DQ$3:$DW$401,MATCH(ROWS(E$3:E167),$DW$3:$DW$401,0),COLUMN()),"")),"")</f>
        <v>DEBITI</v>
      </c>
      <c r="F167" s="48" t="str">
        <f ca="1">IFERROR(IF($A$1=2,INDEX($DH$3:$DN$401,MATCH(ROWS(F$3:F167),$DN$3:$DN$401,0),COLUMN()),IF($A$1=1,INDEX($DQ$3:$DX$401,MATCH(ROWS(F$3:F167),$DW$3:$DW$401,0),COLUMN()),"")),"")</f>
        <v>SP AVERE</v>
      </c>
      <c r="G167" s="48" t="str">
        <f t="shared" ca="1" si="294"/>
        <v>SP</v>
      </c>
      <c r="H167" s="48" t="str">
        <f ca="1">IFERROR(IF($A$1=2,INDEX($DH$3:$DO$400,MATCH(ROWS(H$3:H167),$DN$3:$DN$400,0),COLUMN()),IF($A$1=1,INDEX($DQ$3:$DX$400,MATCH(ROWS(H$3:H167),$DW$3:$DW$400,0),COLUMN()),"")),"")</f>
        <v>ppd</v>
      </c>
      <c r="I167" s="48" t="str">
        <f t="shared" ca="1" si="295"/>
        <v/>
      </c>
      <c r="J167" s="48" t="str">
        <f t="shared" ca="1" si="296"/>
        <v/>
      </c>
      <c r="K167" s="48">
        <f t="shared" ca="1" si="297"/>
        <v>0</v>
      </c>
      <c r="L167" s="48">
        <f t="shared" ca="1" si="298"/>
        <v>0</v>
      </c>
      <c r="M167" s="48">
        <f ca="1">IFERROR(IF(IF(MID($A167,3,3)=".00",MID(A167,1,2),"")&lt;&gt;"",MAX($M$2:M166)+1,0),"")</f>
        <v>0</v>
      </c>
      <c r="N167" s="48" t="str">
        <f t="shared" ca="1" si="299"/>
        <v/>
      </c>
      <c r="O167" s="48" t="str">
        <f ca="1">IF(IFERROR(INDEX($N$3:$O$300,MATCH(ROWS($O$3:O167),$M$3:$M$300,0),1),"")&lt;&gt;"",CONCATENATE(INDEX($N$3:$O$300,MATCH(ROWS($O$3:O167),$M$3:$M$300,0),1),".00"),"")</f>
        <v/>
      </c>
      <c r="P167" s="48" t="str">
        <f t="shared" ca="1" si="300"/>
        <v/>
      </c>
      <c r="Q167" s="48">
        <f ca="1">IF(M167&gt;=1,0,MAX($Q$2:Q166)+1)</f>
        <v>149</v>
      </c>
      <c r="U167" s="48" t="str">
        <f ca="1">IFERROR(INDEX(PDC,MATCH(ROWS(U$3:U167),$V$3:$V$400,0),2),"")</f>
        <v>CREDITORI PER FIDEIUSSIONI</v>
      </c>
      <c r="V167" s="48">
        <f ca="1">IF(AND($T$1="VISUALIZZA TUTTI I CONTI",AA167&lt;&gt;""),MAX($V$2:V166)+1,IF(AND($U$2=2,AI167=$T$1),MAX($V$2:V166)+1,IF(AND($U$2=1,$T$1=AF167),MAX($V$2:V166)+1,0)))</f>
        <v>165</v>
      </c>
      <c r="AA167" s="48" t="str">
        <f t="shared" ca="1" si="301"/>
        <v>19.00</v>
      </c>
      <c r="AB167" s="48" t="str">
        <f ca="1">IFERROR(INDEX($A$3:$G$400,MATCH(ROWS(AB$3:AB167),$Q$3:$Q$400,0),1),"")</f>
        <v>19.22</v>
      </c>
      <c r="AC167" s="48" t="str">
        <f ca="1">IFERROR(INDEX($A$3:$G$400,MATCH(ROWS($AC$3:AC167),$Q$3:$Q$400,0),2),"")</f>
        <v>CREDITORI PER FIDEIUSSIONI</v>
      </c>
      <c r="AD167" s="48">
        <f ca="1">IFERROR(INDEX($A$3:$G$400,MATCH(ROWS(AD$3:AD167),$Q$3:$Q$400,0),3),"")</f>
        <v>0</v>
      </c>
      <c r="AE167" s="48" t="str">
        <f ca="1">IFERROR(INDEX($A$3:$G$400,MATCH(ROWS(AE$3:AE167),$Q$3:$Q$400,0),4),"")</f>
        <v>A</v>
      </c>
      <c r="AF167" s="48" t="str">
        <f ca="1">IFERROR(INDEX($A$3:$G$400,MATCH(ROWS(AF$3:AF167),$Q$3:$Q$400,0),5),"")</f>
        <v>CONTI D'ORDINE</v>
      </c>
      <c r="AG167" s="48" t="str">
        <f ca="1">IFERROR(INDEX($A$3:$G$400,MATCH(ROWS(AG$3:AG167),$Q$3:$Q$400,0),6),"")</f>
        <v>SP</v>
      </c>
      <c r="AH167" s="48" t="str">
        <f ca="1">IFERROR(INDEX($A$3:$G$400,MATCH(ROWS(AH$3:AH167),$Q$3:$Q$400,0),7),"")</f>
        <v>SP</v>
      </c>
      <c r="AI167" s="48" t="str">
        <f t="shared" ca="1" si="302"/>
        <v>CONTI DEI SISTEMI MINORI</v>
      </c>
      <c r="AJ167" s="48">
        <f ca="1">IFERROR(INDEX($A$3:$H$400,MATCH(ROWS(AJ$3:AJ167),$Q$3:$Q$400,0),8),"")</f>
        <v>0</v>
      </c>
      <c r="AK167" s="48">
        <f t="shared" ca="1" si="277"/>
        <v>0</v>
      </c>
      <c r="AL167" s="48">
        <f t="shared" ref="AL167:AL198" ca="1" si="373">IF(AND(AO167&gt;0,AP167&gt;0),0,IF(INDIRECT(ADDRESS(ROW()-92,COLUMN()-34,,,"LIBRO_GIORNALE"))&lt;INIZIO_A_PC,0,INDIRECT(ADDRESS(ROW()-92,COLUMN()-34,,,"LIBRO_GIORNALE"))))</f>
        <v>0</v>
      </c>
      <c r="AM167" s="48">
        <f t="shared" ca="1" si="252"/>
        <v>0</v>
      </c>
      <c r="AN167" s="48">
        <f t="shared" ca="1" si="253"/>
        <v>0</v>
      </c>
      <c r="AO167" s="48">
        <f t="shared" ca="1" si="254"/>
        <v>0</v>
      </c>
      <c r="AP167" s="48">
        <f t="shared" ca="1" si="254"/>
        <v>0</v>
      </c>
      <c r="AQ167" s="48" t="str">
        <f t="shared" ca="1" si="278"/>
        <v>CREDITORI PER FIDEIUSSIONI</v>
      </c>
      <c r="AR167" s="48">
        <f t="shared" ca="1" si="279"/>
        <v>0</v>
      </c>
      <c r="AS167" s="48">
        <f t="shared" ca="1" si="280"/>
        <v>0</v>
      </c>
      <c r="AT167" s="48">
        <f t="shared" ca="1" si="303"/>
        <v>0</v>
      </c>
      <c r="AU167" s="48">
        <f t="shared" ca="1" si="304"/>
        <v>0</v>
      </c>
      <c r="AV167" s="48">
        <f ca="1">IF(OR(AT167&gt;0,AU167&gt;0),MAX($AV$2:AV166)+1,0)</f>
        <v>0</v>
      </c>
      <c r="AZ167" s="241" t="str">
        <f>CONCATENATE(ROW()-100," V.I.")</f>
        <v>67 V.I.</v>
      </c>
      <c r="BA167" s="48">
        <f t="shared" ca="1" si="369"/>
        <v>0</v>
      </c>
      <c r="BB167" s="48">
        <f t="shared" ca="1" si="370"/>
        <v>0</v>
      </c>
      <c r="BC167" s="48" t="str">
        <f ca="1">AN69</f>
        <v/>
      </c>
      <c r="BD167" s="48">
        <f t="shared" ca="1" si="371"/>
        <v>0</v>
      </c>
      <c r="BE167" s="48">
        <f t="shared" ca="1" si="372"/>
        <v>0</v>
      </c>
      <c r="BG167" s="48">
        <f ca="1">IF(IF(AND(OR(INDEX(PDC,MATCH($AC167,DEN_PDC,0),6)="SP DARE",INDEX(PDC,MATCH($AC167,DEN_PDC,0),6)="SP DARE/AVERE"),SUMIFS(DARE,DEN_G,$AC167)&gt;=SUMIFS(AVERE,DEN_G,$AC167)),SUMIFS(DARE,DEN_G,$AC167)-SUMIFS(AVERE,DEN_G,$AC167),0)&gt;0,MAX($BG$2:BG166)+1,0)</f>
        <v>0</v>
      </c>
      <c r="BH167" s="48">
        <f ca="1">IF(IF(AND(OR(INDEX(PDC,MATCH($AC167,DEN_PDC,0),6)="SP AVERE",INDEX(PDC,MATCH($AC167,DEN_PDC,0),6)="SP DARE/AVERE"),SUMIFS(AVERE,DEN_G,$AC167)&gt;=SUMIFS(DARE,DEN_G,$AC167)),SUMIFS(AVERE,DEN_G,$AC167)-SUMIFS(DARE,DEN_G,$AC167),0)&gt;0,MAX(BH$2:BH166)+1,0)</f>
        <v>0</v>
      </c>
      <c r="BI167" s="48">
        <f ca="1">IF(IF(AND(OR(INDEX(PDC,MATCH($AC167,DEN_PDC,0),6)="SE DARE",INDEX(PDC,MATCH($AC167,DEN_PDC,0),6)="SE DARE/AVERE"),SUMIFS(DARE,DEN_G,$AC167)&gt;=SUMIFS(AVERE,DEN_G,$AC167)),SUMIFS(DARE,DEN_G,$AC167)-SUMIFS(AVERE,DEN_G,$AC167),0)&gt;0,MAX(BI$2:BI166)+1,0)</f>
        <v>0</v>
      </c>
      <c r="BJ167" s="48">
        <f ca="1">IF(IF(AND(OR(INDEX(PDC,MATCH($AC167,DEN_PDC,0),6)="SE AVERE",INDEX(PDC,MATCH($AC167,DEN_PDC,0),6)="SE DARE/AVERE"),SUMIFS(AVERE,DEN_G,$AC167)&gt;=SUMIFS(DARE,DEN_G,$AC167)),SUMIFS(AVERE,DEN_G,$AC167)-SUMIFS(DARE,DEN_G,$AC167),0)&gt;0,MAX(BJ$2:BJ166)+1,0)</f>
        <v>0</v>
      </c>
      <c r="BK167" s="48" t="str">
        <f ca="1">IF(AND(AND($DY$2=0,$DY$1=0),$I$1=2,ROW()&gt;$BG$1+2,ROW()&lt;=$BG$1+4),"………………..",IF(AND(OR($DY$2&gt;0,$DY$1&gt;0),$I$1=2,ROW()&gt;$BG$1+2,ROW()&lt;=$BG$1+4),"………………..",IFERROR(INDEX($AC$3:$AC$398,MATCH(ROWS(BK$3:BK167),BG$3:BG$398,0),1),"")))</f>
        <v/>
      </c>
      <c r="BL167" s="48">
        <f t="shared" ca="1" si="281"/>
        <v>0</v>
      </c>
      <c r="BM167" s="48" t="str">
        <f ca="1">IF(AND(OR($DY$2=0,$DY$1=0),$I$1=2,ROW()&gt;$BH$1+2,ROW()&lt;=$BH$1+4),"………………..",IF(AND(OR($DY$2&gt;0,$DY$1&gt;0),$I$1=2,ROW()&gt;$BH$1+2,ROW()&lt;=$BH$1+4),"………………..",IFERROR(INDEX($AC$3:$AC$400,MATCH(ROWS(BM$3:BM167),BH$3:BH$400,0),1),"")))</f>
        <v/>
      </c>
      <c r="BN167" s="48">
        <f t="shared" ca="1" si="282"/>
        <v>0</v>
      </c>
      <c r="BO167" s="48" t="str">
        <f ca="1">IF(AND(OR($DY$2=0,$DY$1=0),$I$1=2,ROW()&gt;$BI$1+2,ROW()&lt;=$BI$1+4),"………………..",IF(AND(OR($DY$2&gt;0,$DY$1&gt;0),$I$1=2,ROW()&gt;$BI$1+2,ROW()&lt;=$BI$1+4),"………………..",IFERROR(INDEX($AC$3:$AC$400,MATCH(ROWS(BO$3:BO167),BI$3:BI$400,0),1),"")))</f>
        <v/>
      </c>
      <c r="BP167" s="48">
        <f t="shared" ca="1" si="283"/>
        <v>0</v>
      </c>
      <c r="BQ167" s="48" t="str">
        <f ca="1">IF(AND(OR($DY$2=0,$DY$1=0),$I$1=2,ROW()&gt;$BJ$1+2,ROW()&lt;=$BJ$1+4),"………………..",IF(AND(OR($DY$2&gt;0,$DY$1&gt;0),$I$1=2,ROW()&gt;$BJ$1+2,ROW()&lt;=$BJ$1+4),"………………..",IFERROR(INDEX($AC$3:$AC$400,MATCH(ROWS(BQ$3:BQ167),BJ$3:BJ$400,0),1),"")))</f>
        <v/>
      </c>
      <c r="BR167" s="48">
        <f t="shared" ca="1" si="284"/>
        <v>0</v>
      </c>
      <c r="BS167" s="48">
        <f ca="1">IF(IF(AND(OR(INDEX(PDC,MATCH($AC167,DEN_PDC,0),4)="D",INDEX(PDC,MATCH($AC167,DEN_PDC,0),4)="D/A"),SUMIFS(DARE,DEN_G,$AC167)&gt;=SUMIFS(AVERE,DEN_G,$AC167)),SUMIFS(DARE,DEN_G,$AC167),IF(AND(OR(INDEX(PDC,MATCH($AC167,DEN_PDC,0),4)="A",INDEX(PDC,MATCH($AC167,DEN_PDC,0),4)="D/A"),SUMIFS(AVERE,DEN_G,$AC167)&gt;=SUMIFS(DARE,DEN_G,$AC167)),SUMIFS(AVERE,DEN_G,$AC167),))&gt;0,MAX($BS$2:BS166)+1,0)</f>
        <v>0</v>
      </c>
      <c r="BT167" s="48" t="str">
        <f ca="1">IF($CO$1=0,"",IF(AND($I$1=2,ROW()&gt;$BR$1,ROW()&lt;=$BS$1)," …………….",IF(AND($E$1=1,$BX$1=1,$I$1=2,ROW()=$BQ$1),"TOTALI",IFERROR(INDEX(PDC,MATCH(ROWS(BT$3:BT167),BS$3:BS564,0),2),""))))</f>
        <v/>
      </c>
      <c r="BU167" s="48">
        <f t="shared" ca="1" si="285"/>
        <v>0</v>
      </c>
      <c r="BV167" s="48">
        <f t="shared" ca="1" si="286"/>
        <v>0</v>
      </c>
      <c r="BW167" s="48">
        <f t="shared" ca="1" si="287"/>
        <v>0</v>
      </c>
      <c r="BX167" s="48">
        <f t="shared" ca="1" si="288"/>
        <v>0</v>
      </c>
      <c r="BY167" s="48">
        <f ca="1">IF(OR(BW167&gt;0,BX167&gt;0),MAX($BY$2:BY166)+1,0)</f>
        <v>0</v>
      </c>
      <c r="BZ167" s="48" t="str">
        <f ca="1">IFERROR(INDEX($BT$3:$BY$400,MATCH(ROWS(BZ$3:BZ167),$BY$3:$BY$400,0),1),"")</f>
        <v/>
      </c>
      <c r="CA167" s="48" t="str">
        <f ca="1">IFERROR(INDEX($BT$3:$BY$400,MATCH(ROWS(CA$3:CA167),$BY$3:$BY$400,0),4),"")</f>
        <v/>
      </c>
      <c r="CB167" s="48" t="str">
        <f ca="1">IFERROR(INDEX($BT$3:$BY$400,MATCH(ROWS(CB$3:CB167),$BY$3:$BY$400,0),5),"")</f>
        <v/>
      </c>
      <c r="CC167" s="48" t="str">
        <f t="shared" ca="1" si="289"/>
        <v/>
      </c>
      <c r="CD167" s="48">
        <f ca="1">IF(AND($BF$9=2,CE167&lt;&gt;0),MAX($CD$165:CD166)+1,0)</f>
        <v>0</v>
      </c>
      <c r="CE167" s="48">
        <f t="shared" ref="CE167:CE171" ca="1" si="374">CE107</f>
        <v>0</v>
      </c>
      <c r="CF167" s="48" t="str">
        <f t="shared" ref="CF167:CF183" si="375">CF107</f>
        <v>ppa1</v>
      </c>
      <c r="CG167" s="48" t="str">
        <f t="shared" ref="CG167:CG184" si="376">CG107</f>
        <v>_I_- Capitale</v>
      </c>
      <c r="CH167" s="48">
        <f t="shared" ca="1" si="259"/>
        <v>0</v>
      </c>
      <c r="CM167" s="242" t="str">
        <f t="shared" ca="1" si="305"/>
        <v/>
      </c>
      <c r="CN167" s="243">
        <f t="shared" ca="1" si="306"/>
        <v>0</v>
      </c>
      <c r="CO167" s="48" t="str">
        <f t="shared" ca="1" si="307"/>
        <v/>
      </c>
      <c r="CQ167" s="242"/>
      <c r="CR167" s="242"/>
      <c r="CU167" s="48">
        <f ca="1">IF(SUMIFS(AVERE,DEN_G,AC167,AVERE,"&gt;"&amp;0)+SUMIFS(DARE,DEN_G,AC167,DARE,"&gt;"&amp;0)&gt;0,MAX($CU$2:CU166)+1,0)</f>
        <v>0</v>
      </c>
      <c r="CV167" s="48" t="str">
        <f ca="1">IF(IFERROR(INDEX(PDC,MATCH(ROWS($CV$3:CV167),$CU$3:$CU$400,0),2),"")="CONTO DI RISULTATO ECONOMICO","",IFERROR(INDEX(PDC,MATCH(ROWS($CV$3:CV167),$CU$3:$CU$400,0),2),""))</f>
        <v/>
      </c>
      <c r="CW167" s="48">
        <f ca="1">IFERROR(IF(CV167&lt;&gt;"",MAX($CW$2:CW166)+1,0),0)</f>
        <v>0</v>
      </c>
      <c r="CX167" s="48">
        <f t="shared" ca="1" si="361"/>
        <v>13</v>
      </c>
      <c r="CY167" s="48" t="str">
        <f t="shared" ca="1" si="359"/>
        <v>MASTRO</v>
      </c>
      <c r="CZ167" s="48" t="e">
        <f t="shared" ca="1" si="364"/>
        <v>#N/A</v>
      </c>
      <c r="DA167" s="48" t="str">
        <f t="shared" ca="1" si="368"/>
        <v/>
      </c>
      <c r="DB167" s="48" t="str">
        <f t="shared" ca="1" si="347"/>
        <v/>
      </c>
      <c r="DC167" s="48" t="str">
        <f t="shared" ca="1" si="365"/>
        <v/>
      </c>
      <c r="DD167" s="48" t="str">
        <f t="shared" ca="1" si="366"/>
        <v/>
      </c>
      <c r="DE167" s="48" t="str">
        <f t="shared" ca="1" si="367"/>
        <v/>
      </c>
      <c r="DF167" s="48">
        <f ca="1">IF(AND(CX167=$DF$1,CX167&lt;&gt;""),0,IF(AND(DB167&lt;&gt;"",OR(DB166&lt;&gt;"",DB168&lt;&gt;"")),MAX($DF$2:DF166)+1,0))</f>
        <v>0</v>
      </c>
      <c r="DH167" s="244" t="s">
        <v>284</v>
      </c>
      <c r="DI167" s="48" t="s">
        <v>118</v>
      </c>
      <c r="DJ167" s="48" t="s">
        <v>312</v>
      </c>
      <c r="DK167" s="48" t="s">
        <v>298</v>
      </c>
      <c r="DL167" s="48" t="s">
        <v>5</v>
      </c>
      <c r="DM167" s="48" t="s">
        <v>299</v>
      </c>
      <c r="DN167" s="48">
        <f ca="1">IF(DI167&lt;&gt;"",MAX($DN$2:DN166)+1,0)</f>
        <v>138</v>
      </c>
      <c r="DO167" s="48" t="str">
        <f ca="1">IF($BF$9=1,"ppd5","ppd")</f>
        <v>ppd</v>
      </c>
      <c r="DQ167" s="227" t="s">
        <v>1056</v>
      </c>
      <c r="DR167" s="48" t="s">
        <v>126</v>
      </c>
      <c r="DS167" s="48" t="s">
        <v>312</v>
      </c>
      <c r="DT167" s="48" t="s">
        <v>298</v>
      </c>
      <c r="DU167" s="48" t="s">
        <v>5</v>
      </c>
      <c r="DV167" s="48" t="s">
        <v>299</v>
      </c>
      <c r="DW167" s="48">
        <f ca="1">IF(DR167&lt;&gt;"",MAX($DW$2:DW166)+1,0)</f>
        <v>101</v>
      </c>
      <c r="DX167" s="48" t="str">
        <f ca="1">IF($BF$9=1,"ppd8","ppd")</f>
        <v>ppd</v>
      </c>
      <c r="DY167" s="48" t="str">
        <f t="shared" ca="1" si="291"/>
        <v/>
      </c>
      <c r="DZ167" s="48" t="str">
        <f t="shared" ca="1" si="309"/>
        <v/>
      </c>
      <c r="EA167" s="48" t="str">
        <f t="shared" ca="1" si="310"/>
        <v/>
      </c>
      <c r="EB167" s="48">
        <f t="shared" ca="1" si="311"/>
        <v>0</v>
      </c>
      <c r="EC167" s="48">
        <f t="shared" ca="1" si="312"/>
        <v>0</v>
      </c>
      <c r="ED167" s="48" t="str">
        <f t="shared" ca="1" si="313"/>
        <v/>
      </c>
      <c r="EE167" s="48">
        <f t="shared" ca="1" si="314"/>
        <v>0</v>
      </c>
      <c r="EF167" s="48" t="str">
        <f t="shared" ca="1" si="315"/>
        <v/>
      </c>
      <c r="EG167" s="48">
        <f t="shared" ca="1" si="316"/>
        <v>0</v>
      </c>
      <c r="EH167" s="48" t="str">
        <f t="shared" ca="1" si="317"/>
        <v/>
      </c>
      <c r="EI167" s="48">
        <f t="shared" ca="1" si="318"/>
        <v>0</v>
      </c>
      <c r="EJ167" s="48" t="str">
        <f t="shared" ca="1" si="319"/>
        <v/>
      </c>
      <c r="EK167" s="48">
        <f t="shared" ca="1" si="320"/>
        <v>0</v>
      </c>
      <c r="EL167" s="48">
        <f t="shared" ca="1" si="292"/>
        <v>0</v>
      </c>
      <c r="EM167" s="48">
        <f ca="1">IF(EL167&gt;=0,0,MAX($EM$2:EM166)+1)</f>
        <v>0</v>
      </c>
      <c r="EN167" s="48" t="str">
        <f t="shared" ca="1" si="321"/>
        <v/>
      </c>
      <c r="EO167" s="48" t="str">
        <f ca="1">IFERROR(INDEX($EM$3:$EN$400,MATCH(ROWS($EO$3:EO167),$EM$3:$EM$400,0),2),"")</f>
        <v/>
      </c>
      <c r="EP167" s="48">
        <f>ROW()</f>
        <v>167</v>
      </c>
      <c r="EQ167" s="48">
        <f t="shared" ca="1" si="293"/>
        <v>0</v>
      </c>
      <c r="ER167" s="48">
        <f ca="1">IF(ISNA(EQ167)=TRUE,MAX($ER$2:ER166)+1,0)</f>
        <v>0</v>
      </c>
      <c r="ES167" s="48" t="str">
        <f t="shared" ca="1" si="322"/>
        <v/>
      </c>
      <c r="ET167" s="48" t="str">
        <f ca="1">IFERROR(INDEX($ER$3:$ES$400,MATCH(ROWS($ET$3:ET167),$ER$3:$ER$400,0),2),"")</f>
        <v/>
      </c>
      <c r="EV167" s="48">
        <f ca="1">IFERROR(INDEX(LIBRO_GIORNALE!$O$11:$P$408,MATCH(ROWS($EV$2:EV166),LIBRO_GIORNALE!$P$11:$P$408,0),1),0)</f>
        <v>0</v>
      </c>
      <c r="EW167" s="48" t="str">
        <f t="shared" ca="1" si="323"/>
        <v>0</v>
      </c>
      <c r="EX167" s="48">
        <f t="shared" ca="1" si="324"/>
        <v>0</v>
      </c>
      <c r="EY167" s="48">
        <f ca="1">IF(EX167&gt;0,MAX($EY$2:EY166)+1,0)</f>
        <v>0</v>
      </c>
      <c r="EZ167" s="48">
        <f ca="1">IFERROR(INDEX($EX$3:$EX$400,MATCH(ROWS($EZ$3:EZ167),$EY$3:$EY$400,0),1),0)</f>
        <v>0</v>
      </c>
      <c r="FA167" s="48">
        <f ca="1">IF(EZ167&gt;0,0,MAX($FA$2:FA166)+1)</f>
        <v>165</v>
      </c>
      <c r="FB167" s="48">
        <f t="shared" ca="1" si="325"/>
        <v>0</v>
      </c>
      <c r="FC167" s="48">
        <f t="shared" ca="1" si="326"/>
        <v>165</v>
      </c>
      <c r="FD167" s="48">
        <f t="shared" ca="1" si="327"/>
        <v>165</v>
      </c>
      <c r="FE167" s="48">
        <f ca="1">IF(FD167=0,0,MAX($FE$2:FE166)+1)</f>
        <v>165</v>
      </c>
      <c r="FF167" s="48">
        <f ca="1">IFERROR(INDEX($FD$3:$FE$400,MATCH(ROWS($FF$3:FF167),$FE$3:$FE$400,0),1),"")</f>
        <v>165</v>
      </c>
      <c r="FG167" s="48">
        <f t="shared" ca="1" si="255"/>
        <v>0</v>
      </c>
      <c r="FH167" s="48">
        <f t="shared" ca="1" si="328"/>
        <v>0</v>
      </c>
      <c r="FI167" s="48">
        <f ca="1">IF(FH167&lt;&gt;0,MAX($FI$2:FI166)+1,0)</f>
        <v>0</v>
      </c>
      <c r="FJ167" s="48" t="str">
        <f ca="1">IFERROR(INDEX($FH$3:$FI$400,MATCH(ROWS($FJ$3:FJ167),$FI$3:$FI$400,0),1),"")</f>
        <v/>
      </c>
      <c r="FK167" s="48">
        <f ca="1">IF(ABS(SUMIFS(DARE,DEN_G,"="&amp;FJ167,DATA,"&lt;="&amp;FINE_AC,DATA,"&gt;="&amp;INIZIO_A_PC)-SUMIFS(AVERE,DEN_G,"="&amp;FJ167,DATA,"&lt;="&amp;FINE_AC,DATA,"&gt;="&amp;INIZIO_A_PC))&gt;0,MAX($FK$2:FK166)+1,0)</f>
        <v>0</v>
      </c>
      <c r="FL167" s="48" t="str">
        <f ca="1">IF(AND(ROW()-2&lt;&gt;1,ROW()-2&lt;=$FK$1),CONCATENATE(" - ",IFERROR(INDEX($FJ$3:$FK$400,MATCH(ROWS($FL$3:FL167),$FK$3:$FK$400,0),1),"")),IFERROR(INDEX($FJ$3:$FK$400,MATCH(ROWS($FL$3:FL167),$FK$3:$FK$400,0),1),""))</f>
        <v/>
      </c>
      <c r="FM167" s="48">
        <f ca="1">IF(OR(B167="IVA ns/credito",B167="IVA NS/DEBITO",B167="IVA C/ACCONTO",B167="IMPOSTE C/ACCONTO",B167="CREDITI PER RITENUTE SUBITE",B167="CREDITI D'IMPOSTA"),MAX($FM$2:FM166)+1,0)</f>
        <v>0</v>
      </c>
      <c r="FN167" s="48" t="str">
        <f t="shared" ca="1" si="329"/>
        <v/>
      </c>
      <c r="FO167" s="48" t="str">
        <f ca="1">IFERROR(INDEX($FM$3:$FN$400,MATCH(ROWS($FO$3:FO167),$FM$3:$FM$400,0),2),"")</f>
        <v/>
      </c>
      <c r="FP167" s="48">
        <f ca="1">IF(ABS(SUMIFS(DARE,DEN_G,"="&amp;FO167,DATA,"&lt;="&amp;FINE_AC,DATA,"&gt;="&amp;INIZIO_A_PC)-SUMIFS(AVERE,DEN_G,"="&amp;FO167,DATA,"&lt;="&amp;FINE_AC,DATA,"&gt;="&amp;INIZIO_A_PC))&gt;0,MAX($FP$2:FP166)+1,0)</f>
        <v>0</v>
      </c>
      <c r="FQ167" s="48" t="str">
        <f ca="1">IF(AND(ROW()-2&lt;&gt;1,ROW()-2&lt;=$FP$1),CONCATENATE(" - ",IFERROR(INDEX($FO$3:$FP$400,MATCH(ROWS($FQ$3:FQ167),$FP$3:$FP$400,0),1),"")),IFERROR(INDEX($FO$3:$FP$400,MATCH(ROWS($FQ$3:FQ167),$FP$3:$FP$400,0),1),""))</f>
        <v/>
      </c>
    </row>
    <row r="168" spans="1:173" x14ac:dyDescent="0.3">
      <c r="A168" s="48" t="str">
        <f ca="1">IFERROR(IF($A$1=2,INDEX($DH$3:$DN$401,MATCH(ROWS(A$3:A168),$DN$3:$DN$401,0),COLUMN()),IF($A$1=1,INDEX($DQ$3:$DW$401,MATCH(ROWS(A$3:A168),$DW$3:$DW$401,0),COLUMN()),"")),"")</f>
        <v>16.00</v>
      </c>
      <c r="B168" s="48" t="str">
        <f ca="1">IFERROR(IF($A$1=2,INDEX($DH$3:$DN$401,MATCH(ROWS(B$3:B168),$DN$3:$DN$401,0),COLUMN()),IF($A$1=1,INDEX($DQ$3:$DW$400,MATCH(ROWS(B$3:B168),$DW$3:$DW$401,0),COLUMN()),"")),"")</f>
        <v>RATEI E RISCONTI PASSIVI</v>
      </c>
      <c r="C168" s="48">
        <f ca="1">IFERROR(IF($A$1=2,INDEX($DH$3:$DN$401,MATCH(ROWS(C$3:C168),$DN$3:$DN$401,0),COLUMN()),IF($A$1=1,INDEX($DQ$3:$DW$401,MATCH(ROWS(C$3:C168),$DW$3:$DW$401,0),COLUMN()),"")),"")</f>
        <v>0</v>
      </c>
      <c r="D168" s="48">
        <f ca="1">IFERROR(IF($A$1=2,INDEX($DH$3:$DN$401,MATCH(ROWS(D$3:D168),$DN$3:$DN$401,0),COLUMN()),IF($A$1=1,INDEX($DQ$3:$DW$401,MATCH(ROWS(D$3:D168),$DW$3:$DW$401,0),COLUMN()),"")),"")</f>
        <v>0</v>
      </c>
      <c r="E168" s="48">
        <f ca="1">IFERROR(IF($A$1=2,INDEX($DH$3:$DN$401,MATCH(ROWS(E$3:E168),$DN$3:$DN$401,0),COLUMN()),IF($A$1=1,INDEX($DQ$3:$DW$401,MATCH(ROWS(E$3:E168),$DW$3:$DW$401,0),COLUMN()),"")),"")</f>
        <v>0</v>
      </c>
      <c r="F168" s="48">
        <f ca="1">IFERROR(IF($A$1=2,INDEX($DH$3:$DN$401,MATCH(ROWS(F$3:F168),$DN$3:$DN$401,0),COLUMN()),IF($A$1=1,INDEX($DQ$3:$DX$401,MATCH(ROWS(F$3:F168),$DW$3:$DW$401,0),COLUMN()),"")),"")</f>
        <v>0</v>
      </c>
      <c r="G168" s="48" t="str">
        <f t="shared" ca="1" si="294"/>
        <v>0</v>
      </c>
      <c r="H168" s="48">
        <f ca="1">IFERROR(IF($A$1=2,INDEX($DH$3:$DO$400,MATCH(ROWS(H$3:H168),$DN$3:$DN$400,0),COLUMN()),IF($A$1=1,INDEX($DQ$3:$DX$400,MATCH(ROWS(H$3:H168),$DW$3:$DW$400,0),COLUMN()),"")),"")</f>
        <v>0</v>
      </c>
      <c r="I168" s="48" t="str">
        <f t="shared" ca="1" si="295"/>
        <v/>
      </c>
      <c r="J168" s="48" t="str">
        <f t="shared" ca="1" si="296"/>
        <v/>
      </c>
      <c r="K168" s="48">
        <f t="shared" ca="1" si="297"/>
        <v>0</v>
      </c>
      <c r="L168" s="48">
        <f t="shared" ca="1" si="298"/>
        <v>0</v>
      </c>
      <c r="M168" s="48">
        <f ca="1">IFERROR(IF(IF(MID($A168,3,3)=".00",MID(A168,1,2),"")&lt;&gt;"",MAX($M$2:M167)+1,0),"")</f>
        <v>17</v>
      </c>
      <c r="N168" s="48" t="str">
        <f t="shared" ca="1" si="299"/>
        <v>16</v>
      </c>
      <c r="O168" s="48" t="str">
        <f ca="1">IF(IFERROR(INDEX($N$3:$O$300,MATCH(ROWS($O$3:O168),$M$3:$M$300,0),1),"")&lt;&gt;"",CONCATENATE(INDEX($N$3:$O$300,MATCH(ROWS($O$3:O168),$M$3:$M$300,0),1),".00"),"")</f>
        <v/>
      </c>
      <c r="P168" s="48" t="str">
        <f t="shared" ca="1" si="300"/>
        <v/>
      </c>
      <c r="Q168" s="48">
        <f ca="1">IF(M168&gt;=1,0,MAX($Q$2:Q167)+1)</f>
        <v>0</v>
      </c>
      <c r="U168" s="48" t="str">
        <f ca="1">IFERROR(INDEX(PDC,MATCH(ROWS(U$3:U168),$V$3:$V$400,0),2),"")</f>
        <v>PRODOTTI C/VENDITE</v>
      </c>
      <c r="V168" s="48">
        <f ca="1">IF(AND($T$1="VISUALIZZA TUTTI I CONTI",AA168&lt;&gt;""),MAX($V$2:V167)+1,IF(AND($U$2=2,AI168=$T$1),MAX($V$2:V167)+1,IF(AND($U$2=1,$T$1=AF168),MAX($V$2:V167)+1,0)))</f>
        <v>166</v>
      </c>
      <c r="AA168" s="48" t="str">
        <f t="shared" ca="1" si="301"/>
        <v>20.00</v>
      </c>
      <c r="AB168" s="48" t="str">
        <f ca="1">IFERROR(INDEX($A$3:$G$400,MATCH(ROWS(AB$3:AB168),$Q$3:$Q$400,0),1),"")</f>
        <v>20.01</v>
      </c>
      <c r="AC168" s="48" t="str">
        <f ca="1">IFERROR(INDEX($A$3:$G$400,MATCH(ROWS($AC$3:AC168),$Q$3:$Q$400,0),2),"")</f>
        <v>PRODOTTI C/VENDITE</v>
      </c>
      <c r="AD168" s="48" t="str">
        <f ca="1">IFERROR(INDEX($A$3:$G$400,MATCH(ROWS(AD$3:AD168),$Q$3:$Q$400,0),3),"")</f>
        <v>E</v>
      </c>
      <c r="AE168" s="48" t="str">
        <f ca="1">IFERROR(INDEX($A$3:$G$400,MATCH(ROWS(AE$3:AE168),$Q$3:$Q$400,0),4),"")</f>
        <v>A</v>
      </c>
      <c r="AF168" s="48" t="str">
        <f ca="1">IFERROR(INDEX($A$3:$G$400,MATCH(ROWS(AF$3:AF168),$Q$3:$Q$400,0),5),"")</f>
        <v>RICAVI D'ESERCIZIO</v>
      </c>
      <c r="AG168" s="48" t="str">
        <f ca="1">IFERROR(INDEX($A$3:$G$400,MATCH(ROWS(AG$3:AG168),$Q$3:$Q$400,0),6),"")</f>
        <v>SE AVERE</v>
      </c>
      <c r="AH168" s="48" t="str">
        <f ca="1">IFERROR(INDEX($A$3:$G$400,MATCH(ROWS(AH$3:AH168),$Q$3:$Q$400,0),7),"")</f>
        <v>SE</v>
      </c>
      <c r="AI168" s="48" t="str">
        <f t="shared" ca="1" si="302"/>
        <v>VALORE DELLA PRODUZIONE</v>
      </c>
      <c r="AJ168" s="48" t="str">
        <f ca="1">IFERROR(INDEX($A$3:$H$400,MATCH(ROWS(AJ$3:AJ168),$Q$3:$Q$400,0),8),"")</f>
        <v>ea1</v>
      </c>
      <c r="AK168" s="48">
        <f t="shared" ca="1" si="277"/>
        <v>0</v>
      </c>
      <c r="AL168" s="48">
        <f t="shared" ca="1" si="373"/>
        <v>0</v>
      </c>
      <c r="AM168" s="48">
        <f t="shared" ref="AM168:AM231" ca="1" si="377">IF(AL168=0,0,IF(AND(AO168&gt;0,AP168&gt;0),0,IF(OR(INDIRECT(ADDRESS(ROW()-92,COLUMN()-34,,,"LIBRO_GIORNALE"))="CONTO DI RISULTATO ECONOMICO",AND(INDIRECT(ADDRESS(ROW()-92,COLUMN()-34,,,"LIBRO_GIORNALE"))="UTILE D'ESERCIZIO",$I$1=1,AP168&gt;0),AND(INDIRECT(ADDRESS(ROW()-92,COLUMN()-34,,,"LIBRO_GIORNALE"))="PERDITA D'ESERCIZIO",$I$1=1,AO168&gt;0)),0,INDIRECT(ADDRESS(ROW()-92,COLUMN()-34,,,"LIBRO_GIORNALE")))))</f>
        <v>0</v>
      </c>
      <c r="AN168" s="48">
        <f t="shared" ref="AN168:AN231" ca="1" si="378">IF(AND(AM168="Utile d'esercizio",AP168&gt;0),"apertura del conto",IF(AND(AM168="Perdita d'esercizio",AO168&gt;0),"apertura del conto",INDIRECT(ADDRESS(ROW()-92,COLUMN()-34,,,"LIBRO_GIORNALE"))))</f>
        <v>0</v>
      </c>
      <c r="AO168" s="48">
        <f t="shared" ref="AO168:AP231" ca="1" si="379">IFERROR(IF(OR(INDIRECT(ADDRESS(ROW()-92,4,,,"LIBRO_GIORNALE"))="",INDIRECT(ADDRESS(ROW()-92,5,,,"LIBRO_GIORNALE"))=""),0,ROUND(INDIRECT(ADDRESS(ROW()-92,COLUMN()-34,,,"LIBRO_GIORNALE")),2)),0)</f>
        <v>0</v>
      </c>
      <c r="AP168" s="48">
        <f t="shared" ca="1" si="379"/>
        <v>0</v>
      </c>
      <c r="AQ168" s="48" t="str">
        <f t="shared" ca="1" si="278"/>
        <v/>
      </c>
      <c r="AR168" s="48">
        <f t="shared" ca="1" si="279"/>
        <v>0</v>
      </c>
      <c r="AS168" s="48">
        <f t="shared" ca="1" si="280"/>
        <v>0</v>
      </c>
      <c r="AT168" s="48">
        <f t="shared" ca="1" si="303"/>
        <v>0</v>
      </c>
      <c r="AU168" s="48">
        <f t="shared" ca="1" si="304"/>
        <v>0</v>
      </c>
      <c r="AV168" s="48">
        <f ca="1">IF(OR(AT168&gt;0,AU168&gt;0),MAX($AV$2:AV167)+1,0)</f>
        <v>0</v>
      </c>
      <c r="AZ168" s="241" t="str">
        <f>CONCATENATE(ROW()-100," V.I.")</f>
        <v>68 V.I.</v>
      </c>
      <c r="BA168" s="48">
        <f t="shared" ca="1" si="369"/>
        <v>0</v>
      </c>
      <c r="BB168" s="48">
        <f t="shared" ca="1" si="370"/>
        <v>0</v>
      </c>
      <c r="BC168" s="48" t="str">
        <f ca="1">AN70</f>
        <v/>
      </c>
      <c r="BD168" s="48">
        <f t="shared" ca="1" si="371"/>
        <v>0</v>
      </c>
      <c r="BE168" s="48">
        <f t="shared" ca="1" si="372"/>
        <v>0</v>
      </c>
      <c r="BG168" s="48">
        <f ca="1">IF(IF(AND(OR(INDEX(PDC,MATCH($AC168,DEN_PDC,0),6)="SP DARE",INDEX(PDC,MATCH($AC168,DEN_PDC,0),6)="SP DARE/AVERE"),SUMIFS(DARE,DEN_G,$AC168)&gt;=SUMIFS(AVERE,DEN_G,$AC168)),SUMIFS(DARE,DEN_G,$AC168)-SUMIFS(AVERE,DEN_G,$AC168),0)&gt;0,MAX($BG$2:BG167)+1,0)</f>
        <v>0</v>
      </c>
      <c r="BH168" s="48">
        <f ca="1">IF(IF(AND(OR(INDEX(PDC,MATCH($AC168,DEN_PDC,0),6)="SP AVERE",INDEX(PDC,MATCH($AC168,DEN_PDC,0),6)="SP DARE/AVERE"),SUMIFS(AVERE,DEN_G,$AC168)&gt;=SUMIFS(DARE,DEN_G,$AC168)),SUMIFS(AVERE,DEN_G,$AC168)-SUMIFS(DARE,DEN_G,$AC168),0)&gt;0,MAX(BH$2:BH167)+1,0)</f>
        <v>0</v>
      </c>
      <c r="BI168" s="48">
        <f ca="1">IF(IF(AND(OR(INDEX(PDC,MATCH($AC168,DEN_PDC,0),6)="SE DARE",INDEX(PDC,MATCH($AC168,DEN_PDC,0),6)="SE DARE/AVERE"),SUMIFS(DARE,DEN_G,$AC168)&gt;=SUMIFS(AVERE,DEN_G,$AC168)),SUMIFS(DARE,DEN_G,$AC168)-SUMIFS(AVERE,DEN_G,$AC168),0)&gt;0,MAX(BI$2:BI167)+1,0)</f>
        <v>0</v>
      </c>
      <c r="BJ168" s="48">
        <f ca="1">IF(IF(AND(OR(INDEX(PDC,MATCH($AC168,DEN_PDC,0),6)="SE AVERE",INDEX(PDC,MATCH($AC168,DEN_PDC,0),6)="SE DARE/AVERE"),SUMIFS(AVERE,DEN_G,$AC168)&gt;=SUMIFS(DARE,DEN_G,$AC168)),SUMIFS(AVERE,DEN_G,$AC168)-SUMIFS(DARE,DEN_G,$AC168),0)&gt;0,MAX(BJ$2:BJ167)+1,0)</f>
        <v>0</v>
      </c>
      <c r="BK168" s="48" t="str">
        <f ca="1">IF(AND(AND($DY$2=0,$DY$1=0),$I$1=2,ROW()&gt;$BG$1+2,ROW()&lt;=$BG$1+4),"………………..",IF(AND(OR($DY$2&gt;0,$DY$1&gt;0),$I$1=2,ROW()&gt;$BG$1+2,ROW()&lt;=$BG$1+4),"………………..",IFERROR(INDEX($AC$3:$AC$398,MATCH(ROWS(BK$3:BK168),BG$3:BG$398,0),1),"")))</f>
        <v/>
      </c>
      <c r="BL168" s="48">
        <f t="shared" ca="1" si="281"/>
        <v>0</v>
      </c>
      <c r="BM168" s="48" t="str">
        <f ca="1">IF(AND(OR($DY$2=0,$DY$1=0),$I$1=2,ROW()&gt;$BH$1+2,ROW()&lt;=$BH$1+4),"………………..",IF(AND(OR($DY$2&gt;0,$DY$1&gt;0),$I$1=2,ROW()&gt;$BH$1+2,ROW()&lt;=$BH$1+4),"………………..",IFERROR(INDEX($AC$3:$AC$400,MATCH(ROWS(BM$3:BM168),BH$3:BH$400,0),1),"")))</f>
        <v/>
      </c>
      <c r="BN168" s="48">
        <f t="shared" ca="1" si="282"/>
        <v>0</v>
      </c>
      <c r="BO168" s="48" t="str">
        <f ca="1">IF(AND(OR($DY$2=0,$DY$1=0),$I$1=2,ROW()&gt;$BI$1+2,ROW()&lt;=$BI$1+4),"………………..",IF(AND(OR($DY$2&gt;0,$DY$1&gt;0),$I$1=2,ROW()&gt;$BI$1+2,ROW()&lt;=$BI$1+4),"………………..",IFERROR(INDEX($AC$3:$AC$400,MATCH(ROWS(BO$3:BO168),BI$3:BI$400,0),1),"")))</f>
        <v/>
      </c>
      <c r="BP168" s="48">
        <f t="shared" ca="1" si="283"/>
        <v>0</v>
      </c>
      <c r="BQ168" s="48" t="str">
        <f ca="1">IF(AND(OR($DY$2=0,$DY$1=0),$I$1=2,ROW()&gt;$BJ$1+2,ROW()&lt;=$BJ$1+4),"………………..",IF(AND(OR($DY$2&gt;0,$DY$1&gt;0),$I$1=2,ROW()&gt;$BJ$1+2,ROW()&lt;=$BJ$1+4),"………………..",IFERROR(INDEX($AC$3:$AC$400,MATCH(ROWS(BQ$3:BQ168),BJ$3:BJ$400,0),1),"")))</f>
        <v/>
      </c>
      <c r="BR168" s="48">
        <f t="shared" ca="1" si="284"/>
        <v>0</v>
      </c>
      <c r="BS168" s="48">
        <f ca="1">IF(IF(AND(OR(INDEX(PDC,MATCH($AC168,DEN_PDC,0),4)="D",INDEX(PDC,MATCH($AC168,DEN_PDC,0),4)="D/A"),SUMIFS(DARE,DEN_G,$AC168)&gt;=SUMIFS(AVERE,DEN_G,$AC168)),SUMIFS(DARE,DEN_G,$AC168),IF(AND(OR(INDEX(PDC,MATCH($AC168,DEN_PDC,0),4)="A",INDEX(PDC,MATCH($AC168,DEN_PDC,0),4)="D/A"),SUMIFS(AVERE,DEN_G,$AC168)&gt;=SUMIFS(DARE,DEN_G,$AC168)),SUMIFS(AVERE,DEN_G,$AC168),))&gt;0,MAX($BS$2:BS167)+1,0)</f>
        <v>0</v>
      </c>
      <c r="BT168" s="48" t="str">
        <f ca="1">IF($CO$1=0,"",IF(AND($I$1=2,ROW()&gt;$BR$1,ROW()&lt;=$BS$1)," …………….",IF(AND($E$1=1,$BX$1=1,$I$1=2,ROW()=$BQ$1),"TOTALI",IFERROR(INDEX(PDC,MATCH(ROWS(BT$3:BT168),BS$3:BS565,0),2),""))))</f>
        <v/>
      </c>
      <c r="BU168" s="48">
        <f t="shared" ca="1" si="285"/>
        <v>0</v>
      </c>
      <c r="BV168" s="48">
        <f t="shared" ca="1" si="286"/>
        <v>0</v>
      </c>
      <c r="BW168" s="48">
        <f t="shared" ca="1" si="287"/>
        <v>0</v>
      </c>
      <c r="BX168" s="48">
        <f t="shared" ca="1" si="288"/>
        <v>0</v>
      </c>
      <c r="BY168" s="48">
        <f ca="1">IF(OR(BW168&gt;0,BX168&gt;0),MAX($BY$2:BY167)+1,0)</f>
        <v>0</v>
      </c>
      <c r="BZ168" s="48" t="str">
        <f ca="1">IFERROR(INDEX($BT$3:$BY$400,MATCH(ROWS(BZ$3:BZ168),$BY$3:$BY$400,0),1),"")</f>
        <v/>
      </c>
      <c r="CA168" s="48" t="str">
        <f ca="1">IFERROR(INDEX($BT$3:$BY$400,MATCH(ROWS(CA$3:CA168),$BY$3:$BY$400,0),4),"")</f>
        <v/>
      </c>
      <c r="CB168" s="48" t="str">
        <f ca="1">IFERROR(INDEX($BT$3:$BY$400,MATCH(ROWS(CB$3:CB168),$BY$3:$BY$400,0),5),"")</f>
        <v/>
      </c>
      <c r="CC168" s="48" t="str">
        <f t="shared" ca="1" si="289"/>
        <v/>
      </c>
      <c r="CD168" s="48">
        <f ca="1">IF(AND($BF$9=2,CE168&lt;&gt;0),MAX($CD$165:CD167)+1,0)</f>
        <v>0</v>
      </c>
      <c r="CE168" s="48">
        <f t="shared" ca="1" si="374"/>
        <v>0</v>
      </c>
      <c r="CF168" s="48" t="str">
        <f t="shared" si="375"/>
        <v>ppa2</v>
      </c>
      <c r="CG168" s="48" t="str">
        <f t="shared" si="376"/>
        <v>II _-_Riserva da soprapprezzo delle azioni</v>
      </c>
      <c r="CH168" s="48">
        <f t="shared" ca="1" si="259"/>
        <v>0</v>
      </c>
      <c r="CM168" s="242" t="str">
        <f t="shared" ca="1" si="305"/>
        <v/>
      </c>
      <c r="CN168" s="243">
        <f t="shared" ca="1" si="306"/>
        <v>0</v>
      </c>
      <c r="CO168" s="48" t="str">
        <f t="shared" ca="1" si="307"/>
        <v/>
      </c>
      <c r="CQ168" s="242"/>
      <c r="CR168" s="242"/>
      <c r="CU168" s="48">
        <f ca="1">IF(SUMIFS(AVERE,DEN_G,AC168,AVERE,"&gt;"&amp;0)+SUMIFS(DARE,DEN_G,AC168,DARE,"&gt;"&amp;0)&gt;0,MAX($CU$2:CU167)+1,0)</f>
        <v>0</v>
      </c>
      <c r="CV168" s="48" t="str">
        <f ca="1">IF(IFERROR(INDEX(PDC,MATCH(ROWS($CV$3:CV168),$CU$3:$CU$400,0),2),"")="CONTO DI RISULTATO ECONOMICO","",IFERROR(INDEX(PDC,MATCH(ROWS($CV$3:CV168),$CU$3:$CU$400,0),2),""))</f>
        <v/>
      </c>
      <c r="CW168" s="48">
        <f ca="1">IFERROR(IF(CV168&lt;&gt;"",MAX($CW$2:CW167)+1,0),0)</f>
        <v>0</v>
      </c>
      <c r="CX168" s="48">
        <f t="shared" ca="1" si="361"/>
        <v>13</v>
      </c>
      <c r="CY168" s="48" t="str">
        <f t="shared" ca="1" si="359"/>
        <v>MASTRO</v>
      </c>
      <c r="CZ168" s="48" t="e">
        <f t="shared" ca="1" si="364"/>
        <v>#N/A</v>
      </c>
      <c r="DA168" s="48" t="str">
        <f t="shared" ca="1" si="368"/>
        <v/>
      </c>
      <c r="DB168" s="48" t="str">
        <f t="shared" ca="1" si="347"/>
        <v/>
      </c>
      <c r="DC168" s="48" t="str">
        <f t="shared" ca="1" si="365"/>
        <v/>
      </c>
      <c r="DD168" s="48" t="str">
        <f t="shared" ca="1" si="366"/>
        <v/>
      </c>
      <c r="DE168" s="48" t="str">
        <f t="shared" ca="1" si="367"/>
        <v/>
      </c>
      <c r="DF168" s="48">
        <f ca="1">IF(AND(CX168=$DF$1,CX168&lt;&gt;""),0,IF(AND(DB168&lt;&gt;"",OR(DB167&lt;&gt;"",DB169&lt;&gt;"")),MAX($DF$2:DF167)+1,0))</f>
        <v>0</v>
      </c>
      <c r="DH168" s="244" t="s">
        <v>123</v>
      </c>
      <c r="DI168" s="228" t="s">
        <v>124</v>
      </c>
      <c r="DN168" s="48">
        <f ca="1">IF(DI168&lt;&gt;"",MAX($DN$2:DN167)+1,0)</f>
        <v>139</v>
      </c>
      <c r="DQ168" s="227" t="s">
        <v>1057</v>
      </c>
      <c r="DR168" s="48" t="s">
        <v>127</v>
      </c>
      <c r="DS168" s="48" t="s">
        <v>312</v>
      </c>
      <c r="DT168" s="48" t="s">
        <v>298</v>
      </c>
      <c r="DU168" s="48" t="s">
        <v>5</v>
      </c>
      <c r="DV168" s="48" t="s">
        <v>299</v>
      </c>
      <c r="DW168" s="48">
        <f ca="1">IF(DR168&lt;&gt;"",MAX($DW$2:DW167)+1,0)</f>
        <v>102</v>
      </c>
      <c r="DX168" s="48" t="str">
        <f ca="1">IF($BF$9=1,"ppd7","ppd")</f>
        <v>ppd</v>
      </c>
      <c r="DY168" s="48" t="str">
        <f t="shared" ca="1" si="291"/>
        <v/>
      </c>
      <c r="DZ168" s="48" t="str">
        <f t="shared" ca="1" si="309"/>
        <v/>
      </c>
      <c r="EA168" s="48" t="str">
        <f t="shared" ca="1" si="310"/>
        <v/>
      </c>
      <c r="EB168" s="48">
        <f t="shared" ca="1" si="311"/>
        <v>0</v>
      </c>
      <c r="EC168" s="48">
        <f t="shared" ca="1" si="312"/>
        <v>0</v>
      </c>
      <c r="ED168" s="48" t="str">
        <f t="shared" ca="1" si="313"/>
        <v/>
      </c>
      <c r="EE168" s="48">
        <f t="shared" ca="1" si="314"/>
        <v>0</v>
      </c>
      <c r="EF168" s="48" t="str">
        <f t="shared" ca="1" si="315"/>
        <v/>
      </c>
      <c r="EG168" s="48">
        <f t="shared" ca="1" si="316"/>
        <v>0</v>
      </c>
      <c r="EH168" s="48" t="str">
        <f t="shared" ca="1" si="317"/>
        <v/>
      </c>
      <c r="EI168" s="48">
        <f t="shared" ca="1" si="318"/>
        <v>0</v>
      </c>
      <c r="EJ168" s="48" t="str">
        <f t="shared" ca="1" si="319"/>
        <v/>
      </c>
      <c r="EK168" s="48">
        <f t="shared" ca="1" si="320"/>
        <v>0</v>
      </c>
      <c r="EL168" s="48">
        <f t="shared" ca="1" si="292"/>
        <v>0</v>
      </c>
      <c r="EM168" s="48">
        <f ca="1">IF(EL168&gt;=0,0,MAX($EM$2:EM167)+1)</f>
        <v>0</v>
      </c>
      <c r="EN168" s="48" t="str">
        <f t="shared" ca="1" si="321"/>
        <v/>
      </c>
      <c r="EO168" s="48" t="str">
        <f ca="1">IFERROR(INDEX($EM$3:$EN$400,MATCH(ROWS($EO$3:EO168),$EM$3:$EM$400,0),2),"")</f>
        <v/>
      </c>
      <c r="EP168" s="48">
        <f>ROW()</f>
        <v>168</v>
      </c>
      <c r="EQ168" s="48">
        <f t="shared" ca="1" si="293"/>
        <v>0</v>
      </c>
      <c r="ER168" s="48">
        <f ca="1">IF(ISNA(EQ168)=TRUE,MAX($ER$2:ER167)+1,0)</f>
        <v>0</v>
      </c>
      <c r="ES168" s="48" t="str">
        <f t="shared" ca="1" si="322"/>
        <v/>
      </c>
      <c r="ET168" s="48" t="str">
        <f ca="1">IFERROR(INDEX($ER$3:$ES$400,MATCH(ROWS($ET$3:ET168),$ER$3:$ER$400,0),2),"")</f>
        <v/>
      </c>
      <c r="EV168" s="48">
        <f ca="1">IFERROR(INDEX(LIBRO_GIORNALE!$O$11:$P$408,MATCH(ROWS($EV$2:EV167),LIBRO_GIORNALE!$P$11:$P$408,0),1),0)</f>
        <v>0</v>
      </c>
      <c r="EW168" s="48" t="str">
        <f t="shared" ca="1" si="323"/>
        <v>0</v>
      </c>
      <c r="EX168" s="48">
        <f t="shared" ca="1" si="324"/>
        <v>0</v>
      </c>
      <c r="EY168" s="48">
        <f ca="1">IF(EX168&gt;0,MAX($EY$2:EY167)+1,0)</f>
        <v>0</v>
      </c>
      <c r="EZ168" s="48">
        <f ca="1">IFERROR(INDEX($EX$3:$EX$400,MATCH(ROWS($EZ$3:EZ168),$EY$3:$EY$400,0),1),0)</f>
        <v>0</v>
      </c>
      <c r="FA168" s="48">
        <f ca="1">IF(EZ168&gt;0,0,MAX($FA$2:FA167)+1)</f>
        <v>166</v>
      </c>
      <c r="FB168" s="48">
        <f t="shared" ca="1" si="325"/>
        <v>0</v>
      </c>
      <c r="FC168" s="48">
        <f t="shared" ca="1" si="326"/>
        <v>166</v>
      </c>
      <c r="FD168" s="48">
        <f t="shared" ca="1" si="327"/>
        <v>166</v>
      </c>
      <c r="FE168" s="48">
        <f ca="1">IF(FD168=0,0,MAX($FE$2:FE167)+1)</f>
        <v>166</v>
      </c>
      <c r="FF168" s="48">
        <f ca="1">IFERROR(INDEX($FD$3:$FE$400,MATCH(ROWS($FF$3:FF168),$FE$3:$FE$400,0),1),"")</f>
        <v>166</v>
      </c>
      <c r="FG168" s="48">
        <f t="shared" ref="FG168:FG231" ca="1" si="380">IF(AND(AL168&gt;0,AL168&gt;AL169,AL169&lt;&gt;0),1,0)</f>
        <v>0</v>
      </c>
      <c r="FH168" s="48">
        <f t="shared" ca="1" si="328"/>
        <v>0</v>
      </c>
      <c r="FI168" s="48">
        <f ca="1">IF(FH168&lt;&gt;0,MAX($FI$2:FI167)+1,0)</f>
        <v>0</v>
      </c>
      <c r="FJ168" s="48" t="str">
        <f ca="1">IFERROR(INDEX($FH$3:$FI$400,MATCH(ROWS($FJ$3:FJ168),$FI$3:$FI$400,0),1),"")</f>
        <v/>
      </c>
      <c r="FK168" s="48">
        <f ca="1">IF(ABS(SUMIFS(DARE,DEN_G,"="&amp;FJ168,DATA,"&lt;="&amp;FINE_AC,DATA,"&gt;="&amp;INIZIO_A_PC)-SUMIFS(AVERE,DEN_G,"="&amp;FJ168,DATA,"&lt;="&amp;FINE_AC,DATA,"&gt;="&amp;INIZIO_A_PC))&gt;0,MAX($FK$2:FK167)+1,0)</f>
        <v>0</v>
      </c>
      <c r="FL168" s="48" t="str">
        <f ca="1">IF(AND(ROW()-2&lt;&gt;1,ROW()-2&lt;=$FK$1),CONCATENATE(" - ",IFERROR(INDEX($FJ$3:$FK$400,MATCH(ROWS($FL$3:FL168),$FK$3:$FK$400,0),1),"")),IFERROR(INDEX($FJ$3:$FK$400,MATCH(ROWS($FL$3:FL168),$FK$3:$FK$400,0),1),""))</f>
        <v/>
      </c>
      <c r="FM168" s="48">
        <f ca="1">IF(OR(B168="IVA ns/credito",B168="IVA NS/DEBITO",B168="IVA C/ACCONTO",B168="IMPOSTE C/ACCONTO",B168="CREDITI PER RITENUTE SUBITE",B168="CREDITI D'IMPOSTA"),MAX($FM$2:FM167)+1,0)</f>
        <v>0</v>
      </c>
      <c r="FN168" s="48" t="str">
        <f t="shared" ca="1" si="329"/>
        <v/>
      </c>
      <c r="FO168" s="48" t="str">
        <f ca="1">IFERROR(INDEX($FM$3:$FN$400,MATCH(ROWS($FO$3:FO168),$FM$3:$FM$400,0),2),"")</f>
        <v/>
      </c>
      <c r="FP168" s="48">
        <f ca="1">IF(ABS(SUMIFS(DARE,DEN_G,"="&amp;FO168,DATA,"&lt;="&amp;FINE_AC,DATA,"&gt;="&amp;INIZIO_A_PC)-SUMIFS(AVERE,DEN_G,"="&amp;FO168,DATA,"&lt;="&amp;FINE_AC,DATA,"&gt;="&amp;INIZIO_A_PC))&gt;0,MAX($FP$2:FP167)+1,0)</f>
        <v>0</v>
      </c>
      <c r="FQ168" s="48" t="str">
        <f ca="1">IF(AND(ROW()-2&lt;&gt;1,ROW()-2&lt;=$FP$1),CONCATENATE(" - ",IFERROR(INDEX($FO$3:$FP$400,MATCH(ROWS($FQ$3:FQ168),$FP$3:$FP$400,0),1),"")),IFERROR(INDEX($FO$3:$FP$400,MATCH(ROWS($FQ$3:FQ168),$FP$3:$FP$400,0),1),""))</f>
        <v/>
      </c>
    </row>
    <row r="169" spans="1:173" x14ac:dyDescent="0.3">
      <c r="A169" s="48" t="str">
        <f ca="1">IFERROR(IF($A$1=2,INDEX($DH$3:$DN$401,MATCH(ROWS(A$3:A169),$DN$3:$DN$401,0),COLUMN()),IF($A$1=1,INDEX($DQ$3:$DW$401,MATCH(ROWS(A$3:A169),$DW$3:$DW$401,0),COLUMN()),"")),"")</f>
        <v>16.01</v>
      </c>
      <c r="B169" s="48" t="str">
        <f ca="1">IFERROR(IF($A$1=2,INDEX($DH$3:$DN$401,MATCH(ROWS(B$3:B169),$DN$3:$DN$401,0),COLUMN()),IF($A$1=1,INDEX($DQ$3:$DW$400,MATCH(ROWS(B$3:B169),$DW$3:$DW$401,0),COLUMN()),"")),"")</f>
        <v>RATEI PASSIVI</v>
      </c>
      <c r="C169" s="48" t="str">
        <f ca="1">IFERROR(IF($A$1=2,INDEX($DH$3:$DN$401,MATCH(ROWS(C$3:C169),$DN$3:$DN$401,0),COLUMN()),IF($A$1=1,INDEX($DQ$3:$DW$401,MATCH(ROWS(C$3:C169),$DW$3:$DW$401,0),COLUMN()),"")),"")</f>
        <v>F</v>
      </c>
      <c r="D169" s="48" t="str">
        <f ca="1">IFERROR(IF($A$1=2,INDEX($DH$3:$DN$401,MATCH(ROWS(D$3:D169),$DN$3:$DN$401,0),COLUMN()),IF($A$1=1,INDEX($DQ$3:$DW$401,MATCH(ROWS(D$3:D169),$DW$3:$DW$401,0),COLUMN()),"")),"")</f>
        <v>A</v>
      </c>
      <c r="E169" s="48" t="str">
        <f ca="1">IFERROR(IF($A$1=2,INDEX($DH$3:$DN$401,MATCH(ROWS(E$3:E169),$DN$3:$DN$401,0),COLUMN()),IF($A$1=1,INDEX($DQ$3:$DW$401,MATCH(ROWS(E$3:E169),$DW$3:$DW$401,0),COLUMN()),"")),"")</f>
        <v>RATEI, FONDI RISCHI E ONERI</v>
      </c>
      <c r="F169" s="48" t="str">
        <f ca="1">IFERROR(IF($A$1=2,INDEX($DH$3:$DN$401,MATCH(ROWS(F$3:F169),$DN$3:$DN$401,0),COLUMN()),IF($A$1=1,INDEX($DQ$3:$DX$401,MATCH(ROWS(F$3:F169),$DW$3:$DW$401,0),COLUMN()),"")),"")</f>
        <v>SP AVERE</v>
      </c>
      <c r="G169" s="48" t="str">
        <f t="shared" ca="1" si="294"/>
        <v>SP</v>
      </c>
      <c r="H169" s="48" t="str">
        <f ca="1">IFERROR(IF($A$1=2,INDEX($DH$3:$DO$400,MATCH(ROWS(H$3:H169),$DN$3:$DN$400,0),COLUMN()),IF($A$1=1,INDEX($DQ$3:$DX$400,MATCH(ROWS(H$3:H169),$DW$3:$DW$400,0),COLUMN()),"")),"")</f>
        <v>ppe</v>
      </c>
      <c r="I169" s="48" t="str">
        <f t="shared" ca="1" si="295"/>
        <v/>
      </c>
      <c r="J169" s="48" t="str">
        <f t="shared" ca="1" si="296"/>
        <v/>
      </c>
      <c r="K169" s="48">
        <f t="shared" ca="1" si="297"/>
        <v>0</v>
      </c>
      <c r="L169" s="48">
        <f t="shared" ca="1" si="298"/>
        <v>0</v>
      </c>
      <c r="M169" s="48">
        <f ca="1">IFERROR(IF(IF(MID($A169,3,3)=".00",MID(A169,1,2),"")&lt;&gt;"",MAX($M$2:M168)+1,0),"")</f>
        <v>0</v>
      </c>
      <c r="N169" s="48" t="str">
        <f t="shared" ca="1" si="299"/>
        <v/>
      </c>
      <c r="O169" s="48" t="str">
        <f ca="1">IF(IFERROR(INDEX($N$3:$O$300,MATCH(ROWS($O$3:O169),$M$3:$M$300,0),1),"")&lt;&gt;"",CONCATENATE(INDEX($N$3:$O$300,MATCH(ROWS($O$3:O169),$M$3:$M$300,0),1),".00"),"")</f>
        <v/>
      </c>
      <c r="P169" s="48" t="str">
        <f t="shared" ca="1" si="300"/>
        <v/>
      </c>
      <c r="Q169" s="48">
        <f ca="1">IF(M169&gt;=1,0,MAX($Q$2:Q168)+1)</f>
        <v>150</v>
      </c>
      <c r="U169" s="48" t="str">
        <f ca="1">IFERROR(INDEX(PDC,MATCH(ROWS(U$3:U169),$V$3:$V$400,0),2),"")</f>
        <v>PRODOTTI C/VENDITE ON LINE</v>
      </c>
      <c r="V169" s="48">
        <f ca="1">IF(AND($T$1="VISUALIZZA TUTTI I CONTI",AA169&lt;&gt;""),MAX($V$2:V168)+1,IF(AND($U$2=2,AI169=$T$1),MAX($V$2:V168)+1,IF(AND($U$2=1,$T$1=AF169),MAX($V$2:V168)+1,0)))</f>
        <v>167</v>
      </c>
      <c r="AA169" s="48" t="str">
        <f t="shared" ca="1" si="301"/>
        <v>20.00</v>
      </c>
      <c r="AB169" s="48" t="str">
        <f ca="1">IFERROR(INDEX($A$3:$G$400,MATCH(ROWS(AB$3:AB169),$Q$3:$Q$400,0),1),"")</f>
        <v>20.02</v>
      </c>
      <c r="AC169" s="48" t="str">
        <f ca="1">IFERROR(INDEX($A$3:$G$400,MATCH(ROWS($AC$3:AC169),$Q$3:$Q$400,0),2),"")</f>
        <v>PRODOTTI C/VENDITE ON LINE</v>
      </c>
      <c r="AD169" s="48" t="str">
        <f ca="1">IFERROR(INDEX($A$3:$G$400,MATCH(ROWS(AD$3:AD169),$Q$3:$Q$400,0),3),"")</f>
        <v>E</v>
      </c>
      <c r="AE169" s="48" t="str">
        <f ca="1">IFERROR(INDEX($A$3:$G$400,MATCH(ROWS(AE$3:AE169),$Q$3:$Q$400,0),4),"")</f>
        <v>A</v>
      </c>
      <c r="AF169" s="48" t="str">
        <f ca="1">IFERROR(INDEX($A$3:$G$400,MATCH(ROWS(AF$3:AF169),$Q$3:$Q$400,0),5),"")</f>
        <v>RICAVI D'ESERCIZIO</v>
      </c>
      <c r="AG169" s="48" t="str">
        <f ca="1">IFERROR(INDEX($A$3:$G$400,MATCH(ROWS(AG$3:AG169),$Q$3:$Q$400,0),6),"")</f>
        <v>SE AVERE</v>
      </c>
      <c r="AH169" s="48" t="str">
        <f ca="1">IFERROR(INDEX($A$3:$G$400,MATCH(ROWS(AH$3:AH169),$Q$3:$Q$400,0),7),"")</f>
        <v>SE</v>
      </c>
      <c r="AI169" s="48" t="str">
        <f t="shared" ca="1" si="302"/>
        <v>VALORE DELLA PRODUZIONE</v>
      </c>
      <c r="AJ169" s="48" t="str">
        <f ca="1">IFERROR(INDEX($A$3:$H$400,MATCH(ROWS(AJ$3:AJ169),$Q$3:$Q$400,0),8),"")</f>
        <v>ea2</v>
      </c>
      <c r="AK169" s="48">
        <f t="shared" ca="1" si="277"/>
        <v>0</v>
      </c>
      <c r="AL169" s="48">
        <f t="shared" ca="1" si="373"/>
        <v>0</v>
      </c>
      <c r="AM169" s="48">
        <f t="shared" ca="1" si="377"/>
        <v>0</v>
      </c>
      <c r="AN169" s="48">
        <f t="shared" ca="1" si="378"/>
        <v>0</v>
      </c>
      <c r="AO169" s="48">
        <f t="shared" ca="1" si="379"/>
        <v>0</v>
      </c>
      <c r="AP169" s="48">
        <f t="shared" ca="1" si="379"/>
        <v>0</v>
      </c>
      <c r="AQ169" s="48" t="str">
        <f t="shared" ca="1" si="278"/>
        <v/>
      </c>
      <c r="AR169" s="48">
        <f t="shared" ca="1" si="279"/>
        <v>0</v>
      </c>
      <c r="AS169" s="48">
        <f t="shared" ca="1" si="280"/>
        <v>0</v>
      </c>
      <c r="AT169" s="48">
        <f t="shared" ca="1" si="303"/>
        <v>0</v>
      </c>
      <c r="AU169" s="48">
        <f t="shared" ca="1" si="304"/>
        <v>0</v>
      </c>
      <c r="AV169" s="48">
        <f ca="1">IF(OR(AT169&gt;0,AU169&gt;0),MAX($AV$2:AV168)+1,0)</f>
        <v>0</v>
      </c>
      <c r="AZ169" s="241" t="str">
        <f t="shared" ref="AZ169:AZ200" si="381">CONCATENATE(ROW()-100," V.I.")</f>
        <v>69 V.I.</v>
      </c>
      <c r="BA169" s="48">
        <f t="shared" ca="1" si="369"/>
        <v>0</v>
      </c>
      <c r="BB169" s="48">
        <f t="shared" ca="1" si="370"/>
        <v>0</v>
      </c>
      <c r="BC169" s="48" t="str">
        <f t="shared" ref="BC169:BC200" ca="1" si="382">AN71</f>
        <v/>
      </c>
      <c r="BD169" s="48">
        <f ca="1">IF($BA169=0,0,AO71)</f>
        <v>0</v>
      </c>
      <c r="BE169" s="48">
        <f ca="1">IF($BA169=0,0,AP71)</f>
        <v>0</v>
      </c>
      <c r="BG169" s="48">
        <f ca="1">IF(IF(AND(OR(INDEX(PDC,MATCH($AC169,DEN_PDC,0),6)="SP DARE",INDEX(PDC,MATCH($AC169,DEN_PDC,0),6)="SP DARE/AVERE"),SUMIFS(DARE,DEN_G,$AC169)&gt;=SUMIFS(AVERE,DEN_G,$AC169)),SUMIFS(DARE,DEN_G,$AC169)-SUMIFS(AVERE,DEN_G,$AC169),0)&gt;0,MAX($BG$2:BG168)+1,0)</f>
        <v>0</v>
      </c>
      <c r="BH169" s="48">
        <f ca="1">IF(IF(AND(OR(INDEX(PDC,MATCH($AC169,DEN_PDC,0),6)="SP AVERE",INDEX(PDC,MATCH($AC169,DEN_PDC,0),6)="SP DARE/AVERE"),SUMIFS(AVERE,DEN_G,$AC169)&gt;=SUMIFS(DARE,DEN_G,$AC169)),SUMIFS(AVERE,DEN_G,$AC169)-SUMIFS(DARE,DEN_G,$AC169),0)&gt;0,MAX(BH$2:BH168)+1,0)</f>
        <v>0</v>
      </c>
      <c r="BI169" s="48">
        <f ca="1">IF(IF(AND(OR(INDEX(PDC,MATCH($AC169,DEN_PDC,0),6)="SE DARE",INDEX(PDC,MATCH($AC169,DEN_PDC,0),6)="SE DARE/AVERE"),SUMIFS(DARE,DEN_G,$AC169)&gt;=SUMIFS(AVERE,DEN_G,$AC169)),SUMIFS(DARE,DEN_G,$AC169)-SUMIFS(AVERE,DEN_G,$AC169),0)&gt;0,MAX(BI$2:BI168)+1,0)</f>
        <v>0</v>
      </c>
      <c r="BJ169" s="48">
        <f ca="1">IF(IF(AND(OR(INDEX(PDC,MATCH($AC169,DEN_PDC,0),6)="SE AVERE",INDEX(PDC,MATCH($AC169,DEN_PDC,0),6)="SE DARE/AVERE"),SUMIFS(AVERE,DEN_G,$AC169)&gt;=SUMIFS(DARE,DEN_G,$AC169)),SUMIFS(AVERE,DEN_G,$AC169)-SUMIFS(DARE,DEN_G,$AC169),0)&gt;0,MAX(BJ$2:BJ168)+1,0)</f>
        <v>0</v>
      </c>
      <c r="BK169" s="48" t="str">
        <f ca="1">IF(AND(AND($DY$2=0,$DY$1=0),$I$1=2,ROW()&gt;$BG$1+2,ROW()&lt;=$BG$1+4),"………………..",IF(AND(OR($DY$2&gt;0,$DY$1&gt;0),$I$1=2,ROW()&gt;$BG$1+2,ROW()&lt;=$BG$1+4),"………………..",IFERROR(INDEX($AC$3:$AC$398,MATCH(ROWS(BK$3:BK169),BG$3:BG$398,0),1),"")))</f>
        <v/>
      </c>
      <c r="BL169" s="48">
        <f t="shared" ca="1" si="281"/>
        <v>0</v>
      </c>
      <c r="BM169" s="48" t="str">
        <f ca="1">IF(AND(OR($DY$2=0,$DY$1=0),$I$1=2,ROW()&gt;$BH$1+2,ROW()&lt;=$BH$1+4),"………………..",IF(AND(OR($DY$2&gt;0,$DY$1&gt;0),$I$1=2,ROW()&gt;$BH$1+2,ROW()&lt;=$BH$1+4),"………………..",IFERROR(INDEX($AC$3:$AC$400,MATCH(ROWS(BM$3:BM169),BH$3:BH$400,0),1),"")))</f>
        <v/>
      </c>
      <c r="BN169" s="48">
        <f t="shared" ca="1" si="282"/>
        <v>0</v>
      </c>
      <c r="BO169" s="48" t="str">
        <f ca="1">IF(AND(OR($DY$2=0,$DY$1=0),$I$1=2,ROW()&gt;$BI$1+2,ROW()&lt;=$BI$1+4),"………………..",IF(AND(OR($DY$2&gt;0,$DY$1&gt;0),$I$1=2,ROW()&gt;$BI$1+2,ROW()&lt;=$BI$1+4),"………………..",IFERROR(INDEX($AC$3:$AC$400,MATCH(ROWS(BO$3:BO169),BI$3:BI$400,0),1),"")))</f>
        <v/>
      </c>
      <c r="BP169" s="48">
        <f t="shared" ca="1" si="283"/>
        <v>0</v>
      </c>
      <c r="BQ169" s="48" t="str">
        <f ca="1">IF(AND(OR($DY$2=0,$DY$1=0),$I$1=2,ROW()&gt;$BJ$1+2,ROW()&lt;=$BJ$1+4),"………………..",IF(AND(OR($DY$2&gt;0,$DY$1&gt;0),$I$1=2,ROW()&gt;$BJ$1+2,ROW()&lt;=$BJ$1+4),"………………..",IFERROR(INDEX($AC$3:$AC$400,MATCH(ROWS(BQ$3:BQ169),BJ$3:BJ$400,0),1),"")))</f>
        <v/>
      </c>
      <c r="BR169" s="48">
        <f t="shared" ca="1" si="284"/>
        <v>0</v>
      </c>
      <c r="BS169" s="48">
        <f ca="1">IF(IF(AND(OR(INDEX(PDC,MATCH($AC169,DEN_PDC,0),4)="D",INDEX(PDC,MATCH($AC169,DEN_PDC,0),4)="D/A"),SUMIFS(DARE,DEN_G,$AC169)&gt;=SUMIFS(AVERE,DEN_G,$AC169)),SUMIFS(DARE,DEN_G,$AC169),IF(AND(OR(INDEX(PDC,MATCH($AC169,DEN_PDC,0),4)="A",INDEX(PDC,MATCH($AC169,DEN_PDC,0),4)="D/A"),SUMIFS(AVERE,DEN_G,$AC169)&gt;=SUMIFS(DARE,DEN_G,$AC169)),SUMIFS(AVERE,DEN_G,$AC169),))&gt;0,MAX($BS$2:BS168)+1,0)</f>
        <v>0</v>
      </c>
      <c r="BT169" s="48" t="str">
        <f ca="1">IF($CO$1=0,"",IF(AND($I$1=2,ROW()&gt;$BR$1,ROW()&lt;=$BS$1)," …………….",IF(AND($E$1=1,$BX$1=1,$I$1=2,ROW()=$BQ$1),"TOTALI",IFERROR(INDEX(PDC,MATCH(ROWS(BT$3:BT169),BS$3:BS566,0),2),""))))</f>
        <v/>
      </c>
      <c r="BU169" s="48">
        <f t="shared" ca="1" si="285"/>
        <v>0</v>
      </c>
      <c r="BV169" s="48">
        <f t="shared" ca="1" si="286"/>
        <v>0</v>
      </c>
      <c r="BW169" s="48">
        <f t="shared" ca="1" si="287"/>
        <v>0</v>
      </c>
      <c r="BX169" s="48">
        <f t="shared" ca="1" si="288"/>
        <v>0</v>
      </c>
      <c r="BY169" s="48">
        <f ca="1">IF(OR(BW169&gt;0,BX169&gt;0),MAX($BY$2:BY168)+1,0)</f>
        <v>0</v>
      </c>
      <c r="BZ169" s="48" t="str">
        <f ca="1">IFERROR(INDEX($BT$3:$BY$400,MATCH(ROWS(BZ$3:BZ169),$BY$3:$BY$400,0),1),"")</f>
        <v/>
      </c>
      <c r="CA169" s="48" t="str">
        <f ca="1">IFERROR(INDEX($BT$3:$BY$400,MATCH(ROWS(CA$3:CA169),$BY$3:$BY$400,0),4),"")</f>
        <v/>
      </c>
      <c r="CB169" s="48" t="str">
        <f ca="1">IFERROR(INDEX($BT$3:$BY$400,MATCH(ROWS(CB$3:CB169),$BY$3:$BY$400,0),5),"")</f>
        <v/>
      </c>
      <c r="CC169" s="48" t="str">
        <f t="shared" ca="1" si="289"/>
        <v/>
      </c>
      <c r="CD169" s="48">
        <f ca="1">IF(AND($BF$9=2,CE169&lt;&gt;0),MAX($CD$165:CD168)+1,0)</f>
        <v>0</v>
      </c>
      <c r="CE169" s="48">
        <f t="shared" ca="1" si="374"/>
        <v>0</v>
      </c>
      <c r="CF169" s="48" t="str">
        <f t="shared" si="375"/>
        <v>ppa3</v>
      </c>
      <c r="CG169" s="48" t="str">
        <f t="shared" si="376"/>
        <v>III_ - Riserva di rivalutazione</v>
      </c>
      <c r="CH169" s="48">
        <f t="shared" ca="1" si="259"/>
        <v>0</v>
      </c>
      <c r="CM169" s="242" t="str">
        <f t="shared" ca="1" si="305"/>
        <v/>
      </c>
      <c r="CN169" s="243">
        <f t="shared" ca="1" si="306"/>
        <v>0</v>
      </c>
      <c r="CO169" s="48" t="str">
        <f t="shared" ca="1" si="307"/>
        <v/>
      </c>
      <c r="CQ169" s="242"/>
      <c r="CR169" s="242"/>
      <c r="CU169" s="48">
        <f ca="1">IF(SUMIFS(AVERE,DEN_G,AC169,AVERE,"&gt;"&amp;0)+SUMIFS(DARE,DEN_G,AC169,DARE,"&gt;"&amp;0)&gt;0,MAX($CU$2:CU168)+1,0)</f>
        <v>0</v>
      </c>
      <c r="CV169" s="48" t="str">
        <f ca="1">IF(IFERROR(INDEX(PDC,MATCH(ROWS($CV$3:CV169),$CU$3:$CU$400,0),2),"")="CONTO DI RISULTATO ECONOMICO","",IFERROR(INDEX(PDC,MATCH(ROWS($CV$3:CV169),$CU$3:$CU$400,0),2),""))</f>
        <v/>
      </c>
      <c r="CW169" s="48">
        <f ca="1">IFERROR(IF(CV169&lt;&gt;"",MAX($CW$2:CW168)+1,0),0)</f>
        <v>0</v>
      </c>
      <c r="CX169" s="48">
        <f t="shared" ca="1" si="361"/>
        <v>13</v>
      </c>
      <c r="CY169" s="48" t="str">
        <f t="shared" ca="1" si="359"/>
        <v>MASTRO</v>
      </c>
      <c r="CZ169" s="48" t="e">
        <f t="shared" ca="1" si="364"/>
        <v>#N/A</v>
      </c>
      <c r="DA169" s="48" t="str">
        <f t="shared" ca="1" si="368"/>
        <v/>
      </c>
      <c r="DB169" s="48" t="str">
        <f t="shared" ca="1" si="347"/>
        <v/>
      </c>
      <c r="DC169" s="48" t="str">
        <f t="shared" ca="1" si="365"/>
        <v/>
      </c>
      <c r="DD169" s="48" t="str">
        <f t="shared" ca="1" si="366"/>
        <v/>
      </c>
      <c r="DE169" s="48" t="str">
        <f t="shared" ca="1" si="367"/>
        <v/>
      </c>
      <c r="DF169" s="48">
        <f ca="1">IF(AND(CX169=$DF$1,CX169&lt;&gt;""),0,IF(AND(DB169&lt;&gt;"",OR(DB168&lt;&gt;"",DB170&lt;&gt;"")),MAX($DF$2:DF168)+1,0))</f>
        <v>0</v>
      </c>
      <c r="DH169" s="244" t="s">
        <v>128</v>
      </c>
      <c r="DI169" s="48" t="s">
        <v>870</v>
      </c>
      <c r="DJ169" s="48" t="s">
        <v>312</v>
      </c>
      <c r="DK169" s="48" t="s">
        <v>298</v>
      </c>
      <c r="DL169" s="48" t="s">
        <v>5</v>
      </c>
      <c r="DM169" s="48" t="s">
        <v>299</v>
      </c>
      <c r="DN169" s="48">
        <f ca="1">IF(DI169&lt;&gt;"",MAX($DN$2:DN168)+1,0)</f>
        <v>140</v>
      </c>
      <c r="DO169" s="48" t="str">
        <f ca="1">IF($BF$9=1,"ppd7","ppd")</f>
        <v>ppd</v>
      </c>
      <c r="DQ169" s="227" t="s">
        <v>872</v>
      </c>
      <c r="DR169" s="48" t="s">
        <v>285</v>
      </c>
      <c r="DS169" s="48" t="s">
        <v>312</v>
      </c>
      <c r="DT169" s="48" t="s">
        <v>298</v>
      </c>
      <c r="DU169" s="48" t="s">
        <v>5</v>
      </c>
      <c r="DV169" s="48" t="s">
        <v>299</v>
      </c>
      <c r="DW169" s="48">
        <f ca="1">IF(DR169&lt;&gt;"",MAX($DW$2:DW168)+1,0)</f>
        <v>103</v>
      </c>
      <c r="DX169" s="48" t="str">
        <f ca="1">IF($BF$9=1,"ppd7","ppd")</f>
        <v>ppd</v>
      </c>
      <c r="DY169" s="48" t="str">
        <f t="shared" ca="1" si="291"/>
        <v/>
      </c>
      <c r="DZ169" s="48" t="str">
        <f t="shared" ca="1" si="309"/>
        <v/>
      </c>
      <c r="EA169" s="48" t="str">
        <f t="shared" ca="1" si="310"/>
        <v/>
      </c>
      <c r="EB169" s="48">
        <f t="shared" ca="1" si="311"/>
        <v>0</v>
      </c>
      <c r="EC169" s="48">
        <f t="shared" ca="1" si="312"/>
        <v>0</v>
      </c>
      <c r="ED169" s="48" t="str">
        <f t="shared" ca="1" si="313"/>
        <v/>
      </c>
      <c r="EE169" s="48">
        <f t="shared" ca="1" si="314"/>
        <v>0</v>
      </c>
      <c r="EF169" s="48" t="str">
        <f t="shared" ca="1" si="315"/>
        <v/>
      </c>
      <c r="EG169" s="48">
        <f t="shared" ca="1" si="316"/>
        <v>0</v>
      </c>
      <c r="EH169" s="48" t="str">
        <f t="shared" ca="1" si="317"/>
        <v/>
      </c>
      <c r="EI169" s="48">
        <f t="shared" ca="1" si="318"/>
        <v>0</v>
      </c>
      <c r="EJ169" s="48" t="str">
        <f t="shared" ca="1" si="319"/>
        <v/>
      </c>
      <c r="EK169" s="48">
        <f t="shared" ca="1" si="320"/>
        <v>0</v>
      </c>
      <c r="EL169" s="48">
        <f t="shared" ca="1" si="292"/>
        <v>0</v>
      </c>
      <c r="EM169" s="48">
        <f ca="1">IF(EL169&gt;=0,0,MAX($EM$2:EM168)+1)</f>
        <v>0</v>
      </c>
      <c r="EN169" s="48" t="str">
        <f t="shared" ca="1" si="321"/>
        <v/>
      </c>
      <c r="EO169" s="48" t="str">
        <f ca="1">IFERROR(INDEX($EM$3:$EN$400,MATCH(ROWS($EO$3:EO169),$EM$3:$EM$400,0),2),"")</f>
        <v/>
      </c>
      <c r="EP169" s="48">
        <f>ROW()</f>
        <v>169</v>
      </c>
      <c r="EQ169" s="48">
        <f t="shared" ca="1" si="293"/>
        <v>0</v>
      </c>
      <c r="ER169" s="48">
        <f ca="1">IF(ISNA(EQ169)=TRUE,MAX($ER$2:ER168)+1,0)</f>
        <v>0</v>
      </c>
      <c r="ES169" s="48" t="str">
        <f t="shared" ca="1" si="322"/>
        <v/>
      </c>
      <c r="ET169" s="48" t="str">
        <f ca="1">IFERROR(INDEX($ER$3:$ES$400,MATCH(ROWS($ET$3:ET169),$ER$3:$ER$400,0),2),"")</f>
        <v/>
      </c>
      <c r="EV169" s="48">
        <f ca="1">IFERROR(INDEX(LIBRO_GIORNALE!$O$11:$P$408,MATCH(ROWS($EV$2:EV168),LIBRO_GIORNALE!$P$11:$P$408,0),1),0)</f>
        <v>0</v>
      </c>
      <c r="EW169" s="48" t="str">
        <f t="shared" ca="1" si="323"/>
        <v>0</v>
      </c>
      <c r="EX169" s="48">
        <f t="shared" ca="1" si="324"/>
        <v>0</v>
      </c>
      <c r="EY169" s="48">
        <f ca="1">IF(EX169&gt;0,MAX($EY$2:EY168)+1,0)</f>
        <v>0</v>
      </c>
      <c r="EZ169" s="48">
        <f ca="1">IFERROR(INDEX($EX$3:$EX$400,MATCH(ROWS($EZ$3:EZ169),$EY$3:$EY$400,0),1),0)</f>
        <v>0</v>
      </c>
      <c r="FA169" s="48">
        <f ca="1">IF(EZ169&gt;0,0,MAX($FA$2:FA168)+1)</f>
        <v>167</v>
      </c>
      <c r="FB169" s="48">
        <f t="shared" ca="1" si="325"/>
        <v>0</v>
      </c>
      <c r="FC169" s="48">
        <f t="shared" ca="1" si="326"/>
        <v>167</v>
      </c>
      <c r="FD169" s="48">
        <f t="shared" ca="1" si="327"/>
        <v>167</v>
      </c>
      <c r="FE169" s="48">
        <f ca="1">IF(FD169=0,0,MAX($FE$2:FE168)+1)</f>
        <v>167</v>
      </c>
      <c r="FF169" s="48">
        <f ca="1">IFERROR(INDEX($FD$3:$FE$400,MATCH(ROWS($FF$3:FF169),$FE$3:$FE$400,0),1),"")</f>
        <v>167</v>
      </c>
      <c r="FG169" s="48">
        <f t="shared" ca="1" si="380"/>
        <v>0</v>
      </c>
      <c r="FH169" s="48">
        <f t="shared" ca="1" si="328"/>
        <v>0</v>
      </c>
      <c r="FI169" s="48">
        <f ca="1">IF(FH169&lt;&gt;0,MAX($FI$2:FI168)+1,0)</f>
        <v>0</v>
      </c>
      <c r="FJ169" s="48" t="str">
        <f ca="1">IFERROR(INDEX($FH$3:$FI$400,MATCH(ROWS($FJ$3:FJ169),$FI$3:$FI$400,0),1),"")</f>
        <v/>
      </c>
      <c r="FK169" s="48">
        <f ca="1">IF(ABS(SUMIFS(DARE,DEN_G,"="&amp;FJ169,DATA,"&lt;="&amp;FINE_AC,DATA,"&gt;="&amp;INIZIO_A_PC)-SUMIFS(AVERE,DEN_G,"="&amp;FJ169,DATA,"&lt;="&amp;FINE_AC,DATA,"&gt;="&amp;INIZIO_A_PC))&gt;0,MAX($FK$2:FK168)+1,0)</f>
        <v>0</v>
      </c>
      <c r="FL169" s="48" t="str">
        <f ca="1">IF(AND(ROW()-2&lt;&gt;1,ROW()-2&lt;=$FK$1),CONCATENATE(" - ",IFERROR(INDEX($FJ$3:$FK$400,MATCH(ROWS($FL$3:FL169),$FK$3:$FK$400,0),1),"")),IFERROR(INDEX($FJ$3:$FK$400,MATCH(ROWS($FL$3:FL169),$FK$3:$FK$400,0),1),""))</f>
        <v/>
      </c>
      <c r="FM169" s="48">
        <f ca="1">IF(OR(B169="IVA ns/credito",B169="IVA NS/DEBITO",B169="IVA C/ACCONTO",B169="IMPOSTE C/ACCONTO",B169="CREDITI PER RITENUTE SUBITE",B169="CREDITI D'IMPOSTA"),MAX($FM$2:FM168)+1,0)</f>
        <v>0</v>
      </c>
      <c r="FN169" s="48" t="str">
        <f t="shared" ca="1" si="329"/>
        <v/>
      </c>
      <c r="FO169" s="48" t="str">
        <f ca="1">IFERROR(INDEX($FM$3:$FN$400,MATCH(ROWS($FO$3:FO169),$FM$3:$FM$400,0),2),"")</f>
        <v/>
      </c>
      <c r="FP169" s="48">
        <f ca="1">IF(ABS(SUMIFS(DARE,DEN_G,"="&amp;FO169,DATA,"&lt;="&amp;FINE_AC,DATA,"&gt;="&amp;INIZIO_A_PC)-SUMIFS(AVERE,DEN_G,"="&amp;FO169,DATA,"&lt;="&amp;FINE_AC,DATA,"&gt;="&amp;INIZIO_A_PC))&gt;0,MAX($FP$2:FP168)+1,0)</f>
        <v>0</v>
      </c>
      <c r="FQ169" s="48" t="str">
        <f ca="1">IF(AND(ROW()-2&lt;&gt;1,ROW()-2&lt;=$FP$1),CONCATENATE(" - ",IFERROR(INDEX($FO$3:$FP$400,MATCH(ROWS($FQ$3:FQ169),$FP$3:$FP$400,0),1),"")),IFERROR(INDEX($FO$3:$FP$400,MATCH(ROWS($FQ$3:FQ169),$FP$3:$FP$400,0),1),""))</f>
        <v/>
      </c>
    </row>
    <row r="170" spans="1:173" x14ac:dyDescent="0.3">
      <c r="A170" s="48" t="str">
        <f ca="1">IFERROR(IF($A$1=2,INDEX($DH$3:$DN$401,MATCH(ROWS(A$3:A170),$DN$3:$DN$401,0),COLUMN()),IF($A$1=1,INDEX($DQ$3:$DW$401,MATCH(ROWS(A$3:A170),$DW$3:$DW$401,0),COLUMN()),"")),"")</f>
        <v>16.02</v>
      </c>
      <c r="B170" s="48" t="str">
        <f ca="1">IFERROR(IF($A$1=2,INDEX($DH$3:$DN$401,MATCH(ROWS(B$3:B170),$DN$3:$DN$401,0),COLUMN()),IF($A$1=1,INDEX($DQ$3:$DW$400,MATCH(ROWS(B$3:B170),$DW$3:$DW$401,0),COLUMN()),"")),"")</f>
        <v>RISCONTI PASSIVI</v>
      </c>
      <c r="C170" s="48" t="str">
        <f ca="1">IFERROR(IF($A$1=2,INDEX($DH$3:$DN$401,MATCH(ROWS(C$3:C170),$DN$3:$DN$401,0),COLUMN()),IF($A$1=1,INDEX($DQ$3:$DW$401,MATCH(ROWS(C$3:C170),$DW$3:$DW$401,0),COLUMN()),"")),"")</f>
        <v>E</v>
      </c>
      <c r="D170" s="48" t="str">
        <f ca="1">IFERROR(IF($A$1=2,INDEX($DH$3:$DN$401,MATCH(ROWS(D$3:D170),$DN$3:$DN$401,0),COLUMN()),IF($A$1=1,INDEX($DQ$3:$DW$401,MATCH(ROWS(D$3:D170),$DW$3:$DW$401,0),COLUMN()),"")),"")</f>
        <v>A</v>
      </c>
      <c r="E170" s="48" t="str">
        <f ca="1">IFERROR(IF($A$1=2,INDEX($DH$3:$DN$401,MATCH(ROWS(E$3:E170),$DN$3:$DN$401,0),COLUMN()),IF($A$1=1,INDEX($DQ$3:$DW$401,MATCH(ROWS(E$3:E170),$DW$3:$DW$401,0),COLUMN()),"")),"")</f>
        <v>RICAVI SOSPESI</v>
      </c>
      <c r="F170" s="48" t="str">
        <f ca="1">IFERROR(IF($A$1=2,INDEX($DH$3:$DN$401,MATCH(ROWS(F$3:F170),$DN$3:$DN$401,0),COLUMN()),IF($A$1=1,INDEX($DQ$3:$DX$401,MATCH(ROWS(F$3:F170),$DW$3:$DW$401,0),COLUMN()),"")),"")</f>
        <v>SP AVERE</v>
      </c>
      <c r="G170" s="48" t="str">
        <f t="shared" ca="1" si="294"/>
        <v>SP</v>
      </c>
      <c r="H170" s="48" t="str">
        <f ca="1">IFERROR(IF($A$1=2,INDEX($DH$3:$DO$400,MATCH(ROWS(H$3:H170),$DN$3:$DN$400,0),COLUMN()),IF($A$1=1,INDEX($DQ$3:$DX$400,MATCH(ROWS(H$3:H170),$DW$3:$DW$400,0),COLUMN()),"")),"")</f>
        <v>ppe</v>
      </c>
      <c r="I170" s="48" t="str">
        <f t="shared" ca="1" si="295"/>
        <v/>
      </c>
      <c r="J170" s="48" t="str">
        <f t="shared" ca="1" si="296"/>
        <v/>
      </c>
      <c r="K170" s="48">
        <f t="shared" ca="1" si="297"/>
        <v>0</v>
      </c>
      <c r="L170" s="48">
        <f t="shared" ca="1" si="298"/>
        <v>0</v>
      </c>
      <c r="M170" s="48">
        <f ca="1">IFERROR(IF(IF(MID($A170,3,3)=".00",MID(A170,1,2),"")&lt;&gt;"",MAX($M$2:M169)+1,0),"")</f>
        <v>0</v>
      </c>
      <c r="N170" s="48" t="str">
        <f t="shared" ca="1" si="299"/>
        <v/>
      </c>
      <c r="O170" s="48" t="str">
        <f ca="1">IF(IFERROR(INDEX($N$3:$O$300,MATCH(ROWS($O$3:O170),$M$3:$M$300,0),1),"")&lt;&gt;"",CONCATENATE(INDEX($N$3:$O$300,MATCH(ROWS($O$3:O170),$M$3:$M$300,0),1),".00"),"")</f>
        <v/>
      </c>
      <c r="P170" s="48" t="str">
        <f t="shared" ca="1" si="300"/>
        <v/>
      </c>
      <c r="Q170" s="48">
        <f ca="1">IF(M170&gt;=1,0,MAX($Q$2:Q169)+1)</f>
        <v>151</v>
      </c>
      <c r="U170" s="48" t="str">
        <f ca="1">IFERROR(INDEX(PDC,MATCH(ROWS(U$3:U170),$V$3:$V$400,0),2),"")</f>
        <v>SERVIZI ON LINE</v>
      </c>
      <c r="V170" s="48">
        <f ca="1">IF(AND($T$1="VISUALIZZA TUTTI I CONTI",AA170&lt;&gt;""),MAX($V$2:V169)+1,IF(AND($U$2=2,AI170=$T$1),MAX($V$2:V169)+1,IF(AND($U$2=1,$T$1=AF170),MAX($V$2:V169)+1,0)))</f>
        <v>168</v>
      </c>
      <c r="AA170" s="48" t="str">
        <f t="shared" ca="1" si="301"/>
        <v>20.00</v>
      </c>
      <c r="AB170" s="48" t="str">
        <f ca="1">IFERROR(INDEX($A$3:$G$400,MATCH(ROWS(AB$3:AB170),$Q$3:$Q$400,0),1),"")</f>
        <v>20.03</v>
      </c>
      <c r="AC170" s="48" t="str">
        <f ca="1">IFERROR(INDEX($A$3:$G$400,MATCH(ROWS($AC$3:AC170),$Q$3:$Q$400,0),2),"")</f>
        <v>SERVIZI ON LINE</v>
      </c>
      <c r="AD170" s="48" t="str">
        <f ca="1">IFERROR(INDEX($A$3:$G$400,MATCH(ROWS(AD$3:AD170),$Q$3:$Q$400,0),3),"")</f>
        <v>E</v>
      </c>
      <c r="AE170" s="48" t="str">
        <f ca="1">IFERROR(INDEX($A$3:$G$400,MATCH(ROWS(AE$3:AE170),$Q$3:$Q$400,0),4),"")</f>
        <v>A</v>
      </c>
      <c r="AF170" s="48" t="str">
        <f ca="1">IFERROR(INDEX($A$3:$G$400,MATCH(ROWS(AF$3:AF170),$Q$3:$Q$400,0),5),"")</f>
        <v>RICAVI D'ESERCIZIO</v>
      </c>
      <c r="AG170" s="48" t="str">
        <f ca="1">IFERROR(INDEX($A$3:$G$400,MATCH(ROWS(AG$3:AG170),$Q$3:$Q$400,0),6),"")</f>
        <v>SE AVERE</v>
      </c>
      <c r="AH170" s="48" t="str">
        <f ca="1">IFERROR(INDEX($A$3:$G$400,MATCH(ROWS(AH$3:AH170),$Q$3:$Q$400,0),7),"")</f>
        <v>SE</v>
      </c>
      <c r="AI170" s="48" t="str">
        <f t="shared" ca="1" si="302"/>
        <v>VALORE DELLA PRODUZIONE</v>
      </c>
      <c r="AJ170" s="48" t="str">
        <f ca="1">IFERROR(INDEX($A$3:$H$400,MATCH(ROWS(AJ$3:AJ170),$Q$3:$Q$400,0),8),"")</f>
        <v>ea1</v>
      </c>
      <c r="AK170" s="48">
        <f t="shared" ca="1" si="277"/>
        <v>0</v>
      </c>
      <c r="AL170" s="48">
        <f t="shared" ca="1" si="373"/>
        <v>0</v>
      </c>
      <c r="AM170" s="48">
        <f t="shared" ca="1" si="377"/>
        <v>0</v>
      </c>
      <c r="AN170" s="48">
        <f t="shared" ca="1" si="378"/>
        <v>0</v>
      </c>
      <c r="AO170" s="48">
        <f t="shared" ca="1" si="379"/>
        <v>0</v>
      </c>
      <c r="AP170" s="48">
        <f t="shared" ca="1" si="379"/>
        <v>0</v>
      </c>
      <c r="AQ170" s="48" t="str">
        <f t="shared" ca="1" si="278"/>
        <v/>
      </c>
      <c r="AR170" s="48">
        <f t="shared" ca="1" si="279"/>
        <v>0</v>
      </c>
      <c r="AS170" s="48">
        <f t="shared" ca="1" si="280"/>
        <v>0</v>
      </c>
      <c r="AT170" s="48">
        <f t="shared" ca="1" si="303"/>
        <v>0</v>
      </c>
      <c r="AU170" s="48">
        <f t="shared" ca="1" si="304"/>
        <v>0</v>
      </c>
      <c r="AV170" s="48">
        <f ca="1">IF(OR(AT170&gt;0,AU170&gt;0),MAX($AV$2:AV169)+1,0)</f>
        <v>0</v>
      </c>
      <c r="AZ170" s="241" t="str">
        <f t="shared" si="381"/>
        <v>70 V.I.</v>
      </c>
      <c r="BA170" s="48">
        <f t="shared" ca="1" si="369"/>
        <v>0</v>
      </c>
      <c r="BB170" s="48">
        <f t="shared" ca="1" si="370"/>
        <v>0</v>
      </c>
      <c r="BC170" s="48" t="str">
        <f t="shared" ca="1" si="382"/>
        <v/>
      </c>
      <c r="BD170" s="48">
        <f t="shared" ref="BD170:BD233" ca="1" si="383">IF($BA170=0,0,AO72)</f>
        <v>0</v>
      </c>
      <c r="BE170" s="48">
        <f t="shared" ref="BE170:BE233" ca="1" si="384">IF($BA170=0,0,AP72)</f>
        <v>0</v>
      </c>
      <c r="BG170" s="48">
        <f ca="1">IF(IF(AND(OR(INDEX(PDC,MATCH($AC170,DEN_PDC,0),6)="SP DARE",INDEX(PDC,MATCH($AC170,DEN_PDC,0),6)="SP DARE/AVERE"),SUMIFS(DARE,DEN_G,$AC170)&gt;=SUMIFS(AVERE,DEN_G,$AC170)),SUMIFS(DARE,DEN_G,$AC170)-SUMIFS(AVERE,DEN_G,$AC170),0)&gt;0,MAX($BG$2:BG169)+1,0)</f>
        <v>0</v>
      </c>
      <c r="BH170" s="48">
        <f ca="1">IF(IF(AND(OR(INDEX(PDC,MATCH($AC170,DEN_PDC,0),6)="SP AVERE",INDEX(PDC,MATCH($AC170,DEN_PDC,0),6)="SP DARE/AVERE"),SUMIFS(AVERE,DEN_G,$AC170)&gt;=SUMIFS(DARE,DEN_G,$AC170)),SUMIFS(AVERE,DEN_G,$AC170)-SUMIFS(DARE,DEN_G,$AC170),0)&gt;0,MAX(BH$2:BH169)+1,0)</f>
        <v>0</v>
      </c>
      <c r="BI170" s="48">
        <f ca="1">IF(IF(AND(OR(INDEX(PDC,MATCH($AC170,DEN_PDC,0),6)="SE DARE",INDEX(PDC,MATCH($AC170,DEN_PDC,0),6)="SE DARE/AVERE"),SUMIFS(DARE,DEN_G,$AC170)&gt;=SUMIFS(AVERE,DEN_G,$AC170)),SUMIFS(DARE,DEN_G,$AC170)-SUMIFS(AVERE,DEN_G,$AC170),0)&gt;0,MAX(BI$2:BI169)+1,0)</f>
        <v>0</v>
      </c>
      <c r="BJ170" s="48">
        <f ca="1">IF(IF(AND(OR(INDEX(PDC,MATCH($AC170,DEN_PDC,0),6)="SE AVERE",INDEX(PDC,MATCH($AC170,DEN_PDC,0),6)="SE DARE/AVERE"),SUMIFS(AVERE,DEN_G,$AC170)&gt;=SUMIFS(DARE,DEN_G,$AC170)),SUMIFS(AVERE,DEN_G,$AC170)-SUMIFS(DARE,DEN_G,$AC170),0)&gt;0,MAX(BJ$2:BJ169)+1,0)</f>
        <v>0</v>
      </c>
      <c r="BK170" s="48" t="str">
        <f ca="1">IF(AND(AND($DY$2=0,$DY$1=0),$I$1=2,ROW()&gt;$BG$1+2,ROW()&lt;=$BG$1+4),"………………..",IF(AND(OR($DY$2&gt;0,$DY$1&gt;0),$I$1=2,ROW()&gt;$BG$1+2,ROW()&lt;=$BG$1+4),"………………..",IFERROR(INDEX($AC$3:$AC$398,MATCH(ROWS(BK$3:BK170),BG$3:BG$398,0),1),"")))</f>
        <v/>
      </c>
      <c r="BL170" s="48">
        <f t="shared" ca="1" si="281"/>
        <v>0</v>
      </c>
      <c r="BM170" s="48" t="str">
        <f ca="1">IF(AND(OR($DY$2=0,$DY$1=0),$I$1=2,ROW()&gt;$BH$1+2,ROW()&lt;=$BH$1+4),"………………..",IF(AND(OR($DY$2&gt;0,$DY$1&gt;0),$I$1=2,ROW()&gt;$BH$1+2,ROW()&lt;=$BH$1+4),"………………..",IFERROR(INDEX($AC$3:$AC$400,MATCH(ROWS(BM$3:BM170),BH$3:BH$400,0),1),"")))</f>
        <v/>
      </c>
      <c r="BN170" s="48">
        <f t="shared" ca="1" si="282"/>
        <v>0</v>
      </c>
      <c r="BO170" s="48" t="str">
        <f ca="1">IF(AND(OR($DY$2=0,$DY$1=0),$I$1=2,ROW()&gt;$BI$1+2,ROW()&lt;=$BI$1+4),"………………..",IF(AND(OR($DY$2&gt;0,$DY$1&gt;0),$I$1=2,ROW()&gt;$BI$1+2,ROW()&lt;=$BI$1+4),"………………..",IFERROR(INDEX($AC$3:$AC$400,MATCH(ROWS(BO$3:BO170),BI$3:BI$400,0),1),"")))</f>
        <v/>
      </c>
      <c r="BP170" s="48">
        <f t="shared" ca="1" si="283"/>
        <v>0</v>
      </c>
      <c r="BQ170" s="48" t="str">
        <f ca="1">IF(AND(OR($DY$2=0,$DY$1=0),$I$1=2,ROW()&gt;$BJ$1+2,ROW()&lt;=$BJ$1+4),"………………..",IF(AND(OR($DY$2&gt;0,$DY$1&gt;0),$I$1=2,ROW()&gt;$BJ$1+2,ROW()&lt;=$BJ$1+4),"………………..",IFERROR(INDEX($AC$3:$AC$400,MATCH(ROWS(BQ$3:BQ170),BJ$3:BJ$400,0),1),"")))</f>
        <v/>
      </c>
      <c r="BR170" s="48">
        <f t="shared" ca="1" si="284"/>
        <v>0</v>
      </c>
      <c r="BS170" s="48">
        <f ca="1">IF(IF(AND(OR(INDEX(PDC,MATCH($AC170,DEN_PDC,0),4)="D",INDEX(PDC,MATCH($AC170,DEN_PDC,0),4)="D/A"),SUMIFS(DARE,DEN_G,$AC170)&gt;=SUMIFS(AVERE,DEN_G,$AC170)),SUMIFS(DARE,DEN_G,$AC170),IF(AND(OR(INDEX(PDC,MATCH($AC170,DEN_PDC,0),4)="A",INDEX(PDC,MATCH($AC170,DEN_PDC,0),4)="D/A"),SUMIFS(AVERE,DEN_G,$AC170)&gt;=SUMIFS(DARE,DEN_G,$AC170)),SUMIFS(AVERE,DEN_G,$AC170),))&gt;0,MAX($BS$2:BS169)+1,0)</f>
        <v>0</v>
      </c>
      <c r="BT170" s="48" t="str">
        <f ca="1">IF($CO$1=0,"",IF(AND($I$1=2,ROW()&gt;$BR$1,ROW()&lt;=$BS$1)," …………….",IF(AND($E$1=1,$BX$1=1,$I$1=2,ROW()=$BQ$1),"TOTALI",IFERROR(INDEX(PDC,MATCH(ROWS(BT$3:BT170),BS$3:BS567,0),2),""))))</f>
        <v/>
      </c>
      <c r="BU170" s="48">
        <f t="shared" ca="1" si="285"/>
        <v>0</v>
      </c>
      <c r="BV170" s="48">
        <f t="shared" ca="1" si="286"/>
        <v>0</v>
      </c>
      <c r="BW170" s="48">
        <f t="shared" ca="1" si="287"/>
        <v>0</v>
      </c>
      <c r="BX170" s="48">
        <f t="shared" ca="1" si="288"/>
        <v>0</v>
      </c>
      <c r="BY170" s="48">
        <f ca="1">IF(OR(BW170&gt;0,BX170&gt;0),MAX($BY$2:BY169)+1,0)</f>
        <v>0</v>
      </c>
      <c r="BZ170" s="48" t="str">
        <f ca="1">IFERROR(INDEX($BT$3:$BY$400,MATCH(ROWS(BZ$3:BZ170),$BY$3:$BY$400,0),1),"")</f>
        <v/>
      </c>
      <c r="CA170" s="48" t="str">
        <f ca="1">IFERROR(INDEX($BT$3:$BY$400,MATCH(ROWS(CA$3:CA170),$BY$3:$BY$400,0),4),"")</f>
        <v/>
      </c>
      <c r="CB170" s="48" t="str">
        <f ca="1">IFERROR(INDEX($BT$3:$BY$400,MATCH(ROWS(CB$3:CB170),$BY$3:$BY$400,0),5),"")</f>
        <v/>
      </c>
      <c r="CC170" s="48" t="str">
        <f t="shared" ca="1" si="289"/>
        <v/>
      </c>
      <c r="CD170" s="48">
        <f ca="1">IF(AND($BF$9=2,CE170&lt;&gt;0),MAX($CD$165:CD169)+1,0)</f>
        <v>0</v>
      </c>
      <c r="CE170" s="48">
        <f t="shared" ca="1" si="374"/>
        <v>0</v>
      </c>
      <c r="CF170" s="48" t="str">
        <f t="shared" si="375"/>
        <v>ppa4</v>
      </c>
      <c r="CG170" s="48" t="str">
        <f t="shared" si="376"/>
        <v>IV _- Riserva legale</v>
      </c>
      <c r="CH170" s="48">
        <f t="shared" ca="1" si="259"/>
        <v>0</v>
      </c>
      <c r="CM170" s="242" t="str">
        <f t="shared" ca="1" si="305"/>
        <v/>
      </c>
      <c r="CN170" s="243">
        <f t="shared" ca="1" si="306"/>
        <v>0</v>
      </c>
      <c r="CO170" s="48" t="str">
        <f t="shared" ca="1" si="307"/>
        <v/>
      </c>
      <c r="CQ170" s="242"/>
      <c r="CR170" s="242"/>
      <c r="CU170" s="48">
        <f ca="1">IF(SUMIFS(AVERE,DEN_G,AC170,AVERE,"&gt;"&amp;0)+SUMIFS(DARE,DEN_G,AC170,DARE,"&gt;"&amp;0)&gt;0,MAX($CU$2:CU169)+1,0)</f>
        <v>0</v>
      </c>
      <c r="CV170" s="48" t="str">
        <f ca="1">IF(IFERROR(INDEX(PDC,MATCH(ROWS($CV$3:CV170),$CU$3:$CU$400,0),2),"")="CONTO DI RISULTATO ECONOMICO","",IFERROR(INDEX(PDC,MATCH(ROWS($CV$3:CV170),$CU$3:$CU$400,0),2),""))</f>
        <v/>
      </c>
      <c r="CW170" s="48">
        <f ca="1">IFERROR(IF(CV170&lt;&gt;"",MAX($CW$2:CW169)+1,0),0)</f>
        <v>0</v>
      </c>
      <c r="CX170" s="48">
        <f t="shared" ca="1" si="361"/>
        <v>13</v>
      </c>
      <c r="CY170" s="48" t="str">
        <f t="shared" ca="1" si="359"/>
        <v>MASTRO</v>
      </c>
      <c r="CZ170" s="48" t="e">
        <f t="shared" ca="1" si="364"/>
        <v>#N/A</v>
      </c>
      <c r="DA170" s="48" t="str">
        <f t="shared" ca="1" si="368"/>
        <v/>
      </c>
      <c r="DB170" s="48" t="str">
        <f t="shared" ca="1" si="347"/>
        <v/>
      </c>
      <c r="DC170" s="48" t="str">
        <f t="shared" ca="1" si="365"/>
        <v/>
      </c>
      <c r="DD170" s="48" t="str">
        <f t="shared" ca="1" si="366"/>
        <v/>
      </c>
      <c r="DE170" s="48" t="str">
        <f t="shared" ca="1" si="367"/>
        <v/>
      </c>
      <c r="DF170" s="48">
        <f ca="1">IF(AND(CX170=$DF$1,CX170&lt;&gt;""),0,IF(AND(DB170&lt;&gt;"",OR(DB169&lt;&gt;"",DB171&lt;&gt;"")),MAX($DF$2:DF169)+1,0))</f>
        <v>0</v>
      </c>
      <c r="DH170" s="244" t="s">
        <v>1054</v>
      </c>
      <c r="DI170" s="48" t="s">
        <v>125</v>
      </c>
      <c r="DJ170" s="48" t="s">
        <v>312</v>
      </c>
      <c r="DK170" s="48" t="s">
        <v>298</v>
      </c>
      <c r="DL170" s="48" t="s">
        <v>5</v>
      </c>
      <c r="DM170" s="48" t="s">
        <v>299</v>
      </c>
      <c r="DN170" s="48">
        <f ca="1">IF(DI170&lt;&gt;"",MAX($DN$2:DN169)+1,0)</f>
        <v>141</v>
      </c>
      <c r="DO170" s="48" t="str">
        <f t="shared" ref="DO170:DO171" ca="1" si="385">IF($BF$9=1,"ppd7","ppd")</f>
        <v>ppd</v>
      </c>
      <c r="DQ170" s="227" t="s">
        <v>873</v>
      </c>
      <c r="DR170" s="48" t="s">
        <v>871</v>
      </c>
      <c r="DS170" s="48" t="s">
        <v>312</v>
      </c>
      <c r="DT170" s="48" t="s">
        <v>298</v>
      </c>
      <c r="DU170" s="48" t="s">
        <v>5</v>
      </c>
      <c r="DV170" s="48" t="s">
        <v>299</v>
      </c>
      <c r="DW170" s="48">
        <f ca="1">IF(DR170&lt;&gt;"",MAX($DW$2:DW169)+1,0)</f>
        <v>104</v>
      </c>
      <c r="DX170" s="48" t="str">
        <f ca="1">IF($BF$9=1,"ppd6","ppd")</f>
        <v>ppd</v>
      </c>
      <c r="DY170" s="48" t="str">
        <f t="shared" ca="1" si="291"/>
        <v/>
      </c>
      <c r="DZ170" s="48" t="str">
        <f t="shared" ca="1" si="309"/>
        <v/>
      </c>
      <c r="EA170" s="48" t="str">
        <f t="shared" ca="1" si="310"/>
        <v/>
      </c>
      <c r="EB170" s="48">
        <f t="shared" ca="1" si="311"/>
        <v>0</v>
      </c>
      <c r="EC170" s="48">
        <f t="shared" ca="1" si="312"/>
        <v>0</v>
      </c>
      <c r="ED170" s="48" t="str">
        <f t="shared" ca="1" si="313"/>
        <v/>
      </c>
      <c r="EE170" s="48">
        <f t="shared" ca="1" si="314"/>
        <v>0</v>
      </c>
      <c r="EF170" s="48" t="str">
        <f t="shared" ca="1" si="315"/>
        <v/>
      </c>
      <c r="EG170" s="48">
        <f t="shared" ca="1" si="316"/>
        <v>0</v>
      </c>
      <c r="EH170" s="48" t="str">
        <f t="shared" ca="1" si="317"/>
        <v/>
      </c>
      <c r="EI170" s="48">
        <f t="shared" ca="1" si="318"/>
        <v>0</v>
      </c>
      <c r="EJ170" s="48" t="str">
        <f t="shared" ca="1" si="319"/>
        <v/>
      </c>
      <c r="EK170" s="48">
        <f t="shared" ca="1" si="320"/>
        <v>0</v>
      </c>
      <c r="EL170" s="48">
        <f t="shared" ca="1" si="292"/>
        <v>0</v>
      </c>
      <c r="EM170" s="48">
        <f ca="1">IF(EL170&gt;=0,0,MAX($EM$2:EM169)+1)</f>
        <v>0</v>
      </c>
      <c r="EN170" s="48" t="str">
        <f t="shared" ca="1" si="321"/>
        <v/>
      </c>
      <c r="EO170" s="48" t="str">
        <f ca="1">IFERROR(INDEX($EM$3:$EN$400,MATCH(ROWS($EO$3:EO170),$EM$3:$EM$400,0),2),"")</f>
        <v/>
      </c>
      <c r="EP170" s="48">
        <f>ROW()</f>
        <v>170</v>
      </c>
      <c r="EQ170" s="48">
        <f t="shared" ca="1" si="293"/>
        <v>0</v>
      </c>
      <c r="ER170" s="48">
        <f ca="1">IF(ISNA(EQ170)=TRUE,MAX($ER$2:ER169)+1,0)</f>
        <v>0</v>
      </c>
      <c r="ES170" s="48" t="str">
        <f t="shared" ca="1" si="322"/>
        <v/>
      </c>
      <c r="ET170" s="48" t="str">
        <f ca="1">IFERROR(INDEX($ER$3:$ES$400,MATCH(ROWS($ET$3:ET170),$ER$3:$ER$400,0),2),"")</f>
        <v/>
      </c>
      <c r="EV170" s="48">
        <f ca="1">IFERROR(INDEX(LIBRO_GIORNALE!$O$11:$P$408,MATCH(ROWS($EV$2:EV169),LIBRO_GIORNALE!$P$11:$P$408,0),1),0)</f>
        <v>0</v>
      </c>
      <c r="EW170" s="48" t="str">
        <f t="shared" ca="1" si="323"/>
        <v>0</v>
      </c>
      <c r="EX170" s="48">
        <f t="shared" ca="1" si="324"/>
        <v>0</v>
      </c>
      <c r="EY170" s="48">
        <f ca="1">IF(EX170&gt;0,MAX($EY$2:EY169)+1,0)</f>
        <v>0</v>
      </c>
      <c r="EZ170" s="48">
        <f ca="1">IFERROR(INDEX($EX$3:$EX$400,MATCH(ROWS($EZ$3:EZ170),$EY$3:$EY$400,0),1),0)</f>
        <v>0</v>
      </c>
      <c r="FA170" s="48">
        <f ca="1">IF(EZ170&gt;0,0,MAX($FA$2:FA169)+1)</f>
        <v>168</v>
      </c>
      <c r="FB170" s="48">
        <f t="shared" ca="1" si="325"/>
        <v>0</v>
      </c>
      <c r="FC170" s="48">
        <f t="shared" ca="1" si="326"/>
        <v>168</v>
      </c>
      <c r="FD170" s="48">
        <f t="shared" ca="1" si="327"/>
        <v>168</v>
      </c>
      <c r="FE170" s="48">
        <f ca="1">IF(FD170=0,0,MAX($FE$2:FE169)+1)</f>
        <v>168</v>
      </c>
      <c r="FF170" s="48">
        <f ca="1">IFERROR(INDEX($FD$3:$FE$400,MATCH(ROWS($FF$3:FF170),$FE$3:$FE$400,0),1),"")</f>
        <v>168</v>
      </c>
      <c r="FG170" s="48">
        <f t="shared" ca="1" si="380"/>
        <v>0</v>
      </c>
      <c r="FH170" s="48">
        <f t="shared" ca="1" si="328"/>
        <v>0</v>
      </c>
      <c r="FI170" s="48">
        <f ca="1">IF(FH170&lt;&gt;0,MAX($FI$2:FI169)+1,0)</f>
        <v>0</v>
      </c>
      <c r="FJ170" s="48" t="str">
        <f ca="1">IFERROR(INDEX($FH$3:$FI$400,MATCH(ROWS($FJ$3:FJ170),$FI$3:$FI$400,0),1),"")</f>
        <v/>
      </c>
      <c r="FK170" s="48">
        <f ca="1">IF(ABS(SUMIFS(DARE,DEN_G,"="&amp;FJ170,DATA,"&lt;="&amp;FINE_AC,DATA,"&gt;="&amp;INIZIO_A_PC)-SUMIFS(AVERE,DEN_G,"="&amp;FJ170,DATA,"&lt;="&amp;FINE_AC,DATA,"&gt;="&amp;INIZIO_A_PC))&gt;0,MAX($FK$2:FK169)+1,0)</f>
        <v>0</v>
      </c>
      <c r="FL170" s="48" t="str">
        <f ca="1">IF(AND(ROW()-2&lt;&gt;1,ROW()-2&lt;=$FK$1),CONCATENATE(" - ",IFERROR(INDEX($FJ$3:$FK$400,MATCH(ROWS($FL$3:FL170),$FK$3:$FK$400,0),1),"")),IFERROR(INDEX($FJ$3:$FK$400,MATCH(ROWS($FL$3:FL170),$FK$3:$FK$400,0),1),""))</f>
        <v/>
      </c>
      <c r="FM170" s="48">
        <f ca="1">IF(OR(B170="IVA ns/credito",B170="IVA NS/DEBITO",B170="IVA C/ACCONTO",B170="IMPOSTE C/ACCONTO",B170="CREDITI PER RITENUTE SUBITE",B170="CREDITI D'IMPOSTA"),MAX($FM$2:FM169)+1,0)</f>
        <v>0</v>
      </c>
      <c r="FN170" s="48" t="str">
        <f t="shared" ca="1" si="329"/>
        <v/>
      </c>
      <c r="FO170" s="48" t="str">
        <f ca="1">IFERROR(INDEX($FM$3:$FN$400,MATCH(ROWS($FO$3:FO170),$FM$3:$FM$400,0),2),"")</f>
        <v/>
      </c>
      <c r="FP170" s="48">
        <f ca="1">IF(ABS(SUMIFS(DARE,DEN_G,"="&amp;FO170,DATA,"&lt;="&amp;FINE_AC,DATA,"&gt;="&amp;INIZIO_A_PC)-SUMIFS(AVERE,DEN_G,"="&amp;FO170,DATA,"&lt;="&amp;FINE_AC,DATA,"&gt;="&amp;INIZIO_A_PC))&gt;0,MAX($FP$2:FP169)+1,0)</f>
        <v>0</v>
      </c>
      <c r="FQ170" s="48" t="str">
        <f ca="1">IF(AND(ROW()-2&lt;&gt;1,ROW()-2&lt;=$FP$1),CONCATENATE(" - ",IFERROR(INDEX($FO$3:$FP$400,MATCH(ROWS($FQ$3:FQ170),$FP$3:$FP$400,0),1),"")),IFERROR(INDEX($FO$3:$FP$400,MATCH(ROWS($FQ$3:FQ170),$FP$3:$FP$400,0),1),""))</f>
        <v/>
      </c>
    </row>
    <row r="171" spans="1:173" x14ac:dyDescent="0.3">
      <c r="A171" s="48" t="str">
        <f ca="1">IFERROR(IF($A$1=2,INDEX($DH$3:$DN$401,MATCH(ROWS(A$3:A171),$DN$3:$DN$401,0),COLUMN()),IF($A$1=1,INDEX($DQ$3:$DW$401,MATCH(ROWS(A$3:A171),$DW$3:$DW$401,0),COLUMN()),"")),"")</f>
        <v>18.00</v>
      </c>
      <c r="B171" s="48" t="str">
        <f ca="1">IFERROR(IF($A$1=2,INDEX($DH$3:$DN$401,MATCH(ROWS(B$3:B171),$DN$3:$DN$401,0),COLUMN()),IF($A$1=1,INDEX($DQ$3:$DW$400,MATCH(ROWS(B$3:B171),$DW$3:$DW$401,0),COLUMN()),"")),"")</f>
        <v>CONTI TRANSITORI E DIVERSI</v>
      </c>
      <c r="C171" s="48">
        <f ca="1">IFERROR(IF($A$1=2,INDEX($DH$3:$DN$401,MATCH(ROWS(C$3:C171),$DN$3:$DN$401,0),COLUMN()),IF($A$1=1,INDEX($DQ$3:$DW$401,MATCH(ROWS(C$3:C171),$DW$3:$DW$401,0),COLUMN()),"")),"")</f>
        <v>0</v>
      </c>
      <c r="D171" s="48">
        <f ca="1">IFERROR(IF($A$1=2,INDEX($DH$3:$DN$401,MATCH(ROWS(D$3:D171),$DN$3:$DN$401,0),COLUMN()),IF($A$1=1,INDEX($DQ$3:$DW$401,MATCH(ROWS(D$3:D171),$DW$3:$DW$401,0),COLUMN()),"")),"")</f>
        <v>0</v>
      </c>
      <c r="E171" s="48">
        <f ca="1">IFERROR(IF($A$1=2,INDEX($DH$3:$DN$401,MATCH(ROWS(E$3:E171),$DN$3:$DN$401,0),COLUMN()),IF($A$1=1,INDEX($DQ$3:$DW$401,MATCH(ROWS(E$3:E171),$DW$3:$DW$401,0),COLUMN()),"")),"")</f>
        <v>0</v>
      </c>
      <c r="F171" s="48">
        <f ca="1">IFERROR(IF($A$1=2,INDEX($DH$3:$DN$401,MATCH(ROWS(F$3:F171),$DN$3:$DN$401,0),COLUMN()),IF($A$1=1,INDEX($DQ$3:$DX$401,MATCH(ROWS(F$3:F171),$DW$3:$DW$401,0),COLUMN()),"")),"")</f>
        <v>0</v>
      </c>
      <c r="G171" s="48" t="str">
        <f t="shared" ca="1" si="294"/>
        <v>0</v>
      </c>
      <c r="H171" s="48">
        <f ca="1">IFERROR(IF($A$1=2,INDEX($DH$3:$DO$400,MATCH(ROWS(H$3:H171),$DN$3:$DN$400,0),COLUMN()),IF($A$1=1,INDEX($DQ$3:$DX$400,MATCH(ROWS(H$3:H171),$DW$3:$DW$400,0),COLUMN()),"")),"")</f>
        <v>0</v>
      </c>
      <c r="I171" s="48" t="str">
        <f t="shared" ca="1" si="295"/>
        <v/>
      </c>
      <c r="J171" s="48" t="str">
        <f t="shared" ca="1" si="296"/>
        <v/>
      </c>
      <c r="K171" s="48">
        <f t="shared" ca="1" si="297"/>
        <v>0</v>
      </c>
      <c r="L171" s="48">
        <f t="shared" ca="1" si="298"/>
        <v>0</v>
      </c>
      <c r="M171" s="48">
        <f ca="1">IFERROR(IF(IF(MID($A171,3,3)=".00",MID(A171,1,2),"")&lt;&gt;"",MAX($M$2:M170)+1,0),"")</f>
        <v>18</v>
      </c>
      <c r="N171" s="48" t="str">
        <f t="shared" ca="1" si="299"/>
        <v>18</v>
      </c>
      <c r="O171" s="48" t="str">
        <f ca="1">IF(IFERROR(INDEX($N$3:$O$300,MATCH(ROWS($O$3:O171),$M$3:$M$300,0),1),"")&lt;&gt;"",CONCATENATE(INDEX($N$3:$O$300,MATCH(ROWS($O$3:O171),$M$3:$M$300,0),1),".00"),"")</f>
        <v/>
      </c>
      <c r="P171" s="48" t="str">
        <f t="shared" ca="1" si="300"/>
        <v/>
      </c>
      <c r="Q171" s="48">
        <f ca="1">IF(M171&gt;=1,0,MAX($Q$2:Q170)+1)</f>
        <v>0</v>
      </c>
      <c r="U171" s="48" t="str">
        <f ca="1">IFERROR(INDEX(PDC,MATCH(ROWS(U$3:U171),$V$3:$V$400,0),2),"")</f>
        <v>LAVORAZIONI C/TERZI</v>
      </c>
      <c r="V171" s="48">
        <f ca="1">IF(AND($T$1="VISUALIZZA TUTTI I CONTI",AA171&lt;&gt;""),MAX($V$2:V170)+1,IF(AND($U$2=2,AI171=$T$1),MAX($V$2:V170)+1,IF(AND($U$2=1,$T$1=AF171),MAX($V$2:V170)+1,0)))</f>
        <v>169</v>
      </c>
      <c r="AA171" s="48" t="str">
        <f t="shared" ca="1" si="301"/>
        <v>20.00</v>
      </c>
      <c r="AB171" s="48" t="str">
        <f ca="1">IFERROR(INDEX($A$3:$G$400,MATCH(ROWS(AB$3:AB171),$Q$3:$Q$400,0),1),"")</f>
        <v>20.05</v>
      </c>
      <c r="AC171" s="48" t="str">
        <f ca="1">IFERROR(INDEX($A$3:$G$400,MATCH(ROWS($AC$3:AC171),$Q$3:$Q$400,0),2),"")</f>
        <v>LAVORAZIONI C/TERZI</v>
      </c>
      <c r="AD171" s="48" t="str">
        <f ca="1">IFERROR(INDEX($A$3:$G$400,MATCH(ROWS(AD$3:AD171),$Q$3:$Q$400,0),3),"")</f>
        <v>E</v>
      </c>
      <c r="AE171" s="48" t="str">
        <f ca="1">IFERROR(INDEX($A$3:$G$400,MATCH(ROWS(AE$3:AE171),$Q$3:$Q$400,0),4),"")</f>
        <v>A</v>
      </c>
      <c r="AF171" s="48" t="str">
        <f ca="1">IFERROR(INDEX($A$3:$G$400,MATCH(ROWS(AF$3:AF171),$Q$3:$Q$400,0),5),"")</f>
        <v>RICAVI D'ESERCIZIO</v>
      </c>
      <c r="AG171" s="48" t="str">
        <f ca="1">IFERROR(INDEX($A$3:$G$400,MATCH(ROWS(AG$3:AG171),$Q$3:$Q$400,0),6),"")</f>
        <v>SE AVERE</v>
      </c>
      <c r="AH171" s="48" t="str">
        <f ca="1">IFERROR(INDEX($A$3:$G$400,MATCH(ROWS(AH$3:AH171),$Q$3:$Q$400,0),7),"")</f>
        <v>SE</v>
      </c>
      <c r="AI171" s="48" t="str">
        <f t="shared" ca="1" si="302"/>
        <v>VALORE DELLA PRODUZIONE</v>
      </c>
      <c r="AJ171" s="48" t="str">
        <f ca="1">IFERROR(INDEX($A$3:$H$400,MATCH(ROWS(AJ$3:AJ171),$Q$3:$Q$400,0),8),"")</f>
        <v>ea1</v>
      </c>
      <c r="AK171" s="48">
        <f t="shared" ca="1" si="277"/>
        <v>0</v>
      </c>
      <c r="AL171" s="48">
        <f t="shared" ca="1" si="373"/>
        <v>0</v>
      </c>
      <c r="AM171" s="48">
        <f t="shared" ca="1" si="377"/>
        <v>0</v>
      </c>
      <c r="AN171" s="48">
        <f t="shared" ca="1" si="378"/>
        <v>0</v>
      </c>
      <c r="AO171" s="48">
        <f t="shared" ca="1" si="379"/>
        <v>0</v>
      </c>
      <c r="AP171" s="48">
        <f t="shared" ca="1" si="379"/>
        <v>0</v>
      </c>
      <c r="AQ171" s="48" t="str">
        <f t="shared" ca="1" si="278"/>
        <v/>
      </c>
      <c r="AR171" s="48">
        <f t="shared" ca="1" si="279"/>
        <v>0</v>
      </c>
      <c r="AS171" s="48">
        <f t="shared" ca="1" si="280"/>
        <v>0</v>
      </c>
      <c r="AT171" s="48">
        <f t="shared" ca="1" si="303"/>
        <v>0</v>
      </c>
      <c r="AU171" s="48">
        <f t="shared" ca="1" si="304"/>
        <v>0</v>
      </c>
      <c r="AV171" s="48">
        <f ca="1">IF(OR(AT171&gt;0,AU171&gt;0),MAX($AV$2:AV170)+1,0)</f>
        <v>0</v>
      </c>
      <c r="AZ171" s="241" t="str">
        <f t="shared" si="381"/>
        <v>71 V.I.</v>
      </c>
      <c r="BA171" s="48">
        <f t="shared" ca="1" si="369"/>
        <v>0</v>
      </c>
      <c r="BB171" s="48">
        <f t="shared" ca="1" si="370"/>
        <v>0</v>
      </c>
      <c r="BC171" s="48" t="str">
        <f t="shared" ca="1" si="382"/>
        <v/>
      </c>
      <c r="BD171" s="48">
        <f t="shared" ca="1" si="383"/>
        <v>0</v>
      </c>
      <c r="BE171" s="48">
        <f t="shared" ca="1" si="384"/>
        <v>0</v>
      </c>
      <c r="BG171" s="48">
        <f ca="1">IF(IF(AND(OR(INDEX(PDC,MATCH($AC171,DEN_PDC,0),6)="SP DARE",INDEX(PDC,MATCH($AC171,DEN_PDC,0),6)="SP DARE/AVERE"),SUMIFS(DARE,DEN_G,$AC171)&gt;=SUMIFS(AVERE,DEN_G,$AC171)),SUMIFS(DARE,DEN_G,$AC171)-SUMIFS(AVERE,DEN_G,$AC171),0)&gt;0,MAX($BG$2:BG170)+1,0)</f>
        <v>0</v>
      </c>
      <c r="BH171" s="48">
        <f ca="1">IF(IF(AND(OR(INDEX(PDC,MATCH($AC171,DEN_PDC,0),6)="SP AVERE",INDEX(PDC,MATCH($AC171,DEN_PDC,0),6)="SP DARE/AVERE"),SUMIFS(AVERE,DEN_G,$AC171)&gt;=SUMIFS(DARE,DEN_G,$AC171)),SUMIFS(AVERE,DEN_G,$AC171)-SUMIFS(DARE,DEN_G,$AC171),0)&gt;0,MAX(BH$2:BH170)+1,0)</f>
        <v>0</v>
      </c>
      <c r="BI171" s="48">
        <f ca="1">IF(IF(AND(OR(INDEX(PDC,MATCH($AC171,DEN_PDC,0),6)="SE DARE",INDEX(PDC,MATCH($AC171,DEN_PDC,0),6)="SE DARE/AVERE"),SUMIFS(DARE,DEN_G,$AC171)&gt;=SUMIFS(AVERE,DEN_G,$AC171)),SUMIFS(DARE,DEN_G,$AC171)-SUMIFS(AVERE,DEN_G,$AC171),0)&gt;0,MAX(BI$2:BI170)+1,0)</f>
        <v>0</v>
      </c>
      <c r="BJ171" s="48">
        <f ca="1">IF(IF(AND(OR(INDEX(PDC,MATCH($AC171,DEN_PDC,0),6)="SE AVERE",INDEX(PDC,MATCH($AC171,DEN_PDC,0),6)="SE DARE/AVERE"),SUMIFS(AVERE,DEN_G,$AC171)&gt;=SUMIFS(DARE,DEN_G,$AC171)),SUMIFS(AVERE,DEN_G,$AC171)-SUMIFS(DARE,DEN_G,$AC171),0)&gt;0,MAX(BJ$2:BJ170)+1,0)</f>
        <v>0</v>
      </c>
      <c r="BK171" s="48" t="str">
        <f ca="1">IF(AND(AND($DY$2=0,$DY$1=0),$I$1=2,ROW()&gt;$BG$1+2,ROW()&lt;=$BG$1+4),"………………..",IF(AND(OR($DY$2&gt;0,$DY$1&gt;0),$I$1=2,ROW()&gt;$BG$1+2,ROW()&lt;=$BG$1+4),"………………..",IFERROR(INDEX($AC$3:$AC$398,MATCH(ROWS(BK$3:BK171),BG$3:BG$398,0),1),"")))</f>
        <v/>
      </c>
      <c r="BL171" s="48">
        <f t="shared" ca="1" si="281"/>
        <v>0</v>
      </c>
      <c r="BM171" s="48" t="str">
        <f ca="1">IF(AND(OR($DY$2=0,$DY$1=0),$I$1=2,ROW()&gt;$BH$1+2,ROW()&lt;=$BH$1+4),"………………..",IF(AND(OR($DY$2&gt;0,$DY$1&gt;0),$I$1=2,ROW()&gt;$BH$1+2,ROW()&lt;=$BH$1+4),"………………..",IFERROR(INDEX($AC$3:$AC$400,MATCH(ROWS(BM$3:BM171),BH$3:BH$400,0),1),"")))</f>
        <v/>
      </c>
      <c r="BN171" s="48">
        <f t="shared" ca="1" si="282"/>
        <v>0</v>
      </c>
      <c r="BO171" s="48" t="str">
        <f ca="1">IF(AND(OR($DY$2=0,$DY$1=0),$I$1=2,ROW()&gt;$BI$1+2,ROW()&lt;=$BI$1+4),"………………..",IF(AND(OR($DY$2&gt;0,$DY$1&gt;0),$I$1=2,ROW()&gt;$BI$1+2,ROW()&lt;=$BI$1+4),"………………..",IFERROR(INDEX($AC$3:$AC$400,MATCH(ROWS(BO$3:BO171),BI$3:BI$400,0),1),"")))</f>
        <v/>
      </c>
      <c r="BP171" s="48">
        <f t="shared" ca="1" si="283"/>
        <v>0</v>
      </c>
      <c r="BQ171" s="48" t="str">
        <f ca="1">IF(AND(OR($DY$2=0,$DY$1=0),$I$1=2,ROW()&gt;$BJ$1+2,ROW()&lt;=$BJ$1+4),"………………..",IF(AND(OR($DY$2&gt;0,$DY$1&gt;0),$I$1=2,ROW()&gt;$BJ$1+2,ROW()&lt;=$BJ$1+4),"………………..",IFERROR(INDEX($AC$3:$AC$400,MATCH(ROWS(BQ$3:BQ171),BJ$3:BJ$400,0),1),"")))</f>
        <v/>
      </c>
      <c r="BR171" s="48">
        <f t="shared" ca="1" si="284"/>
        <v>0</v>
      </c>
      <c r="BS171" s="48">
        <f ca="1">IF(IF(AND(OR(INDEX(PDC,MATCH($AC171,DEN_PDC,0),4)="D",INDEX(PDC,MATCH($AC171,DEN_PDC,0),4)="D/A"),SUMIFS(DARE,DEN_G,$AC171)&gt;=SUMIFS(AVERE,DEN_G,$AC171)),SUMIFS(DARE,DEN_G,$AC171),IF(AND(OR(INDEX(PDC,MATCH($AC171,DEN_PDC,0),4)="A",INDEX(PDC,MATCH($AC171,DEN_PDC,0),4)="D/A"),SUMIFS(AVERE,DEN_G,$AC171)&gt;=SUMIFS(DARE,DEN_G,$AC171)),SUMIFS(AVERE,DEN_G,$AC171),))&gt;0,MAX($BS$2:BS170)+1,0)</f>
        <v>0</v>
      </c>
      <c r="BT171" s="48" t="str">
        <f ca="1">IF($CO$1=0,"",IF(AND($I$1=2,ROW()&gt;$BR$1,ROW()&lt;=$BS$1)," …………….",IF(AND($E$1=1,$BX$1=1,$I$1=2,ROW()=$BQ$1),"TOTALI",IFERROR(INDEX(PDC,MATCH(ROWS(BT$3:BT171),BS$3:BS568,0),2),""))))</f>
        <v/>
      </c>
      <c r="BU171" s="48">
        <f t="shared" ca="1" si="285"/>
        <v>0</v>
      </c>
      <c r="BV171" s="48">
        <f t="shared" ca="1" si="286"/>
        <v>0</v>
      </c>
      <c r="BW171" s="48">
        <f t="shared" ca="1" si="287"/>
        <v>0</v>
      </c>
      <c r="BX171" s="48">
        <f t="shared" ca="1" si="288"/>
        <v>0</v>
      </c>
      <c r="BY171" s="48">
        <f ca="1">IF(OR(BW171&gt;0,BX171&gt;0),MAX($BY$2:BY170)+1,0)</f>
        <v>0</v>
      </c>
      <c r="BZ171" s="48" t="str">
        <f ca="1">IFERROR(INDEX($BT$3:$BY$400,MATCH(ROWS(BZ$3:BZ171),$BY$3:$BY$400,0),1),"")</f>
        <v/>
      </c>
      <c r="CA171" s="48" t="str">
        <f ca="1">IFERROR(INDEX($BT$3:$BY$400,MATCH(ROWS(CA$3:CA171),$BY$3:$BY$400,0),4),"")</f>
        <v/>
      </c>
      <c r="CB171" s="48" t="str">
        <f ca="1">IFERROR(INDEX($BT$3:$BY$400,MATCH(ROWS(CB$3:CB171),$BY$3:$BY$400,0),5),"")</f>
        <v/>
      </c>
      <c r="CC171" s="48" t="str">
        <f t="shared" ca="1" si="289"/>
        <v/>
      </c>
      <c r="CD171" s="48">
        <f ca="1">IF(AND($BF$9=2,CE171&lt;&gt;0),MAX($CD$165:CD170)+1,0)</f>
        <v>0</v>
      </c>
      <c r="CE171" s="48">
        <f t="shared" ca="1" si="374"/>
        <v>0</v>
      </c>
      <c r="CF171" s="48" t="str">
        <f t="shared" si="375"/>
        <v>ppa5</v>
      </c>
      <c r="CG171" s="48" t="str">
        <f t="shared" si="376"/>
        <v>V__- Riserve statutarie</v>
      </c>
      <c r="CH171" s="48">
        <f t="shared" ca="1" si="259"/>
        <v>0</v>
      </c>
      <c r="CM171" s="242" t="str">
        <f t="shared" ca="1" si="305"/>
        <v/>
      </c>
      <c r="CN171" s="243">
        <f t="shared" ca="1" si="306"/>
        <v>0</v>
      </c>
      <c r="CO171" s="48" t="str">
        <f t="shared" ca="1" si="307"/>
        <v/>
      </c>
      <c r="CQ171" s="242"/>
      <c r="CR171" s="242"/>
      <c r="CU171" s="48">
        <f ca="1">IF(SUMIFS(AVERE,DEN_G,AC171,AVERE,"&gt;"&amp;0)+SUMIFS(DARE,DEN_G,AC171,DARE,"&gt;"&amp;0)&gt;0,MAX($CU$2:CU170)+1,0)</f>
        <v>0</v>
      </c>
      <c r="CV171" s="48" t="str">
        <f ca="1">IF(IFERROR(INDEX(PDC,MATCH(ROWS($CV$3:CV171),$CU$3:$CU$400,0),2),"")="CONTO DI RISULTATO ECONOMICO","",IFERROR(INDEX(PDC,MATCH(ROWS($CV$3:CV171),$CU$3:$CU$400,0),2),""))</f>
        <v/>
      </c>
      <c r="CW171" s="48">
        <f ca="1">IFERROR(IF(CV171&lt;&gt;"",MAX($CW$2:CW170)+1,0),0)</f>
        <v>0</v>
      </c>
      <c r="CY171" s="48" t="s">
        <v>500</v>
      </c>
      <c r="DB171" s="48" t="str">
        <f t="shared" ref="DB171" ca="1" si="386">IF(CX170=$DF$1,"","MASTRO")</f>
        <v>MASTRO</v>
      </c>
      <c r="DF171" s="48">
        <f ca="1">IF(AND(CX171=$DF$1,CX171&lt;&gt;""),0,IF(AND(DB171&lt;&gt;"",OR(DB170&lt;&gt;"",DB172&lt;&gt;"")),MAX($DF$2:DF170)+1,0))</f>
        <v>0</v>
      </c>
      <c r="DH171" s="244" t="s">
        <v>129</v>
      </c>
      <c r="DI171" s="48" t="s">
        <v>1055</v>
      </c>
      <c r="DJ171" s="48" t="s">
        <v>312</v>
      </c>
      <c r="DK171" s="48" t="s">
        <v>298</v>
      </c>
      <c r="DL171" s="48" t="s">
        <v>5</v>
      </c>
      <c r="DM171" s="48" t="s">
        <v>299</v>
      </c>
      <c r="DN171" s="48">
        <f ca="1">IF(DI171&lt;&gt;"",MAX($DN$2:DN170)+1,0)</f>
        <v>142</v>
      </c>
      <c r="DO171" s="48" t="str">
        <f t="shared" ca="1" si="385"/>
        <v>ppd</v>
      </c>
      <c r="DW171" s="48">
        <f>IF(DR171&lt;&gt;"",MAX($DW$2:DW170)+1,0)</f>
        <v>0</v>
      </c>
      <c r="DY171" s="48" t="str">
        <f t="shared" ca="1" si="291"/>
        <v/>
      </c>
      <c r="DZ171" s="48" t="str">
        <f t="shared" ca="1" si="309"/>
        <v/>
      </c>
      <c r="EA171" s="48" t="str">
        <f t="shared" ca="1" si="310"/>
        <v/>
      </c>
      <c r="EB171" s="48">
        <f t="shared" ca="1" si="311"/>
        <v>0</v>
      </c>
      <c r="EC171" s="48">
        <f t="shared" ca="1" si="312"/>
        <v>0</v>
      </c>
      <c r="ED171" s="48" t="str">
        <f t="shared" ca="1" si="313"/>
        <v/>
      </c>
      <c r="EE171" s="48">
        <f t="shared" ca="1" si="314"/>
        <v>0</v>
      </c>
      <c r="EF171" s="48" t="str">
        <f t="shared" ca="1" si="315"/>
        <v/>
      </c>
      <c r="EG171" s="48">
        <f t="shared" ca="1" si="316"/>
        <v>0</v>
      </c>
      <c r="EH171" s="48" t="str">
        <f t="shared" ca="1" si="317"/>
        <v/>
      </c>
      <c r="EI171" s="48">
        <f t="shared" ca="1" si="318"/>
        <v>0</v>
      </c>
      <c r="EJ171" s="48" t="str">
        <f t="shared" ca="1" si="319"/>
        <v/>
      </c>
      <c r="EK171" s="48">
        <f t="shared" ca="1" si="320"/>
        <v>0</v>
      </c>
      <c r="EL171" s="48">
        <f t="shared" ca="1" si="292"/>
        <v>0</v>
      </c>
      <c r="EM171" s="48">
        <f ca="1">IF(EL171&gt;=0,0,MAX($EM$2:EM170)+1)</f>
        <v>0</v>
      </c>
      <c r="EN171" s="48" t="str">
        <f t="shared" ca="1" si="321"/>
        <v/>
      </c>
      <c r="EO171" s="48" t="str">
        <f ca="1">IFERROR(INDEX($EM$3:$EN$400,MATCH(ROWS($EO$3:EO171),$EM$3:$EM$400,0),2),"")</f>
        <v/>
      </c>
      <c r="EP171" s="48">
        <f>ROW()</f>
        <v>171</v>
      </c>
      <c r="EQ171" s="48">
        <f t="shared" ca="1" si="293"/>
        <v>0</v>
      </c>
      <c r="ER171" s="48">
        <f ca="1">IF(ISNA(EQ171)=TRUE,MAX($ER$2:ER170)+1,0)</f>
        <v>0</v>
      </c>
      <c r="ES171" s="48" t="str">
        <f t="shared" ca="1" si="322"/>
        <v/>
      </c>
      <c r="ET171" s="48" t="str">
        <f ca="1">IFERROR(INDEX($ER$3:$ES$400,MATCH(ROWS($ET$3:ET171),$ER$3:$ER$400,0),2),"")</f>
        <v/>
      </c>
      <c r="EV171" s="48">
        <f ca="1">IFERROR(INDEX(LIBRO_GIORNALE!$O$11:$P$408,MATCH(ROWS($EV$2:EV170),LIBRO_GIORNALE!$P$11:$P$408,0),1),0)</f>
        <v>0</v>
      </c>
      <c r="EW171" s="48" t="str">
        <f t="shared" ca="1" si="323"/>
        <v>0</v>
      </c>
      <c r="EX171" s="48">
        <f t="shared" ca="1" si="324"/>
        <v>0</v>
      </c>
      <c r="EY171" s="48">
        <f ca="1">IF(EX171&gt;0,MAX($EY$2:EY170)+1,0)</f>
        <v>0</v>
      </c>
      <c r="EZ171" s="48">
        <f ca="1">IFERROR(INDEX($EX$3:$EX$400,MATCH(ROWS($EZ$3:EZ171),$EY$3:$EY$400,0),1),0)</f>
        <v>0</v>
      </c>
      <c r="FA171" s="48">
        <f ca="1">IF(EZ171&gt;0,0,MAX($FA$2:FA170)+1)</f>
        <v>169</v>
      </c>
      <c r="FB171" s="48">
        <f t="shared" ca="1" si="325"/>
        <v>0</v>
      </c>
      <c r="FC171" s="48">
        <f t="shared" ca="1" si="326"/>
        <v>169</v>
      </c>
      <c r="FD171" s="48">
        <f t="shared" ca="1" si="327"/>
        <v>169</v>
      </c>
      <c r="FE171" s="48">
        <f ca="1">IF(FD171=0,0,MAX($FE$2:FE170)+1)</f>
        <v>169</v>
      </c>
      <c r="FF171" s="48">
        <f ca="1">IFERROR(INDEX($FD$3:$FE$400,MATCH(ROWS($FF$3:FF171),$FE$3:$FE$400,0),1),"")</f>
        <v>169</v>
      </c>
      <c r="FG171" s="48">
        <f t="shared" ca="1" si="380"/>
        <v>0</v>
      </c>
      <c r="FH171" s="48">
        <f t="shared" ca="1" si="328"/>
        <v>0</v>
      </c>
      <c r="FI171" s="48">
        <f ca="1">IF(FH171&lt;&gt;0,MAX($FI$2:FI170)+1,0)</f>
        <v>0</v>
      </c>
      <c r="FJ171" s="48" t="str">
        <f ca="1">IFERROR(INDEX($FH$3:$FI$400,MATCH(ROWS($FJ$3:FJ171),$FI$3:$FI$400,0),1),"")</f>
        <v/>
      </c>
      <c r="FK171" s="48">
        <f ca="1">IF(ABS(SUMIFS(DARE,DEN_G,"="&amp;FJ171,DATA,"&lt;="&amp;FINE_AC,DATA,"&gt;="&amp;INIZIO_A_PC)-SUMIFS(AVERE,DEN_G,"="&amp;FJ171,DATA,"&lt;="&amp;FINE_AC,DATA,"&gt;="&amp;INIZIO_A_PC))&gt;0,MAX($FK$2:FK170)+1,0)</f>
        <v>0</v>
      </c>
      <c r="FL171" s="48" t="str">
        <f ca="1">IF(AND(ROW()-2&lt;&gt;1,ROW()-2&lt;=$FK$1),CONCATENATE(" - ",IFERROR(INDEX($FJ$3:$FK$400,MATCH(ROWS($FL$3:FL171),$FK$3:$FK$400,0),1),"")),IFERROR(INDEX($FJ$3:$FK$400,MATCH(ROWS($FL$3:FL171),$FK$3:$FK$400,0),1),""))</f>
        <v/>
      </c>
      <c r="FM171" s="48">
        <f ca="1">IF(OR(B171="IVA ns/credito",B171="IVA NS/DEBITO",B171="IVA C/ACCONTO",B171="IMPOSTE C/ACCONTO",B171="CREDITI PER RITENUTE SUBITE",B171="CREDITI D'IMPOSTA"),MAX($FM$2:FM170)+1,0)</f>
        <v>0</v>
      </c>
      <c r="FN171" s="48" t="str">
        <f t="shared" ca="1" si="329"/>
        <v/>
      </c>
      <c r="FO171" s="48" t="str">
        <f ca="1">IFERROR(INDEX($FM$3:$FN$400,MATCH(ROWS($FO$3:FO171),$FM$3:$FM$400,0),2),"")</f>
        <v/>
      </c>
      <c r="FP171" s="48">
        <f ca="1">IF(ABS(SUMIFS(DARE,DEN_G,"="&amp;FO171,DATA,"&lt;="&amp;FINE_AC,DATA,"&gt;="&amp;INIZIO_A_PC)-SUMIFS(AVERE,DEN_G,"="&amp;FO171,DATA,"&lt;="&amp;FINE_AC,DATA,"&gt;="&amp;INIZIO_A_PC))&gt;0,MAX($FP$2:FP170)+1,0)</f>
        <v>0</v>
      </c>
      <c r="FQ171" s="48" t="str">
        <f ca="1">IF(AND(ROW()-2&lt;&gt;1,ROW()-2&lt;=$FP$1),CONCATENATE(" - ",IFERROR(INDEX($FO$3:$FP$400,MATCH(ROWS($FQ$3:FQ171),$FP$3:$FP$400,0),1),"")),IFERROR(INDEX($FO$3:$FP$400,MATCH(ROWS($FQ$3:FQ171),$FP$3:$FP$400,0),1),""))</f>
        <v/>
      </c>
    </row>
    <row r="172" spans="1:173" x14ac:dyDescent="0.3">
      <c r="A172" s="48" t="str">
        <f ca="1">IFERROR(IF($A$1=2,INDEX($DH$3:$DN$401,MATCH(ROWS(A$3:A172),$DN$3:$DN$401,0),COLUMN()),IF($A$1=1,INDEX($DQ$3:$DW$401,MATCH(ROWS(A$3:A172),$DW$3:$DW$401,0),COLUMN()),"")),"")</f>
        <v>18.01</v>
      </c>
      <c r="B172" s="48" t="str">
        <f ca="1">IFERROR(IF($A$1=2,INDEX($DH$3:$DN$401,MATCH(ROWS(B$3:B172),$DN$3:$DN$401,0),COLUMN()),IF($A$1=1,INDEX($DQ$3:$DW$400,MATCH(ROWS(B$3:B172),$DW$3:$DW$401,0),COLUMN()),"")),"")</f>
        <v>BILANCIO DI APERTURA</v>
      </c>
      <c r="C172" s="48">
        <f ca="1">IFERROR(IF($A$1=2,INDEX($DH$3:$DN$401,MATCH(ROWS(C$3:C172),$DN$3:$DN$401,0),COLUMN()),IF($A$1=1,INDEX($DQ$3:$DW$401,MATCH(ROWS(C$3:C172),$DW$3:$DW$401,0),COLUMN()),"")),"")</f>
        <v>0</v>
      </c>
      <c r="D172" s="48" t="str">
        <f ca="1">IFERROR(IF($A$1=2,INDEX($DH$3:$DN$401,MATCH(ROWS(D$3:D172),$DN$3:$DN$401,0),COLUMN()),IF($A$1=1,INDEX($DQ$3:$DW$401,MATCH(ROWS(D$3:D172),$DW$3:$DW$401,0),COLUMN()),"")),"")</f>
        <v>D/A</v>
      </c>
      <c r="E172" s="48" t="str">
        <f ca="1">IFERROR(IF($A$1=2,INDEX($DH$3:$DN$401,MATCH(ROWS(E$3:E172),$DN$3:$DN$401,0),COLUMN()),IF($A$1=1,INDEX($DQ$3:$DW$401,MATCH(ROWS(E$3:E172),$DW$3:$DW$401,0),COLUMN()),"")),"")</f>
        <v>TRANSITORIO DI CONTROPARTITA</v>
      </c>
      <c r="F172" s="48">
        <f ca="1">IFERROR(IF($A$1=2,INDEX($DH$3:$DN$401,MATCH(ROWS(F$3:F172),$DN$3:$DN$401,0),COLUMN()),IF($A$1=1,INDEX($DQ$3:$DX$401,MATCH(ROWS(F$3:F172),$DW$3:$DW$401,0),COLUMN()),"")),"")</f>
        <v>0</v>
      </c>
      <c r="G172" s="48" t="str">
        <f t="shared" ca="1" si="294"/>
        <v>0</v>
      </c>
      <c r="H172" s="48">
        <f ca="1">IFERROR(IF($A$1=2,INDEX($DH$3:$DO$400,MATCH(ROWS(H$3:H172),$DN$3:$DN$400,0),COLUMN()),IF($A$1=1,INDEX($DQ$3:$DX$400,MATCH(ROWS(H$3:H172),$DW$3:$DW$400,0),COLUMN()),"")),"")</f>
        <v>0</v>
      </c>
      <c r="I172" s="48" t="str">
        <f t="shared" ca="1" si="295"/>
        <v/>
      </c>
      <c r="J172" s="48" t="str">
        <f t="shared" ca="1" si="296"/>
        <v/>
      </c>
      <c r="K172" s="48">
        <f t="shared" ca="1" si="297"/>
        <v>0</v>
      </c>
      <c r="L172" s="48">
        <f t="shared" ca="1" si="298"/>
        <v>0</v>
      </c>
      <c r="M172" s="48">
        <f ca="1">IFERROR(IF(IF(MID($A172,3,3)=".00",MID(A172,1,2),"")&lt;&gt;"",MAX($M$2:M171)+1,0),"")</f>
        <v>0</v>
      </c>
      <c r="N172" s="48" t="str">
        <f t="shared" ca="1" si="299"/>
        <v/>
      </c>
      <c r="O172" s="48" t="str">
        <f ca="1">IF(IFERROR(INDEX($N$3:$O$300,MATCH(ROWS($O$3:O172),$M$3:$M$300,0),1),"")&lt;&gt;"",CONCATENATE(INDEX($N$3:$O$300,MATCH(ROWS($O$3:O172),$M$3:$M$300,0),1),".00"),"")</f>
        <v/>
      </c>
      <c r="P172" s="48" t="str">
        <f t="shared" ca="1" si="300"/>
        <v/>
      </c>
      <c r="Q172" s="48">
        <f ca="1">IF(M172&gt;=1,0,MAX($Q$2:Q171)+1)</f>
        <v>152</v>
      </c>
      <c r="U172" s="48" t="str">
        <f ca="1">IFERROR(INDEX(PDC,MATCH(ROWS(U$3:U172),$V$3:$V$400,0),2),"")</f>
        <v>RESI SU VENDITE</v>
      </c>
      <c r="V172" s="48">
        <f ca="1">IF(AND($T$1="VISUALIZZA TUTTI I CONTI",AA172&lt;&gt;""),MAX($V$2:V171)+1,IF(AND($U$2=2,AI172=$T$1),MAX($V$2:V171)+1,IF(AND($U$2=1,$T$1=AF172),MAX($V$2:V171)+1,0)))</f>
        <v>170</v>
      </c>
      <c r="AA172" s="48" t="str">
        <f t="shared" ca="1" si="301"/>
        <v>20.00</v>
      </c>
      <c r="AB172" s="48" t="str">
        <f ca="1">IFERROR(INDEX($A$3:$G$400,MATCH(ROWS(AB$3:AB172),$Q$3:$Q$400,0),1),"")</f>
        <v>20.10</v>
      </c>
      <c r="AC172" s="48" t="str">
        <f ca="1">IFERROR(INDEX($A$3:$G$400,MATCH(ROWS($AC$3:AC172),$Q$3:$Q$400,0),2),"")</f>
        <v>RESI SU VENDITE</v>
      </c>
      <c r="AD172" s="48" t="str">
        <f ca="1">IFERROR(INDEX($A$3:$G$400,MATCH(ROWS(AD$3:AD172),$Q$3:$Q$400,0),3),"")</f>
        <v>E</v>
      </c>
      <c r="AE172" s="48" t="str">
        <f ca="1">IFERROR(INDEX($A$3:$G$400,MATCH(ROWS(AE$3:AE172),$Q$3:$Q$400,0),4),"")</f>
        <v>D</v>
      </c>
      <c r="AF172" s="48" t="str">
        <f ca="1">IFERROR(INDEX($A$3:$G$400,MATCH(ROWS(AF$3:AF172),$Q$3:$Q$400,0),5),"")</f>
        <v>RETTIFICHE RICAVI D'ESERCIZIO</v>
      </c>
      <c r="AG172" s="48" t="str">
        <f ca="1">IFERROR(INDEX($A$3:$G$400,MATCH(ROWS(AG$3:AG172),$Q$3:$Q$400,0),6),"")</f>
        <v>SE DARE</v>
      </c>
      <c r="AH172" s="48" t="str">
        <f ca="1">IFERROR(INDEX($A$3:$G$400,MATCH(ROWS(AH$3:AH172),$Q$3:$Q$400,0),7),"")</f>
        <v>SE</v>
      </c>
      <c r="AI172" s="48" t="str">
        <f t="shared" ca="1" si="302"/>
        <v>VALORE DELLA PRODUZIONE</v>
      </c>
      <c r="AJ172" s="48" t="str">
        <f ca="1">IFERROR(INDEX($A$3:$H$400,MATCH(ROWS(AJ$3:AJ172),$Q$3:$Q$400,0),8),"")</f>
        <v>ea1</v>
      </c>
      <c r="AK172" s="48">
        <f t="shared" ca="1" si="277"/>
        <v>0</v>
      </c>
      <c r="AL172" s="48">
        <f t="shared" ca="1" si="373"/>
        <v>0</v>
      </c>
      <c r="AM172" s="48">
        <f t="shared" ca="1" si="377"/>
        <v>0</v>
      </c>
      <c r="AN172" s="48">
        <f t="shared" ca="1" si="378"/>
        <v>0</v>
      </c>
      <c r="AO172" s="48">
        <f t="shared" ca="1" si="379"/>
        <v>0</v>
      </c>
      <c r="AP172" s="48">
        <f t="shared" ca="1" si="379"/>
        <v>0</v>
      </c>
      <c r="AQ172" s="48" t="str">
        <f t="shared" ca="1" si="278"/>
        <v/>
      </c>
      <c r="AR172" s="48">
        <f t="shared" ca="1" si="279"/>
        <v>0</v>
      </c>
      <c r="AS172" s="48">
        <f t="shared" ca="1" si="280"/>
        <v>0</v>
      </c>
      <c r="AT172" s="48">
        <f t="shared" ca="1" si="303"/>
        <v>0</v>
      </c>
      <c r="AU172" s="48">
        <f t="shared" ca="1" si="304"/>
        <v>0</v>
      </c>
      <c r="AV172" s="48">
        <f ca="1">IF(OR(AT172&gt;0,AU172&gt;0),MAX($AV$2:AV171)+1,0)</f>
        <v>0</v>
      </c>
      <c r="AZ172" s="241" t="str">
        <f t="shared" si="381"/>
        <v>72 V.I.</v>
      </c>
      <c r="BA172" s="48">
        <f t="shared" ca="1" si="369"/>
        <v>0</v>
      </c>
      <c r="BB172" s="48">
        <f t="shared" ca="1" si="370"/>
        <v>0</v>
      </c>
      <c r="BC172" s="48" t="str">
        <f t="shared" ca="1" si="382"/>
        <v/>
      </c>
      <c r="BD172" s="48">
        <f t="shared" ca="1" si="383"/>
        <v>0</v>
      </c>
      <c r="BE172" s="48">
        <f t="shared" ca="1" si="384"/>
        <v>0</v>
      </c>
      <c r="BG172" s="48">
        <f ca="1">IF(IF(AND(OR(INDEX(PDC,MATCH($AC172,DEN_PDC,0),6)="SP DARE",INDEX(PDC,MATCH($AC172,DEN_PDC,0),6)="SP DARE/AVERE"),SUMIFS(DARE,DEN_G,$AC172)&gt;=SUMIFS(AVERE,DEN_G,$AC172)),SUMIFS(DARE,DEN_G,$AC172)-SUMIFS(AVERE,DEN_G,$AC172),0)&gt;0,MAX($BG$2:BG171)+1,0)</f>
        <v>0</v>
      </c>
      <c r="BH172" s="48">
        <f ca="1">IF(IF(AND(OR(INDEX(PDC,MATCH($AC172,DEN_PDC,0),6)="SP AVERE",INDEX(PDC,MATCH($AC172,DEN_PDC,0),6)="SP DARE/AVERE"),SUMIFS(AVERE,DEN_G,$AC172)&gt;=SUMIFS(DARE,DEN_G,$AC172)),SUMIFS(AVERE,DEN_G,$AC172)-SUMIFS(DARE,DEN_G,$AC172),0)&gt;0,MAX(BH$2:BH171)+1,0)</f>
        <v>0</v>
      </c>
      <c r="BI172" s="48">
        <f ca="1">IF(IF(AND(OR(INDEX(PDC,MATCH($AC172,DEN_PDC,0),6)="SE DARE",INDEX(PDC,MATCH($AC172,DEN_PDC,0),6)="SE DARE/AVERE"),SUMIFS(DARE,DEN_G,$AC172)&gt;=SUMIFS(AVERE,DEN_G,$AC172)),SUMIFS(DARE,DEN_G,$AC172)-SUMIFS(AVERE,DEN_G,$AC172),0)&gt;0,MAX(BI$2:BI171)+1,0)</f>
        <v>0</v>
      </c>
      <c r="BJ172" s="48">
        <f ca="1">IF(IF(AND(OR(INDEX(PDC,MATCH($AC172,DEN_PDC,0),6)="SE AVERE",INDEX(PDC,MATCH($AC172,DEN_PDC,0),6)="SE DARE/AVERE"),SUMIFS(AVERE,DEN_G,$AC172)&gt;=SUMIFS(DARE,DEN_G,$AC172)),SUMIFS(AVERE,DEN_G,$AC172)-SUMIFS(DARE,DEN_G,$AC172),0)&gt;0,MAX(BJ$2:BJ171)+1,0)</f>
        <v>0</v>
      </c>
      <c r="BK172" s="48" t="str">
        <f ca="1">IF(AND(AND($DY$2=0,$DY$1=0),$I$1=2,ROW()&gt;$BG$1+2,ROW()&lt;=$BG$1+4),"………………..",IF(AND(OR($DY$2&gt;0,$DY$1&gt;0),$I$1=2,ROW()&gt;$BG$1+2,ROW()&lt;=$BG$1+4),"………………..",IFERROR(INDEX($AC$3:$AC$398,MATCH(ROWS(BK$3:BK172),BG$3:BG$398,0),1),"")))</f>
        <v/>
      </c>
      <c r="BL172" s="48">
        <f t="shared" ca="1" si="281"/>
        <v>0</v>
      </c>
      <c r="BM172" s="48" t="str">
        <f ca="1">IF(AND(OR($DY$2=0,$DY$1=0),$I$1=2,ROW()&gt;$BH$1+2,ROW()&lt;=$BH$1+4),"………………..",IF(AND(OR($DY$2&gt;0,$DY$1&gt;0),$I$1=2,ROW()&gt;$BH$1+2,ROW()&lt;=$BH$1+4),"………………..",IFERROR(INDEX($AC$3:$AC$400,MATCH(ROWS(BM$3:BM172),BH$3:BH$400,0),1),"")))</f>
        <v/>
      </c>
      <c r="BN172" s="48">
        <f t="shared" ca="1" si="282"/>
        <v>0</v>
      </c>
      <c r="BO172" s="48" t="str">
        <f ca="1">IF(AND(OR($DY$2=0,$DY$1=0),$I$1=2,ROW()&gt;$BI$1+2,ROW()&lt;=$BI$1+4),"………………..",IF(AND(OR($DY$2&gt;0,$DY$1&gt;0),$I$1=2,ROW()&gt;$BI$1+2,ROW()&lt;=$BI$1+4),"………………..",IFERROR(INDEX($AC$3:$AC$400,MATCH(ROWS(BO$3:BO172),BI$3:BI$400,0),1),"")))</f>
        <v/>
      </c>
      <c r="BP172" s="48">
        <f t="shared" ca="1" si="283"/>
        <v>0</v>
      </c>
      <c r="BQ172" s="48" t="str">
        <f ca="1">IF(AND(OR($DY$2=0,$DY$1=0),$I$1=2,ROW()&gt;$BJ$1+2,ROW()&lt;=$BJ$1+4),"………………..",IF(AND(OR($DY$2&gt;0,$DY$1&gt;0),$I$1=2,ROW()&gt;$BJ$1+2,ROW()&lt;=$BJ$1+4),"………………..",IFERROR(INDEX($AC$3:$AC$400,MATCH(ROWS(BQ$3:BQ172),BJ$3:BJ$400,0),1),"")))</f>
        <v/>
      </c>
      <c r="BR172" s="48">
        <f t="shared" ca="1" si="284"/>
        <v>0</v>
      </c>
      <c r="BS172" s="48">
        <f ca="1">IF(IF(AND(OR(INDEX(PDC,MATCH($AC172,DEN_PDC,0),4)="D",INDEX(PDC,MATCH($AC172,DEN_PDC,0),4)="D/A"),SUMIFS(DARE,DEN_G,$AC172)&gt;=SUMIFS(AVERE,DEN_G,$AC172)),SUMIFS(DARE,DEN_G,$AC172),IF(AND(OR(INDEX(PDC,MATCH($AC172,DEN_PDC,0),4)="A",INDEX(PDC,MATCH($AC172,DEN_PDC,0),4)="D/A"),SUMIFS(AVERE,DEN_G,$AC172)&gt;=SUMIFS(DARE,DEN_G,$AC172)),SUMIFS(AVERE,DEN_G,$AC172),))&gt;0,MAX($BS$2:BS171)+1,0)</f>
        <v>0</v>
      </c>
      <c r="BT172" s="48" t="str">
        <f ca="1">IF($CO$1=0,"",IF(AND($I$1=2,ROW()&gt;$BR$1,ROW()&lt;=$BS$1)," …………….",IF(AND($E$1=1,$BX$1=1,$I$1=2,ROW()=$BQ$1),"TOTALI",IFERROR(INDEX(PDC,MATCH(ROWS(BT$3:BT172),BS$3:BS569,0),2),""))))</f>
        <v/>
      </c>
      <c r="BU172" s="48">
        <f t="shared" ca="1" si="285"/>
        <v>0</v>
      </c>
      <c r="BV172" s="48">
        <f t="shared" ca="1" si="286"/>
        <v>0</v>
      </c>
      <c r="BW172" s="48">
        <f t="shared" ca="1" si="287"/>
        <v>0</v>
      </c>
      <c r="BX172" s="48">
        <f t="shared" ca="1" si="288"/>
        <v>0</v>
      </c>
      <c r="BY172" s="48">
        <f ca="1">IF(OR(BW172&gt;0,BX172&gt;0),MAX($BY$2:BY171)+1,0)</f>
        <v>0</v>
      </c>
      <c r="BZ172" s="48" t="str">
        <f ca="1">IFERROR(INDEX($BT$3:$BY$400,MATCH(ROWS(BZ$3:BZ172),$BY$3:$BY$400,0),1),"")</f>
        <v/>
      </c>
      <c r="CA172" s="48" t="str">
        <f ca="1">IFERROR(INDEX($BT$3:$BY$400,MATCH(ROWS(CA$3:CA172),$BY$3:$BY$400,0),4),"")</f>
        <v/>
      </c>
      <c r="CB172" s="48" t="str">
        <f ca="1">IFERROR(INDEX($BT$3:$BY$400,MATCH(ROWS(CB$3:CB172),$BY$3:$BY$400,0),5),"")</f>
        <v/>
      </c>
      <c r="CC172" s="48" t="str">
        <f t="shared" ca="1" si="289"/>
        <v/>
      </c>
      <c r="CD172" s="48">
        <f ca="1">IF(AND($BF$9=2,CE172&lt;&gt;0),MAX($CD$165:CD171)+1,0)</f>
        <v>0</v>
      </c>
      <c r="CE172" s="48">
        <f ca="1">IF(OR(SUM(CE173:CE178)&lt;&gt;0,CH179&lt;&gt;0),"a",0)</f>
        <v>0</v>
      </c>
      <c r="CG172" s="48" t="str">
        <f>CG112</f>
        <v>VI_ - Altre riserve:</v>
      </c>
      <c r="CM172" s="242" t="str">
        <f t="shared" ca="1" si="305"/>
        <v/>
      </c>
      <c r="CN172" s="243">
        <f t="shared" ca="1" si="306"/>
        <v>0</v>
      </c>
      <c r="CO172" s="48" t="str">
        <f t="shared" ca="1" si="307"/>
        <v/>
      </c>
      <c r="CQ172" s="242"/>
      <c r="CR172" s="242"/>
      <c r="CU172" s="48">
        <f ca="1">IF(SUMIFS(AVERE,DEN_G,AC172,AVERE,"&gt;"&amp;0)+SUMIFS(DARE,DEN_G,AC172,DARE,"&gt;"&amp;0)&gt;0,MAX($CU$2:CU171)+1,0)</f>
        <v>0</v>
      </c>
      <c r="CV172" s="48" t="str">
        <f ca="1">IF(IFERROR(INDEX(PDC,MATCH(ROWS($CV$3:CV172),$CU$3:$CU$400,0),2),"")="CONTO DI RISULTATO ECONOMICO","",IFERROR(INDEX(PDC,MATCH(ROWS($CV$3:CV172),$CU$3:$CU$400,0),2),""))</f>
        <v/>
      </c>
      <c r="CW172" s="48">
        <f ca="1">IFERROR(IF(CV172&lt;&gt;"",MAX($CW$2:CW171)+1,0),0)</f>
        <v>0</v>
      </c>
      <c r="CX172" s="48">
        <f ca="1">$FF$16</f>
        <v>14</v>
      </c>
      <c r="CY172" s="48" t="str">
        <f t="shared" ref="CY172:CY183" ca="1" si="387">IF(ISERROR(INDEX($CV$3:$CX$1302,MATCH(CX172,$CW$3:$CW$1302,0),1)),"MASTRO",INDEX($CV$3:$CX$1302,MATCH(CX172,$CW$3:$CW$1302,0),1))</f>
        <v>MASTRO</v>
      </c>
      <c r="DA172" s="48" t="str">
        <f>IF(CY171="MASTRO","Conto n.","")</f>
        <v>Conto n.</v>
      </c>
      <c r="DB172" s="48" t="str">
        <f ca="1">IF(CY172=0,"",INDEX(PDC,MATCH(DC172,DEN_PDC,0),1))</f>
        <v/>
      </c>
      <c r="DC172" s="48" t="str">
        <f ca="1">IF(OR(CY172=0,CY172="mastro"),"",CY172)</f>
        <v/>
      </c>
      <c r="DD172" s="48" t="str">
        <f ca="1">IF(AND($DA$2=TRUE,OR(INDEX(PDC,MATCH($DC172,DEN_PDC,0),4)="A",INDEX(PDC,MATCH($DC172,DEN_PDC,0),4)="D/A"),SUMIFS(AVERE,DEN_G,"="&amp;$DC172,DATA,"&lt;="&amp;FINE_AC,DATA,"&gt;="&amp;INIZIO_AC)&gt;SUMIFS(DARE,DEN_G,"="&amp;$DC172,DATA,"&lt;="&amp;FINE_AC,DATA,"&gt;="&amp;INIZIO_AC)),CONCATENATE("s ",FIXED(ABS(SUMIFS(AVERE,DEN_G,"="&amp;$DC172,DATA,"&lt;="&amp;FINE_AC,DATA,"&gt;="&amp;INIZIO_AC)-SUMIFS(DARE,DEN_G,"="&amp;$DC172,DATA,"&lt;="&amp;FINE_AC,DATA,"&gt;="&amp;INIZIO_AC)),2)),"")</f>
        <v/>
      </c>
      <c r="DE172" s="48" t="str">
        <f ca="1">IF(AND($DA$2=TRUE,OR(INDEX(PDC,MATCH($DC172,DEN_PDC,0),4)="D",INDEX(PDC,MATCH($DC172,DEN_PDC,0),4)="D/A"),SUMIFS(DARE,DEN_G,"="&amp;$DC172,DATA,"&lt;="&amp;FINE_AC,DATA,"&gt;="&amp;INIZIO_AC)&gt;SUMIFS(AVERE,DEN_G,"="&amp;$DC172,DATA,"&lt;="&amp;FINE_AC,DATA,"&gt;="&amp;INIZIO_AC)),CONCATENATE("s ",FIXED(ABS(SUMIFS(DARE,DEN_G,"="&amp;$DC172,DATA,"&lt;="&amp;FINE_AC,DATA,"&gt;="&amp;INIZIO_AC)-SUMIFS(AVERE,DEN_G,"="&amp;$DC172,DATA,"&lt;="&amp;FINE_AC,DATA,"&gt;="&amp;INIZIO_AC)),2)),"")</f>
        <v/>
      </c>
      <c r="DF172" s="48">
        <f ca="1">IF(AND(CX172=$DF$1,CX172&lt;&gt;""),0,IF(AND(DB172&lt;&gt;"",OR(DB171&lt;&gt;"",DB173&lt;&gt;"")),MAX($DF$2:DF171)+1,0))</f>
        <v>0</v>
      </c>
      <c r="DH172" s="244" t="s">
        <v>1056</v>
      </c>
      <c r="DI172" s="48" t="s">
        <v>126</v>
      </c>
      <c r="DJ172" s="48" t="s">
        <v>312</v>
      </c>
      <c r="DK172" s="48" t="s">
        <v>298</v>
      </c>
      <c r="DL172" s="48" t="s">
        <v>5</v>
      </c>
      <c r="DM172" s="48" t="s">
        <v>299</v>
      </c>
      <c r="DN172" s="48">
        <f ca="1">IF(DI172&lt;&gt;"",MAX($DN$2:DN171)+1,0)</f>
        <v>143</v>
      </c>
      <c r="DO172" s="48" t="str">
        <f ca="1">IF($BF$9=1,"ppd8","ppd")</f>
        <v>ppd</v>
      </c>
      <c r="DQ172" s="227" t="s">
        <v>130</v>
      </c>
      <c r="DR172" s="228" t="s">
        <v>131</v>
      </c>
      <c r="DW172" s="48">
        <f ca="1">IF(DR172&lt;&gt;"",MAX($DW$2:DW171)+1,0)</f>
        <v>105</v>
      </c>
      <c r="DY172" s="48" t="str">
        <f t="shared" ca="1" si="291"/>
        <v/>
      </c>
      <c r="DZ172" s="48" t="str">
        <f t="shared" ca="1" si="309"/>
        <v/>
      </c>
      <c r="EA172" s="48" t="str">
        <f t="shared" ca="1" si="310"/>
        <v/>
      </c>
      <c r="EB172" s="48">
        <f t="shared" ca="1" si="311"/>
        <v>0</v>
      </c>
      <c r="EC172" s="48">
        <f t="shared" ca="1" si="312"/>
        <v>0</v>
      </c>
      <c r="ED172" s="48" t="str">
        <f t="shared" ca="1" si="313"/>
        <v/>
      </c>
      <c r="EE172" s="48">
        <f t="shared" ca="1" si="314"/>
        <v>0</v>
      </c>
      <c r="EF172" s="48" t="str">
        <f t="shared" ca="1" si="315"/>
        <v/>
      </c>
      <c r="EG172" s="48">
        <f t="shared" ca="1" si="316"/>
        <v>0</v>
      </c>
      <c r="EH172" s="48" t="str">
        <f t="shared" ca="1" si="317"/>
        <v/>
      </c>
      <c r="EI172" s="48">
        <f t="shared" ca="1" si="318"/>
        <v>0</v>
      </c>
      <c r="EJ172" s="48" t="str">
        <f t="shared" ca="1" si="319"/>
        <v/>
      </c>
      <c r="EK172" s="48">
        <f t="shared" ca="1" si="320"/>
        <v>0</v>
      </c>
      <c r="EL172" s="48">
        <f t="shared" ca="1" si="292"/>
        <v>0</v>
      </c>
      <c r="EM172" s="48">
        <f ca="1">IF(EL172&gt;=0,0,MAX($EM$2:EM171)+1)</f>
        <v>0</v>
      </c>
      <c r="EN172" s="48" t="str">
        <f t="shared" ca="1" si="321"/>
        <v/>
      </c>
      <c r="EO172" s="48" t="str">
        <f ca="1">IFERROR(INDEX($EM$3:$EN$400,MATCH(ROWS($EO$3:EO172),$EM$3:$EM$400,0),2),"")</f>
        <v/>
      </c>
      <c r="EP172" s="48">
        <f>ROW()</f>
        <v>172</v>
      </c>
      <c r="EQ172" s="48">
        <f t="shared" ca="1" si="293"/>
        <v>0</v>
      </c>
      <c r="ER172" s="48">
        <f ca="1">IF(ISNA(EQ172)=TRUE,MAX($ER$2:ER171)+1,0)</f>
        <v>0</v>
      </c>
      <c r="ES172" s="48" t="str">
        <f t="shared" ca="1" si="322"/>
        <v/>
      </c>
      <c r="ET172" s="48" t="str">
        <f ca="1">IFERROR(INDEX($ER$3:$ES$400,MATCH(ROWS($ET$3:ET172),$ER$3:$ER$400,0),2),"")</f>
        <v/>
      </c>
      <c r="EV172" s="48">
        <f ca="1">IFERROR(INDEX(LIBRO_GIORNALE!$O$11:$P$408,MATCH(ROWS($EV$2:EV171),LIBRO_GIORNALE!$P$11:$P$408,0),1),0)</f>
        <v>0</v>
      </c>
      <c r="EW172" s="48" t="str">
        <f t="shared" ca="1" si="323"/>
        <v>0</v>
      </c>
      <c r="EX172" s="48">
        <f t="shared" ca="1" si="324"/>
        <v>0</v>
      </c>
      <c r="EY172" s="48">
        <f ca="1">IF(EX172&gt;0,MAX($EY$2:EY171)+1,0)</f>
        <v>0</v>
      </c>
      <c r="EZ172" s="48">
        <f ca="1">IFERROR(INDEX($EX$3:$EX$400,MATCH(ROWS($EZ$3:EZ172),$EY$3:$EY$400,0),1),0)</f>
        <v>0</v>
      </c>
      <c r="FA172" s="48">
        <f ca="1">IF(EZ172&gt;0,0,MAX($FA$2:FA171)+1)</f>
        <v>170</v>
      </c>
      <c r="FB172" s="48">
        <f t="shared" ca="1" si="325"/>
        <v>0</v>
      </c>
      <c r="FC172" s="48">
        <f t="shared" ca="1" si="326"/>
        <v>170</v>
      </c>
      <c r="FD172" s="48">
        <f t="shared" ca="1" si="327"/>
        <v>170</v>
      </c>
      <c r="FE172" s="48">
        <f ca="1">IF(FD172=0,0,MAX($FE$2:FE171)+1)</f>
        <v>170</v>
      </c>
      <c r="FF172" s="48">
        <f ca="1">IFERROR(INDEX($FD$3:$FE$400,MATCH(ROWS($FF$3:FF172),$FE$3:$FE$400,0),1),"")</f>
        <v>170</v>
      </c>
      <c r="FG172" s="48">
        <f t="shared" ca="1" si="380"/>
        <v>0</v>
      </c>
      <c r="FH172" s="48">
        <f t="shared" ca="1" si="328"/>
        <v>0</v>
      </c>
      <c r="FI172" s="48">
        <f ca="1">IF(FH172&lt;&gt;0,MAX($FI$2:FI171)+1,0)</f>
        <v>0</v>
      </c>
      <c r="FJ172" s="48" t="str">
        <f ca="1">IFERROR(INDEX($FH$3:$FI$400,MATCH(ROWS($FJ$3:FJ172),$FI$3:$FI$400,0),1),"")</f>
        <v/>
      </c>
      <c r="FK172" s="48">
        <f ca="1">IF(ABS(SUMIFS(DARE,DEN_G,"="&amp;FJ172,DATA,"&lt;="&amp;FINE_AC,DATA,"&gt;="&amp;INIZIO_A_PC)-SUMIFS(AVERE,DEN_G,"="&amp;FJ172,DATA,"&lt;="&amp;FINE_AC,DATA,"&gt;="&amp;INIZIO_A_PC))&gt;0,MAX($FK$2:FK171)+1,0)</f>
        <v>0</v>
      </c>
      <c r="FL172" s="48" t="str">
        <f ca="1">IF(AND(ROW()-2&lt;&gt;1,ROW()-2&lt;=$FK$1),CONCATENATE(" - ",IFERROR(INDEX($FJ$3:$FK$400,MATCH(ROWS($FL$3:FL172),$FK$3:$FK$400,0),1),"")),IFERROR(INDEX($FJ$3:$FK$400,MATCH(ROWS($FL$3:FL172),$FK$3:$FK$400,0),1),""))</f>
        <v/>
      </c>
      <c r="FM172" s="48">
        <f ca="1">IF(OR(B172="IVA ns/credito",B172="IVA NS/DEBITO",B172="IVA C/ACCONTO",B172="IMPOSTE C/ACCONTO",B172="CREDITI PER RITENUTE SUBITE",B172="CREDITI D'IMPOSTA"),MAX($FM$2:FM171)+1,0)</f>
        <v>0</v>
      </c>
      <c r="FN172" s="48" t="str">
        <f t="shared" ca="1" si="329"/>
        <v/>
      </c>
      <c r="FO172" s="48" t="str">
        <f ca="1">IFERROR(INDEX($FM$3:$FN$400,MATCH(ROWS($FO$3:FO172),$FM$3:$FM$400,0),2),"")</f>
        <v/>
      </c>
      <c r="FP172" s="48">
        <f ca="1">IF(ABS(SUMIFS(DARE,DEN_G,"="&amp;FO172,DATA,"&lt;="&amp;FINE_AC,DATA,"&gt;="&amp;INIZIO_A_PC)-SUMIFS(AVERE,DEN_G,"="&amp;FO172,DATA,"&lt;="&amp;FINE_AC,DATA,"&gt;="&amp;INIZIO_A_PC))&gt;0,MAX($FP$2:FP171)+1,0)</f>
        <v>0</v>
      </c>
      <c r="FQ172" s="48" t="str">
        <f ca="1">IF(AND(ROW()-2&lt;&gt;1,ROW()-2&lt;=$FP$1),CONCATENATE(" - ",IFERROR(INDEX($FO$3:$FP$400,MATCH(ROWS($FQ$3:FQ172),$FP$3:$FP$400,0),1),"")),IFERROR(INDEX($FO$3:$FP$400,MATCH(ROWS($FQ$3:FQ172),$FP$3:$FP$400,0),1),""))</f>
        <v/>
      </c>
    </row>
    <row r="173" spans="1:173" x14ac:dyDescent="0.3">
      <c r="A173" s="48" t="str">
        <f ca="1">IFERROR(IF($A$1=2,INDEX($DH$3:$DN$401,MATCH(ROWS(A$3:A173),$DN$3:$DN$401,0),COLUMN()),IF($A$1=1,INDEX($DQ$3:$DW$401,MATCH(ROWS(A$3:A173),$DW$3:$DW$401,0),COLUMN()),"")),"")</f>
        <v>18.02</v>
      </c>
      <c r="B173" s="48" t="str">
        <f ca="1">IFERROR(IF($A$1=2,INDEX($DH$3:$DN$401,MATCH(ROWS(B$3:B173),$DN$3:$DN$401,0),COLUMN()),IF($A$1=1,INDEX($DQ$3:$DW$400,MATCH(ROWS(B$3:B173),$DW$3:$DW$401,0),COLUMN()),"")),"")</f>
        <v>BILANCIO DI CHIUSURA</v>
      </c>
      <c r="C173" s="48">
        <f ca="1">IFERROR(IF($A$1=2,INDEX($DH$3:$DN$401,MATCH(ROWS(C$3:C173),$DN$3:$DN$401,0),COLUMN()),IF($A$1=1,INDEX($DQ$3:$DW$401,MATCH(ROWS(C$3:C173),$DW$3:$DW$401,0),COLUMN()),"")),"")</f>
        <v>0</v>
      </c>
      <c r="D173" s="48" t="str">
        <f ca="1">IFERROR(IF($A$1=2,INDEX($DH$3:$DN$401,MATCH(ROWS(D$3:D173),$DN$3:$DN$401,0),COLUMN()),IF($A$1=1,INDEX($DQ$3:$DW$401,MATCH(ROWS(D$3:D173),$DW$3:$DW$401,0),COLUMN()),"")),"")</f>
        <v>D/A</v>
      </c>
      <c r="E173" s="48" t="str">
        <f ca="1">IFERROR(IF($A$1=2,INDEX($DH$3:$DN$401,MATCH(ROWS(E$3:E173),$DN$3:$DN$401,0),COLUMN()),IF($A$1=1,INDEX($DQ$3:$DW$401,MATCH(ROWS(E$3:E173),$DW$3:$DW$401,0),COLUMN()),"")),"")</f>
        <v>TRANSITORIO DI CONTROPARTITA</v>
      </c>
      <c r="F173" s="48">
        <f ca="1">IFERROR(IF($A$1=2,INDEX($DH$3:$DN$401,MATCH(ROWS(F$3:F173),$DN$3:$DN$401,0),COLUMN()),IF($A$1=1,INDEX($DQ$3:$DX$401,MATCH(ROWS(F$3:F173),$DW$3:$DW$401,0),COLUMN()),"")),"")</f>
        <v>0</v>
      </c>
      <c r="G173" s="48" t="str">
        <f t="shared" ca="1" si="294"/>
        <v>0</v>
      </c>
      <c r="H173" s="48">
        <f ca="1">IFERROR(IF($A$1=2,INDEX($DH$3:$DO$400,MATCH(ROWS(H$3:H173),$DN$3:$DN$400,0),COLUMN()),IF($A$1=1,INDEX($DQ$3:$DX$400,MATCH(ROWS(H$3:H173),$DW$3:$DW$400,0),COLUMN()),"")),"")</f>
        <v>0</v>
      </c>
      <c r="I173" s="48" t="str">
        <f t="shared" ca="1" si="295"/>
        <v/>
      </c>
      <c r="J173" s="48" t="str">
        <f t="shared" ca="1" si="296"/>
        <v/>
      </c>
      <c r="K173" s="48">
        <f t="shared" ca="1" si="297"/>
        <v>0</v>
      </c>
      <c r="L173" s="48">
        <f t="shared" ca="1" si="298"/>
        <v>0</v>
      </c>
      <c r="M173" s="48">
        <f ca="1">IFERROR(IF(IF(MID($A173,3,3)=".00",MID(A173,1,2),"")&lt;&gt;"",MAX($M$2:M172)+1,0),"")</f>
        <v>0</v>
      </c>
      <c r="N173" s="48" t="str">
        <f t="shared" ca="1" si="299"/>
        <v/>
      </c>
      <c r="O173" s="48" t="str">
        <f ca="1">IF(IFERROR(INDEX($N$3:$O$300,MATCH(ROWS($O$3:O173),$M$3:$M$300,0),1),"")&lt;&gt;"",CONCATENATE(INDEX($N$3:$O$300,MATCH(ROWS($O$3:O173),$M$3:$M$300,0),1),".00"),"")</f>
        <v/>
      </c>
      <c r="P173" s="48" t="str">
        <f t="shared" ca="1" si="300"/>
        <v/>
      </c>
      <c r="Q173" s="48">
        <f ca="1">IF(M173&gt;=1,0,MAX($Q$2:Q172)+1)</f>
        <v>153</v>
      </c>
      <c r="U173" s="48" t="str">
        <f ca="1">IFERROR(INDEX(PDC,MATCH(ROWS(U$3:U173),$V$3:$V$400,0),2),"")</f>
        <v>RIBASSI E ABBUONI PASSIVI</v>
      </c>
      <c r="V173" s="48">
        <f ca="1">IF(AND($T$1="VISUALIZZA TUTTI I CONTI",AA173&lt;&gt;""),MAX($V$2:V172)+1,IF(AND($U$2=2,AI173=$T$1),MAX($V$2:V172)+1,IF(AND($U$2=1,$T$1=AF173),MAX($V$2:V172)+1,0)))</f>
        <v>171</v>
      </c>
      <c r="AA173" s="48" t="str">
        <f t="shared" ca="1" si="301"/>
        <v>20.00</v>
      </c>
      <c r="AB173" s="48" t="str">
        <f ca="1">IFERROR(INDEX($A$3:$G$400,MATCH(ROWS(AB$3:AB173),$Q$3:$Q$400,0),1),"")</f>
        <v>20.11</v>
      </c>
      <c r="AC173" s="48" t="str">
        <f ca="1">IFERROR(INDEX($A$3:$G$400,MATCH(ROWS($AC$3:AC173),$Q$3:$Q$400,0),2),"")</f>
        <v>RIBASSI E ABBUONI PASSIVI</v>
      </c>
      <c r="AD173" s="48" t="str">
        <f ca="1">IFERROR(INDEX($A$3:$G$400,MATCH(ROWS(AD$3:AD173),$Q$3:$Q$400,0),3),"")</f>
        <v>E</v>
      </c>
      <c r="AE173" s="48" t="str">
        <f ca="1">IFERROR(INDEX($A$3:$G$400,MATCH(ROWS(AE$3:AE173),$Q$3:$Q$400,0),4),"")</f>
        <v>D</v>
      </c>
      <c r="AF173" s="48" t="str">
        <f ca="1">IFERROR(INDEX($A$3:$G$400,MATCH(ROWS(AF$3:AF173),$Q$3:$Q$400,0),5),"")</f>
        <v>RETTIFICHE RICAVI D'ESERCIZIO</v>
      </c>
      <c r="AG173" s="48" t="str">
        <f ca="1">IFERROR(INDEX($A$3:$G$400,MATCH(ROWS(AG$3:AG173),$Q$3:$Q$400,0),6),"")</f>
        <v>SE DARE</v>
      </c>
      <c r="AH173" s="48" t="str">
        <f ca="1">IFERROR(INDEX($A$3:$G$400,MATCH(ROWS(AH$3:AH173),$Q$3:$Q$400,0),7),"")</f>
        <v>SE</v>
      </c>
      <c r="AI173" s="48" t="str">
        <f t="shared" ca="1" si="302"/>
        <v>VALORE DELLA PRODUZIONE</v>
      </c>
      <c r="AJ173" s="48" t="str">
        <f ca="1">IFERROR(INDEX($A$3:$H$400,MATCH(ROWS(AJ$3:AJ173),$Q$3:$Q$400,0),8),"")</f>
        <v>ea1</v>
      </c>
      <c r="AK173" s="48">
        <f t="shared" ca="1" si="277"/>
        <v>0</v>
      </c>
      <c r="AL173" s="48">
        <f t="shared" ca="1" si="373"/>
        <v>0</v>
      </c>
      <c r="AM173" s="48">
        <f t="shared" ca="1" si="377"/>
        <v>0</v>
      </c>
      <c r="AN173" s="48">
        <f t="shared" ca="1" si="378"/>
        <v>0</v>
      </c>
      <c r="AO173" s="48">
        <f t="shared" ca="1" si="379"/>
        <v>0</v>
      </c>
      <c r="AP173" s="48">
        <f t="shared" ca="1" si="379"/>
        <v>0</v>
      </c>
      <c r="AQ173" s="48" t="str">
        <f t="shared" ca="1" si="278"/>
        <v/>
      </c>
      <c r="AR173" s="48">
        <f t="shared" ca="1" si="279"/>
        <v>0</v>
      </c>
      <c r="AS173" s="48">
        <f t="shared" ca="1" si="280"/>
        <v>0</v>
      </c>
      <c r="AT173" s="48">
        <f t="shared" ca="1" si="303"/>
        <v>0</v>
      </c>
      <c r="AU173" s="48">
        <f t="shared" ca="1" si="304"/>
        <v>0</v>
      </c>
      <c r="AV173" s="48">
        <f ca="1">IF(OR(AT173&gt;0,AU173&gt;0),MAX($AV$2:AV172)+1,0)</f>
        <v>0</v>
      </c>
      <c r="AZ173" s="241" t="str">
        <f t="shared" si="381"/>
        <v>73 V.I.</v>
      </c>
      <c r="BA173" s="48">
        <f t="shared" ca="1" si="369"/>
        <v>0</v>
      </c>
      <c r="BB173" s="48">
        <f t="shared" ca="1" si="370"/>
        <v>0</v>
      </c>
      <c r="BC173" s="48" t="str">
        <f t="shared" ca="1" si="382"/>
        <v/>
      </c>
      <c r="BD173" s="48">
        <f t="shared" ca="1" si="383"/>
        <v>0</v>
      </c>
      <c r="BE173" s="48">
        <f t="shared" ca="1" si="384"/>
        <v>0</v>
      </c>
      <c r="BG173" s="48">
        <f ca="1">IF(IF(AND(OR(INDEX(PDC,MATCH($AC173,DEN_PDC,0),6)="SP DARE",INDEX(PDC,MATCH($AC173,DEN_PDC,0),6)="SP DARE/AVERE"),SUMIFS(DARE,DEN_G,$AC173)&gt;=SUMIFS(AVERE,DEN_G,$AC173)),SUMIFS(DARE,DEN_G,$AC173)-SUMIFS(AVERE,DEN_G,$AC173),0)&gt;0,MAX($BG$2:BG172)+1,0)</f>
        <v>0</v>
      </c>
      <c r="BH173" s="48">
        <f ca="1">IF(IF(AND(OR(INDEX(PDC,MATCH($AC173,DEN_PDC,0),6)="SP AVERE",INDEX(PDC,MATCH($AC173,DEN_PDC,0),6)="SP DARE/AVERE"),SUMIFS(AVERE,DEN_G,$AC173)&gt;=SUMIFS(DARE,DEN_G,$AC173)),SUMIFS(AVERE,DEN_G,$AC173)-SUMIFS(DARE,DEN_G,$AC173),0)&gt;0,MAX(BH$2:BH172)+1,0)</f>
        <v>0</v>
      </c>
      <c r="BI173" s="48">
        <f ca="1">IF(IF(AND(OR(INDEX(PDC,MATCH($AC173,DEN_PDC,0),6)="SE DARE",INDEX(PDC,MATCH($AC173,DEN_PDC,0),6)="SE DARE/AVERE"),SUMIFS(DARE,DEN_G,$AC173)&gt;=SUMIFS(AVERE,DEN_G,$AC173)),SUMIFS(DARE,DEN_G,$AC173)-SUMIFS(AVERE,DEN_G,$AC173),0)&gt;0,MAX(BI$2:BI172)+1,0)</f>
        <v>0</v>
      </c>
      <c r="BJ173" s="48">
        <f ca="1">IF(IF(AND(OR(INDEX(PDC,MATCH($AC173,DEN_PDC,0),6)="SE AVERE",INDEX(PDC,MATCH($AC173,DEN_PDC,0),6)="SE DARE/AVERE"),SUMIFS(AVERE,DEN_G,$AC173)&gt;=SUMIFS(DARE,DEN_G,$AC173)),SUMIFS(AVERE,DEN_G,$AC173)-SUMIFS(DARE,DEN_G,$AC173),0)&gt;0,MAX(BJ$2:BJ172)+1,0)</f>
        <v>0</v>
      </c>
      <c r="BK173" s="48" t="str">
        <f ca="1">IF(AND(AND($DY$2=0,$DY$1=0),$I$1=2,ROW()&gt;$BG$1+2,ROW()&lt;=$BG$1+4),"………………..",IF(AND(OR($DY$2&gt;0,$DY$1&gt;0),$I$1=2,ROW()&gt;$BG$1+2,ROW()&lt;=$BG$1+4),"………………..",IFERROR(INDEX($AC$3:$AC$398,MATCH(ROWS(BK$3:BK173),BG$3:BG$398,0),1),"")))</f>
        <v/>
      </c>
      <c r="BL173" s="48">
        <f t="shared" ca="1" si="281"/>
        <v>0</v>
      </c>
      <c r="BM173" s="48" t="str">
        <f ca="1">IF(AND(OR($DY$2=0,$DY$1=0),$I$1=2,ROW()&gt;$BH$1+2,ROW()&lt;=$BH$1+4),"………………..",IF(AND(OR($DY$2&gt;0,$DY$1&gt;0),$I$1=2,ROW()&gt;$BH$1+2,ROW()&lt;=$BH$1+4),"………………..",IFERROR(INDEX($AC$3:$AC$400,MATCH(ROWS(BM$3:BM173),BH$3:BH$400,0),1),"")))</f>
        <v/>
      </c>
      <c r="BN173" s="48">
        <f t="shared" ca="1" si="282"/>
        <v>0</v>
      </c>
      <c r="BO173" s="48" t="str">
        <f ca="1">IF(AND(OR($DY$2=0,$DY$1=0),$I$1=2,ROW()&gt;$BI$1+2,ROW()&lt;=$BI$1+4),"………………..",IF(AND(OR($DY$2&gt;0,$DY$1&gt;0),$I$1=2,ROW()&gt;$BI$1+2,ROW()&lt;=$BI$1+4),"………………..",IFERROR(INDEX($AC$3:$AC$400,MATCH(ROWS(BO$3:BO173),BI$3:BI$400,0),1),"")))</f>
        <v/>
      </c>
      <c r="BP173" s="48">
        <f t="shared" ca="1" si="283"/>
        <v>0</v>
      </c>
      <c r="BQ173" s="48" t="str">
        <f ca="1">IF(AND(OR($DY$2=0,$DY$1=0),$I$1=2,ROW()&gt;$BJ$1+2,ROW()&lt;=$BJ$1+4),"………………..",IF(AND(OR($DY$2&gt;0,$DY$1&gt;0),$I$1=2,ROW()&gt;$BJ$1+2,ROW()&lt;=$BJ$1+4),"………………..",IFERROR(INDEX($AC$3:$AC$400,MATCH(ROWS(BQ$3:BQ173),BJ$3:BJ$400,0),1),"")))</f>
        <v/>
      </c>
      <c r="BR173" s="48">
        <f t="shared" ca="1" si="284"/>
        <v>0</v>
      </c>
      <c r="BS173" s="48">
        <f ca="1">IF(IF(AND(OR(INDEX(PDC,MATCH($AC173,DEN_PDC,0),4)="D",INDEX(PDC,MATCH($AC173,DEN_PDC,0),4)="D/A"),SUMIFS(DARE,DEN_G,$AC173)&gt;=SUMIFS(AVERE,DEN_G,$AC173)),SUMIFS(DARE,DEN_G,$AC173),IF(AND(OR(INDEX(PDC,MATCH($AC173,DEN_PDC,0),4)="A",INDEX(PDC,MATCH($AC173,DEN_PDC,0),4)="D/A"),SUMIFS(AVERE,DEN_G,$AC173)&gt;=SUMIFS(DARE,DEN_G,$AC173)),SUMIFS(AVERE,DEN_G,$AC173),))&gt;0,MAX($BS$2:BS172)+1,0)</f>
        <v>0</v>
      </c>
      <c r="BT173" s="48" t="str">
        <f ca="1">IF($CO$1=0,"",IF(AND($I$1=2,ROW()&gt;$BR$1,ROW()&lt;=$BS$1)," …………….",IF(AND($E$1=1,$BX$1=1,$I$1=2,ROW()=$BQ$1),"TOTALI",IFERROR(INDEX(PDC,MATCH(ROWS(BT$3:BT173),BS$3:BS570,0),2),""))))</f>
        <v/>
      </c>
      <c r="BU173" s="48">
        <f t="shared" ca="1" si="285"/>
        <v>0</v>
      </c>
      <c r="BV173" s="48">
        <f t="shared" ca="1" si="286"/>
        <v>0</v>
      </c>
      <c r="BW173" s="48">
        <f t="shared" ca="1" si="287"/>
        <v>0</v>
      </c>
      <c r="BX173" s="48">
        <f t="shared" ca="1" si="288"/>
        <v>0</v>
      </c>
      <c r="BY173" s="48">
        <f ca="1">IF(OR(BW173&gt;0,BX173&gt;0),MAX($BY$2:BY172)+1,0)</f>
        <v>0</v>
      </c>
      <c r="BZ173" s="48" t="str">
        <f ca="1">IFERROR(INDEX($BT$3:$BY$400,MATCH(ROWS(BZ$3:BZ173),$BY$3:$BY$400,0),1),"")</f>
        <v/>
      </c>
      <c r="CA173" s="48" t="str">
        <f ca="1">IFERROR(INDEX($BT$3:$BY$400,MATCH(ROWS(CA$3:CA173),$BY$3:$BY$400,0),4),"")</f>
        <v/>
      </c>
      <c r="CB173" s="48" t="str">
        <f ca="1">IFERROR(INDEX($BT$3:$BY$400,MATCH(ROWS(CB$3:CB173),$BY$3:$BY$400,0),5),"")</f>
        <v/>
      </c>
      <c r="CC173" s="48" t="str">
        <f t="shared" ca="1" si="289"/>
        <v/>
      </c>
      <c r="CD173" s="48">
        <f ca="1">IF(AND($BF$9=2,CE173&lt;&gt;0),MAX($CD$165:CD172)+1,0)</f>
        <v>0</v>
      </c>
      <c r="CE173" s="48">
        <f ca="1">CE113</f>
        <v>0</v>
      </c>
      <c r="CF173" s="48" t="str">
        <f t="shared" si="375"/>
        <v>ppa61</v>
      </c>
      <c r="CG173" s="48" t="str">
        <f ca="1">IF($A$1=2,"_______Riserva straordinaria","_______Riserva volontaria")</f>
        <v>_______Riserva straordinaria</v>
      </c>
      <c r="CH173" s="48">
        <f t="shared" ref="CH173:CH189" ca="1" si="388">CE173</f>
        <v>0</v>
      </c>
      <c r="CM173" s="242" t="str">
        <f t="shared" ca="1" si="305"/>
        <v/>
      </c>
      <c r="CN173" s="243">
        <f t="shared" ca="1" si="306"/>
        <v>0</v>
      </c>
      <c r="CO173" s="48" t="str">
        <f t="shared" ca="1" si="307"/>
        <v/>
      </c>
      <c r="CQ173" s="242"/>
      <c r="CR173" s="242"/>
      <c r="CU173" s="48">
        <f ca="1">IF(SUMIFS(AVERE,DEN_G,AC173,AVERE,"&gt;"&amp;0)+SUMIFS(DARE,DEN_G,AC173,DARE,"&gt;"&amp;0)&gt;0,MAX($CU$2:CU172)+1,0)</f>
        <v>0</v>
      </c>
      <c r="CV173" s="48" t="str">
        <f ca="1">IF(IFERROR(INDEX(PDC,MATCH(ROWS($CV$3:CV173),$CU$3:$CU$400,0),2),"")="CONTO DI RISULTATO ECONOMICO","",IFERROR(INDEX(PDC,MATCH(ROWS($CV$3:CV173),$CU$3:$CU$400,0),2),""))</f>
        <v/>
      </c>
      <c r="CW173" s="48">
        <f ca="1">IFERROR(IF(CV173&lt;&gt;"",MAX($CW$2:CW172)+1,0),0)</f>
        <v>0</v>
      </c>
      <c r="CX173" s="48">
        <f t="shared" ref="CX173:CX183" ca="1" si="389">$FF$16</f>
        <v>14</v>
      </c>
      <c r="CY173" s="48" t="str">
        <f t="shared" ca="1" si="387"/>
        <v>MASTRO</v>
      </c>
      <c r="DA173" s="48" t="str">
        <f ca="1">IF(DB172="","","Num. riga")</f>
        <v/>
      </c>
      <c r="DB173" s="48" t="str">
        <f t="shared" ref="DB173" ca="1" si="390">IF(DB172="","","Data")</f>
        <v/>
      </c>
      <c r="DC173" s="48" t="str">
        <f ca="1">IF(DB172="","","Operazioni")</f>
        <v/>
      </c>
      <c r="DD173" s="48" t="str">
        <f ca="1">IF(DB172="","","Dare        ")</f>
        <v/>
      </c>
      <c r="DE173" s="48" t="str">
        <f ca="1">IF(DB172="","","Avere        ")</f>
        <v/>
      </c>
      <c r="DF173" s="48">
        <f ca="1">IF(AND(CX173=$DF$1,CX173&lt;&gt;""),0,IF(AND(DB173&lt;&gt;"",OR(DB172&lt;&gt;"",DB174&lt;&gt;"")),MAX($DF$2:DF172)+1,0))</f>
        <v>0</v>
      </c>
      <c r="DH173" s="249" t="s">
        <v>1057</v>
      </c>
      <c r="DI173" s="48" t="s">
        <v>127</v>
      </c>
      <c r="DJ173" s="48" t="s">
        <v>312</v>
      </c>
      <c r="DK173" s="48" t="s">
        <v>298</v>
      </c>
      <c r="DL173" s="48" t="s">
        <v>5</v>
      </c>
      <c r="DM173" s="48" t="s">
        <v>299</v>
      </c>
      <c r="DN173" s="48">
        <f ca="1">IF(DI173&lt;&gt;"",MAX($DN$2:DN172)+1,0)</f>
        <v>144</v>
      </c>
      <c r="DO173" s="48" t="str">
        <f ca="1">IF($BF$9=1,"ppd7","ppd")</f>
        <v>ppd</v>
      </c>
      <c r="DQ173" s="227" t="s">
        <v>140</v>
      </c>
      <c r="DR173" s="48" t="s">
        <v>132</v>
      </c>
      <c r="DS173" s="48" t="s">
        <v>312</v>
      </c>
      <c r="DT173" s="48" t="s">
        <v>298</v>
      </c>
      <c r="DU173" s="48" t="s">
        <v>5</v>
      </c>
      <c r="DV173" s="48" t="s">
        <v>299</v>
      </c>
      <c r="DW173" s="48">
        <f ca="1">IF(DR173&lt;&gt;"",MAX($DW$2:DW172)+1,0)</f>
        <v>106</v>
      </c>
      <c r="DX173" s="48" t="str">
        <f ca="1">IF($BF$9=1,"ppd12","ppd")</f>
        <v>ppd</v>
      </c>
      <c r="DY173" s="48" t="str">
        <f t="shared" ca="1" si="291"/>
        <v/>
      </c>
      <c r="DZ173" s="48" t="str">
        <f t="shared" ca="1" si="309"/>
        <v/>
      </c>
      <c r="EA173" s="48" t="str">
        <f t="shared" ca="1" si="310"/>
        <v/>
      </c>
      <c r="EB173" s="48">
        <f t="shared" ca="1" si="311"/>
        <v>0</v>
      </c>
      <c r="EC173" s="48">
        <f t="shared" ca="1" si="312"/>
        <v>0</v>
      </c>
      <c r="ED173" s="48" t="str">
        <f t="shared" ca="1" si="313"/>
        <v/>
      </c>
      <c r="EE173" s="48">
        <f t="shared" ca="1" si="314"/>
        <v>0</v>
      </c>
      <c r="EF173" s="48" t="str">
        <f t="shared" ca="1" si="315"/>
        <v/>
      </c>
      <c r="EG173" s="48">
        <f t="shared" ca="1" si="316"/>
        <v>0</v>
      </c>
      <c r="EH173" s="48" t="str">
        <f t="shared" ca="1" si="317"/>
        <v/>
      </c>
      <c r="EI173" s="48">
        <f t="shared" ca="1" si="318"/>
        <v>0</v>
      </c>
      <c r="EJ173" s="48" t="str">
        <f t="shared" ca="1" si="319"/>
        <v/>
      </c>
      <c r="EK173" s="48">
        <f t="shared" ca="1" si="320"/>
        <v>0</v>
      </c>
      <c r="EL173" s="48">
        <f t="shared" ca="1" si="292"/>
        <v>0</v>
      </c>
      <c r="EM173" s="48">
        <f ca="1">IF(EL173&gt;=0,0,MAX($EM$2:EM172)+1)</f>
        <v>0</v>
      </c>
      <c r="EN173" s="48" t="str">
        <f t="shared" ca="1" si="321"/>
        <v/>
      </c>
      <c r="EO173" s="48" t="str">
        <f ca="1">IFERROR(INDEX($EM$3:$EN$400,MATCH(ROWS($EO$3:EO173),$EM$3:$EM$400,0),2),"")</f>
        <v/>
      </c>
      <c r="EP173" s="48">
        <f>ROW()</f>
        <v>173</v>
      </c>
      <c r="EQ173" s="48">
        <f t="shared" ca="1" si="293"/>
        <v>0</v>
      </c>
      <c r="ER173" s="48">
        <f ca="1">IF(ISNA(EQ173)=TRUE,MAX($ER$2:ER172)+1,0)</f>
        <v>0</v>
      </c>
      <c r="ES173" s="48" t="str">
        <f t="shared" ca="1" si="322"/>
        <v/>
      </c>
      <c r="ET173" s="48" t="str">
        <f ca="1">IFERROR(INDEX($ER$3:$ES$400,MATCH(ROWS($ET$3:ET173),$ER$3:$ER$400,0),2),"")</f>
        <v/>
      </c>
      <c r="EV173" s="48">
        <f ca="1">IFERROR(INDEX(LIBRO_GIORNALE!$O$11:$P$408,MATCH(ROWS($EV$2:EV172),LIBRO_GIORNALE!$P$11:$P$408,0),1),0)</f>
        <v>0</v>
      </c>
      <c r="EW173" s="48" t="str">
        <f t="shared" ca="1" si="323"/>
        <v>0</v>
      </c>
      <c r="EX173" s="48">
        <f t="shared" ca="1" si="324"/>
        <v>0</v>
      </c>
      <c r="EY173" s="48">
        <f ca="1">IF(EX173&gt;0,MAX($EY$2:EY172)+1,0)</f>
        <v>0</v>
      </c>
      <c r="EZ173" s="48">
        <f ca="1">IFERROR(INDEX($EX$3:$EX$400,MATCH(ROWS($EZ$3:EZ173),$EY$3:$EY$400,0),1),0)</f>
        <v>0</v>
      </c>
      <c r="FA173" s="48">
        <f ca="1">IF(EZ173&gt;0,0,MAX($FA$2:FA172)+1)</f>
        <v>171</v>
      </c>
      <c r="FB173" s="48">
        <f t="shared" ca="1" si="325"/>
        <v>0</v>
      </c>
      <c r="FC173" s="48">
        <f t="shared" ca="1" si="326"/>
        <v>171</v>
      </c>
      <c r="FD173" s="48">
        <f t="shared" ca="1" si="327"/>
        <v>171</v>
      </c>
      <c r="FE173" s="48">
        <f ca="1">IF(FD173=0,0,MAX($FE$2:FE172)+1)</f>
        <v>171</v>
      </c>
      <c r="FF173" s="48">
        <f ca="1">IFERROR(INDEX($FD$3:$FE$400,MATCH(ROWS($FF$3:FF173),$FE$3:$FE$400,0),1),"")</f>
        <v>171</v>
      </c>
      <c r="FG173" s="48">
        <f t="shared" ca="1" si="380"/>
        <v>0</v>
      </c>
      <c r="FH173" s="48">
        <f t="shared" ca="1" si="328"/>
        <v>0</v>
      </c>
      <c r="FI173" s="48">
        <f ca="1">IF(FH173&lt;&gt;0,MAX($FI$2:FI172)+1,0)</f>
        <v>0</v>
      </c>
      <c r="FJ173" s="48" t="str">
        <f ca="1">IFERROR(INDEX($FH$3:$FI$400,MATCH(ROWS($FJ$3:FJ173),$FI$3:$FI$400,0),1),"")</f>
        <v/>
      </c>
      <c r="FK173" s="48">
        <f ca="1">IF(ABS(SUMIFS(DARE,DEN_G,"="&amp;FJ173,DATA,"&lt;="&amp;FINE_AC,DATA,"&gt;="&amp;INIZIO_A_PC)-SUMIFS(AVERE,DEN_G,"="&amp;FJ173,DATA,"&lt;="&amp;FINE_AC,DATA,"&gt;="&amp;INIZIO_A_PC))&gt;0,MAX($FK$2:FK172)+1,0)</f>
        <v>0</v>
      </c>
      <c r="FL173" s="48" t="str">
        <f ca="1">IF(AND(ROW()-2&lt;&gt;1,ROW()-2&lt;=$FK$1),CONCATENATE(" - ",IFERROR(INDEX($FJ$3:$FK$400,MATCH(ROWS($FL$3:FL173),$FK$3:$FK$400,0),1),"")),IFERROR(INDEX($FJ$3:$FK$400,MATCH(ROWS($FL$3:FL173),$FK$3:$FK$400,0),1),""))</f>
        <v/>
      </c>
      <c r="FM173" s="48">
        <f ca="1">IF(OR(B173="IVA ns/credito",B173="IVA NS/DEBITO",B173="IVA C/ACCONTO",B173="IMPOSTE C/ACCONTO",B173="CREDITI PER RITENUTE SUBITE",B173="CREDITI D'IMPOSTA"),MAX($FM$2:FM172)+1,0)</f>
        <v>0</v>
      </c>
      <c r="FN173" s="48" t="str">
        <f t="shared" ca="1" si="329"/>
        <v/>
      </c>
      <c r="FO173" s="48" t="str">
        <f ca="1">IFERROR(INDEX($FM$3:$FN$400,MATCH(ROWS($FO$3:FO173),$FM$3:$FM$400,0),2),"")</f>
        <v/>
      </c>
      <c r="FP173" s="48">
        <f ca="1">IF(ABS(SUMIFS(DARE,DEN_G,"="&amp;FO173,DATA,"&lt;="&amp;FINE_AC,DATA,"&gt;="&amp;INIZIO_A_PC)-SUMIFS(AVERE,DEN_G,"="&amp;FO173,DATA,"&lt;="&amp;FINE_AC,DATA,"&gt;="&amp;INIZIO_A_PC))&gt;0,MAX($FP$2:FP172)+1,0)</f>
        <v>0</v>
      </c>
      <c r="FQ173" s="48" t="str">
        <f ca="1">IF(AND(ROW()-2&lt;&gt;1,ROW()-2&lt;=$FP$1),CONCATENATE(" - ",IFERROR(INDEX($FO$3:$FP$400,MATCH(ROWS($FQ$3:FQ173),$FP$3:$FP$400,0),1),"")),IFERROR(INDEX($FO$3:$FP$400,MATCH(ROWS($FQ$3:FQ173),$FP$3:$FP$400,0),1),""))</f>
        <v/>
      </c>
    </row>
    <row r="174" spans="1:173" x14ac:dyDescent="0.3">
      <c r="A174" s="48" t="str">
        <f ca="1">IFERROR(IF($A$1=2,INDEX($DH$3:$DN$401,MATCH(ROWS(A$3:A174),$DN$3:$DN$401,0),COLUMN()),IF($A$1=1,INDEX($DQ$3:$DW$401,MATCH(ROWS(A$3:A174),$DW$3:$DW$401,0),COLUMN()),"")),"")</f>
        <v>18.10</v>
      </c>
      <c r="B174" s="48" t="str">
        <f ca="1">IFERROR(IF($A$1=2,INDEX($DH$3:$DN$401,MATCH(ROWS(B$3:B174),$DN$3:$DN$401,0),COLUMN()),IF($A$1=1,INDEX($DQ$3:$DW$400,MATCH(ROWS(B$3:B174),$DW$3:$DW$401,0),COLUMN()),"")),"")</f>
        <v>IVA C/LIQUIDAZIONE</v>
      </c>
      <c r="C174" s="48" t="str">
        <f ca="1">IFERROR(IF($A$1=2,INDEX($DH$3:$DN$401,MATCH(ROWS(C$3:C174),$DN$3:$DN$401,0),COLUMN()),IF($A$1=1,INDEX($DQ$3:$DW$401,MATCH(ROWS(C$3:C174),$DW$3:$DW$401,0),COLUMN()),"")),"")</f>
        <v>F</v>
      </c>
      <c r="D174" s="48" t="str">
        <f ca="1">IFERROR(IF($A$1=2,INDEX($DH$3:$DN$401,MATCH(ROWS(D$3:D174),$DN$3:$DN$401,0),COLUMN()),IF($A$1=1,INDEX($DQ$3:$DW$401,MATCH(ROWS(D$3:D174),$DW$3:$DW$401,0),COLUMN()),"")),"")</f>
        <v>D/A</v>
      </c>
      <c r="E174" s="48" t="str">
        <f ca="1">IFERROR(IF($A$1=2,INDEX($DH$3:$DN$401,MATCH(ROWS(E$3:E174),$DN$3:$DN$401,0),COLUMN()),IF($A$1=1,INDEX($DQ$3:$DW$401,MATCH(ROWS(E$3:E174),$DW$3:$DW$401,0),COLUMN()),"")),"")</f>
        <v>CONTI CON ALTERNANZA DI SALDO</v>
      </c>
      <c r="F174" s="48" t="str">
        <f ca="1">IFERROR(IF($A$1=2,INDEX($DH$3:$DN$401,MATCH(ROWS(F$3:F174),$DN$3:$DN$401,0),COLUMN()),IF($A$1=1,INDEX($DQ$3:$DX$401,MATCH(ROWS(F$3:F174),$DW$3:$DW$401,0),COLUMN()),"")),"")</f>
        <v>SP DARE/AVERE</v>
      </c>
      <c r="G174" s="48" t="str">
        <f t="shared" ca="1" si="294"/>
        <v>SP</v>
      </c>
      <c r="H174" s="48" t="str">
        <f ca="1">IFERROR(IF($A$1=2,INDEX($DH$3:$DO$400,MATCH(ROWS(H$3:H174),$DN$3:$DN$400,0),COLUMN()),IF($A$1=1,INDEX($DQ$3:$DX$400,MATCH(ROWS(H$3:H174),$DW$3:$DW$400,0),COLUMN()),"")),"")</f>
        <v>ppd</v>
      </c>
      <c r="I174" s="48" t="str">
        <f t="shared" ca="1" si="295"/>
        <v/>
      </c>
      <c r="J174" s="48" t="str">
        <f t="shared" ca="1" si="296"/>
        <v/>
      </c>
      <c r="K174" s="48">
        <f t="shared" ca="1" si="297"/>
        <v>0</v>
      </c>
      <c r="L174" s="48">
        <f t="shared" ca="1" si="298"/>
        <v>0</v>
      </c>
      <c r="M174" s="48">
        <f ca="1">IFERROR(IF(IF(MID($A174,3,3)=".00",MID(A174,1,2),"")&lt;&gt;"",MAX($M$2:M173)+1,0),"")</f>
        <v>0</v>
      </c>
      <c r="N174" s="48" t="str">
        <f t="shared" ca="1" si="299"/>
        <v/>
      </c>
      <c r="O174" s="48" t="str">
        <f ca="1">IF(IFERROR(INDEX($N$3:$O$300,MATCH(ROWS($O$3:O174),$M$3:$M$300,0),1),"")&lt;&gt;"",CONCATENATE(INDEX($N$3:$O$300,MATCH(ROWS($O$3:O174),$M$3:$M$300,0),1),".00"),"")</f>
        <v/>
      </c>
      <c r="P174" s="48" t="str">
        <f t="shared" ca="1" si="300"/>
        <v/>
      </c>
      <c r="Q174" s="48">
        <f ca="1">IF(M174&gt;=1,0,MAX($Q$2:Q173)+1)</f>
        <v>154</v>
      </c>
      <c r="U174" s="48" t="str">
        <f ca="1">IFERROR(INDEX(PDC,MATCH(ROWS(U$3:U174),$V$3:$V$400,0),2),"")</f>
        <v>PREMI SU VENDITE</v>
      </c>
      <c r="V174" s="48">
        <f ca="1">IF(AND($T$1="VISUALIZZA TUTTI I CONTI",AA174&lt;&gt;""),MAX($V$2:V173)+1,IF(AND($U$2=2,AI174=$T$1),MAX($V$2:V173)+1,IF(AND($U$2=1,$T$1=AF174),MAX($V$2:V173)+1,0)))</f>
        <v>172</v>
      </c>
      <c r="AA174" s="48" t="str">
        <f t="shared" ca="1" si="301"/>
        <v>20.00</v>
      </c>
      <c r="AB174" s="48" t="str">
        <f ca="1">IFERROR(INDEX($A$3:$G$400,MATCH(ROWS(AB$3:AB174),$Q$3:$Q$400,0),1),"")</f>
        <v>20.12</v>
      </c>
      <c r="AC174" s="48" t="str">
        <f ca="1">IFERROR(INDEX($A$3:$G$400,MATCH(ROWS($AC$3:AC174),$Q$3:$Q$400,0),2),"")</f>
        <v>PREMI SU VENDITE</v>
      </c>
      <c r="AD174" s="48" t="str">
        <f ca="1">IFERROR(INDEX($A$3:$G$400,MATCH(ROWS(AD$3:AD174),$Q$3:$Q$400,0),3),"")</f>
        <v>E</v>
      </c>
      <c r="AE174" s="48" t="str">
        <f ca="1">IFERROR(INDEX($A$3:$G$400,MATCH(ROWS(AE$3:AE174),$Q$3:$Q$400,0),4),"")</f>
        <v>D</v>
      </c>
      <c r="AF174" s="48" t="str">
        <f ca="1">IFERROR(INDEX($A$3:$G$400,MATCH(ROWS(AF$3:AF174),$Q$3:$Q$400,0),5),"")</f>
        <v>RETTIFICHE RICAVI D'ESERCIZIO</v>
      </c>
      <c r="AG174" s="48" t="str">
        <f ca="1">IFERROR(INDEX($A$3:$G$400,MATCH(ROWS(AG$3:AG174),$Q$3:$Q$400,0),6),"")</f>
        <v>SE DARE</v>
      </c>
      <c r="AH174" s="48" t="str">
        <f ca="1">IFERROR(INDEX($A$3:$G$400,MATCH(ROWS(AH$3:AH174),$Q$3:$Q$400,0),7),"")</f>
        <v>SE</v>
      </c>
      <c r="AI174" s="48" t="str">
        <f t="shared" ca="1" si="302"/>
        <v>VALORE DELLA PRODUZIONE</v>
      </c>
      <c r="AJ174" s="48" t="str">
        <f ca="1">IFERROR(INDEX($A$3:$H$400,MATCH(ROWS(AJ$3:AJ174),$Q$3:$Q$400,0),8),"")</f>
        <v>ea1</v>
      </c>
      <c r="AK174" s="48">
        <f t="shared" ca="1" si="277"/>
        <v>0</v>
      </c>
      <c r="AL174" s="48">
        <f t="shared" ca="1" si="373"/>
        <v>0</v>
      </c>
      <c r="AM174" s="48">
        <f t="shared" ca="1" si="377"/>
        <v>0</v>
      </c>
      <c r="AN174" s="48">
        <f t="shared" ca="1" si="378"/>
        <v>0</v>
      </c>
      <c r="AO174" s="48">
        <f t="shared" ca="1" si="379"/>
        <v>0</v>
      </c>
      <c r="AP174" s="48">
        <f t="shared" ca="1" si="379"/>
        <v>0</v>
      </c>
      <c r="AQ174" s="48" t="str">
        <f t="shared" ca="1" si="278"/>
        <v/>
      </c>
      <c r="AR174" s="48">
        <f t="shared" ca="1" si="279"/>
        <v>0</v>
      </c>
      <c r="AS174" s="48">
        <f t="shared" ca="1" si="280"/>
        <v>0</v>
      </c>
      <c r="AT174" s="48">
        <f t="shared" ca="1" si="303"/>
        <v>0</v>
      </c>
      <c r="AU174" s="48">
        <f t="shared" ca="1" si="304"/>
        <v>0</v>
      </c>
      <c r="AV174" s="48">
        <f ca="1">IF(OR(AT174&gt;0,AU174&gt;0),MAX($AV$2:AV173)+1,0)</f>
        <v>0</v>
      </c>
      <c r="AZ174" s="241" t="str">
        <f t="shared" si="381"/>
        <v>74 V.I.</v>
      </c>
      <c r="BA174" s="48">
        <f t="shared" ca="1" si="369"/>
        <v>0</v>
      </c>
      <c r="BB174" s="48">
        <f t="shared" ca="1" si="370"/>
        <v>0</v>
      </c>
      <c r="BC174" s="48" t="str">
        <f t="shared" ca="1" si="382"/>
        <v/>
      </c>
      <c r="BD174" s="48">
        <f t="shared" ca="1" si="383"/>
        <v>0</v>
      </c>
      <c r="BE174" s="48">
        <f t="shared" ca="1" si="384"/>
        <v>0</v>
      </c>
      <c r="BG174" s="48">
        <f ca="1">IF(IF(AND(OR(INDEX(PDC,MATCH($AC174,DEN_PDC,0),6)="SP DARE",INDEX(PDC,MATCH($AC174,DEN_PDC,0),6)="SP DARE/AVERE"),SUMIFS(DARE,DEN_G,$AC174)&gt;=SUMIFS(AVERE,DEN_G,$AC174)),SUMIFS(DARE,DEN_G,$AC174)-SUMIFS(AVERE,DEN_G,$AC174),0)&gt;0,MAX($BG$2:BG173)+1,0)</f>
        <v>0</v>
      </c>
      <c r="BH174" s="48">
        <f ca="1">IF(IF(AND(OR(INDEX(PDC,MATCH($AC174,DEN_PDC,0),6)="SP AVERE",INDEX(PDC,MATCH($AC174,DEN_PDC,0),6)="SP DARE/AVERE"),SUMIFS(AVERE,DEN_G,$AC174)&gt;=SUMIFS(DARE,DEN_G,$AC174)),SUMIFS(AVERE,DEN_G,$AC174)-SUMIFS(DARE,DEN_G,$AC174),0)&gt;0,MAX(BH$2:BH173)+1,0)</f>
        <v>0</v>
      </c>
      <c r="BI174" s="48">
        <f ca="1">IF(IF(AND(OR(INDEX(PDC,MATCH($AC174,DEN_PDC,0),6)="SE DARE",INDEX(PDC,MATCH($AC174,DEN_PDC,0),6)="SE DARE/AVERE"),SUMIFS(DARE,DEN_G,$AC174)&gt;=SUMIFS(AVERE,DEN_G,$AC174)),SUMIFS(DARE,DEN_G,$AC174)-SUMIFS(AVERE,DEN_G,$AC174),0)&gt;0,MAX(BI$2:BI173)+1,0)</f>
        <v>0</v>
      </c>
      <c r="BJ174" s="48">
        <f ca="1">IF(IF(AND(OR(INDEX(PDC,MATCH($AC174,DEN_PDC,0),6)="SE AVERE",INDEX(PDC,MATCH($AC174,DEN_PDC,0),6)="SE DARE/AVERE"),SUMIFS(AVERE,DEN_G,$AC174)&gt;=SUMIFS(DARE,DEN_G,$AC174)),SUMIFS(AVERE,DEN_G,$AC174)-SUMIFS(DARE,DEN_G,$AC174),0)&gt;0,MAX(BJ$2:BJ173)+1,0)</f>
        <v>0</v>
      </c>
      <c r="BK174" s="48" t="str">
        <f ca="1">IF(AND(AND($DY$2=0,$DY$1=0),$I$1=2,ROW()&gt;$BG$1+2,ROW()&lt;=$BG$1+4),"………………..",IF(AND(OR($DY$2&gt;0,$DY$1&gt;0),$I$1=2,ROW()&gt;$BG$1+2,ROW()&lt;=$BG$1+4),"………………..",IFERROR(INDEX($AC$3:$AC$398,MATCH(ROWS(BK$3:BK174),BG$3:BG$398,0),1),"")))</f>
        <v/>
      </c>
      <c r="BL174" s="48">
        <f t="shared" ca="1" si="281"/>
        <v>0</v>
      </c>
      <c r="BM174" s="48" t="str">
        <f ca="1">IF(AND(OR($DY$2=0,$DY$1=0),$I$1=2,ROW()&gt;$BH$1+2,ROW()&lt;=$BH$1+4),"………………..",IF(AND(OR($DY$2&gt;0,$DY$1&gt;0),$I$1=2,ROW()&gt;$BH$1+2,ROW()&lt;=$BH$1+4),"………………..",IFERROR(INDEX($AC$3:$AC$400,MATCH(ROWS(BM$3:BM174),BH$3:BH$400,0),1),"")))</f>
        <v/>
      </c>
      <c r="BN174" s="48">
        <f t="shared" ca="1" si="282"/>
        <v>0</v>
      </c>
      <c r="BO174" s="48" t="str">
        <f ca="1">IF(AND(OR($DY$2=0,$DY$1=0),$I$1=2,ROW()&gt;$BI$1+2,ROW()&lt;=$BI$1+4),"………………..",IF(AND(OR($DY$2&gt;0,$DY$1&gt;0),$I$1=2,ROW()&gt;$BI$1+2,ROW()&lt;=$BI$1+4),"………………..",IFERROR(INDEX($AC$3:$AC$400,MATCH(ROWS(BO$3:BO174),BI$3:BI$400,0),1),"")))</f>
        <v/>
      </c>
      <c r="BP174" s="48">
        <f t="shared" ca="1" si="283"/>
        <v>0</v>
      </c>
      <c r="BQ174" s="48" t="str">
        <f ca="1">IF(AND(OR($DY$2=0,$DY$1=0),$I$1=2,ROW()&gt;$BJ$1+2,ROW()&lt;=$BJ$1+4),"………………..",IF(AND(OR($DY$2&gt;0,$DY$1&gt;0),$I$1=2,ROW()&gt;$BJ$1+2,ROW()&lt;=$BJ$1+4),"………………..",IFERROR(INDEX($AC$3:$AC$400,MATCH(ROWS(BQ$3:BQ174),BJ$3:BJ$400,0),1),"")))</f>
        <v/>
      </c>
      <c r="BR174" s="48">
        <f t="shared" ca="1" si="284"/>
        <v>0</v>
      </c>
      <c r="BS174" s="48">
        <f ca="1">IF(IF(AND(OR(INDEX(PDC,MATCH($AC174,DEN_PDC,0),4)="D",INDEX(PDC,MATCH($AC174,DEN_PDC,0),4)="D/A"),SUMIFS(DARE,DEN_G,$AC174)&gt;=SUMIFS(AVERE,DEN_G,$AC174)),SUMIFS(DARE,DEN_G,$AC174),IF(AND(OR(INDEX(PDC,MATCH($AC174,DEN_PDC,0),4)="A",INDEX(PDC,MATCH($AC174,DEN_PDC,0),4)="D/A"),SUMIFS(AVERE,DEN_G,$AC174)&gt;=SUMIFS(DARE,DEN_G,$AC174)),SUMIFS(AVERE,DEN_G,$AC174),))&gt;0,MAX($BS$2:BS173)+1,0)</f>
        <v>0</v>
      </c>
      <c r="BT174" s="48" t="str">
        <f ca="1">IF($CO$1=0,"",IF(AND($I$1=2,ROW()&gt;$BR$1,ROW()&lt;=$BS$1)," …………….",IF(AND($E$1=1,$BX$1=1,$I$1=2,ROW()=$BQ$1),"TOTALI",IFERROR(INDEX(PDC,MATCH(ROWS(BT$3:BT174),BS$3:BS571,0),2),""))))</f>
        <v/>
      </c>
      <c r="BU174" s="48">
        <f t="shared" ca="1" si="285"/>
        <v>0</v>
      </c>
      <c r="BV174" s="48">
        <f t="shared" ca="1" si="286"/>
        <v>0</v>
      </c>
      <c r="BW174" s="48">
        <f t="shared" ca="1" si="287"/>
        <v>0</v>
      </c>
      <c r="BX174" s="48">
        <f t="shared" ca="1" si="288"/>
        <v>0</v>
      </c>
      <c r="BY174" s="48">
        <f ca="1">IF(OR(BW174&gt;0,BX174&gt;0),MAX($BY$2:BY173)+1,0)</f>
        <v>0</v>
      </c>
      <c r="BZ174" s="48" t="str">
        <f ca="1">IFERROR(INDEX($BT$3:$BY$400,MATCH(ROWS(BZ$3:BZ174),$BY$3:$BY$400,0),1),"")</f>
        <v/>
      </c>
      <c r="CA174" s="48" t="str">
        <f ca="1">IFERROR(INDEX($BT$3:$BY$400,MATCH(ROWS(CA$3:CA174),$BY$3:$BY$400,0),4),"")</f>
        <v/>
      </c>
      <c r="CB174" s="48" t="str">
        <f ca="1">IFERROR(INDEX($BT$3:$BY$400,MATCH(ROWS(CB$3:CB174),$BY$3:$BY$400,0),5),"")</f>
        <v/>
      </c>
      <c r="CC174" s="48" t="str">
        <f t="shared" ca="1" si="289"/>
        <v/>
      </c>
      <c r="CD174" s="48">
        <f ca="1">IF(AND($BF$9=2,CE174&lt;&gt;0),MAX($CD$165:CD173)+1,0)</f>
        <v>0</v>
      </c>
      <c r="CE174" s="48">
        <f t="shared" ref="CE174:CE178" ca="1" si="391">CE114</f>
        <v>0</v>
      </c>
      <c r="CF174" s="48" t="str">
        <f t="shared" si="375"/>
        <v>ppa62</v>
      </c>
      <c r="CG174" s="48" t="str">
        <f t="shared" si="376"/>
        <v>_______Riserva conguaglio utili</v>
      </c>
      <c r="CH174" s="48">
        <f t="shared" ca="1" si="388"/>
        <v>0</v>
      </c>
      <c r="CM174" s="242" t="str">
        <f t="shared" ca="1" si="305"/>
        <v/>
      </c>
      <c r="CN174" s="243">
        <f t="shared" ca="1" si="306"/>
        <v>0</v>
      </c>
      <c r="CO174" s="48" t="str">
        <f t="shared" ca="1" si="307"/>
        <v/>
      </c>
      <c r="CQ174" s="242"/>
      <c r="CR174" s="242"/>
      <c r="CU174" s="48">
        <f ca="1">IF(SUMIFS(AVERE,DEN_G,AC174,AVERE,"&gt;"&amp;0)+SUMIFS(DARE,DEN_G,AC174,DARE,"&gt;"&amp;0)&gt;0,MAX($CU$2:CU173)+1,0)</f>
        <v>0</v>
      </c>
      <c r="CV174" s="48" t="str">
        <f ca="1">IF(IFERROR(INDEX(PDC,MATCH(ROWS($CV$3:CV174),$CU$3:$CU$400,0),2),"")="CONTO DI RISULTATO ECONOMICO","",IFERROR(INDEX(PDC,MATCH(ROWS($CV$3:CV174),$CU$3:$CU$400,0),2),""))</f>
        <v/>
      </c>
      <c r="CW174" s="48">
        <f ca="1">IFERROR(IF(CV174&lt;&gt;"",MAX($CW$2:CW173)+1,0),0)</f>
        <v>0</v>
      </c>
      <c r="CX174" s="48">
        <f t="shared" ca="1" si="389"/>
        <v>14</v>
      </c>
      <c r="CY174" s="48" t="str">
        <f t="shared" ca="1" si="387"/>
        <v>MASTRO</v>
      </c>
      <c r="CZ174" s="48" t="e">
        <f t="shared" ref="CZ174:CZ183" ca="1" si="392">SUM(MATCH($CY174,INDIRECT(ADDRESS(SUM(CZ173)+3,54)&amp;":"&amp;ADDRESS(400,54)),0),CZ173)</f>
        <v>#N/A</v>
      </c>
      <c r="DA174" s="48" t="str">
        <f ca="1">IFERROR(INDEX(LIBRO_GIORNALE,CZ174,1),"")</f>
        <v/>
      </c>
      <c r="DB174" s="48" t="str">
        <f t="shared" ca="1" si="347"/>
        <v/>
      </c>
      <c r="DC174" s="48" t="str">
        <f t="shared" ref="DC174:DC183" ca="1" si="393">IF(IFERROR(INDEX(LIBRO_GIORNALE,CZ174,4),"")=0,"manca la descrizione dell'operazione",IFERROR(INDEX(LIBRO_GIORNALE,CZ174,4),""))</f>
        <v/>
      </c>
      <c r="DD174" s="48" t="str">
        <f t="shared" ref="DD174:DD183" ca="1" si="394">IFERROR(IF(INDEX(LIBRO_GIORNALE,CZ174,5)&gt;0,INDEX(LIBRO_GIORNALE,CZ174,5),""),"")</f>
        <v/>
      </c>
      <c r="DE174" s="48" t="str">
        <f t="shared" ref="DE174:DE183" ca="1" si="395">IFERROR(IF(INDEX(LIBRO_GIORNALE,CZ174,6)&gt;0,INDEX(LIBRO_GIORNALE,CZ174,6),""),"")</f>
        <v/>
      </c>
      <c r="DF174" s="48">
        <f ca="1">IF(AND(CX174=$DF$1,CX174&lt;&gt;""),0,IF(AND(DB174&lt;&gt;"",OR(DB173&lt;&gt;"",DB175&lt;&gt;"")),MAX($DF$2:DF173)+1,0))</f>
        <v>0</v>
      </c>
      <c r="DH174" s="244" t="s">
        <v>872</v>
      </c>
      <c r="DI174" s="48" t="s">
        <v>285</v>
      </c>
      <c r="DJ174" s="48" t="s">
        <v>312</v>
      </c>
      <c r="DK174" s="48" t="s">
        <v>298</v>
      </c>
      <c r="DL174" s="48" t="s">
        <v>5</v>
      </c>
      <c r="DM174" s="48" t="s">
        <v>299</v>
      </c>
      <c r="DN174" s="48">
        <f ca="1">IF(DI174&lt;&gt;"",MAX($DN$2:DN173)+1,0)</f>
        <v>145</v>
      </c>
      <c r="DO174" s="48" t="str">
        <f t="shared" ref="DO174" ca="1" si="396">IF($BF$9=1,"ppd7","ppd")</f>
        <v>ppd</v>
      </c>
      <c r="DQ174" s="227" t="s">
        <v>141</v>
      </c>
      <c r="DR174" s="48" t="s">
        <v>133</v>
      </c>
      <c r="DS174" s="48" t="s">
        <v>312</v>
      </c>
      <c r="DT174" s="48" t="s">
        <v>298</v>
      </c>
      <c r="DU174" s="48" t="s">
        <v>5</v>
      </c>
      <c r="DV174" s="48" t="s">
        <v>299</v>
      </c>
      <c r="DW174" s="48">
        <f ca="1">IF(DR174&lt;&gt;"",MAX($DW$2:DW173)+1,0)</f>
        <v>107</v>
      </c>
      <c r="DX174" s="48" t="str">
        <f ca="1">IF($BF$9=1,"ppd12","ppd")</f>
        <v>ppd</v>
      </c>
      <c r="DY174" s="48" t="str">
        <f t="shared" ca="1" si="291"/>
        <v/>
      </c>
      <c r="DZ174" s="48" t="str">
        <f t="shared" ca="1" si="309"/>
        <v/>
      </c>
      <c r="EA174" s="48" t="str">
        <f t="shared" ca="1" si="310"/>
        <v/>
      </c>
      <c r="EB174" s="48">
        <f t="shared" ca="1" si="311"/>
        <v>0</v>
      </c>
      <c r="EC174" s="48">
        <f t="shared" ca="1" si="312"/>
        <v>0</v>
      </c>
      <c r="ED174" s="48" t="str">
        <f t="shared" ca="1" si="313"/>
        <v/>
      </c>
      <c r="EE174" s="48">
        <f t="shared" ca="1" si="314"/>
        <v>0</v>
      </c>
      <c r="EF174" s="48" t="str">
        <f t="shared" ca="1" si="315"/>
        <v/>
      </c>
      <c r="EG174" s="48">
        <f t="shared" ca="1" si="316"/>
        <v>0</v>
      </c>
      <c r="EH174" s="48" t="str">
        <f t="shared" ca="1" si="317"/>
        <v/>
      </c>
      <c r="EI174" s="48">
        <f t="shared" ca="1" si="318"/>
        <v>0</v>
      </c>
      <c r="EJ174" s="48" t="str">
        <f t="shared" ca="1" si="319"/>
        <v/>
      </c>
      <c r="EK174" s="48">
        <f t="shared" ca="1" si="320"/>
        <v>0</v>
      </c>
      <c r="EL174" s="48">
        <f t="shared" ca="1" si="292"/>
        <v>0</v>
      </c>
      <c r="EM174" s="48">
        <f ca="1">IF(EL174&gt;=0,0,MAX($EM$2:EM173)+1)</f>
        <v>0</v>
      </c>
      <c r="EN174" s="48" t="str">
        <f t="shared" ca="1" si="321"/>
        <v/>
      </c>
      <c r="EO174" s="48" t="str">
        <f ca="1">IFERROR(INDEX($EM$3:$EN$400,MATCH(ROWS($EO$3:EO174),$EM$3:$EM$400,0),2),"")</f>
        <v/>
      </c>
      <c r="EP174" s="48">
        <f>ROW()</f>
        <v>174</v>
      </c>
      <c r="EQ174" s="48">
        <f t="shared" ca="1" si="293"/>
        <v>0</v>
      </c>
      <c r="ER174" s="48">
        <f ca="1">IF(ISNA(EQ174)=TRUE,MAX($ER$2:ER173)+1,0)</f>
        <v>0</v>
      </c>
      <c r="ES174" s="48" t="str">
        <f t="shared" ca="1" si="322"/>
        <v/>
      </c>
      <c r="ET174" s="48" t="str">
        <f ca="1">IFERROR(INDEX($ER$3:$ES$400,MATCH(ROWS($ET$3:ET174),$ER$3:$ER$400,0),2),"")</f>
        <v/>
      </c>
      <c r="EV174" s="48">
        <f ca="1">IFERROR(INDEX(LIBRO_GIORNALE!$O$11:$P$408,MATCH(ROWS($EV$2:EV173),LIBRO_GIORNALE!$P$11:$P$408,0),1),0)</f>
        <v>0</v>
      </c>
      <c r="EW174" s="48" t="str">
        <f t="shared" ca="1" si="323"/>
        <v>0</v>
      </c>
      <c r="EX174" s="48">
        <f t="shared" ca="1" si="324"/>
        <v>0</v>
      </c>
      <c r="EY174" s="48">
        <f ca="1">IF(EX174&gt;0,MAX($EY$2:EY173)+1,0)</f>
        <v>0</v>
      </c>
      <c r="EZ174" s="48">
        <f ca="1">IFERROR(INDEX($EX$3:$EX$400,MATCH(ROWS($EZ$3:EZ174),$EY$3:$EY$400,0),1),0)</f>
        <v>0</v>
      </c>
      <c r="FA174" s="48">
        <f ca="1">IF(EZ174&gt;0,0,MAX($FA$2:FA173)+1)</f>
        <v>172</v>
      </c>
      <c r="FB174" s="48">
        <f t="shared" ca="1" si="325"/>
        <v>0</v>
      </c>
      <c r="FC174" s="48">
        <f t="shared" ca="1" si="326"/>
        <v>172</v>
      </c>
      <c r="FD174" s="48">
        <f t="shared" ca="1" si="327"/>
        <v>172</v>
      </c>
      <c r="FE174" s="48">
        <f ca="1">IF(FD174=0,0,MAX($FE$2:FE173)+1)</f>
        <v>172</v>
      </c>
      <c r="FF174" s="48">
        <f ca="1">IFERROR(INDEX($FD$3:$FE$400,MATCH(ROWS($FF$3:FF174),$FE$3:$FE$400,0),1),"")</f>
        <v>172</v>
      </c>
      <c r="FG174" s="48">
        <f t="shared" ca="1" si="380"/>
        <v>0</v>
      </c>
      <c r="FH174" s="48" t="str">
        <f t="shared" ca="1" si="328"/>
        <v>IVA C/LIQUIDAZIONE</v>
      </c>
      <c r="FI174" s="48">
        <f ca="1">IF(FH174&lt;&gt;0,MAX($FI$2:FI173)+1,0)</f>
        <v>1</v>
      </c>
      <c r="FJ174" s="48" t="str">
        <f ca="1">IFERROR(INDEX($FH$3:$FI$400,MATCH(ROWS($FJ$3:FJ174),$FI$3:$FI$400,0),1),"")</f>
        <v/>
      </c>
      <c r="FK174" s="48">
        <f ca="1">IF(ABS(SUMIFS(DARE,DEN_G,"="&amp;FJ174,DATA,"&lt;="&amp;FINE_AC,DATA,"&gt;="&amp;INIZIO_A_PC)-SUMIFS(AVERE,DEN_G,"="&amp;FJ174,DATA,"&lt;="&amp;FINE_AC,DATA,"&gt;="&amp;INIZIO_A_PC))&gt;0,MAX($FK$2:FK173)+1,0)</f>
        <v>0</v>
      </c>
      <c r="FL174" s="48" t="str">
        <f ca="1">IF(AND(ROW()-2&lt;&gt;1,ROW()-2&lt;=$FK$1),CONCATENATE(" - ",IFERROR(INDEX($FJ$3:$FK$400,MATCH(ROWS($FL$3:FL174),$FK$3:$FK$400,0),1),"")),IFERROR(INDEX($FJ$3:$FK$400,MATCH(ROWS($FL$3:FL174),$FK$3:$FK$400,0),1),""))</f>
        <v/>
      </c>
      <c r="FM174" s="48">
        <f ca="1">IF(OR(B174="IVA ns/credito",B174="IVA NS/DEBITO",B174="IVA C/ACCONTO",B174="IMPOSTE C/ACCONTO",B174="CREDITI PER RITENUTE SUBITE",B174="CREDITI D'IMPOSTA"),MAX($FM$2:FM173)+1,0)</f>
        <v>0</v>
      </c>
      <c r="FN174" s="48" t="str">
        <f t="shared" ca="1" si="329"/>
        <v/>
      </c>
      <c r="FO174" s="48" t="str">
        <f ca="1">IFERROR(INDEX($FM$3:$FN$400,MATCH(ROWS($FO$3:FO174),$FM$3:$FM$400,0),2),"")</f>
        <v/>
      </c>
      <c r="FP174" s="48">
        <f ca="1">IF(ABS(SUMIFS(DARE,DEN_G,"="&amp;FO174,DATA,"&lt;="&amp;FINE_AC,DATA,"&gt;="&amp;INIZIO_A_PC)-SUMIFS(AVERE,DEN_G,"="&amp;FO174,DATA,"&lt;="&amp;FINE_AC,DATA,"&gt;="&amp;INIZIO_A_PC))&gt;0,MAX($FP$2:FP173)+1,0)</f>
        <v>0</v>
      </c>
      <c r="FQ174" s="48" t="str">
        <f ca="1">IF(AND(ROW()-2&lt;&gt;1,ROW()-2&lt;=$FP$1),CONCATENATE(" - ",IFERROR(INDEX($FO$3:$FP$400,MATCH(ROWS($FQ$3:FQ174),$FP$3:$FP$400,0),1),"")),IFERROR(INDEX($FO$3:$FP$400,MATCH(ROWS($FQ$3:FQ174),$FP$3:$FP$400,0),1),""))</f>
        <v/>
      </c>
    </row>
    <row r="175" spans="1:173" x14ac:dyDescent="0.3">
      <c r="A175" s="48" t="str">
        <f ca="1">IFERROR(IF($A$1=2,INDEX($DH$3:$DN$401,MATCH(ROWS(A$3:A175),$DN$3:$DN$401,0),COLUMN()),IF($A$1=1,INDEX($DQ$3:$DW$401,MATCH(ROWS(A$3:A175),$DW$3:$DW$401,0),COLUMN()),"")),"")</f>
        <v>18.11</v>
      </c>
      <c r="B175" s="48" t="str">
        <f ca="1">IFERROR(IF($A$1=2,INDEX($DH$3:$DN$401,MATCH(ROWS(B$3:B175),$DN$3:$DN$401,0),COLUMN()),IF($A$1=1,INDEX($DQ$3:$DW$400,MATCH(ROWS(B$3:B175),$DW$3:$DW$401,0),COLUMN()),"")),"")</f>
        <v>ISTITUTI PREVIDENZIALI</v>
      </c>
      <c r="C175" s="48" t="str">
        <f ca="1">IFERROR(IF($A$1=2,INDEX($DH$3:$DN$401,MATCH(ROWS(C$3:C175),$DN$3:$DN$401,0),COLUMN()),IF($A$1=1,INDEX($DQ$3:$DW$401,MATCH(ROWS(C$3:C175),$DW$3:$DW$401,0),COLUMN()),"")),"")</f>
        <v>F</v>
      </c>
      <c r="D175" s="48" t="str">
        <f ca="1">IFERROR(IF($A$1=2,INDEX($DH$3:$DN$401,MATCH(ROWS(D$3:D175),$DN$3:$DN$401,0),COLUMN()),IF($A$1=1,INDEX($DQ$3:$DW$401,MATCH(ROWS(D$3:D175),$DW$3:$DW$401,0),COLUMN()),"")),"")</f>
        <v>D/A</v>
      </c>
      <c r="E175" s="48" t="str">
        <f ca="1">IFERROR(IF($A$1=2,INDEX($DH$3:$DN$401,MATCH(ROWS(E$3:E175),$DN$3:$DN$401,0),COLUMN()),IF($A$1=1,INDEX($DQ$3:$DW$401,MATCH(ROWS(E$3:E175),$DW$3:$DW$401,0),COLUMN()),"")),"")</f>
        <v>CONTI CON ALTERNANZA DI SALDO</v>
      </c>
      <c r="F175" s="48" t="str">
        <f ca="1">IFERROR(IF($A$1=2,INDEX($DH$3:$DN$401,MATCH(ROWS(F$3:F175),$DN$3:$DN$401,0),COLUMN()),IF($A$1=1,INDEX($DQ$3:$DX$401,MATCH(ROWS(F$3:F175),$DW$3:$DW$401,0),COLUMN()),"")),"")</f>
        <v>SP DARE/AVERE</v>
      </c>
      <c r="G175" s="48" t="str">
        <f t="shared" ca="1" si="294"/>
        <v>SP</v>
      </c>
      <c r="H175" s="48" t="str">
        <f ca="1">IFERROR(IF($A$1=2,INDEX($DH$3:$DO$400,MATCH(ROWS(H$3:H175),$DN$3:$DN$400,0),COLUMN()),IF($A$1=1,INDEX($DQ$3:$DX$400,MATCH(ROWS(H$3:H175),$DW$3:$DW$400,0),COLUMN()),"")),"")</f>
        <v>ppd</v>
      </c>
      <c r="I175" s="48" t="str">
        <f t="shared" ca="1" si="295"/>
        <v/>
      </c>
      <c r="J175" s="48" t="str">
        <f t="shared" ca="1" si="296"/>
        <v/>
      </c>
      <c r="K175" s="48">
        <f t="shared" ca="1" si="297"/>
        <v>0</v>
      </c>
      <c r="L175" s="48">
        <f t="shared" ca="1" si="298"/>
        <v>0</v>
      </c>
      <c r="M175" s="48">
        <f ca="1">IFERROR(IF(IF(MID($A175,3,3)=".00",MID(A175,1,2),"")&lt;&gt;"",MAX($M$2:M174)+1,0),"")</f>
        <v>0</v>
      </c>
      <c r="N175" s="48" t="str">
        <f t="shared" ca="1" si="299"/>
        <v/>
      </c>
      <c r="O175" s="48" t="str">
        <f ca="1">IF(IFERROR(INDEX($N$3:$O$300,MATCH(ROWS($O$3:O175),$M$3:$M$300,0),1),"")&lt;&gt;"",CONCATENATE(INDEX($N$3:$O$300,MATCH(ROWS($O$3:O175),$M$3:$M$300,0),1),".00"),"")</f>
        <v/>
      </c>
      <c r="P175" s="48" t="str">
        <f t="shared" ca="1" si="300"/>
        <v/>
      </c>
      <c r="Q175" s="48">
        <f ca="1">IF(M175&gt;=1,0,MAX($Q$2:Q174)+1)</f>
        <v>155</v>
      </c>
      <c r="U175" s="48" t="str">
        <f ca="1">IFERROR(INDEX(PDC,MATCH(ROWS(U$3:U175),$V$3:$V$400,0),2),"")</f>
        <v>COSTRUZIONI INTERNE</v>
      </c>
      <c r="V175" s="48">
        <f ca="1">IF(AND($T$1="VISUALIZZA TUTTI I CONTI",AA175&lt;&gt;""),MAX($V$2:V174)+1,IF(AND($U$2=2,AI175=$T$1),MAX($V$2:V174)+1,IF(AND($U$2=1,$T$1=AF175),MAX($V$2:V174)+1,0)))</f>
        <v>173</v>
      </c>
      <c r="AA175" s="48" t="str">
        <f t="shared" ca="1" si="301"/>
        <v>20.00</v>
      </c>
      <c r="AB175" s="48" t="str">
        <f ca="1">IFERROR(INDEX($A$3:$G$400,MATCH(ROWS(AB$3:AB175),$Q$3:$Q$400,0),1),"")</f>
        <v>20.20</v>
      </c>
      <c r="AC175" s="48" t="str">
        <f ca="1">IFERROR(INDEX($A$3:$G$400,MATCH(ROWS($AC$3:AC175),$Q$3:$Q$400,0),2),"")</f>
        <v>COSTRUZIONI INTERNE</v>
      </c>
      <c r="AD175" s="48" t="str">
        <f ca="1">IFERROR(INDEX($A$3:$G$400,MATCH(ROWS(AD$3:AD175),$Q$3:$Q$400,0),3),"")</f>
        <v>E</v>
      </c>
      <c r="AE175" s="48" t="str">
        <f ca="1">IFERROR(INDEX($A$3:$G$400,MATCH(ROWS(AE$3:AE175),$Q$3:$Q$400,0),4),"")</f>
        <v>A</v>
      </c>
      <c r="AF175" s="48" t="str">
        <f ca="1">IFERROR(INDEX($A$3:$G$400,MATCH(ROWS(AF$3:AF175),$Q$3:$Q$400,0),5),"")</f>
        <v>RETTIFICHE COSTI D'ESERCIZIO</v>
      </c>
      <c r="AG175" s="48" t="str">
        <f ca="1">IFERROR(INDEX($A$3:$G$400,MATCH(ROWS(AG$3:AG175),$Q$3:$Q$400,0),6),"")</f>
        <v>SE AVERE</v>
      </c>
      <c r="AH175" s="48" t="str">
        <f ca="1">IFERROR(INDEX($A$3:$G$400,MATCH(ROWS(AH$3:AH175),$Q$3:$Q$400,0),7),"")</f>
        <v>SE</v>
      </c>
      <c r="AI175" s="48" t="str">
        <f t="shared" ca="1" si="302"/>
        <v>VALORE DELLA PRODUZIONE</v>
      </c>
      <c r="AJ175" s="48" t="str">
        <f ca="1">IFERROR(INDEX($A$3:$H$400,MATCH(ROWS(AJ$3:AJ175),$Q$3:$Q$400,0),8),"")</f>
        <v>ea4</v>
      </c>
      <c r="AK175" s="48">
        <f t="shared" ca="1" si="277"/>
        <v>0</v>
      </c>
      <c r="AL175" s="48">
        <f t="shared" ca="1" si="373"/>
        <v>0</v>
      </c>
      <c r="AM175" s="48">
        <f t="shared" ca="1" si="377"/>
        <v>0</v>
      </c>
      <c r="AN175" s="48">
        <f t="shared" ca="1" si="378"/>
        <v>0</v>
      </c>
      <c r="AO175" s="48">
        <f t="shared" ca="1" si="379"/>
        <v>0</v>
      </c>
      <c r="AP175" s="48">
        <f t="shared" ca="1" si="379"/>
        <v>0</v>
      </c>
      <c r="AQ175" s="48" t="str">
        <f t="shared" ca="1" si="278"/>
        <v/>
      </c>
      <c r="AR175" s="48">
        <f t="shared" ca="1" si="279"/>
        <v>0</v>
      </c>
      <c r="AS175" s="48">
        <f t="shared" ca="1" si="280"/>
        <v>0</v>
      </c>
      <c r="AT175" s="48">
        <f t="shared" ca="1" si="303"/>
        <v>0</v>
      </c>
      <c r="AU175" s="48">
        <f t="shared" ca="1" si="304"/>
        <v>0</v>
      </c>
      <c r="AV175" s="48">
        <f ca="1">IF(OR(AT175&gt;0,AU175&gt;0),MAX($AV$2:AV174)+1,0)</f>
        <v>0</v>
      </c>
      <c r="AZ175" s="241" t="str">
        <f t="shared" si="381"/>
        <v>75 V.I.</v>
      </c>
      <c r="BA175" s="48">
        <f t="shared" ca="1" si="369"/>
        <v>0</v>
      </c>
      <c r="BB175" s="48">
        <f t="shared" ca="1" si="370"/>
        <v>0</v>
      </c>
      <c r="BC175" s="48" t="str">
        <f t="shared" ca="1" si="382"/>
        <v/>
      </c>
      <c r="BD175" s="48">
        <f t="shared" ca="1" si="383"/>
        <v>0</v>
      </c>
      <c r="BE175" s="48">
        <f t="shared" ca="1" si="384"/>
        <v>0</v>
      </c>
      <c r="BG175" s="48">
        <f ca="1">IF(IF(AND(OR(INDEX(PDC,MATCH($AC175,DEN_PDC,0),6)="SP DARE",INDEX(PDC,MATCH($AC175,DEN_PDC,0),6)="SP DARE/AVERE"),SUMIFS(DARE,DEN_G,$AC175)&gt;=SUMIFS(AVERE,DEN_G,$AC175)),SUMIFS(DARE,DEN_G,$AC175)-SUMIFS(AVERE,DEN_G,$AC175),0)&gt;0,MAX($BG$2:BG174)+1,0)</f>
        <v>0</v>
      </c>
      <c r="BH175" s="48">
        <f ca="1">IF(IF(AND(OR(INDEX(PDC,MATCH($AC175,DEN_PDC,0),6)="SP AVERE",INDEX(PDC,MATCH($AC175,DEN_PDC,0),6)="SP DARE/AVERE"),SUMIFS(AVERE,DEN_G,$AC175)&gt;=SUMIFS(DARE,DEN_G,$AC175)),SUMIFS(AVERE,DEN_G,$AC175)-SUMIFS(DARE,DEN_G,$AC175),0)&gt;0,MAX(BH$2:BH174)+1,0)</f>
        <v>0</v>
      </c>
      <c r="BI175" s="48">
        <f ca="1">IF(IF(AND(OR(INDEX(PDC,MATCH($AC175,DEN_PDC,0),6)="SE DARE",INDEX(PDC,MATCH($AC175,DEN_PDC,0),6)="SE DARE/AVERE"),SUMIFS(DARE,DEN_G,$AC175)&gt;=SUMIFS(AVERE,DEN_G,$AC175)),SUMIFS(DARE,DEN_G,$AC175)-SUMIFS(AVERE,DEN_G,$AC175),0)&gt;0,MAX(BI$2:BI174)+1,0)</f>
        <v>0</v>
      </c>
      <c r="BJ175" s="48">
        <f ca="1">IF(IF(AND(OR(INDEX(PDC,MATCH($AC175,DEN_PDC,0),6)="SE AVERE",INDEX(PDC,MATCH($AC175,DEN_PDC,0),6)="SE DARE/AVERE"),SUMIFS(AVERE,DEN_G,$AC175)&gt;=SUMIFS(DARE,DEN_G,$AC175)),SUMIFS(AVERE,DEN_G,$AC175)-SUMIFS(DARE,DEN_G,$AC175),0)&gt;0,MAX(BJ$2:BJ174)+1,0)</f>
        <v>0</v>
      </c>
      <c r="BK175" s="48" t="str">
        <f ca="1">IF(AND(AND($DY$2=0,$DY$1=0),$I$1=2,ROW()&gt;$BG$1+2,ROW()&lt;=$BG$1+4),"………………..",IF(AND(OR($DY$2&gt;0,$DY$1&gt;0),$I$1=2,ROW()&gt;$BG$1+2,ROW()&lt;=$BG$1+4),"………………..",IFERROR(INDEX($AC$3:$AC$398,MATCH(ROWS(BK$3:BK175),BG$3:BG$398,0),1),"")))</f>
        <v/>
      </c>
      <c r="BL175" s="48">
        <f t="shared" ca="1" si="281"/>
        <v>0</v>
      </c>
      <c r="BM175" s="48" t="str">
        <f ca="1">IF(AND(OR($DY$2=0,$DY$1=0),$I$1=2,ROW()&gt;$BH$1+2,ROW()&lt;=$BH$1+4),"………………..",IF(AND(OR($DY$2&gt;0,$DY$1&gt;0),$I$1=2,ROW()&gt;$BH$1+2,ROW()&lt;=$BH$1+4),"………………..",IFERROR(INDEX($AC$3:$AC$400,MATCH(ROWS(BM$3:BM175),BH$3:BH$400,0),1),"")))</f>
        <v/>
      </c>
      <c r="BN175" s="48">
        <f t="shared" ca="1" si="282"/>
        <v>0</v>
      </c>
      <c r="BO175" s="48" t="str">
        <f ca="1">IF(AND(OR($DY$2=0,$DY$1=0),$I$1=2,ROW()&gt;$BI$1+2,ROW()&lt;=$BI$1+4),"………………..",IF(AND(OR($DY$2&gt;0,$DY$1&gt;0),$I$1=2,ROW()&gt;$BI$1+2,ROW()&lt;=$BI$1+4),"………………..",IFERROR(INDEX($AC$3:$AC$400,MATCH(ROWS(BO$3:BO175),BI$3:BI$400,0),1),"")))</f>
        <v/>
      </c>
      <c r="BP175" s="48">
        <f t="shared" ca="1" si="283"/>
        <v>0</v>
      </c>
      <c r="BQ175" s="48" t="str">
        <f ca="1">IF(AND(OR($DY$2=0,$DY$1=0),$I$1=2,ROW()&gt;$BJ$1+2,ROW()&lt;=$BJ$1+4),"………………..",IF(AND(OR($DY$2&gt;0,$DY$1&gt;0),$I$1=2,ROW()&gt;$BJ$1+2,ROW()&lt;=$BJ$1+4),"………………..",IFERROR(INDEX($AC$3:$AC$400,MATCH(ROWS(BQ$3:BQ175),BJ$3:BJ$400,0),1),"")))</f>
        <v/>
      </c>
      <c r="BR175" s="48">
        <f t="shared" ca="1" si="284"/>
        <v>0</v>
      </c>
      <c r="BS175" s="48">
        <f ca="1">IF(IF(AND(OR(INDEX(PDC,MATCH($AC175,DEN_PDC,0),4)="D",INDEX(PDC,MATCH($AC175,DEN_PDC,0),4)="D/A"),SUMIFS(DARE,DEN_G,$AC175)&gt;=SUMIFS(AVERE,DEN_G,$AC175)),SUMIFS(DARE,DEN_G,$AC175),IF(AND(OR(INDEX(PDC,MATCH($AC175,DEN_PDC,0),4)="A",INDEX(PDC,MATCH($AC175,DEN_PDC,0),4)="D/A"),SUMIFS(AVERE,DEN_G,$AC175)&gt;=SUMIFS(DARE,DEN_G,$AC175)),SUMIFS(AVERE,DEN_G,$AC175),))&gt;0,MAX($BS$2:BS174)+1,0)</f>
        <v>0</v>
      </c>
      <c r="BT175" s="48" t="str">
        <f ca="1">IF($CO$1=0,"",IF(AND($I$1=2,ROW()&gt;$BR$1,ROW()&lt;=$BS$1)," …………….",IF(AND($E$1=1,$BX$1=1,$I$1=2,ROW()=$BQ$1),"TOTALI",IFERROR(INDEX(PDC,MATCH(ROWS(BT$3:BT175),BS$3:BS572,0),2),""))))</f>
        <v/>
      </c>
      <c r="BU175" s="48">
        <f t="shared" ca="1" si="285"/>
        <v>0</v>
      </c>
      <c r="BV175" s="48">
        <f t="shared" ca="1" si="286"/>
        <v>0</v>
      </c>
      <c r="BW175" s="48">
        <f t="shared" ca="1" si="287"/>
        <v>0</v>
      </c>
      <c r="BX175" s="48">
        <f t="shared" ca="1" si="288"/>
        <v>0</v>
      </c>
      <c r="BY175" s="48">
        <f ca="1">IF(OR(BW175&gt;0,BX175&gt;0),MAX($BY$2:BY174)+1,0)</f>
        <v>0</v>
      </c>
      <c r="BZ175" s="48" t="str">
        <f ca="1">IFERROR(INDEX($BT$3:$BY$400,MATCH(ROWS(BZ$3:BZ175),$BY$3:$BY$400,0),1),"")</f>
        <v/>
      </c>
      <c r="CA175" s="48" t="str">
        <f ca="1">IFERROR(INDEX($BT$3:$BY$400,MATCH(ROWS(CA$3:CA175),$BY$3:$BY$400,0),4),"")</f>
        <v/>
      </c>
      <c r="CB175" s="48" t="str">
        <f ca="1">IFERROR(INDEX($BT$3:$BY$400,MATCH(ROWS(CB$3:CB175),$BY$3:$BY$400,0),5),"")</f>
        <v/>
      </c>
      <c r="CC175" s="48" t="str">
        <f t="shared" ca="1" si="289"/>
        <v/>
      </c>
      <c r="CD175" s="48">
        <f ca="1">IF(AND($BF$9=2,CE175&lt;&gt;0),MAX($CD$165:CD174)+1,0)</f>
        <v>0</v>
      </c>
      <c r="CE175" s="48">
        <f t="shared" ca="1" si="391"/>
        <v>0</v>
      </c>
      <c r="CF175" s="48" t="str">
        <f t="shared" si="375"/>
        <v>ppa63</v>
      </c>
      <c r="CG175" s="48" t="str">
        <f t="shared" si="376"/>
        <v>_______Fondo rimborso spese</v>
      </c>
      <c r="CH175" s="48">
        <f t="shared" ca="1" si="388"/>
        <v>0</v>
      </c>
      <c r="CM175" s="242" t="str">
        <f t="shared" ca="1" si="305"/>
        <v/>
      </c>
      <c r="CN175" s="243">
        <f t="shared" ca="1" si="306"/>
        <v>0</v>
      </c>
      <c r="CO175" s="48" t="str">
        <f t="shared" ca="1" si="307"/>
        <v/>
      </c>
      <c r="CQ175" s="242"/>
      <c r="CR175" s="242"/>
      <c r="CU175" s="48">
        <f ca="1">IF(SUMIFS(AVERE,DEN_G,AC175,AVERE,"&gt;"&amp;0)+SUMIFS(DARE,DEN_G,AC175,DARE,"&gt;"&amp;0)&gt;0,MAX($CU$2:CU174)+1,0)</f>
        <v>0</v>
      </c>
      <c r="CV175" s="48" t="str">
        <f ca="1">IF(IFERROR(INDEX(PDC,MATCH(ROWS($CV$3:CV175),$CU$3:$CU$400,0),2),"")="CONTO DI RISULTATO ECONOMICO","",IFERROR(INDEX(PDC,MATCH(ROWS($CV$3:CV175),$CU$3:$CU$400,0),2),""))</f>
        <v/>
      </c>
      <c r="CW175" s="48">
        <f ca="1">IFERROR(IF(CV175&lt;&gt;"",MAX($CW$2:CW174)+1,0),0)</f>
        <v>0</v>
      </c>
      <c r="CX175" s="48">
        <f t="shared" ca="1" si="389"/>
        <v>14</v>
      </c>
      <c r="CY175" s="48" t="str">
        <f t="shared" ca="1" si="387"/>
        <v>MASTRO</v>
      </c>
      <c r="CZ175" s="48" t="e">
        <f t="shared" ca="1" si="392"/>
        <v>#N/A</v>
      </c>
      <c r="DA175" s="48" t="str">
        <f t="shared" ref="DA175:DA183" ca="1" si="397">IFERROR(INDEX(LIBRO_GIORNALE,CZ175,1),"")</f>
        <v/>
      </c>
      <c r="DB175" s="48" t="str">
        <f t="shared" ca="1" si="347"/>
        <v/>
      </c>
      <c r="DC175" s="48" t="str">
        <f t="shared" ca="1" si="393"/>
        <v/>
      </c>
      <c r="DD175" s="48" t="str">
        <f t="shared" ca="1" si="394"/>
        <v/>
      </c>
      <c r="DE175" s="48" t="str">
        <f t="shared" ca="1" si="395"/>
        <v/>
      </c>
      <c r="DF175" s="48">
        <f ca="1">IF(AND(CX175=$DF$1,CX175&lt;&gt;""),0,IF(AND(DB175&lt;&gt;"",OR(DB174&lt;&gt;"",DB176&lt;&gt;"")),MAX($DF$2:DF174)+1,0))</f>
        <v>0</v>
      </c>
      <c r="DH175" s="244" t="s">
        <v>873</v>
      </c>
      <c r="DI175" s="48" t="s">
        <v>871</v>
      </c>
      <c r="DJ175" s="48" t="s">
        <v>312</v>
      </c>
      <c r="DK175" s="48" t="s">
        <v>298</v>
      </c>
      <c r="DL175" s="48" t="s">
        <v>5</v>
      </c>
      <c r="DM175" s="48" t="s">
        <v>299</v>
      </c>
      <c r="DN175" s="48">
        <f ca="1">IF(DI175&lt;&gt;"",MAX($DN$2:DN174)+1,0)</f>
        <v>146</v>
      </c>
      <c r="DO175" s="48" t="str">
        <f ca="1">IF($BF$9=1,"ppd6","ppd")</f>
        <v>ppd</v>
      </c>
      <c r="DQ175" s="227" t="s">
        <v>413</v>
      </c>
      <c r="DR175" s="48" t="s">
        <v>134</v>
      </c>
      <c r="DS175" s="48" t="s">
        <v>312</v>
      </c>
      <c r="DT175" s="48" t="s">
        <v>298</v>
      </c>
      <c r="DU175" s="48" t="s">
        <v>5</v>
      </c>
      <c r="DV175" s="48" t="s">
        <v>299</v>
      </c>
      <c r="DW175" s="48">
        <f ca="1">IF(DR175&lt;&gt;"",MAX($DW$2:DW174)+1,0)</f>
        <v>108</v>
      </c>
      <c r="DX175" s="48" t="str">
        <f t="shared" ref="DX175:DX176" ca="1" si="398">IF($BF$9=1,"ppd12","ppd")</f>
        <v>ppd</v>
      </c>
      <c r="DY175" s="48" t="str">
        <f t="shared" ca="1" si="291"/>
        <v/>
      </c>
      <c r="DZ175" s="48" t="str">
        <f t="shared" ca="1" si="309"/>
        <v/>
      </c>
      <c r="EA175" s="48" t="str">
        <f t="shared" ca="1" si="310"/>
        <v/>
      </c>
      <c r="EB175" s="48">
        <f t="shared" ca="1" si="311"/>
        <v>0</v>
      </c>
      <c r="EC175" s="48">
        <f t="shared" ca="1" si="312"/>
        <v>0</v>
      </c>
      <c r="ED175" s="48" t="str">
        <f t="shared" ca="1" si="313"/>
        <v/>
      </c>
      <c r="EE175" s="48">
        <f t="shared" ca="1" si="314"/>
        <v>0</v>
      </c>
      <c r="EF175" s="48" t="str">
        <f t="shared" ca="1" si="315"/>
        <v/>
      </c>
      <c r="EG175" s="48">
        <f t="shared" ca="1" si="316"/>
        <v>0</v>
      </c>
      <c r="EH175" s="48" t="str">
        <f t="shared" ca="1" si="317"/>
        <v/>
      </c>
      <c r="EI175" s="48">
        <f t="shared" ca="1" si="318"/>
        <v>0</v>
      </c>
      <c r="EJ175" s="48" t="str">
        <f t="shared" ca="1" si="319"/>
        <v/>
      </c>
      <c r="EK175" s="48">
        <f t="shared" ca="1" si="320"/>
        <v>0</v>
      </c>
      <c r="EL175" s="48">
        <f t="shared" ca="1" si="292"/>
        <v>0</v>
      </c>
      <c r="EM175" s="48">
        <f ca="1">IF(EL175&gt;=0,0,MAX($EM$2:EM174)+1)</f>
        <v>0</v>
      </c>
      <c r="EN175" s="48" t="str">
        <f t="shared" ca="1" si="321"/>
        <v/>
      </c>
      <c r="EO175" s="48" t="str">
        <f ca="1">IFERROR(INDEX($EM$3:$EN$400,MATCH(ROWS($EO$3:EO175),$EM$3:$EM$400,0),2),"")</f>
        <v/>
      </c>
      <c r="EP175" s="48">
        <f>ROW()</f>
        <v>175</v>
      </c>
      <c r="EQ175" s="48">
        <f t="shared" ca="1" si="293"/>
        <v>0</v>
      </c>
      <c r="ER175" s="48">
        <f ca="1">IF(ISNA(EQ175)=TRUE,MAX($ER$2:ER174)+1,0)</f>
        <v>0</v>
      </c>
      <c r="ES175" s="48" t="str">
        <f t="shared" ca="1" si="322"/>
        <v/>
      </c>
      <c r="ET175" s="48" t="str">
        <f ca="1">IFERROR(INDEX($ER$3:$ES$400,MATCH(ROWS($ET$3:ET175),$ER$3:$ER$400,0),2),"")</f>
        <v/>
      </c>
      <c r="EV175" s="48">
        <f ca="1">IFERROR(INDEX(LIBRO_GIORNALE!$O$11:$P$408,MATCH(ROWS($EV$2:EV174),LIBRO_GIORNALE!$P$11:$P$408,0),1),0)</f>
        <v>0</v>
      </c>
      <c r="EW175" s="48" t="str">
        <f t="shared" ca="1" si="323"/>
        <v>0</v>
      </c>
      <c r="EX175" s="48">
        <f t="shared" ca="1" si="324"/>
        <v>0</v>
      </c>
      <c r="EY175" s="48">
        <f ca="1">IF(EX175&gt;0,MAX($EY$2:EY174)+1,0)</f>
        <v>0</v>
      </c>
      <c r="EZ175" s="48">
        <f ca="1">IFERROR(INDEX($EX$3:$EX$400,MATCH(ROWS($EZ$3:EZ175),$EY$3:$EY$400,0),1),0)</f>
        <v>0</v>
      </c>
      <c r="FA175" s="48">
        <f ca="1">IF(EZ175&gt;0,0,MAX($FA$2:FA174)+1)</f>
        <v>173</v>
      </c>
      <c r="FB175" s="48">
        <f t="shared" ca="1" si="325"/>
        <v>0</v>
      </c>
      <c r="FC175" s="48">
        <f t="shared" ca="1" si="326"/>
        <v>173</v>
      </c>
      <c r="FD175" s="48">
        <f t="shared" ca="1" si="327"/>
        <v>173</v>
      </c>
      <c r="FE175" s="48">
        <f ca="1">IF(FD175=0,0,MAX($FE$2:FE174)+1)</f>
        <v>173</v>
      </c>
      <c r="FF175" s="48">
        <f ca="1">IFERROR(INDEX($FD$3:$FE$400,MATCH(ROWS($FF$3:FF175),$FE$3:$FE$400,0),1),"")</f>
        <v>173</v>
      </c>
      <c r="FG175" s="48">
        <f t="shared" ca="1" si="380"/>
        <v>0</v>
      </c>
      <c r="FH175" s="48" t="str">
        <f t="shared" ca="1" si="328"/>
        <v>ISTITUTI PREVIDENZIALI</v>
      </c>
      <c r="FI175" s="48">
        <f ca="1">IF(FH175&lt;&gt;0,MAX($FI$2:FI174)+1,0)</f>
        <v>2</v>
      </c>
      <c r="FJ175" s="48" t="str">
        <f ca="1">IFERROR(INDEX($FH$3:$FI$400,MATCH(ROWS($FJ$3:FJ175),$FI$3:$FI$400,0),1),"")</f>
        <v/>
      </c>
      <c r="FK175" s="48">
        <f ca="1">IF(ABS(SUMIFS(DARE,DEN_G,"="&amp;FJ175,DATA,"&lt;="&amp;FINE_AC,DATA,"&gt;="&amp;INIZIO_A_PC)-SUMIFS(AVERE,DEN_G,"="&amp;FJ175,DATA,"&lt;="&amp;FINE_AC,DATA,"&gt;="&amp;INIZIO_A_PC))&gt;0,MAX($FK$2:FK174)+1,0)</f>
        <v>0</v>
      </c>
      <c r="FL175" s="48" t="str">
        <f ca="1">IF(AND(ROW()-2&lt;&gt;1,ROW()-2&lt;=$FK$1),CONCATENATE(" - ",IFERROR(INDEX($FJ$3:$FK$400,MATCH(ROWS($FL$3:FL175),$FK$3:$FK$400,0),1),"")),IFERROR(INDEX($FJ$3:$FK$400,MATCH(ROWS($FL$3:FL175),$FK$3:$FK$400,0),1),""))</f>
        <v/>
      </c>
      <c r="FM175" s="48">
        <f ca="1">IF(OR(B175="IVA ns/credito",B175="IVA NS/DEBITO",B175="IVA C/ACCONTO",B175="IMPOSTE C/ACCONTO",B175="CREDITI PER RITENUTE SUBITE",B175="CREDITI D'IMPOSTA"),MAX($FM$2:FM174)+1,0)</f>
        <v>0</v>
      </c>
      <c r="FN175" s="48" t="str">
        <f t="shared" ca="1" si="329"/>
        <v/>
      </c>
      <c r="FO175" s="48" t="str">
        <f ca="1">IFERROR(INDEX($FM$3:$FN$400,MATCH(ROWS($FO$3:FO175),$FM$3:$FM$400,0),2),"")</f>
        <v/>
      </c>
      <c r="FP175" s="48">
        <f ca="1">IF(ABS(SUMIFS(DARE,DEN_G,"="&amp;FO175,DATA,"&lt;="&amp;FINE_AC,DATA,"&gt;="&amp;INIZIO_A_PC)-SUMIFS(AVERE,DEN_G,"="&amp;FO175,DATA,"&lt;="&amp;FINE_AC,DATA,"&gt;="&amp;INIZIO_A_PC))&gt;0,MAX($FP$2:FP174)+1,0)</f>
        <v>0</v>
      </c>
      <c r="FQ175" s="48" t="str">
        <f ca="1">IF(AND(ROW()-2&lt;&gt;1,ROW()-2&lt;=$FP$1),CONCATENATE(" - ",IFERROR(INDEX($FO$3:$FP$400,MATCH(ROWS($FQ$3:FQ175),$FP$3:$FP$400,0),1),"")),IFERROR(INDEX($FO$3:$FP$400,MATCH(ROWS($FQ$3:FQ175),$FP$3:$FP$400,0),1),""))</f>
        <v/>
      </c>
    </row>
    <row r="176" spans="1:173" x14ac:dyDescent="0.3">
      <c r="A176" s="48" t="str">
        <f ca="1">IFERROR(IF($A$1=2,INDEX($DH$3:$DN$401,MATCH(ROWS(A$3:A176),$DN$3:$DN$401,0),COLUMN()),IF($A$1=1,INDEX($DQ$3:$DW$401,MATCH(ROWS(A$3:A176),$DW$3:$DW$401,0),COLUMN()),"")),"")</f>
        <v>18.20</v>
      </c>
      <c r="B176" s="48" t="str">
        <f ca="1">IFERROR(IF($A$1=2,INDEX($DH$3:$DN$401,MATCH(ROWS(B$3:B176),$DN$3:$DN$401,0),COLUMN()),IF($A$1=1,INDEX($DQ$3:$DW$400,MATCH(ROWS(B$3:B176),$DW$3:$DW$401,0),COLUMN()),"")),"")</f>
        <v>BANCA X C/C</v>
      </c>
      <c r="C176" s="48" t="str">
        <f ca="1">IFERROR(IF($A$1=2,INDEX($DH$3:$DN$401,MATCH(ROWS(C$3:C176),$DN$3:$DN$401,0),COLUMN()),IF($A$1=1,INDEX($DQ$3:$DW$401,MATCH(ROWS(C$3:C176),$DW$3:$DW$401,0),COLUMN()),"")),"")</f>
        <v>F</v>
      </c>
      <c r="D176" s="48" t="str">
        <f ca="1">IFERROR(IF($A$1=2,INDEX($DH$3:$DN$401,MATCH(ROWS(D$3:D176),$DN$3:$DN$401,0),COLUMN()),IF($A$1=1,INDEX($DQ$3:$DW$401,MATCH(ROWS(D$3:D176),$DW$3:$DW$401,0),COLUMN()),"")),"")</f>
        <v>D/A</v>
      </c>
      <c r="E176" s="48" t="str">
        <f ca="1">IFERROR(IF($A$1=2,INDEX($DH$3:$DN$401,MATCH(ROWS(E$3:E176),$DN$3:$DN$401,0),COLUMN()),IF($A$1=1,INDEX($DQ$3:$DW$401,MATCH(ROWS(E$3:E176),$DW$3:$DW$401,0),COLUMN()),"")),"")</f>
        <v>CONTI CON ALTERNANZA DI SALDO</v>
      </c>
      <c r="F176" s="48" t="str">
        <f ca="1">IFERROR(IF($A$1=2,INDEX($DH$3:$DN$401,MATCH(ROWS(F$3:F176),$DN$3:$DN$401,0),COLUMN()),IF($A$1=1,INDEX($DQ$3:$DX$401,MATCH(ROWS(F$3:F176),$DW$3:$DW$401,0),COLUMN()),"")),"")</f>
        <v>SP DARE/AVERE</v>
      </c>
      <c r="G176" s="48" t="str">
        <f t="shared" ca="1" si="294"/>
        <v>SP</v>
      </c>
      <c r="H176" s="48" t="str">
        <f ca="1">IFERROR(IF($A$1=2,INDEX($DH$3:$DO$400,MATCH(ROWS(H$3:H176),$DN$3:$DN$400,0),COLUMN()),IF($A$1=1,INDEX($DQ$3:$DX$400,MATCH(ROWS(H$3:H176),$DW$3:$DW$400,0),COLUMN()),"")),"")</f>
        <v>ppd</v>
      </c>
      <c r="I176" s="48" t="str">
        <f t="shared" ca="1" si="295"/>
        <v/>
      </c>
      <c r="J176" s="48" t="str">
        <f t="shared" ca="1" si="296"/>
        <v/>
      </c>
      <c r="K176" s="48">
        <f t="shared" ca="1" si="297"/>
        <v>0</v>
      </c>
      <c r="L176" s="48">
        <f t="shared" ca="1" si="298"/>
        <v>0</v>
      </c>
      <c r="M176" s="48">
        <f ca="1">IFERROR(IF(IF(MID($A176,3,3)=".00",MID(A176,1,2),"")&lt;&gt;"",MAX($M$2:M175)+1,0),"")</f>
        <v>0</v>
      </c>
      <c r="N176" s="48" t="str">
        <f t="shared" ca="1" si="299"/>
        <v/>
      </c>
      <c r="O176" s="48" t="str">
        <f ca="1">IF(IFERROR(INDEX($N$3:$O$300,MATCH(ROWS($O$3:O176),$M$3:$M$300,0),1),"")&lt;&gt;"",CONCATENATE(INDEX($N$3:$O$300,MATCH(ROWS($O$3:O176),$M$3:$M$300,0),1),".00"),"")</f>
        <v/>
      </c>
      <c r="P176" s="48" t="str">
        <f t="shared" ca="1" si="300"/>
        <v/>
      </c>
      <c r="Q176" s="48">
        <f ca="1">IF(M176&gt;=1,0,MAX($Q$2:Q175)+1)</f>
        <v>156</v>
      </c>
      <c r="U176" s="48" t="str">
        <f ca="1">IFERROR(INDEX(PDC,MATCH(ROWS(U$3:U176),$V$3:$V$400,0),2),"")</f>
        <v>COSTI DI SVILUPPO RINVIATI</v>
      </c>
      <c r="V176" s="48">
        <f ca="1">IF(AND($T$1="VISUALIZZA TUTTI I CONTI",AA176&lt;&gt;""),MAX($V$2:V175)+1,IF(AND($U$2=2,AI176=$T$1),MAX($V$2:V175)+1,IF(AND($U$2=1,$T$1=AF176),MAX($V$2:V175)+1,0)))</f>
        <v>174</v>
      </c>
      <c r="AA176" s="48" t="str">
        <f t="shared" ca="1" si="301"/>
        <v>20.00</v>
      </c>
      <c r="AB176" s="48" t="str">
        <f ca="1">IFERROR(INDEX($A$3:$G$400,MATCH(ROWS(AB$3:AB176),$Q$3:$Q$400,0),1),"")</f>
        <v>20.21</v>
      </c>
      <c r="AC176" s="48" t="str">
        <f ca="1">IFERROR(INDEX($A$3:$G$400,MATCH(ROWS($AC$3:AC176),$Q$3:$Q$400,0),2),"")</f>
        <v>COSTI DI SVILUPPO RINVIATI</v>
      </c>
      <c r="AD176" s="48" t="str">
        <f ca="1">IFERROR(INDEX($A$3:$G$400,MATCH(ROWS(AD$3:AD176),$Q$3:$Q$400,0),3),"")</f>
        <v>E</v>
      </c>
      <c r="AE176" s="48" t="str">
        <f ca="1">IFERROR(INDEX($A$3:$G$400,MATCH(ROWS(AE$3:AE176),$Q$3:$Q$400,0),4),"")</f>
        <v>A</v>
      </c>
      <c r="AF176" s="48" t="str">
        <f ca="1">IFERROR(INDEX($A$3:$G$400,MATCH(ROWS(AF$3:AF176),$Q$3:$Q$400,0),5),"")</f>
        <v>RETTIFICHE COSTI D'ESERCIZIO</v>
      </c>
      <c r="AG176" s="48" t="str">
        <f ca="1">IFERROR(INDEX($A$3:$G$400,MATCH(ROWS(AG$3:AG176),$Q$3:$Q$400,0),6),"")</f>
        <v>SE AVERE</v>
      </c>
      <c r="AH176" s="48" t="str">
        <f ca="1">IFERROR(INDEX($A$3:$G$400,MATCH(ROWS(AH$3:AH176),$Q$3:$Q$400,0),7),"")</f>
        <v>SE</v>
      </c>
      <c r="AI176" s="48" t="str">
        <f t="shared" ca="1" si="302"/>
        <v>VALORE DELLA PRODUZIONE</v>
      </c>
      <c r="AJ176" s="48" t="str">
        <f ca="1">IFERROR(INDEX($A$3:$H$400,MATCH(ROWS(AJ$3:AJ176),$Q$3:$Q$400,0),8),"")</f>
        <v>ea4</v>
      </c>
      <c r="AK176" s="48">
        <f t="shared" ca="1" si="277"/>
        <v>0</v>
      </c>
      <c r="AL176" s="48">
        <f t="shared" ca="1" si="373"/>
        <v>0</v>
      </c>
      <c r="AM176" s="48">
        <f t="shared" ca="1" si="377"/>
        <v>0</v>
      </c>
      <c r="AN176" s="48">
        <f t="shared" ca="1" si="378"/>
        <v>0</v>
      </c>
      <c r="AO176" s="48">
        <f t="shared" ca="1" si="379"/>
        <v>0</v>
      </c>
      <c r="AP176" s="48">
        <f t="shared" ca="1" si="379"/>
        <v>0</v>
      </c>
      <c r="AQ176" s="48" t="str">
        <f t="shared" ca="1" si="278"/>
        <v/>
      </c>
      <c r="AR176" s="48">
        <f t="shared" ca="1" si="279"/>
        <v>0</v>
      </c>
      <c r="AS176" s="48">
        <f t="shared" ca="1" si="280"/>
        <v>0</v>
      </c>
      <c r="AT176" s="48">
        <f t="shared" ca="1" si="303"/>
        <v>0</v>
      </c>
      <c r="AU176" s="48">
        <f t="shared" ca="1" si="304"/>
        <v>0</v>
      </c>
      <c r="AV176" s="48">
        <f ca="1">IF(OR(AT176&gt;0,AU176&gt;0),MAX($AV$2:AV175)+1,0)</f>
        <v>0</v>
      </c>
      <c r="AZ176" s="241" t="str">
        <f t="shared" si="381"/>
        <v>76 V.I.</v>
      </c>
      <c r="BA176" s="48">
        <f t="shared" ca="1" si="369"/>
        <v>0</v>
      </c>
      <c r="BB176" s="48">
        <f t="shared" ca="1" si="370"/>
        <v>0</v>
      </c>
      <c r="BC176" s="48" t="str">
        <f t="shared" ca="1" si="382"/>
        <v/>
      </c>
      <c r="BD176" s="48">
        <f t="shared" ca="1" si="383"/>
        <v>0</v>
      </c>
      <c r="BE176" s="48">
        <f t="shared" ca="1" si="384"/>
        <v>0</v>
      </c>
      <c r="BG176" s="48">
        <f ca="1">IF(IF(AND(OR(INDEX(PDC,MATCH($AC176,DEN_PDC,0),6)="SP DARE",INDEX(PDC,MATCH($AC176,DEN_PDC,0),6)="SP DARE/AVERE"),SUMIFS(DARE,DEN_G,$AC176)&gt;=SUMIFS(AVERE,DEN_G,$AC176)),SUMIFS(DARE,DEN_G,$AC176)-SUMIFS(AVERE,DEN_G,$AC176),0)&gt;0,MAX($BG$2:BG175)+1,0)</f>
        <v>0</v>
      </c>
      <c r="BH176" s="48">
        <f ca="1">IF(IF(AND(OR(INDEX(PDC,MATCH($AC176,DEN_PDC,0),6)="SP AVERE",INDEX(PDC,MATCH($AC176,DEN_PDC,0),6)="SP DARE/AVERE"),SUMIFS(AVERE,DEN_G,$AC176)&gt;=SUMIFS(DARE,DEN_G,$AC176)),SUMIFS(AVERE,DEN_G,$AC176)-SUMIFS(DARE,DEN_G,$AC176),0)&gt;0,MAX(BH$2:BH175)+1,0)</f>
        <v>0</v>
      </c>
      <c r="BI176" s="48">
        <f ca="1">IF(IF(AND(OR(INDEX(PDC,MATCH($AC176,DEN_PDC,0),6)="SE DARE",INDEX(PDC,MATCH($AC176,DEN_PDC,0),6)="SE DARE/AVERE"),SUMIFS(DARE,DEN_G,$AC176)&gt;=SUMIFS(AVERE,DEN_G,$AC176)),SUMIFS(DARE,DEN_G,$AC176)-SUMIFS(AVERE,DEN_G,$AC176),0)&gt;0,MAX(BI$2:BI175)+1,0)</f>
        <v>0</v>
      </c>
      <c r="BJ176" s="48">
        <f ca="1">IF(IF(AND(OR(INDEX(PDC,MATCH($AC176,DEN_PDC,0),6)="SE AVERE",INDEX(PDC,MATCH($AC176,DEN_PDC,0),6)="SE DARE/AVERE"),SUMIFS(AVERE,DEN_G,$AC176)&gt;=SUMIFS(DARE,DEN_G,$AC176)),SUMIFS(AVERE,DEN_G,$AC176)-SUMIFS(DARE,DEN_G,$AC176),0)&gt;0,MAX(BJ$2:BJ175)+1,0)</f>
        <v>0</v>
      </c>
      <c r="BK176" s="48" t="str">
        <f ca="1">IF(AND(AND($DY$2=0,$DY$1=0),$I$1=2,ROW()&gt;$BG$1+2,ROW()&lt;=$BG$1+4),"………………..",IF(AND(OR($DY$2&gt;0,$DY$1&gt;0),$I$1=2,ROW()&gt;$BG$1+2,ROW()&lt;=$BG$1+4),"………………..",IFERROR(INDEX($AC$3:$AC$398,MATCH(ROWS(BK$3:BK176),BG$3:BG$398,0),1),"")))</f>
        <v/>
      </c>
      <c r="BL176" s="48">
        <f t="shared" ca="1" si="281"/>
        <v>0</v>
      </c>
      <c r="BM176" s="48" t="str">
        <f ca="1">IF(AND(OR($DY$2=0,$DY$1=0),$I$1=2,ROW()&gt;$BH$1+2,ROW()&lt;=$BH$1+4),"………………..",IF(AND(OR($DY$2&gt;0,$DY$1&gt;0),$I$1=2,ROW()&gt;$BH$1+2,ROW()&lt;=$BH$1+4),"………………..",IFERROR(INDEX($AC$3:$AC$400,MATCH(ROWS(BM$3:BM176),BH$3:BH$400,0),1),"")))</f>
        <v/>
      </c>
      <c r="BN176" s="48">
        <f t="shared" ca="1" si="282"/>
        <v>0</v>
      </c>
      <c r="BO176" s="48" t="str">
        <f ca="1">IF(AND(OR($DY$2=0,$DY$1=0),$I$1=2,ROW()&gt;$BI$1+2,ROW()&lt;=$BI$1+4),"………………..",IF(AND(OR($DY$2&gt;0,$DY$1&gt;0),$I$1=2,ROW()&gt;$BI$1+2,ROW()&lt;=$BI$1+4),"………………..",IFERROR(INDEX($AC$3:$AC$400,MATCH(ROWS(BO$3:BO176),BI$3:BI$400,0),1),"")))</f>
        <v/>
      </c>
      <c r="BP176" s="48">
        <f t="shared" ca="1" si="283"/>
        <v>0</v>
      </c>
      <c r="BQ176" s="48" t="str">
        <f ca="1">IF(AND(OR($DY$2=0,$DY$1=0),$I$1=2,ROW()&gt;$BJ$1+2,ROW()&lt;=$BJ$1+4),"………………..",IF(AND(OR($DY$2&gt;0,$DY$1&gt;0),$I$1=2,ROW()&gt;$BJ$1+2,ROW()&lt;=$BJ$1+4),"………………..",IFERROR(INDEX($AC$3:$AC$400,MATCH(ROWS(BQ$3:BQ176),BJ$3:BJ$400,0),1),"")))</f>
        <v/>
      </c>
      <c r="BR176" s="48">
        <f t="shared" ca="1" si="284"/>
        <v>0</v>
      </c>
      <c r="BS176" s="48">
        <f ca="1">IF(IF(AND(OR(INDEX(PDC,MATCH($AC176,DEN_PDC,0),4)="D",INDEX(PDC,MATCH($AC176,DEN_PDC,0),4)="D/A"),SUMIFS(DARE,DEN_G,$AC176)&gt;=SUMIFS(AVERE,DEN_G,$AC176)),SUMIFS(DARE,DEN_G,$AC176),IF(AND(OR(INDEX(PDC,MATCH($AC176,DEN_PDC,0),4)="A",INDEX(PDC,MATCH($AC176,DEN_PDC,0),4)="D/A"),SUMIFS(AVERE,DEN_G,$AC176)&gt;=SUMIFS(DARE,DEN_G,$AC176)),SUMIFS(AVERE,DEN_G,$AC176),))&gt;0,MAX($BS$2:BS175)+1,0)</f>
        <v>0</v>
      </c>
      <c r="BT176" s="48" t="str">
        <f ca="1">IF($CO$1=0,"",IF(AND($I$1=2,ROW()&gt;$BR$1,ROW()&lt;=$BS$1)," …………….",IF(AND($E$1=1,$BX$1=1,$I$1=2,ROW()=$BQ$1),"TOTALI",IFERROR(INDEX(PDC,MATCH(ROWS(BT$3:BT176),BS$3:BS573,0),2),""))))</f>
        <v/>
      </c>
      <c r="BU176" s="48">
        <f t="shared" ca="1" si="285"/>
        <v>0</v>
      </c>
      <c r="BV176" s="48">
        <f t="shared" ca="1" si="286"/>
        <v>0</v>
      </c>
      <c r="BW176" s="48">
        <f t="shared" ca="1" si="287"/>
        <v>0</v>
      </c>
      <c r="BX176" s="48">
        <f t="shared" ca="1" si="288"/>
        <v>0</v>
      </c>
      <c r="BY176" s="48">
        <f ca="1">IF(OR(BW176&gt;0,BX176&gt;0),MAX($BY$2:BY175)+1,0)</f>
        <v>0</v>
      </c>
      <c r="BZ176" s="48" t="str">
        <f ca="1">IFERROR(INDEX($BT$3:$BY$400,MATCH(ROWS(BZ$3:BZ176),$BY$3:$BY$400,0),1),"")</f>
        <v/>
      </c>
      <c r="CA176" s="48" t="str">
        <f ca="1">IFERROR(INDEX($BT$3:$BY$400,MATCH(ROWS(CA$3:CA176),$BY$3:$BY$400,0),4),"")</f>
        <v/>
      </c>
      <c r="CB176" s="48" t="str">
        <f ca="1">IFERROR(INDEX($BT$3:$BY$400,MATCH(ROWS(CB$3:CB176),$BY$3:$BY$400,0),5),"")</f>
        <v/>
      </c>
      <c r="CC176" s="48" t="str">
        <f t="shared" ca="1" si="289"/>
        <v/>
      </c>
      <c r="CD176" s="48">
        <f ca="1">IF(AND($BF$9=2,CE176&lt;&gt;0),MAX($CD$165:CD175)+1,0)</f>
        <v>0</v>
      </c>
      <c r="CE176" s="48">
        <f t="shared" ca="1" si="391"/>
        <v>0</v>
      </c>
      <c r="CF176" s="48" t="str">
        <f t="shared" si="375"/>
        <v>ppa64</v>
      </c>
      <c r="CG176" s="242" t="str">
        <f ca="1">IF($A$1=2,"_______Versamenti azionisti c/capitale",IF(A1=1,"_______Versamenti soci c/capitale",""))</f>
        <v>_______Versamenti azionisti c/capitale</v>
      </c>
      <c r="CH176" s="48">
        <f t="shared" ca="1" si="388"/>
        <v>0</v>
      </c>
      <c r="CM176" s="242" t="str">
        <f t="shared" ca="1" si="305"/>
        <v/>
      </c>
      <c r="CN176" s="243">
        <f t="shared" ca="1" si="306"/>
        <v>0</v>
      </c>
      <c r="CO176" s="48" t="str">
        <f t="shared" ca="1" si="307"/>
        <v/>
      </c>
      <c r="CQ176" s="242"/>
      <c r="CR176" s="242"/>
      <c r="CU176" s="48">
        <f ca="1">IF(SUMIFS(AVERE,DEN_G,AC176,AVERE,"&gt;"&amp;0)+SUMIFS(DARE,DEN_G,AC176,DARE,"&gt;"&amp;0)&gt;0,MAX($CU$2:CU175)+1,0)</f>
        <v>0</v>
      </c>
      <c r="CV176" s="48" t="str">
        <f ca="1">IF(IFERROR(INDEX(PDC,MATCH(ROWS($CV$3:CV176),$CU$3:$CU$400,0),2),"")="CONTO DI RISULTATO ECONOMICO","",IFERROR(INDEX(PDC,MATCH(ROWS($CV$3:CV176),$CU$3:$CU$400,0),2),""))</f>
        <v/>
      </c>
      <c r="CW176" s="48">
        <f ca="1">IFERROR(IF(CV176&lt;&gt;"",MAX($CW$2:CW175)+1,0),0)</f>
        <v>0</v>
      </c>
      <c r="CX176" s="48">
        <f t="shared" ca="1" si="389"/>
        <v>14</v>
      </c>
      <c r="CY176" s="48" t="str">
        <f t="shared" ca="1" si="387"/>
        <v>MASTRO</v>
      </c>
      <c r="CZ176" s="48" t="e">
        <f t="shared" ca="1" si="392"/>
        <v>#N/A</v>
      </c>
      <c r="DA176" s="48" t="str">
        <f t="shared" ca="1" si="397"/>
        <v/>
      </c>
      <c r="DB176" s="48" t="str">
        <f t="shared" ca="1" si="347"/>
        <v/>
      </c>
      <c r="DC176" s="48" t="str">
        <f t="shared" ca="1" si="393"/>
        <v/>
      </c>
      <c r="DD176" s="48" t="str">
        <f t="shared" ca="1" si="394"/>
        <v/>
      </c>
      <c r="DE176" s="48" t="str">
        <f t="shared" ca="1" si="395"/>
        <v/>
      </c>
      <c r="DF176" s="48">
        <f ca="1">IF(AND(CX176=$DF$1,CX176&lt;&gt;""),0,IF(AND(DB176&lt;&gt;"",OR(DB175&lt;&gt;"",DB177&lt;&gt;"")),MAX($DF$2:DF175)+1,0))</f>
        <v>0</v>
      </c>
      <c r="DH176" s="249"/>
      <c r="DN176" s="48">
        <f>IF(DI176&lt;&gt;"",MAX($DN$2:DN175)+1,0)</f>
        <v>0</v>
      </c>
      <c r="DQ176" s="227" t="s">
        <v>1043</v>
      </c>
      <c r="DR176" s="48" t="s">
        <v>135</v>
      </c>
      <c r="DS176" s="48" t="s">
        <v>312</v>
      </c>
      <c r="DT176" s="48" t="s">
        <v>298</v>
      </c>
      <c r="DU176" s="48" t="s">
        <v>5</v>
      </c>
      <c r="DV176" s="48" t="s">
        <v>299</v>
      </c>
      <c r="DW176" s="48">
        <f ca="1">IF(DR176&lt;&gt;"",MAX($DW$2:DW175)+1,0)</f>
        <v>109</v>
      </c>
      <c r="DX176" s="48" t="str">
        <f t="shared" ca="1" si="398"/>
        <v>ppd</v>
      </c>
      <c r="DY176" s="48" t="str">
        <f t="shared" ca="1" si="291"/>
        <v/>
      </c>
      <c r="DZ176" s="48" t="str">
        <f t="shared" ca="1" si="309"/>
        <v/>
      </c>
      <c r="EA176" s="48" t="str">
        <f t="shared" ca="1" si="310"/>
        <v/>
      </c>
      <c r="EB176" s="48">
        <f t="shared" ca="1" si="311"/>
        <v>0</v>
      </c>
      <c r="EC176" s="48">
        <f t="shared" ca="1" si="312"/>
        <v>0</v>
      </c>
      <c r="ED176" s="48" t="str">
        <f t="shared" ca="1" si="313"/>
        <v/>
      </c>
      <c r="EE176" s="48">
        <f t="shared" ca="1" si="314"/>
        <v>0</v>
      </c>
      <c r="EF176" s="48" t="str">
        <f t="shared" ca="1" si="315"/>
        <v/>
      </c>
      <c r="EG176" s="48">
        <f t="shared" ca="1" si="316"/>
        <v>0</v>
      </c>
      <c r="EH176" s="48" t="str">
        <f t="shared" ca="1" si="317"/>
        <v/>
      </c>
      <c r="EI176" s="48">
        <f t="shared" ca="1" si="318"/>
        <v>0</v>
      </c>
      <c r="EJ176" s="48" t="str">
        <f t="shared" ca="1" si="319"/>
        <v/>
      </c>
      <c r="EK176" s="48">
        <f t="shared" ca="1" si="320"/>
        <v>0</v>
      </c>
      <c r="EL176" s="48">
        <f t="shared" ca="1" si="292"/>
        <v>0</v>
      </c>
      <c r="EM176" s="48">
        <f ca="1">IF(EL176&gt;=0,0,MAX($EM$2:EM175)+1)</f>
        <v>0</v>
      </c>
      <c r="EN176" s="48" t="str">
        <f t="shared" ca="1" si="321"/>
        <v/>
      </c>
      <c r="EO176" s="48" t="str">
        <f ca="1">IFERROR(INDEX($EM$3:$EN$400,MATCH(ROWS($EO$3:EO176),$EM$3:$EM$400,0),2),"")</f>
        <v/>
      </c>
      <c r="EP176" s="48">
        <f>ROW()</f>
        <v>176</v>
      </c>
      <c r="EQ176" s="48">
        <f t="shared" ca="1" si="293"/>
        <v>0</v>
      </c>
      <c r="ER176" s="48">
        <f ca="1">IF(ISNA(EQ176)=TRUE,MAX($ER$2:ER175)+1,0)</f>
        <v>0</v>
      </c>
      <c r="ES176" s="48" t="str">
        <f t="shared" ca="1" si="322"/>
        <v/>
      </c>
      <c r="ET176" s="48" t="str">
        <f ca="1">IFERROR(INDEX($ER$3:$ES$400,MATCH(ROWS($ET$3:ET176),$ER$3:$ER$400,0),2),"")</f>
        <v/>
      </c>
      <c r="EV176" s="48">
        <f ca="1">IFERROR(INDEX(LIBRO_GIORNALE!$O$11:$P$408,MATCH(ROWS($EV$2:EV175),LIBRO_GIORNALE!$P$11:$P$408,0),1),0)</f>
        <v>0</v>
      </c>
      <c r="EW176" s="48" t="str">
        <f t="shared" ca="1" si="323"/>
        <v>0</v>
      </c>
      <c r="EX176" s="48">
        <f t="shared" ca="1" si="324"/>
        <v>0</v>
      </c>
      <c r="EY176" s="48">
        <f ca="1">IF(EX176&gt;0,MAX($EY$2:EY175)+1,0)</f>
        <v>0</v>
      </c>
      <c r="EZ176" s="48">
        <f ca="1">IFERROR(INDEX($EX$3:$EX$400,MATCH(ROWS($EZ$3:EZ176),$EY$3:$EY$400,0),1),0)</f>
        <v>0</v>
      </c>
      <c r="FA176" s="48">
        <f ca="1">IF(EZ176&gt;0,0,MAX($FA$2:FA175)+1)</f>
        <v>174</v>
      </c>
      <c r="FB176" s="48">
        <f t="shared" ca="1" si="325"/>
        <v>0</v>
      </c>
      <c r="FC176" s="48">
        <f t="shared" ca="1" si="326"/>
        <v>174</v>
      </c>
      <c r="FD176" s="48">
        <f t="shared" ca="1" si="327"/>
        <v>174</v>
      </c>
      <c r="FE176" s="48">
        <f ca="1">IF(FD176=0,0,MAX($FE$2:FE175)+1)</f>
        <v>174</v>
      </c>
      <c r="FF176" s="48">
        <f ca="1">IFERROR(INDEX($FD$3:$FE$400,MATCH(ROWS($FF$3:FF176),$FE$3:$FE$400,0),1),"")</f>
        <v>174</v>
      </c>
      <c r="FG176" s="48">
        <f t="shared" ca="1" si="380"/>
        <v>0</v>
      </c>
      <c r="FH176" s="48" t="str">
        <f t="shared" ca="1" si="328"/>
        <v>BANCA X C/C</v>
      </c>
      <c r="FI176" s="48">
        <f ca="1">IF(FH176&lt;&gt;0,MAX($FI$2:FI175)+1,0)</f>
        <v>3</v>
      </c>
      <c r="FJ176" s="48" t="str">
        <f ca="1">IFERROR(INDEX($FH$3:$FI$400,MATCH(ROWS($FJ$3:FJ176),$FI$3:$FI$400,0),1),"")</f>
        <v/>
      </c>
      <c r="FK176" s="48">
        <f ca="1">IF(ABS(SUMIFS(DARE,DEN_G,"="&amp;FJ176,DATA,"&lt;="&amp;FINE_AC,DATA,"&gt;="&amp;INIZIO_A_PC)-SUMIFS(AVERE,DEN_G,"="&amp;FJ176,DATA,"&lt;="&amp;FINE_AC,DATA,"&gt;="&amp;INIZIO_A_PC))&gt;0,MAX($FK$2:FK175)+1,0)</f>
        <v>0</v>
      </c>
      <c r="FL176" s="48" t="str">
        <f ca="1">IF(AND(ROW()-2&lt;&gt;1,ROW()-2&lt;=$FK$1),CONCATENATE(" - ",IFERROR(INDEX($FJ$3:$FK$400,MATCH(ROWS($FL$3:FL176),$FK$3:$FK$400,0),1),"")),IFERROR(INDEX($FJ$3:$FK$400,MATCH(ROWS($FL$3:FL176),$FK$3:$FK$400,0),1),""))</f>
        <v/>
      </c>
      <c r="FM176" s="48">
        <f ca="1">IF(OR(B176="IVA ns/credito",B176="IVA NS/DEBITO",B176="IVA C/ACCONTO",B176="IMPOSTE C/ACCONTO",B176="CREDITI PER RITENUTE SUBITE",B176="CREDITI D'IMPOSTA"),MAX($FM$2:FM175)+1,0)</f>
        <v>0</v>
      </c>
      <c r="FN176" s="48" t="str">
        <f t="shared" ca="1" si="329"/>
        <v/>
      </c>
      <c r="FO176" s="48" t="str">
        <f ca="1">IFERROR(INDEX($FM$3:$FN$400,MATCH(ROWS($FO$3:FO176),$FM$3:$FM$400,0),2),"")</f>
        <v/>
      </c>
      <c r="FP176" s="48">
        <f ca="1">IF(ABS(SUMIFS(DARE,DEN_G,"="&amp;FO176,DATA,"&lt;="&amp;FINE_AC,DATA,"&gt;="&amp;INIZIO_A_PC)-SUMIFS(AVERE,DEN_G,"="&amp;FO176,DATA,"&lt;="&amp;FINE_AC,DATA,"&gt;="&amp;INIZIO_A_PC))&gt;0,MAX($FP$2:FP175)+1,0)</f>
        <v>0</v>
      </c>
      <c r="FQ176" s="48" t="str">
        <f ca="1">IF(AND(ROW()-2&lt;&gt;1,ROW()-2&lt;=$FP$1),CONCATENATE(" - ",IFERROR(INDEX($FO$3:$FP$400,MATCH(ROWS($FQ$3:FQ176),$FP$3:$FP$400,0),1),"")),IFERROR(INDEX($FO$3:$FP$400,MATCH(ROWS($FQ$3:FQ176),$FP$3:$FP$400,0),1),""))</f>
        <v/>
      </c>
    </row>
    <row r="177" spans="1:173" x14ac:dyDescent="0.3">
      <c r="A177" s="48" t="str">
        <f ca="1">IFERROR(IF($A$1=2,INDEX($DH$3:$DN$401,MATCH(ROWS(A$3:A177),$DN$3:$DN$401,0),COLUMN()),IF($A$1=1,INDEX($DQ$3:$DW$401,MATCH(ROWS(A$3:A177),$DW$3:$DW$401,0),COLUMN()),"")),"")</f>
        <v>18.21</v>
      </c>
      <c r="B177" s="48" t="str">
        <f ca="1">IFERROR(IF($A$1=2,INDEX($DH$3:$DN$401,MATCH(ROWS(B$3:B177),$DN$3:$DN$401,0),COLUMN()),IF($A$1=1,INDEX($DQ$3:$DW$400,MATCH(ROWS(B$3:B177),$DW$3:$DW$401,0),COLUMN()),"")),"")</f>
        <v>BANCA Y C/C</v>
      </c>
      <c r="C177" s="48" t="str">
        <f ca="1">IFERROR(IF($A$1=2,INDEX($DH$3:$DN$401,MATCH(ROWS(C$3:C177),$DN$3:$DN$401,0),COLUMN()),IF($A$1=1,INDEX($DQ$3:$DW$401,MATCH(ROWS(C$3:C177),$DW$3:$DW$401,0),COLUMN()),"")),"")</f>
        <v>F</v>
      </c>
      <c r="D177" s="48" t="str">
        <f ca="1">IFERROR(IF($A$1=2,INDEX($DH$3:$DN$401,MATCH(ROWS(D$3:D177),$DN$3:$DN$401,0),COLUMN()),IF($A$1=1,INDEX($DQ$3:$DW$401,MATCH(ROWS(D$3:D177),$DW$3:$DW$401,0),COLUMN()),"")),"")</f>
        <v>D/A</v>
      </c>
      <c r="E177" s="48" t="str">
        <f ca="1">IFERROR(IF($A$1=2,INDEX($DH$3:$DN$401,MATCH(ROWS(E$3:E177),$DN$3:$DN$401,0),COLUMN()),IF($A$1=1,INDEX($DQ$3:$DW$401,MATCH(ROWS(E$3:E177),$DW$3:$DW$401,0),COLUMN()),"")),"")</f>
        <v>CONTI CON ALTERNANZA DI SALDO</v>
      </c>
      <c r="F177" s="48" t="str">
        <f ca="1">IFERROR(IF($A$1=2,INDEX($DH$3:$DN$401,MATCH(ROWS(F$3:F177),$DN$3:$DN$401,0),COLUMN()),IF($A$1=1,INDEX($DQ$3:$DX$401,MATCH(ROWS(F$3:F177),$DW$3:$DW$401,0),COLUMN()),"")),"")</f>
        <v>SP DARE/AVERE</v>
      </c>
      <c r="G177" s="48" t="str">
        <f t="shared" ca="1" si="294"/>
        <v>SP</v>
      </c>
      <c r="H177" s="48" t="str">
        <f ca="1">IFERROR(IF($A$1=2,INDEX($DH$3:$DO$400,MATCH(ROWS(H$3:H177),$DN$3:$DN$400,0),COLUMN()),IF($A$1=1,INDEX($DQ$3:$DX$400,MATCH(ROWS(H$3:H177),$DW$3:$DW$400,0),COLUMN()),"")),"")</f>
        <v>ppd</v>
      </c>
      <c r="I177" s="48" t="str">
        <f t="shared" ca="1" si="295"/>
        <v/>
      </c>
      <c r="J177" s="48" t="str">
        <f t="shared" ca="1" si="296"/>
        <v/>
      </c>
      <c r="K177" s="48">
        <f t="shared" ca="1" si="297"/>
        <v>0</v>
      </c>
      <c r="L177" s="48">
        <f t="shared" ca="1" si="298"/>
        <v>0</v>
      </c>
      <c r="M177" s="48">
        <f ca="1">IFERROR(IF(IF(MID($A177,3,3)=".00",MID(A177,1,2),"")&lt;&gt;"",MAX($M$2:M176)+1,0),"")</f>
        <v>0</v>
      </c>
      <c r="N177" s="48" t="str">
        <f t="shared" ca="1" si="299"/>
        <v/>
      </c>
      <c r="O177" s="48" t="str">
        <f ca="1">IF(IFERROR(INDEX($N$3:$O$300,MATCH(ROWS($O$3:O177),$M$3:$M$300,0),1),"")&lt;&gt;"",CONCATENATE(INDEX($N$3:$O$300,MATCH(ROWS($O$3:O177),$M$3:$M$300,0),1),".00"),"")</f>
        <v/>
      </c>
      <c r="P177" s="48" t="str">
        <f t="shared" ca="1" si="300"/>
        <v/>
      </c>
      <c r="Q177" s="48">
        <f ca="1">IF(M177&gt;=1,0,MAX($Q$2:Q176)+1)</f>
        <v>157</v>
      </c>
      <c r="U177" s="48" t="str">
        <f ca="1">IFERROR(INDEX(PDC,MATCH(ROWS(U$3:U177),$V$3:$V$400,0),2),"")</f>
        <v>RIMBORSI COSTI DI VENDITA</v>
      </c>
      <c r="V177" s="48">
        <f ca="1">IF(AND($T$1="VISUALIZZA TUTTI I CONTI",AA177&lt;&gt;""),MAX($V$2:V176)+1,IF(AND($U$2=2,AI177=$T$1),MAX($V$2:V176)+1,IF(AND($U$2=1,$T$1=AF177),MAX($V$2:V176)+1,0)))</f>
        <v>175</v>
      </c>
      <c r="AA177" s="48" t="str">
        <f t="shared" ca="1" si="301"/>
        <v>20.00</v>
      </c>
      <c r="AB177" s="48" t="str">
        <f ca="1">IFERROR(INDEX($A$3:$G$400,MATCH(ROWS(AB$3:AB177),$Q$3:$Q$400,0),1),"")</f>
        <v>20.30</v>
      </c>
      <c r="AC177" s="48" t="str">
        <f ca="1">IFERROR(INDEX($A$3:$G$400,MATCH(ROWS($AC$3:AC177),$Q$3:$Q$400,0),2),"")</f>
        <v>RIMBORSI COSTI DI VENDITA</v>
      </c>
      <c r="AD177" s="48" t="str">
        <f ca="1">IFERROR(INDEX($A$3:$G$400,MATCH(ROWS(AD$3:AD177),$Q$3:$Q$400,0),3),"")</f>
        <v>E</v>
      </c>
      <c r="AE177" s="48" t="str">
        <f ca="1">IFERROR(INDEX($A$3:$G$400,MATCH(ROWS(AE$3:AE177),$Q$3:$Q$400,0),4),"")</f>
        <v>A</v>
      </c>
      <c r="AF177" s="48" t="str">
        <f ca="1">IFERROR(INDEX($A$3:$G$400,MATCH(ROWS(AF$3:AF177),$Q$3:$Q$400,0),5),"")</f>
        <v>RICAVI D'ESERCIZIO</v>
      </c>
      <c r="AG177" s="48" t="str">
        <f ca="1">IFERROR(INDEX($A$3:$G$400,MATCH(ROWS(AG$3:AG177),$Q$3:$Q$400,0),6),"")</f>
        <v>SE AVERE</v>
      </c>
      <c r="AH177" s="48" t="str">
        <f ca="1">IFERROR(INDEX($A$3:$G$400,MATCH(ROWS(AH$3:AH177),$Q$3:$Q$400,0),7),"")</f>
        <v>SE</v>
      </c>
      <c r="AI177" s="48" t="str">
        <f t="shared" ca="1" si="302"/>
        <v>VALORE DELLA PRODUZIONE</v>
      </c>
      <c r="AJ177" s="48" t="str">
        <f ca="1">IFERROR(INDEX($A$3:$H$400,MATCH(ROWS(AJ$3:AJ177),$Q$3:$Q$400,0),8),"")</f>
        <v>ea5</v>
      </c>
      <c r="AK177" s="48">
        <f t="shared" ca="1" si="277"/>
        <v>0</v>
      </c>
      <c r="AL177" s="48">
        <f t="shared" ca="1" si="373"/>
        <v>0</v>
      </c>
      <c r="AM177" s="48">
        <f t="shared" ca="1" si="377"/>
        <v>0</v>
      </c>
      <c r="AN177" s="48">
        <f t="shared" ca="1" si="378"/>
        <v>0</v>
      </c>
      <c r="AO177" s="48">
        <f t="shared" ca="1" si="379"/>
        <v>0</v>
      </c>
      <c r="AP177" s="48">
        <f t="shared" ca="1" si="379"/>
        <v>0</v>
      </c>
      <c r="AQ177" s="48" t="str">
        <f t="shared" ca="1" si="278"/>
        <v/>
      </c>
      <c r="AR177" s="48">
        <f t="shared" ca="1" si="279"/>
        <v>0</v>
      </c>
      <c r="AS177" s="48">
        <f t="shared" ca="1" si="280"/>
        <v>0</v>
      </c>
      <c r="AT177" s="48">
        <f t="shared" ca="1" si="303"/>
        <v>0</v>
      </c>
      <c r="AU177" s="48">
        <f t="shared" ca="1" si="304"/>
        <v>0</v>
      </c>
      <c r="AV177" s="48">
        <f ca="1">IF(OR(AT177&gt;0,AU177&gt;0),MAX($AV$2:AV176)+1,0)</f>
        <v>0</v>
      </c>
      <c r="AZ177" s="241" t="str">
        <f t="shared" si="381"/>
        <v>77 V.I.</v>
      </c>
      <c r="BA177" s="48">
        <f t="shared" ca="1" si="369"/>
        <v>0</v>
      </c>
      <c r="BB177" s="48">
        <f t="shared" ca="1" si="370"/>
        <v>0</v>
      </c>
      <c r="BC177" s="48" t="str">
        <f t="shared" ca="1" si="382"/>
        <v/>
      </c>
      <c r="BD177" s="48">
        <f t="shared" ca="1" si="383"/>
        <v>0</v>
      </c>
      <c r="BE177" s="48">
        <f t="shared" ca="1" si="384"/>
        <v>0</v>
      </c>
      <c r="BG177" s="48">
        <f ca="1">IF(IF(AND(OR(INDEX(PDC,MATCH($AC177,DEN_PDC,0),6)="SP DARE",INDEX(PDC,MATCH($AC177,DEN_PDC,0),6)="SP DARE/AVERE"),SUMIFS(DARE,DEN_G,$AC177)&gt;=SUMIFS(AVERE,DEN_G,$AC177)),SUMIFS(DARE,DEN_G,$AC177)-SUMIFS(AVERE,DEN_G,$AC177),0)&gt;0,MAX($BG$2:BG176)+1,0)</f>
        <v>0</v>
      </c>
      <c r="BH177" s="48">
        <f ca="1">IF(IF(AND(OR(INDEX(PDC,MATCH($AC177,DEN_PDC,0),6)="SP AVERE",INDEX(PDC,MATCH($AC177,DEN_PDC,0),6)="SP DARE/AVERE"),SUMIFS(AVERE,DEN_G,$AC177)&gt;=SUMIFS(DARE,DEN_G,$AC177)),SUMIFS(AVERE,DEN_G,$AC177)-SUMIFS(DARE,DEN_G,$AC177),0)&gt;0,MAX(BH$2:BH176)+1,0)</f>
        <v>0</v>
      </c>
      <c r="BI177" s="48">
        <f ca="1">IF(IF(AND(OR(INDEX(PDC,MATCH($AC177,DEN_PDC,0),6)="SE DARE",INDEX(PDC,MATCH($AC177,DEN_PDC,0),6)="SE DARE/AVERE"),SUMIFS(DARE,DEN_G,$AC177)&gt;=SUMIFS(AVERE,DEN_G,$AC177)),SUMIFS(DARE,DEN_G,$AC177)-SUMIFS(AVERE,DEN_G,$AC177),0)&gt;0,MAX(BI$2:BI176)+1,0)</f>
        <v>0</v>
      </c>
      <c r="BJ177" s="48">
        <f ca="1">IF(IF(AND(OR(INDEX(PDC,MATCH($AC177,DEN_PDC,0),6)="SE AVERE",INDEX(PDC,MATCH($AC177,DEN_PDC,0),6)="SE DARE/AVERE"),SUMIFS(AVERE,DEN_G,$AC177)&gt;=SUMIFS(DARE,DEN_G,$AC177)),SUMIFS(AVERE,DEN_G,$AC177)-SUMIFS(DARE,DEN_G,$AC177),0)&gt;0,MAX(BJ$2:BJ176)+1,0)</f>
        <v>0</v>
      </c>
      <c r="BK177" s="48" t="str">
        <f ca="1">IF(AND(AND($DY$2=0,$DY$1=0),$I$1=2,ROW()&gt;$BG$1+2,ROW()&lt;=$BG$1+4),"………………..",IF(AND(OR($DY$2&gt;0,$DY$1&gt;0),$I$1=2,ROW()&gt;$BG$1+2,ROW()&lt;=$BG$1+4),"………………..",IFERROR(INDEX($AC$3:$AC$398,MATCH(ROWS(BK$3:BK177),BG$3:BG$398,0),1),"")))</f>
        <v/>
      </c>
      <c r="BL177" s="48">
        <f t="shared" ca="1" si="281"/>
        <v>0</v>
      </c>
      <c r="BM177" s="48" t="str">
        <f ca="1">IF(AND(OR($DY$2=0,$DY$1=0),$I$1=2,ROW()&gt;$BH$1+2,ROW()&lt;=$BH$1+4),"………………..",IF(AND(OR($DY$2&gt;0,$DY$1&gt;0),$I$1=2,ROW()&gt;$BH$1+2,ROW()&lt;=$BH$1+4),"………………..",IFERROR(INDEX($AC$3:$AC$400,MATCH(ROWS(BM$3:BM177),BH$3:BH$400,0),1),"")))</f>
        <v/>
      </c>
      <c r="BN177" s="48">
        <f t="shared" ca="1" si="282"/>
        <v>0</v>
      </c>
      <c r="BO177" s="48" t="str">
        <f ca="1">IF(AND(OR($DY$2=0,$DY$1=0),$I$1=2,ROW()&gt;$BI$1+2,ROW()&lt;=$BI$1+4),"………………..",IF(AND(OR($DY$2&gt;0,$DY$1&gt;0),$I$1=2,ROW()&gt;$BI$1+2,ROW()&lt;=$BI$1+4),"………………..",IFERROR(INDEX($AC$3:$AC$400,MATCH(ROWS(BO$3:BO177),BI$3:BI$400,0),1),"")))</f>
        <v/>
      </c>
      <c r="BP177" s="48">
        <f t="shared" ca="1" si="283"/>
        <v>0</v>
      </c>
      <c r="BQ177" s="48" t="str">
        <f ca="1">IF(AND(OR($DY$2=0,$DY$1=0),$I$1=2,ROW()&gt;$BJ$1+2,ROW()&lt;=$BJ$1+4),"………………..",IF(AND(OR($DY$2&gt;0,$DY$1&gt;0),$I$1=2,ROW()&gt;$BJ$1+2,ROW()&lt;=$BJ$1+4),"………………..",IFERROR(INDEX($AC$3:$AC$400,MATCH(ROWS(BQ$3:BQ177),BJ$3:BJ$400,0),1),"")))</f>
        <v/>
      </c>
      <c r="BR177" s="48">
        <f t="shared" ca="1" si="284"/>
        <v>0</v>
      </c>
      <c r="BS177" s="48">
        <f ca="1">IF(IF(AND(OR(INDEX(PDC,MATCH($AC177,DEN_PDC,0),4)="D",INDEX(PDC,MATCH($AC177,DEN_PDC,0),4)="D/A"),SUMIFS(DARE,DEN_G,$AC177)&gt;=SUMIFS(AVERE,DEN_G,$AC177)),SUMIFS(DARE,DEN_G,$AC177),IF(AND(OR(INDEX(PDC,MATCH($AC177,DEN_PDC,0),4)="A",INDEX(PDC,MATCH($AC177,DEN_PDC,0),4)="D/A"),SUMIFS(AVERE,DEN_G,$AC177)&gt;=SUMIFS(DARE,DEN_G,$AC177)),SUMIFS(AVERE,DEN_G,$AC177),))&gt;0,MAX($BS$2:BS176)+1,0)</f>
        <v>0</v>
      </c>
      <c r="BT177" s="48" t="str">
        <f ca="1">IF($CO$1=0,"",IF(AND($I$1=2,ROW()&gt;$BR$1,ROW()&lt;=$BS$1)," …………….",IF(AND($E$1=1,$BX$1=1,$I$1=2,ROW()=$BQ$1),"TOTALI",IFERROR(INDEX(PDC,MATCH(ROWS(BT$3:BT177),BS$3:BS574,0),2),""))))</f>
        <v/>
      </c>
      <c r="BU177" s="48">
        <f t="shared" ca="1" si="285"/>
        <v>0</v>
      </c>
      <c r="BV177" s="48">
        <f t="shared" ca="1" si="286"/>
        <v>0</v>
      </c>
      <c r="BW177" s="48">
        <f t="shared" ca="1" si="287"/>
        <v>0</v>
      </c>
      <c r="BX177" s="48">
        <f t="shared" ca="1" si="288"/>
        <v>0</v>
      </c>
      <c r="BY177" s="48">
        <f ca="1">IF(OR(BW177&gt;0,BX177&gt;0),MAX($BY$2:BY176)+1,0)</f>
        <v>0</v>
      </c>
      <c r="BZ177" s="48" t="str">
        <f ca="1">IFERROR(INDEX($BT$3:$BY$400,MATCH(ROWS(BZ$3:BZ177),$BY$3:$BY$400,0),1),"")</f>
        <v/>
      </c>
      <c r="CA177" s="48" t="str">
        <f ca="1">IFERROR(INDEX($BT$3:$BY$400,MATCH(ROWS(CA$3:CA177),$BY$3:$BY$400,0),4),"")</f>
        <v/>
      </c>
      <c r="CB177" s="48" t="str">
        <f ca="1">IFERROR(INDEX($BT$3:$BY$400,MATCH(ROWS(CB$3:CB177),$BY$3:$BY$400,0),5),"")</f>
        <v/>
      </c>
      <c r="CC177" s="48" t="str">
        <f t="shared" ca="1" si="289"/>
        <v/>
      </c>
      <c r="CD177" s="48">
        <f ca="1">IF(AND($BF$9=2,CE177&lt;&gt;0),MAX($CD$165:CD176)+1,0)</f>
        <v>0</v>
      </c>
      <c r="CE177" s="48">
        <f t="shared" ca="1" si="391"/>
        <v>0</v>
      </c>
      <c r="CF177" s="48">
        <f t="shared" si="375"/>
        <v>0</v>
      </c>
      <c r="CG177" s="48" t="str">
        <f t="shared" si="376"/>
        <v>_______Riserva rivalutazione partecipazioni</v>
      </c>
      <c r="CH177" s="48">
        <f t="shared" ca="1" si="388"/>
        <v>0</v>
      </c>
      <c r="CM177" s="242" t="str">
        <f t="shared" ca="1" si="305"/>
        <v/>
      </c>
      <c r="CN177" s="243">
        <f t="shared" ca="1" si="306"/>
        <v>0</v>
      </c>
      <c r="CO177" s="48" t="str">
        <f t="shared" ca="1" si="307"/>
        <v/>
      </c>
      <c r="CQ177" s="242"/>
      <c r="CR177" s="242"/>
      <c r="CU177" s="48">
        <f ca="1">IF(SUMIFS(AVERE,DEN_G,AC177,AVERE,"&gt;"&amp;0)+SUMIFS(DARE,DEN_G,AC177,DARE,"&gt;"&amp;0)&gt;0,MAX($CU$2:CU176)+1,0)</f>
        <v>0</v>
      </c>
      <c r="CV177" s="48" t="str">
        <f ca="1">IF(IFERROR(INDEX(PDC,MATCH(ROWS($CV$3:CV177),$CU$3:$CU$400,0),2),"")="CONTO DI RISULTATO ECONOMICO","",IFERROR(INDEX(PDC,MATCH(ROWS($CV$3:CV177),$CU$3:$CU$400,0),2),""))</f>
        <v/>
      </c>
      <c r="CW177" s="48">
        <f ca="1">IFERROR(IF(CV177&lt;&gt;"",MAX($CW$2:CW176)+1,0),0)</f>
        <v>0</v>
      </c>
      <c r="CX177" s="48">
        <f t="shared" ca="1" si="389"/>
        <v>14</v>
      </c>
      <c r="CY177" s="48" t="str">
        <f t="shared" ca="1" si="387"/>
        <v>MASTRO</v>
      </c>
      <c r="CZ177" s="48" t="e">
        <f t="shared" ca="1" si="392"/>
        <v>#N/A</v>
      </c>
      <c r="DA177" s="48" t="str">
        <f t="shared" ca="1" si="397"/>
        <v/>
      </c>
      <c r="DB177" s="48" t="str">
        <f t="shared" ca="1" si="347"/>
        <v/>
      </c>
      <c r="DC177" s="48" t="str">
        <f t="shared" ca="1" si="393"/>
        <v/>
      </c>
      <c r="DD177" s="48" t="str">
        <f t="shared" ca="1" si="394"/>
        <v/>
      </c>
      <c r="DE177" s="48" t="str">
        <f t="shared" ca="1" si="395"/>
        <v/>
      </c>
      <c r="DF177" s="48">
        <f ca="1">IF(AND(CX177=$DF$1,CX177&lt;&gt;""),0,IF(AND(DB177&lt;&gt;"",OR(DB176&lt;&gt;"",DB178&lt;&gt;"")),MAX($DF$2:DF176)+1,0))</f>
        <v>0</v>
      </c>
      <c r="DH177" s="244" t="s">
        <v>130</v>
      </c>
      <c r="DI177" s="228" t="s">
        <v>131</v>
      </c>
      <c r="DN177" s="48">
        <f ca="1">IF(DI177&lt;&gt;"",MAX($DN$2:DN176)+1,0)</f>
        <v>147</v>
      </c>
      <c r="DQ177" s="227" t="s">
        <v>142</v>
      </c>
      <c r="DR177" s="48" t="s">
        <v>1042</v>
      </c>
      <c r="DS177" s="48" t="s">
        <v>312</v>
      </c>
      <c r="DT177" s="48" t="s">
        <v>298</v>
      </c>
      <c r="DU177" s="48" t="s">
        <v>5</v>
      </c>
      <c r="DV177" s="48" t="s">
        <v>299</v>
      </c>
      <c r="DW177" s="48">
        <f ca="1">IF(DR177&lt;&gt;"",MAX($DW$2:DW176)+1,0)</f>
        <v>110</v>
      </c>
      <c r="DX177" s="48" t="str">
        <f ca="1">IF($BF$9=1,"ppd12","ppd")</f>
        <v>ppd</v>
      </c>
      <c r="DY177" s="48" t="str">
        <f t="shared" ca="1" si="291"/>
        <v/>
      </c>
      <c r="DZ177" s="48" t="str">
        <f t="shared" ca="1" si="309"/>
        <v/>
      </c>
      <c r="EA177" s="48" t="str">
        <f t="shared" ca="1" si="310"/>
        <v/>
      </c>
      <c r="EB177" s="48">
        <f t="shared" ca="1" si="311"/>
        <v>0</v>
      </c>
      <c r="EC177" s="48">
        <f t="shared" ca="1" si="312"/>
        <v>0</v>
      </c>
      <c r="ED177" s="48" t="str">
        <f t="shared" ca="1" si="313"/>
        <v/>
      </c>
      <c r="EE177" s="48">
        <f t="shared" ca="1" si="314"/>
        <v>0</v>
      </c>
      <c r="EF177" s="48" t="str">
        <f t="shared" ca="1" si="315"/>
        <v/>
      </c>
      <c r="EG177" s="48">
        <f t="shared" ca="1" si="316"/>
        <v>0</v>
      </c>
      <c r="EH177" s="48" t="str">
        <f t="shared" ca="1" si="317"/>
        <v/>
      </c>
      <c r="EI177" s="48">
        <f t="shared" ca="1" si="318"/>
        <v>0</v>
      </c>
      <c r="EJ177" s="48" t="str">
        <f t="shared" ca="1" si="319"/>
        <v/>
      </c>
      <c r="EK177" s="48">
        <f t="shared" ca="1" si="320"/>
        <v>0</v>
      </c>
      <c r="EL177" s="48">
        <f t="shared" ca="1" si="292"/>
        <v>0</v>
      </c>
      <c r="EM177" s="48">
        <f ca="1">IF(EL177&gt;=0,0,MAX($EM$2:EM176)+1)</f>
        <v>0</v>
      </c>
      <c r="EN177" s="48" t="str">
        <f t="shared" ca="1" si="321"/>
        <v/>
      </c>
      <c r="EO177" s="48" t="str">
        <f ca="1">IFERROR(INDEX($EM$3:$EN$400,MATCH(ROWS($EO$3:EO177),$EM$3:$EM$400,0),2),"")</f>
        <v/>
      </c>
      <c r="EP177" s="48">
        <f>ROW()</f>
        <v>177</v>
      </c>
      <c r="EQ177" s="48">
        <f t="shared" ca="1" si="293"/>
        <v>0</v>
      </c>
      <c r="ER177" s="48">
        <f ca="1">IF(ISNA(EQ177)=TRUE,MAX($ER$2:ER176)+1,0)</f>
        <v>0</v>
      </c>
      <c r="ES177" s="48" t="str">
        <f t="shared" ca="1" si="322"/>
        <v/>
      </c>
      <c r="ET177" s="48" t="str">
        <f ca="1">IFERROR(INDEX($ER$3:$ES$400,MATCH(ROWS($ET$3:ET177),$ER$3:$ER$400,0),2),"")</f>
        <v/>
      </c>
      <c r="EV177" s="48">
        <f ca="1">IFERROR(INDEX(LIBRO_GIORNALE!$O$11:$P$408,MATCH(ROWS($EV$2:EV176),LIBRO_GIORNALE!$P$11:$P$408,0),1),0)</f>
        <v>0</v>
      </c>
      <c r="EW177" s="48" t="str">
        <f t="shared" ca="1" si="323"/>
        <v>0</v>
      </c>
      <c r="EX177" s="48">
        <f t="shared" ca="1" si="324"/>
        <v>0</v>
      </c>
      <c r="EY177" s="48">
        <f ca="1">IF(EX177&gt;0,MAX($EY$2:EY176)+1,0)</f>
        <v>0</v>
      </c>
      <c r="EZ177" s="48">
        <f ca="1">IFERROR(INDEX($EX$3:$EX$400,MATCH(ROWS($EZ$3:EZ177),$EY$3:$EY$400,0),1),0)</f>
        <v>0</v>
      </c>
      <c r="FA177" s="48">
        <f ca="1">IF(EZ177&gt;0,0,MAX($FA$2:FA176)+1)</f>
        <v>175</v>
      </c>
      <c r="FB177" s="48">
        <f t="shared" ca="1" si="325"/>
        <v>0</v>
      </c>
      <c r="FC177" s="48">
        <f t="shared" ca="1" si="326"/>
        <v>175</v>
      </c>
      <c r="FD177" s="48">
        <f t="shared" ca="1" si="327"/>
        <v>175</v>
      </c>
      <c r="FE177" s="48">
        <f ca="1">IF(FD177=0,0,MAX($FE$2:FE176)+1)</f>
        <v>175</v>
      </c>
      <c r="FF177" s="48">
        <f ca="1">IFERROR(INDEX($FD$3:$FE$400,MATCH(ROWS($FF$3:FF177),$FE$3:$FE$400,0),1),"")</f>
        <v>175</v>
      </c>
      <c r="FG177" s="48">
        <f t="shared" ca="1" si="380"/>
        <v>0</v>
      </c>
      <c r="FH177" s="48" t="str">
        <f t="shared" ca="1" si="328"/>
        <v>BANCA Y C/C</v>
      </c>
      <c r="FI177" s="48">
        <f ca="1">IF(FH177&lt;&gt;0,MAX($FI$2:FI176)+1,0)</f>
        <v>4</v>
      </c>
      <c r="FJ177" s="48" t="str">
        <f ca="1">IFERROR(INDEX($FH$3:$FI$400,MATCH(ROWS($FJ$3:FJ177),$FI$3:$FI$400,0),1),"")</f>
        <v/>
      </c>
      <c r="FK177" s="48">
        <f ca="1">IF(ABS(SUMIFS(DARE,DEN_G,"="&amp;FJ177,DATA,"&lt;="&amp;FINE_AC,DATA,"&gt;="&amp;INIZIO_A_PC)-SUMIFS(AVERE,DEN_G,"="&amp;FJ177,DATA,"&lt;="&amp;FINE_AC,DATA,"&gt;="&amp;INIZIO_A_PC))&gt;0,MAX($FK$2:FK176)+1,0)</f>
        <v>0</v>
      </c>
      <c r="FL177" s="48" t="str">
        <f ca="1">IF(AND(ROW()-2&lt;&gt;1,ROW()-2&lt;=$FK$1),CONCATENATE(" - ",IFERROR(INDEX($FJ$3:$FK$400,MATCH(ROWS($FL$3:FL177),$FK$3:$FK$400,0),1),"")),IFERROR(INDEX($FJ$3:$FK$400,MATCH(ROWS($FL$3:FL177),$FK$3:$FK$400,0),1),""))</f>
        <v/>
      </c>
      <c r="FM177" s="48">
        <f ca="1">IF(OR(B177="IVA ns/credito",B177="IVA NS/DEBITO",B177="IVA C/ACCONTO",B177="IMPOSTE C/ACCONTO",B177="CREDITI PER RITENUTE SUBITE",B177="CREDITI D'IMPOSTA"),MAX($FM$2:FM176)+1,0)</f>
        <v>0</v>
      </c>
      <c r="FN177" s="48" t="str">
        <f t="shared" ca="1" si="329"/>
        <v/>
      </c>
      <c r="FO177" s="48" t="str">
        <f ca="1">IFERROR(INDEX($FM$3:$FN$400,MATCH(ROWS($FO$3:FO177),$FM$3:$FM$400,0),2),"")</f>
        <v/>
      </c>
      <c r="FP177" s="48">
        <f ca="1">IF(ABS(SUMIFS(DARE,DEN_G,"="&amp;FO177,DATA,"&lt;="&amp;FINE_AC,DATA,"&gt;="&amp;INIZIO_A_PC)-SUMIFS(AVERE,DEN_G,"="&amp;FO177,DATA,"&lt;="&amp;FINE_AC,DATA,"&gt;="&amp;INIZIO_A_PC))&gt;0,MAX($FP$2:FP176)+1,0)</f>
        <v>0</v>
      </c>
      <c r="FQ177" s="48" t="str">
        <f ca="1">IF(AND(ROW()-2&lt;&gt;1,ROW()-2&lt;=$FP$1),CONCATENATE(" - ",IFERROR(INDEX($FO$3:$FP$400,MATCH(ROWS($FQ$3:FQ177),$FP$3:$FP$400,0),1),"")),IFERROR(INDEX($FO$3:$FP$400,MATCH(ROWS($FQ$3:FQ177),$FP$3:$FP$400,0),1),""))</f>
        <v/>
      </c>
    </row>
    <row r="178" spans="1:173" x14ac:dyDescent="0.3">
      <c r="A178" s="48" t="str">
        <f ca="1">IFERROR(IF($A$1=2,INDEX($DH$3:$DN$401,MATCH(ROWS(A$3:A178),$DN$3:$DN$401,0),COLUMN()),IF($A$1=1,INDEX($DQ$3:$DW$401,MATCH(ROWS(A$3:A178),$DW$3:$DW$401,0),COLUMN()),"")),"")</f>
        <v>18.22</v>
      </c>
      <c r="B178" s="48" t="str">
        <f ca="1">IFERROR(IF($A$1=2,INDEX($DH$3:$DN$401,MATCH(ROWS(B$3:B178),$DN$3:$DN$401,0),COLUMN()),IF($A$1=1,INDEX($DQ$3:$DW$400,MATCH(ROWS(B$3:B178),$DW$3:$DW$401,0),COLUMN()),"")),"")</f>
        <v>BANCA Z C/C</v>
      </c>
      <c r="C178" s="48" t="str">
        <f ca="1">IFERROR(IF($A$1=2,INDEX($DH$3:$DN$401,MATCH(ROWS(C$3:C178),$DN$3:$DN$401,0),COLUMN()),IF($A$1=1,INDEX($DQ$3:$DW$401,MATCH(ROWS(C$3:C178),$DW$3:$DW$401,0),COLUMN()),"")),"")</f>
        <v>F</v>
      </c>
      <c r="D178" s="48" t="str">
        <f ca="1">IFERROR(IF($A$1=2,INDEX($DH$3:$DN$401,MATCH(ROWS(D$3:D178),$DN$3:$DN$401,0),COLUMN()),IF($A$1=1,INDEX($DQ$3:$DW$401,MATCH(ROWS(D$3:D178),$DW$3:$DW$401,0),COLUMN()),"")),"")</f>
        <v>D/A</v>
      </c>
      <c r="E178" s="48" t="str">
        <f ca="1">IFERROR(IF($A$1=2,INDEX($DH$3:$DN$401,MATCH(ROWS(E$3:E178),$DN$3:$DN$401,0),COLUMN()),IF($A$1=1,INDEX($DQ$3:$DW$401,MATCH(ROWS(E$3:E178),$DW$3:$DW$401,0),COLUMN()),"")),"")</f>
        <v>CONTI CON ALTERNANZA DI SALDO</v>
      </c>
      <c r="F178" s="48" t="str">
        <f ca="1">IFERROR(IF($A$1=2,INDEX($DH$3:$DN$401,MATCH(ROWS(F$3:F178),$DN$3:$DN$401,0),COLUMN()),IF($A$1=1,INDEX($DQ$3:$DX$401,MATCH(ROWS(F$3:F178),$DW$3:$DW$401,0),COLUMN()),"")),"")</f>
        <v>SP DARE/AVERE</v>
      </c>
      <c r="G178" s="48" t="str">
        <f t="shared" ca="1" si="294"/>
        <v>SP</v>
      </c>
      <c r="H178" s="48" t="str">
        <f ca="1">IFERROR(IF($A$1=2,INDEX($DH$3:$DO$400,MATCH(ROWS(H$3:H178),$DN$3:$DN$400,0),COLUMN()),IF($A$1=1,INDEX($DQ$3:$DX$400,MATCH(ROWS(H$3:H178),$DW$3:$DW$400,0),COLUMN()),"")),"")</f>
        <v>ppd</v>
      </c>
      <c r="I178" s="48" t="str">
        <f t="shared" ca="1" si="295"/>
        <v/>
      </c>
      <c r="J178" s="48" t="str">
        <f t="shared" ca="1" si="296"/>
        <v/>
      </c>
      <c r="K178" s="48">
        <f t="shared" ca="1" si="297"/>
        <v>0</v>
      </c>
      <c r="L178" s="48">
        <f t="shared" ca="1" si="298"/>
        <v>0</v>
      </c>
      <c r="M178" s="48">
        <f ca="1">IFERROR(IF(IF(MID($A178,3,3)=".00",MID(A178,1,2),"")&lt;&gt;"",MAX($M$2:M177)+1,0),"")</f>
        <v>0</v>
      </c>
      <c r="N178" s="48" t="str">
        <f t="shared" ca="1" si="299"/>
        <v/>
      </c>
      <c r="O178" s="48" t="str">
        <f ca="1">IF(IFERROR(INDEX($N$3:$O$300,MATCH(ROWS($O$3:O178),$M$3:$M$300,0),1),"")&lt;&gt;"",CONCATENATE(INDEX($N$3:$O$300,MATCH(ROWS($O$3:O178),$M$3:$M$300,0),1),".00"),"")</f>
        <v/>
      </c>
      <c r="P178" s="48" t="str">
        <f t="shared" ca="1" si="300"/>
        <v/>
      </c>
      <c r="Q178" s="48">
        <f ca="1">IF(M178&gt;=1,0,MAX($Q$2:Q177)+1)</f>
        <v>158</v>
      </c>
      <c r="U178" s="48" t="str">
        <f ca="1">IFERROR(INDEX(PDC,MATCH(ROWS(U$3:U178),$V$3:$V$400,0),2),"")</f>
        <v>FITTI ATTIVI</v>
      </c>
      <c r="V178" s="48">
        <f ca="1">IF(AND($T$1="VISUALIZZA TUTTI I CONTI",AA178&lt;&gt;""),MAX($V$2:V177)+1,IF(AND($U$2=2,AI178=$T$1),MAX($V$2:V177)+1,IF(AND($U$2=1,$T$1=AF178),MAX($V$2:V177)+1,0)))</f>
        <v>176</v>
      </c>
      <c r="AA178" s="48" t="str">
        <f t="shared" ca="1" si="301"/>
        <v>20.00</v>
      </c>
      <c r="AB178" s="48" t="str">
        <f ca="1">IFERROR(INDEX($A$3:$G$400,MATCH(ROWS(AB$3:AB178),$Q$3:$Q$400,0),1),"")</f>
        <v>20.32</v>
      </c>
      <c r="AC178" s="48" t="str">
        <f ca="1">IFERROR(INDEX($A$3:$G$400,MATCH(ROWS($AC$3:AC178),$Q$3:$Q$400,0),2),"")</f>
        <v>FITTI ATTIVI</v>
      </c>
      <c r="AD178" s="48" t="str">
        <f ca="1">IFERROR(INDEX($A$3:$G$400,MATCH(ROWS(AD$3:AD178),$Q$3:$Q$400,0),3),"")</f>
        <v>E</v>
      </c>
      <c r="AE178" s="48" t="str">
        <f ca="1">IFERROR(INDEX($A$3:$G$400,MATCH(ROWS(AE$3:AE178),$Q$3:$Q$400,0),4),"")</f>
        <v>A</v>
      </c>
      <c r="AF178" s="48" t="str">
        <f ca="1">IFERROR(INDEX($A$3:$G$400,MATCH(ROWS(AF$3:AF178),$Q$3:$Q$400,0),5),"")</f>
        <v>RICAVI D'ESERCIZIO</v>
      </c>
      <c r="AG178" s="48" t="str">
        <f ca="1">IFERROR(INDEX($A$3:$G$400,MATCH(ROWS(AG$3:AG178),$Q$3:$Q$400,0),6),"")</f>
        <v>SE AVERE</v>
      </c>
      <c r="AH178" s="48" t="str">
        <f ca="1">IFERROR(INDEX($A$3:$G$400,MATCH(ROWS(AH$3:AH178),$Q$3:$Q$400,0),7),"")</f>
        <v>SE</v>
      </c>
      <c r="AI178" s="48" t="str">
        <f t="shared" ca="1" si="302"/>
        <v>VALORE DELLA PRODUZIONE</v>
      </c>
      <c r="AJ178" s="48" t="str">
        <f ca="1">IFERROR(INDEX($A$3:$H$400,MATCH(ROWS(AJ$3:AJ178),$Q$3:$Q$400,0),8),"")</f>
        <v>ea5</v>
      </c>
      <c r="AK178" s="48">
        <f t="shared" ca="1" si="277"/>
        <v>0</v>
      </c>
      <c r="AL178" s="48">
        <f t="shared" ca="1" si="373"/>
        <v>0</v>
      </c>
      <c r="AM178" s="48">
        <f t="shared" ca="1" si="377"/>
        <v>0</v>
      </c>
      <c r="AN178" s="48">
        <f t="shared" ca="1" si="378"/>
        <v>0</v>
      </c>
      <c r="AO178" s="48">
        <f t="shared" ca="1" si="379"/>
        <v>0</v>
      </c>
      <c r="AP178" s="48">
        <f t="shared" ca="1" si="379"/>
        <v>0</v>
      </c>
      <c r="AQ178" s="48" t="str">
        <f t="shared" ca="1" si="278"/>
        <v/>
      </c>
      <c r="AR178" s="48">
        <f t="shared" ca="1" si="279"/>
        <v>0</v>
      </c>
      <c r="AS178" s="48">
        <f t="shared" ca="1" si="280"/>
        <v>0</v>
      </c>
      <c r="AT178" s="48">
        <f t="shared" ca="1" si="303"/>
        <v>0</v>
      </c>
      <c r="AU178" s="48">
        <f t="shared" ca="1" si="304"/>
        <v>0</v>
      </c>
      <c r="AV178" s="48">
        <f ca="1">IF(OR(AT178&gt;0,AU178&gt;0),MAX($AV$2:AV177)+1,0)</f>
        <v>0</v>
      </c>
      <c r="AZ178" s="241" t="str">
        <f t="shared" si="381"/>
        <v>78 V.I.</v>
      </c>
      <c r="BA178" s="48">
        <f t="shared" ca="1" si="369"/>
        <v>0</v>
      </c>
      <c r="BB178" s="48">
        <f t="shared" ca="1" si="370"/>
        <v>0</v>
      </c>
      <c r="BC178" s="48" t="str">
        <f t="shared" ca="1" si="382"/>
        <v/>
      </c>
      <c r="BD178" s="48">
        <f t="shared" ca="1" si="383"/>
        <v>0</v>
      </c>
      <c r="BE178" s="48">
        <f t="shared" ca="1" si="384"/>
        <v>0</v>
      </c>
      <c r="BG178" s="48">
        <f ca="1">IF(IF(AND(OR(INDEX(PDC,MATCH($AC178,DEN_PDC,0),6)="SP DARE",INDEX(PDC,MATCH($AC178,DEN_PDC,0),6)="SP DARE/AVERE"),SUMIFS(DARE,DEN_G,$AC178)&gt;=SUMIFS(AVERE,DEN_G,$AC178)),SUMIFS(DARE,DEN_G,$AC178)-SUMIFS(AVERE,DEN_G,$AC178),0)&gt;0,MAX($BG$2:BG177)+1,0)</f>
        <v>0</v>
      </c>
      <c r="BH178" s="48">
        <f ca="1">IF(IF(AND(OR(INDEX(PDC,MATCH($AC178,DEN_PDC,0),6)="SP AVERE",INDEX(PDC,MATCH($AC178,DEN_PDC,0),6)="SP DARE/AVERE"),SUMIFS(AVERE,DEN_G,$AC178)&gt;=SUMIFS(DARE,DEN_G,$AC178)),SUMIFS(AVERE,DEN_G,$AC178)-SUMIFS(DARE,DEN_G,$AC178),0)&gt;0,MAX(BH$2:BH177)+1,0)</f>
        <v>0</v>
      </c>
      <c r="BI178" s="48">
        <f ca="1">IF(IF(AND(OR(INDEX(PDC,MATCH($AC178,DEN_PDC,0),6)="SE DARE",INDEX(PDC,MATCH($AC178,DEN_PDC,0),6)="SE DARE/AVERE"),SUMIFS(DARE,DEN_G,$AC178)&gt;=SUMIFS(AVERE,DEN_G,$AC178)),SUMIFS(DARE,DEN_G,$AC178)-SUMIFS(AVERE,DEN_G,$AC178),0)&gt;0,MAX(BI$2:BI177)+1,0)</f>
        <v>0</v>
      </c>
      <c r="BJ178" s="48">
        <f ca="1">IF(IF(AND(OR(INDEX(PDC,MATCH($AC178,DEN_PDC,0),6)="SE AVERE",INDEX(PDC,MATCH($AC178,DEN_PDC,0),6)="SE DARE/AVERE"),SUMIFS(AVERE,DEN_G,$AC178)&gt;=SUMIFS(DARE,DEN_G,$AC178)),SUMIFS(AVERE,DEN_G,$AC178)-SUMIFS(DARE,DEN_G,$AC178),0)&gt;0,MAX(BJ$2:BJ177)+1,0)</f>
        <v>0</v>
      </c>
      <c r="BK178" s="48" t="str">
        <f ca="1">IF(AND(AND($DY$2=0,$DY$1=0),$I$1=2,ROW()&gt;$BG$1+2,ROW()&lt;=$BG$1+4),"………………..",IF(AND(OR($DY$2&gt;0,$DY$1&gt;0),$I$1=2,ROW()&gt;$BG$1+2,ROW()&lt;=$BG$1+4),"………………..",IFERROR(INDEX($AC$3:$AC$398,MATCH(ROWS(BK$3:BK178),BG$3:BG$398,0),1),"")))</f>
        <v/>
      </c>
      <c r="BL178" s="48">
        <f t="shared" ca="1" si="281"/>
        <v>0</v>
      </c>
      <c r="BM178" s="48" t="str">
        <f ca="1">IF(AND(OR($DY$2=0,$DY$1=0),$I$1=2,ROW()&gt;$BH$1+2,ROW()&lt;=$BH$1+4),"………………..",IF(AND(OR($DY$2&gt;0,$DY$1&gt;0),$I$1=2,ROW()&gt;$BH$1+2,ROW()&lt;=$BH$1+4),"………………..",IFERROR(INDEX($AC$3:$AC$400,MATCH(ROWS(BM$3:BM178),BH$3:BH$400,0),1),"")))</f>
        <v/>
      </c>
      <c r="BN178" s="48">
        <f t="shared" ca="1" si="282"/>
        <v>0</v>
      </c>
      <c r="BO178" s="48" t="str">
        <f ca="1">IF(AND(OR($DY$2=0,$DY$1=0),$I$1=2,ROW()&gt;$BI$1+2,ROW()&lt;=$BI$1+4),"………………..",IF(AND(OR($DY$2&gt;0,$DY$1&gt;0),$I$1=2,ROW()&gt;$BI$1+2,ROW()&lt;=$BI$1+4),"………………..",IFERROR(INDEX($AC$3:$AC$400,MATCH(ROWS(BO$3:BO178),BI$3:BI$400,0),1),"")))</f>
        <v/>
      </c>
      <c r="BP178" s="48">
        <f t="shared" ca="1" si="283"/>
        <v>0</v>
      </c>
      <c r="BQ178" s="48" t="str">
        <f ca="1">IF(AND(OR($DY$2=0,$DY$1=0),$I$1=2,ROW()&gt;$BJ$1+2,ROW()&lt;=$BJ$1+4),"………………..",IF(AND(OR($DY$2&gt;0,$DY$1&gt;0),$I$1=2,ROW()&gt;$BJ$1+2,ROW()&lt;=$BJ$1+4),"………………..",IFERROR(INDEX($AC$3:$AC$400,MATCH(ROWS(BQ$3:BQ178),BJ$3:BJ$400,0),1),"")))</f>
        <v/>
      </c>
      <c r="BR178" s="48">
        <f t="shared" ca="1" si="284"/>
        <v>0</v>
      </c>
      <c r="BS178" s="48">
        <f ca="1">IF(IF(AND(OR(INDEX(PDC,MATCH($AC178,DEN_PDC,0),4)="D",INDEX(PDC,MATCH($AC178,DEN_PDC,0),4)="D/A"),SUMIFS(DARE,DEN_G,$AC178)&gt;=SUMIFS(AVERE,DEN_G,$AC178)),SUMIFS(DARE,DEN_G,$AC178),IF(AND(OR(INDEX(PDC,MATCH($AC178,DEN_PDC,0),4)="A",INDEX(PDC,MATCH($AC178,DEN_PDC,0),4)="D/A"),SUMIFS(AVERE,DEN_G,$AC178)&gt;=SUMIFS(DARE,DEN_G,$AC178)),SUMIFS(AVERE,DEN_G,$AC178),))&gt;0,MAX($BS$2:BS177)+1,0)</f>
        <v>0</v>
      </c>
      <c r="BT178" s="48" t="str">
        <f ca="1">IF($CO$1=0,"",IF(AND($I$1=2,ROW()&gt;$BR$1,ROW()&lt;=$BS$1)," …………….",IF(AND($E$1=1,$BX$1=1,$I$1=2,ROW()=$BQ$1),"TOTALI",IFERROR(INDEX(PDC,MATCH(ROWS(BT$3:BT178),BS$3:BS575,0),2),""))))</f>
        <v/>
      </c>
      <c r="BU178" s="48">
        <f t="shared" ca="1" si="285"/>
        <v>0</v>
      </c>
      <c r="BV178" s="48">
        <f t="shared" ca="1" si="286"/>
        <v>0</v>
      </c>
      <c r="BW178" s="48">
        <f t="shared" ca="1" si="287"/>
        <v>0</v>
      </c>
      <c r="BX178" s="48">
        <f t="shared" ca="1" si="288"/>
        <v>0</v>
      </c>
      <c r="BY178" s="48">
        <f ca="1">IF(OR(BW178&gt;0,BX178&gt;0),MAX($BY$2:BY177)+1,0)</f>
        <v>0</v>
      </c>
      <c r="BZ178" s="48" t="str">
        <f ca="1">IFERROR(INDEX($BT$3:$BY$400,MATCH(ROWS(BZ$3:BZ178),$BY$3:$BY$400,0),1),"")</f>
        <v/>
      </c>
      <c r="CA178" s="48" t="str">
        <f ca="1">IFERROR(INDEX($BT$3:$BY$400,MATCH(ROWS(CA$3:CA178),$BY$3:$BY$400,0),4),"")</f>
        <v/>
      </c>
      <c r="CB178" s="48" t="str">
        <f ca="1">IFERROR(INDEX($BT$3:$BY$400,MATCH(ROWS(CB$3:CB178),$BY$3:$BY$400,0),5),"")</f>
        <v/>
      </c>
      <c r="CC178" s="48" t="str">
        <f t="shared" ca="1" si="289"/>
        <v/>
      </c>
      <c r="CD178" s="48">
        <f ca="1">IF(AND($BF$9=2,CE178&lt;&gt;0),MAX($CD$165:CD177)+1,0)</f>
        <v>0</v>
      </c>
      <c r="CE178" s="48">
        <f t="shared" ca="1" si="391"/>
        <v>0</v>
      </c>
      <c r="CF178" s="48" t="str">
        <f t="shared" si="375"/>
        <v>ppa65</v>
      </c>
      <c r="CG178" s="48" t="str">
        <f t="shared" si="376"/>
        <v>_______Riserva conversione obbligazioni</v>
      </c>
      <c r="CH178" s="48">
        <f t="shared" ca="1" si="388"/>
        <v>0</v>
      </c>
      <c r="CM178" s="242" t="str">
        <f t="shared" ca="1" si="305"/>
        <v/>
      </c>
      <c r="CN178" s="243">
        <f t="shared" ca="1" si="306"/>
        <v>0</v>
      </c>
      <c r="CO178" s="48" t="str">
        <f t="shared" ca="1" si="307"/>
        <v/>
      </c>
      <c r="CQ178" s="242"/>
      <c r="CR178" s="242"/>
      <c r="CU178" s="48">
        <f ca="1">IF(SUMIFS(AVERE,DEN_G,AC178,AVERE,"&gt;"&amp;0)+SUMIFS(DARE,DEN_G,AC178,DARE,"&gt;"&amp;0)&gt;0,MAX($CU$2:CU177)+1,0)</f>
        <v>0</v>
      </c>
      <c r="CV178" s="48" t="str">
        <f ca="1">IF(IFERROR(INDEX(PDC,MATCH(ROWS($CV$3:CV178),$CU$3:$CU$400,0),2),"")="CONTO DI RISULTATO ECONOMICO","",IFERROR(INDEX(PDC,MATCH(ROWS($CV$3:CV178),$CU$3:$CU$400,0),2),""))</f>
        <v/>
      </c>
      <c r="CW178" s="48">
        <f ca="1">IFERROR(IF(CV178&lt;&gt;"",MAX($CW$2:CW177)+1,0),0)</f>
        <v>0</v>
      </c>
      <c r="CX178" s="48">
        <f t="shared" ca="1" si="389"/>
        <v>14</v>
      </c>
      <c r="CY178" s="48" t="str">
        <f t="shared" ca="1" si="387"/>
        <v>MASTRO</v>
      </c>
      <c r="CZ178" s="48" t="e">
        <f t="shared" ca="1" si="392"/>
        <v>#N/A</v>
      </c>
      <c r="DA178" s="48" t="str">
        <f t="shared" ca="1" si="397"/>
        <v/>
      </c>
      <c r="DB178" s="48" t="str">
        <f t="shared" ca="1" si="347"/>
        <v/>
      </c>
      <c r="DC178" s="48" t="str">
        <f t="shared" ca="1" si="393"/>
        <v/>
      </c>
      <c r="DD178" s="48" t="str">
        <f t="shared" ca="1" si="394"/>
        <v/>
      </c>
      <c r="DE178" s="48" t="str">
        <f t="shared" ca="1" si="395"/>
        <v/>
      </c>
      <c r="DF178" s="48">
        <f ca="1">IF(AND(CX178=$DF$1,CX178&lt;&gt;""),0,IF(AND(DB178&lt;&gt;"",OR(DB177&lt;&gt;"",DB179&lt;&gt;"")),MAX($DF$2:DF177)+1,0))</f>
        <v>0</v>
      </c>
      <c r="DH178" s="244" t="s">
        <v>140</v>
      </c>
      <c r="DI178" s="48" t="s">
        <v>132</v>
      </c>
      <c r="DJ178" s="48" t="s">
        <v>312</v>
      </c>
      <c r="DK178" s="48" t="s">
        <v>298</v>
      </c>
      <c r="DL178" s="48" t="s">
        <v>5</v>
      </c>
      <c r="DM178" s="48" t="s">
        <v>299</v>
      </c>
      <c r="DN178" s="48">
        <f ca="1">IF(DI178&lt;&gt;"",MAX($DN$2:DN177)+1,0)</f>
        <v>148</v>
      </c>
      <c r="DO178" s="48" t="str">
        <f ca="1">IF($BF$9=1,"ppd12","ppd")</f>
        <v>ppd</v>
      </c>
      <c r="DQ178" s="227" t="s">
        <v>143</v>
      </c>
      <c r="DR178" s="48" t="s">
        <v>136</v>
      </c>
      <c r="DS178" s="48" t="s">
        <v>312</v>
      </c>
      <c r="DT178" s="48" t="s">
        <v>298</v>
      </c>
      <c r="DU178" s="48" t="s">
        <v>5</v>
      </c>
      <c r="DV178" s="48" t="s">
        <v>299</v>
      </c>
      <c r="DW178" s="48">
        <f ca="1">IF(DR178&lt;&gt;"",MAX($DW$2:DW177)+1,0)</f>
        <v>111</v>
      </c>
      <c r="DX178" s="48" t="str">
        <f ca="1">IF($BF$9=1,"ppd13","ppd")</f>
        <v>ppd</v>
      </c>
      <c r="DY178" s="48" t="str">
        <f t="shared" ca="1" si="291"/>
        <v/>
      </c>
      <c r="DZ178" s="48" t="str">
        <f t="shared" ca="1" si="309"/>
        <v/>
      </c>
      <c r="EA178" s="48" t="str">
        <f t="shared" ca="1" si="310"/>
        <v/>
      </c>
      <c r="EB178" s="48">
        <f t="shared" ca="1" si="311"/>
        <v>0</v>
      </c>
      <c r="EC178" s="48">
        <f t="shared" ca="1" si="312"/>
        <v>0</v>
      </c>
      <c r="ED178" s="48" t="str">
        <f t="shared" ca="1" si="313"/>
        <v/>
      </c>
      <c r="EE178" s="48">
        <f t="shared" ca="1" si="314"/>
        <v>0</v>
      </c>
      <c r="EF178" s="48" t="str">
        <f t="shared" ca="1" si="315"/>
        <v/>
      </c>
      <c r="EG178" s="48">
        <f t="shared" ca="1" si="316"/>
        <v>0</v>
      </c>
      <c r="EH178" s="48" t="str">
        <f t="shared" ca="1" si="317"/>
        <v/>
      </c>
      <c r="EI178" s="48">
        <f t="shared" ca="1" si="318"/>
        <v>0</v>
      </c>
      <c r="EJ178" s="48" t="str">
        <f t="shared" ca="1" si="319"/>
        <v/>
      </c>
      <c r="EK178" s="48">
        <f t="shared" ca="1" si="320"/>
        <v>0</v>
      </c>
      <c r="EL178" s="48">
        <f t="shared" ca="1" si="292"/>
        <v>0</v>
      </c>
      <c r="EM178" s="48">
        <f ca="1">IF(EL178&gt;=0,0,MAX($EM$2:EM177)+1)</f>
        <v>0</v>
      </c>
      <c r="EN178" s="48" t="str">
        <f t="shared" ca="1" si="321"/>
        <v/>
      </c>
      <c r="EO178" s="48" t="str">
        <f ca="1">IFERROR(INDEX($EM$3:$EN$400,MATCH(ROWS($EO$3:EO178),$EM$3:$EM$400,0),2),"")</f>
        <v/>
      </c>
      <c r="EP178" s="48">
        <f>ROW()</f>
        <v>178</v>
      </c>
      <c r="EQ178" s="48">
        <f t="shared" ca="1" si="293"/>
        <v>0</v>
      </c>
      <c r="ER178" s="48">
        <f ca="1">IF(ISNA(EQ178)=TRUE,MAX($ER$2:ER177)+1,0)</f>
        <v>0</v>
      </c>
      <c r="ES178" s="48" t="str">
        <f t="shared" ca="1" si="322"/>
        <v/>
      </c>
      <c r="ET178" s="48" t="str">
        <f ca="1">IFERROR(INDEX($ER$3:$ES$400,MATCH(ROWS($ET$3:ET178),$ER$3:$ER$400,0),2),"")</f>
        <v/>
      </c>
      <c r="EV178" s="48">
        <f ca="1">IFERROR(INDEX(LIBRO_GIORNALE!$O$11:$P$408,MATCH(ROWS($EV$2:EV177),LIBRO_GIORNALE!$P$11:$P$408,0),1),0)</f>
        <v>0</v>
      </c>
      <c r="EW178" s="48" t="str">
        <f t="shared" ca="1" si="323"/>
        <v>0</v>
      </c>
      <c r="EX178" s="48">
        <f t="shared" ca="1" si="324"/>
        <v>0</v>
      </c>
      <c r="EY178" s="48">
        <f ca="1">IF(EX178&gt;0,MAX($EY$2:EY177)+1,0)</f>
        <v>0</v>
      </c>
      <c r="EZ178" s="48">
        <f ca="1">IFERROR(INDEX($EX$3:$EX$400,MATCH(ROWS($EZ$3:EZ178),$EY$3:$EY$400,0),1),0)</f>
        <v>0</v>
      </c>
      <c r="FA178" s="48">
        <f ca="1">IF(EZ178&gt;0,0,MAX($FA$2:FA177)+1)</f>
        <v>176</v>
      </c>
      <c r="FB178" s="48">
        <f t="shared" ca="1" si="325"/>
        <v>0</v>
      </c>
      <c r="FC178" s="48">
        <f t="shared" ca="1" si="326"/>
        <v>176</v>
      </c>
      <c r="FD178" s="48">
        <f t="shared" ca="1" si="327"/>
        <v>176</v>
      </c>
      <c r="FE178" s="48">
        <f ca="1">IF(FD178=0,0,MAX($FE$2:FE177)+1)</f>
        <v>176</v>
      </c>
      <c r="FF178" s="48">
        <f ca="1">IFERROR(INDEX($FD$3:$FE$400,MATCH(ROWS($FF$3:FF178),$FE$3:$FE$400,0),1),"")</f>
        <v>176</v>
      </c>
      <c r="FG178" s="48">
        <f t="shared" ca="1" si="380"/>
        <v>0</v>
      </c>
      <c r="FH178" s="48" t="str">
        <f t="shared" ca="1" si="328"/>
        <v>BANCA Z C/C</v>
      </c>
      <c r="FI178" s="48">
        <f ca="1">IF(FH178&lt;&gt;0,MAX($FI$2:FI177)+1,0)</f>
        <v>5</v>
      </c>
      <c r="FJ178" s="48" t="str">
        <f ca="1">IFERROR(INDEX($FH$3:$FI$400,MATCH(ROWS($FJ$3:FJ178),$FI$3:$FI$400,0),1),"")</f>
        <v/>
      </c>
      <c r="FK178" s="48">
        <f ca="1">IF(ABS(SUMIFS(DARE,DEN_G,"="&amp;FJ178,DATA,"&lt;="&amp;FINE_AC,DATA,"&gt;="&amp;INIZIO_A_PC)-SUMIFS(AVERE,DEN_G,"="&amp;FJ178,DATA,"&lt;="&amp;FINE_AC,DATA,"&gt;="&amp;INIZIO_A_PC))&gt;0,MAX($FK$2:FK177)+1,0)</f>
        <v>0</v>
      </c>
      <c r="FL178" s="48" t="str">
        <f ca="1">IF(AND(ROW()-2&lt;&gt;1,ROW()-2&lt;=$FK$1),CONCATENATE(" - ",IFERROR(INDEX($FJ$3:$FK$400,MATCH(ROWS($FL$3:FL178),$FK$3:$FK$400,0),1),"")),IFERROR(INDEX($FJ$3:$FK$400,MATCH(ROWS($FL$3:FL178),$FK$3:$FK$400,0),1),""))</f>
        <v/>
      </c>
      <c r="FM178" s="48">
        <f ca="1">IF(OR(B178="IVA ns/credito",B178="IVA NS/DEBITO",B178="IVA C/ACCONTO",B178="IMPOSTE C/ACCONTO",B178="CREDITI PER RITENUTE SUBITE",B178="CREDITI D'IMPOSTA"),MAX($FM$2:FM177)+1,0)</f>
        <v>0</v>
      </c>
      <c r="FN178" s="48" t="str">
        <f t="shared" ca="1" si="329"/>
        <v/>
      </c>
      <c r="FO178" s="48" t="str">
        <f ca="1">IFERROR(INDEX($FM$3:$FN$400,MATCH(ROWS($FO$3:FO178),$FM$3:$FM$400,0),2),"")</f>
        <v/>
      </c>
      <c r="FP178" s="48">
        <f ca="1">IF(ABS(SUMIFS(DARE,DEN_G,"="&amp;FO178,DATA,"&lt;="&amp;FINE_AC,DATA,"&gt;="&amp;INIZIO_A_PC)-SUMIFS(AVERE,DEN_G,"="&amp;FO178,DATA,"&lt;="&amp;FINE_AC,DATA,"&gt;="&amp;INIZIO_A_PC))&gt;0,MAX($FP$2:FP177)+1,0)</f>
        <v>0</v>
      </c>
      <c r="FQ178" s="48" t="str">
        <f ca="1">IF(AND(ROW()-2&lt;&gt;1,ROW()-2&lt;=$FP$1),CONCATENATE(" - ",IFERROR(INDEX($FO$3:$FP$400,MATCH(ROWS($FQ$3:FQ178),$FP$3:$FP$400,0),1),"")),IFERROR(INDEX($FO$3:$FP$400,MATCH(ROWS($FQ$3:FQ178),$FP$3:$FP$400,0),1),""))</f>
        <v/>
      </c>
    </row>
    <row r="179" spans="1:173" x14ac:dyDescent="0.3">
      <c r="A179" s="48" t="str">
        <f ca="1">IFERROR(IF($A$1=2,INDEX($DH$3:$DN$401,MATCH(ROWS(A$3:A179),$DN$3:$DN$401,0),COLUMN()),IF($A$1=1,INDEX($DQ$3:$DW$401,MATCH(ROWS(A$3:A179),$DW$3:$DW$401,0),COLUMN()),"")),"")</f>
        <v>18.30</v>
      </c>
      <c r="B179" s="48" t="str">
        <f ca="1">IFERROR(IF($A$1=2,INDEX($DH$3:$DN$401,MATCH(ROWS(B$3:B179),$DN$3:$DN$401,0),COLUMN()),IF($A$1=1,INDEX($DQ$3:$DW$400,MATCH(ROWS(B$3:B179),$DW$3:$DW$401,0),COLUMN()),"")),"")</f>
        <v>SOCIETÀ DI FACTORING C/C</v>
      </c>
      <c r="C179" s="48" t="str">
        <f ca="1">IFERROR(IF($A$1=2,INDEX($DH$3:$DN$401,MATCH(ROWS(C$3:C179),$DN$3:$DN$401,0),COLUMN()),IF($A$1=1,INDEX($DQ$3:$DW$401,MATCH(ROWS(C$3:C179),$DW$3:$DW$401,0),COLUMN()),"")),"")</f>
        <v>F</v>
      </c>
      <c r="D179" s="48" t="str">
        <f ca="1">IFERROR(IF($A$1=2,INDEX($DH$3:$DN$401,MATCH(ROWS(D$3:D179),$DN$3:$DN$401,0),COLUMN()),IF($A$1=1,INDEX($DQ$3:$DW$401,MATCH(ROWS(D$3:D179),$DW$3:$DW$401,0),COLUMN()),"")),"")</f>
        <v>D/A</v>
      </c>
      <c r="E179" s="48" t="str">
        <f ca="1">IFERROR(IF($A$1=2,INDEX($DH$3:$DN$401,MATCH(ROWS(E$3:E179),$DN$3:$DN$401,0),COLUMN()),IF($A$1=1,INDEX($DQ$3:$DW$401,MATCH(ROWS(E$3:E179),$DW$3:$DW$401,0),COLUMN()),"")),"")</f>
        <v>CONTI CON ALTERNANZA DI SALDO</v>
      </c>
      <c r="F179" s="48" t="str">
        <f ca="1">IFERROR(IF($A$1=2,INDEX($DH$3:$DN$401,MATCH(ROWS(F$3:F179),$DN$3:$DN$401,0),COLUMN()),IF($A$1=1,INDEX($DQ$3:$DX$401,MATCH(ROWS(F$3:F179),$DW$3:$DW$401,0),COLUMN()),"")),"")</f>
        <v>SP DARE/AVERE</v>
      </c>
      <c r="G179" s="48" t="str">
        <f t="shared" ca="1" si="294"/>
        <v>SP</v>
      </c>
      <c r="H179" s="48" t="str">
        <f ca="1">IFERROR(IF($A$1=2,INDEX($DH$3:$DO$400,MATCH(ROWS(H$3:H179),$DN$3:$DN$400,0),COLUMN()),IF($A$1=1,INDEX($DQ$3:$DX$400,MATCH(ROWS(H$3:H179),$DW$3:$DW$400,0),COLUMN()),"")),"")</f>
        <v>ppd</v>
      </c>
      <c r="I179" s="48" t="str">
        <f t="shared" ca="1" si="295"/>
        <v/>
      </c>
      <c r="J179" s="48" t="str">
        <f t="shared" ca="1" si="296"/>
        <v/>
      </c>
      <c r="K179" s="48">
        <f t="shared" ca="1" si="297"/>
        <v>0</v>
      </c>
      <c r="L179" s="48">
        <f t="shared" ca="1" si="298"/>
        <v>0</v>
      </c>
      <c r="M179" s="48">
        <f ca="1">IFERROR(IF(IF(MID($A179,3,3)=".00",MID(A179,1,2),"")&lt;&gt;"",MAX($M$2:M178)+1,0),"")</f>
        <v>0</v>
      </c>
      <c r="N179" s="48" t="str">
        <f t="shared" ca="1" si="299"/>
        <v/>
      </c>
      <c r="O179" s="48" t="str">
        <f ca="1">IF(IFERROR(INDEX($N$3:$O$300,MATCH(ROWS($O$3:O179),$M$3:$M$300,0),1),"")&lt;&gt;"",CONCATENATE(INDEX($N$3:$O$300,MATCH(ROWS($O$3:O179),$M$3:$M$300,0),1),".00"),"")</f>
        <v/>
      </c>
      <c r="P179" s="48" t="str">
        <f t="shared" ca="1" si="300"/>
        <v/>
      </c>
      <c r="Q179" s="48">
        <f ca="1">IF(M179&gt;=1,0,MAX($Q$2:Q178)+1)</f>
        <v>159</v>
      </c>
      <c r="U179" s="48" t="str">
        <f ca="1">IFERROR(INDEX(PDC,MATCH(ROWS(U$3:U179),$V$3:$V$400,0),2),"")</f>
        <v>CONTRIBUTI IN C/ESERCIZIO</v>
      </c>
      <c r="V179" s="48">
        <f ca="1">IF(AND($T$1="VISUALIZZA TUTTI I CONTI",AA179&lt;&gt;""),MAX($V$2:V178)+1,IF(AND($U$2=2,AI179=$T$1),MAX($V$2:V178)+1,IF(AND($U$2=1,$T$1=AF179),MAX($V$2:V178)+1,0)))</f>
        <v>177</v>
      </c>
      <c r="AA179" s="48" t="str">
        <f t="shared" ca="1" si="301"/>
        <v>20.00</v>
      </c>
      <c r="AB179" s="48" t="str">
        <f ca="1">IFERROR(INDEX($A$3:$G$400,MATCH(ROWS(AB$3:AB179),$Q$3:$Q$400,0),1),"")</f>
        <v>20.33</v>
      </c>
      <c r="AC179" s="48" t="str">
        <f ca="1">IFERROR(INDEX($A$3:$G$400,MATCH(ROWS($AC$3:AC179),$Q$3:$Q$400,0),2),"")</f>
        <v>CONTRIBUTI IN C/ESERCIZIO</v>
      </c>
      <c r="AD179" s="48" t="str">
        <f ca="1">IFERROR(INDEX($A$3:$G$400,MATCH(ROWS(AD$3:AD179),$Q$3:$Q$400,0),3),"")</f>
        <v>E</v>
      </c>
      <c r="AE179" s="48" t="str">
        <f ca="1">IFERROR(INDEX($A$3:$G$400,MATCH(ROWS(AE$3:AE179),$Q$3:$Q$400,0),4),"")</f>
        <v>A</v>
      </c>
      <c r="AF179" s="48" t="str">
        <f ca="1">IFERROR(INDEX($A$3:$G$400,MATCH(ROWS(AF$3:AF179),$Q$3:$Q$400,0),5),"")</f>
        <v>RICAVI D'ESERCIZIO</v>
      </c>
      <c r="AG179" s="48" t="str">
        <f ca="1">IFERROR(INDEX($A$3:$G$400,MATCH(ROWS(AG$3:AG179),$Q$3:$Q$400,0),6),"")</f>
        <v>SE AVERE</v>
      </c>
      <c r="AH179" s="48" t="str">
        <f ca="1">IFERROR(INDEX($A$3:$G$400,MATCH(ROWS(AH$3:AH179),$Q$3:$Q$400,0),7),"")</f>
        <v>SE</v>
      </c>
      <c r="AI179" s="48" t="str">
        <f t="shared" ca="1" si="302"/>
        <v>VALORE DELLA PRODUZIONE</v>
      </c>
      <c r="AJ179" s="48" t="str">
        <f ca="1">IFERROR(INDEX($A$3:$H$400,MATCH(ROWS(AJ$3:AJ179),$Q$3:$Q$400,0),8),"")</f>
        <v>ea5</v>
      </c>
      <c r="AK179" s="48">
        <f t="shared" ca="1" si="277"/>
        <v>0</v>
      </c>
      <c r="AL179" s="48">
        <f t="shared" ca="1" si="373"/>
        <v>0</v>
      </c>
      <c r="AM179" s="48">
        <f t="shared" ca="1" si="377"/>
        <v>0</v>
      </c>
      <c r="AN179" s="48">
        <f t="shared" ca="1" si="378"/>
        <v>0</v>
      </c>
      <c r="AO179" s="48">
        <f t="shared" ca="1" si="379"/>
        <v>0</v>
      </c>
      <c r="AP179" s="48">
        <f t="shared" ca="1" si="379"/>
        <v>0</v>
      </c>
      <c r="AQ179" s="48" t="str">
        <f t="shared" ca="1" si="278"/>
        <v/>
      </c>
      <c r="AR179" s="48">
        <f t="shared" ca="1" si="279"/>
        <v>0</v>
      </c>
      <c r="AS179" s="48">
        <f t="shared" ca="1" si="280"/>
        <v>0</v>
      </c>
      <c r="AT179" s="48">
        <f t="shared" ca="1" si="303"/>
        <v>0</v>
      </c>
      <c r="AU179" s="48">
        <f t="shared" ca="1" si="304"/>
        <v>0</v>
      </c>
      <c r="AV179" s="48">
        <f ca="1">IF(OR(AT179&gt;0,AU179&gt;0),MAX($AV$2:AV178)+1,0)</f>
        <v>0</v>
      </c>
      <c r="AZ179" s="241" t="str">
        <f t="shared" si="381"/>
        <v>79 V.I.</v>
      </c>
      <c r="BA179" s="48">
        <f t="shared" ca="1" si="369"/>
        <v>0</v>
      </c>
      <c r="BB179" s="48">
        <f t="shared" ca="1" si="370"/>
        <v>0</v>
      </c>
      <c r="BC179" s="48" t="str">
        <f t="shared" ca="1" si="382"/>
        <v/>
      </c>
      <c r="BD179" s="48">
        <f t="shared" ca="1" si="383"/>
        <v>0</v>
      </c>
      <c r="BE179" s="48">
        <f t="shared" ca="1" si="384"/>
        <v>0</v>
      </c>
      <c r="BG179" s="48">
        <f ca="1">IF(IF(AND(OR(INDEX(PDC,MATCH($AC179,DEN_PDC,0),6)="SP DARE",INDEX(PDC,MATCH($AC179,DEN_PDC,0),6)="SP DARE/AVERE"),SUMIFS(DARE,DEN_G,$AC179)&gt;=SUMIFS(AVERE,DEN_G,$AC179)),SUMIFS(DARE,DEN_G,$AC179)-SUMIFS(AVERE,DEN_G,$AC179),0)&gt;0,MAX($BG$2:BG178)+1,0)</f>
        <v>0</v>
      </c>
      <c r="BH179" s="48">
        <f ca="1">IF(IF(AND(OR(INDEX(PDC,MATCH($AC179,DEN_PDC,0),6)="SP AVERE",INDEX(PDC,MATCH($AC179,DEN_PDC,0),6)="SP DARE/AVERE"),SUMIFS(AVERE,DEN_G,$AC179)&gt;=SUMIFS(DARE,DEN_G,$AC179)),SUMIFS(AVERE,DEN_G,$AC179)-SUMIFS(DARE,DEN_G,$AC179),0)&gt;0,MAX(BH$2:BH178)+1,0)</f>
        <v>0</v>
      </c>
      <c r="BI179" s="48">
        <f ca="1">IF(IF(AND(OR(INDEX(PDC,MATCH($AC179,DEN_PDC,0),6)="SE DARE",INDEX(PDC,MATCH($AC179,DEN_PDC,0),6)="SE DARE/AVERE"),SUMIFS(DARE,DEN_G,$AC179)&gt;=SUMIFS(AVERE,DEN_G,$AC179)),SUMIFS(DARE,DEN_G,$AC179)-SUMIFS(AVERE,DEN_G,$AC179),0)&gt;0,MAX(BI$2:BI178)+1,0)</f>
        <v>0</v>
      </c>
      <c r="BJ179" s="48">
        <f ca="1">IF(IF(AND(OR(INDEX(PDC,MATCH($AC179,DEN_PDC,0),6)="SE AVERE",INDEX(PDC,MATCH($AC179,DEN_PDC,0),6)="SE DARE/AVERE"),SUMIFS(AVERE,DEN_G,$AC179)&gt;=SUMIFS(DARE,DEN_G,$AC179)),SUMIFS(AVERE,DEN_G,$AC179)-SUMIFS(DARE,DEN_G,$AC179),0)&gt;0,MAX(BJ$2:BJ178)+1,0)</f>
        <v>0</v>
      </c>
      <c r="BK179" s="48" t="str">
        <f ca="1">IF(AND(AND($DY$2=0,$DY$1=0),$I$1=2,ROW()&gt;$BG$1+2,ROW()&lt;=$BG$1+4),"………………..",IF(AND(OR($DY$2&gt;0,$DY$1&gt;0),$I$1=2,ROW()&gt;$BG$1+2,ROW()&lt;=$BG$1+4),"………………..",IFERROR(INDEX($AC$3:$AC$398,MATCH(ROWS(BK$3:BK179),BG$3:BG$398,0),1),"")))</f>
        <v/>
      </c>
      <c r="BL179" s="48">
        <f t="shared" ca="1" si="281"/>
        <v>0</v>
      </c>
      <c r="BM179" s="48" t="str">
        <f ca="1">IF(AND(OR($DY$2=0,$DY$1=0),$I$1=2,ROW()&gt;$BH$1+2,ROW()&lt;=$BH$1+4),"………………..",IF(AND(OR($DY$2&gt;0,$DY$1&gt;0),$I$1=2,ROW()&gt;$BH$1+2,ROW()&lt;=$BH$1+4),"………………..",IFERROR(INDEX($AC$3:$AC$400,MATCH(ROWS(BM$3:BM179),BH$3:BH$400,0),1),"")))</f>
        <v/>
      </c>
      <c r="BN179" s="48">
        <f t="shared" ca="1" si="282"/>
        <v>0</v>
      </c>
      <c r="BO179" s="48" t="str">
        <f ca="1">IF(AND(OR($DY$2=0,$DY$1=0),$I$1=2,ROW()&gt;$BI$1+2,ROW()&lt;=$BI$1+4),"………………..",IF(AND(OR($DY$2&gt;0,$DY$1&gt;0),$I$1=2,ROW()&gt;$BI$1+2,ROW()&lt;=$BI$1+4),"………………..",IFERROR(INDEX($AC$3:$AC$400,MATCH(ROWS(BO$3:BO179),BI$3:BI$400,0),1),"")))</f>
        <v/>
      </c>
      <c r="BP179" s="48">
        <f t="shared" ca="1" si="283"/>
        <v>0</v>
      </c>
      <c r="BQ179" s="48" t="str">
        <f ca="1">IF(AND(OR($DY$2=0,$DY$1=0),$I$1=2,ROW()&gt;$BJ$1+2,ROW()&lt;=$BJ$1+4),"………………..",IF(AND(OR($DY$2&gt;0,$DY$1&gt;0),$I$1=2,ROW()&gt;$BJ$1+2,ROW()&lt;=$BJ$1+4),"………………..",IFERROR(INDEX($AC$3:$AC$400,MATCH(ROWS(BQ$3:BQ179),BJ$3:BJ$400,0),1),"")))</f>
        <v/>
      </c>
      <c r="BR179" s="48">
        <f t="shared" ca="1" si="284"/>
        <v>0</v>
      </c>
      <c r="BS179" s="48">
        <f ca="1">IF(IF(AND(OR(INDEX(PDC,MATCH($AC179,DEN_PDC,0),4)="D",INDEX(PDC,MATCH($AC179,DEN_PDC,0),4)="D/A"),SUMIFS(DARE,DEN_G,$AC179)&gt;=SUMIFS(AVERE,DEN_G,$AC179)),SUMIFS(DARE,DEN_G,$AC179),IF(AND(OR(INDEX(PDC,MATCH($AC179,DEN_PDC,0),4)="A",INDEX(PDC,MATCH($AC179,DEN_PDC,0),4)="D/A"),SUMIFS(AVERE,DEN_G,$AC179)&gt;=SUMIFS(DARE,DEN_G,$AC179)),SUMIFS(AVERE,DEN_G,$AC179),))&gt;0,MAX($BS$2:BS178)+1,0)</f>
        <v>0</v>
      </c>
      <c r="BT179" s="48" t="str">
        <f ca="1">IF($CO$1=0,"",IF(AND($I$1=2,ROW()&gt;$BR$1,ROW()&lt;=$BS$1)," …………….",IF(AND($E$1=1,$BX$1=1,$I$1=2,ROW()=$BQ$1),"TOTALI",IFERROR(INDEX(PDC,MATCH(ROWS(BT$3:BT179),BS$3:BS576,0),2),""))))</f>
        <v/>
      </c>
      <c r="BU179" s="48">
        <f t="shared" ca="1" si="285"/>
        <v>0</v>
      </c>
      <c r="BV179" s="48">
        <f t="shared" ca="1" si="286"/>
        <v>0</v>
      </c>
      <c r="BW179" s="48">
        <f t="shared" ca="1" si="287"/>
        <v>0</v>
      </c>
      <c r="BX179" s="48">
        <f t="shared" ca="1" si="288"/>
        <v>0</v>
      </c>
      <c r="BY179" s="48">
        <f ca="1">IF(OR(BW179&gt;0,BX179&gt;0),MAX($BY$2:BY178)+1,0)</f>
        <v>0</v>
      </c>
      <c r="BZ179" s="48" t="str">
        <f ca="1">IFERROR(INDEX($BT$3:$BY$400,MATCH(ROWS(BZ$3:BZ179),$BY$3:$BY$400,0),1),"")</f>
        <v/>
      </c>
      <c r="CA179" s="48" t="str">
        <f ca="1">IFERROR(INDEX($BT$3:$BY$400,MATCH(ROWS(CA$3:CA179),$BY$3:$BY$400,0),4),"")</f>
        <v/>
      </c>
      <c r="CB179" s="48" t="str">
        <f ca="1">IFERROR(INDEX($BT$3:$BY$400,MATCH(ROWS(CB$3:CB179),$BY$3:$BY$400,0),5),"")</f>
        <v/>
      </c>
      <c r="CC179" s="48" t="str">
        <f t="shared" ca="1" si="289"/>
        <v/>
      </c>
      <c r="CD179" s="48">
        <f ca="1">IF(EU3&gt;0,0,IF(AND($BF$9=2,CE179&lt;&gt;0),MAX($CD$165:CD178)+1,0))</f>
        <v>0</v>
      </c>
      <c r="CE179" s="48">
        <f ca="1">IF(EU3&gt;0,0,IF(AY1&lt;&gt;0,0,IF(AND($F$1=1,AND(CE103&lt;&gt;0,CE103&lt;&gt;SUM(CE167:CE171,CE173:CE178,CE180:CE182,CE184,CE185,CE186,CE188))),CE103-SUM(CE167:CE171,CE173:CE178,CE180:CE182,CE184,CE185,CE186,CE188),0)))</f>
        <v>0</v>
      </c>
      <c r="CG179" s="48" t="str">
        <f t="shared" si="376"/>
        <v>_______Riserva per arrotondamenti</v>
      </c>
      <c r="CH179" s="48">
        <f t="shared" ca="1" si="388"/>
        <v>0</v>
      </c>
      <c r="CM179" s="242" t="str">
        <f t="shared" ca="1" si="305"/>
        <v/>
      </c>
      <c r="CN179" s="243">
        <f t="shared" ca="1" si="306"/>
        <v>0</v>
      </c>
      <c r="CO179" s="48" t="str">
        <f t="shared" ca="1" si="307"/>
        <v/>
      </c>
      <c r="CQ179" s="242"/>
      <c r="CR179" s="242"/>
      <c r="CU179" s="48">
        <f ca="1">IF(SUMIFS(AVERE,DEN_G,AC179,AVERE,"&gt;"&amp;0)+SUMIFS(DARE,DEN_G,AC179,DARE,"&gt;"&amp;0)&gt;0,MAX($CU$2:CU178)+1,0)</f>
        <v>0</v>
      </c>
      <c r="CV179" s="48" t="str">
        <f ca="1">IF(IFERROR(INDEX(PDC,MATCH(ROWS($CV$3:CV179),$CU$3:$CU$400,0),2),"")="CONTO DI RISULTATO ECONOMICO","",IFERROR(INDEX(PDC,MATCH(ROWS($CV$3:CV179),$CU$3:$CU$400,0),2),""))</f>
        <v/>
      </c>
      <c r="CW179" s="48">
        <f ca="1">IFERROR(IF(CV179&lt;&gt;"",MAX($CW$2:CW178)+1,0),0)</f>
        <v>0</v>
      </c>
      <c r="CX179" s="48">
        <f t="shared" ca="1" si="389"/>
        <v>14</v>
      </c>
      <c r="CY179" s="48" t="str">
        <f t="shared" ca="1" si="387"/>
        <v>MASTRO</v>
      </c>
      <c r="CZ179" s="48" t="e">
        <f t="shared" ca="1" si="392"/>
        <v>#N/A</v>
      </c>
      <c r="DA179" s="48" t="str">
        <f t="shared" ca="1" si="397"/>
        <v/>
      </c>
      <c r="DB179" s="48" t="str">
        <f t="shared" ca="1" si="347"/>
        <v/>
      </c>
      <c r="DC179" s="48" t="str">
        <f t="shared" ca="1" si="393"/>
        <v/>
      </c>
      <c r="DD179" s="48" t="str">
        <f t="shared" ca="1" si="394"/>
        <v/>
      </c>
      <c r="DE179" s="48" t="str">
        <f t="shared" ca="1" si="395"/>
        <v/>
      </c>
      <c r="DF179" s="48">
        <f ca="1">IF(AND(CX179=$DF$1,CX179&lt;&gt;""),0,IF(AND(DB179&lt;&gt;"",OR(DB178&lt;&gt;"",DB180&lt;&gt;"")),MAX($DF$2:DF178)+1,0))</f>
        <v>0</v>
      </c>
      <c r="DH179" s="244" t="s">
        <v>141</v>
      </c>
      <c r="DI179" s="48" t="s">
        <v>133</v>
      </c>
      <c r="DJ179" s="48" t="s">
        <v>312</v>
      </c>
      <c r="DK179" s="48" t="s">
        <v>298</v>
      </c>
      <c r="DL179" s="48" t="s">
        <v>5</v>
      </c>
      <c r="DM179" s="48" t="s">
        <v>299</v>
      </c>
      <c r="DN179" s="48">
        <f ca="1">IF(DI179&lt;&gt;"",MAX($DN$2:DN178)+1,0)</f>
        <v>149</v>
      </c>
      <c r="DO179" s="48" t="str">
        <f ca="1">IF($BF$9=1,"ppd12","ppd")</f>
        <v>ppd</v>
      </c>
      <c r="DQ179" s="227" t="s">
        <v>1058</v>
      </c>
      <c r="DR179" s="48" t="s">
        <v>137</v>
      </c>
      <c r="DS179" s="48" t="s">
        <v>312</v>
      </c>
      <c r="DT179" s="48" t="s">
        <v>298</v>
      </c>
      <c r="DU179" s="48" t="s">
        <v>5</v>
      </c>
      <c r="DV179" s="48" t="s">
        <v>299</v>
      </c>
      <c r="DW179" s="48">
        <f ca="1">IF(DR179&lt;&gt;"",MAX($DW$2:DW178)+1,0)</f>
        <v>112</v>
      </c>
      <c r="DX179" s="48" t="str">
        <f t="shared" ref="DX179:DX182" ca="1" si="399">IF($BF$9=1,"ppd14","ppd")</f>
        <v>ppd</v>
      </c>
      <c r="DY179" s="48" t="str">
        <f t="shared" ca="1" si="291"/>
        <v/>
      </c>
      <c r="DZ179" s="48" t="str">
        <f t="shared" ca="1" si="309"/>
        <v/>
      </c>
      <c r="EA179" s="48" t="str">
        <f t="shared" ca="1" si="310"/>
        <v/>
      </c>
      <c r="EB179" s="48">
        <f t="shared" ca="1" si="311"/>
        <v>0</v>
      </c>
      <c r="EC179" s="48">
        <f t="shared" ca="1" si="312"/>
        <v>0</v>
      </c>
      <c r="ED179" s="48" t="str">
        <f t="shared" ca="1" si="313"/>
        <v/>
      </c>
      <c r="EE179" s="48">
        <f t="shared" ca="1" si="314"/>
        <v>0</v>
      </c>
      <c r="EF179" s="48" t="str">
        <f t="shared" ca="1" si="315"/>
        <v/>
      </c>
      <c r="EG179" s="48">
        <f t="shared" ca="1" si="316"/>
        <v>0</v>
      </c>
      <c r="EH179" s="48" t="str">
        <f t="shared" ca="1" si="317"/>
        <v/>
      </c>
      <c r="EI179" s="48">
        <f t="shared" ca="1" si="318"/>
        <v>0</v>
      </c>
      <c r="EJ179" s="48" t="str">
        <f t="shared" ca="1" si="319"/>
        <v/>
      </c>
      <c r="EK179" s="48">
        <f t="shared" ca="1" si="320"/>
        <v>0</v>
      </c>
      <c r="EL179" s="48">
        <f t="shared" ca="1" si="292"/>
        <v>0</v>
      </c>
      <c r="EM179" s="48">
        <f ca="1">IF(EL179&gt;=0,0,MAX($EM$2:EM178)+1)</f>
        <v>0</v>
      </c>
      <c r="EN179" s="48" t="str">
        <f t="shared" ca="1" si="321"/>
        <v/>
      </c>
      <c r="EO179" s="48" t="str">
        <f ca="1">IFERROR(INDEX($EM$3:$EN$400,MATCH(ROWS($EO$3:EO179),$EM$3:$EM$400,0),2),"")</f>
        <v/>
      </c>
      <c r="EP179" s="48">
        <f>ROW()</f>
        <v>179</v>
      </c>
      <c r="EQ179" s="48">
        <f t="shared" ca="1" si="293"/>
        <v>0</v>
      </c>
      <c r="ER179" s="48">
        <f ca="1">IF(ISNA(EQ179)=TRUE,MAX($ER$2:ER178)+1,0)</f>
        <v>0</v>
      </c>
      <c r="ES179" s="48" t="str">
        <f t="shared" ca="1" si="322"/>
        <v/>
      </c>
      <c r="ET179" s="48" t="str">
        <f ca="1">IFERROR(INDEX($ER$3:$ES$400,MATCH(ROWS($ET$3:ET179),$ER$3:$ER$400,0),2),"")</f>
        <v/>
      </c>
      <c r="EV179" s="48">
        <f ca="1">IFERROR(INDEX(LIBRO_GIORNALE!$O$11:$P$408,MATCH(ROWS($EV$2:EV178),LIBRO_GIORNALE!$P$11:$P$408,0),1),0)</f>
        <v>0</v>
      </c>
      <c r="EW179" s="48" t="str">
        <f t="shared" ca="1" si="323"/>
        <v>0</v>
      </c>
      <c r="EX179" s="48">
        <f t="shared" ca="1" si="324"/>
        <v>0</v>
      </c>
      <c r="EY179" s="48">
        <f ca="1">IF(EX179&gt;0,MAX($EY$2:EY178)+1,0)</f>
        <v>0</v>
      </c>
      <c r="EZ179" s="48">
        <f ca="1">IFERROR(INDEX($EX$3:$EX$400,MATCH(ROWS($EZ$3:EZ179),$EY$3:$EY$400,0),1),0)</f>
        <v>0</v>
      </c>
      <c r="FA179" s="48">
        <f ca="1">IF(EZ179&gt;0,0,MAX($FA$2:FA178)+1)</f>
        <v>177</v>
      </c>
      <c r="FB179" s="48">
        <f t="shared" ca="1" si="325"/>
        <v>0</v>
      </c>
      <c r="FC179" s="48">
        <f t="shared" ca="1" si="326"/>
        <v>177</v>
      </c>
      <c r="FD179" s="48">
        <f t="shared" ca="1" si="327"/>
        <v>177</v>
      </c>
      <c r="FE179" s="48">
        <f ca="1">IF(FD179=0,0,MAX($FE$2:FE178)+1)</f>
        <v>177</v>
      </c>
      <c r="FF179" s="48">
        <f ca="1">IFERROR(INDEX($FD$3:$FE$400,MATCH(ROWS($FF$3:FF179),$FE$3:$FE$400,0),1),"")</f>
        <v>177</v>
      </c>
      <c r="FG179" s="48">
        <f t="shared" ca="1" si="380"/>
        <v>0</v>
      </c>
      <c r="FH179" s="48" t="str">
        <f t="shared" ca="1" si="328"/>
        <v>SOCIETÀ DI FACTORING C/C</v>
      </c>
      <c r="FI179" s="48">
        <f ca="1">IF(FH179&lt;&gt;0,MAX($FI$2:FI178)+1,0)</f>
        <v>6</v>
      </c>
      <c r="FJ179" s="48" t="str">
        <f ca="1">IFERROR(INDEX($FH$3:$FI$400,MATCH(ROWS($FJ$3:FJ179),$FI$3:$FI$400,0),1),"")</f>
        <v/>
      </c>
      <c r="FK179" s="48">
        <f ca="1">IF(ABS(SUMIFS(DARE,DEN_G,"="&amp;FJ179,DATA,"&lt;="&amp;FINE_AC,DATA,"&gt;="&amp;INIZIO_A_PC)-SUMIFS(AVERE,DEN_G,"="&amp;FJ179,DATA,"&lt;="&amp;FINE_AC,DATA,"&gt;="&amp;INIZIO_A_PC))&gt;0,MAX($FK$2:FK178)+1,0)</f>
        <v>0</v>
      </c>
      <c r="FL179" s="48" t="str">
        <f ca="1">IF(AND(ROW()-2&lt;&gt;1,ROW()-2&lt;=$FK$1),CONCATENATE(" - ",IFERROR(INDEX($FJ$3:$FK$400,MATCH(ROWS($FL$3:FL179),$FK$3:$FK$400,0),1),"")),IFERROR(INDEX($FJ$3:$FK$400,MATCH(ROWS($FL$3:FL179),$FK$3:$FK$400,0),1),""))</f>
        <v/>
      </c>
      <c r="FM179" s="48">
        <f ca="1">IF(OR(B179="IVA ns/credito",B179="IVA NS/DEBITO",B179="IVA C/ACCONTO",B179="IMPOSTE C/ACCONTO",B179="CREDITI PER RITENUTE SUBITE",B179="CREDITI D'IMPOSTA"),MAX($FM$2:FM178)+1,0)</f>
        <v>0</v>
      </c>
      <c r="FN179" s="48" t="str">
        <f t="shared" ca="1" si="329"/>
        <v/>
      </c>
      <c r="FO179" s="48" t="str">
        <f ca="1">IFERROR(INDEX($FM$3:$FN$400,MATCH(ROWS($FO$3:FO179),$FM$3:$FM$400,0),2),"")</f>
        <v/>
      </c>
      <c r="FP179" s="48">
        <f ca="1">IF(ABS(SUMIFS(DARE,DEN_G,"="&amp;FO179,DATA,"&lt;="&amp;FINE_AC,DATA,"&gt;="&amp;INIZIO_A_PC)-SUMIFS(AVERE,DEN_G,"="&amp;FO179,DATA,"&lt;="&amp;FINE_AC,DATA,"&gt;="&amp;INIZIO_A_PC))&gt;0,MAX($FP$2:FP178)+1,0)</f>
        <v>0</v>
      </c>
      <c r="FQ179" s="48" t="str">
        <f ca="1">IF(AND(ROW()-2&lt;&gt;1,ROW()-2&lt;=$FP$1),CONCATENATE(" - ",IFERROR(INDEX($FO$3:$FP$400,MATCH(ROWS($FQ$3:FQ179),$FP$3:$FP$400,0),1),"")),IFERROR(INDEX($FO$3:$FP$400,MATCH(ROWS($FQ$3:FQ179),$FP$3:$FP$400,0),1),""))</f>
        <v/>
      </c>
    </row>
    <row r="180" spans="1:173" x14ac:dyDescent="0.3">
      <c r="A180" s="48" t="str">
        <f ca="1">IFERROR(IF($A$1=2,INDEX($DH$3:$DN$401,MATCH(ROWS(A$3:A180),$DN$3:$DN$401,0),COLUMN()),IF($A$1=1,INDEX($DQ$3:$DW$401,MATCH(ROWS(A$3:A180),$DW$3:$DW$401,0),COLUMN()),"")),"")</f>
        <v>19.00</v>
      </c>
      <c r="B180" s="48" t="str">
        <f ca="1">IFERROR(IF($A$1=2,INDEX($DH$3:$DN$401,MATCH(ROWS(B$3:B180),$DN$3:$DN$401,0),COLUMN()),IF($A$1=1,INDEX($DQ$3:$DW$400,MATCH(ROWS(B$3:B180),$DW$3:$DW$401,0),COLUMN()),"")),"")</f>
        <v>CONTI DEI SISTEMI MINORI</v>
      </c>
      <c r="C180" s="48">
        <f ca="1">IFERROR(IF($A$1=2,INDEX($DH$3:$DN$401,MATCH(ROWS(C$3:C180),$DN$3:$DN$401,0),COLUMN()),IF($A$1=1,INDEX($DQ$3:$DW$401,MATCH(ROWS(C$3:C180),$DW$3:$DW$401,0),COLUMN()),"")),"")</f>
        <v>0</v>
      </c>
      <c r="D180" s="48">
        <f ca="1">IFERROR(IF($A$1=2,INDEX($DH$3:$DN$401,MATCH(ROWS(D$3:D180),$DN$3:$DN$401,0),COLUMN()),IF($A$1=1,INDEX($DQ$3:$DW$401,MATCH(ROWS(D$3:D180),$DW$3:$DW$401,0),COLUMN()),"")),"")</f>
        <v>0</v>
      </c>
      <c r="E180" s="48">
        <f ca="1">IFERROR(IF($A$1=2,INDEX($DH$3:$DN$401,MATCH(ROWS(E$3:E180),$DN$3:$DN$401,0),COLUMN()),IF($A$1=1,INDEX($DQ$3:$DW$401,MATCH(ROWS(E$3:E180),$DW$3:$DW$401,0),COLUMN()),"")),"")</f>
        <v>0</v>
      </c>
      <c r="F180" s="48">
        <f ca="1">IFERROR(IF($A$1=2,INDEX($DH$3:$DN$401,MATCH(ROWS(F$3:F180),$DN$3:$DN$401,0),COLUMN()),IF($A$1=1,INDEX($DQ$3:$DX$401,MATCH(ROWS(F$3:F180),$DW$3:$DW$401,0),COLUMN()),"")),"")</f>
        <v>0</v>
      </c>
      <c r="G180" s="48" t="str">
        <f t="shared" ca="1" si="294"/>
        <v>0</v>
      </c>
      <c r="H180" s="48">
        <f ca="1">IFERROR(IF($A$1=2,INDEX($DH$3:$DO$400,MATCH(ROWS(H$3:H180),$DN$3:$DN$400,0),COLUMN()),IF($A$1=1,INDEX($DQ$3:$DX$400,MATCH(ROWS(H$3:H180),$DW$3:$DW$400,0),COLUMN()),"")),"")</f>
        <v>0</v>
      </c>
      <c r="I180" s="48" t="str">
        <f t="shared" ca="1" si="295"/>
        <v/>
      </c>
      <c r="J180" s="48" t="str">
        <f t="shared" ca="1" si="296"/>
        <v/>
      </c>
      <c r="K180" s="48">
        <f t="shared" ca="1" si="297"/>
        <v>0</v>
      </c>
      <c r="L180" s="48">
        <f t="shared" ca="1" si="298"/>
        <v>0</v>
      </c>
      <c r="M180" s="48">
        <f ca="1">IFERROR(IF(IF(MID($A180,3,3)=".00",MID(A180,1,2),"")&lt;&gt;"",MAX($M$2:M179)+1,0),"")</f>
        <v>19</v>
      </c>
      <c r="N180" s="48" t="str">
        <f t="shared" ca="1" si="299"/>
        <v>19</v>
      </c>
      <c r="O180" s="48" t="str">
        <f ca="1">IF(IFERROR(INDEX($N$3:$O$300,MATCH(ROWS($O$3:O180),$M$3:$M$300,0),1),"")&lt;&gt;"",CONCATENATE(INDEX($N$3:$O$300,MATCH(ROWS($O$3:O180),$M$3:$M$300,0),1),".00"),"")</f>
        <v/>
      </c>
      <c r="P180" s="48" t="str">
        <f t="shared" ca="1" si="300"/>
        <v/>
      </c>
      <c r="Q180" s="48">
        <f ca="1">IF(M180&gt;=1,0,MAX($Q$2:Q179)+1)</f>
        <v>0</v>
      </c>
      <c r="U180" s="48" t="str">
        <f ca="1">IFERROR(INDEX(PDC,MATCH(ROWS(U$3:U180),$V$3:$V$400,0),2),"")</f>
        <v>CONTRIBUTI IN C/IMPIANTI</v>
      </c>
      <c r="V180" s="48">
        <f ca="1">IF(AND($T$1="VISUALIZZA TUTTI I CONTI",AA180&lt;&gt;""),MAX($V$2:V179)+1,IF(AND($U$2=2,AI180=$T$1),MAX($V$2:V179)+1,IF(AND($U$2=1,$T$1=AF180),MAX($V$2:V179)+1,0)))</f>
        <v>178</v>
      </c>
      <c r="AA180" s="48" t="str">
        <f t="shared" ca="1" si="301"/>
        <v>20.00</v>
      </c>
      <c r="AB180" s="48" t="str">
        <f ca="1">IFERROR(INDEX($A$3:$G$400,MATCH(ROWS(AB$3:AB180),$Q$3:$Q$400,0),1),"")</f>
        <v>20.34</v>
      </c>
      <c r="AC180" s="48" t="str">
        <f ca="1">IFERROR(INDEX($A$3:$G$400,MATCH(ROWS($AC$3:AC180),$Q$3:$Q$400,0),2),"")</f>
        <v>CONTRIBUTI IN C/IMPIANTI</v>
      </c>
      <c r="AD180" s="48" t="str">
        <f ca="1">IFERROR(INDEX($A$3:$G$400,MATCH(ROWS(AD$3:AD180),$Q$3:$Q$400,0),3),"")</f>
        <v>E</v>
      </c>
      <c r="AE180" s="48" t="str">
        <f ca="1">IFERROR(INDEX($A$3:$G$400,MATCH(ROWS(AE$3:AE180),$Q$3:$Q$400,0),4),"")</f>
        <v>A</v>
      </c>
      <c r="AF180" s="48" t="str">
        <f ca="1">IFERROR(INDEX($A$3:$G$400,MATCH(ROWS(AF$3:AF180),$Q$3:$Q$400,0),5),"")</f>
        <v>RICAVI D'ESERCIZIO</v>
      </c>
      <c r="AG180" s="48" t="str">
        <f ca="1">IFERROR(INDEX($A$3:$G$400,MATCH(ROWS(AG$3:AG180),$Q$3:$Q$400,0),6),"")</f>
        <v>SE AVERE</v>
      </c>
      <c r="AH180" s="48" t="str">
        <f ca="1">IFERROR(INDEX($A$3:$G$400,MATCH(ROWS(AH$3:AH180),$Q$3:$Q$400,0),7),"")</f>
        <v>SE</v>
      </c>
      <c r="AI180" s="48" t="str">
        <f t="shared" ca="1" si="302"/>
        <v>VALORE DELLA PRODUZIONE</v>
      </c>
      <c r="AJ180" s="48" t="str">
        <f ca="1">IFERROR(INDEX($A$3:$H$400,MATCH(ROWS(AJ$3:AJ180),$Q$3:$Q$400,0),8),"")</f>
        <v>ea5</v>
      </c>
      <c r="AK180" s="48">
        <f t="shared" ca="1" si="277"/>
        <v>0</v>
      </c>
      <c r="AL180" s="48">
        <f t="shared" ca="1" si="373"/>
        <v>0</v>
      </c>
      <c r="AM180" s="48">
        <f t="shared" ca="1" si="377"/>
        <v>0</v>
      </c>
      <c r="AN180" s="48">
        <f t="shared" ca="1" si="378"/>
        <v>0</v>
      </c>
      <c r="AO180" s="48">
        <f t="shared" ca="1" si="379"/>
        <v>0</v>
      </c>
      <c r="AP180" s="48">
        <f t="shared" ca="1" si="379"/>
        <v>0</v>
      </c>
      <c r="AQ180" s="48" t="str">
        <f t="shared" ca="1" si="278"/>
        <v/>
      </c>
      <c r="AR180" s="48">
        <f t="shared" ca="1" si="279"/>
        <v>0</v>
      </c>
      <c r="AS180" s="48">
        <f t="shared" ca="1" si="280"/>
        <v>0</v>
      </c>
      <c r="AT180" s="48">
        <f t="shared" ca="1" si="303"/>
        <v>0</v>
      </c>
      <c r="AU180" s="48">
        <f t="shared" ca="1" si="304"/>
        <v>0</v>
      </c>
      <c r="AV180" s="48">
        <f ca="1">IF(OR(AT180&gt;0,AU180&gt;0),MAX($AV$2:AV179)+1,0)</f>
        <v>0</v>
      </c>
      <c r="AZ180" s="241" t="str">
        <f t="shared" si="381"/>
        <v>80 V.I.</v>
      </c>
      <c r="BA180" s="48">
        <f t="shared" ca="1" si="369"/>
        <v>0</v>
      </c>
      <c r="BB180" s="48">
        <f t="shared" ca="1" si="370"/>
        <v>0</v>
      </c>
      <c r="BC180" s="48" t="str">
        <f t="shared" ca="1" si="382"/>
        <v/>
      </c>
      <c r="BD180" s="48">
        <f t="shared" ca="1" si="383"/>
        <v>0</v>
      </c>
      <c r="BE180" s="48">
        <f t="shared" ca="1" si="384"/>
        <v>0</v>
      </c>
      <c r="BG180" s="48">
        <f ca="1">IF(IF(AND(OR(INDEX(PDC,MATCH($AC180,DEN_PDC,0),6)="SP DARE",INDEX(PDC,MATCH($AC180,DEN_PDC,0),6)="SP DARE/AVERE"),SUMIFS(DARE,DEN_G,$AC180)&gt;=SUMIFS(AVERE,DEN_G,$AC180)),SUMIFS(DARE,DEN_G,$AC180)-SUMIFS(AVERE,DEN_G,$AC180),0)&gt;0,MAX($BG$2:BG179)+1,0)</f>
        <v>0</v>
      </c>
      <c r="BH180" s="48">
        <f ca="1">IF(IF(AND(OR(INDEX(PDC,MATCH($AC180,DEN_PDC,0),6)="SP AVERE",INDEX(PDC,MATCH($AC180,DEN_PDC,0),6)="SP DARE/AVERE"),SUMIFS(AVERE,DEN_G,$AC180)&gt;=SUMIFS(DARE,DEN_G,$AC180)),SUMIFS(AVERE,DEN_G,$AC180)-SUMIFS(DARE,DEN_G,$AC180),0)&gt;0,MAX(BH$2:BH179)+1,0)</f>
        <v>0</v>
      </c>
      <c r="BI180" s="48">
        <f ca="1">IF(IF(AND(OR(INDEX(PDC,MATCH($AC180,DEN_PDC,0),6)="SE DARE",INDEX(PDC,MATCH($AC180,DEN_PDC,0),6)="SE DARE/AVERE"),SUMIFS(DARE,DEN_G,$AC180)&gt;=SUMIFS(AVERE,DEN_G,$AC180)),SUMIFS(DARE,DEN_G,$AC180)-SUMIFS(AVERE,DEN_G,$AC180),0)&gt;0,MAX(BI$2:BI179)+1,0)</f>
        <v>0</v>
      </c>
      <c r="BJ180" s="48">
        <f ca="1">IF(IF(AND(OR(INDEX(PDC,MATCH($AC180,DEN_PDC,0),6)="SE AVERE",INDEX(PDC,MATCH($AC180,DEN_PDC,0),6)="SE DARE/AVERE"),SUMIFS(AVERE,DEN_G,$AC180)&gt;=SUMIFS(DARE,DEN_G,$AC180)),SUMIFS(AVERE,DEN_G,$AC180)-SUMIFS(DARE,DEN_G,$AC180),0)&gt;0,MAX(BJ$2:BJ179)+1,0)</f>
        <v>0</v>
      </c>
      <c r="BK180" s="48" t="str">
        <f ca="1">IF(AND(AND($DY$2=0,$DY$1=0),$I$1=2,ROW()&gt;$BG$1+2,ROW()&lt;=$BG$1+4),"………………..",IF(AND(OR($DY$2&gt;0,$DY$1&gt;0),$I$1=2,ROW()&gt;$BG$1+2,ROW()&lt;=$BG$1+4),"………………..",IFERROR(INDEX($AC$3:$AC$398,MATCH(ROWS(BK$3:BK180),BG$3:BG$398,0),1),"")))</f>
        <v/>
      </c>
      <c r="BL180" s="48">
        <f t="shared" ca="1" si="281"/>
        <v>0</v>
      </c>
      <c r="BM180" s="48" t="str">
        <f ca="1">IF(AND(OR($DY$2=0,$DY$1=0),$I$1=2,ROW()&gt;$BH$1+2,ROW()&lt;=$BH$1+4),"………………..",IF(AND(OR($DY$2&gt;0,$DY$1&gt;0),$I$1=2,ROW()&gt;$BH$1+2,ROW()&lt;=$BH$1+4),"………………..",IFERROR(INDEX($AC$3:$AC$400,MATCH(ROWS(BM$3:BM180),BH$3:BH$400,0),1),"")))</f>
        <v/>
      </c>
      <c r="BN180" s="48">
        <f t="shared" ca="1" si="282"/>
        <v>0</v>
      </c>
      <c r="BO180" s="48" t="str">
        <f ca="1">IF(AND(OR($DY$2=0,$DY$1=0),$I$1=2,ROW()&gt;$BI$1+2,ROW()&lt;=$BI$1+4),"………………..",IF(AND(OR($DY$2&gt;0,$DY$1&gt;0),$I$1=2,ROW()&gt;$BI$1+2,ROW()&lt;=$BI$1+4),"………………..",IFERROR(INDEX($AC$3:$AC$400,MATCH(ROWS(BO$3:BO180),BI$3:BI$400,0),1),"")))</f>
        <v/>
      </c>
      <c r="BP180" s="48">
        <f t="shared" ca="1" si="283"/>
        <v>0</v>
      </c>
      <c r="BQ180" s="48" t="str">
        <f ca="1">IF(AND(OR($DY$2=0,$DY$1=0),$I$1=2,ROW()&gt;$BJ$1+2,ROW()&lt;=$BJ$1+4),"………………..",IF(AND(OR($DY$2&gt;0,$DY$1&gt;0),$I$1=2,ROW()&gt;$BJ$1+2,ROW()&lt;=$BJ$1+4),"………………..",IFERROR(INDEX($AC$3:$AC$400,MATCH(ROWS(BQ$3:BQ180),BJ$3:BJ$400,0),1),"")))</f>
        <v/>
      </c>
      <c r="BR180" s="48">
        <f t="shared" ca="1" si="284"/>
        <v>0</v>
      </c>
      <c r="BS180" s="48">
        <f ca="1">IF(IF(AND(OR(INDEX(PDC,MATCH($AC180,DEN_PDC,0),4)="D",INDEX(PDC,MATCH($AC180,DEN_PDC,0),4)="D/A"),SUMIFS(DARE,DEN_G,$AC180)&gt;=SUMIFS(AVERE,DEN_G,$AC180)),SUMIFS(DARE,DEN_G,$AC180),IF(AND(OR(INDEX(PDC,MATCH($AC180,DEN_PDC,0),4)="A",INDEX(PDC,MATCH($AC180,DEN_PDC,0),4)="D/A"),SUMIFS(AVERE,DEN_G,$AC180)&gt;=SUMIFS(DARE,DEN_G,$AC180)),SUMIFS(AVERE,DEN_G,$AC180),))&gt;0,MAX($BS$2:BS179)+1,0)</f>
        <v>0</v>
      </c>
      <c r="BT180" s="48" t="str">
        <f ca="1">IF($CO$1=0,"",IF(AND($I$1=2,ROW()&gt;$BR$1,ROW()&lt;=$BS$1)," …………….",IF(AND($E$1=1,$BX$1=1,$I$1=2,ROW()=$BQ$1),"TOTALI",IFERROR(INDEX(PDC,MATCH(ROWS(BT$3:BT180),BS$3:BS577,0),2),""))))</f>
        <v/>
      </c>
      <c r="BU180" s="48">
        <f t="shared" ca="1" si="285"/>
        <v>0</v>
      </c>
      <c r="BV180" s="48">
        <f t="shared" ca="1" si="286"/>
        <v>0</v>
      </c>
      <c r="BW180" s="48">
        <f t="shared" ca="1" si="287"/>
        <v>0</v>
      </c>
      <c r="BX180" s="48">
        <f t="shared" ca="1" si="288"/>
        <v>0</v>
      </c>
      <c r="BY180" s="48">
        <f ca="1">IF(OR(BW180&gt;0,BX180&gt;0),MAX($BY$2:BY179)+1,0)</f>
        <v>0</v>
      </c>
      <c r="BZ180" s="48" t="str">
        <f ca="1">IFERROR(INDEX($BT$3:$BY$400,MATCH(ROWS(BZ$3:BZ180),$BY$3:$BY$400,0),1),"")</f>
        <v/>
      </c>
      <c r="CA180" s="48" t="str">
        <f ca="1">IFERROR(INDEX($BT$3:$BY$400,MATCH(ROWS(CA$3:CA180),$BY$3:$BY$400,0),4),"")</f>
        <v/>
      </c>
      <c r="CB180" s="48" t="str">
        <f ca="1">IFERROR(INDEX($BT$3:$BY$400,MATCH(ROWS(CB$3:CB180),$BY$3:$BY$400,0),5),"")</f>
        <v/>
      </c>
      <c r="CC180" s="48" t="str">
        <f t="shared" ca="1" si="289"/>
        <v/>
      </c>
      <c r="CD180" s="48">
        <f ca="1">IF(AND($BF$9=2,CE180&lt;&gt;0),MAX($CD$165:CD179)+1,0)</f>
        <v>0</v>
      </c>
      <c r="CE180" s="48">
        <f ca="1">CE120</f>
        <v>0</v>
      </c>
      <c r="CF180" s="48" t="str">
        <f t="shared" si="375"/>
        <v>ppa8</v>
      </c>
      <c r="CG180" s="48" t="str">
        <f t="shared" ca="1" si="376"/>
        <v>VIII - Utili portati a nuovo</v>
      </c>
      <c r="CH180" s="48">
        <f t="shared" ca="1" si="388"/>
        <v>0</v>
      </c>
      <c r="CM180" s="242" t="str">
        <f t="shared" ca="1" si="305"/>
        <v/>
      </c>
      <c r="CN180" s="243">
        <f t="shared" ca="1" si="306"/>
        <v>0</v>
      </c>
      <c r="CO180" s="48" t="str">
        <f t="shared" ca="1" si="307"/>
        <v/>
      </c>
      <c r="CQ180" s="242"/>
      <c r="CR180" s="242"/>
      <c r="CU180" s="48">
        <f ca="1">IF(SUMIFS(AVERE,DEN_G,AC180,AVERE,"&gt;"&amp;0)+SUMIFS(DARE,DEN_G,AC180,DARE,"&gt;"&amp;0)&gt;0,MAX($CU$2:CU179)+1,0)</f>
        <v>0</v>
      </c>
      <c r="CV180" s="48" t="str">
        <f ca="1">IF(IFERROR(INDEX(PDC,MATCH(ROWS($CV$3:CV180),$CU$3:$CU$400,0),2),"")="CONTO DI RISULTATO ECONOMICO","",IFERROR(INDEX(PDC,MATCH(ROWS($CV$3:CV180),$CU$3:$CU$400,0),2),""))</f>
        <v/>
      </c>
      <c r="CW180" s="48">
        <f ca="1">IFERROR(IF(CV180&lt;&gt;"",MAX($CW$2:CW179)+1,0),0)</f>
        <v>0</v>
      </c>
      <c r="CX180" s="48">
        <f t="shared" ca="1" si="389"/>
        <v>14</v>
      </c>
      <c r="CY180" s="48" t="str">
        <f t="shared" ca="1" si="387"/>
        <v>MASTRO</v>
      </c>
      <c r="CZ180" s="48" t="e">
        <f t="shared" ca="1" si="392"/>
        <v>#N/A</v>
      </c>
      <c r="DA180" s="48" t="str">
        <f t="shared" ca="1" si="397"/>
        <v/>
      </c>
      <c r="DB180" s="48" t="str">
        <f t="shared" ca="1" si="347"/>
        <v/>
      </c>
      <c r="DC180" s="48" t="str">
        <f t="shared" ca="1" si="393"/>
        <v/>
      </c>
      <c r="DD180" s="48" t="str">
        <f t="shared" ca="1" si="394"/>
        <v/>
      </c>
      <c r="DE180" s="48" t="str">
        <f t="shared" ca="1" si="395"/>
        <v/>
      </c>
      <c r="DF180" s="48">
        <f ca="1">IF(AND(CX180=$DF$1,CX180&lt;&gt;""),0,IF(AND(DB180&lt;&gt;"",OR(DB179&lt;&gt;"",DB181&lt;&gt;"")),MAX($DF$2:DF179)+1,0))</f>
        <v>0</v>
      </c>
      <c r="DH180" s="244" t="s">
        <v>413</v>
      </c>
      <c r="DI180" s="48" t="s">
        <v>134</v>
      </c>
      <c r="DJ180" s="48" t="s">
        <v>312</v>
      </c>
      <c r="DK180" s="48" t="s">
        <v>298</v>
      </c>
      <c r="DL180" s="48" t="s">
        <v>5</v>
      </c>
      <c r="DM180" s="48" t="s">
        <v>299</v>
      </c>
      <c r="DN180" s="48">
        <f ca="1">IF(DI180&lt;&gt;"",MAX($DN$2:DN179)+1,0)</f>
        <v>150</v>
      </c>
      <c r="DO180" s="48" t="str">
        <f t="shared" ref="DO180:DO182" ca="1" si="400">IF($BF$9=1,"ppd12","ppd")</f>
        <v>ppd</v>
      </c>
      <c r="DQ180" s="227" t="s">
        <v>144</v>
      </c>
      <c r="DR180" s="48" t="s">
        <v>138</v>
      </c>
      <c r="DS180" s="48" t="s">
        <v>312</v>
      </c>
      <c r="DT180" s="48" t="s">
        <v>298</v>
      </c>
      <c r="DU180" s="48" t="s">
        <v>5</v>
      </c>
      <c r="DV180" s="48" t="s">
        <v>299</v>
      </c>
      <c r="DW180" s="48">
        <f ca="1">IF(DR180&lt;&gt;"",MAX($DW$2:DW179)+1,0)</f>
        <v>113</v>
      </c>
      <c r="DX180" s="48" t="str">
        <f ca="1">IF($BF$9=1,"ppd14","ppd")</f>
        <v>ppd</v>
      </c>
      <c r="DY180" s="48" t="str">
        <f t="shared" ca="1" si="291"/>
        <v/>
      </c>
      <c r="DZ180" s="48" t="str">
        <f t="shared" ca="1" si="309"/>
        <v/>
      </c>
      <c r="EA180" s="48" t="str">
        <f t="shared" ca="1" si="310"/>
        <v/>
      </c>
      <c r="EB180" s="48">
        <f t="shared" ca="1" si="311"/>
        <v>0</v>
      </c>
      <c r="EC180" s="48">
        <f t="shared" ca="1" si="312"/>
        <v>0</v>
      </c>
      <c r="ED180" s="48" t="str">
        <f t="shared" ca="1" si="313"/>
        <v/>
      </c>
      <c r="EE180" s="48">
        <f t="shared" ca="1" si="314"/>
        <v>0</v>
      </c>
      <c r="EF180" s="48" t="str">
        <f t="shared" ca="1" si="315"/>
        <v/>
      </c>
      <c r="EG180" s="48">
        <f t="shared" ca="1" si="316"/>
        <v>0</v>
      </c>
      <c r="EH180" s="48" t="str">
        <f t="shared" ca="1" si="317"/>
        <v/>
      </c>
      <c r="EI180" s="48">
        <f t="shared" ca="1" si="318"/>
        <v>0</v>
      </c>
      <c r="EJ180" s="48" t="str">
        <f t="shared" ca="1" si="319"/>
        <v/>
      </c>
      <c r="EK180" s="48">
        <f t="shared" ca="1" si="320"/>
        <v>0</v>
      </c>
      <c r="EL180" s="48">
        <f t="shared" ca="1" si="292"/>
        <v>0</v>
      </c>
      <c r="EM180" s="48">
        <f ca="1">IF(EL180&gt;=0,0,MAX($EM$2:EM179)+1)</f>
        <v>0</v>
      </c>
      <c r="EN180" s="48" t="str">
        <f t="shared" ca="1" si="321"/>
        <v/>
      </c>
      <c r="EO180" s="48" t="str">
        <f ca="1">IFERROR(INDEX($EM$3:$EN$400,MATCH(ROWS($EO$3:EO180),$EM$3:$EM$400,0),2),"")</f>
        <v/>
      </c>
      <c r="EP180" s="48">
        <f>ROW()</f>
        <v>180</v>
      </c>
      <c r="EQ180" s="48">
        <f t="shared" ca="1" si="293"/>
        <v>0</v>
      </c>
      <c r="ER180" s="48">
        <f ca="1">IF(ISNA(EQ180)=TRUE,MAX($ER$2:ER179)+1,0)</f>
        <v>0</v>
      </c>
      <c r="ES180" s="48" t="str">
        <f t="shared" ca="1" si="322"/>
        <v/>
      </c>
      <c r="ET180" s="48" t="str">
        <f ca="1">IFERROR(INDEX($ER$3:$ES$400,MATCH(ROWS($ET$3:ET180),$ER$3:$ER$400,0),2),"")</f>
        <v/>
      </c>
      <c r="EV180" s="48">
        <f ca="1">IFERROR(INDEX(LIBRO_GIORNALE!$O$11:$P$408,MATCH(ROWS($EV$2:EV179),LIBRO_GIORNALE!$P$11:$P$408,0),1),0)</f>
        <v>0</v>
      </c>
      <c r="EW180" s="48" t="str">
        <f t="shared" ca="1" si="323"/>
        <v>0</v>
      </c>
      <c r="EX180" s="48">
        <f t="shared" ca="1" si="324"/>
        <v>0</v>
      </c>
      <c r="EY180" s="48">
        <f ca="1">IF(EX180&gt;0,MAX($EY$2:EY179)+1,0)</f>
        <v>0</v>
      </c>
      <c r="EZ180" s="48">
        <f ca="1">IFERROR(INDEX($EX$3:$EX$400,MATCH(ROWS($EZ$3:EZ180),$EY$3:$EY$400,0),1),0)</f>
        <v>0</v>
      </c>
      <c r="FA180" s="48">
        <f ca="1">IF(EZ180&gt;0,0,MAX($FA$2:FA179)+1)</f>
        <v>178</v>
      </c>
      <c r="FB180" s="48">
        <f t="shared" ca="1" si="325"/>
        <v>0</v>
      </c>
      <c r="FC180" s="48">
        <f t="shared" ca="1" si="326"/>
        <v>178</v>
      </c>
      <c r="FD180" s="48">
        <f t="shared" ca="1" si="327"/>
        <v>178</v>
      </c>
      <c r="FE180" s="48">
        <f ca="1">IF(FD180=0,0,MAX($FE$2:FE179)+1)</f>
        <v>178</v>
      </c>
      <c r="FF180" s="48">
        <f ca="1">IFERROR(INDEX($FD$3:$FE$400,MATCH(ROWS($FF$3:FF180),$FE$3:$FE$400,0),1),"")</f>
        <v>178</v>
      </c>
      <c r="FG180" s="48">
        <f t="shared" ca="1" si="380"/>
        <v>0</v>
      </c>
      <c r="FH180" s="48">
        <f t="shared" ca="1" si="328"/>
        <v>0</v>
      </c>
      <c r="FI180" s="48">
        <f ca="1">IF(FH180&lt;&gt;0,MAX($FI$2:FI179)+1,0)</f>
        <v>0</v>
      </c>
      <c r="FJ180" s="48" t="str">
        <f ca="1">IFERROR(INDEX($FH$3:$FI$400,MATCH(ROWS($FJ$3:FJ180),$FI$3:$FI$400,0),1),"")</f>
        <v/>
      </c>
      <c r="FK180" s="48">
        <f ca="1">IF(ABS(SUMIFS(DARE,DEN_G,"="&amp;FJ180,DATA,"&lt;="&amp;FINE_AC,DATA,"&gt;="&amp;INIZIO_A_PC)-SUMIFS(AVERE,DEN_G,"="&amp;FJ180,DATA,"&lt;="&amp;FINE_AC,DATA,"&gt;="&amp;INIZIO_A_PC))&gt;0,MAX($FK$2:FK179)+1,0)</f>
        <v>0</v>
      </c>
      <c r="FL180" s="48" t="str">
        <f ca="1">IF(AND(ROW()-2&lt;&gt;1,ROW()-2&lt;=$FK$1),CONCATENATE(" - ",IFERROR(INDEX($FJ$3:$FK$400,MATCH(ROWS($FL$3:FL180),$FK$3:$FK$400,0),1),"")),IFERROR(INDEX($FJ$3:$FK$400,MATCH(ROWS($FL$3:FL180),$FK$3:$FK$400,0),1),""))</f>
        <v/>
      </c>
      <c r="FM180" s="48">
        <f ca="1">IF(OR(B180="IVA ns/credito",B180="IVA NS/DEBITO",B180="IVA C/ACCONTO",B180="IMPOSTE C/ACCONTO",B180="CREDITI PER RITENUTE SUBITE",B180="CREDITI D'IMPOSTA"),MAX($FM$2:FM179)+1,0)</f>
        <v>0</v>
      </c>
      <c r="FN180" s="48" t="str">
        <f t="shared" ca="1" si="329"/>
        <v/>
      </c>
      <c r="FO180" s="48" t="str">
        <f ca="1">IFERROR(INDEX($FM$3:$FN$400,MATCH(ROWS($FO$3:FO180),$FM$3:$FM$400,0),2),"")</f>
        <v/>
      </c>
      <c r="FP180" s="48">
        <f ca="1">IF(ABS(SUMIFS(DARE,DEN_G,"="&amp;FO180,DATA,"&lt;="&amp;FINE_AC,DATA,"&gt;="&amp;INIZIO_A_PC)-SUMIFS(AVERE,DEN_G,"="&amp;FO180,DATA,"&lt;="&amp;FINE_AC,DATA,"&gt;="&amp;INIZIO_A_PC))&gt;0,MAX($FP$2:FP179)+1,0)</f>
        <v>0</v>
      </c>
      <c r="FQ180" s="48" t="str">
        <f ca="1">IF(AND(ROW()-2&lt;&gt;1,ROW()-2&lt;=$FP$1),CONCATENATE(" - ",IFERROR(INDEX($FO$3:$FP$400,MATCH(ROWS($FQ$3:FQ180),$FP$3:$FP$400,0),1),"")),IFERROR(INDEX($FO$3:$FP$400,MATCH(ROWS($FQ$3:FQ180),$FP$3:$FP$400,0),1),""))</f>
        <v/>
      </c>
    </row>
    <row r="181" spans="1:173" x14ac:dyDescent="0.3">
      <c r="A181" s="48" t="str">
        <f ca="1">IFERROR(IF($A$1=2,INDEX($DH$3:$DN$401,MATCH(ROWS(A$3:A181),$DN$3:$DN$401,0),COLUMN()),IF($A$1=1,INDEX($DQ$3:$DW$401,MATCH(ROWS(A$3:A181),$DW$3:$DW$401,0),COLUMN()),"")),"")</f>
        <v>19.01</v>
      </c>
      <c r="B181" s="48" t="str">
        <f ca="1">IFERROR(IF($A$1=2,INDEX($DH$3:$DN$401,MATCH(ROWS(B$3:B181),$DN$3:$DN$401,0),COLUMN()),IF($A$1=1,INDEX($DQ$3:$DW$400,MATCH(ROWS(B$3:B181),$DW$3:$DW$401,0),COLUMN()),"")),"")</f>
        <v>BENI DI TERZI</v>
      </c>
      <c r="C181" s="48">
        <f ca="1">IFERROR(IF($A$1=2,INDEX($DH$3:$DN$401,MATCH(ROWS(C$3:C181),$DN$3:$DN$401,0),COLUMN()),IF($A$1=1,INDEX($DQ$3:$DW$401,MATCH(ROWS(C$3:C181),$DW$3:$DW$401,0),COLUMN()),"")),"")</f>
        <v>0</v>
      </c>
      <c r="D181" s="48" t="str">
        <f ca="1">IFERROR(IF($A$1=2,INDEX($DH$3:$DN$401,MATCH(ROWS(D$3:D181),$DN$3:$DN$401,0),COLUMN()),IF($A$1=1,INDEX($DQ$3:$DW$401,MATCH(ROWS(D$3:D181),$DW$3:$DW$401,0),COLUMN()),"")),"")</f>
        <v>D</v>
      </c>
      <c r="E181" s="48" t="str">
        <f ca="1">IFERROR(IF($A$1=2,INDEX($DH$3:$DN$401,MATCH(ROWS(E$3:E181),$DN$3:$DN$401,0),COLUMN()),IF($A$1=1,INDEX($DQ$3:$DW$401,MATCH(ROWS(E$3:E181),$DW$3:$DW$401,0),COLUMN()),"")),"")</f>
        <v>CONTI D'ORDINE</v>
      </c>
      <c r="F181" s="48" t="str">
        <f ca="1">IFERROR(IF($A$1=2,INDEX($DH$3:$DN$401,MATCH(ROWS(F$3:F181),$DN$3:$DN$401,0),COLUMN()),IF($A$1=1,INDEX($DQ$3:$DX$401,MATCH(ROWS(F$3:F181),$DW$3:$DW$401,0),COLUMN()),"")),"")</f>
        <v>SP</v>
      </c>
      <c r="G181" s="48" t="str">
        <f t="shared" ca="1" si="294"/>
        <v>SP</v>
      </c>
      <c r="H181" s="48">
        <f ca="1">IFERROR(IF($A$1=2,INDEX($DH$3:$DO$400,MATCH(ROWS(H$3:H181),$DN$3:$DN$400,0),COLUMN()),IF($A$1=1,INDEX($DQ$3:$DX$400,MATCH(ROWS(H$3:H181),$DW$3:$DW$400,0),COLUMN()),"")),"")</f>
        <v>0</v>
      </c>
      <c r="I181" s="48" t="str">
        <f t="shared" ca="1" si="295"/>
        <v/>
      </c>
      <c r="J181" s="48" t="str">
        <f t="shared" ca="1" si="296"/>
        <v/>
      </c>
      <c r="K181" s="48">
        <f t="shared" ca="1" si="297"/>
        <v>0</v>
      </c>
      <c r="L181" s="48">
        <f t="shared" ca="1" si="298"/>
        <v>0</v>
      </c>
      <c r="M181" s="48">
        <f ca="1">IFERROR(IF(IF(MID($A181,3,3)=".00",MID(A181,1,2),"")&lt;&gt;"",MAX($M$2:M180)+1,0),"")</f>
        <v>0</v>
      </c>
      <c r="N181" s="48" t="str">
        <f t="shared" ca="1" si="299"/>
        <v/>
      </c>
      <c r="O181" s="48" t="str">
        <f ca="1">IF(IFERROR(INDEX($N$3:$O$300,MATCH(ROWS($O$3:O181),$M$3:$M$300,0),1),"")&lt;&gt;"",CONCATENATE(INDEX($N$3:$O$300,MATCH(ROWS($O$3:O181),$M$3:$M$300,0),1),".00"),"")</f>
        <v/>
      </c>
      <c r="P181" s="48" t="str">
        <f t="shared" ca="1" si="300"/>
        <v/>
      </c>
      <c r="Q181" s="48">
        <f ca="1">IF(M181&gt;=1,0,MAX($Q$2:Q180)+1)</f>
        <v>160</v>
      </c>
      <c r="U181" s="48" t="str">
        <f ca="1">IFERROR(INDEX(PDC,MATCH(ROWS(U$3:U181),$V$3:$V$400,0),2),"")</f>
        <v>PROVENTI VARI</v>
      </c>
      <c r="V181" s="48">
        <f ca="1">IF(AND($T$1="VISUALIZZA TUTTI I CONTI",AA181&lt;&gt;""),MAX($V$2:V180)+1,IF(AND($U$2=2,AI181=$T$1),MAX($V$2:V180)+1,IF(AND($U$2=1,$T$1=AF181),MAX($V$2:V180)+1,0)))</f>
        <v>179</v>
      </c>
      <c r="AA181" s="48" t="str">
        <f t="shared" ca="1" si="301"/>
        <v>20.00</v>
      </c>
      <c r="AB181" s="48" t="str">
        <f ca="1">IFERROR(INDEX($A$3:$G$400,MATCH(ROWS(AB$3:AB181),$Q$3:$Q$400,0),1),"")</f>
        <v>20.38</v>
      </c>
      <c r="AC181" s="48" t="str">
        <f ca="1">IFERROR(INDEX($A$3:$G$400,MATCH(ROWS($AC$3:AC181),$Q$3:$Q$400,0),2),"")</f>
        <v>PROVENTI VARI</v>
      </c>
      <c r="AD181" s="48" t="str">
        <f ca="1">IFERROR(INDEX($A$3:$G$400,MATCH(ROWS(AD$3:AD181),$Q$3:$Q$400,0),3),"")</f>
        <v>E</v>
      </c>
      <c r="AE181" s="48" t="str">
        <f ca="1">IFERROR(INDEX($A$3:$G$400,MATCH(ROWS(AE$3:AE181),$Q$3:$Q$400,0),4),"")</f>
        <v>A</v>
      </c>
      <c r="AF181" s="48" t="str">
        <f ca="1">IFERROR(INDEX($A$3:$G$400,MATCH(ROWS(AF$3:AF181),$Q$3:$Q$400,0),5),"")</f>
        <v>RICAVI D'ESERCIZIO</v>
      </c>
      <c r="AG181" s="48" t="str">
        <f ca="1">IFERROR(INDEX($A$3:$G$400,MATCH(ROWS(AG$3:AG181),$Q$3:$Q$400,0),6),"")</f>
        <v>SE AVERE</v>
      </c>
      <c r="AH181" s="48" t="str">
        <f ca="1">IFERROR(INDEX($A$3:$G$400,MATCH(ROWS(AH$3:AH181),$Q$3:$Q$400,0),7),"")</f>
        <v>SE</v>
      </c>
      <c r="AI181" s="48" t="str">
        <f t="shared" ca="1" si="302"/>
        <v>VALORE DELLA PRODUZIONE</v>
      </c>
      <c r="AJ181" s="48" t="str">
        <f ca="1">IFERROR(INDEX($A$3:$H$400,MATCH(ROWS(AJ$3:AJ181),$Q$3:$Q$400,0),8),"")</f>
        <v>ea5</v>
      </c>
      <c r="AK181" s="48">
        <f t="shared" ca="1" si="277"/>
        <v>0</v>
      </c>
      <c r="AL181" s="48">
        <f t="shared" ca="1" si="373"/>
        <v>0</v>
      </c>
      <c r="AM181" s="48">
        <f t="shared" ca="1" si="377"/>
        <v>0</v>
      </c>
      <c r="AN181" s="48">
        <f t="shared" ca="1" si="378"/>
        <v>0</v>
      </c>
      <c r="AO181" s="48">
        <f t="shared" ca="1" si="379"/>
        <v>0</v>
      </c>
      <c r="AP181" s="48">
        <f t="shared" ca="1" si="379"/>
        <v>0</v>
      </c>
      <c r="AQ181" s="48" t="str">
        <f t="shared" ca="1" si="278"/>
        <v/>
      </c>
      <c r="AR181" s="48">
        <f t="shared" ca="1" si="279"/>
        <v>0</v>
      </c>
      <c r="AS181" s="48">
        <f t="shared" ca="1" si="280"/>
        <v>0</v>
      </c>
      <c r="AT181" s="48">
        <f t="shared" ca="1" si="303"/>
        <v>0</v>
      </c>
      <c r="AU181" s="48">
        <f t="shared" ca="1" si="304"/>
        <v>0</v>
      </c>
      <c r="AV181" s="48">
        <f ca="1">IF(OR(AT181&gt;0,AU181&gt;0),MAX($AV$2:AV180)+1,0)</f>
        <v>0</v>
      </c>
      <c r="AZ181" s="241" t="str">
        <f t="shared" si="381"/>
        <v>81 V.I.</v>
      </c>
      <c r="BA181" s="48">
        <f t="shared" ca="1" si="369"/>
        <v>0</v>
      </c>
      <c r="BB181" s="48">
        <f t="shared" ca="1" si="370"/>
        <v>0</v>
      </c>
      <c r="BC181" s="48" t="str">
        <f t="shared" ca="1" si="382"/>
        <v/>
      </c>
      <c r="BD181" s="48">
        <f t="shared" ca="1" si="383"/>
        <v>0</v>
      </c>
      <c r="BE181" s="48">
        <f t="shared" ca="1" si="384"/>
        <v>0</v>
      </c>
      <c r="BG181" s="48">
        <f ca="1">IF(IF(AND(OR(INDEX(PDC,MATCH($AC181,DEN_PDC,0),6)="SP DARE",INDEX(PDC,MATCH($AC181,DEN_PDC,0),6)="SP DARE/AVERE"),SUMIFS(DARE,DEN_G,$AC181)&gt;=SUMIFS(AVERE,DEN_G,$AC181)),SUMIFS(DARE,DEN_G,$AC181)-SUMIFS(AVERE,DEN_G,$AC181),0)&gt;0,MAX($BG$2:BG180)+1,0)</f>
        <v>0</v>
      </c>
      <c r="BH181" s="48">
        <f ca="1">IF(IF(AND(OR(INDEX(PDC,MATCH($AC181,DEN_PDC,0),6)="SP AVERE",INDEX(PDC,MATCH($AC181,DEN_PDC,0),6)="SP DARE/AVERE"),SUMIFS(AVERE,DEN_G,$AC181)&gt;=SUMIFS(DARE,DEN_G,$AC181)),SUMIFS(AVERE,DEN_G,$AC181)-SUMIFS(DARE,DEN_G,$AC181),0)&gt;0,MAX(BH$2:BH180)+1,0)</f>
        <v>0</v>
      </c>
      <c r="BI181" s="48">
        <f ca="1">IF(IF(AND(OR(INDEX(PDC,MATCH($AC181,DEN_PDC,0),6)="SE DARE",INDEX(PDC,MATCH($AC181,DEN_PDC,0),6)="SE DARE/AVERE"),SUMIFS(DARE,DEN_G,$AC181)&gt;=SUMIFS(AVERE,DEN_G,$AC181)),SUMIFS(DARE,DEN_G,$AC181)-SUMIFS(AVERE,DEN_G,$AC181),0)&gt;0,MAX(BI$2:BI180)+1,0)</f>
        <v>0</v>
      </c>
      <c r="BJ181" s="48">
        <f ca="1">IF(IF(AND(OR(INDEX(PDC,MATCH($AC181,DEN_PDC,0),6)="SE AVERE",INDEX(PDC,MATCH($AC181,DEN_PDC,0),6)="SE DARE/AVERE"),SUMIFS(AVERE,DEN_G,$AC181)&gt;=SUMIFS(DARE,DEN_G,$AC181)),SUMIFS(AVERE,DEN_G,$AC181)-SUMIFS(DARE,DEN_G,$AC181),0)&gt;0,MAX(BJ$2:BJ180)+1,0)</f>
        <v>0</v>
      </c>
      <c r="BK181" s="48" t="str">
        <f ca="1">IF(AND(AND($DY$2=0,$DY$1=0),$I$1=2,ROW()&gt;$BG$1+2,ROW()&lt;=$BG$1+4),"………………..",IF(AND(OR($DY$2&gt;0,$DY$1&gt;0),$I$1=2,ROW()&gt;$BG$1+2,ROW()&lt;=$BG$1+4),"………………..",IFERROR(INDEX($AC$3:$AC$398,MATCH(ROWS(BK$3:BK181),BG$3:BG$398,0),1),"")))</f>
        <v/>
      </c>
      <c r="BL181" s="48">
        <f t="shared" ca="1" si="281"/>
        <v>0</v>
      </c>
      <c r="BM181" s="48" t="str">
        <f ca="1">IF(AND(OR($DY$2=0,$DY$1=0),$I$1=2,ROW()&gt;$BH$1+2,ROW()&lt;=$BH$1+4),"………………..",IF(AND(OR($DY$2&gt;0,$DY$1&gt;0),$I$1=2,ROW()&gt;$BH$1+2,ROW()&lt;=$BH$1+4),"………………..",IFERROR(INDEX($AC$3:$AC$400,MATCH(ROWS(BM$3:BM181),BH$3:BH$400,0),1),"")))</f>
        <v/>
      </c>
      <c r="BN181" s="48">
        <f t="shared" ca="1" si="282"/>
        <v>0</v>
      </c>
      <c r="BO181" s="48" t="str">
        <f ca="1">IF(AND(OR($DY$2=0,$DY$1=0),$I$1=2,ROW()&gt;$BI$1+2,ROW()&lt;=$BI$1+4),"………………..",IF(AND(OR($DY$2&gt;0,$DY$1&gt;0),$I$1=2,ROW()&gt;$BI$1+2,ROW()&lt;=$BI$1+4),"………………..",IFERROR(INDEX($AC$3:$AC$400,MATCH(ROWS(BO$3:BO181),BI$3:BI$400,0),1),"")))</f>
        <v/>
      </c>
      <c r="BP181" s="48">
        <f t="shared" ca="1" si="283"/>
        <v>0</v>
      </c>
      <c r="BQ181" s="48" t="str">
        <f ca="1">IF(AND(OR($DY$2=0,$DY$1=0),$I$1=2,ROW()&gt;$BJ$1+2,ROW()&lt;=$BJ$1+4),"………………..",IF(AND(OR($DY$2&gt;0,$DY$1&gt;0),$I$1=2,ROW()&gt;$BJ$1+2,ROW()&lt;=$BJ$1+4),"………………..",IFERROR(INDEX($AC$3:$AC$400,MATCH(ROWS(BQ$3:BQ181),BJ$3:BJ$400,0),1),"")))</f>
        <v/>
      </c>
      <c r="BR181" s="48">
        <f t="shared" ca="1" si="284"/>
        <v>0</v>
      </c>
      <c r="BS181" s="48">
        <f ca="1">IF(IF(AND(OR(INDEX(PDC,MATCH($AC181,DEN_PDC,0),4)="D",INDEX(PDC,MATCH($AC181,DEN_PDC,0),4)="D/A"),SUMIFS(DARE,DEN_G,$AC181)&gt;=SUMIFS(AVERE,DEN_G,$AC181)),SUMIFS(DARE,DEN_G,$AC181),IF(AND(OR(INDEX(PDC,MATCH($AC181,DEN_PDC,0),4)="A",INDEX(PDC,MATCH($AC181,DEN_PDC,0),4)="D/A"),SUMIFS(AVERE,DEN_G,$AC181)&gt;=SUMIFS(DARE,DEN_G,$AC181)),SUMIFS(AVERE,DEN_G,$AC181),))&gt;0,MAX($BS$2:BS180)+1,0)</f>
        <v>0</v>
      </c>
      <c r="BT181" s="48" t="str">
        <f ca="1">IF($CO$1=0,"",IF(AND($I$1=2,ROW()&gt;$BR$1,ROW()&lt;=$BS$1)," …………….",IF(AND($E$1=1,$BX$1=1,$I$1=2,ROW()=$BQ$1),"TOTALI",IFERROR(INDEX(PDC,MATCH(ROWS(BT$3:BT181),BS$3:BS578,0),2),""))))</f>
        <v/>
      </c>
      <c r="BU181" s="48">
        <f t="shared" ca="1" si="285"/>
        <v>0</v>
      </c>
      <c r="BV181" s="48">
        <f t="shared" ca="1" si="286"/>
        <v>0</v>
      </c>
      <c r="BW181" s="48">
        <f t="shared" ca="1" si="287"/>
        <v>0</v>
      </c>
      <c r="BX181" s="48">
        <f t="shared" ca="1" si="288"/>
        <v>0</v>
      </c>
      <c r="BY181" s="48">
        <f ca="1">IF(OR(BW181&gt;0,BX181&gt;0),MAX($BY$2:BY180)+1,0)</f>
        <v>0</v>
      </c>
      <c r="BZ181" s="48" t="str">
        <f ca="1">IFERROR(INDEX($BT$3:$BY$400,MATCH(ROWS(BZ$3:BZ181),$BY$3:$BY$400,0),1),"")</f>
        <v/>
      </c>
      <c r="CA181" s="48" t="str">
        <f ca="1">IFERROR(INDEX($BT$3:$BY$400,MATCH(ROWS(CA$3:CA181),$BY$3:$BY$400,0),4),"")</f>
        <v/>
      </c>
      <c r="CB181" s="48" t="str">
        <f ca="1">IFERROR(INDEX($BT$3:$BY$400,MATCH(ROWS(CB$3:CB181),$BY$3:$BY$400,0),5),"")</f>
        <v/>
      </c>
      <c r="CC181" s="48" t="str">
        <f t="shared" ca="1" si="289"/>
        <v/>
      </c>
      <c r="CD181" s="48">
        <f ca="1">IF(AND($BF$9=2,CE181&lt;&gt;0),MAX($CD$165:CD180)+1,0)</f>
        <v>0</v>
      </c>
      <c r="CE181" s="48">
        <f ca="1">CE121</f>
        <v>0</v>
      </c>
      <c r="CF181" s="48" t="str">
        <f t="shared" si="375"/>
        <v>ppa9</v>
      </c>
      <c r="CG181" s="48" t="str">
        <f t="shared" ca="1" si="376"/>
        <v>IX _- Utile d'esercizio</v>
      </c>
      <c r="CH181" s="48">
        <f t="shared" ca="1" si="388"/>
        <v>0</v>
      </c>
      <c r="CM181" s="242" t="str">
        <f t="shared" ca="1" si="305"/>
        <v/>
      </c>
      <c r="CN181" s="243">
        <f t="shared" ca="1" si="306"/>
        <v>0</v>
      </c>
      <c r="CO181" s="48" t="str">
        <f t="shared" ca="1" si="307"/>
        <v/>
      </c>
      <c r="CQ181" s="242"/>
      <c r="CR181" s="242"/>
      <c r="CU181" s="48">
        <f ca="1">IF(SUMIFS(AVERE,DEN_G,AC181,AVERE,"&gt;"&amp;0)+SUMIFS(DARE,DEN_G,AC181,DARE,"&gt;"&amp;0)&gt;0,MAX($CU$2:CU180)+1,0)</f>
        <v>0</v>
      </c>
      <c r="CV181" s="48" t="str">
        <f ca="1">IF(IFERROR(INDEX(PDC,MATCH(ROWS($CV$3:CV181),$CU$3:$CU$400,0),2),"")="CONTO DI RISULTATO ECONOMICO","",IFERROR(INDEX(PDC,MATCH(ROWS($CV$3:CV181),$CU$3:$CU$400,0),2),""))</f>
        <v/>
      </c>
      <c r="CW181" s="48">
        <f ca="1">IFERROR(IF(CV181&lt;&gt;"",MAX($CW$2:CW180)+1,0),0)</f>
        <v>0</v>
      </c>
      <c r="CX181" s="48">
        <f t="shared" ca="1" si="389"/>
        <v>14</v>
      </c>
      <c r="CY181" s="48" t="str">
        <f t="shared" ca="1" si="387"/>
        <v>MASTRO</v>
      </c>
      <c r="CZ181" s="48" t="e">
        <f t="shared" ca="1" si="392"/>
        <v>#N/A</v>
      </c>
      <c r="DA181" s="48" t="str">
        <f t="shared" ca="1" si="397"/>
        <v/>
      </c>
      <c r="DB181" s="48" t="str">
        <f t="shared" ca="1" si="347"/>
        <v/>
      </c>
      <c r="DC181" s="48" t="str">
        <f t="shared" ca="1" si="393"/>
        <v/>
      </c>
      <c r="DD181" s="48" t="str">
        <f t="shared" ca="1" si="394"/>
        <v/>
      </c>
      <c r="DE181" s="48" t="str">
        <f t="shared" ca="1" si="395"/>
        <v/>
      </c>
      <c r="DF181" s="48">
        <f ca="1">IF(AND(CX181=$DF$1,CX181&lt;&gt;""),0,IF(AND(DB181&lt;&gt;"",OR(DB180&lt;&gt;"",DB182&lt;&gt;"")),MAX($DF$2:DF180)+1,0))</f>
        <v>0</v>
      </c>
      <c r="DH181" s="244" t="s">
        <v>1043</v>
      </c>
      <c r="DI181" s="48" t="s">
        <v>135</v>
      </c>
      <c r="DJ181" s="48" t="s">
        <v>312</v>
      </c>
      <c r="DK181" s="48" t="s">
        <v>298</v>
      </c>
      <c r="DL181" s="48" t="s">
        <v>5</v>
      </c>
      <c r="DM181" s="48" t="s">
        <v>299</v>
      </c>
      <c r="DN181" s="48">
        <f ca="1">IF(DI181&lt;&gt;"",MAX($DN$2:DN180)+1,0)</f>
        <v>151</v>
      </c>
      <c r="DO181" s="48" t="str">
        <f t="shared" ca="1" si="400"/>
        <v>ppd</v>
      </c>
      <c r="DQ181" s="227" t="s">
        <v>145</v>
      </c>
      <c r="DR181" s="48" t="s">
        <v>139</v>
      </c>
      <c r="DS181" s="48" t="s">
        <v>312</v>
      </c>
      <c r="DT181" s="48" t="s">
        <v>298</v>
      </c>
      <c r="DU181" s="48" t="s">
        <v>5</v>
      </c>
      <c r="DV181" s="48" t="s">
        <v>299</v>
      </c>
      <c r="DW181" s="48">
        <f ca="1">IF(DR181&lt;&gt;"",MAX($DW$2:DW180)+1,0)</f>
        <v>114</v>
      </c>
      <c r="DX181" s="48" t="str">
        <f t="shared" ca="1" si="399"/>
        <v>ppd</v>
      </c>
      <c r="DY181" s="48" t="str">
        <f t="shared" ca="1" si="291"/>
        <v/>
      </c>
      <c r="DZ181" s="48" t="str">
        <f t="shared" ca="1" si="309"/>
        <v/>
      </c>
      <c r="EA181" s="48" t="str">
        <f t="shared" ca="1" si="310"/>
        <v/>
      </c>
      <c r="EB181" s="48">
        <f t="shared" ca="1" si="311"/>
        <v>0</v>
      </c>
      <c r="EC181" s="48">
        <f t="shared" ca="1" si="312"/>
        <v>0</v>
      </c>
      <c r="ED181" s="48" t="str">
        <f t="shared" ca="1" si="313"/>
        <v/>
      </c>
      <c r="EE181" s="48">
        <f t="shared" ca="1" si="314"/>
        <v>0</v>
      </c>
      <c r="EF181" s="48" t="str">
        <f t="shared" ca="1" si="315"/>
        <v/>
      </c>
      <c r="EG181" s="48">
        <f t="shared" ca="1" si="316"/>
        <v>0</v>
      </c>
      <c r="EH181" s="48" t="str">
        <f t="shared" ca="1" si="317"/>
        <v/>
      </c>
      <c r="EI181" s="48">
        <f t="shared" ca="1" si="318"/>
        <v>0</v>
      </c>
      <c r="EJ181" s="48" t="str">
        <f t="shared" ca="1" si="319"/>
        <v/>
      </c>
      <c r="EK181" s="48">
        <f t="shared" ca="1" si="320"/>
        <v>0</v>
      </c>
      <c r="EL181" s="48">
        <f t="shared" ca="1" si="292"/>
        <v>0</v>
      </c>
      <c r="EM181" s="48">
        <f ca="1">IF(EL181&gt;=0,0,MAX($EM$2:EM180)+1)</f>
        <v>0</v>
      </c>
      <c r="EN181" s="48" t="str">
        <f t="shared" ca="1" si="321"/>
        <v/>
      </c>
      <c r="EO181" s="48" t="str">
        <f ca="1">IFERROR(INDEX($EM$3:$EN$400,MATCH(ROWS($EO$3:EO181),$EM$3:$EM$400,0),2),"")</f>
        <v/>
      </c>
      <c r="EP181" s="48">
        <f>ROW()</f>
        <v>181</v>
      </c>
      <c r="EQ181" s="48">
        <f t="shared" ca="1" si="293"/>
        <v>0</v>
      </c>
      <c r="ER181" s="48">
        <f ca="1">IF(ISNA(EQ181)=TRUE,MAX($ER$2:ER180)+1,0)</f>
        <v>0</v>
      </c>
      <c r="ES181" s="48" t="str">
        <f t="shared" ca="1" si="322"/>
        <v/>
      </c>
      <c r="ET181" s="48" t="str">
        <f ca="1">IFERROR(INDEX($ER$3:$ES$400,MATCH(ROWS($ET$3:ET181),$ER$3:$ER$400,0),2),"")</f>
        <v/>
      </c>
      <c r="EV181" s="48">
        <f ca="1">IFERROR(INDEX(LIBRO_GIORNALE!$O$11:$P$408,MATCH(ROWS($EV$2:EV180),LIBRO_GIORNALE!$P$11:$P$408,0),1),0)</f>
        <v>0</v>
      </c>
      <c r="EW181" s="48" t="str">
        <f t="shared" ca="1" si="323"/>
        <v>0</v>
      </c>
      <c r="EX181" s="48">
        <f t="shared" ca="1" si="324"/>
        <v>0</v>
      </c>
      <c r="EY181" s="48">
        <f ca="1">IF(EX181&gt;0,MAX($EY$2:EY180)+1,0)</f>
        <v>0</v>
      </c>
      <c r="EZ181" s="48">
        <f ca="1">IFERROR(INDEX($EX$3:$EX$400,MATCH(ROWS($EZ$3:EZ181),$EY$3:$EY$400,0),1),0)</f>
        <v>0</v>
      </c>
      <c r="FA181" s="48">
        <f ca="1">IF(EZ181&gt;0,0,MAX($FA$2:FA180)+1)</f>
        <v>179</v>
      </c>
      <c r="FB181" s="48">
        <f t="shared" ca="1" si="325"/>
        <v>0</v>
      </c>
      <c r="FC181" s="48">
        <f t="shared" ca="1" si="326"/>
        <v>179</v>
      </c>
      <c r="FD181" s="48">
        <f t="shared" ca="1" si="327"/>
        <v>179</v>
      </c>
      <c r="FE181" s="48">
        <f ca="1">IF(FD181=0,0,MAX($FE$2:FE180)+1)</f>
        <v>179</v>
      </c>
      <c r="FF181" s="48">
        <f ca="1">IFERROR(INDEX($FD$3:$FE$400,MATCH(ROWS($FF$3:FF181),$FE$3:$FE$400,0),1),"")</f>
        <v>179</v>
      </c>
      <c r="FG181" s="48">
        <f t="shared" ca="1" si="380"/>
        <v>0</v>
      </c>
      <c r="FH181" s="48">
        <f t="shared" ca="1" si="328"/>
        <v>0</v>
      </c>
      <c r="FI181" s="48">
        <f ca="1">IF(FH181&lt;&gt;0,MAX($FI$2:FI180)+1,0)</f>
        <v>0</v>
      </c>
      <c r="FJ181" s="48" t="str">
        <f ca="1">IFERROR(INDEX($FH$3:$FI$400,MATCH(ROWS($FJ$3:FJ181),$FI$3:$FI$400,0),1),"")</f>
        <v/>
      </c>
      <c r="FK181" s="48">
        <f ca="1">IF(ABS(SUMIFS(DARE,DEN_G,"="&amp;FJ181,DATA,"&lt;="&amp;FINE_AC,DATA,"&gt;="&amp;INIZIO_A_PC)-SUMIFS(AVERE,DEN_G,"="&amp;FJ181,DATA,"&lt;="&amp;FINE_AC,DATA,"&gt;="&amp;INIZIO_A_PC))&gt;0,MAX($FK$2:FK180)+1,0)</f>
        <v>0</v>
      </c>
      <c r="FL181" s="48" t="str">
        <f ca="1">IF(AND(ROW()-2&lt;&gt;1,ROW()-2&lt;=$FK$1),CONCATENATE(" - ",IFERROR(INDEX($FJ$3:$FK$400,MATCH(ROWS($FL$3:FL181),$FK$3:$FK$400,0),1),"")),IFERROR(INDEX($FJ$3:$FK$400,MATCH(ROWS($FL$3:FL181),$FK$3:$FK$400,0),1),""))</f>
        <v/>
      </c>
      <c r="FM181" s="48">
        <f ca="1">IF(OR(B181="IVA ns/credito",B181="IVA NS/DEBITO",B181="IVA C/ACCONTO",B181="IMPOSTE C/ACCONTO",B181="CREDITI PER RITENUTE SUBITE",B181="CREDITI D'IMPOSTA"),MAX($FM$2:FM180)+1,0)</f>
        <v>0</v>
      </c>
      <c r="FN181" s="48" t="str">
        <f t="shared" ca="1" si="329"/>
        <v/>
      </c>
      <c r="FO181" s="48" t="str">
        <f ca="1">IFERROR(INDEX($FM$3:$FN$400,MATCH(ROWS($FO$3:FO181),$FM$3:$FM$400,0),2),"")</f>
        <v/>
      </c>
      <c r="FP181" s="48">
        <f ca="1">IF(ABS(SUMIFS(DARE,DEN_G,"="&amp;FO181,DATA,"&lt;="&amp;FINE_AC,DATA,"&gt;="&amp;INIZIO_A_PC)-SUMIFS(AVERE,DEN_G,"="&amp;FO181,DATA,"&lt;="&amp;FINE_AC,DATA,"&gt;="&amp;INIZIO_A_PC))&gt;0,MAX($FP$2:FP180)+1,0)</f>
        <v>0</v>
      </c>
      <c r="FQ181" s="48" t="str">
        <f ca="1">IF(AND(ROW()-2&lt;&gt;1,ROW()-2&lt;=$FP$1),CONCATENATE(" - ",IFERROR(INDEX($FO$3:$FP$400,MATCH(ROWS($FQ$3:FQ181),$FP$3:$FP$400,0),1),"")),IFERROR(INDEX($FO$3:$FP$400,MATCH(ROWS($FQ$3:FQ181),$FP$3:$FP$400,0),1),""))</f>
        <v/>
      </c>
    </row>
    <row r="182" spans="1:173" x14ac:dyDescent="0.3">
      <c r="A182" s="48" t="str">
        <f ca="1">IFERROR(IF($A$1=2,INDEX($DH$3:$DN$401,MATCH(ROWS(A$3:A182),$DN$3:$DN$401,0),COLUMN()),IF($A$1=1,INDEX($DQ$3:$DW$401,MATCH(ROWS(A$3:A182),$DW$3:$DW$401,0),COLUMN()),"")),"")</f>
        <v>19.02</v>
      </c>
      <c r="B182" s="48" t="str">
        <f ca="1">IFERROR(IF($A$1=2,INDEX($DH$3:$DN$401,MATCH(ROWS(B$3:B182),$DN$3:$DN$401,0),COLUMN()),IF($A$1=1,INDEX($DQ$3:$DW$400,MATCH(ROWS(B$3:B182),$DW$3:$DW$401,0),COLUMN()),"")),"")</f>
        <v>DEPOSITANTI BENI</v>
      </c>
      <c r="C182" s="48">
        <f ca="1">IFERROR(IF($A$1=2,INDEX($DH$3:$DN$401,MATCH(ROWS(C$3:C182),$DN$3:$DN$401,0),COLUMN()),IF($A$1=1,INDEX($DQ$3:$DW$401,MATCH(ROWS(C$3:C182),$DW$3:$DW$401,0),COLUMN()),"")),"")</f>
        <v>0</v>
      </c>
      <c r="D182" s="48" t="str">
        <f ca="1">IFERROR(IF($A$1=2,INDEX($DH$3:$DN$401,MATCH(ROWS(D$3:D182),$DN$3:$DN$401,0),COLUMN()),IF($A$1=1,INDEX($DQ$3:$DW$401,MATCH(ROWS(D$3:D182),$DW$3:$DW$401,0),COLUMN()),"")),"")</f>
        <v>A</v>
      </c>
      <c r="E182" s="48" t="str">
        <f ca="1">IFERROR(IF($A$1=2,INDEX($DH$3:$DN$401,MATCH(ROWS(E$3:E182),$DN$3:$DN$401,0),COLUMN()),IF($A$1=1,INDEX($DQ$3:$DW$401,MATCH(ROWS(E$3:E182),$DW$3:$DW$401,0),COLUMN()),"")),"")</f>
        <v>CONTI D'ORDINE</v>
      </c>
      <c r="F182" s="48" t="str">
        <f ca="1">IFERROR(IF($A$1=2,INDEX($DH$3:$DN$401,MATCH(ROWS(F$3:F182),$DN$3:$DN$401,0),COLUMN()),IF($A$1=1,INDEX($DQ$3:$DX$401,MATCH(ROWS(F$3:F182),$DW$3:$DW$401,0),COLUMN()),"")),"")</f>
        <v>SP</v>
      </c>
      <c r="G182" s="48" t="str">
        <f t="shared" ca="1" si="294"/>
        <v>SP</v>
      </c>
      <c r="H182" s="48">
        <f ca="1">IFERROR(IF($A$1=2,INDEX($DH$3:$DO$400,MATCH(ROWS(H$3:H182),$DN$3:$DN$400,0),COLUMN()),IF($A$1=1,INDEX($DQ$3:$DX$400,MATCH(ROWS(H$3:H182),$DW$3:$DW$400,0),COLUMN()),"")),"")</f>
        <v>0</v>
      </c>
      <c r="I182" s="48" t="str">
        <f t="shared" ca="1" si="295"/>
        <v/>
      </c>
      <c r="J182" s="48" t="str">
        <f t="shared" ca="1" si="296"/>
        <v/>
      </c>
      <c r="K182" s="48">
        <f t="shared" ca="1" si="297"/>
        <v>0</v>
      </c>
      <c r="L182" s="48">
        <f t="shared" ca="1" si="298"/>
        <v>0</v>
      </c>
      <c r="M182" s="48">
        <f ca="1">IFERROR(IF(IF(MID($A182,3,3)=".00",MID(A182,1,2),"")&lt;&gt;"",MAX($M$2:M181)+1,0),"")</f>
        <v>0</v>
      </c>
      <c r="N182" s="48" t="str">
        <f t="shared" ca="1" si="299"/>
        <v/>
      </c>
      <c r="O182" s="48" t="str">
        <f ca="1">IF(IFERROR(INDEX($N$3:$O$300,MATCH(ROWS($O$3:O182),$M$3:$M$300,0),1),"")&lt;&gt;"",CONCATENATE(INDEX($N$3:$O$300,MATCH(ROWS($O$3:O182),$M$3:$M$300,0),1),".00"),"")</f>
        <v/>
      </c>
      <c r="P182" s="48" t="str">
        <f t="shared" ca="1" si="300"/>
        <v/>
      </c>
      <c r="Q182" s="48">
        <f ca="1">IF(M182&gt;=1,0,MAX($Q$2:Q181)+1)</f>
        <v>161</v>
      </c>
      <c r="U182" s="48" t="str">
        <f ca="1">IFERROR(INDEX(PDC,MATCH(ROWS(U$3:U182),$V$3:$V$400,0),2),"")</f>
        <v>ARROTONDAMENTI ATTIVI</v>
      </c>
      <c r="V182" s="48">
        <f ca="1">IF(AND($T$1="VISUALIZZA TUTTI I CONTI",AA182&lt;&gt;""),MAX($V$2:V181)+1,IF(AND($U$2=2,AI182=$T$1),MAX($V$2:V181)+1,IF(AND($U$2=1,$T$1=AF182),MAX($V$2:V181)+1,0)))</f>
        <v>180</v>
      </c>
      <c r="AA182" s="48" t="str">
        <f t="shared" ca="1" si="301"/>
        <v>20.00</v>
      </c>
      <c r="AB182" s="48" t="str">
        <f ca="1">IFERROR(INDEX($A$3:$G$400,MATCH(ROWS(AB$3:AB182),$Q$3:$Q$400,0),1),"")</f>
        <v>20.39</v>
      </c>
      <c r="AC182" s="48" t="str">
        <f ca="1">IFERROR(INDEX($A$3:$G$400,MATCH(ROWS($AC$3:AC182),$Q$3:$Q$400,0),2),"")</f>
        <v>ARROTONDAMENTI ATTIVI</v>
      </c>
      <c r="AD182" s="48" t="str">
        <f ca="1">IFERROR(INDEX($A$3:$G$400,MATCH(ROWS(AD$3:AD182),$Q$3:$Q$400,0),3),"")</f>
        <v>E</v>
      </c>
      <c r="AE182" s="48" t="str">
        <f ca="1">IFERROR(INDEX($A$3:$G$400,MATCH(ROWS(AE$3:AE182),$Q$3:$Q$400,0),4),"")</f>
        <v>A</v>
      </c>
      <c r="AF182" s="48" t="str">
        <f ca="1">IFERROR(INDEX($A$3:$G$400,MATCH(ROWS(AF$3:AF182),$Q$3:$Q$400,0),5),"")</f>
        <v>RICAVI D'ESERCIZIO</v>
      </c>
      <c r="AG182" s="48" t="str">
        <f ca="1">IFERROR(INDEX($A$3:$G$400,MATCH(ROWS(AG$3:AG182),$Q$3:$Q$400,0),6),"")</f>
        <v>SE AVERE</v>
      </c>
      <c r="AH182" s="48" t="str">
        <f ca="1">IFERROR(INDEX($A$3:$G$400,MATCH(ROWS(AH$3:AH182),$Q$3:$Q$400,0),7),"")</f>
        <v>SE</v>
      </c>
      <c r="AI182" s="48" t="str">
        <f t="shared" ca="1" si="302"/>
        <v>VALORE DELLA PRODUZIONE</v>
      </c>
      <c r="AJ182" s="48" t="str">
        <f ca="1">IFERROR(INDEX($A$3:$H$400,MATCH(ROWS(AJ$3:AJ182),$Q$3:$Q$400,0),8),"")</f>
        <v>ea5</v>
      </c>
      <c r="AK182" s="48">
        <f t="shared" ca="1" si="277"/>
        <v>0</v>
      </c>
      <c r="AL182" s="48">
        <f t="shared" ca="1" si="373"/>
        <v>0</v>
      </c>
      <c r="AM182" s="48">
        <f t="shared" ca="1" si="377"/>
        <v>0</v>
      </c>
      <c r="AN182" s="48">
        <f t="shared" ca="1" si="378"/>
        <v>0</v>
      </c>
      <c r="AO182" s="48">
        <f t="shared" ca="1" si="379"/>
        <v>0</v>
      </c>
      <c r="AP182" s="48">
        <f t="shared" ca="1" si="379"/>
        <v>0</v>
      </c>
      <c r="AQ182" s="48" t="str">
        <f t="shared" ca="1" si="278"/>
        <v/>
      </c>
      <c r="AR182" s="48">
        <f t="shared" ca="1" si="279"/>
        <v>0</v>
      </c>
      <c r="AS182" s="48">
        <f t="shared" ca="1" si="280"/>
        <v>0</v>
      </c>
      <c r="AT182" s="48">
        <f t="shared" ca="1" si="303"/>
        <v>0</v>
      </c>
      <c r="AU182" s="48">
        <f t="shared" ca="1" si="304"/>
        <v>0</v>
      </c>
      <c r="AV182" s="48">
        <f ca="1">IF(OR(AT182&gt;0,AU182&gt;0),MAX($AV$2:AV181)+1,0)</f>
        <v>0</v>
      </c>
      <c r="AZ182" s="241" t="str">
        <f t="shared" si="381"/>
        <v>82 V.I.</v>
      </c>
      <c r="BA182" s="48">
        <f t="shared" ca="1" si="369"/>
        <v>0</v>
      </c>
      <c r="BB182" s="48">
        <f t="shared" ca="1" si="370"/>
        <v>0</v>
      </c>
      <c r="BC182" s="48" t="str">
        <f t="shared" ca="1" si="382"/>
        <v/>
      </c>
      <c r="BD182" s="48">
        <f t="shared" ca="1" si="383"/>
        <v>0</v>
      </c>
      <c r="BE182" s="48">
        <f t="shared" ca="1" si="384"/>
        <v>0</v>
      </c>
      <c r="BG182" s="48">
        <f ca="1">IF(IF(AND(OR(INDEX(PDC,MATCH($AC182,DEN_PDC,0),6)="SP DARE",INDEX(PDC,MATCH($AC182,DEN_PDC,0),6)="SP DARE/AVERE"),SUMIFS(DARE,DEN_G,$AC182)&gt;=SUMIFS(AVERE,DEN_G,$AC182)),SUMIFS(DARE,DEN_G,$AC182)-SUMIFS(AVERE,DEN_G,$AC182),0)&gt;0,MAX($BG$2:BG181)+1,0)</f>
        <v>0</v>
      </c>
      <c r="BH182" s="48">
        <f ca="1">IF(IF(AND(OR(INDEX(PDC,MATCH($AC182,DEN_PDC,0),6)="SP AVERE",INDEX(PDC,MATCH($AC182,DEN_PDC,0),6)="SP DARE/AVERE"),SUMIFS(AVERE,DEN_G,$AC182)&gt;=SUMIFS(DARE,DEN_G,$AC182)),SUMIFS(AVERE,DEN_G,$AC182)-SUMIFS(DARE,DEN_G,$AC182),0)&gt;0,MAX(BH$2:BH181)+1,0)</f>
        <v>0</v>
      </c>
      <c r="BI182" s="48">
        <f ca="1">IF(IF(AND(OR(INDEX(PDC,MATCH($AC182,DEN_PDC,0),6)="SE DARE",INDEX(PDC,MATCH($AC182,DEN_PDC,0),6)="SE DARE/AVERE"),SUMIFS(DARE,DEN_G,$AC182)&gt;=SUMIFS(AVERE,DEN_G,$AC182)),SUMIFS(DARE,DEN_G,$AC182)-SUMIFS(AVERE,DEN_G,$AC182),0)&gt;0,MAX(BI$2:BI181)+1,0)</f>
        <v>0</v>
      </c>
      <c r="BJ182" s="48">
        <f ca="1">IF(IF(AND(OR(INDEX(PDC,MATCH($AC182,DEN_PDC,0),6)="SE AVERE",INDEX(PDC,MATCH($AC182,DEN_PDC,0),6)="SE DARE/AVERE"),SUMIFS(AVERE,DEN_G,$AC182)&gt;=SUMIFS(DARE,DEN_G,$AC182)),SUMIFS(AVERE,DEN_G,$AC182)-SUMIFS(DARE,DEN_G,$AC182),0)&gt;0,MAX(BJ$2:BJ181)+1,0)</f>
        <v>0</v>
      </c>
      <c r="BK182" s="48" t="str">
        <f ca="1">IF(AND(AND($DY$2=0,$DY$1=0),$I$1=2,ROW()&gt;$BG$1+2,ROW()&lt;=$BG$1+4),"………………..",IF(AND(OR($DY$2&gt;0,$DY$1&gt;0),$I$1=2,ROW()&gt;$BG$1+2,ROW()&lt;=$BG$1+4),"………………..",IFERROR(INDEX($AC$3:$AC$398,MATCH(ROWS(BK$3:BK182),BG$3:BG$398,0),1),"")))</f>
        <v/>
      </c>
      <c r="BL182" s="48">
        <f t="shared" ca="1" si="281"/>
        <v>0</v>
      </c>
      <c r="BM182" s="48" t="str">
        <f ca="1">IF(AND(OR($DY$2=0,$DY$1=0),$I$1=2,ROW()&gt;$BH$1+2,ROW()&lt;=$BH$1+4),"………………..",IF(AND(OR($DY$2&gt;0,$DY$1&gt;0),$I$1=2,ROW()&gt;$BH$1+2,ROW()&lt;=$BH$1+4),"………………..",IFERROR(INDEX($AC$3:$AC$400,MATCH(ROWS(BM$3:BM182),BH$3:BH$400,0),1),"")))</f>
        <v/>
      </c>
      <c r="BN182" s="48">
        <f t="shared" ca="1" si="282"/>
        <v>0</v>
      </c>
      <c r="BO182" s="48" t="str">
        <f ca="1">IF(AND(OR($DY$2=0,$DY$1=0),$I$1=2,ROW()&gt;$BI$1+2,ROW()&lt;=$BI$1+4),"………………..",IF(AND(OR($DY$2&gt;0,$DY$1&gt;0),$I$1=2,ROW()&gt;$BI$1+2,ROW()&lt;=$BI$1+4),"………………..",IFERROR(INDEX($AC$3:$AC$400,MATCH(ROWS(BO$3:BO182),BI$3:BI$400,0),1),"")))</f>
        <v/>
      </c>
      <c r="BP182" s="48">
        <f t="shared" ca="1" si="283"/>
        <v>0</v>
      </c>
      <c r="BQ182" s="48" t="str">
        <f ca="1">IF(AND(OR($DY$2=0,$DY$1=0),$I$1=2,ROW()&gt;$BJ$1+2,ROW()&lt;=$BJ$1+4),"………………..",IF(AND(OR($DY$2&gt;0,$DY$1&gt;0),$I$1=2,ROW()&gt;$BJ$1+2,ROW()&lt;=$BJ$1+4),"………………..",IFERROR(INDEX($AC$3:$AC$400,MATCH(ROWS(BQ$3:BQ182),BJ$3:BJ$400,0),1),"")))</f>
        <v/>
      </c>
      <c r="BR182" s="48">
        <f t="shared" ca="1" si="284"/>
        <v>0</v>
      </c>
      <c r="BS182" s="48">
        <f ca="1">IF(IF(AND(OR(INDEX(PDC,MATCH($AC182,DEN_PDC,0),4)="D",INDEX(PDC,MATCH($AC182,DEN_PDC,0),4)="D/A"),SUMIFS(DARE,DEN_G,$AC182)&gt;=SUMIFS(AVERE,DEN_G,$AC182)),SUMIFS(DARE,DEN_G,$AC182),IF(AND(OR(INDEX(PDC,MATCH($AC182,DEN_PDC,0),4)="A",INDEX(PDC,MATCH($AC182,DEN_PDC,0),4)="D/A"),SUMIFS(AVERE,DEN_G,$AC182)&gt;=SUMIFS(DARE,DEN_G,$AC182)),SUMIFS(AVERE,DEN_G,$AC182),))&gt;0,MAX($BS$2:BS181)+1,0)</f>
        <v>0</v>
      </c>
      <c r="BT182" s="48" t="str">
        <f ca="1">IF($CO$1=0,"",IF(AND($I$1=2,ROW()&gt;$BR$1,ROW()&lt;=$BS$1)," …………….",IF(AND($E$1=1,$BX$1=1,$I$1=2,ROW()=$BQ$1),"TOTALI",IFERROR(INDEX(PDC,MATCH(ROWS(BT$3:BT182),BS$3:BS579,0),2),""))))</f>
        <v/>
      </c>
      <c r="BU182" s="48">
        <f t="shared" ca="1" si="285"/>
        <v>0</v>
      </c>
      <c r="BV182" s="48">
        <f t="shared" ca="1" si="286"/>
        <v>0</v>
      </c>
      <c r="BW182" s="48">
        <f t="shared" ca="1" si="287"/>
        <v>0</v>
      </c>
      <c r="BX182" s="48">
        <f t="shared" ca="1" si="288"/>
        <v>0</v>
      </c>
      <c r="BY182" s="48">
        <f ca="1">IF(OR(BW182&gt;0,BX182&gt;0),MAX($BY$2:BY181)+1,0)</f>
        <v>0</v>
      </c>
      <c r="BZ182" s="48" t="str">
        <f ca="1">IFERROR(INDEX($BT$3:$BY$400,MATCH(ROWS(BZ$3:BZ182),$BY$3:$BY$400,0),1),"")</f>
        <v/>
      </c>
      <c r="CA182" s="48" t="str">
        <f ca="1">IFERROR(INDEX($BT$3:$BY$400,MATCH(ROWS(CA$3:CA182),$BY$3:$BY$400,0),4),"")</f>
        <v/>
      </c>
      <c r="CB182" s="48" t="str">
        <f ca="1">IFERROR(INDEX($BT$3:$BY$400,MATCH(ROWS(CB$3:CB182),$BY$3:$BY$400,0),5),"")</f>
        <v/>
      </c>
      <c r="CC182" s="48" t="str">
        <f t="shared" ca="1" si="289"/>
        <v/>
      </c>
      <c r="CD182" s="48">
        <f ca="1">IF(AND($BF$9=2,CE182&lt;&gt;0),MAX($CD$165:CD181)+1,0)</f>
        <v>0</v>
      </c>
      <c r="CE182" s="48">
        <f ca="1">CE122</f>
        <v>0</v>
      </c>
      <c r="CF182" s="48" t="str">
        <f t="shared" si="375"/>
        <v>ppa10</v>
      </c>
      <c r="CG182" s="48" t="str">
        <f t="shared" si="376"/>
        <v>X__- Riserva negativa per azioni proprie in portafoglio</v>
      </c>
      <c r="CH182" s="48">
        <f t="shared" ca="1" si="388"/>
        <v>0</v>
      </c>
      <c r="CM182" s="242" t="str">
        <f t="shared" ca="1" si="305"/>
        <v/>
      </c>
      <c r="CN182" s="243">
        <f t="shared" ca="1" si="306"/>
        <v>0</v>
      </c>
      <c r="CO182" s="48" t="str">
        <f t="shared" ca="1" si="307"/>
        <v/>
      </c>
      <c r="CQ182" s="242"/>
      <c r="CR182" s="242"/>
      <c r="CU182" s="48">
        <f ca="1">IF(SUMIFS(AVERE,DEN_G,AC182,AVERE,"&gt;"&amp;0)+SUMIFS(DARE,DEN_G,AC182,DARE,"&gt;"&amp;0)&gt;0,MAX($CU$2:CU181)+1,0)</f>
        <v>0</v>
      </c>
      <c r="CV182" s="48" t="str">
        <f ca="1">IF(IFERROR(INDEX(PDC,MATCH(ROWS($CV$3:CV182),$CU$3:$CU$400,0),2),"")="CONTO DI RISULTATO ECONOMICO","",IFERROR(INDEX(PDC,MATCH(ROWS($CV$3:CV182),$CU$3:$CU$400,0),2),""))</f>
        <v/>
      </c>
      <c r="CW182" s="48">
        <f ca="1">IFERROR(IF(CV182&lt;&gt;"",MAX($CW$2:CW181)+1,0),0)</f>
        <v>0</v>
      </c>
      <c r="CX182" s="48">
        <f t="shared" ca="1" si="389"/>
        <v>14</v>
      </c>
      <c r="CY182" s="48" t="str">
        <f t="shared" ca="1" si="387"/>
        <v>MASTRO</v>
      </c>
      <c r="CZ182" s="48" t="e">
        <f t="shared" ca="1" si="392"/>
        <v>#N/A</v>
      </c>
      <c r="DA182" s="48" t="str">
        <f t="shared" ca="1" si="397"/>
        <v/>
      </c>
      <c r="DB182" s="48" t="str">
        <f t="shared" ca="1" si="347"/>
        <v/>
      </c>
      <c r="DC182" s="48" t="str">
        <f t="shared" ca="1" si="393"/>
        <v/>
      </c>
      <c r="DD182" s="48" t="str">
        <f t="shared" ca="1" si="394"/>
        <v/>
      </c>
      <c r="DE182" s="48" t="str">
        <f t="shared" ca="1" si="395"/>
        <v/>
      </c>
      <c r="DF182" s="48">
        <f ca="1">IF(AND(CX182=$DF$1,CX182&lt;&gt;""),0,IF(AND(DB182&lt;&gt;"",OR(DB181&lt;&gt;"",DB183&lt;&gt;"")),MAX($DF$2:DF181)+1,0))</f>
        <v>0</v>
      </c>
      <c r="DH182" s="244" t="s">
        <v>142</v>
      </c>
      <c r="DI182" s="48" t="s">
        <v>1042</v>
      </c>
      <c r="DJ182" s="48" t="s">
        <v>312</v>
      </c>
      <c r="DK182" s="48" t="s">
        <v>298</v>
      </c>
      <c r="DL182" s="48" t="s">
        <v>5</v>
      </c>
      <c r="DM182" s="48" t="s">
        <v>299</v>
      </c>
      <c r="DN182" s="48">
        <f ca="1">IF(DI182&lt;&gt;"",MAX($DN$2:DN181)+1,0)</f>
        <v>152</v>
      </c>
      <c r="DO182" s="48" t="str">
        <f t="shared" ca="1" si="400"/>
        <v>ppd</v>
      </c>
      <c r="DQ182" s="227" t="s">
        <v>1059</v>
      </c>
      <c r="DR182" s="48" t="s">
        <v>874</v>
      </c>
      <c r="DS182" s="48" t="s">
        <v>312</v>
      </c>
      <c r="DT182" s="48" t="s">
        <v>298</v>
      </c>
      <c r="DU182" s="48" t="s">
        <v>5</v>
      </c>
      <c r="DV182" s="48" t="s">
        <v>299</v>
      </c>
      <c r="DW182" s="48">
        <f ca="1">IF(DR182&lt;&gt;"",MAX($DW$2:DW181)+1,0)</f>
        <v>115</v>
      </c>
      <c r="DX182" s="48" t="str">
        <f t="shared" ca="1" si="399"/>
        <v>ppd</v>
      </c>
      <c r="DY182" s="48" t="str">
        <f t="shared" ca="1" si="291"/>
        <v/>
      </c>
      <c r="DZ182" s="48" t="str">
        <f t="shared" ca="1" si="309"/>
        <v/>
      </c>
      <c r="EA182" s="48" t="str">
        <f t="shared" ca="1" si="310"/>
        <v/>
      </c>
      <c r="EB182" s="48">
        <f t="shared" ca="1" si="311"/>
        <v>0</v>
      </c>
      <c r="EC182" s="48">
        <f t="shared" ca="1" si="312"/>
        <v>0</v>
      </c>
      <c r="ED182" s="48" t="str">
        <f t="shared" ca="1" si="313"/>
        <v/>
      </c>
      <c r="EE182" s="48">
        <f t="shared" ca="1" si="314"/>
        <v>0</v>
      </c>
      <c r="EF182" s="48" t="str">
        <f t="shared" ca="1" si="315"/>
        <v/>
      </c>
      <c r="EG182" s="48">
        <f t="shared" ca="1" si="316"/>
        <v>0</v>
      </c>
      <c r="EH182" s="48" t="str">
        <f t="shared" ca="1" si="317"/>
        <v/>
      </c>
      <c r="EI182" s="48">
        <f t="shared" ca="1" si="318"/>
        <v>0</v>
      </c>
      <c r="EJ182" s="48" t="str">
        <f t="shared" ca="1" si="319"/>
        <v/>
      </c>
      <c r="EK182" s="48">
        <f t="shared" ca="1" si="320"/>
        <v>0</v>
      </c>
      <c r="EL182" s="48">
        <f t="shared" ca="1" si="292"/>
        <v>0</v>
      </c>
      <c r="EM182" s="48">
        <f ca="1">IF(EL182&gt;=0,0,MAX($EM$2:EM181)+1)</f>
        <v>0</v>
      </c>
      <c r="EN182" s="48" t="str">
        <f t="shared" ca="1" si="321"/>
        <v/>
      </c>
      <c r="EO182" s="48" t="str">
        <f ca="1">IFERROR(INDEX($EM$3:$EN$400,MATCH(ROWS($EO$3:EO182),$EM$3:$EM$400,0),2),"")</f>
        <v/>
      </c>
      <c r="EP182" s="48">
        <f>ROW()</f>
        <v>182</v>
      </c>
      <c r="EQ182" s="48">
        <f t="shared" ca="1" si="293"/>
        <v>0</v>
      </c>
      <c r="ER182" s="48">
        <f ca="1">IF(ISNA(EQ182)=TRUE,MAX($ER$2:ER181)+1,0)</f>
        <v>0</v>
      </c>
      <c r="ES182" s="48" t="str">
        <f t="shared" ca="1" si="322"/>
        <v/>
      </c>
      <c r="ET182" s="48" t="str">
        <f ca="1">IFERROR(INDEX($ER$3:$ES$400,MATCH(ROWS($ET$3:ET182),$ER$3:$ER$400,0),2),"")</f>
        <v/>
      </c>
      <c r="EV182" s="48">
        <f ca="1">IFERROR(INDEX(LIBRO_GIORNALE!$O$11:$P$408,MATCH(ROWS($EV$2:EV181),LIBRO_GIORNALE!$P$11:$P$408,0),1),0)</f>
        <v>0</v>
      </c>
      <c r="EW182" s="48" t="str">
        <f t="shared" ca="1" si="323"/>
        <v>0</v>
      </c>
      <c r="EX182" s="48">
        <f t="shared" ca="1" si="324"/>
        <v>0</v>
      </c>
      <c r="EY182" s="48">
        <f ca="1">IF(EX182&gt;0,MAX($EY$2:EY181)+1,0)</f>
        <v>0</v>
      </c>
      <c r="EZ182" s="48">
        <f ca="1">IFERROR(INDEX($EX$3:$EX$400,MATCH(ROWS($EZ$3:EZ182),$EY$3:$EY$400,0),1),0)</f>
        <v>0</v>
      </c>
      <c r="FA182" s="48">
        <f ca="1">IF(EZ182&gt;0,0,MAX($FA$2:FA181)+1)</f>
        <v>180</v>
      </c>
      <c r="FB182" s="48">
        <f t="shared" ca="1" si="325"/>
        <v>0</v>
      </c>
      <c r="FC182" s="48">
        <f t="shared" ca="1" si="326"/>
        <v>180</v>
      </c>
      <c r="FD182" s="48">
        <f t="shared" ca="1" si="327"/>
        <v>180</v>
      </c>
      <c r="FE182" s="48">
        <f ca="1">IF(FD182=0,0,MAX($FE$2:FE181)+1)</f>
        <v>180</v>
      </c>
      <c r="FF182" s="48">
        <f ca="1">IFERROR(INDEX($FD$3:$FE$400,MATCH(ROWS($FF$3:FF182),$FE$3:$FE$400,0),1),"")</f>
        <v>180</v>
      </c>
      <c r="FG182" s="48">
        <f t="shared" ca="1" si="380"/>
        <v>0</v>
      </c>
      <c r="FH182" s="48">
        <f t="shared" ca="1" si="328"/>
        <v>0</v>
      </c>
      <c r="FI182" s="48">
        <f ca="1">IF(FH182&lt;&gt;0,MAX($FI$2:FI181)+1,0)</f>
        <v>0</v>
      </c>
      <c r="FJ182" s="48" t="str">
        <f ca="1">IFERROR(INDEX($FH$3:$FI$400,MATCH(ROWS($FJ$3:FJ182),$FI$3:$FI$400,0),1),"")</f>
        <v/>
      </c>
      <c r="FK182" s="48">
        <f ca="1">IF(ABS(SUMIFS(DARE,DEN_G,"="&amp;FJ182,DATA,"&lt;="&amp;FINE_AC,DATA,"&gt;="&amp;INIZIO_A_PC)-SUMIFS(AVERE,DEN_G,"="&amp;FJ182,DATA,"&lt;="&amp;FINE_AC,DATA,"&gt;="&amp;INIZIO_A_PC))&gt;0,MAX($FK$2:FK181)+1,0)</f>
        <v>0</v>
      </c>
      <c r="FL182" s="48" t="str">
        <f ca="1">IF(AND(ROW()-2&lt;&gt;1,ROW()-2&lt;=$FK$1),CONCATENATE(" - ",IFERROR(INDEX($FJ$3:$FK$400,MATCH(ROWS($FL$3:FL182),$FK$3:$FK$400,0),1),"")),IFERROR(INDEX($FJ$3:$FK$400,MATCH(ROWS($FL$3:FL182),$FK$3:$FK$400,0),1),""))</f>
        <v/>
      </c>
      <c r="FM182" s="48">
        <f ca="1">IF(OR(B182="IVA ns/credito",B182="IVA NS/DEBITO",B182="IVA C/ACCONTO",B182="IMPOSTE C/ACCONTO",B182="CREDITI PER RITENUTE SUBITE",B182="CREDITI D'IMPOSTA"),MAX($FM$2:FM181)+1,0)</f>
        <v>0</v>
      </c>
      <c r="FN182" s="48" t="str">
        <f t="shared" ca="1" si="329"/>
        <v/>
      </c>
      <c r="FO182" s="48" t="str">
        <f ca="1">IFERROR(INDEX($FM$3:$FN$400,MATCH(ROWS($FO$3:FO182),$FM$3:$FM$400,0),2),"")</f>
        <v/>
      </c>
      <c r="FP182" s="48">
        <f ca="1">IF(ABS(SUMIFS(DARE,DEN_G,"="&amp;FO182,DATA,"&lt;="&amp;FINE_AC,DATA,"&gt;="&amp;INIZIO_A_PC)-SUMIFS(AVERE,DEN_G,"="&amp;FO182,DATA,"&lt;="&amp;FINE_AC,DATA,"&gt;="&amp;INIZIO_A_PC))&gt;0,MAX($FP$2:FP181)+1,0)</f>
        <v>0</v>
      </c>
      <c r="FQ182" s="48" t="str">
        <f ca="1">IF(AND(ROW()-2&lt;&gt;1,ROW()-2&lt;=$FP$1),CONCATENATE(" - ",IFERROR(INDEX($FO$3:$FP$400,MATCH(ROWS($FQ$3:FQ182),$FP$3:$FP$400,0),1),"")),IFERROR(INDEX($FO$3:$FP$400,MATCH(ROWS($FQ$3:FQ182),$FP$3:$FP$400,0),1),""))</f>
        <v/>
      </c>
    </row>
    <row r="183" spans="1:173" x14ac:dyDescent="0.3">
      <c r="A183" s="48" t="str">
        <f ca="1">IFERROR(IF($A$1=2,INDEX($DH$3:$DN$401,MATCH(ROWS(A$3:A183),$DN$3:$DN$401,0),COLUMN()),IF($A$1=1,INDEX($DQ$3:$DW$401,MATCH(ROWS(A$3:A183),$DW$3:$DW$401,0),COLUMN()),"")),"")</f>
        <v>19.11</v>
      </c>
      <c r="B183" s="48" t="str">
        <f ca="1">IFERROR(IF($A$1=2,INDEX($DH$3:$DN$401,MATCH(ROWS(B$3:B183),$DN$3:$DN$401,0),COLUMN()),IF($A$1=1,INDEX($DQ$3:$DW$400,MATCH(ROWS(B$3:B183),$DW$3:$DW$401,0),COLUMN()),"")),"")</f>
        <v>IMPEGNI PER BENI IN LEASING</v>
      </c>
      <c r="C183" s="48">
        <f ca="1">IFERROR(IF($A$1=2,INDEX($DH$3:$DN$401,MATCH(ROWS(C$3:C183),$DN$3:$DN$401,0),COLUMN()),IF($A$1=1,INDEX($DQ$3:$DW$401,MATCH(ROWS(C$3:C183),$DW$3:$DW$401,0),COLUMN()),"")),"")</f>
        <v>0</v>
      </c>
      <c r="D183" s="48" t="str">
        <f ca="1">IFERROR(IF($A$1=2,INDEX($DH$3:$DN$401,MATCH(ROWS(D$3:D183),$DN$3:$DN$401,0),COLUMN()),IF($A$1=1,INDEX($DQ$3:$DW$401,MATCH(ROWS(D$3:D183),$DW$3:$DW$401,0),COLUMN()),"")),"")</f>
        <v>D</v>
      </c>
      <c r="E183" s="48" t="str">
        <f ca="1">IFERROR(IF($A$1=2,INDEX($DH$3:$DN$401,MATCH(ROWS(E$3:E183),$DN$3:$DN$401,0),COLUMN()),IF($A$1=1,INDEX($DQ$3:$DW$401,MATCH(ROWS(E$3:E183),$DW$3:$DW$401,0),COLUMN()),"")),"")</f>
        <v>CONTI D'ORDINE</v>
      </c>
      <c r="F183" s="48" t="str">
        <f ca="1">IFERROR(IF($A$1=2,INDEX($DH$3:$DN$401,MATCH(ROWS(F$3:F183),$DN$3:$DN$401,0),COLUMN()),IF($A$1=1,INDEX($DQ$3:$DX$401,MATCH(ROWS(F$3:F183),$DW$3:$DW$401,0),COLUMN()),"")),"")</f>
        <v>SP</v>
      </c>
      <c r="G183" s="48" t="str">
        <f t="shared" ca="1" si="294"/>
        <v>SP</v>
      </c>
      <c r="H183" s="48">
        <f ca="1">IFERROR(IF($A$1=2,INDEX($DH$3:$DO$400,MATCH(ROWS(H$3:H183),$DN$3:$DN$400,0),COLUMN()),IF($A$1=1,INDEX($DQ$3:$DX$400,MATCH(ROWS(H$3:H183),$DW$3:$DW$400,0),COLUMN()),"")),"")</f>
        <v>0</v>
      </c>
      <c r="I183" s="48" t="str">
        <f t="shared" ca="1" si="295"/>
        <v/>
      </c>
      <c r="J183" s="48" t="str">
        <f t="shared" ca="1" si="296"/>
        <v/>
      </c>
      <c r="K183" s="48">
        <f t="shared" ca="1" si="297"/>
        <v>0</v>
      </c>
      <c r="L183" s="48">
        <f t="shared" ca="1" si="298"/>
        <v>0</v>
      </c>
      <c r="M183" s="48">
        <f ca="1">IFERROR(IF(IF(MID($A183,3,3)=".00",MID(A183,1,2),"")&lt;&gt;"",MAX($M$2:M182)+1,0),"")</f>
        <v>0</v>
      </c>
      <c r="N183" s="48" t="str">
        <f t="shared" ca="1" si="299"/>
        <v/>
      </c>
      <c r="O183" s="48" t="str">
        <f ca="1">IF(IFERROR(INDEX($N$3:$O$300,MATCH(ROWS($O$3:O183),$M$3:$M$300,0),1),"")&lt;&gt;"",CONCATENATE(INDEX($N$3:$O$300,MATCH(ROWS($O$3:O183),$M$3:$M$300,0),1),".00"),"")</f>
        <v/>
      </c>
      <c r="P183" s="48" t="str">
        <f t="shared" ca="1" si="300"/>
        <v/>
      </c>
      <c r="Q183" s="48">
        <f ca="1">IF(M183&gt;=1,0,MAX($Q$2:Q182)+1)</f>
        <v>162</v>
      </c>
      <c r="U183" s="48" t="str">
        <f ca="1">IFERROR(INDEX(PDC,MATCH(ROWS(U$3:U183),$V$3:$V$400,0),2),"")</f>
        <v>PLUSVALENZE</v>
      </c>
      <c r="V183" s="48">
        <f ca="1">IF(AND($T$1="VISUALIZZA TUTTI I CONTI",AA183&lt;&gt;""),MAX($V$2:V182)+1,IF(AND($U$2=2,AI183=$T$1),MAX($V$2:V182)+1,IF(AND($U$2=1,$T$1=AF183),MAX($V$2:V182)+1,0)))</f>
        <v>181</v>
      </c>
      <c r="AA183" s="48" t="str">
        <f t="shared" ca="1" si="301"/>
        <v>20.00</v>
      </c>
      <c r="AB183" s="48" t="str">
        <f ca="1">IFERROR(INDEX($A$3:$G$400,MATCH(ROWS(AB$3:AB183),$Q$3:$Q$400,0),1),"")</f>
        <v>20.40</v>
      </c>
      <c r="AC183" s="48" t="str">
        <f ca="1">IFERROR(INDEX($A$3:$G$400,MATCH(ROWS($AC$3:AC183),$Q$3:$Q$400,0),2),"")</f>
        <v>PLUSVALENZE</v>
      </c>
      <c r="AD183" s="48" t="str">
        <f ca="1">IFERROR(INDEX($A$3:$G$400,MATCH(ROWS(AD$3:AD183),$Q$3:$Q$400,0),3),"")</f>
        <v>E</v>
      </c>
      <c r="AE183" s="48" t="str">
        <f ca="1">IFERROR(INDEX($A$3:$G$400,MATCH(ROWS(AE$3:AE183),$Q$3:$Q$400,0),4),"")</f>
        <v>A</v>
      </c>
      <c r="AF183" s="48" t="str">
        <f ca="1">IFERROR(INDEX($A$3:$G$400,MATCH(ROWS(AF$3:AF183),$Q$3:$Q$400,0),5),"")</f>
        <v>RICAVI D'ESERCIZIO</v>
      </c>
      <c r="AG183" s="48" t="str">
        <f ca="1">IFERROR(INDEX($A$3:$G$400,MATCH(ROWS(AG$3:AG183),$Q$3:$Q$400,0),6),"")</f>
        <v>SE AVERE</v>
      </c>
      <c r="AH183" s="48" t="str">
        <f ca="1">IFERROR(INDEX($A$3:$G$400,MATCH(ROWS(AH$3:AH183),$Q$3:$Q$400,0),7),"")</f>
        <v>SE</v>
      </c>
      <c r="AI183" s="48" t="str">
        <f t="shared" ca="1" si="302"/>
        <v>VALORE DELLA PRODUZIONE</v>
      </c>
      <c r="AJ183" s="48" t="str">
        <f ca="1">IFERROR(INDEX($A$3:$H$400,MATCH(ROWS(AJ$3:AJ183),$Q$3:$Q$400,0),8),"")</f>
        <v>ea5</v>
      </c>
      <c r="AK183" s="48">
        <f t="shared" ca="1" si="277"/>
        <v>0</v>
      </c>
      <c r="AL183" s="48">
        <f t="shared" ca="1" si="373"/>
        <v>0</v>
      </c>
      <c r="AM183" s="48">
        <f t="shared" ca="1" si="377"/>
        <v>0</v>
      </c>
      <c r="AN183" s="48">
        <f t="shared" ca="1" si="378"/>
        <v>0</v>
      </c>
      <c r="AO183" s="48">
        <f t="shared" ca="1" si="379"/>
        <v>0</v>
      </c>
      <c r="AP183" s="48">
        <f t="shared" ca="1" si="379"/>
        <v>0</v>
      </c>
      <c r="AQ183" s="48" t="str">
        <f t="shared" ca="1" si="278"/>
        <v/>
      </c>
      <c r="AR183" s="48">
        <f t="shared" ca="1" si="279"/>
        <v>0</v>
      </c>
      <c r="AS183" s="48">
        <f t="shared" ca="1" si="280"/>
        <v>0</v>
      </c>
      <c r="AT183" s="48">
        <f t="shared" ca="1" si="303"/>
        <v>0</v>
      </c>
      <c r="AU183" s="48">
        <f t="shared" ca="1" si="304"/>
        <v>0</v>
      </c>
      <c r="AV183" s="48">
        <f ca="1">IF(OR(AT183&gt;0,AU183&gt;0),MAX($AV$2:AV182)+1,0)</f>
        <v>0</v>
      </c>
      <c r="AZ183" s="241" t="str">
        <f t="shared" si="381"/>
        <v>83 V.I.</v>
      </c>
      <c r="BA183" s="48">
        <f t="shared" ca="1" si="369"/>
        <v>0</v>
      </c>
      <c r="BB183" s="48">
        <f t="shared" ca="1" si="370"/>
        <v>0</v>
      </c>
      <c r="BC183" s="48" t="str">
        <f t="shared" ca="1" si="382"/>
        <v/>
      </c>
      <c r="BD183" s="48">
        <f t="shared" ca="1" si="383"/>
        <v>0</v>
      </c>
      <c r="BE183" s="48">
        <f t="shared" ca="1" si="384"/>
        <v>0</v>
      </c>
      <c r="BG183" s="48">
        <f ca="1">IF(IF(AND(OR(INDEX(PDC,MATCH($AC183,DEN_PDC,0),6)="SP DARE",INDEX(PDC,MATCH($AC183,DEN_PDC,0),6)="SP DARE/AVERE"),SUMIFS(DARE,DEN_G,$AC183)&gt;=SUMIFS(AVERE,DEN_G,$AC183)),SUMIFS(DARE,DEN_G,$AC183)-SUMIFS(AVERE,DEN_G,$AC183),0)&gt;0,MAX($BG$2:BG182)+1,0)</f>
        <v>0</v>
      </c>
      <c r="BH183" s="48">
        <f ca="1">IF(IF(AND(OR(INDEX(PDC,MATCH($AC183,DEN_PDC,0),6)="SP AVERE",INDEX(PDC,MATCH($AC183,DEN_PDC,0),6)="SP DARE/AVERE"),SUMIFS(AVERE,DEN_G,$AC183)&gt;=SUMIFS(DARE,DEN_G,$AC183)),SUMIFS(AVERE,DEN_G,$AC183)-SUMIFS(DARE,DEN_G,$AC183),0)&gt;0,MAX(BH$2:BH182)+1,0)</f>
        <v>0</v>
      </c>
      <c r="BI183" s="48">
        <f ca="1">IF(IF(AND(OR(INDEX(PDC,MATCH($AC183,DEN_PDC,0),6)="SE DARE",INDEX(PDC,MATCH($AC183,DEN_PDC,0),6)="SE DARE/AVERE"),SUMIFS(DARE,DEN_G,$AC183)&gt;=SUMIFS(AVERE,DEN_G,$AC183)),SUMIFS(DARE,DEN_G,$AC183)-SUMIFS(AVERE,DEN_G,$AC183),0)&gt;0,MAX(BI$2:BI182)+1,0)</f>
        <v>0</v>
      </c>
      <c r="BJ183" s="48">
        <f ca="1">IF(IF(AND(OR(INDEX(PDC,MATCH($AC183,DEN_PDC,0),6)="SE AVERE",INDEX(PDC,MATCH($AC183,DEN_PDC,0),6)="SE DARE/AVERE"),SUMIFS(AVERE,DEN_G,$AC183)&gt;=SUMIFS(DARE,DEN_G,$AC183)),SUMIFS(AVERE,DEN_G,$AC183)-SUMIFS(DARE,DEN_G,$AC183),0)&gt;0,MAX(BJ$2:BJ182)+1,0)</f>
        <v>0</v>
      </c>
      <c r="BK183" s="48" t="str">
        <f ca="1">IF(AND(AND($DY$2=0,$DY$1=0),$I$1=2,ROW()&gt;$BG$1+2,ROW()&lt;=$BG$1+4),"………………..",IF(AND(OR($DY$2&gt;0,$DY$1&gt;0),$I$1=2,ROW()&gt;$BG$1+2,ROW()&lt;=$BG$1+4),"………………..",IFERROR(INDEX($AC$3:$AC$398,MATCH(ROWS(BK$3:BK183),BG$3:BG$398,0),1),"")))</f>
        <v/>
      </c>
      <c r="BL183" s="48">
        <f t="shared" ca="1" si="281"/>
        <v>0</v>
      </c>
      <c r="BM183" s="48" t="str">
        <f ca="1">IF(AND(OR($DY$2=0,$DY$1=0),$I$1=2,ROW()&gt;$BH$1+2,ROW()&lt;=$BH$1+4),"………………..",IF(AND(OR($DY$2&gt;0,$DY$1&gt;0),$I$1=2,ROW()&gt;$BH$1+2,ROW()&lt;=$BH$1+4),"………………..",IFERROR(INDEX($AC$3:$AC$400,MATCH(ROWS(BM$3:BM183),BH$3:BH$400,0),1),"")))</f>
        <v/>
      </c>
      <c r="BN183" s="48">
        <f t="shared" ca="1" si="282"/>
        <v>0</v>
      </c>
      <c r="BO183" s="48" t="str">
        <f ca="1">IF(AND(OR($DY$2=0,$DY$1=0),$I$1=2,ROW()&gt;$BI$1+2,ROW()&lt;=$BI$1+4),"………………..",IF(AND(OR($DY$2&gt;0,$DY$1&gt;0),$I$1=2,ROW()&gt;$BI$1+2,ROW()&lt;=$BI$1+4),"………………..",IFERROR(INDEX($AC$3:$AC$400,MATCH(ROWS(BO$3:BO183),BI$3:BI$400,0),1),"")))</f>
        <v/>
      </c>
      <c r="BP183" s="48">
        <f t="shared" ca="1" si="283"/>
        <v>0</v>
      </c>
      <c r="BQ183" s="48" t="str">
        <f ca="1">IF(AND(OR($DY$2=0,$DY$1=0),$I$1=2,ROW()&gt;$BJ$1+2,ROW()&lt;=$BJ$1+4),"………………..",IF(AND(OR($DY$2&gt;0,$DY$1&gt;0),$I$1=2,ROW()&gt;$BJ$1+2,ROW()&lt;=$BJ$1+4),"………………..",IFERROR(INDEX($AC$3:$AC$400,MATCH(ROWS(BQ$3:BQ183),BJ$3:BJ$400,0),1),"")))</f>
        <v/>
      </c>
      <c r="BR183" s="48">
        <f t="shared" ca="1" si="284"/>
        <v>0</v>
      </c>
      <c r="BS183" s="48">
        <f ca="1">IF(IF(AND(OR(INDEX(PDC,MATCH($AC183,DEN_PDC,0),4)="D",INDEX(PDC,MATCH($AC183,DEN_PDC,0),4)="D/A"),SUMIFS(DARE,DEN_G,$AC183)&gt;=SUMIFS(AVERE,DEN_G,$AC183)),SUMIFS(DARE,DEN_G,$AC183),IF(AND(OR(INDEX(PDC,MATCH($AC183,DEN_PDC,0),4)="A",INDEX(PDC,MATCH($AC183,DEN_PDC,0),4)="D/A"),SUMIFS(AVERE,DEN_G,$AC183)&gt;=SUMIFS(DARE,DEN_G,$AC183)),SUMIFS(AVERE,DEN_G,$AC183),))&gt;0,MAX($BS$2:BS182)+1,0)</f>
        <v>0</v>
      </c>
      <c r="BT183" s="48" t="str">
        <f ca="1">IF($CO$1=0,"",IF(AND($I$1=2,ROW()&gt;$BR$1,ROW()&lt;=$BS$1)," …………….",IF(AND($E$1=1,$BX$1=1,$I$1=2,ROW()=$BQ$1),"TOTALI",IFERROR(INDEX(PDC,MATCH(ROWS(BT$3:BT183),BS$3:BS580,0),2),""))))</f>
        <v/>
      </c>
      <c r="BU183" s="48">
        <f t="shared" ca="1" si="285"/>
        <v>0</v>
      </c>
      <c r="BV183" s="48">
        <f t="shared" ca="1" si="286"/>
        <v>0</v>
      </c>
      <c r="BW183" s="48">
        <f t="shared" ca="1" si="287"/>
        <v>0</v>
      </c>
      <c r="BX183" s="48">
        <f t="shared" ca="1" si="288"/>
        <v>0</v>
      </c>
      <c r="BY183" s="48">
        <f ca="1">IF(OR(BW183&gt;0,BX183&gt;0),MAX($BY$2:BY182)+1,0)</f>
        <v>0</v>
      </c>
      <c r="BZ183" s="48" t="str">
        <f ca="1">IFERROR(INDEX($BT$3:$BY$400,MATCH(ROWS(BZ$3:BZ183),$BY$3:$BY$400,0),1),"")</f>
        <v/>
      </c>
      <c r="CA183" s="48" t="str">
        <f ca="1">IFERROR(INDEX($BT$3:$BY$400,MATCH(ROWS(CA$3:CA183),$BY$3:$BY$400,0),4),"")</f>
        <v/>
      </c>
      <c r="CB183" s="48" t="str">
        <f ca="1">IFERROR(INDEX($BT$3:$BY$400,MATCH(ROWS(CB$3:CB183),$BY$3:$BY$400,0),5),"")</f>
        <v/>
      </c>
      <c r="CC183" s="48" t="str">
        <f t="shared" ca="1" si="289"/>
        <v/>
      </c>
      <c r="CD183" s="48">
        <f ca="1">IF(AND($BF$9=2,CF1=TRUE,CE183&lt;&gt;0),MAX($CD$165:CD182)+1,0)</f>
        <v>0</v>
      </c>
      <c r="CE183" s="48">
        <f ca="1">IF($I$1=1,SUM(CE167:CE182),IF(AND($I$1=2,SUM(CE167:CE182)&lt;&gt;0),"_ _ _",0))</f>
        <v>0</v>
      </c>
      <c r="CF183" s="48">
        <f t="shared" si="375"/>
        <v>0</v>
      </c>
      <c r="CG183" s="48" t="str">
        <f t="shared" si="376"/>
        <v>___Totale</v>
      </c>
      <c r="CH183" s="48">
        <f t="shared" ca="1" si="388"/>
        <v>0</v>
      </c>
      <c r="CM183" s="242" t="str">
        <f t="shared" ca="1" si="305"/>
        <v/>
      </c>
      <c r="CN183" s="243">
        <f t="shared" ca="1" si="306"/>
        <v>0</v>
      </c>
      <c r="CO183" s="48" t="str">
        <f t="shared" ca="1" si="307"/>
        <v/>
      </c>
      <c r="CQ183" s="242"/>
      <c r="CR183" s="242"/>
      <c r="CU183" s="48">
        <f ca="1">IF(SUMIFS(AVERE,DEN_G,AC183,AVERE,"&gt;"&amp;0)+SUMIFS(DARE,DEN_G,AC183,DARE,"&gt;"&amp;0)&gt;0,MAX($CU$2:CU182)+1,0)</f>
        <v>0</v>
      </c>
      <c r="CV183" s="48" t="str">
        <f ca="1">IF(IFERROR(INDEX(PDC,MATCH(ROWS($CV$3:CV183),$CU$3:$CU$400,0),2),"")="CONTO DI RISULTATO ECONOMICO","",IFERROR(INDEX(PDC,MATCH(ROWS($CV$3:CV183),$CU$3:$CU$400,0),2),""))</f>
        <v/>
      </c>
      <c r="CW183" s="48">
        <f ca="1">IFERROR(IF(CV183&lt;&gt;"",MAX($CW$2:CW182)+1,0),0)</f>
        <v>0</v>
      </c>
      <c r="CX183" s="48">
        <f t="shared" ca="1" si="389"/>
        <v>14</v>
      </c>
      <c r="CY183" s="48" t="str">
        <f t="shared" ca="1" si="387"/>
        <v>MASTRO</v>
      </c>
      <c r="CZ183" s="48" t="e">
        <f t="shared" ca="1" si="392"/>
        <v>#N/A</v>
      </c>
      <c r="DA183" s="48" t="str">
        <f t="shared" ca="1" si="397"/>
        <v/>
      </c>
      <c r="DB183" s="48" t="str">
        <f t="shared" ca="1" si="347"/>
        <v/>
      </c>
      <c r="DC183" s="48" t="str">
        <f t="shared" ca="1" si="393"/>
        <v/>
      </c>
      <c r="DD183" s="48" t="str">
        <f t="shared" ca="1" si="394"/>
        <v/>
      </c>
      <c r="DE183" s="48" t="str">
        <f t="shared" ca="1" si="395"/>
        <v/>
      </c>
      <c r="DF183" s="48">
        <f ca="1">IF(AND(CX183=$DF$1,CX183&lt;&gt;""),0,IF(AND(DB183&lt;&gt;"",OR(DB182&lt;&gt;"",DB184&lt;&gt;"")),MAX($DF$2:DF182)+1,0))</f>
        <v>0</v>
      </c>
      <c r="DH183" s="244" t="s">
        <v>143</v>
      </c>
      <c r="DI183" s="48" t="s">
        <v>136</v>
      </c>
      <c r="DJ183" s="48" t="s">
        <v>312</v>
      </c>
      <c r="DK183" s="48" t="s">
        <v>298</v>
      </c>
      <c r="DL183" s="48" t="s">
        <v>5</v>
      </c>
      <c r="DM183" s="48" t="s">
        <v>299</v>
      </c>
      <c r="DN183" s="48">
        <f ca="1">IF(DI183&lt;&gt;"",MAX($DN$2:DN182)+1,0)</f>
        <v>153</v>
      </c>
      <c r="DO183" s="48" t="str">
        <f ca="1">IF($BF$9=1,"ppd13","ppd")</f>
        <v>ppd</v>
      </c>
      <c r="DQ183" s="227" t="s">
        <v>146</v>
      </c>
      <c r="DR183" s="48" t="s">
        <v>131</v>
      </c>
      <c r="DS183" s="48" t="s">
        <v>312</v>
      </c>
      <c r="DT183" s="48" t="s">
        <v>298</v>
      </c>
      <c r="DU183" s="48" t="s">
        <v>5</v>
      </c>
      <c r="DV183" s="48" t="s">
        <v>299</v>
      </c>
      <c r="DW183" s="48">
        <f ca="1">IF(DR183&lt;&gt;"",MAX($DW$2:DW182)+1,0)</f>
        <v>116</v>
      </c>
      <c r="DX183" s="48" t="str">
        <f t="shared" ref="DX183:DX199" ca="1" si="401">IF($BF$9=1,"ppd14","ppd")</f>
        <v>ppd</v>
      </c>
      <c r="DY183" s="48" t="str">
        <f t="shared" ca="1" si="291"/>
        <v/>
      </c>
      <c r="DZ183" s="48" t="str">
        <f t="shared" ca="1" si="309"/>
        <v/>
      </c>
      <c r="EA183" s="48" t="str">
        <f t="shared" ca="1" si="310"/>
        <v/>
      </c>
      <c r="EB183" s="48">
        <f t="shared" ca="1" si="311"/>
        <v>0</v>
      </c>
      <c r="EC183" s="48">
        <f t="shared" ca="1" si="312"/>
        <v>0</v>
      </c>
      <c r="ED183" s="48" t="str">
        <f t="shared" ca="1" si="313"/>
        <v/>
      </c>
      <c r="EE183" s="48">
        <f t="shared" ca="1" si="314"/>
        <v>0</v>
      </c>
      <c r="EF183" s="48" t="str">
        <f t="shared" ca="1" si="315"/>
        <v/>
      </c>
      <c r="EG183" s="48">
        <f t="shared" ca="1" si="316"/>
        <v>0</v>
      </c>
      <c r="EH183" s="48" t="str">
        <f t="shared" ca="1" si="317"/>
        <v/>
      </c>
      <c r="EI183" s="48">
        <f t="shared" ca="1" si="318"/>
        <v>0</v>
      </c>
      <c r="EJ183" s="48" t="str">
        <f t="shared" ca="1" si="319"/>
        <v/>
      </c>
      <c r="EK183" s="48">
        <f t="shared" ca="1" si="320"/>
        <v>0</v>
      </c>
      <c r="EL183" s="48">
        <f t="shared" ca="1" si="292"/>
        <v>0</v>
      </c>
      <c r="EM183" s="48">
        <f ca="1">IF(EL183&gt;=0,0,MAX($EM$2:EM182)+1)</f>
        <v>0</v>
      </c>
      <c r="EN183" s="48" t="str">
        <f t="shared" ca="1" si="321"/>
        <v/>
      </c>
      <c r="EO183" s="48" t="str">
        <f ca="1">IFERROR(INDEX($EM$3:$EN$400,MATCH(ROWS($EO$3:EO183),$EM$3:$EM$400,0),2),"")</f>
        <v/>
      </c>
      <c r="EP183" s="48">
        <f>ROW()</f>
        <v>183</v>
      </c>
      <c r="EQ183" s="48">
        <f t="shared" ca="1" si="293"/>
        <v>0</v>
      </c>
      <c r="ER183" s="48">
        <f ca="1">IF(ISNA(EQ183)=TRUE,MAX($ER$2:ER182)+1,0)</f>
        <v>0</v>
      </c>
      <c r="ES183" s="48" t="str">
        <f t="shared" ca="1" si="322"/>
        <v/>
      </c>
      <c r="ET183" s="48" t="str">
        <f ca="1">IFERROR(INDEX($ER$3:$ES$400,MATCH(ROWS($ET$3:ET183),$ER$3:$ER$400,0),2),"")</f>
        <v/>
      </c>
      <c r="EV183" s="48">
        <f ca="1">IFERROR(INDEX(LIBRO_GIORNALE!$O$11:$P$408,MATCH(ROWS($EV$2:EV182),LIBRO_GIORNALE!$P$11:$P$408,0),1),0)</f>
        <v>0</v>
      </c>
      <c r="EW183" s="48" t="str">
        <f t="shared" ca="1" si="323"/>
        <v>0</v>
      </c>
      <c r="EX183" s="48">
        <f t="shared" ca="1" si="324"/>
        <v>0</v>
      </c>
      <c r="EY183" s="48">
        <f ca="1">IF(EX183&gt;0,MAX($EY$2:EY182)+1,0)</f>
        <v>0</v>
      </c>
      <c r="EZ183" s="48">
        <f ca="1">IFERROR(INDEX($EX$3:$EX$400,MATCH(ROWS($EZ$3:EZ183),$EY$3:$EY$400,0),1),0)</f>
        <v>0</v>
      </c>
      <c r="FA183" s="48">
        <f ca="1">IF(EZ183&gt;0,0,MAX($FA$2:FA182)+1)</f>
        <v>181</v>
      </c>
      <c r="FB183" s="48">
        <f t="shared" ca="1" si="325"/>
        <v>0</v>
      </c>
      <c r="FC183" s="48">
        <f t="shared" ca="1" si="326"/>
        <v>181</v>
      </c>
      <c r="FD183" s="48">
        <f t="shared" ca="1" si="327"/>
        <v>181</v>
      </c>
      <c r="FE183" s="48">
        <f ca="1">IF(FD183=0,0,MAX($FE$2:FE182)+1)</f>
        <v>181</v>
      </c>
      <c r="FF183" s="48">
        <f ca="1">IFERROR(INDEX($FD$3:$FE$400,MATCH(ROWS($FF$3:FF183),$FE$3:$FE$400,0),1),"")</f>
        <v>181</v>
      </c>
      <c r="FG183" s="48">
        <f t="shared" ca="1" si="380"/>
        <v>0</v>
      </c>
      <c r="FH183" s="48">
        <f t="shared" ca="1" si="328"/>
        <v>0</v>
      </c>
      <c r="FI183" s="48">
        <f ca="1">IF(FH183&lt;&gt;0,MAX($FI$2:FI182)+1,0)</f>
        <v>0</v>
      </c>
      <c r="FJ183" s="48" t="str">
        <f ca="1">IFERROR(INDEX($FH$3:$FI$400,MATCH(ROWS($FJ$3:FJ183),$FI$3:$FI$400,0),1),"")</f>
        <v/>
      </c>
      <c r="FK183" s="48">
        <f ca="1">IF(ABS(SUMIFS(DARE,DEN_G,"="&amp;FJ183,DATA,"&lt;="&amp;FINE_AC,DATA,"&gt;="&amp;INIZIO_A_PC)-SUMIFS(AVERE,DEN_G,"="&amp;FJ183,DATA,"&lt;="&amp;FINE_AC,DATA,"&gt;="&amp;INIZIO_A_PC))&gt;0,MAX($FK$2:FK182)+1,0)</f>
        <v>0</v>
      </c>
      <c r="FL183" s="48" t="str">
        <f ca="1">IF(AND(ROW()-2&lt;&gt;1,ROW()-2&lt;=$FK$1),CONCATENATE(" - ",IFERROR(INDEX($FJ$3:$FK$400,MATCH(ROWS($FL$3:FL183),$FK$3:$FK$400,0),1),"")),IFERROR(INDEX($FJ$3:$FK$400,MATCH(ROWS($FL$3:FL183),$FK$3:$FK$400,0),1),""))</f>
        <v/>
      </c>
      <c r="FM183" s="48">
        <f ca="1">IF(OR(B183="IVA ns/credito",B183="IVA NS/DEBITO",B183="IVA C/ACCONTO",B183="IMPOSTE C/ACCONTO",B183="CREDITI PER RITENUTE SUBITE",B183="CREDITI D'IMPOSTA"),MAX($FM$2:FM182)+1,0)</f>
        <v>0</v>
      </c>
      <c r="FN183" s="48" t="str">
        <f t="shared" ca="1" si="329"/>
        <v/>
      </c>
      <c r="FO183" s="48" t="str">
        <f ca="1">IFERROR(INDEX($FM$3:$FN$400,MATCH(ROWS($FO$3:FO183),$FM$3:$FM$400,0),2),"")</f>
        <v/>
      </c>
      <c r="FP183" s="48">
        <f ca="1">IF(ABS(SUMIFS(DARE,DEN_G,"="&amp;FO183,DATA,"&lt;="&amp;FINE_AC,DATA,"&gt;="&amp;INIZIO_A_PC)-SUMIFS(AVERE,DEN_G,"="&amp;FO183,DATA,"&lt;="&amp;FINE_AC,DATA,"&gt;="&amp;INIZIO_A_PC))&gt;0,MAX($FP$2:FP182)+1,0)</f>
        <v>0</v>
      </c>
      <c r="FQ183" s="48" t="str">
        <f ca="1">IF(AND(ROW()-2&lt;&gt;1,ROW()-2&lt;=$FP$1),CONCATENATE(" - ",IFERROR(INDEX($FO$3:$FP$400,MATCH(ROWS($FQ$3:FQ183),$FP$3:$FP$400,0),1),"")),IFERROR(INDEX($FO$3:$FP$400,MATCH(ROWS($FQ$3:FQ183),$FP$3:$FP$400,0),1),""))</f>
        <v/>
      </c>
    </row>
    <row r="184" spans="1:173" x14ac:dyDescent="0.3">
      <c r="A184" s="48" t="str">
        <f ca="1">IFERROR(IF($A$1=2,INDEX($DH$3:$DN$401,MATCH(ROWS(A$3:A184),$DN$3:$DN$401,0),COLUMN()),IF($A$1=1,INDEX($DQ$3:$DW$401,MATCH(ROWS(A$3:A184),$DW$3:$DW$401,0),COLUMN()),"")),"")</f>
        <v>19.12</v>
      </c>
      <c r="B184" s="48" t="str">
        <f ca="1">IFERROR(IF($A$1=2,INDEX($DH$3:$DN$401,MATCH(ROWS(B$3:B184),$DN$3:$DN$401,0),COLUMN()),IF($A$1=1,INDEX($DQ$3:$DW$400,MATCH(ROWS(B$3:B184),$DW$3:$DW$401,0),COLUMN()),"")),"")</f>
        <v>CREDITORI C/LEASING</v>
      </c>
      <c r="C184" s="48">
        <f ca="1">IFERROR(IF($A$1=2,INDEX($DH$3:$DN$401,MATCH(ROWS(C$3:C184),$DN$3:$DN$401,0),COLUMN()),IF($A$1=1,INDEX($DQ$3:$DW$401,MATCH(ROWS(C$3:C184),$DW$3:$DW$401,0),COLUMN()),"")),"")</f>
        <v>0</v>
      </c>
      <c r="D184" s="48" t="str">
        <f ca="1">IFERROR(IF($A$1=2,INDEX($DH$3:$DN$401,MATCH(ROWS(D$3:D184),$DN$3:$DN$401,0),COLUMN()),IF($A$1=1,INDEX($DQ$3:$DW$401,MATCH(ROWS(D$3:D184),$DW$3:$DW$401,0),COLUMN()),"")),"")</f>
        <v>A</v>
      </c>
      <c r="E184" s="48" t="str">
        <f ca="1">IFERROR(IF($A$1=2,INDEX($DH$3:$DN$401,MATCH(ROWS(E$3:E184),$DN$3:$DN$401,0),COLUMN()),IF($A$1=1,INDEX($DQ$3:$DW$401,MATCH(ROWS(E$3:E184),$DW$3:$DW$401,0),COLUMN()),"")),"")</f>
        <v>CONTI D'ORDINE</v>
      </c>
      <c r="F184" s="48" t="str">
        <f ca="1">IFERROR(IF($A$1=2,INDEX($DH$3:$DN$401,MATCH(ROWS(F$3:F184),$DN$3:$DN$401,0),COLUMN()),IF($A$1=1,INDEX($DQ$3:$DX$401,MATCH(ROWS(F$3:F184),$DW$3:$DW$401,0),COLUMN()),"")),"")</f>
        <v>SP</v>
      </c>
      <c r="G184" s="48" t="str">
        <f t="shared" ca="1" si="294"/>
        <v>SP</v>
      </c>
      <c r="H184" s="48">
        <f ca="1">IFERROR(IF($A$1=2,INDEX($DH$3:$DO$400,MATCH(ROWS(H$3:H184),$DN$3:$DN$400,0),COLUMN()),IF($A$1=1,INDEX($DQ$3:$DX$400,MATCH(ROWS(H$3:H184),$DW$3:$DW$400,0),COLUMN()),"")),"")</f>
        <v>0</v>
      </c>
      <c r="I184" s="48" t="str">
        <f t="shared" ca="1" si="295"/>
        <v/>
      </c>
      <c r="J184" s="48" t="str">
        <f t="shared" ca="1" si="296"/>
        <v/>
      </c>
      <c r="K184" s="48">
        <f t="shared" ca="1" si="297"/>
        <v>0</v>
      </c>
      <c r="L184" s="48">
        <f t="shared" ca="1" si="298"/>
        <v>0</v>
      </c>
      <c r="M184" s="48">
        <f ca="1">IFERROR(IF(IF(MID($A184,3,3)=".00",MID(A184,1,2),"")&lt;&gt;"",MAX($M$2:M183)+1,0),"")</f>
        <v>0</v>
      </c>
      <c r="N184" s="48" t="str">
        <f t="shared" ca="1" si="299"/>
        <v/>
      </c>
      <c r="O184" s="48" t="str">
        <f ca="1">IF(IFERROR(INDEX($N$3:$O$300,MATCH(ROWS($O$3:O184),$M$3:$M$300,0),1),"")&lt;&gt;"",CONCATENATE(INDEX($N$3:$O$300,MATCH(ROWS($O$3:O184),$M$3:$M$300,0),1),".00"),"")</f>
        <v/>
      </c>
      <c r="P184" s="48" t="str">
        <f t="shared" ca="1" si="300"/>
        <v/>
      </c>
      <c r="Q184" s="48">
        <f ca="1">IF(M184&gt;=1,0,MAX($Q$2:Q183)+1)</f>
        <v>163</v>
      </c>
      <c r="U184" s="48" t="str">
        <f ca="1">IFERROR(INDEX(PDC,MATCH(ROWS(U$3:U184),$V$3:$V$400,0),2),"")</f>
        <v>SOPRAVVENIENZE ATTIVE</v>
      </c>
      <c r="V184" s="48">
        <f ca="1">IF(AND($T$1="VISUALIZZA TUTTI I CONTI",AA184&lt;&gt;""),MAX($V$2:V183)+1,IF(AND($U$2=2,AI184=$T$1),MAX($V$2:V183)+1,IF(AND($U$2=1,$T$1=AF184),MAX($V$2:V183)+1,0)))</f>
        <v>182</v>
      </c>
      <c r="AA184" s="48" t="str">
        <f t="shared" ca="1" si="301"/>
        <v>20.00</v>
      </c>
      <c r="AB184" s="48" t="str">
        <f ca="1">IFERROR(INDEX($A$3:$G$400,MATCH(ROWS(AB$3:AB184),$Q$3:$Q$400,0),1),"")</f>
        <v>20.41</v>
      </c>
      <c r="AC184" s="48" t="str">
        <f ca="1">IFERROR(INDEX($A$3:$G$400,MATCH(ROWS($AC$3:AC184),$Q$3:$Q$400,0),2),"")</f>
        <v>SOPRAVVENIENZE ATTIVE</v>
      </c>
      <c r="AD184" s="48" t="str">
        <f ca="1">IFERROR(INDEX($A$3:$G$400,MATCH(ROWS(AD$3:AD184),$Q$3:$Q$400,0),3),"")</f>
        <v>E</v>
      </c>
      <c r="AE184" s="48" t="str">
        <f ca="1">IFERROR(INDEX($A$3:$G$400,MATCH(ROWS(AE$3:AE184),$Q$3:$Q$400,0),4),"")</f>
        <v>A</v>
      </c>
      <c r="AF184" s="48" t="str">
        <f ca="1">IFERROR(INDEX($A$3:$G$400,MATCH(ROWS(AF$3:AF184),$Q$3:$Q$400,0),5),"")</f>
        <v>RICAVI D'ESERCIZIO</v>
      </c>
      <c r="AG184" s="48" t="str">
        <f ca="1">IFERROR(INDEX($A$3:$G$400,MATCH(ROWS(AG$3:AG184),$Q$3:$Q$400,0),6),"")</f>
        <v>SE AVERE</v>
      </c>
      <c r="AH184" s="48" t="str">
        <f ca="1">IFERROR(INDEX($A$3:$G$400,MATCH(ROWS(AH$3:AH184),$Q$3:$Q$400,0),7),"")</f>
        <v>SE</v>
      </c>
      <c r="AI184" s="48" t="str">
        <f t="shared" ca="1" si="302"/>
        <v>VALORE DELLA PRODUZIONE</v>
      </c>
      <c r="AJ184" s="48" t="str">
        <f ca="1">IFERROR(INDEX($A$3:$H$400,MATCH(ROWS(AJ$3:AJ184),$Q$3:$Q$400,0),8),"")</f>
        <v>ea5</v>
      </c>
      <c r="AK184" s="48">
        <f t="shared" ca="1" si="277"/>
        <v>0</v>
      </c>
      <c r="AL184" s="48">
        <f t="shared" ca="1" si="373"/>
        <v>0</v>
      </c>
      <c r="AM184" s="48">
        <f t="shared" ca="1" si="377"/>
        <v>0</v>
      </c>
      <c r="AN184" s="48">
        <f t="shared" ca="1" si="378"/>
        <v>0</v>
      </c>
      <c r="AO184" s="48">
        <f t="shared" ca="1" si="379"/>
        <v>0</v>
      </c>
      <c r="AP184" s="48">
        <f t="shared" ca="1" si="379"/>
        <v>0</v>
      </c>
      <c r="AQ184" s="48" t="str">
        <f t="shared" ca="1" si="278"/>
        <v/>
      </c>
      <c r="AR184" s="48">
        <f t="shared" ca="1" si="279"/>
        <v>0</v>
      </c>
      <c r="AS184" s="48">
        <f t="shared" ca="1" si="280"/>
        <v>0</v>
      </c>
      <c r="AT184" s="48">
        <f t="shared" ca="1" si="303"/>
        <v>0</v>
      </c>
      <c r="AU184" s="48">
        <f t="shared" ca="1" si="304"/>
        <v>0</v>
      </c>
      <c r="AV184" s="48">
        <f ca="1">IF(OR(AT184&gt;0,AU184&gt;0),MAX($AV$2:AV183)+1,0)</f>
        <v>0</v>
      </c>
      <c r="AZ184" s="241" t="str">
        <f t="shared" si="381"/>
        <v>84 V.I.</v>
      </c>
      <c r="BA184" s="48">
        <f t="shared" ca="1" si="369"/>
        <v>0</v>
      </c>
      <c r="BB184" s="48">
        <f t="shared" ca="1" si="370"/>
        <v>0</v>
      </c>
      <c r="BC184" s="48" t="str">
        <f t="shared" ca="1" si="382"/>
        <v/>
      </c>
      <c r="BD184" s="48">
        <f t="shared" ca="1" si="383"/>
        <v>0</v>
      </c>
      <c r="BE184" s="48">
        <f t="shared" ca="1" si="384"/>
        <v>0</v>
      </c>
      <c r="BG184" s="48">
        <f ca="1">IF(IF(AND(OR(INDEX(PDC,MATCH($AC184,DEN_PDC,0),6)="SP DARE",INDEX(PDC,MATCH($AC184,DEN_PDC,0),6)="SP DARE/AVERE"),SUMIFS(DARE,DEN_G,$AC184)&gt;=SUMIFS(AVERE,DEN_G,$AC184)),SUMIFS(DARE,DEN_G,$AC184)-SUMIFS(AVERE,DEN_G,$AC184),0)&gt;0,MAX($BG$2:BG183)+1,0)</f>
        <v>0</v>
      </c>
      <c r="BH184" s="48">
        <f ca="1">IF(IF(AND(OR(INDEX(PDC,MATCH($AC184,DEN_PDC,0),6)="SP AVERE",INDEX(PDC,MATCH($AC184,DEN_PDC,0),6)="SP DARE/AVERE"),SUMIFS(AVERE,DEN_G,$AC184)&gt;=SUMIFS(DARE,DEN_G,$AC184)),SUMIFS(AVERE,DEN_G,$AC184)-SUMIFS(DARE,DEN_G,$AC184),0)&gt;0,MAX(BH$2:BH183)+1,0)</f>
        <v>0</v>
      </c>
      <c r="BI184" s="48">
        <f ca="1">IF(IF(AND(OR(INDEX(PDC,MATCH($AC184,DEN_PDC,0),6)="SE DARE",INDEX(PDC,MATCH($AC184,DEN_PDC,0),6)="SE DARE/AVERE"),SUMIFS(DARE,DEN_G,$AC184)&gt;=SUMIFS(AVERE,DEN_G,$AC184)),SUMIFS(DARE,DEN_G,$AC184)-SUMIFS(AVERE,DEN_G,$AC184),0)&gt;0,MAX(BI$2:BI183)+1,0)</f>
        <v>0</v>
      </c>
      <c r="BJ184" s="48">
        <f ca="1">IF(IF(AND(OR(INDEX(PDC,MATCH($AC184,DEN_PDC,0),6)="SE AVERE",INDEX(PDC,MATCH($AC184,DEN_PDC,0),6)="SE DARE/AVERE"),SUMIFS(AVERE,DEN_G,$AC184)&gt;=SUMIFS(DARE,DEN_G,$AC184)),SUMIFS(AVERE,DEN_G,$AC184)-SUMIFS(DARE,DEN_G,$AC184),0)&gt;0,MAX(BJ$2:BJ183)+1,0)</f>
        <v>0</v>
      </c>
      <c r="BK184" s="48" t="str">
        <f ca="1">IF(AND(AND($DY$2=0,$DY$1=0),$I$1=2,ROW()&gt;$BG$1+2,ROW()&lt;=$BG$1+4),"………………..",IF(AND(OR($DY$2&gt;0,$DY$1&gt;0),$I$1=2,ROW()&gt;$BG$1+2,ROW()&lt;=$BG$1+4),"………………..",IFERROR(INDEX($AC$3:$AC$398,MATCH(ROWS(BK$3:BK184),BG$3:BG$398,0),1),"")))</f>
        <v/>
      </c>
      <c r="BL184" s="48">
        <f t="shared" ca="1" si="281"/>
        <v>0</v>
      </c>
      <c r="BM184" s="48" t="str">
        <f ca="1">IF(AND(OR($DY$2=0,$DY$1=0),$I$1=2,ROW()&gt;$BH$1+2,ROW()&lt;=$BH$1+4),"………………..",IF(AND(OR($DY$2&gt;0,$DY$1&gt;0),$I$1=2,ROW()&gt;$BH$1+2,ROW()&lt;=$BH$1+4),"………………..",IFERROR(INDEX($AC$3:$AC$400,MATCH(ROWS(BM$3:BM184),BH$3:BH$400,0),1),"")))</f>
        <v/>
      </c>
      <c r="BN184" s="48">
        <f t="shared" ca="1" si="282"/>
        <v>0</v>
      </c>
      <c r="BO184" s="48" t="str">
        <f ca="1">IF(AND(OR($DY$2=0,$DY$1=0),$I$1=2,ROW()&gt;$BI$1+2,ROW()&lt;=$BI$1+4),"………………..",IF(AND(OR($DY$2&gt;0,$DY$1&gt;0),$I$1=2,ROW()&gt;$BI$1+2,ROW()&lt;=$BI$1+4),"………………..",IFERROR(INDEX($AC$3:$AC$400,MATCH(ROWS(BO$3:BO184),BI$3:BI$400,0),1),"")))</f>
        <v/>
      </c>
      <c r="BP184" s="48">
        <f t="shared" ca="1" si="283"/>
        <v>0</v>
      </c>
      <c r="BQ184" s="48" t="str">
        <f ca="1">IF(AND(OR($DY$2=0,$DY$1=0),$I$1=2,ROW()&gt;$BJ$1+2,ROW()&lt;=$BJ$1+4),"………………..",IF(AND(OR($DY$2&gt;0,$DY$1&gt;0),$I$1=2,ROW()&gt;$BJ$1+2,ROW()&lt;=$BJ$1+4),"………………..",IFERROR(INDEX($AC$3:$AC$400,MATCH(ROWS(BQ$3:BQ184),BJ$3:BJ$400,0),1),"")))</f>
        <v/>
      </c>
      <c r="BR184" s="48">
        <f t="shared" ca="1" si="284"/>
        <v>0</v>
      </c>
      <c r="BS184" s="48">
        <f ca="1">IF(IF(AND(OR(INDEX(PDC,MATCH($AC184,DEN_PDC,0),4)="D",INDEX(PDC,MATCH($AC184,DEN_PDC,0),4)="D/A"),SUMIFS(DARE,DEN_G,$AC184)&gt;=SUMIFS(AVERE,DEN_G,$AC184)),SUMIFS(DARE,DEN_G,$AC184),IF(AND(OR(INDEX(PDC,MATCH($AC184,DEN_PDC,0),4)="A",INDEX(PDC,MATCH($AC184,DEN_PDC,0),4)="D/A"),SUMIFS(AVERE,DEN_G,$AC184)&gt;=SUMIFS(DARE,DEN_G,$AC184)),SUMIFS(AVERE,DEN_G,$AC184),))&gt;0,MAX($BS$2:BS183)+1,0)</f>
        <v>0</v>
      </c>
      <c r="BT184" s="48" t="str">
        <f ca="1">IF($CO$1=0,"",IF(AND($I$1=2,ROW()&gt;$BR$1,ROW()&lt;=$BS$1)," …………….",IF(AND($E$1=1,$BX$1=1,$I$1=2,ROW()=$BQ$1),"TOTALI",IFERROR(INDEX(PDC,MATCH(ROWS(BT$3:BT184),BS$3:BS581,0),2),""))))</f>
        <v/>
      </c>
      <c r="BU184" s="48">
        <f t="shared" ca="1" si="285"/>
        <v>0</v>
      </c>
      <c r="BV184" s="48">
        <f t="shared" ca="1" si="286"/>
        <v>0</v>
      </c>
      <c r="BW184" s="48">
        <f t="shared" ca="1" si="287"/>
        <v>0</v>
      </c>
      <c r="BX184" s="48">
        <f t="shared" ca="1" si="288"/>
        <v>0</v>
      </c>
      <c r="BY184" s="48">
        <f ca="1">IF(OR(BW184&gt;0,BX184&gt;0),MAX($BY$2:BY183)+1,0)</f>
        <v>0</v>
      </c>
      <c r="BZ184" s="48" t="str">
        <f ca="1">IFERROR(INDEX($BT$3:$BY$400,MATCH(ROWS(BZ$3:BZ184),$BY$3:$BY$400,0),1),"")</f>
        <v/>
      </c>
      <c r="CA184" s="48" t="str">
        <f ca="1">IFERROR(INDEX($BT$3:$BY$400,MATCH(ROWS(CA$3:CA184),$BY$3:$BY$400,0),4),"")</f>
        <v/>
      </c>
      <c r="CB184" s="48" t="str">
        <f ca="1">IFERROR(INDEX($BT$3:$BY$400,MATCH(ROWS(CB$3:CB184),$BY$3:$BY$400,0),5),"")</f>
        <v/>
      </c>
      <c r="CC184" s="48" t="str">
        <f t="shared" ca="1" si="289"/>
        <v/>
      </c>
      <c r="CD184" s="48">
        <f ca="1">IF(AND($BF$9=2,CE184&gt;0),MAX($CD$165:CD183)+1,0)</f>
        <v>0</v>
      </c>
      <c r="CE184" s="48">
        <f ca="1">IF(ROUND(SUMIFS(COPIA!$CB$3:$CB$400,COPIA!$CC$3:$CC$400,CF184)-SUMIFS(COPIA!$CA$3:$CA$400,COPIA!$CC$3:$CC$400,CF184),0)&lt;0,0,ROUND(SUMIFS(COPIA!$CB$3:$CB$400,COPIA!$CC$3:$CC$400,CF184)-SUMIFS(COPIA!$CA$3:$CA$400,COPIA!$CC$3:$CC$400,CF184),0))</f>
        <v>0</v>
      </c>
      <c r="CF184" s="48" t="s">
        <v>675</v>
      </c>
      <c r="CG184" s="48" t="str">
        <f t="shared" si="376"/>
        <v>B) Fondi per rischi e oneri</v>
      </c>
      <c r="CH184" s="48">
        <f t="shared" ca="1" si="388"/>
        <v>0</v>
      </c>
      <c r="CM184" s="242" t="str">
        <f t="shared" ca="1" si="305"/>
        <v/>
      </c>
      <c r="CN184" s="243">
        <f t="shared" ca="1" si="306"/>
        <v>0</v>
      </c>
      <c r="CO184" s="48" t="str">
        <f t="shared" ca="1" si="307"/>
        <v/>
      </c>
      <c r="CQ184" s="242"/>
      <c r="CR184" s="242"/>
      <c r="CU184" s="48">
        <f ca="1">IF(SUMIFS(AVERE,DEN_G,AC184,AVERE,"&gt;"&amp;0)+SUMIFS(DARE,DEN_G,AC184,DARE,"&gt;"&amp;0)&gt;0,MAX($CU$2:CU183)+1,0)</f>
        <v>0</v>
      </c>
      <c r="CV184" s="48" t="str">
        <f ca="1">IF(IFERROR(INDEX(PDC,MATCH(ROWS($CV$3:CV184),$CU$3:$CU$400,0),2),"")="CONTO DI RISULTATO ECONOMICO","",IFERROR(INDEX(PDC,MATCH(ROWS($CV$3:CV184),$CU$3:$CU$400,0),2),""))</f>
        <v/>
      </c>
      <c r="CW184" s="48">
        <f ca="1">IFERROR(IF(CV184&lt;&gt;"",MAX($CW$2:CW183)+1,0),0)</f>
        <v>0</v>
      </c>
      <c r="CY184" s="48" t="s">
        <v>500</v>
      </c>
      <c r="DB184" s="48" t="str">
        <f t="shared" ref="DB184" ca="1" si="402">IF(CX183=$DF$1,"","MASTRO")</f>
        <v>MASTRO</v>
      </c>
      <c r="DF184" s="48">
        <f ca="1">IF(AND(CX184=$DF$1,CX184&lt;&gt;""),0,IF(AND(DB184&lt;&gt;"",OR(DB183&lt;&gt;"",DB185&lt;&gt;"")),MAX($DF$2:DF183)+1,0))</f>
        <v>0</v>
      </c>
      <c r="DH184" s="244" t="s">
        <v>1058</v>
      </c>
      <c r="DI184" s="48" t="s">
        <v>137</v>
      </c>
      <c r="DJ184" s="48" t="s">
        <v>312</v>
      </c>
      <c r="DK184" s="48" t="s">
        <v>298</v>
      </c>
      <c r="DL184" s="48" t="s">
        <v>5</v>
      </c>
      <c r="DM184" s="48" t="s">
        <v>299</v>
      </c>
      <c r="DN184" s="48">
        <f ca="1">IF(DI184&lt;&gt;"",MAX($DN$2:DN183)+1,0)</f>
        <v>154</v>
      </c>
      <c r="DO184" s="48" t="str">
        <f t="shared" ref="DO184:DO209" ca="1" si="403">IF($BF$9=1,"ppd14","ppd")</f>
        <v>ppd</v>
      </c>
      <c r="DW184" s="48">
        <f>IF(DR184&lt;&gt;"",MAX($DW$2:DW183)+1,0)</f>
        <v>0</v>
      </c>
      <c r="DY184" s="48" t="str">
        <f t="shared" ca="1" si="291"/>
        <v/>
      </c>
      <c r="DZ184" s="48" t="str">
        <f t="shared" ca="1" si="309"/>
        <v/>
      </c>
      <c r="EA184" s="48" t="str">
        <f t="shared" ca="1" si="310"/>
        <v/>
      </c>
      <c r="EB184" s="48">
        <f t="shared" ca="1" si="311"/>
        <v>0</v>
      </c>
      <c r="EC184" s="48">
        <f t="shared" ca="1" si="312"/>
        <v>0</v>
      </c>
      <c r="ED184" s="48" t="str">
        <f t="shared" ca="1" si="313"/>
        <v/>
      </c>
      <c r="EE184" s="48">
        <f t="shared" ca="1" si="314"/>
        <v>0</v>
      </c>
      <c r="EF184" s="48" t="str">
        <f t="shared" ca="1" si="315"/>
        <v/>
      </c>
      <c r="EG184" s="48">
        <f t="shared" ca="1" si="316"/>
        <v>0</v>
      </c>
      <c r="EH184" s="48" t="str">
        <f t="shared" ca="1" si="317"/>
        <v/>
      </c>
      <c r="EI184" s="48">
        <f t="shared" ca="1" si="318"/>
        <v>0</v>
      </c>
      <c r="EJ184" s="48" t="str">
        <f t="shared" ca="1" si="319"/>
        <v/>
      </c>
      <c r="EK184" s="48">
        <f t="shared" ca="1" si="320"/>
        <v>0</v>
      </c>
      <c r="EL184" s="48">
        <f t="shared" ca="1" si="292"/>
        <v>0</v>
      </c>
      <c r="EM184" s="48">
        <f ca="1">IF(EL184&gt;=0,0,MAX($EM$2:EM183)+1)</f>
        <v>0</v>
      </c>
      <c r="EN184" s="48" t="str">
        <f t="shared" ca="1" si="321"/>
        <v/>
      </c>
      <c r="EO184" s="48" t="str">
        <f ca="1">IFERROR(INDEX($EM$3:$EN$400,MATCH(ROWS($EO$3:EO184),$EM$3:$EM$400,0),2),"")</f>
        <v/>
      </c>
      <c r="EP184" s="48">
        <f>ROW()</f>
        <v>184</v>
      </c>
      <c r="EQ184" s="48">
        <f t="shared" ca="1" si="293"/>
        <v>0</v>
      </c>
      <c r="ER184" s="48">
        <f ca="1">IF(ISNA(EQ184)=TRUE,MAX($ER$2:ER183)+1,0)</f>
        <v>0</v>
      </c>
      <c r="ES184" s="48" t="str">
        <f t="shared" ca="1" si="322"/>
        <v/>
      </c>
      <c r="ET184" s="48" t="str">
        <f ca="1">IFERROR(INDEX($ER$3:$ES$400,MATCH(ROWS($ET$3:ET184),$ER$3:$ER$400,0),2),"")</f>
        <v/>
      </c>
      <c r="EV184" s="48">
        <f ca="1">IFERROR(INDEX(LIBRO_GIORNALE!$O$11:$P$408,MATCH(ROWS($EV$2:EV183),LIBRO_GIORNALE!$P$11:$P$408,0),1),0)</f>
        <v>0</v>
      </c>
      <c r="EW184" s="48" t="str">
        <f t="shared" ca="1" si="323"/>
        <v>0</v>
      </c>
      <c r="EX184" s="48">
        <f t="shared" ca="1" si="324"/>
        <v>0</v>
      </c>
      <c r="EY184" s="48">
        <f ca="1">IF(EX184&gt;0,MAX($EY$2:EY183)+1,0)</f>
        <v>0</v>
      </c>
      <c r="EZ184" s="48">
        <f ca="1">IFERROR(INDEX($EX$3:$EX$400,MATCH(ROWS($EZ$3:EZ184),$EY$3:$EY$400,0),1),0)</f>
        <v>0</v>
      </c>
      <c r="FA184" s="48">
        <f ca="1">IF(EZ184&gt;0,0,MAX($FA$2:FA183)+1)</f>
        <v>182</v>
      </c>
      <c r="FB184" s="48">
        <f t="shared" ca="1" si="325"/>
        <v>0</v>
      </c>
      <c r="FC184" s="48">
        <f t="shared" ca="1" si="326"/>
        <v>182</v>
      </c>
      <c r="FD184" s="48">
        <f t="shared" ca="1" si="327"/>
        <v>182</v>
      </c>
      <c r="FE184" s="48">
        <f ca="1">IF(FD184=0,0,MAX($FE$2:FE183)+1)</f>
        <v>182</v>
      </c>
      <c r="FF184" s="48">
        <f ca="1">IFERROR(INDEX($FD$3:$FE$400,MATCH(ROWS($FF$3:FF184),$FE$3:$FE$400,0),1),"")</f>
        <v>182</v>
      </c>
      <c r="FG184" s="48">
        <f t="shared" ca="1" si="380"/>
        <v>0</v>
      </c>
      <c r="FH184" s="48">
        <f t="shared" ca="1" si="328"/>
        <v>0</v>
      </c>
      <c r="FI184" s="48">
        <f ca="1">IF(FH184&lt;&gt;0,MAX($FI$2:FI183)+1,0)</f>
        <v>0</v>
      </c>
      <c r="FJ184" s="48" t="str">
        <f ca="1">IFERROR(INDEX($FH$3:$FI$400,MATCH(ROWS($FJ$3:FJ184),$FI$3:$FI$400,0),1),"")</f>
        <v/>
      </c>
      <c r="FK184" s="48">
        <f ca="1">IF(ABS(SUMIFS(DARE,DEN_G,"="&amp;FJ184,DATA,"&lt;="&amp;FINE_AC,DATA,"&gt;="&amp;INIZIO_A_PC)-SUMIFS(AVERE,DEN_G,"="&amp;FJ184,DATA,"&lt;="&amp;FINE_AC,DATA,"&gt;="&amp;INIZIO_A_PC))&gt;0,MAX($FK$2:FK183)+1,0)</f>
        <v>0</v>
      </c>
      <c r="FL184" s="48" t="str">
        <f ca="1">IF(AND(ROW()-2&lt;&gt;1,ROW()-2&lt;=$FK$1),CONCATENATE(" - ",IFERROR(INDEX($FJ$3:$FK$400,MATCH(ROWS($FL$3:FL184),$FK$3:$FK$400,0),1),"")),IFERROR(INDEX($FJ$3:$FK$400,MATCH(ROWS($FL$3:FL184),$FK$3:$FK$400,0),1),""))</f>
        <v/>
      </c>
      <c r="FM184" s="48">
        <f ca="1">IF(OR(B184="IVA ns/credito",B184="IVA NS/DEBITO",B184="IVA C/ACCONTO",B184="IMPOSTE C/ACCONTO",B184="CREDITI PER RITENUTE SUBITE",B184="CREDITI D'IMPOSTA"),MAX($FM$2:FM183)+1,0)</f>
        <v>0</v>
      </c>
      <c r="FN184" s="48" t="str">
        <f t="shared" ca="1" si="329"/>
        <v/>
      </c>
      <c r="FO184" s="48" t="str">
        <f ca="1">IFERROR(INDEX($FM$3:$FN$400,MATCH(ROWS($FO$3:FO184),$FM$3:$FM$400,0),2),"")</f>
        <v/>
      </c>
      <c r="FP184" s="48">
        <f ca="1">IF(ABS(SUMIFS(DARE,DEN_G,"="&amp;FO184,DATA,"&lt;="&amp;FINE_AC,DATA,"&gt;="&amp;INIZIO_A_PC)-SUMIFS(AVERE,DEN_G,"="&amp;FO184,DATA,"&lt;="&amp;FINE_AC,DATA,"&gt;="&amp;INIZIO_A_PC))&gt;0,MAX($FP$2:FP183)+1,0)</f>
        <v>0</v>
      </c>
      <c r="FQ184" s="48" t="str">
        <f ca="1">IF(AND(ROW()-2&lt;&gt;1,ROW()-2&lt;=$FP$1),CONCATENATE(" - ",IFERROR(INDEX($FO$3:$FP$400,MATCH(ROWS($FQ$3:FQ184),$FP$3:$FP$400,0),1),"")),IFERROR(INDEX($FO$3:$FP$400,MATCH(ROWS($FQ$3:FQ184),$FP$3:$FP$400,0),1),""))</f>
        <v/>
      </c>
    </row>
    <row r="185" spans="1:173" x14ac:dyDescent="0.3">
      <c r="A185" s="48" t="str">
        <f ca="1">IFERROR(IF($A$1=2,INDEX($DH$3:$DN$401,MATCH(ROWS(A$3:A185),$DN$3:$DN$401,0),COLUMN()),IF($A$1=1,INDEX($DQ$3:$DW$401,MATCH(ROWS(A$3:A185),$DW$3:$DW$401,0),COLUMN()),"")),"")</f>
        <v>19.21</v>
      </c>
      <c r="B185" s="48" t="str">
        <f ca="1">IFERROR(IF($A$1=2,INDEX($DH$3:$DN$401,MATCH(ROWS(B$3:B185),$DN$3:$DN$401,0),COLUMN()),IF($A$1=1,INDEX($DQ$3:$DW$400,MATCH(ROWS(B$3:B185),$DW$3:$DW$401,0),COLUMN()),"")),"")</f>
        <v>RISCHI PER FIDEIUSSIONI</v>
      </c>
      <c r="C185" s="48">
        <f ca="1">IFERROR(IF($A$1=2,INDEX($DH$3:$DN$401,MATCH(ROWS(C$3:C185),$DN$3:$DN$401,0),COLUMN()),IF($A$1=1,INDEX($DQ$3:$DW$401,MATCH(ROWS(C$3:C185),$DW$3:$DW$401,0),COLUMN()),"")),"")</f>
        <v>0</v>
      </c>
      <c r="D185" s="48" t="str">
        <f ca="1">IFERROR(IF($A$1=2,INDEX($DH$3:$DN$401,MATCH(ROWS(D$3:D185),$DN$3:$DN$401,0),COLUMN()),IF($A$1=1,INDEX($DQ$3:$DW$401,MATCH(ROWS(D$3:D185),$DW$3:$DW$401,0),COLUMN()),"")),"")</f>
        <v>D</v>
      </c>
      <c r="E185" s="48" t="str">
        <f ca="1">IFERROR(IF($A$1=2,INDEX($DH$3:$DN$401,MATCH(ROWS(E$3:E185),$DN$3:$DN$401,0),COLUMN()),IF($A$1=1,INDEX($DQ$3:$DW$401,MATCH(ROWS(E$3:E185),$DW$3:$DW$401,0),COLUMN()),"")),"")</f>
        <v>CONTI D'ORDINE</v>
      </c>
      <c r="F185" s="48" t="str">
        <f ca="1">IFERROR(IF($A$1=2,INDEX($DH$3:$DN$401,MATCH(ROWS(F$3:F185),$DN$3:$DN$401,0),COLUMN()),IF($A$1=1,INDEX($DQ$3:$DX$401,MATCH(ROWS(F$3:F185),$DW$3:$DW$401,0),COLUMN()),"")),"")</f>
        <v>SP</v>
      </c>
      <c r="G185" s="48" t="str">
        <f t="shared" ca="1" si="294"/>
        <v>SP</v>
      </c>
      <c r="H185" s="48">
        <f ca="1">IFERROR(IF($A$1=2,INDEX($DH$3:$DO$400,MATCH(ROWS(H$3:H185),$DN$3:$DN$400,0),COLUMN()),IF($A$1=1,INDEX($DQ$3:$DX$400,MATCH(ROWS(H$3:H185),$DW$3:$DW$400,0),COLUMN()),"")),"")</f>
        <v>0</v>
      </c>
      <c r="I185" s="48" t="str">
        <f t="shared" ca="1" si="295"/>
        <v/>
      </c>
      <c r="J185" s="48" t="str">
        <f t="shared" ca="1" si="296"/>
        <v/>
      </c>
      <c r="K185" s="48">
        <f t="shared" ca="1" si="297"/>
        <v>0</v>
      </c>
      <c r="L185" s="48">
        <f t="shared" ca="1" si="298"/>
        <v>0</v>
      </c>
      <c r="M185" s="48">
        <f ca="1">IFERROR(IF(IF(MID($A185,3,3)=".00",MID(A185,1,2),"")&lt;&gt;"",MAX($M$2:M184)+1,0),"")</f>
        <v>0</v>
      </c>
      <c r="N185" s="48" t="str">
        <f t="shared" ca="1" si="299"/>
        <v/>
      </c>
      <c r="O185" s="48" t="str">
        <f ca="1">IF(IFERROR(INDEX($N$3:$O$300,MATCH(ROWS($O$3:O185),$M$3:$M$300,0),1),"")&lt;&gt;"",CONCATENATE(INDEX($N$3:$O$300,MATCH(ROWS($O$3:O185),$M$3:$M$300,0),1),".00"),"")</f>
        <v/>
      </c>
      <c r="P185" s="48" t="str">
        <f t="shared" ca="1" si="300"/>
        <v/>
      </c>
      <c r="Q185" s="48">
        <f ca="1">IF(M185&gt;=1,0,MAX($Q$2:Q184)+1)</f>
        <v>164</v>
      </c>
      <c r="U185" s="48" t="str">
        <f ca="1">IFERROR(INDEX(PDC,MATCH(ROWS(U$3:U185),$V$3:$V$400,0),2),"")</f>
        <v>INSUSSISTENZE ATTIVE</v>
      </c>
      <c r="V185" s="48">
        <f ca="1">IF(AND($T$1="VISUALIZZA TUTTI I CONTI",AA185&lt;&gt;""),MAX($V$2:V184)+1,IF(AND($U$2=2,AI185=$T$1),MAX($V$2:V184)+1,IF(AND($U$2=1,$T$1=AF185),MAX($V$2:V184)+1,0)))</f>
        <v>183</v>
      </c>
      <c r="AA185" s="48" t="str">
        <f t="shared" ca="1" si="301"/>
        <v>20.00</v>
      </c>
      <c r="AB185" s="48" t="str">
        <f ca="1">IFERROR(INDEX($A$3:$G$400,MATCH(ROWS(AB$3:AB185),$Q$3:$Q$400,0),1),"")</f>
        <v>20.42</v>
      </c>
      <c r="AC185" s="48" t="str">
        <f ca="1">IFERROR(INDEX($A$3:$G$400,MATCH(ROWS($AC$3:AC185),$Q$3:$Q$400,0),2),"")</f>
        <v>INSUSSISTENZE ATTIVE</v>
      </c>
      <c r="AD185" s="48" t="str">
        <f ca="1">IFERROR(INDEX($A$3:$G$400,MATCH(ROWS(AD$3:AD185),$Q$3:$Q$400,0),3),"")</f>
        <v>E</v>
      </c>
      <c r="AE185" s="48" t="str">
        <f ca="1">IFERROR(INDEX($A$3:$G$400,MATCH(ROWS(AE$3:AE185),$Q$3:$Q$400,0),4),"")</f>
        <v>A</v>
      </c>
      <c r="AF185" s="48" t="str">
        <f ca="1">IFERROR(INDEX($A$3:$G$400,MATCH(ROWS(AF$3:AF185),$Q$3:$Q$400,0),5),"")</f>
        <v>RICAVI D'ESERCIZIO</v>
      </c>
      <c r="AG185" s="48" t="str">
        <f ca="1">IFERROR(INDEX($A$3:$G$400,MATCH(ROWS(AG$3:AG185),$Q$3:$Q$400,0),6),"")</f>
        <v>SE AVERE</v>
      </c>
      <c r="AH185" s="48" t="str">
        <f ca="1">IFERROR(INDEX($A$3:$G$400,MATCH(ROWS(AH$3:AH185),$Q$3:$Q$400,0),7),"")</f>
        <v>SE</v>
      </c>
      <c r="AI185" s="48" t="str">
        <f t="shared" ca="1" si="302"/>
        <v>VALORE DELLA PRODUZIONE</v>
      </c>
      <c r="AJ185" s="48" t="str">
        <f ca="1">IFERROR(INDEX($A$3:$H$400,MATCH(ROWS(AJ$3:AJ185),$Q$3:$Q$400,0),8),"")</f>
        <v>ea5</v>
      </c>
      <c r="AK185" s="48">
        <f t="shared" ca="1" si="277"/>
        <v>0</v>
      </c>
      <c r="AL185" s="48">
        <f t="shared" ca="1" si="373"/>
        <v>0</v>
      </c>
      <c r="AM185" s="48">
        <f t="shared" ca="1" si="377"/>
        <v>0</v>
      </c>
      <c r="AN185" s="48">
        <f t="shared" ca="1" si="378"/>
        <v>0</v>
      </c>
      <c r="AO185" s="48">
        <f t="shared" ca="1" si="379"/>
        <v>0</v>
      </c>
      <c r="AP185" s="48">
        <f t="shared" ca="1" si="379"/>
        <v>0</v>
      </c>
      <c r="AQ185" s="48" t="str">
        <f t="shared" ca="1" si="278"/>
        <v/>
      </c>
      <c r="AR185" s="48">
        <f t="shared" ca="1" si="279"/>
        <v>0</v>
      </c>
      <c r="AS185" s="48">
        <f t="shared" ca="1" si="280"/>
        <v>0</v>
      </c>
      <c r="AT185" s="48">
        <f t="shared" ca="1" si="303"/>
        <v>0</v>
      </c>
      <c r="AU185" s="48">
        <f t="shared" ca="1" si="304"/>
        <v>0</v>
      </c>
      <c r="AV185" s="48">
        <f ca="1">IF(OR(AT185&gt;0,AU185&gt;0),MAX($AV$2:AV184)+1,0)</f>
        <v>0</v>
      </c>
      <c r="AZ185" s="241" t="str">
        <f t="shared" si="381"/>
        <v>85 V.I.</v>
      </c>
      <c r="BA185" s="48">
        <f t="shared" ca="1" si="369"/>
        <v>0</v>
      </c>
      <c r="BB185" s="48">
        <f t="shared" ca="1" si="370"/>
        <v>0</v>
      </c>
      <c r="BC185" s="48" t="str">
        <f t="shared" ca="1" si="382"/>
        <v/>
      </c>
      <c r="BD185" s="48">
        <f t="shared" ca="1" si="383"/>
        <v>0</v>
      </c>
      <c r="BE185" s="48">
        <f t="shared" ca="1" si="384"/>
        <v>0</v>
      </c>
      <c r="BG185" s="48">
        <f ca="1">IF(IF(AND(OR(INDEX(PDC,MATCH($AC185,DEN_PDC,0),6)="SP DARE",INDEX(PDC,MATCH($AC185,DEN_PDC,0),6)="SP DARE/AVERE"),SUMIFS(DARE,DEN_G,$AC185)&gt;=SUMIFS(AVERE,DEN_G,$AC185)),SUMIFS(DARE,DEN_G,$AC185)-SUMIFS(AVERE,DEN_G,$AC185),0)&gt;0,MAX($BG$2:BG184)+1,0)</f>
        <v>0</v>
      </c>
      <c r="BH185" s="48">
        <f ca="1">IF(IF(AND(OR(INDEX(PDC,MATCH($AC185,DEN_PDC,0),6)="SP AVERE",INDEX(PDC,MATCH($AC185,DEN_PDC,0),6)="SP DARE/AVERE"),SUMIFS(AVERE,DEN_G,$AC185)&gt;=SUMIFS(DARE,DEN_G,$AC185)),SUMIFS(AVERE,DEN_G,$AC185)-SUMIFS(DARE,DEN_G,$AC185),0)&gt;0,MAX(BH$2:BH184)+1,0)</f>
        <v>0</v>
      </c>
      <c r="BI185" s="48">
        <f ca="1">IF(IF(AND(OR(INDEX(PDC,MATCH($AC185,DEN_PDC,0),6)="SE DARE",INDEX(PDC,MATCH($AC185,DEN_PDC,0),6)="SE DARE/AVERE"),SUMIFS(DARE,DEN_G,$AC185)&gt;=SUMIFS(AVERE,DEN_G,$AC185)),SUMIFS(DARE,DEN_G,$AC185)-SUMIFS(AVERE,DEN_G,$AC185),0)&gt;0,MAX(BI$2:BI184)+1,0)</f>
        <v>0</v>
      </c>
      <c r="BJ185" s="48">
        <f ca="1">IF(IF(AND(OR(INDEX(PDC,MATCH($AC185,DEN_PDC,0),6)="SE AVERE",INDEX(PDC,MATCH($AC185,DEN_PDC,0),6)="SE DARE/AVERE"),SUMIFS(AVERE,DEN_G,$AC185)&gt;=SUMIFS(DARE,DEN_G,$AC185)),SUMIFS(AVERE,DEN_G,$AC185)-SUMIFS(DARE,DEN_G,$AC185),0)&gt;0,MAX(BJ$2:BJ184)+1,0)</f>
        <v>0</v>
      </c>
      <c r="BK185" s="48" t="str">
        <f ca="1">IF(AND(AND($DY$2=0,$DY$1=0),$I$1=2,ROW()&gt;$BG$1+2,ROW()&lt;=$BG$1+4),"………………..",IF(AND(OR($DY$2&gt;0,$DY$1&gt;0),$I$1=2,ROW()&gt;$BG$1+2,ROW()&lt;=$BG$1+4),"………………..",IFERROR(INDEX($AC$3:$AC$398,MATCH(ROWS(BK$3:BK185),BG$3:BG$398,0),1),"")))</f>
        <v/>
      </c>
      <c r="BL185" s="48">
        <f t="shared" ca="1" si="281"/>
        <v>0</v>
      </c>
      <c r="BM185" s="48" t="str">
        <f ca="1">IF(AND(OR($DY$2=0,$DY$1=0),$I$1=2,ROW()&gt;$BH$1+2,ROW()&lt;=$BH$1+4),"………………..",IF(AND(OR($DY$2&gt;0,$DY$1&gt;0),$I$1=2,ROW()&gt;$BH$1+2,ROW()&lt;=$BH$1+4),"………………..",IFERROR(INDEX($AC$3:$AC$400,MATCH(ROWS(BM$3:BM185),BH$3:BH$400,0),1),"")))</f>
        <v/>
      </c>
      <c r="BN185" s="48">
        <f t="shared" ca="1" si="282"/>
        <v>0</v>
      </c>
      <c r="BO185" s="48" t="str">
        <f ca="1">IF(AND(OR($DY$2=0,$DY$1=0),$I$1=2,ROW()&gt;$BI$1+2,ROW()&lt;=$BI$1+4),"………………..",IF(AND(OR($DY$2&gt;0,$DY$1&gt;0),$I$1=2,ROW()&gt;$BI$1+2,ROW()&lt;=$BI$1+4),"………………..",IFERROR(INDEX($AC$3:$AC$400,MATCH(ROWS(BO$3:BO185),BI$3:BI$400,0),1),"")))</f>
        <v/>
      </c>
      <c r="BP185" s="48">
        <f t="shared" ca="1" si="283"/>
        <v>0</v>
      </c>
      <c r="BQ185" s="48" t="str">
        <f ca="1">IF(AND(OR($DY$2=0,$DY$1=0),$I$1=2,ROW()&gt;$BJ$1+2,ROW()&lt;=$BJ$1+4),"………………..",IF(AND(OR($DY$2&gt;0,$DY$1&gt;0),$I$1=2,ROW()&gt;$BJ$1+2,ROW()&lt;=$BJ$1+4),"………………..",IFERROR(INDEX($AC$3:$AC$400,MATCH(ROWS(BQ$3:BQ185),BJ$3:BJ$400,0),1),"")))</f>
        <v/>
      </c>
      <c r="BR185" s="48">
        <f t="shared" ca="1" si="284"/>
        <v>0</v>
      </c>
      <c r="BS185" s="48">
        <f ca="1">IF(IF(AND(OR(INDEX(PDC,MATCH($AC185,DEN_PDC,0),4)="D",INDEX(PDC,MATCH($AC185,DEN_PDC,0),4)="D/A"),SUMIFS(DARE,DEN_G,$AC185)&gt;=SUMIFS(AVERE,DEN_G,$AC185)),SUMIFS(DARE,DEN_G,$AC185),IF(AND(OR(INDEX(PDC,MATCH($AC185,DEN_PDC,0),4)="A",INDEX(PDC,MATCH($AC185,DEN_PDC,0),4)="D/A"),SUMIFS(AVERE,DEN_G,$AC185)&gt;=SUMIFS(DARE,DEN_G,$AC185)),SUMIFS(AVERE,DEN_G,$AC185),))&gt;0,MAX($BS$2:BS184)+1,0)</f>
        <v>0</v>
      </c>
      <c r="BT185" s="48" t="str">
        <f ca="1">IF($CO$1=0,"",IF(AND($I$1=2,ROW()&gt;$BR$1,ROW()&lt;=$BS$1)," …………….",IF(AND($E$1=1,$BX$1=1,$I$1=2,ROW()=$BQ$1),"TOTALI",IFERROR(INDEX(PDC,MATCH(ROWS(BT$3:BT185),BS$3:BS582,0),2),""))))</f>
        <v/>
      </c>
      <c r="BU185" s="48">
        <f t="shared" ca="1" si="285"/>
        <v>0</v>
      </c>
      <c r="BV185" s="48">
        <f t="shared" ca="1" si="286"/>
        <v>0</v>
      </c>
      <c r="BW185" s="48">
        <f t="shared" ca="1" si="287"/>
        <v>0</v>
      </c>
      <c r="BX185" s="48">
        <f t="shared" ca="1" si="288"/>
        <v>0</v>
      </c>
      <c r="BY185" s="48">
        <f ca="1">IF(OR(BW185&gt;0,BX185&gt;0),MAX($BY$2:BY184)+1,0)</f>
        <v>0</v>
      </c>
      <c r="BZ185" s="48" t="str">
        <f ca="1">IFERROR(INDEX($BT$3:$BY$400,MATCH(ROWS(BZ$3:BZ185),$BY$3:$BY$400,0),1),"")</f>
        <v/>
      </c>
      <c r="CA185" s="48" t="str">
        <f ca="1">IFERROR(INDEX($BT$3:$BY$400,MATCH(ROWS(CA$3:CA185),$BY$3:$BY$400,0),4),"")</f>
        <v/>
      </c>
      <c r="CB185" s="48" t="str">
        <f ca="1">IFERROR(INDEX($BT$3:$BY$400,MATCH(ROWS(CB$3:CB185),$BY$3:$BY$400,0),5),"")</f>
        <v/>
      </c>
      <c r="CC185" s="48" t="str">
        <f t="shared" ca="1" si="289"/>
        <v/>
      </c>
      <c r="CD185" s="48">
        <f ca="1">IF(AND($BF$9=2,CE185&gt;0),MAX($CD$165:CD184)+1,0)</f>
        <v>0</v>
      </c>
      <c r="CE185" s="48">
        <f ca="1">IF(ROUND(SUMIFS(COPIA!$CB$3:$CB$400,COPIA!$CC$3:$CC$400,CF185)-SUMIFS(COPIA!$CA$3:$CA$400,COPIA!$CC$3:$CC$400,CF185),0)&lt;0,0,ROUND(SUMIFS(COPIA!$CB$3:$CB$400,COPIA!$CC$3:$CC$400,CF185)-SUMIFS(COPIA!$CA$3:$CA$400,COPIA!$CC$3:$CC$400,CF185),0))</f>
        <v>0</v>
      </c>
      <c r="CF185" s="48" t="str">
        <f>CF130</f>
        <v>ppc</v>
      </c>
      <c r="CG185" s="48" t="str">
        <f>CG130</f>
        <v>C) Trattamento di fine rapporto di lavoro subordinato</v>
      </c>
      <c r="CH185" s="48">
        <f t="shared" ca="1" si="388"/>
        <v>0</v>
      </c>
      <c r="CM185" s="242" t="str">
        <f t="shared" ca="1" si="305"/>
        <v/>
      </c>
      <c r="CN185" s="243">
        <f t="shared" ca="1" si="306"/>
        <v>0</v>
      </c>
      <c r="CO185" s="48" t="str">
        <f t="shared" ca="1" si="307"/>
        <v/>
      </c>
      <c r="CQ185" s="242"/>
      <c r="CR185" s="242"/>
      <c r="CU185" s="48">
        <f ca="1">IF(SUMIFS(AVERE,DEN_G,AC185,AVERE,"&gt;"&amp;0)+SUMIFS(DARE,DEN_G,AC185,DARE,"&gt;"&amp;0)&gt;0,MAX($CU$2:CU184)+1,0)</f>
        <v>0</v>
      </c>
      <c r="CV185" s="48" t="str">
        <f ca="1">IF(IFERROR(INDEX(PDC,MATCH(ROWS($CV$3:CV185),$CU$3:$CU$400,0),2),"")="CONTO DI RISULTATO ECONOMICO","",IFERROR(INDEX(PDC,MATCH(ROWS($CV$3:CV185),$CU$3:$CU$400,0),2),""))</f>
        <v/>
      </c>
      <c r="CW185" s="48">
        <f ca="1">IFERROR(IF(CV185&lt;&gt;"",MAX($CW$2:CW184)+1,0),0)</f>
        <v>0</v>
      </c>
      <c r="CX185" s="48">
        <f ca="1">$FF$17</f>
        <v>15</v>
      </c>
      <c r="CY185" s="48" t="str">
        <f t="shared" ref="CY185:CY196" ca="1" si="404">IF(ISERROR(INDEX($CV$3:$CX$1302,MATCH(CX185,$CW$3:$CW$1302,0),1)),"MASTRO",INDEX($CV$3:$CX$1302,MATCH(CX185,$CW$3:$CW$1302,0),1))</f>
        <v>MASTRO</v>
      </c>
      <c r="DA185" s="48" t="str">
        <f>IF(CY184="MASTRO","Conto n.","")</f>
        <v>Conto n.</v>
      </c>
      <c r="DB185" s="48" t="str">
        <f ca="1">IF(CY185=0,"",INDEX(PDC,MATCH(DC185,DEN_PDC,0),1))</f>
        <v/>
      </c>
      <c r="DC185" s="48" t="str">
        <f ca="1">IF(OR(CY185=0,CY185="mastro"),"",CY185)</f>
        <v/>
      </c>
      <c r="DD185" s="48" t="str">
        <f ca="1">IF(AND($DA$2=TRUE,OR(INDEX(PDC,MATCH($DC185,DEN_PDC,0),4)="A",INDEX(PDC,MATCH($DC185,DEN_PDC,0),4)="D/A"),SUMIFS(AVERE,DEN_G,"="&amp;$DC185,DATA,"&lt;="&amp;FINE_AC,DATA,"&gt;="&amp;INIZIO_AC)&gt;SUMIFS(DARE,DEN_G,"="&amp;$DC185,DATA,"&lt;="&amp;FINE_AC,DATA,"&gt;="&amp;INIZIO_AC)),CONCATENATE("s ",FIXED(ABS(SUMIFS(AVERE,DEN_G,"="&amp;$DC185,DATA,"&lt;="&amp;FINE_AC,DATA,"&gt;="&amp;INIZIO_AC)-SUMIFS(DARE,DEN_G,"="&amp;$DC185,DATA,"&lt;="&amp;FINE_AC,DATA,"&gt;="&amp;INIZIO_AC)),2)),"")</f>
        <v/>
      </c>
      <c r="DE185" s="48" t="str">
        <f ca="1">IF(AND($DA$2=TRUE,OR(INDEX(PDC,MATCH($DC185,DEN_PDC,0),4)="D",INDEX(PDC,MATCH($DC185,DEN_PDC,0),4)="D/A"),SUMIFS(DARE,DEN_G,"="&amp;$DC185,DATA,"&lt;="&amp;FINE_AC,DATA,"&gt;="&amp;INIZIO_AC)&gt;SUMIFS(AVERE,DEN_G,"="&amp;$DC185,DATA,"&lt;="&amp;FINE_AC,DATA,"&gt;="&amp;INIZIO_AC)),CONCATENATE("s ",FIXED(ABS(SUMIFS(DARE,DEN_G,"="&amp;$DC185,DATA,"&lt;="&amp;FINE_AC,DATA,"&gt;="&amp;INIZIO_AC)-SUMIFS(AVERE,DEN_G,"="&amp;$DC185,DATA,"&lt;="&amp;FINE_AC,DATA,"&gt;="&amp;INIZIO_AC)),2)),"")</f>
        <v/>
      </c>
      <c r="DF185" s="48">
        <f ca="1">IF(AND(CX185=$DF$1,CX185&lt;&gt;""),0,IF(AND(DB185&lt;&gt;"",OR(DB184&lt;&gt;"",DB186&lt;&gt;"")),MAX($DF$2:DF184)+1,0))</f>
        <v>0</v>
      </c>
      <c r="DH185" s="244" t="s">
        <v>144</v>
      </c>
      <c r="DI185" s="48" t="s">
        <v>138</v>
      </c>
      <c r="DJ185" s="48" t="s">
        <v>312</v>
      </c>
      <c r="DK185" s="48" t="s">
        <v>298</v>
      </c>
      <c r="DL185" s="48" t="s">
        <v>5</v>
      </c>
      <c r="DM185" s="48" t="s">
        <v>299</v>
      </c>
      <c r="DN185" s="48">
        <f ca="1">IF(DI185&lt;&gt;"",MAX($DN$2:DN184)+1,0)</f>
        <v>155</v>
      </c>
      <c r="DO185" s="48" t="str">
        <f t="shared" ca="1" si="403"/>
        <v>ppd</v>
      </c>
      <c r="DQ185" s="227" t="s">
        <v>286</v>
      </c>
      <c r="DR185" s="48" t="str">
        <f ca="1">IF($DR$1=0,"SOCIO … C/UTILI","")</f>
        <v>SOCIO … C/UTILI</v>
      </c>
      <c r="DS185" s="48" t="s">
        <v>312</v>
      </c>
      <c r="DT185" s="48" t="s">
        <v>298</v>
      </c>
      <c r="DU185" s="48" t="s">
        <v>5</v>
      </c>
      <c r="DV185" s="48" t="s">
        <v>299</v>
      </c>
      <c r="DW185" s="48">
        <f ca="1">IF(DR185&lt;&gt;"",MAX($DW$2:DW184)+1,0)</f>
        <v>117</v>
      </c>
      <c r="DX185" s="48" t="str">
        <f t="shared" ca="1" si="401"/>
        <v>ppd</v>
      </c>
      <c r="DY185" s="48" t="str">
        <f t="shared" ca="1" si="291"/>
        <v/>
      </c>
      <c r="DZ185" s="48" t="str">
        <f t="shared" ca="1" si="309"/>
        <v/>
      </c>
      <c r="EA185" s="48" t="str">
        <f t="shared" ca="1" si="310"/>
        <v/>
      </c>
      <c r="EB185" s="48">
        <f t="shared" ca="1" si="311"/>
        <v>0</v>
      </c>
      <c r="EC185" s="48">
        <f t="shared" ca="1" si="312"/>
        <v>0</v>
      </c>
      <c r="ED185" s="48" t="str">
        <f t="shared" ca="1" si="313"/>
        <v/>
      </c>
      <c r="EE185" s="48">
        <f t="shared" ca="1" si="314"/>
        <v>0</v>
      </c>
      <c r="EF185" s="48" t="str">
        <f t="shared" ca="1" si="315"/>
        <v/>
      </c>
      <c r="EG185" s="48">
        <f t="shared" ca="1" si="316"/>
        <v>0</v>
      </c>
      <c r="EH185" s="48" t="str">
        <f t="shared" ca="1" si="317"/>
        <v/>
      </c>
      <c r="EI185" s="48">
        <f t="shared" ca="1" si="318"/>
        <v>0</v>
      </c>
      <c r="EJ185" s="48" t="str">
        <f t="shared" ca="1" si="319"/>
        <v/>
      </c>
      <c r="EK185" s="48">
        <f t="shared" ca="1" si="320"/>
        <v>0</v>
      </c>
      <c r="EL185" s="48">
        <f t="shared" ca="1" si="292"/>
        <v>0</v>
      </c>
      <c r="EM185" s="48">
        <f ca="1">IF(EL185&gt;=0,0,MAX($EM$2:EM184)+1)</f>
        <v>0</v>
      </c>
      <c r="EN185" s="48" t="str">
        <f t="shared" ca="1" si="321"/>
        <v/>
      </c>
      <c r="EO185" s="48" t="str">
        <f ca="1">IFERROR(INDEX($EM$3:$EN$400,MATCH(ROWS($EO$3:EO185),$EM$3:$EM$400,0),2),"")</f>
        <v/>
      </c>
      <c r="EP185" s="48">
        <f>ROW()</f>
        <v>185</v>
      </c>
      <c r="EQ185" s="48">
        <f t="shared" ca="1" si="293"/>
        <v>0</v>
      </c>
      <c r="ER185" s="48">
        <f ca="1">IF(ISNA(EQ185)=TRUE,MAX($ER$2:ER184)+1,0)</f>
        <v>0</v>
      </c>
      <c r="ES185" s="48" t="str">
        <f t="shared" ca="1" si="322"/>
        <v/>
      </c>
      <c r="ET185" s="48" t="str">
        <f ca="1">IFERROR(INDEX($ER$3:$ES$400,MATCH(ROWS($ET$3:ET185),$ER$3:$ER$400,0),2),"")</f>
        <v/>
      </c>
      <c r="EV185" s="48">
        <f ca="1">IFERROR(INDEX(LIBRO_GIORNALE!$O$11:$P$408,MATCH(ROWS($EV$2:EV184),LIBRO_GIORNALE!$P$11:$P$408,0),1),0)</f>
        <v>0</v>
      </c>
      <c r="EW185" s="48" t="str">
        <f t="shared" ca="1" si="323"/>
        <v>0</v>
      </c>
      <c r="EX185" s="48">
        <f t="shared" ca="1" si="324"/>
        <v>0</v>
      </c>
      <c r="EY185" s="48">
        <f ca="1">IF(EX185&gt;0,MAX($EY$2:EY184)+1,0)</f>
        <v>0</v>
      </c>
      <c r="EZ185" s="48">
        <f ca="1">IFERROR(INDEX($EX$3:$EX$400,MATCH(ROWS($EZ$3:EZ185),$EY$3:$EY$400,0),1),0)</f>
        <v>0</v>
      </c>
      <c r="FA185" s="48">
        <f ca="1">IF(EZ185&gt;0,0,MAX($FA$2:FA184)+1)</f>
        <v>183</v>
      </c>
      <c r="FB185" s="48">
        <f t="shared" ca="1" si="325"/>
        <v>0</v>
      </c>
      <c r="FC185" s="48">
        <f t="shared" ca="1" si="326"/>
        <v>183</v>
      </c>
      <c r="FD185" s="48">
        <f t="shared" ca="1" si="327"/>
        <v>183</v>
      </c>
      <c r="FE185" s="48">
        <f ca="1">IF(FD185=0,0,MAX($FE$2:FE184)+1)</f>
        <v>183</v>
      </c>
      <c r="FF185" s="48">
        <f ca="1">IFERROR(INDEX($FD$3:$FE$400,MATCH(ROWS($FF$3:FF185),$FE$3:$FE$400,0),1),"")</f>
        <v>183</v>
      </c>
      <c r="FG185" s="48">
        <f t="shared" ca="1" si="380"/>
        <v>0</v>
      </c>
      <c r="FH185" s="48">
        <f t="shared" ca="1" si="328"/>
        <v>0</v>
      </c>
      <c r="FI185" s="48">
        <f ca="1">IF(FH185&lt;&gt;0,MAX($FI$2:FI184)+1,0)</f>
        <v>0</v>
      </c>
      <c r="FJ185" s="48" t="str">
        <f ca="1">IFERROR(INDEX($FH$3:$FI$400,MATCH(ROWS($FJ$3:FJ185),$FI$3:$FI$400,0),1),"")</f>
        <v/>
      </c>
      <c r="FK185" s="48">
        <f ca="1">IF(ABS(SUMIFS(DARE,DEN_G,"="&amp;FJ185,DATA,"&lt;="&amp;FINE_AC,DATA,"&gt;="&amp;INIZIO_A_PC)-SUMIFS(AVERE,DEN_G,"="&amp;FJ185,DATA,"&lt;="&amp;FINE_AC,DATA,"&gt;="&amp;INIZIO_A_PC))&gt;0,MAX($FK$2:FK184)+1,0)</f>
        <v>0</v>
      </c>
      <c r="FL185" s="48" t="str">
        <f ca="1">IF(AND(ROW()-2&lt;&gt;1,ROW()-2&lt;=$FK$1),CONCATENATE(" - ",IFERROR(INDEX($FJ$3:$FK$400,MATCH(ROWS($FL$3:FL185),$FK$3:$FK$400,0),1),"")),IFERROR(INDEX($FJ$3:$FK$400,MATCH(ROWS($FL$3:FL185),$FK$3:$FK$400,0),1),""))</f>
        <v/>
      </c>
      <c r="FM185" s="48">
        <f ca="1">IF(OR(B185="IVA ns/credito",B185="IVA NS/DEBITO",B185="IVA C/ACCONTO",B185="IMPOSTE C/ACCONTO",B185="CREDITI PER RITENUTE SUBITE",B185="CREDITI D'IMPOSTA"),MAX($FM$2:FM184)+1,0)</f>
        <v>0</v>
      </c>
      <c r="FN185" s="48" t="str">
        <f t="shared" ca="1" si="329"/>
        <v/>
      </c>
      <c r="FO185" s="48" t="str">
        <f ca="1">IFERROR(INDEX($FM$3:$FN$400,MATCH(ROWS($FO$3:FO185),$FM$3:$FM$400,0),2),"")</f>
        <v/>
      </c>
      <c r="FP185" s="48">
        <f ca="1">IF(ABS(SUMIFS(DARE,DEN_G,"="&amp;FO185,DATA,"&lt;="&amp;FINE_AC,DATA,"&gt;="&amp;INIZIO_A_PC)-SUMIFS(AVERE,DEN_G,"="&amp;FO185,DATA,"&lt;="&amp;FINE_AC,DATA,"&gt;="&amp;INIZIO_A_PC))&gt;0,MAX($FP$2:FP184)+1,0)</f>
        <v>0</v>
      </c>
      <c r="FQ185" s="48" t="str">
        <f ca="1">IF(AND(ROW()-2&lt;&gt;1,ROW()-2&lt;=$FP$1),CONCATENATE(" - ",IFERROR(INDEX($FO$3:$FP$400,MATCH(ROWS($FQ$3:FQ185),$FP$3:$FP$400,0),1),"")),IFERROR(INDEX($FO$3:$FP$400,MATCH(ROWS($FQ$3:FQ185),$FP$3:$FP$400,0),1),""))</f>
        <v/>
      </c>
    </row>
    <row r="186" spans="1:173" x14ac:dyDescent="0.3">
      <c r="A186" s="48" t="str">
        <f ca="1">IFERROR(IF($A$1=2,INDEX($DH$3:$DN$401,MATCH(ROWS(A$3:A186),$DN$3:$DN$401,0),COLUMN()),IF($A$1=1,INDEX($DQ$3:$DW$401,MATCH(ROWS(A$3:A186),$DW$3:$DW$401,0),COLUMN()),"")),"")</f>
        <v>19.22</v>
      </c>
      <c r="B186" s="48" t="str">
        <f ca="1">IFERROR(IF($A$1=2,INDEX($DH$3:$DN$401,MATCH(ROWS(B$3:B186),$DN$3:$DN$401,0),COLUMN()),IF($A$1=1,INDEX($DQ$3:$DW$400,MATCH(ROWS(B$3:B186),$DW$3:$DW$401,0),COLUMN()),"")),"")</f>
        <v>CREDITORI PER FIDEIUSSIONI</v>
      </c>
      <c r="C186" s="48">
        <f ca="1">IFERROR(IF($A$1=2,INDEX($DH$3:$DN$401,MATCH(ROWS(C$3:C186),$DN$3:$DN$401,0),COLUMN()),IF($A$1=1,INDEX($DQ$3:$DW$401,MATCH(ROWS(C$3:C186),$DW$3:$DW$401,0),COLUMN()),"")),"")</f>
        <v>0</v>
      </c>
      <c r="D186" s="48" t="str">
        <f ca="1">IFERROR(IF($A$1=2,INDEX($DH$3:$DN$401,MATCH(ROWS(D$3:D186),$DN$3:$DN$401,0),COLUMN()),IF($A$1=1,INDEX($DQ$3:$DW$401,MATCH(ROWS(D$3:D186),$DW$3:$DW$401,0),COLUMN()),"")),"")</f>
        <v>A</v>
      </c>
      <c r="E186" s="48" t="str">
        <f ca="1">IFERROR(IF($A$1=2,INDEX($DH$3:$DN$401,MATCH(ROWS(E$3:E186),$DN$3:$DN$401,0),COLUMN()),IF($A$1=1,INDEX($DQ$3:$DW$401,MATCH(ROWS(E$3:E186),$DW$3:$DW$401,0),COLUMN()),"")),"")</f>
        <v>CONTI D'ORDINE</v>
      </c>
      <c r="F186" s="48" t="str">
        <f ca="1">IFERROR(IF($A$1=2,INDEX($DH$3:$DN$401,MATCH(ROWS(F$3:F186),$DN$3:$DN$401,0),COLUMN()),IF($A$1=1,INDEX($DQ$3:$DX$401,MATCH(ROWS(F$3:F186),$DW$3:$DW$401,0),COLUMN()),"")),"")</f>
        <v>SP</v>
      </c>
      <c r="G186" s="48" t="str">
        <f t="shared" ca="1" si="294"/>
        <v>SP</v>
      </c>
      <c r="H186" s="48">
        <f ca="1">IFERROR(IF($A$1=2,INDEX($DH$3:$DO$400,MATCH(ROWS(H$3:H186),$DN$3:$DN$400,0),COLUMN()),IF($A$1=1,INDEX($DQ$3:$DX$400,MATCH(ROWS(H$3:H186),$DW$3:$DW$400,0),COLUMN()),"")),"")</f>
        <v>0</v>
      </c>
      <c r="I186" s="48" t="str">
        <f t="shared" ca="1" si="295"/>
        <v/>
      </c>
      <c r="J186" s="48" t="str">
        <f t="shared" ca="1" si="296"/>
        <v/>
      </c>
      <c r="K186" s="48">
        <f t="shared" ca="1" si="297"/>
        <v>0</v>
      </c>
      <c r="L186" s="48">
        <f t="shared" ca="1" si="298"/>
        <v>0</v>
      </c>
      <c r="M186" s="48">
        <f ca="1">IFERROR(IF(IF(MID($A186,3,3)=".00",MID(A186,1,2),"")&lt;&gt;"",MAX($M$2:M185)+1,0),"")</f>
        <v>0</v>
      </c>
      <c r="N186" s="48" t="str">
        <f t="shared" ca="1" si="299"/>
        <v/>
      </c>
      <c r="O186" s="48" t="str">
        <f ca="1">IF(IFERROR(INDEX($N$3:$O$300,MATCH(ROWS($O$3:O186),$M$3:$M$300,0),1),"")&lt;&gt;"",CONCATENATE(INDEX($N$3:$O$300,MATCH(ROWS($O$3:O186),$M$3:$M$300,0),1),".00"),"")</f>
        <v/>
      </c>
      <c r="P186" s="48" t="str">
        <f t="shared" ca="1" si="300"/>
        <v/>
      </c>
      <c r="Q186" s="48">
        <f ca="1">IF(M186&gt;=1,0,MAX($Q$2:Q185)+1)</f>
        <v>165</v>
      </c>
      <c r="U186" s="48" t="str">
        <f ca="1">IFERROR(INDEX(PDC,MATCH(ROWS(U$3:U186),$V$3:$V$400,0),2),"")</f>
        <v>RIVALUTAZIONE TERRENI E FABBRICATI</v>
      </c>
      <c r="V186" s="48">
        <f ca="1">IF(AND($T$1="VISUALIZZA TUTTI I CONTI",AA186&lt;&gt;""),MAX($V$2:V185)+1,IF(AND($U$2=2,AI186=$T$1),MAX($V$2:V185)+1,IF(AND($U$2=1,$T$1=AF186),MAX($V$2:V185)+1,0)))</f>
        <v>184</v>
      </c>
      <c r="AA186" s="48" t="str">
        <f t="shared" ca="1" si="301"/>
        <v>20.00</v>
      </c>
      <c r="AB186" s="48" t="str">
        <f ca="1">IFERROR(INDEX($A$3:$G$400,MATCH(ROWS(AB$3:AB186),$Q$3:$Q$400,0),1),"")</f>
        <v>20.46</v>
      </c>
      <c r="AC186" s="48" t="str">
        <f ca="1">IFERROR(INDEX($A$3:$G$400,MATCH(ROWS($AC$3:AC186),$Q$3:$Q$400,0),2),"")</f>
        <v>RIVALUTAZIONE TERRENI E FABBRICATI</v>
      </c>
      <c r="AD186" s="48" t="str">
        <f ca="1">IFERROR(INDEX($A$3:$G$400,MATCH(ROWS(AD$3:AD186),$Q$3:$Q$400,0),3),"")</f>
        <v>E</v>
      </c>
      <c r="AE186" s="48" t="str">
        <f ca="1">IFERROR(INDEX($A$3:$G$400,MATCH(ROWS(AE$3:AE186),$Q$3:$Q$400,0),4),"")</f>
        <v>A</v>
      </c>
      <c r="AF186" s="48" t="str">
        <f ca="1">IFERROR(INDEX($A$3:$G$400,MATCH(ROWS(AF$3:AF186),$Q$3:$Q$400,0),5),"")</f>
        <v>RICAVI D'ESERCIZIO</v>
      </c>
      <c r="AG186" s="48" t="str">
        <f ca="1">IFERROR(INDEX($A$3:$G$400,MATCH(ROWS(AG$3:AG186),$Q$3:$Q$400,0),6),"")</f>
        <v>SE AVERE</v>
      </c>
      <c r="AH186" s="48" t="str">
        <f ca="1">IFERROR(INDEX($A$3:$G$400,MATCH(ROWS(AH$3:AH186),$Q$3:$Q$400,0),7),"")</f>
        <v>SE</v>
      </c>
      <c r="AI186" s="48" t="str">
        <f t="shared" ca="1" si="302"/>
        <v>VALORE DELLA PRODUZIONE</v>
      </c>
      <c r="AJ186" s="48" t="str">
        <f ca="1">IFERROR(INDEX($A$3:$H$400,MATCH(ROWS(AJ$3:AJ186),$Q$3:$Q$400,0),8),"")</f>
        <v>ea5</v>
      </c>
      <c r="AK186" s="48">
        <f t="shared" ca="1" si="277"/>
        <v>0</v>
      </c>
      <c r="AL186" s="48">
        <f t="shared" ca="1" si="373"/>
        <v>0</v>
      </c>
      <c r="AM186" s="48">
        <f t="shared" ca="1" si="377"/>
        <v>0</v>
      </c>
      <c r="AN186" s="48">
        <f t="shared" ca="1" si="378"/>
        <v>0</v>
      </c>
      <c r="AO186" s="48">
        <f t="shared" ca="1" si="379"/>
        <v>0</v>
      </c>
      <c r="AP186" s="48">
        <f t="shared" ca="1" si="379"/>
        <v>0</v>
      </c>
      <c r="AQ186" s="48" t="str">
        <f t="shared" ca="1" si="278"/>
        <v/>
      </c>
      <c r="AR186" s="48">
        <f t="shared" ca="1" si="279"/>
        <v>0</v>
      </c>
      <c r="AS186" s="48">
        <f t="shared" ca="1" si="280"/>
        <v>0</v>
      </c>
      <c r="AT186" s="48">
        <f t="shared" ca="1" si="303"/>
        <v>0</v>
      </c>
      <c r="AU186" s="48">
        <f t="shared" ca="1" si="304"/>
        <v>0</v>
      </c>
      <c r="AV186" s="48">
        <f ca="1">IF(OR(AT186&gt;0,AU186&gt;0),MAX($AV$2:AV185)+1,0)</f>
        <v>0</v>
      </c>
      <c r="AZ186" s="241" t="str">
        <f t="shared" si="381"/>
        <v>86 V.I.</v>
      </c>
      <c r="BA186" s="48">
        <f t="shared" ca="1" si="369"/>
        <v>0</v>
      </c>
      <c r="BB186" s="48">
        <f t="shared" ca="1" si="370"/>
        <v>0</v>
      </c>
      <c r="BC186" s="48" t="str">
        <f t="shared" ca="1" si="382"/>
        <v/>
      </c>
      <c r="BD186" s="48">
        <f t="shared" ca="1" si="383"/>
        <v>0</v>
      </c>
      <c r="BE186" s="48">
        <f t="shared" ca="1" si="384"/>
        <v>0</v>
      </c>
      <c r="BG186" s="48">
        <f ca="1">IF(IF(AND(OR(INDEX(PDC,MATCH($AC186,DEN_PDC,0),6)="SP DARE",INDEX(PDC,MATCH($AC186,DEN_PDC,0),6)="SP DARE/AVERE"),SUMIFS(DARE,DEN_G,$AC186)&gt;=SUMIFS(AVERE,DEN_G,$AC186)),SUMIFS(DARE,DEN_G,$AC186)-SUMIFS(AVERE,DEN_G,$AC186),0)&gt;0,MAX($BG$2:BG185)+1,0)</f>
        <v>0</v>
      </c>
      <c r="BH186" s="48">
        <f ca="1">IF(IF(AND(OR(INDEX(PDC,MATCH($AC186,DEN_PDC,0),6)="SP AVERE",INDEX(PDC,MATCH($AC186,DEN_PDC,0),6)="SP DARE/AVERE"),SUMIFS(AVERE,DEN_G,$AC186)&gt;=SUMIFS(DARE,DEN_G,$AC186)),SUMIFS(AVERE,DEN_G,$AC186)-SUMIFS(DARE,DEN_G,$AC186),0)&gt;0,MAX(BH$2:BH185)+1,0)</f>
        <v>0</v>
      </c>
      <c r="BI186" s="48">
        <f ca="1">IF(IF(AND(OR(INDEX(PDC,MATCH($AC186,DEN_PDC,0),6)="SE DARE",INDEX(PDC,MATCH($AC186,DEN_PDC,0),6)="SE DARE/AVERE"),SUMIFS(DARE,DEN_G,$AC186)&gt;=SUMIFS(AVERE,DEN_G,$AC186)),SUMIFS(DARE,DEN_G,$AC186)-SUMIFS(AVERE,DEN_G,$AC186),0)&gt;0,MAX(BI$2:BI185)+1,0)</f>
        <v>0</v>
      </c>
      <c r="BJ186" s="48">
        <f ca="1">IF(IF(AND(OR(INDEX(PDC,MATCH($AC186,DEN_PDC,0),6)="SE AVERE",INDEX(PDC,MATCH($AC186,DEN_PDC,0),6)="SE DARE/AVERE"),SUMIFS(AVERE,DEN_G,$AC186)&gt;=SUMIFS(DARE,DEN_G,$AC186)),SUMIFS(AVERE,DEN_G,$AC186)-SUMIFS(DARE,DEN_G,$AC186),0)&gt;0,MAX(BJ$2:BJ185)+1,0)</f>
        <v>0</v>
      </c>
      <c r="BK186" s="48" t="str">
        <f ca="1">IF(AND(AND($DY$2=0,$DY$1=0),$I$1=2,ROW()&gt;$BG$1+2,ROW()&lt;=$BG$1+4),"………………..",IF(AND(OR($DY$2&gt;0,$DY$1&gt;0),$I$1=2,ROW()&gt;$BG$1+2,ROW()&lt;=$BG$1+4),"………………..",IFERROR(INDEX($AC$3:$AC$398,MATCH(ROWS(BK$3:BK186),BG$3:BG$398,0),1),"")))</f>
        <v/>
      </c>
      <c r="BL186" s="48">
        <f t="shared" ca="1" si="281"/>
        <v>0</v>
      </c>
      <c r="BM186" s="48" t="str">
        <f ca="1">IF(AND(OR($DY$2=0,$DY$1=0),$I$1=2,ROW()&gt;$BH$1+2,ROW()&lt;=$BH$1+4),"………………..",IF(AND(OR($DY$2&gt;0,$DY$1&gt;0),$I$1=2,ROW()&gt;$BH$1+2,ROW()&lt;=$BH$1+4),"………………..",IFERROR(INDEX($AC$3:$AC$400,MATCH(ROWS(BM$3:BM186),BH$3:BH$400,0),1),"")))</f>
        <v/>
      </c>
      <c r="BN186" s="48">
        <f t="shared" ca="1" si="282"/>
        <v>0</v>
      </c>
      <c r="BO186" s="48" t="str">
        <f ca="1">IF(AND(OR($DY$2=0,$DY$1=0),$I$1=2,ROW()&gt;$BI$1+2,ROW()&lt;=$BI$1+4),"………………..",IF(AND(OR($DY$2&gt;0,$DY$1&gt;0),$I$1=2,ROW()&gt;$BI$1+2,ROW()&lt;=$BI$1+4),"………………..",IFERROR(INDEX($AC$3:$AC$400,MATCH(ROWS(BO$3:BO186),BI$3:BI$400,0),1),"")))</f>
        <v/>
      </c>
      <c r="BP186" s="48">
        <f t="shared" ca="1" si="283"/>
        <v>0</v>
      </c>
      <c r="BQ186" s="48" t="str">
        <f ca="1">IF(AND(OR($DY$2=0,$DY$1=0),$I$1=2,ROW()&gt;$BJ$1+2,ROW()&lt;=$BJ$1+4),"………………..",IF(AND(OR($DY$2&gt;0,$DY$1&gt;0),$I$1=2,ROW()&gt;$BJ$1+2,ROW()&lt;=$BJ$1+4),"………………..",IFERROR(INDEX($AC$3:$AC$400,MATCH(ROWS(BQ$3:BQ186),BJ$3:BJ$400,0),1),"")))</f>
        <v/>
      </c>
      <c r="BR186" s="48">
        <f t="shared" ca="1" si="284"/>
        <v>0</v>
      </c>
      <c r="BS186" s="48">
        <f ca="1">IF(IF(AND(OR(INDEX(PDC,MATCH($AC186,DEN_PDC,0),4)="D",INDEX(PDC,MATCH($AC186,DEN_PDC,0),4)="D/A"),SUMIFS(DARE,DEN_G,$AC186)&gt;=SUMIFS(AVERE,DEN_G,$AC186)),SUMIFS(DARE,DEN_G,$AC186),IF(AND(OR(INDEX(PDC,MATCH($AC186,DEN_PDC,0),4)="A",INDEX(PDC,MATCH($AC186,DEN_PDC,0),4)="D/A"),SUMIFS(AVERE,DEN_G,$AC186)&gt;=SUMIFS(DARE,DEN_G,$AC186)),SUMIFS(AVERE,DEN_G,$AC186),))&gt;0,MAX($BS$2:BS185)+1,0)</f>
        <v>0</v>
      </c>
      <c r="BT186" s="48" t="str">
        <f ca="1">IF($CO$1=0,"",IF(AND($I$1=2,ROW()&gt;$BR$1,ROW()&lt;=$BS$1)," …………….",IF(AND($E$1=1,$BX$1=1,$I$1=2,ROW()=$BQ$1),"TOTALI",IFERROR(INDEX(PDC,MATCH(ROWS(BT$3:BT186),BS$3:BS583,0),2),""))))</f>
        <v/>
      </c>
      <c r="BU186" s="48">
        <f t="shared" ca="1" si="285"/>
        <v>0</v>
      </c>
      <c r="BV186" s="48">
        <f t="shared" ca="1" si="286"/>
        <v>0</v>
      </c>
      <c r="BW186" s="48">
        <f t="shared" ca="1" si="287"/>
        <v>0</v>
      </c>
      <c r="BX186" s="48">
        <f t="shared" ca="1" si="288"/>
        <v>0</v>
      </c>
      <c r="BY186" s="48">
        <f ca="1">IF(OR(BW186&gt;0,BX186&gt;0),MAX($BY$2:BY185)+1,0)</f>
        <v>0</v>
      </c>
      <c r="BZ186" s="48" t="str">
        <f ca="1">IFERROR(INDEX($BT$3:$BY$400,MATCH(ROWS(BZ$3:BZ186),$BY$3:$BY$400,0),1),"")</f>
        <v/>
      </c>
      <c r="CA186" s="48" t="str">
        <f ca="1">IFERROR(INDEX($BT$3:$BY$400,MATCH(ROWS(CA$3:CA186),$BY$3:$BY$400,0),4),"")</f>
        <v/>
      </c>
      <c r="CB186" s="48" t="str">
        <f ca="1">IFERROR(INDEX($BT$3:$BY$400,MATCH(ROWS(CB$3:CB186),$BY$3:$BY$400,0),5),"")</f>
        <v/>
      </c>
      <c r="CC186" s="48" t="str">
        <f t="shared" ca="1" si="289"/>
        <v/>
      </c>
      <c r="CD186" s="48">
        <f ca="1">IF(AND($BF$9=2,CE186&gt;0),MAX($CD$165:CD185)+1,0)</f>
        <v>0</v>
      </c>
      <c r="CE186" s="48">
        <f ca="1">IF(ROUND(SUMIFS(COPIA!$CB$3:$CB$400,COPIA!$CC$3:$CC$400,CF186)-SUMIFS(COPIA!$CA$3:$CA$400,COPIA!$CC$3:$CC$400,CF186),0)&lt;0,0,ROUND(SUMIFS(COPIA!$CB$3:$CB$400,COPIA!$CC$3:$CC$400,CF186)-SUMIFS(COPIA!$CA$3:$CA$400,COPIA!$CC$3:$CC$400,CF186),0))</f>
        <v>0</v>
      </c>
      <c r="CF186" s="48" t="s">
        <v>662</v>
      </c>
      <c r="CG186" s="48" t="str">
        <f>CG131</f>
        <v>D) Debiti</v>
      </c>
      <c r="CH186" s="48">
        <f t="shared" ca="1" si="388"/>
        <v>0</v>
      </c>
      <c r="CJ186" s="48">
        <f ca="1">CE186</f>
        <v>0</v>
      </c>
      <c r="CK186" s="48">
        <f ca="1">IF($CG$2=FALSE,0,IF(AND(OR($BF$9=2,$BF$9=3),CJ186&lt;&gt;0),MAX($CK$21:CK185)+1,0))</f>
        <v>0</v>
      </c>
      <c r="CL186" s="48" t="s">
        <v>809</v>
      </c>
      <c r="CM186" s="242" t="str">
        <f t="shared" ca="1" si="305"/>
        <v/>
      </c>
      <c r="CN186" s="243">
        <f t="shared" ca="1" si="306"/>
        <v>0</v>
      </c>
      <c r="CO186" s="48" t="str">
        <f t="shared" ca="1" si="307"/>
        <v/>
      </c>
      <c r="CQ186" s="242"/>
      <c r="CR186" s="242"/>
      <c r="CU186" s="48">
        <f ca="1">IF(SUMIFS(AVERE,DEN_G,AC186,AVERE,"&gt;"&amp;0)+SUMIFS(DARE,DEN_G,AC186,DARE,"&gt;"&amp;0)&gt;0,MAX($CU$2:CU185)+1,0)</f>
        <v>0</v>
      </c>
      <c r="CV186" s="48" t="str">
        <f ca="1">IF(IFERROR(INDEX(PDC,MATCH(ROWS($CV$3:CV186),$CU$3:$CU$400,0),2),"")="CONTO DI RISULTATO ECONOMICO","",IFERROR(INDEX(PDC,MATCH(ROWS($CV$3:CV186),$CU$3:$CU$400,0),2),""))</f>
        <v/>
      </c>
      <c r="CW186" s="48">
        <f ca="1">IFERROR(IF(CV186&lt;&gt;"",MAX($CW$2:CW185)+1,0),0)</f>
        <v>0</v>
      </c>
      <c r="CX186" s="48">
        <f t="shared" ref="CX186:CX196" ca="1" si="405">$FF$17</f>
        <v>15</v>
      </c>
      <c r="CY186" s="48" t="str">
        <f t="shared" ca="1" si="404"/>
        <v>MASTRO</v>
      </c>
      <c r="DA186" s="48" t="str">
        <f ca="1">IF(DB185="","","Num. riga")</f>
        <v/>
      </c>
      <c r="DB186" s="48" t="str">
        <f t="shared" ref="DB186" ca="1" si="406">IF(DB185="","","Data")</f>
        <v/>
      </c>
      <c r="DC186" s="48" t="str">
        <f ca="1">IF(DB185="","","Operazioni")</f>
        <v/>
      </c>
      <c r="DD186" s="48" t="str">
        <f ca="1">IF(DB185="","","Dare        ")</f>
        <v/>
      </c>
      <c r="DE186" s="48" t="str">
        <f ca="1">IF(DB185="","","Avere        ")</f>
        <v/>
      </c>
      <c r="DF186" s="48">
        <f ca="1">IF(AND(CX186=$DF$1,CX186&lt;&gt;""),0,IF(AND(DB186&lt;&gt;"",OR(DB185&lt;&gt;"",DB187&lt;&gt;"")),MAX($DF$2:DF185)+1,0))</f>
        <v>0</v>
      </c>
      <c r="DH186" s="244" t="s">
        <v>145</v>
      </c>
      <c r="DI186" s="48" t="s">
        <v>139</v>
      </c>
      <c r="DJ186" s="48" t="s">
        <v>312</v>
      </c>
      <c r="DK186" s="48" t="s">
        <v>298</v>
      </c>
      <c r="DL186" s="48" t="s">
        <v>5</v>
      </c>
      <c r="DM186" s="48" t="s">
        <v>299</v>
      </c>
      <c r="DN186" s="48">
        <f ca="1">IF(DI186&lt;&gt;"",MAX($DN$2:DN185)+1,0)</f>
        <v>156</v>
      </c>
      <c r="DO186" s="48" t="str">
        <f t="shared" ca="1" si="403"/>
        <v>ppd</v>
      </c>
      <c r="DP186" s="48">
        <f ca="1">DP5</f>
        <v>0</v>
      </c>
      <c r="DQ186" s="227" t="s">
        <v>286</v>
      </c>
      <c r="DR186" s="48" t="str">
        <f ca="1">IFERROR(IF(DP186&lt;&gt;0,CONCATENATE("SOCIO ",DP186," C/UTILI"),""),"")</f>
        <v/>
      </c>
      <c r="DS186" s="48" t="s">
        <v>312</v>
      </c>
      <c r="DT186" s="48" t="s">
        <v>298</v>
      </c>
      <c r="DU186" s="48" t="s">
        <v>5</v>
      </c>
      <c r="DV186" s="48" t="s">
        <v>299</v>
      </c>
      <c r="DW186" s="48">
        <f ca="1">IF(DR186&lt;&gt;"",MAX($DW$2:DW185)+1,0)</f>
        <v>0</v>
      </c>
      <c r="DX186" s="48" t="str">
        <f t="shared" ca="1" si="401"/>
        <v>ppd</v>
      </c>
      <c r="DY186" s="48" t="str">
        <f t="shared" ca="1" si="291"/>
        <v/>
      </c>
      <c r="DZ186" s="48" t="str">
        <f t="shared" ca="1" si="309"/>
        <v/>
      </c>
      <c r="EA186" s="48" t="str">
        <f t="shared" ca="1" si="310"/>
        <v/>
      </c>
      <c r="EB186" s="48">
        <f t="shared" ca="1" si="311"/>
        <v>0</v>
      </c>
      <c r="EC186" s="48">
        <f t="shared" ca="1" si="312"/>
        <v>0</v>
      </c>
      <c r="ED186" s="48" t="str">
        <f t="shared" ca="1" si="313"/>
        <v/>
      </c>
      <c r="EE186" s="48">
        <f t="shared" ca="1" si="314"/>
        <v>0</v>
      </c>
      <c r="EF186" s="48" t="str">
        <f t="shared" ca="1" si="315"/>
        <v/>
      </c>
      <c r="EG186" s="48">
        <f t="shared" ca="1" si="316"/>
        <v>0</v>
      </c>
      <c r="EH186" s="48" t="str">
        <f t="shared" ca="1" si="317"/>
        <v/>
      </c>
      <c r="EI186" s="48">
        <f t="shared" ca="1" si="318"/>
        <v>0</v>
      </c>
      <c r="EJ186" s="48" t="str">
        <f t="shared" ca="1" si="319"/>
        <v/>
      </c>
      <c r="EK186" s="48">
        <f t="shared" ca="1" si="320"/>
        <v>0</v>
      </c>
      <c r="EL186" s="48">
        <f t="shared" ca="1" si="292"/>
        <v>0</v>
      </c>
      <c r="EM186" s="48">
        <f ca="1">IF(EL186&gt;=0,0,MAX($EM$2:EM185)+1)</f>
        <v>0</v>
      </c>
      <c r="EN186" s="48" t="str">
        <f t="shared" ca="1" si="321"/>
        <v/>
      </c>
      <c r="EO186" s="48" t="str">
        <f ca="1">IFERROR(INDEX($EM$3:$EN$400,MATCH(ROWS($EO$3:EO186),$EM$3:$EM$400,0),2),"")</f>
        <v/>
      </c>
      <c r="EP186" s="48">
        <f>ROW()</f>
        <v>186</v>
      </c>
      <c r="EQ186" s="48">
        <f t="shared" ca="1" si="293"/>
        <v>0</v>
      </c>
      <c r="ER186" s="48">
        <f ca="1">IF(ISNA(EQ186)=TRUE,MAX($ER$2:ER185)+1,0)</f>
        <v>0</v>
      </c>
      <c r="ES186" s="48" t="str">
        <f t="shared" ca="1" si="322"/>
        <v/>
      </c>
      <c r="ET186" s="48" t="str">
        <f ca="1">IFERROR(INDEX($ER$3:$ES$400,MATCH(ROWS($ET$3:ET186),$ER$3:$ER$400,0),2),"")</f>
        <v/>
      </c>
      <c r="EV186" s="48">
        <f ca="1">IFERROR(INDEX(LIBRO_GIORNALE!$O$11:$P$408,MATCH(ROWS($EV$2:EV185),LIBRO_GIORNALE!$P$11:$P$408,0),1),0)</f>
        <v>0</v>
      </c>
      <c r="EW186" s="48" t="str">
        <f t="shared" ca="1" si="323"/>
        <v>0</v>
      </c>
      <c r="EX186" s="48">
        <f t="shared" ca="1" si="324"/>
        <v>0</v>
      </c>
      <c r="EY186" s="48">
        <f ca="1">IF(EX186&gt;0,MAX($EY$2:EY185)+1,0)</f>
        <v>0</v>
      </c>
      <c r="EZ186" s="48">
        <f ca="1">IFERROR(INDEX($EX$3:$EX$400,MATCH(ROWS($EZ$3:EZ186),$EY$3:$EY$400,0),1),0)</f>
        <v>0</v>
      </c>
      <c r="FA186" s="48">
        <f ca="1">IF(EZ186&gt;0,0,MAX($FA$2:FA185)+1)</f>
        <v>184</v>
      </c>
      <c r="FB186" s="48">
        <f t="shared" ca="1" si="325"/>
        <v>0</v>
      </c>
      <c r="FC186" s="48">
        <f t="shared" ca="1" si="326"/>
        <v>184</v>
      </c>
      <c r="FD186" s="48">
        <f t="shared" ca="1" si="327"/>
        <v>184</v>
      </c>
      <c r="FE186" s="48">
        <f ca="1">IF(FD186=0,0,MAX($FE$2:FE185)+1)</f>
        <v>184</v>
      </c>
      <c r="FF186" s="48">
        <f ca="1">IFERROR(INDEX($FD$3:$FE$400,MATCH(ROWS($FF$3:FF186),$FE$3:$FE$400,0),1),"")</f>
        <v>184</v>
      </c>
      <c r="FG186" s="48">
        <f t="shared" ca="1" si="380"/>
        <v>0</v>
      </c>
      <c r="FH186" s="48">
        <f t="shared" ca="1" si="328"/>
        <v>0</v>
      </c>
      <c r="FI186" s="48">
        <f ca="1">IF(FH186&lt;&gt;0,MAX($FI$2:FI185)+1,0)</f>
        <v>0</v>
      </c>
      <c r="FJ186" s="48" t="str">
        <f ca="1">IFERROR(INDEX($FH$3:$FI$400,MATCH(ROWS($FJ$3:FJ186),$FI$3:$FI$400,0),1),"")</f>
        <v/>
      </c>
      <c r="FK186" s="48">
        <f ca="1">IF(ABS(SUMIFS(DARE,DEN_G,"="&amp;FJ186,DATA,"&lt;="&amp;FINE_AC,DATA,"&gt;="&amp;INIZIO_A_PC)-SUMIFS(AVERE,DEN_G,"="&amp;FJ186,DATA,"&lt;="&amp;FINE_AC,DATA,"&gt;="&amp;INIZIO_A_PC))&gt;0,MAX($FK$2:FK185)+1,0)</f>
        <v>0</v>
      </c>
      <c r="FL186" s="48" t="str">
        <f ca="1">IF(AND(ROW()-2&lt;&gt;1,ROW()-2&lt;=$FK$1),CONCATENATE(" - ",IFERROR(INDEX($FJ$3:$FK$400,MATCH(ROWS($FL$3:FL186),$FK$3:$FK$400,0),1),"")),IFERROR(INDEX($FJ$3:$FK$400,MATCH(ROWS($FL$3:FL186),$FK$3:$FK$400,0),1),""))</f>
        <v/>
      </c>
      <c r="FM186" s="48">
        <f ca="1">IF(OR(B186="IVA ns/credito",B186="IVA NS/DEBITO",B186="IVA C/ACCONTO",B186="IMPOSTE C/ACCONTO",B186="CREDITI PER RITENUTE SUBITE",B186="CREDITI D'IMPOSTA"),MAX($FM$2:FM185)+1,0)</f>
        <v>0</v>
      </c>
      <c r="FN186" s="48" t="str">
        <f t="shared" ca="1" si="329"/>
        <v/>
      </c>
      <c r="FO186" s="48" t="str">
        <f ca="1">IFERROR(INDEX($FM$3:$FN$400,MATCH(ROWS($FO$3:FO186),$FM$3:$FM$400,0),2),"")</f>
        <v/>
      </c>
      <c r="FP186" s="48">
        <f ca="1">IF(ABS(SUMIFS(DARE,DEN_G,"="&amp;FO186,DATA,"&lt;="&amp;FINE_AC,DATA,"&gt;="&amp;INIZIO_A_PC)-SUMIFS(AVERE,DEN_G,"="&amp;FO186,DATA,"&lt;="&amp;FINE_AC,DATA,"&gt;="&amp;INIZIO_A_PC))&gt;0,MAX($FP$2:FP185)+1,0)</f>
        <v>0</v>
      </c>
      <c r="FQ186" s="48" t="str">
        <f ca="1">IF(AND(ROW()-2&lt;&gt;1,ROW()-2&lt;=$FP$1),CONCATENATE(" - ",IFERROR(INDEX($FO$3:$FP$400,MATCH(ROWS($FQ$3:FQ186),$FP$3:$FP$400,0),1),"")),IFERROR(INDEX($FO$3:$FP$400,MATCH(ROWS($FQ$3:FQ186),$FP$3:$FP$400,0),1),""))</f>
        <v/>
      </c>
    </row>
    <row r="187" spans="1:173" x14ac:dyDescent="0.3">
      <c r="A187" s="48" t="str">
        <f ca="1">IFERROR(IF($A$1=2,INDEX($DH$3:$DN$401,MATCH(ROWS(A$3:A187),$DN$3:$DN$401,0),COLUMN()),IF($A$1=1,INDEX($DQ$3:$DW$401,MATCH(ROWS(A$3:A187),$DW$3:$DW$401,0),COLUMN()),"")),"")</f>
        <v>20.00</v>
      </c>
      <c r="B187" s="48" t="str">
        <f ca="1">IFERROR(IF($A$1=2,INDEX($DH$3:$DN$401,MATCH(ROWS(B$3:B187),$DN$3:$DN$401,0),COLUMN()),IF($A$1=1,INDEX($DQ$3:$DW$400,MATCH(ROWS(B$3:B187),$DW$3:$DW$401,0),COLUMN()),"")),"")</f>
        <v>VALORE DELLA PRODUZIONE</v>
      </c>
      <c r="C187" s="48">
        <f ca="1">IFERROR(IF($A$1=2,INDEX($DH$3:$DN$401,MATCH(ROWS(C$3:C187),$DN$3:$DN$401,0),COLUMN()),IF($A$1=1,INDEX($DQ$3:$DW$401,MATCH(ROWS(C$3:C187),$DW$3:$DW$401,0),COLUMN()),"")),"")</f>
        <v>0</v>
      </c>
      <c r="D187" s="48">
        <f ca="1">IFERROR(IF($A$1=2,INDEX($DH$3:$DN$401,MATCH(ROWS(D$3:D187),$DN$3:$DN$401,0),COLUMN()),IF($A$1=1,INDEX($DQ$3:$DW$401,MATCH(ROWS(D$3:D187),$DW$3:$DW$401,0),COLUMN()),"")),"")</f>
        <v>0</v>
      </c>
      <c r="E187" s="48">
        <f ca="1">IFERROR(IF($A$1=2,INDEX($DH$3:$DN$401,MATCH(ROWS(E$3:E187),$DN$3:$DN$401,0),COLUMN()),IF($A$1=1,INDEX($DQ$3:$DW$401,MATCH(ROWS(E$3:E187),$DW$3:$DW$401,0),COLUMN()),"")),"")</f>
        <v>0</v>
      </c>
      <c r="F187" s="48">
        <f ca="1">IFERROR(IF($A$1=2,INDEX($DH$3:$DN$401,MATCH(ROWS(F$3:F187),$DN$3:$DN$401,0),COLUMN()),IF($A$1=1,INDEX($DQ$3:$DX$401,MATCH(ROWS(F$3:F187),$DW$3:$DW$401,0),COLUMN()),"")),"")</f>
        <v>0</v>
      </c>
      <c r="G187" s="48" t="str">
        <f t="shared" ca="1" si="294"/>
        <v>0</v>
      </c>
      <c r="H187" s="48">
        <f ca="1">IFERROR(IF($A$1=2,INDEX($DH$3:$DO$400,MATCH(ROWS(H$3:H187),$DN$3:$DN$400,0),COLUMN()),IF($A$1=1,INDEX($DQ$3:$DX$400,MATCH(ROWS(H$3:H187),$DW$3:$DW$400,0),COLUMN()),"")),"")</f>
        <v>0</v>
      </c>
      <c r="I187" s="48" t="str">
        <f t="shared" ca="1" si="295"/>
        <v/>
      </c>
      <c r="J187" s="48" t="str">
        <f t="shared" ca="1" si="296"/>
        <v/>
      </c>
      <c r="K187" s="48">
        <f t="shared" ca="1" si="297"/>
        <v>0</v>
      </c>
      <c r="L187" s="48">
        <f t="shared" ca="1" si="298"/>
        <v>0</v>
      </c>
      <c r="M187" s="48">
        <f ca="1">IFERROR(IF(IF(MID($A187,3,3)=".00",MID(A187,1,2),"")&lt;&gt;"",MAX($M$2:M186)+1,0),"")</f>
        <v>20</v>
      </c>
      <c r="N187" s="48" t="str">
        <f t="shared" ca="1" si="299"/>
        <v>20</v>
      </c>
      <c r="O187" s="48" t="str">
        <f ca="1">IF(IFERROR(INDEX($N$3:$O$300,MATCH(ROWS($O$3:O187),$M$3:$M$300,0),1),"")&lt;&gt;"",CONCATENATE(INDEX($N$3:$O$300,MATCH(ROWS($O$3:O187),$M$3:$M$300,0),1),".00"),"")</f>
        <v/>
      </c>
      <c r="P187" s="48" t="str">
        <f t="shared" ca="1" si="300"/>
        <v/>
      </c>
      <c r="Q187" s="48">
        <f ca="1">IF(M187&gt;=1,0,MAX($Q$2:Q186)+1)</f>
        <v>0</v>
      </c>
      <c r="U187" s="48" t="str">
        <f ca="1">IFERROR(INDEX(PDC,MATCH(ROWS(U$3:U187),$V$3:$V$400,0),2),"")</f>
        <v>RIVALUTAZIONE IMPIANTI E MACCHINARI</v>
      </c>
      <c r="V187" s="48">
        <f ca="1">IF(AND($T$1="VISUALIZZA TUTTI I CONTI",AA187&lt;&gt;""),MAX($V$2:V186)+1,IF(AND($U$2=2,AI187=$T$1),MAX($V$2:V186)+1,IF(AND($U$2=1,$T$1=AF187),MAX($V$2:V186)+1,0)))</f>
        <v>185</v>
      </c>
      <c r="AA187" s="48" t="str">
        <f t="shared" ca="1" si="301"/>
        <v>20.00</v>
      </c>
      <c r="AB187" s="48" t="str">
        <f ca="1">IFERROR(INDEX($A$3:$G$400,MATCH(ROWS(AB$3:AB187),$Q$3:$Q$400,0),1),"")</f>
        <v>20.47</v>
      </c>
      <c r="AC187" s="48" t="str">
        <f ca="1">IFERROR(INDEX($A$3:$G$400,MATCH(ROWS($AC$3:AC187),$Q$3:$Q$400,0),2),"")</f>
        <v>RIVALUTAZIONE IMPIANTI E MACCHINARI</v>
      </c>
      <c r="AD187" s="48" t="str">
        <f ca="1">IFERROR(INDEX($A$3:$G$400,MATCH(ROWS(AD$3:AD187),$Q$3:$Q$400,0),3),"")</f>
        <v>E</v>
      </c>
      <c r="AE187" s="48" t="str">
        <f ca="1">IFERROR(INDEX($A$3:$G$400,MATCH(ROWS(AE$3:AE187),$Q$3:$Q$400,0),4),"")</f>
        <v>A</v>
      </c>
      <c r="AF187" s="48" t="str">
        <f ca="1">IFERROR(INDEX($A$3:$G$400,MATCH(ROWS(AF$3:AF187),$Q$3:$Q$400,0),5),"")</f>
        <v>RICAVI D'ESERCIZIO</v>
      </c>
      <c r="AG187" s="48" t="str">
        <f ca="1">IFERROR(INDEX($A$3:$G$400,MATCH(ROWS(AG$3:AG187),$Q$3:$Q$400,0),6),"")</f>
        <v>SE AVERE</v>
      </c>
      <c r="AH187" s="48" t="str">
        <f ca="1">IFERROR(INDEX($A$3:$G$400,MATCH(ROWS(AH$3:AH187),$Q$3:$Q$400,0),7),"")</f>
        <v>SE</v>
      </c>
      <c r="AI187" s="48" t="str">
        <f t="shared" ca="1" si="302"/>
        <v>VALORE DELLA PRODUZIONE</v>
      </c>
      <c r="AJ187" s="48" t="str">
        <f ca="1">IFERROR(INDEX($A$3:$H$400,MATCH(ROWS(AJ$3:AJ187),$Q$3:$Q$400,0),8),"")</f>
        <v>ea5</v>
      </c>
      <c r="AK187" s="48">
        <f t="shared" ca="1" si="277"/>
        <v>0</v>
      </c>
      <c r="AL187" s="48">
        <f t="shared" ca="1" si="373"/>
        <v>0</v>
      </c>
      <c r="AM187" s="48">
        <f t="shared" ca="1" si="377"/>
        <v>0</v>
      </c>
      <c r="AN187" s="48">
        <f t="shared" ca="1" si="378"/>
        <v>0</v>
      </c>
      <c r="AO187" s="48">
        <f t="shared" ca="1" si="379"/>
        <v>0</v>
      </c>
      <c r="AP187" s="48">
        <f t="shared" ca="1" si="379"/>
        <v>0</v>
      </c>
      <c r="AQ187" s="48" t="str">
        <f t="shared" ca="1" si="278"/>
        <v/>
      </c>
      <c r="AR187" s="48">
        <f t="shared" ca="1" si="279"/>
        <v>0</v>
      </c>
      <c r="AS187" s="48">
        <f t="shared" ca="1" si="280"/>
        <v>0</v>
      </c>
      <c r="AT187" s="48">
        <f t="shared" ca="1" si="303"/>
        <v>0</v>
      </c>
      <c r="AU187" s="48">
        <f t="shared" ca="1" si="304"/>
        <v>0</v>
      </c>
      <c r="AV187" s="48">
        <f ca="1">IF(OR(AT187&gt;0,AU187&gt;0),MAX($AV$2:AV186)+1,0)</f>
        <v>0</v>
      </c>
      <c r="AZ187" s="241" t="str">
        <f t="shared" si="381"/>
        <v>87 V.I.</v>
      </c>
      <c r="BA187" s="48">
        <f t="shared" ca="1" si="369"/>
        <v>0</v>
      </c>
      <c r="BB187" s="48">
        <f t="shared" ca="1" si="370"/>
        <v>0</v>
      </c>
      <c r="BC187" s="48" t="str">
        <f t="shared" ca="1" si="382"/>
        <v/>
      </c>
      <c r="BD187" s="48">
        <f t="shared" ca="1" si="383"/>
        <v>0</v>
      </c>
      <c r="BE187" s="48">
        <f t="shared" ca="1" si="384"/>
        <v>0</v>
      </c>
      <c r="BG187" s="48">
        <f ca="1">IF(IF(AND(OR(INDEX(PDC,MATCH($AC187,DEN_PDC,0),6)="SP DARE",INDEX(PDC,MATCH($AC187,DEN_PDC,0),6)="SP DARE/AVERE"),SUMIFS(DARE,DEN_G,$AC187)&gt;=SUMIFS(AVERE,DEN_G,$AC187)),SUMIFS(DARE,DEN_G,$AC187)-SUMIFS(AVERE,DEN_G,$AC187),0)&gt;0,MAX($BG$2:BG186)+1,0)</f>
        <v>0</v>
      </c>
      <c r="BH187" s="48">
        <f ca="1">IF(IF(AND(OR(INDEX(PDC,MATCH($AC187,DEN_PDC,0),6)="SP AVERE",INDEX(PDC,MATCH($AC187,DEN_PDC,0),6)="SP DARE/AVERE"),SUMIFS(AVERE,DEN_G,$AC187)&gt;=SUMIFS(DARE,DEN_G,$AC187)),SUMIFS(AVERE,DEN_G,$AC187)-SUMIFS(DARE,DEN_G,$AC187),0)&gt;0,MAX(BH$2:BH186)+1,0)</f>
        <v>0</v>
      </c>
      <c r="BI187" s="48">
        <f ca="1">IF(IF(AND(OR(INDEX(PDC,MATCH($AC187,DEN_PDC,0),6)="SE DARE",INDEX(PDC,MATCH($AC187,DEN_PDC,0),6)="SE DARE/AVERE"),SUMIFS(DARE,DEN_G,$AC187)&gt;=SUMIFS(AVERE,DEN_G,$AC187)),SUMIFS(DARE,DEN_G,$AC187)-SUMIFS(AVERE,DEN_G,$AC187),0)&gt;0,MAX(BI$2:BI186)+1,0)</f>
        <v>0</v>
      </c>
      <c r="BJ187" s="48">
        <f ca="1">IF(IF(AND(OR(INDEX(PDC,MATCH($AC187,DEN_PDC,0),6)="SE AVERE",INDEX(PDC,MATCH($AC187,DEN_PDC,0),6)="SE DARE/AVERE"),SUMIFS(AVERE,DEN_G,$AC187)&gt;=SUMIFS(DARE,DEN_G,$AC187)),SUMIFS(AVERE,DEN_G,$AC187)-SUMIFS(DARE,DEN_G,$AC187),0)&gt;0,MAX(BJ$2:BJ186)+1,0)</f>
        <v>0</v>
      </c>
      <c r="BK187" s="48" t="str">
        <f ca="1">IF(AND(AND($DY$2=0,$DY$1=0),$I$1=2,ROW()&gt;$BG$1+2,ROW()&lt;=$BG$1+4),"………………..",IF(AND(OR($DY$2&gt;0,$DY$1&gt;0),$I$1=2,ROW()&gt;$BG$1+2,ROW()&lt;=$BG$1+4),"………………..",IFERROR(INDEX($AC$3:$AC$398,MATCH(ROWS(BK$3:BK187),BG$3:BG$398,0),1),"")))</f>
        <v/>
      </c>
      <c r="BL187" s="48">
        <f t="shared" ca="1" si="281"/>
        <v>0</v>
      </c>
      <c r="BM187" s="48" t="str">
        <f ca="1">IF(AND(OR($DY$2=0,$DY$1=0),$I$1=2,ROW()&gt;$BH$1+2,ROW()&lt;=$BH$1+4),"………………..",IF(AND(OR($DY$2&gt;0,$DY$1&gt;0),$I$1=2,ROW()&gt;$BH$1+2,ROW()&lt;=$BH$1+4),"………………..",IFERROR(INDEX($AC$3:$AC$400,MATCH(ROWS(BM$3:BM187),BH$3:BH$400,0),1),"")))</f>
        <v/>
      </c>
      <c r="BN187" s="48">
        <f t="shared" ca="1" si="282"/>
        <v>0</v>
      </c>
      <c r="BO187" s="48" t="str">
        <f ca="1">IF(AND(OR($DY$2=0,$DY$1=0),$I$1=2,ROW()&gt;$BI$1+2,ROW()&lt;=$BI$1+4),"………………..",IF(AND(OR($DY$2&gt;0,$DY$1&gt;0),$I$1=2,ROW()&gt;$BI$1+2,ROW()&lt;=$BI$1+4),"………………..",IFERROR(INDEX($AC$3:$AC$400,MATCH(ROWS(BO$3:BO187),BI$3:BI$400,0),1),"")))</f>
        <v/>
      </c>
      <c r="BP187" s="48">
        <f t="shared" ca="1" si="283"/>
        <v>0</v>
      </c>
      <c r="BQ187" s="48" t="str">
        <f ca="1">IF(AND(OR($DY$2=0,$DY$1=0),$I$1=2,ROW()&gt;$BJ$1+2,ROW()&lt;=$BJ$1+4),"………………..",IF(AND(OR($DY$2&gt;0,$DY$1&gt;0),$I$1=2,ROW()&gt;$BJ$1+2,ROW()&lt;=$BJ$1+4),"………………..",IFERROR(INDEX($AC$3:$AC$400,MATCH(ROWS(BQ$3:BQ187),BJ$3:BJ$400,0),1),"")))</f>
        <v/>
      </c>
      <c r="BR187" s="48">
        <f t="shared" ca="1" si="284"/>
        <v>0</v>
      </c>
      <c r="BS187" s="48">
        <f ca="1">IF(IF(AND(OR(INDEX(PDC,MATCH($AC187,DEN_PDC,0),4)="D",INDEX(PDC,MATCH($AC187,DEN_PDC,0),4)="D/A"),SUMIFS(DARE,DEN_G,$AC187)&gt;=SUMIFS(AVERE,DEN_G,$AC187)),SUMIFS(DARE,DEN_G,$AC187),IF(AND(OR(INDEX(PDC,MATCH($AC187,DEN_PDC,0),4)="A",INDEX(PDC,MATCH($AC187,DEN_PDC,0),4)="D/A"),SUMIFS(AVERE,DEN_G,$AC187)&gt;=SUMIFS(DARE,DEN_G,$AC187)),SUMIFS(AVERE,DEN_G,$AC187),))&gt;0,MAX($BS$2:BS186)+1,0)</f>
        <v>0</v>
      </c>
      <c r="BT187" s="48" t="str">
        <f ca="1">IF($CO$1=0,"",IF(AND($I$1=2,ROW()&gt;$BR$1,ROW()&lt;=$BS$1)," …………….",IF(AND($E$1=1,$BX$1=1,$I$1=2,ROW()=$BQ$1),"TOTALI",IFERROR(INDEX(PDC,MATCH(ROWS(BT$3:BT187),BS$3:BS584,0),2),""))))</f>
        <v/>
      </c>
      <c r="BU187" s="48">
        <f t="shared" ca="1" si="285"/>
        <v>0</v>
      </c>
      <c r="BV187" s="48">
        <f t="shared" ca="1" si="286"/>
        <v>0</v>
      </c>
      <c r="BW187" s="48">
        <f t="shared" ca="1" si="287"/>
        <v>0</v>
      </c>
      <c r="BX187" s="48">
        <f t="shared" ca="1" si="288"/>
        <v>0</v>
      </c>
      <c r="BY187" s="48">
        <f ca="1">IF(OR(BW187&gt;0,BX187&gt;0),MAX($BY$2:BY186)+1,0)</f>
        <v>0</v>
      </c>
      <c r="BZ187" s="48" t="str">
        <f ca="1">IFERROR(INDEX($BT$3:$BY$400,MATCH(ROWS(BZ$3:BZ187),$BY$3:$BY$400,0),1),"")</f>
        <v/>
      </c>
      <c r="CA187" s="48" t="str">
        <f ca="1">IFERROR(INDEX($BT$3:$BY$400,MATCH(ROWS(CA$3:CA187),$BY$3:$BY$400,0),4),"")</f>
        <v/>
      </c>
      <c r="CB187" s="48" t="str">
        <f ca="1">IFERROR(INDEX($BT$3:$BY$400,MATCH(ROWS(CB$3:CB187),$BY$3:$BY$400,0),5),"")</f>
        <v/>
      </c>
      <c r="CC187" s="48" t="str">
        <f t="shared" ca="1" si="289"/>
        <v/>
      </c>
      <c r="CD187" s="48">
        <f ca="1">IF(AND($BF$9=2,CE187&gt;0),MAX($CD$165:CD186)+1,0)</f>
        <v>0</v>
      </c>
      <c r="CE187" s="48">
        <f ca="1">ROUND(IFERROR(INDEX(BILANCIO!$I$13:$J$59,MATCH(CF187,BILANCIO!$J$13:$J$59,0),1),0),0)</f>
        <v>0</v>
      </c>
      <c r="CF187" s="48" t="s">
        <v>809</v>
      </c>
      <c r="CG187" s="48" t="str">
        <f>CG143</f>
        <v>_______di cui esigibili oltre l'esercizio</v>
      </c>
      <c r="CI187" s="48">
        <f ca="1">CE187</f>
        <v>0</v>
      </c>
      <c r="CK187" s="48">
        <f ca="1">IF($CG$2=FALSE,0,IF(AND(OR($BF$9=2,$BF$9=3),CJ187&lt;&gt;0),MAX($CK$21:CK186)+1,0))</f>
        <v>0</v>
      </c>
      <c r="CM187" s="242" t="str">
        <f t="shared" ca="1" si="305"/>
        <v/>
      </c>
      <c r="CN187" s="243">
        <f t="shared" ca="1" si="306"/>
        <v>0</v>
      </c>
      <c r="CO187" s="48" t="str">
        <f t="shared" ca="1" si="307"/>
        <v/>
      </c>
      <c r="CQ187" s="242"/>
      <c r="CR187" s="242"/>
      <c r="CU187" s="48">
        <f ca="1">IF(SUMIFS(AVERE,DEN_G,AC187,AVERE,"&gt;"&amp;0)+SUMIFS(DARE,DEN_G,AC187,DARE,"&gt;"&amp;0)&gt;0,MAX($CU$2:CU186)+1,0)</f>
        <v>0</v>
      </c>
      <c r="CV187" s="48" t="str">
        <f ca="1">IF(IFERROR(INDEX(PDC,MATCH(ROWS($CV$3:CV187),$CU$3:$CU$400,0),2),"")="CONTO DI RISULTATO ECONOMICO","",IFERROR(INDEX(PDC,MATCH(ROWS($CV$3:CV187),$CU$3:$CU$400,0),2),""))</f>
        <v/>
      </c>
      <c r="CW187" s="48">
        <f ca="1">IFERROR(IF(CV187&lt;&gt;"",MAX($CW$2:CW186)+1,0),0)</f>
        <v>0</v>
      </c>
      <c r="CX187" s="48">
        <f t="shared" ca="1" si="405"/>
        <v>15</v>
      </c>
      <c r="CY187" s="48" t="str">
        <f t="shared" ca="1" si="404"/>
        <v>MASTRO</v>
      </c>
      <c r="CZ187" s="48" t="e">
        <f t="shared" ref="CZ187:CZ196" ca="1" si="407">SUM(MATCH($CY187,INDIRECT(ADDRESS(SUM(CZ186)+3,54)&amp;":"&amp;ADDRESS(400,54)),0),CZ186)</f>
        <v>#N/A</v>
      </c>
      <c r="DA187" s="48" t="str">
        <f ca="1">IFERROR(INDEX(LIBRO_GIORNALE,CZ187,1),"")</f>
        <v/>
      </c>
      <c r="DB187" s="48" t="str">
        <f t="shared" ca="1" si="347"/>
        <v/>
      </c>
      <c r="DC187" s="48" t="str">
        <f t="shared" ref="DC187:DC196" ca="1" si="408">IF(IFERROR(INDEX(LIBRO_GIORNALE,CZ187,4),"")=0,"manca la descrizione dell'operazione",IFERROR(INDEX(LIBRO_GIORNALE,CZ187,4),""))</f>
        <v/>
      </c>
      <c r="DD187" s="48" t="str">
        <f t="shared" ref="DD187:DD196" ca="1" si="409">IFERROR(IF(INDEX(LIBRO_GIORNALE,CZ187,5)&gt;0,INDEX(LIBRO_GIORNALE,CZ187,5),""),"")</f>
        <v/>
      </c>
      <c r="DE187" s="48" t="str">
        <f t="shared" ref="DE187:DE196" ca="1" si="410">IFERROR(IF(INDEX(LIBRO_GIORNALE,CZ187,6)&gt;0,INDEX(LIBRO_GIORNALE,CZ187,6),""),"")</f>
        <v/>
      </c>
      <c r="DF187" s="48">
        <f ca="1">IF(AND(CX187=$DF$1,CX187&lt;&gt;""),0,IF(AND(DB187&lt;&gt;"",OR(DB186&lt;&gt;"",DB188&lt;&gt;"")),MAX($DF$2:DF186)+1,0))</f>
        <v>0</v>
      </c>
      <c r="DH187" s="244" t="s">
        <v>1059</v>
      </c>
      <c r="DI187" s="48" t="s">
        <v>874</v>
      </c>
      <c r="DJ187" s="48" t="s">
        <v>312</v>
      </c>
      <c r="DK187" s="48" t="s">
        <v>298</v>
      </c>
      <c r="DL187" s="48" t="s">
        <v>5</v>
      </c>
      <c r="DM187" s="48" t="s">
        <v>299</v>
      </c>
      <c r="DN187" s="48">
        <f ca="1">IF(DI187&lt;&gt;"",MAX($DN$2:DN186)+1,0)</f>
        <v>157</v>
      </c>
      <c r="DO187" s="48" t="str">
        <f ca="1">IF($BF$9=1,"ppd14","ppd")</f>
        <v>ppd</v>
      </c>
      <c r="DP187" s="48">
        <f t="shared" ref="DP187:DP189" ca="1" si="411">DP6</f>
        <v>0</v>
      </c>
      <c r="DQ187" s="227" t="s">
        <v>875</v>
      </c>
      <c r="DR187" s="48" t="str">
        <f ca="1">IFERROR(IF(DP187&lt;&gt;0,CONCATENATE("SOCIO ",DP187," C/UTILI"),""),"")</f>
        <v/>
      </c>
      <c r="DS187" s="48" t="s">
        <v>312</v>
      </c>
      <c r="DT187" s="48" t="s">
        <v>298</v>
      </c>
      <c r="DU187" s="48" t="s">
        <v>5</v>
      </c>
      <c r="DV187" s="48" t="s">
        <v>299</v>
      </c>
      <c r="DW187" s="48">
        <f ca="1">IF(DR187&lt;&gt;"",MAX($DW$2:DW186)+1,0)</f>
        <v>0</v>
      </c>
      <c r="DX187" s="48" t="str">
        <f t="shared" ca="1" si="401"/>
        <v>ppd</v>
      </c>
      <c r="DY187" s="48" t="str">
        <f t="shared" ca="1" si="291"/>
        <v/>
      </c>
      <c r="DZ187" s="48" t="str">
        <f t="shared" ca="1" si="309"/>
        <v/>
      </c>
      <c r="EA187" s="48" t="str">
        <f t="shared" ca="1" si="310"/>
        <v/>
      </c>
      <c r="EB187" s="48">
        <f t="shared" ca="1" si="311"/>
        <v>0</v>
      </c>
      <c r="EC187" s="48">
        <f t="shared" ca="1" si="312"/>
        <v>0</v>
      </c>
      <c r="ED187" s="48" t="str">
        <f t="shared" ca="1" si="313"/>
        <v/>
      </c>
      <c r="EE187" s="48">
        <f t="shared" ca="1" si="314"/>
        <v>0</v>
      </c>
      <c r="EF187" s="48" t="str">
        <f t="shared" ca="1" si="315"/>
        <v/>
      </c>
      <c r="EG187" s="48">
        <f t="shared" ca="1" si="316"/>
        <v>0</v>
      </c>
      <c r="EH187" s="48" t="str">
        <f t="shared" ca="1" si="317"/>
        <v/>
      </c>
      <c r="EI187" s="48">
        <f t="shared" ca="1" si="318"/>
        <v>0</v>
      </c>
      <c r="EJ187" s="48" t="str">
        <f t="shared" ca="1" si="319"/>
        <v/>
      </c>
      <c r="EK187" s="48">
        <f t="shared" ca="1" si="320"/>
        <v>0</v>
      </c>
      <c r="EL187" s="48">
        <f t="shared" ca="1" si="292"/>
        <v>0</v>
      </c>
      <c r="EM187" s="48">
        <f ca="1">IF(EL187&gt;=0,0,MAX($EM$2:EM186)+1)</f>
        <v>0</v>
      </c>
      <c r="EN187" s="48" t="str">
        <f t="shared" ca="1" si="321"/>
        <v/>
      </c>
      <c r="EO187" s="48" t="str">
        <f ca="1">IFERROR(INDEX($EM$3:$EN$400,MATCH(ROWS($EO$3:EO187),$EM$3:$EM$400,0),2),"")</f>
        <v/>
      </c>
      <c r="EP187" s="48">
        <f>ROW()</f>
        <v>187</v>
      </c>
      <c r="EQ187" s="48">
        <f t="shared" ca="1" si="293"/>
        <v>0</v>
      </c>
      <c r="ER187" s="48">
        <f ca="1">IF(ISNA(EQ187)=TRUE,MAX($ER$2:ER186)+1,0)</f>
        <v>0</v>
      </c>
      <c r="ES187" s="48" t="str">
        <f t="shared" ca="1" si="322"/>
        <v/>
      </c>
      <c r="ET187" s="48" t="str">
        <f ca="1">IFERROR(INDEX($ER$3:$ES$400,MATCH(ROWS($ET$3:ET187),$ER$3:$ER$400,0),2),"")</f>
        <v/>
      </c>
      <c r="EV187" s="48">
        <f ca="1">IFERROR(INDEX(LIBRO_GIORNALE!$O$11:$P$408,MATCH(ROWS($EV$2:EV186),LIBRO_GIORNALE!$P$11:$P$408,0),1),0)</f>
        <v>0</v>
      </c>
      <c r="EW187" s="48" t="str">
        <f t="shared" ca="1" si="323"/>
        <v>0</v>
      </c>
      <c r="EX187" s="48">
        <f t="shared" ca="1" si="324"/>
        <v>0</v>
      </c>
      <c r="EY187" s="48">
        <f ca="1">IF(EX187&gt;0,MAX($EY$2:EY186)+1,0)</f>
        <v>0</v>
      </c>
      <c r="EZ187" s="48">
        <f ca="1">IFERROR(INDEX($EX$3:$EX$400,MATCH(ROWS($EZ$3:EZ187),$EY$3:$EY$400,0),1),0)</f>
        <v>0</v>
      </c>
      <c r="FA187" s="48">
        <f ca="1">IF(EZ187&gt;0,0,MAX($FA$2:FA186)+1)</f>
        <v>185</v>
      </c>
      <c r="FB187" s="48">
        <f t="shared" ca="1" si="325"/>
        <v>0</v>
      </c>
      <c r="FC187" s="48">
        <f t="shared" ca="1" si="326"/>
        <v>185</v>
      </c>
      <c r="FD187" s="48">
        <f t="shared" ca="1" si="327"/>
        <v>185</v>
      </c>
      <c r="FE187" s="48">
        <f ca="1">IF(FD187=0,0,MAX($FE$2:FE186)+1)</f>
        <v>185</v>
      </c>
      <c r="FF187" s="48">
        <f ca="1">IFERROR(INDEX($FD$3:$FE$400,MATCH(ROWS($FF$3:FF187),$FE$3:$FE$400,0),1),"")</f>
        <v>185</v>
      </c>
      <c r="FG187" s="48">
        <f t="shared" ca="1" si="380"/>
        <v>0</v>
      </c>
      <c r="FH187" s="48">
        <f t="shared" ca="1" si="328"/>
        <v>0</v>
      </c>
      <c r="FI187" s="48">
        <f ca="1">IF(FH187&lt;&gt;0,MAX($FI$2:FI186)+1,0)</f>
        <v>0</v>
      </c>
      <c r="FJ187" s="48" t="str">
        <f ca="1">IFERROR(INDEX($FH$3:$FI$400,MATCH(ROWS($FJ$3:FJ187),$FI$3:$FI$400,0),1),"")</f>
        <v/>
      </c>
      <c r="FK187" s="48">
        <f ca="1">IF(ABS(SUMIFS(DARE,DEN_G,"="&amp;FJ187,DATA,"&lt;="&amp;FINE_AC,DATA,"&gt;="&amp;INIZIO_A_PC)-SUMIFS(AVERE,DEN_G,"="&amp;FJ187,DATA,"&lt;="&amp;FINE_AC,DATA,"&gt;="&amp;INIZIO_A_PC))&gt;0,MAX($FK$2:FK186)+1,0)</f>
        <v>0</v>
      </c>
      <c r="FL187" s="48" t="str">
        <f ca="1">IF(AND(ROW()-2&lt;&gt;1,ROW()-2&lt;=$FK$1),CONCATENATE(" - ",IFERROR(INDEX($FJ$3:$FK$400,MATCH(ROWS($FL$3:FL187),$FK$3:$FK$400,0),1),"")),IFERROR(INDEX($FJ$3:$FK$400,MATCH(ROWS($FL$3:FL187),$FK$3:$FK$400,0),1),""))</f>
        <v/>
      </c>
      <c r="FM187" s="48">
        <f ca="1">IF(OR(B187="IVA ns/credito",B187="IVA NS/DEBITO",B187="IVA C/ACCONTO",B187="IMPOSTE C/ACCONTO",B187="CREDITI PER RITENUTE SUBITE",B187="CREDITI D'IMPOSTA"),MAX($FM$2:FM186)+1,0)</f>
        <v>0</v>
      </c>
      <c r="FN187" s="48" t="str">
        <f t="shared" ca="1" si="329"/>
        <v/>
      </c>
      <c r="FO187" s="48" t="str">
        <f ca="1">IFERROR(INDEX($FM$3:$FN$400,MATCH(ROWS($FO$3:FO187),$FM$3:$FM$400,0),2),"")</f>
        <v/>
      </c>
      <c r="FP187" s="48">
        <f ca="1">IF(ABS(SUMIFS(DARE,DEN_G,"="&amp;FO187,DATA,"&lt;="&amp;FINE_AC,DATA,"&gt;="&amp;INIZIO_A_PC)-SUMIFS(AVERE,DEN_G,"="&amp;FO187,DATA,"&lt;="&amp;FINE_AC,DATA,"&gt;="&amp;INIZIO_A_PC))&gt;0,MAX($FP$2:FP186)+1,0)</f>
        <v>0</v>
      </c>
      <c r="FQ187" s="48" t="str">
        <f ca="1">IF(AND(ROW()-2&lt;&gt;1,ROW()-2&lt;=$FP$1),CONCATENATE(" - ",IFERROR(INDEX($FO$3:$FP$400,MATCH(ROWS($FQ$3:FQ187),$FP$3:$FP$400,0),1),"")),IFERROR(INDEX($FO$3:$FP$400,MATCH(ROWS($FQ$3:FQ187),$FP$3:$FP$400,0),1),""))</f>
        <v/>
      </c>
    </row>
    <row r="188" spans="1:173" x14ac:dyDescent="0.3">
      <c r="A188" s="48" t="str">
        <f ca="1">IFERROR(IF($A$1=2,INDEX($DH$3:$DN$401,MATCH(ROWS(A$3:A188),$DN$3:$DN$401,0),COLUMN()),IF($A$1=1,INDEX($DQ$3:$DW$401,MATCH(ROWS(A$3:A188),$DW$3:$DW$401,0),COLUMN()),"")),"")</f>
        <v>20.01</v>
      </c>
      <c r="B188" s="48" t="str">
        <f ca="1">IFERROR(IF($A$1=2,INDEX($DH$3:$DN$401,MATCH(ROWS(B$3:B188),$DN$3:$DN$401,0),COLUMN()),IF($A$1=1,INDEX($DQ$3:$DW$400,MATCH(ROWS(B$3:B188),$DW$3:$DW$401,0),COLUMN()),"")),"")</f>
        <v>PRODOTTI C/VENDITE</v>
      </c>
      <c r="C188" s="48" t="str">
        <f ca="1">IFERROR(IF($A$1=2,INDEX($DH$3:$DN$401,MATCH(ROWS(C$3:C188),$DN$3:$DN$401,0),COLUMN()),IF($A$1=1,INDEX($DQ$3:$DW$401,MATCH(ROWS(C$3:C188),$DW$3:$DW$401,0),COLUMN()),"")),"")</f>
        <v>E</v>
      </c>
      <c r="D188" s="48" t="str">
        <f ca="1">IFERROR(IF($A$1=2,INDEX($DH$3:$DN$401,MATCH(ROWS(D$3:D188),$DN$3:$DN$401,0),COLUMN()),IF($A$1=1,INDEX($DQ$3:$DW$401,MATCH(ROWS(D$3:D188),$DW$3:$DW$401,0),COLUMN()),"")),"")</f>
        <v>A</v>
      </c>
      <c r="E188" s="48" t="str">
        <f ca="1">IFERROR(IF($A$1=2,INDEX($DH$3:$DN$401,MATCH(ROWS(E$3:E188),$DN$3:$DN$401,0),COLUMN()),IF($A$1=1,INDEX($DQ$3:$DW$401,MATCH(ROWS(E$3:E188),$DW$3:$DW$401,0),COLUMN()),"")),"")</f>
        <v>RICAVI D'ESERCIZIO</v>
      </c>
      <c r="F188" s="48" t="str">
        <f ca="1">IFERROR(IF($A$1=2,INDEX($DH$3:$DN$401,MATCH(ROWS(F$3:F188),$DN$3:$DN$401,0),COLUMN()),IF($A$1=1,INDEX($DQ$3:$DX$401,MATCH(ROWS(F$3:F188),$DW$3:$DW$401,0),COLUMN()),"")),"")</f>
        <v>SE AVERE</v>
      </c>
      <c r="G188" s="48" t="str">
        <f t="shared" ca="1" si="294"/>
        <v>SE</v>
      </c>
      <c r="H188" s="48" t="str">
        <f ca="1">IFERROR(IF($A$1=2,INDEX($DH$3:$DO$400,MATCH(ROWS(H$3:H188),$DN$3:$DN$400,0),COLUMN()),IF($A$1=1,INDEX($DQ$3:$DX$400,MATCH(ROWS(H$3:H188),$DW$3:$DW$400,0),COLUMN()),"")),"")</f>
        <v>ea1</v>
      </c>
      <c r="I188" s="48" t="str">
        <f t="shared" ca="1" si="295"/>
        <v/>
      </c>
      <c r="J188" s="48" t="str">
        <f t="shared" ca="1" si="296"/>
        <v/>
      </c>
      <c r="K188" s="48">
        <f t="shared" ca="1" si="297"/>
        <v>0</v>
      </c>
      <c r="L188" s="48">
        <f t="shared" ca="1" si="298"/>
        <v>0</v>
      </c>
      <c r="M188" s="48">
        <f ca="1">IFERROR(IF(IF(MID($A188,3,3)=".00",MID(A188,1,2),"")&lt;&gt;"",MAX($M$2:M187)+1,0),"")</f>
        <v>0</v>
      </c>
      <c r="N188" s="48" t="str">
        <f t="shared" ca="1" si="299"/>
        <v/>
      </c>
      <c r="O188" s="48" t="str">
        <f ca="1">IF(IFERROR(INDEX($N$3:$O$300,MATCH(ROWS($O$3:O188),$M$3:$M$300,0),1),"")&lt;&gt;"",CONCATENATE(INDEX($N$3:$O$300,MATCH(ROWS($O$3:O188),$M$3:$M$300,0),1),".00"),"")</f>
        <v/>
      </c>
      <c r="P188" s="48" t="str">
        <f t="shared" ca="1" si="300"/>
        <v/>
      </c>
      <c r="Q188" s="48">
        <f ca="1">IF(M188&gt;=1,0,MAX($Q$2:Q187)+1)</f>
        <v>166</v>
      </c>
      <c r="U188" s="48" t="str">
        <f ca="1">IFERROR(INDEX(PDC,MATCH(ROWS(U$3:U188),$V$3:$V$400,0),2),"")</f>
        <v>PRODOTTI IN LAVORAZIONE C/ESISTENZE INIZIALI</v>
      </c>
      <c r="V188" s="48">
        <f ca="1">IF(AND($T$1="VISUALIZZA TUTTI I CONTI",AA188&lt;&gt;""),MAX($V$2:V187)+1,IF(AND($U$2=2,AI188=$T$1),MAX($V$2:V187)+1,IF(AND($U$2=1,$T$1=AF188),MAX($V$2:V187)+1,0)))</f>
        <v>186</v>
      </c>
      <c r="AA188" s="48" t="str">
        <f t="shared" ca="1" si="301"/>
        <v>21.00</v>
      </c>
      <c r="AB188" s="48" t="str">
        <f ca="1">IFERROR(INDEX($A$3:$G$400,MATCH(ROWS(AB$3:AB188),$Q$3:$Q$400,0),1),"")</f>
        <v>21.04</v>
      </c>
      <c r="AC188" s="48" t="str">
        <f ca="1">IFERROR(INDEX($A$3:$G$400,MATCH(ROWS($AC$3:AC188),$Q$3:$Q$400,0),2),"")</f>
        <v>PRODOTTI IN LAVORAZIONE C/ESISTENZE INIZIALI</v>
      </c>
      <c r="AD188" s="48" t="str">
        <f ca="1">IFERROR(INDEX($A$3:$G$400,MATCH(ROWS(AD$3:AD188),$Q$3:$Q$400,0),3),"")</f>
        <v>E</v>
      </c>
      <c r="AE188" s="48" t="str">
        <f ca="1">IFERROR(INDEX($A$3:$G$400,MATCH(ROWS(AE$3:AE188),$Q$3:$Q$400,0),4),"")</f>
        <v>D</v>
      </c>
      <c r="AF188" s="48" t="str">
        <f ca="1">IFERROR(INDEX($A$3:$G$400,MATCH(ROWS(AF$3:AF188),$Q$3:$Q$400,0),5),"")</f>
        <v>COSTI D'ESERCIZIO</v>
      </c>
      <c r="AG188" s="48" t="str">
        <f ca="1">IFERROR(INDEX($A$3:$G$400,MATCH(ROWS(AG$3:AG188),$Q$3:$Q$400,0),6),"")</f>
        <v>SE DARE</v>
      </c>
      <c r="AH188" s="48" t="str">
        <f ca="1">IFERROR(INDEX($A$3:$G$400,MATCH(ROWS(AH$3:AH188),$Q$3:$Q$400,0),7),"")</f>
        <v>SE</v>
      </c>
      <c r="AI188" s="48" t="str">
        <f t="shared" ca="1" si="302"/>
        <v>VARIAZ. RIM. PROD. IN CORSO DI LAVORAZ., SEMIL. E FINITI</v>
      </c>
      <c r="AJ188" s="48" t="str">
        <f ca="1">IFERROR(INDEX($A$3:$H$400,MATCH(ROWS(AJ$3:AJ188),$Q$3:$Q$400,0),8),"")</f>
        <v>ea2</v>
      </c>
      <c r="AK188" s="48">
        <f t="shared" ca="1" si="277"/>
        <v>0</v>
      </c>
      <c r="AL188" s="48">
        <f t="shared" ca="1" si="373"/>
        <v>0</v>
      </c>
      <c r="AM188" s="48">
        <f t="shared" ca="1" si="377"/>
        <v>0</v>
      </c>
      <c r="AN188" s="48">
        <f t="shared" ca="1" si="378"/>
        <v>0</v>
      </c>
      <c r="AO188" s="48">
        <f t="shared" ca="1" si="379"/>
        <v>0</v>
      </c>
      <c r="AP188" s="48">
        <f t="shared" ca="1" si="379"/>
        <v>0</v>
      </c>
      <c r="AQ188" s="48" t="str">
        <f t="shared" ca="1" si="278"/>
        <v/>
      </c>
      <c r="AR188" s="48">
        <f t="shared" ca="1" si="279"/>
        <v>0</v>
      </c>
      <c r="AS188" s="48">
        <f t="shared" ca="1" si="280"/>
        <v>0</v>
      </c>
      <c r="AT188" s="48">
        <f t="shared" ca="1" si="303"/>
        <v>0</v>
      </c>
      <c r="AU188" s="48">
        <f t="shared" ca="1" si="304"/>
        <v>0</v>
      </c>
      <c r="AV188" s="48">
        <f ca="1">IF(OR(AT188&gt;0,AU188&gt;0),MAX($AV$2:AV187)+1,0)</f>
        <v>0</v>
      </c>
      <c r="AZ188" s="241" t="str">
        <f t="shared" si="381"/>
        <v>88 V.I.</v>
      </c>
      <c r="BA188" s="48">
        <f t="shared" ca="1" si="369"/>
        <v>0</v>
      </c>
      <c r="BB188" s="48">
        <f t="shared" ca="1" si="370"/>
        <v>0</v>
      </c>
      <c r="BC188" s="48" t="str">
        <f t="shared" ca="1" si="382"/>
        <v/>
      </c>
      <c r="BD188" s="48">
        <f t="shared" ca="1" si="383"/>
        <v>0</v>
      </c>
      <c r="BE188" s="48">
        <f t="shared" ca="1" si="384"/>
        <v>0</v>
      </c>
      <c r="BG188" s="48">
        <f ca="1">IF(IF(AND(OR(INDEX(PDC,MATCH($AC188,DEN_PDC,0),6)="SP DARE",INDEX(PDC,MATCH($AC188,DEN_PDC,0),6)="SP DARE/AVERE"),SUMIFS(DARE,DEN_G,$AC188)&gt;=SUMIFS(AVERE,DEN_G,$AC188)),SUMIFS(DARE,DEN_G,$AC188)-SUMIFS(AVERE,DEN_G,$AC188),0)&gt;0,MAX($BG$2:BG187)+1,0)</f>
        <v>0</v>
      </c>
      <c r="BH188" s="48">
        <f ca="1">IF(IF(AND(OR(INDEX(PDC,MATCH($AC188,DEN_PDC,0),6)="SP AVERE",INDEX(PDC,MATCH($AC188,DEN_PDC,0),6)="SP DARE/AVERE"),SUMIFS(AVERE,DEN_G,$AC188)&gt;=SUMIFS(DARE,DEN_G,$AC188)),SUMIFS(AVERE,DEN_G,$AC188)-SUMIFS(DARE,DEN_G,$AC188),0)&gt;0,MAX(BH$2:BH187)+1,0)</f>
        <v>0</v>
      </c>
      <c r="BI188" s="48">
        <f ca="1">IF(IF(AND(OR(INDEX(PDC,MATCH($AC188,DEN_PDC,0),6)="SE DARE",INDEX(PDC,MATCH($AC188,DEN_PDC,0),6)="SE DARE/AVERE"),SUMIFS(DARE,DEN_G,$AC188)&gt;=SUMIFS(AVERE,DEN_G,$AC188)),SUMIFS(DARE,DEN_G,$AC188)-SUMIFS(AVERE,DEN_G,$AC188),0)&gt;0,MAX(BI$2:BI187)+1,0)</f>
        <v>0</v>
      </c>
      <c r="BJ188" s="48">
        <f ca="1">IF(IF(AND(OR(INDEX(PDC,MATCH($AC188,DEN_PDC,0),6)="SE AVERE",INDEX(PDC,MATCH($AC188,DEN_PDC,0),6)="SE DARE/AVERE"),SUMIFS(AVERE,DEN_G,$AC188)&gt;=SUMIFS(DARE,DEN_G,$AC188)),SUMIFS(AVERE,DEN_G,$AC188)-SUMIFS(DARE,DEN_G,$AC188),0)&gt;0,MAX(BJ$2:BJ187)+1,0)</f>
        <v>0</v>
      </c>
      <c r="BK188" s="48" t="str">
        <f ca="1">IF(AND(AND($DY$2=0,$DY$1=0),$I$1=2,ROW()&gt;$BG$1+2,ROW()&lt;=$BG$1+4),"………………..",IF(AND(OR($DY$2&gt;0,$DY$1&gt;0),$I$1=2,ROW()&gt;$BG$1+2,ROW()&lt;=$BG$1+4),"………………..",IFERROR(INDEX($AC$3:$AC$398,MATCH(ROWS(BK$3:BK188),BG$3:BG$398,0),1),"")))</f>
        <v/>
      </c>
      <c r="BL188" s="48">
        <f t="shared" ca="1" si="281"/>
        <v>0</v>
      </c>
      <c r="BM188" s="48" t="str">
        <f ca="1">IF(AND(OR($DY$2=0,$DY$1=0),$I$1=2,ROW()&gt;$BH$1+2,ROW()&lt;=$BH$1+4),"………………..",IF(AND(OR($DY$2&gt;0,$DY$1&gt;0),$I$1=2,ROW()&gt;$BH$1+2,ROW()&lt;=$BH$1+4),"………………..",IFERROR(INDEX($AC$3:$AC$400,MATCH(ROWS(BM$3:BM188),BH$3:BH$400,0),1),"")))</f>
        <v/>
      </c>
      <c r="BN188" s="48">
        <f t="shared" ca="1" si="282"/>
        <v>0</v>
      </c>
      <c r="BO188" s="48" t="str">
        <f ca="1">IF(AND(OR($DY$2=0,$DY$1=0),$I$1=2,ROW()&gt;$BI$1+2,ROW()&lt;=$BI$1+4),"………………..",IF(AND(OR($DY$2&gt;0,$DY$1&gt;0),$I$1=2,ROW()&gt;$BI$1+2,ROW()&lt;=$BI$1+4),"………………..",IFERROR(INDEX($AC$3:$AC$400,MATCH(ROWS(BO$3:BO188),BI$3:BI$400,0),1),"")))</f>
        <v/>
      </c>
      <c r="BP188" s="48">
        <f t="shared" ca="1" si="283"/>
        <v>0</v>
      </c>
      <c r="BQ188" s="48" t="str">
        <f ca="1">IF(AND(OR($DY$2=0,$DY$1=0),$I$1=2,ROW()&gt;$BJ$1+2,ROW()&lt;=$BJ$1+4),"………………..",IF(AND(OR($DY$2&gt;0,$DY$1&gt;0),$I$1=2,ROW()&gt;$BJ$1+2,ROW()&lt;=$BJ$1+4),"………………..",IFERROR(INDEX($AC$3:$AC$400,MATCH(ROWS(BQ$3:BQ188),BJ$3:BJ$400,0),1),"")))</f>
        <v/>
      </c>
      <c r="BR188" s="48">
        <f t="shared" ca="1" si="284"/>
        <v>0</v>
      </c>
      <c r="BS188" s="48">
        <f ca="1">IF(IF(AND(OR(INDEX(PDC,MATCH($AC188,DEN_PDC,0),4)="D",INDEX(PDC,MATCH($AC188,DEN_PDC,0),4)="D/A"),SUMIFS(DARE,DEN_G,$AC188)&gt;=SUMIFS(AVERE,DEN_G,$AC188)),SUMIFS(DARE,DEN_G,$AC188),IF(AND(OR(INDEX(PDC,MATCH($AC188,DEN_PDC,0),4)="A",INDEX(PDC,MATCH($AC188,DEN_PDC,0),4)="D/A"),SUMIFS(AVERE,DEN_G,$AC188)&gt;=SUMIFS(DARE,DEN_G,$AC188)),SUMIFS(AVERE,DEN_G,$AC188),))&gt;0,MAX($BS$2:BS187)+1,0)</f>
        <v>0</v>
      </c>
      <c r="BT188" s="48" t="str">
        <f ca="1">IF($CO$1=0,"",IF(AND($I$1=2,ROW()&gt;$BR$1,ROW()&lt;=$BS$1)," …………….",IF(AND($E$1=1,$BX$1=1,$I$1=2,ROW()=$BQ$1),"TOTALI",IFERROR(INDEX(PDC,MATCH(ROWS(BT$3:BT188),BS$3:BS585,0),2),""))))</f>
        <v/>
      </c>
      <c r="BU188" s="48">
        <f t="shared" ca="1" si="285"/>
        <v>0</v>
      </c>
      <c r="BV188" s="48">
        <f t="shared" ca="1" si="286"/>
        <v>0</v>
      </c>
      <c r="BW188" s="48">
        <f t="shared" ca="1" si="287"/>
        <v>0</v>
      </c>
      <c r="BX188" s="48">
        <f t="shared" ca="1" si="288"/>
        <v>0</v>
      </c>
      <c r="BY188" s="48">
        <f ca="1">IF(OR(BW188&gt;0,BX188&gt;0),MAX($BY$2:BY187)+1,0)</f>
        <v>0</v>
      </c>
      <c r="BZ188" s="48" t="str">
        <f ca="1">IFERROR(INDEX($BT$3:$BY$400,MATCH(ROWS(BZ$3:BZ188),$BY$3:$BY$400,0),1),"")</f>
        <v/>
      </c>
      <c r="CA188" s="48" t="str">
        <f ca="1">IFERROR(INDEX($BT$3:$BY$400,MATCH(ROWS(CA$3:CA188),$BY$3:$BY$400,0),4),"")</f>
        <v/>
      </c>
      <c r="CB188" s="48" t="str">
        <f ca="1">IFERROR(INDEX($BT$3:$BY$400,MATCH(ROWS(CB$3:CB188),$BY$3:$BY$400,0),5),"")</f>
        <v/>
      </c>
      <c r="CC188" s="48" t="str">
        <f t="shared" ca="1" si="289"/>
        <v/>
      </c>
      <c r="CD188" s="48">
        <f ca="1">IF(AND($BF$9=2,CE188&gt;0),MAX($CD$165:CD187)+1,0)</f>
        <v>0</v>
      </c>
      <c r="CE188" s="48">
        <f ca="1">IF(ROUND(SUMIFS(COPIA!$CB$3:$CB$400,COPIA!$CC$3:$CC$400,CF188)-SUMIFS(COPIA!$CA$3:$CA$400,COPIA!$CC$3:$CC$400,CF188),0)&lt;0,0,ROUND(SUMIFS(COPIA!$CB$3:$CB$400,COPIA!$CC$3:$CC$400,CF188)-SUMIFS(COPIA!$CA$3:$CA$400,COPIA!$CC$3:$CC$400,CF188),0))</f>
        <v>0</v>
      </c>
      <c r="CF188" s="48" t="str">
        <f>CF163</f>
        <v>ppe</v>
      </c>
      <c r="CG188" s="48" t="str">
        <f>CG163</f>
        <v>E) Ratei e risconti</v>
      </c>
      <c r="CH188" s="48">
        <f t="shared" ca="1" si="388"/>
        <v>0</v>
      </c>
      <c r="CM188" s="242" t="str">
        <f t="shared" ca="1" si="305"/>
        <v/>
      </c>
      <c r="CN188" s="243">
        <f t="shared" ca="1" si="306"/>
        <v>0</v>
      </c>
      <c r="CO188" s="48" t="str">
        <f t="shared" ca="1" si="307"/>
        <v/>
      </c>
      <c r="CQ188" s="242"/>
      <c r="CR188" s="242"/>
      <c r="CU188" s="48">
        <f ca="1">IF(SUMIFS(AVERE,DEN_G,AC188,AVERE,"&gt;"&amp;0)+SUMIFS(DARE,DEN_G,AC188,DARE,"&gt;"&amp;0)&gt;0,MAX($CU$2:CU187)+1,0)</f>
        <v>0</v>
      </c>
      <c r="CV188" s="48" t="str">
        <f ca="1">IF(IFERROR(INDEX(PDC,MATCH(ROWS($CV$3:CV188),$CU$3:$CU$400,0),2),"")="CONTO DI RISULTATO ECONOMICO","",IFERROR(INDEX(PDC,MATCH(ROWS($CV$3:CV188),$CU$3:$CU$400,0),2),""))</f>
        <v/>
      </c>
      <c r="CW188" s="48">
        <f ca="1">IFERROR(IF(CV188&lt;&gt;"",MAX($CW$2:CW187)+1,0),0)</f>
        <v>0</v>
      </c>
      <c r="CX188" s="48">
        <f t="shared" ca="1" si="405"/>
        <v>15</v>
      </c>
      <c r="CY188" s="48" t="str">
        <f t="shared" ca="1" si="404"/>
        <v>MASTRO</v>
      </c>
      <c r="CZ188" s="48" t="e">
        <f t="shared" ca="1" si="407"/>
        <v>#N/A</v>
      </c>
      <c r="DA188" s="48" t="str">
        <f t="shared" ref="DA188:DA196" ca="1" si="412">IFERROR(INDEX(LIBRO_GIORNALE,CZ188,1),"")</f>
        <v/>
      </c>
      <c r="DB188" s="48" t="str">
        <f t="shared" ca="1" si="347"/>
        <v/>
      </c>
      <c r="DC188" s="48" t="str">
        <f t="shared" ca="1" si="408"/>
        <v/>
      </c>
      <c r="DD188" s="48" t="str">
        <f t="shared" ca="1" si="409"/>
        <v/>
      </c>
      <c r="DE188" s="48" t="str">
        <f t="shared" ca="1" si="410"/>
        <v/>
      </c>
      <c r="DF188" s="48">
        <f ca="1">IF(AND(CX188=$DF$1,CX188&lt;&gt;""),0,IF(AND(DB188&lt;&gt;"",OR(DB187&lt;&gt;"",DB189&lt;&gt;"")),MAX($DF$2:DF187)+1,0))</f>
        <v>0</v>
      </c>
      <c r="DH188" s="244" t="s">
        <v>146</v>
      </c>
      <c r="DI188" s="48" t="s">
        <v>131</v>
      </c>
      <c r="DJ188" s="48" t="s">
        <v>312</v>
      </c>
      <c r="DK188" s="48" t="s">
        <v>298</v>
      </c>
      <c r="DL188" s="48" t="s">
        <v>5</v>
      </c>
      <c r="DM188" s="48" t="s">
        <v>299</v>
      </c>
      <c r="DN188" s="48">
        <f ca="1">IF(DI188&lt;&gt;"",MAX($DN$2:DN187)+1,0)</f>
        <v>158</v>
      </c>
      <c r="DO188" s="48" t="str">
        <f ca="1">IF($BF$9=1,"ppd14","ppd")</f>
        <v>ppd</v>
      </c>
      <c r="DP188" s="48">
        <f t="shared" ca="1" si="411"/>
        <v>0</v>
      </c>
      <c r="DQ188" s="227" t="s">
        <v>876</v>
      </c>
      <c r="DR188" s="48" t="str">
        <f ca="1">IFERROR(IF(DP188&lt;&gt;0,CONCATENATE("SOCIO ",DP188," C/UTILI"),""),"")</f>
        <v/>
      </c>
      <c r="DS188" s="48" t="s">
        <v>312</v>
      </c>
      <c r="DT188" s="48" t="s">
        <v>298</v>
      </c>
      <c r="DU188" s="48" t="s">
        <v>5</v>
      </c>
      <c r="DV188" s="48" t="s">
        <v>299</v>
      </c>
      <c r="DW188" s="48">
        <f ca="1">IF(DR188&lt;&gt;"",MAX($DW$2:DW187)+1,0)</f>
        <v>0</v>
      </c>
      <c r="DX188" s="48" t="str">
        <f t="shared" ca="1" si="401"/>
        <v>ppd</v>
      </c>
      <c r="DY188" s="48" t="str">
        <f t="shared" ca="1" si="291"/>
        <v/>
      </c>
      <c r="DZ188" s="48" t="str">
        <f t="shared" ca="1" si="309"/>
        <v/>
      </c>
      <c r="EA188" s="48" t="str">
        <f t="shared" ca="1" si="310"/>
        <v/>
      </c>
      <c r="EB188" s="48">
        <f t="shared" ca="1" si="311"/>
        <v>0</v>
      </c>
      <c r="EC188" s="48">
        <f t="shared" ca="1" si="312"/>
        <v>0</v>
      </c>
      <c r="ED188" s="48" t="str">
        <f t="shared" ca="1" si="313"/>
        <v/>
      </c>
      <c r="EE188" s="48">
        <f t="shared" ca="1" si="314"/>
        <v>0</v>
      </c>
      <c r="EF188" s="48" t="str">
        <f t="shared" ca="1" si="315"/>
        <v/>
      </c>
      <c r="EG188" s="48">
        <f t="shared" ca="1" si="316"/>
        <v>0</v>
      </c>
      <c r="EH188" s="48" t="str">
        <f t="shared" ca="1" si="317"/>
        <v/>
      </c>
      <c r="EI188" s="48">
        <f t="shared" ca="1" si="318"/>
        <v>0</v>
      </c>
      <c r="EJ188" s="48" t="str">
        <f t="shared" ca="1" si="319"/>
        <v/>
      </c>
      <c r="EK188" s="48">
        <f t="shared" ca="1" si="320"/>
        <v>0</v>
      </c>
      <c r="EL188" s="48">
        <f t="shared" ca="1" si="292"/>
        <v>0</v>
      </c>
      <c r="EM188" s="48">
        <f ca="1">IF(EL188&gt;=0,0,MAX($EM$2:EM187)+1)</f>
        <v>0</v>
      </c>
      <c r="EN188" s="48" t="str">
        <f t="shared" ca="1" si="321"/>
        <v/>
      </c>
      <c r="EO188" s="48" t="str">
        <f ca="1">IFERROR(INDEX($EM$3:$EN$400,MATCH(ROWS($EO$3:EO188),$EM$3:$EM$400,0),2),"")</f>
        <v/>
      </c>
      <c r="EP188" s="48">
        <f>ROW()</f>
        <v>188</v>
      </c>
      <c r="EQ188" s="48">
        <f t="shared" ca="1" si="293"/>
        <v>0</v>
      </c>
      <c r="ER188" s="48">
        <f ca="1">IF(ISNA(EQ188)=TRUE,MAX($ER$2:ER187)+1,0)</f>
        <v>0</v>
      </c>
      <c r="ES188" s="48" t="str">
        <f t="shared" ca="1" si="322"/>
        <v/>
      </c>
      <c r="ET188" s="48" t="str">
        <f ca="1">IFERROR(INDEX($ER$3:$ES$400,MATCH(ROWS($ET$3:ET188),$ER$3:$ER$400,0),2),"")</f>
        <v/>
      </c>
      <c r="EV188" s="48">
        <f ca="1">IFERROR(INDEX(LIBRO_GIORNALE!$O$11:$P$408,MATCH(ROWS($EV$2:EV187),LIBRO_GIORNALE!$P$11:$P$408,0),1),0)</f>
        <v>0</v>
      </c>
      <c r="EW188" s="48" t="str">
        <f t="shared" ca="1" si="323"/>
        <v>0</v>
      </c>
      <c r="EX188" s="48">
        <f t="shared" ca="1" si="324"/>
        <v>0</v>
      </c>
      <c r="EY188" s="48">
        <f ca="1">IF(EX188&gt;0,MAX($EY$2:EY187)+1,0)</f>
        <v>0</v>
      </c>
      <c r="EZ188" s="48">
        <f ca="1">IFERROR(INDEX($EX$3:$EX$400,MATCH(ROWS($EZ$3:EZ188),$EY$3:$EY$400,0),1),0)</f>
        <v>0</v>
      </c>
      <c r="FA188" s="48">
        <f ca="1">IF(EZ188&gt;0,0,MAX($FA$2:FA187)+1)</f>
        <v>186</v>
      </c>
      <c r="FB188" s="48">
        <f t="shared" ca="1" si="325"/>
        <v>0</v>
      </c>
      <c r="FC188" s="48">
        <f t="shared" ca="1" si="326"/>
        <v>186</v>
      </c>
      <c r="FD188" s="48">
        <f t="shared" ca="1" si="327"/>
        <v>186</v>
      </c>
      <c r="FE188" s="48">
        <f ca="1">IF(FD188=0,0,MAX($FE$2:FE187)+1)</f>
        <v>186</v>
      </c>
      <c r="FF188" s="48">
        <f ca="1">IFERROR(INDEX($FD$3:$FE$400,MATCH(ROWS($FF$3:FF188),$FE$3:$FE$400,0),1),"")</f>
        <v>186</v>
      </c>
      <c r="FG188" s="48">
        <f t="shared" ca="1" si="380"/>
        <v>0</v>
      </c>
      <c r="FH188" s="48">
        <f t="shared" ca="1" si="328"/>
        <v>0</v>
      </c>
      <c r="FI188" s="48">
        <f ca="1">IF(FH188&lt;&gt;0,MAX($FI$2:FI187)+1,0)</f>
        <v>0</v>
      </c>
      <c r="FJ188" s="48" t="str">
        <f ca="1">IFERROR(INDEX($FH$3:$FI$400,MATCH(ROWS($FJ$3:FJ188),$FI$3:$FI$400,0),1),"")</f>
        <v/>
      </c>
      <c r="FK188" s="48">
        <f ca="1">IF(ABS(SUMIFS(DARE,DEN_G,"="&amp;FJ188,DATA,"&lt;="&amp;FINE_AC,DATA,"&gt;="&amp;INIZIO_A_PC)-SUMIFS(AVERE,DEN_G,"="&amp;FJ188,DATA,"&lt;="&amp;FINE_AC,DATA,"&gt;="&amp;INIZIO_A_PC))&gt;0,MAX($FK$2:FK187)+1,0)</f>
        <v>0</v>
      </c>
      <c r="FL188" s="48" t="str">
        <f ca="1">IF(AND(ROW()-2&lt;&gt;1,ROW()-2&lt;=$FK$1),CONCATENATE(" - ",IFERROR(INDEX($FJ$3:$FK$400,MATCH(ROWS($FL$3:FL188),$FK$3:$FK$400,0),1),"")),IFERROR(INDEX($FJ$3:$FK$400,MATCH(ROWS($FL$3:FL188),$FK$3:$FK$400,0),1),""))</f>
        <v/>
      </c>
      <c r="FM188" s="48">
        <f ca="1">IF(OR(B188="IVA ns/credito",B188="IVA NS/DEBITO",B188="IVA C/ACCONTO",B188="IMPOSTE C/ACCONTO",B188="CREDITI PER RITENUTE SUBITE",B188="CREDITI D'IMPOSTA"),MAX($FM$2:FM187)+1,0)</f>
        <v>0</v>
      </c>
      <c r="FN188" s="48" t="str">
        <f t="shared" ca="1" si="329"/>
        <v/>
      </c>
      <c r="FO188" s="48" t="str">
        <f ca="1">IFERROR(INDEX($FM$3:$FN$400,MATCH(ROWS($FO$3:FO188),$FM$3:$FM$400,0),2),"")</f>
        <v/>
      </c>
      <c r="FP188" s="48">
        <f ca="1">IF(ABS(SUMIFS(DARE,DEN_G,"="&amp;FO188,DATA,"&lt;="&amp;FINE_AC,DATA,"&gt;="&amp;INIZIO_A_PC)-SUMIFS(AVERE,DEN_G,"="&amp;FO188,DATA,"&lt;="&amp;FINE_AC,DATA,"&gt;="&amp;INIZIO_A_PC))&gt;0,MAX($FP$2:FP187)+1,0)</f>
        <v>0</v>
      </c>
      <c r="FQ188" s="48" t="str">
        <f ca="1">IF(AND(ROW()-2&lt;&gt;1,ROW()-2&lt;=$FP$1),CONCATENATE(" - ",IFERROR(INDEX($FO$3:$FP$400,MATCH(ROWS($FQ$3:FQ188),$FP$3:$FP$400,0),1),"")),IFERROR(INDEX($FO$3:$FP$400,MATCH(ROWS($FQ$3:FQ188),$FP$3:$FP$400,0),1),""))</f>
        <v/>
      </c>
    </row>
    <row r="189" spans="1:173" x14ac:dyDescent="0.3">
      <c r="A189" s="48" t="str">
        <f ca="1">IFERROR(IF($A$1=2,INDEX($DH$3:$DN$401,MATCH(ROWS(A$3:A189),$DN$3:$DN$401,0),COLUMN()),IF($A$1=1,INDEX($DQ$3:$DW$401,MATCH(ROWS(A$3:A189),$DW$3:$DW$401,0),COLUMN()),"")),"")</f>
        <v>20.02</v>
      </c>
      <c r="B189" s="48" t="str">
        <f ca="1">IFERROR(IF($A$1=2,INDEX($DH$3:$DN$401,MATCH(ROWS(B$3:B189),$DN$3:$DN$401,0),COLUMN()),IF($A$1=1,INDEX($DQ$3:$DW$400,MATCH(ROWS(B$3:B189),$DW$3:$DW$401,0),COLUMN()),"")),"")</f>
        <v>PRODOTTI C/VENDITE ON LINE</v>
      </c>
      <c r="C189" s="48" t="str">
        <f ca="1">IFERROR(IF($A$1=2,INDEX($DH$3:$DN$401,MATCH(ROWS(C$3:C189),$DN$3:$DN$401,0),COLUMN()),IF($A$1=1,INDEX($DQ$3:$DW$401,MATCH(ROWS(C$3:C189),$DW$3:$DW$401,0),COLUMN()),"")),"")</f>
        <v>E</v>
      </c>
      <c r="D189" s="48" t="str">
        <f ca="1">IFERROR(IF($A$1=2,INDEX($DH$3:$DN$401,MATCH(ROWS(D$3:D189),$DN$3:$DN$401,0),COLUMN()),IF($A$1=1,INDEX($DQ$3:$DW$401,MATCH(ROWS(D$3:D189),$DW$3:$DW$401,0),COLUMN()),"")),"")</f>
        <v>A</v>
      </c>
      <c r="E189" s="48" t="str">
        <f ca="1">IFERROR(IF($A$1=2,INDEX($DH$3:$DN$401,MATCH(ROWS(E$3:E189),$DN$3:$DN$401,0),COLUMN()),IF($A$1=1,INDEX($DQ$3:$DW$401,MATCH(ROWS(E$3:E189),$DW$3:$DW$401,0),COLUMN()),"")),"")</f>
        <v>RICAVI D'ESERCIZIO</v>
      </c>
      <c r="F189" s="48" t="str">
        <f ca="1">IFERROR(IF($A$1=2,INDEX($DH$3:$DN$401,MATCH(ROWS(F$3:F189),$DN$3:$DN$401,0),COLUMN()),IF($A$1=1,INDEX($DQ$3:$DX$401,MATCH(ROWS(F$3:F189),$DW$3:$DW$401,0),COLUMN()),"")),"")</f>
        <v>SE AVERE</v>
      </c>
      <c r="G189" s="48" t="str">
        <f t="shared" ca="1" si="294"/>
        <v>SE</v>
      </c>
      <c r="H189" s="48" t="str">
        <f ca="1">IFERROR(IF($A$1=2,INDEX($DH$3:$DO$400,MATCH(ROWS(H$3:H189),$DN$3:$DN$400,0),COLUMN()),IF($A$1=1,INDEX($DQ$3:$DX$400,MATCH(ROWS(H$3:H189),$DW$3:$DW$400,0),COLUMN()),"")),"")</f>
        <v>ea2</v>
      </c>
      <c r="I189" s="48" t="str">
        <f t="shared" ca="1" si="295"/>
        <v/>
      </c>
      <c r="J189" s="48" t="str">
        <f t="shared" ca="1" si="296"/>
        <v/>
      </c>
      <c r="K189" s="48">
        <f t="shared" ca="1" si="297"/>
        <v>0</v>
      </c>
      <c r="L189" s="48">
        <f t="shared" ca="1" si="298"/>
        <v>0</v>
      </c>
      <c r="M189" s="48">
        <f ca="1">IFERROR(IF(IF(MID($A189,3,3)=".00",MID(A189,1,2),"")&lt;&gt;"",MAX($M$2:M188)+1,0),"")</f>
        <v>0</v>
      </c>
      <c r="N189" s="48" t="str">
        <f t="shared" ca="1" si="299"/>
        <v/>
      </c>
      <c r="O189" s="48" t="str">
        <f ca="1">IF(IFERROR(INDEX($N$3:$O$300,MATCH(ROWS($O$3:O189),$M$3:$M$300,0),1),"")&lt;&gt;"",CONCATENATE(INDEX($N$3:$O$300,MATCH(ROWS($O$3:O189),$M$3:$M$300,0),1),".00"),"")</f>
        <v/>
      </c>
      <c r="P189" s="48" t="str">
        <f t="shared" ca="1" si="300"/>
        <v/>
      </c>
      <c r="Q189" s="48">
        <f ca="1">IF(M189&gt;=1,0,MAX($Q$2:Q188)+1)</f>
        <v>167</v>
      </c>
      <c r="U189" s="48" t="str">
        <f ca="1">IFERROR(INDEX(PDC,MATCH(ROWS(U$3:U189),$V$3:$V$400,0),2),"")</f>
        <v>SEMILAVORATI C/ESISTENZE INIZIALI</v>
      </c>
      <c r="V189" s="48">
        <f ca="1">IF(AND($T$1="VISUALIZZA TUTTI I CONTI",AA189&lt;&gt;""),MAX($V$2:V188)+1,IF(AND($U$2=2,AI189=$T$1),MAX($V$2:V188)+1,IF(AND($U$2=1,$T$1=AF189),MAX($V$2:V188)+1,0)))</f>
        <v>187</v>
      </c>
      <c r="AA189" s="48" t="str">
        <f t="shared" ca="1" si="301"/>
        <v>21.00</v>
      </c>
      <c r="AB189" s="48" t="str">
        <f ca="1">IFERROR(INDEX($A$3:$G$400,MATCH(ROWS(AB$3:AB189),$Q$3:$Q$400,0),1),"")</f>
        <v>21.05</v>
      </c>
      <c r="AC189" s="48" t="str">
        <f ca="1">IFERROR(INDEX($A$3:$G$400,MATCH(ROWS($AC$3:AC189),$Q$3:$Q$400,0),2),"")</f>
        <v>SEMILAVORATI C/ESISTENZE INIZIALI</v>
      </c>
      <c r="AD189" s="48" t="str">
        <f ca="1">IFERROR(INDEX($A$3:$G$400,MATCH(ROWS(AD$3:AD189),$Q$3:$Q$400,0),3),"")</f>
        <v>E</v>
      </c>
      <c r="AE189" s="48" t="str">
        <f ca="1">IFERROR(INDEX($A$3:$G$400,MATCH(ROWS(AE$3:AE189),$Q$3:$Q$400,0),4),"")</f>
        <v>D</v>
      </c>
      <c r="AF189" s="48" t="str">
        <f ca="1">IFERROR(INDEX($A$3:$G$400,MATCH(ROWS(AF$3:AF189),$Q$3:$Q$400,0),5),"")</f>
        <v>COSTI D'ESERCIZIO</v>
      </c>
      <c r="AG189" s="48" t="str">
        <f ca="1">IFERROR(INDEX($A$3:$G$400,MATCH(ROWS(AG$3:AG189),$Q$3:$Q$400,0),6),"")</f>
        <v>SE DARE</v>
      </c>
      <c r="AH189" s="48" t="str">
        <f ca="1">IFERROR(INDEX($A$3:$G$400,MATCH(ROWS(AH$3:AH189),$Q$3:$Q$400,0),7),"")</f>
        <v>SE</v>
      </c>
      <c r="AI189" s="48" t="str">
        <f t="shared" ca="1" si="302"/>
        <v>VARIAZ. RIM. PROD. IN CORSO DI LAVORAZ., SEMIL. E FINITI</v>
      </c>
      <c r="AJ189" s="48" t="str">
        <f ca="1">IFERROR(INDEX($A$3:$H$400,MATCH(ROWS(AJ$3:AJ189),$Q$3:$Q$400,0),8),"")</f>
        <v>ea2</v>
      </c>
      <c r="AK189" s="48">
        <f t="shared" ca="1" si="277"/>
        <v>0</v>
      </c>
      <c r="AL189" s="48">
        <f t="shared" ca="1" si="373"/>
        <v>0</v>
      </c>
      <c r="AM189" s="48">
        <f t="shared" ca="1" si="377"/>
        <v>0</v>
      </c>
      <c r="AN189" s="48">
        <f t="shared" ca="1" si="378"/>
        <v>0</v>
      </c>
      <c r="AO189" s="48">
        <f t="shared" ca="1" si="379"/>
        <v>0</v>
      </c>
      <c r="AP189" s="48">
        <f t="shared" ca="1" si="379"/>
        <v>0</v>
      </c>
      <c r="AQ189" s="48" t="str">
        <f t="shared" ca="1" si="278"/>
        <v/>
      </c>
      <c r="AR189" s="48">
        <f t="shared" ca="1" si="279"/>
        <v>0</v>
      </c>
      <c r="AS189" s="48">
        <f t="shared" ca="1" si="280"/>
        <v>0</v>
      </c>
      <c r="AT189" s="48">
        <f t="shared" ca="1" si="303"/>
        <v>0</v>
      </c>
      <c r="AU189" s="48">
        <f t="shared" ca="1" si="304"/>
        <v>0</v>
      </c>
      <c r="AV189" s="48">
        <f ca="1">IF(OR(AT189&gt;0,AU189&gt;0),MAX($AV$2:AV188)+1,0)</f>
        <v>0</v>
      </c>
      <c r="AZ189" s="241" t="str">
        <f t="shared" si="381"/>
        <v>89 V.I.</v>
      </c>
      <c r="BA189" s="48">
        <f t="shared" ca="1" si="369"/>
        <v>0</v>
      </c>
      <c r="BB189" s="48">
        <f t="shared" ca="1" si="370"/>
        <v>0</v>
      </c>
      <c r="BC189" s="48" t="str">
        <f t="shared" ca="1" si="382"/>
        <v/>
      </c>
      <c r="BD189" s="48">
        <f t="shared" ca="1" si="383"/>
        <v>0</v>
      </c>
      <c r="BE189" s="48">
        <f t="shared" ca="1" si="384"/>
        <v>0</v>
      </c>
      <c r="BG189" s="48">
        <f ca="1">IF(IF(AND(OR(INDEX(PDC,MATCH($AC189,DEN_PDC,0),6)="SP DARE",INDEX(PDC,MATCH($AC189,DEN_PDC,0),6)="SP DARE/AVERE"),SUMIFS(DARE,DEN_G,$AC189)&gt;=SUMIFS(AVERE,DEN_G,$AC189)),SUMIFS(DARE,DEN_G,$AC189)-SUMIFS(AVERE,DEN_G,$AC189),0)&gt;0,MAX($BG$2:BG188)+1,0)</f>
        <v>0</v>
      </c>
      <c r="BH189" s="48">
        <f ca="1">IF(IF(AND(OR(INDEX(PDC,MATCH($AC189,DEN_PDC,0),6)="SP AVERE",INDEX(PDC,MATCH($AC189,DEN_PDC,0),6)="SP DARE/AVERE"),SUMIFS(AVERE,DEN_G,$AC189)&gt;=SUMIFS(DARE,DEN_G,$AC189)),SUMIFS(AVERE,DEN_G,$AC189)-SUMIFS(DARE,DEN_G,$AC189),0)&gt;0,MAX(BH$2:BH188)+1,0)</f>
        <v>0</v>
      </c>
      <c r="BI189" s="48">
        <f ca="1">IF(IF(AND(OR(INDEX(PDC,MATCH($AC189,DEN_PDC,0),6)="SE DARE",INDEX(PDC,MATCH($AC189,DEN_PDC,0),6)="SE DARE/AVERE"),SUMIFS(DARE,DEN_G,$AC189)&gt;=SUMIFS(AVERE,DEN_G,$AC189)),SUMIFS(DARE,DEN_G,$AC189)-SUMIFS(AVERE,DEN_G,$AC189),0)&gt;0,MAX(BI$2:BI188)+1,0)</f>
        <v>0</v>
      </c>
      <c r="BJ189" s="48">
        <f ca="1">IF(IF(AND(OR(INDEX(PDC,MATCH($AC189,DEN_PDC,0),6)="SE AVERE",INDEX(PDC,MATCH($AC189,DEN_PDC,0),6)="SE DARE/AVERE"),SUMIFS(AVERE,DEN_G,$AC189)&gt;=SUMIFS(DARE,DEN_G,$AC189)),SUMIFS(AVERE,DEN_G,$AC189)-SUMIFS(DARE,DEN_G,$AC189),0)&gt;0,MAX(BJ$2:BJ188)+1,0)</f>
        <v>0</v>
      </c>
      <c r="BK189" s="48" t="str">
        <f ca="1">IF(AND(AND($DY$2=0,$DY$1=0),$I$1=2,ROW()&gt;$BG$1+2,ROW()&lt;=$BG$1+4),"………………..",IF(AND(OR($DY$2&gt;0,$DY$1&gt;0),$I$1=2,ROW()&gt;$BG$1+2,ROW()&lt;=$BG$1+4),"………………..",IFERROR(INDEX($AC$3:$AC$398,MATCH(ROWS(BK$3:BK189),BG$3:BG$398,0),1),"")))</f>
        <v/>
      </c>
      <c r="BL189" s="48">
        <f t="shared" ca="1" si="281"/>
        <v>0</v>
      </c>
      <c r="BM189" s="48" t="str">
        <f ca="1">IF(AND(OR($DY$2=0,$DY$1=0),$I$1=2,ROW()&gt;$BH$1+2,ROW()&lt;=$BH$1+4),"………………..",IF(AND(OR($DY$2&gt;0,$DY$1&gt;0),$I$1=2,ROW()&gt;$BH$1+2,ROW()&lt;=$BH$1+4),"………………..",IFERROR(INDEX($AC$3:$AC$400,MATCH(ROWS(BM$3:BM189),BH$3:BH$400,0),1),"")))</f>
        <v/>
      </c>
      <c r="BN189" s="48">
        <f t="shared" ca="1" si="282"/>
        <v>0</v>
      </c>
      <c r="BO189" s="48" t="str">
        <f ca="1">IF(AND(OR($DY$2=0,$DY$1=0),$I$1=2,ROW()&gt;$BI$1+2,ROW()&lt;=$BI$1+4),"………………..",IF(AND(OR($DY$2&gt;0,$DY$1&gt;0),$I$1=2,ROW()&gt;$BI$1+2,ROW()&lt;=$BI$1+4),"………………..",IFERROR(INDEX($AC$3:$AC$400,MATCH(ROWS(BO$3:BO189),BI$3:BI$400,0),1),"")))</f>
        <v/>
      </c>
      <c r="BP189" s="48">
        <f t="shared" ca="1" si="283"/>
        <v>0</v>
      </c>
      <c r="BQ189" s="48" t="str">
        <f ca="1">IF(AND(OR($DY$2=0,$DY$1=0),$I$1=2,ROW()&gt;$BJ$1+2,ROW()&lt;=$BJ$1+4),"………………..",IF(AND(OR($DY$2&gt;0,$DY$1&gt;0),$I$1=2,ROW()&gt;$BJ$1+2,ROW()&lt;=$BJ$1+4),"………………..",IFERROR(INDEX($AC$3:$AC$400,MATCH(ROWS(BQ$3:BQ189),BJ$3:BJ$400,0),1),"")))</f>
        <v/>
      </c>
      <c r="BR189" s="48">
        <f t="shared" ca="1" si="284"/>
        <v>0</v>
      </c>
      <c r="BS189" s="48">
        <f ca="1">IF(IF(AND(OR(INDEX(PDC,MATCH($AC189,DEN_PDC,0),4)="D",INDEX(PDC,MATCH($AC189,DEN_PDC,0),4)="D/A"),SUMIFS(DARE,DEN_G,$AC189)&gt;=SUMIFS(AVERE,DEN_G,$AC189)),SUMIFS(DARE,DEN_G,$AC189),IF(AND(OR(INDEX(PDC,MATCH($AC189,DEN_PDC,0),4)="A",INDEX(PDC,MATCH($AC189,DEN_PDC,0),4)="D/A"),SUMIFS(AVERE,DEN_G,$AC189)&gt;=SUMIFS(DARE,DEN_G,$AC189)),SUMIFS(AVERE,DEN_G,$AC189),))&gt;0,MAX($BS$2:BS188)+1,0)</f>
        <v>0</v>
      </c>
      <c r="BT189" s="48" t="str">
        <f ca="1">IF($CO$1=0,"",IF(AND($I$1=2,ROW()&gt;$BR$1,ROW()&lt;=$BS$1)," …………….",IF(AND($E$1=1,$BX$1=1,$I$1=2,ROW()=$BQ$1),"TOTALI",IFERROR(INDEX(PDC,MATCH(ROWS(BT$3:BT189),BS$3:BS586,0),2),""))))</f>
        <v/>
      </c>
      <c r="BU189" s="48">
        <f t="shared" ca="1" si="285"/>
        <v>0</v>
      </c>
      <c r="BV189" s="48">
        <f t="shared" ca="1" si="286"/>
        <v>0</v>
      </c>
      <c r="BW189" s="48">
        <f t="shared" ca="1" si="287"/>
        <v>0</v>
      </c>
      <c r="BX189" s="48">
        <f t="shared" ca="1" si="288"/>
        <v>0</v>
      </c>
      <c r="BY189" s="48">
        <f ca="1">IF(OR(BW189&gt;0,BX189&gt;0),MAX($BY$2:BY188)+1,0)</f>
        <v>0</v>
      </c>
      <c r="BZ189" s="48" t="str">
        <f ca="1">IFERROR(INDEX($BT$3:$BY$400,MATCH(ROWS(BZ$3:BZ189),$BY$3:$BY$400,0),1),"")</f>
        <v/>
      </c>
      <c r="CA189" s="48" t="str">
        <f ca="1">IFERROR(INDEX($BT$3:$BY$400,MATCH(ROWS(CA$3:CA189),$BY$3:$BY$400,0),4),"")</f>
        <v/>
      </c>
      <c r="CB189" s="48" t="str">
        <f ca="1">IFERROR(INDEX($BT$3:$BY$400,MATCH(ROWS(CB$3:CB189),$BY$3:$BY$400,0),5),"")</f>
        <v/>
      </c>
      <c r="CC189" s="48" t="str">
        <f t="shared" ca="1" si="289"/>
        <v/>
      </c>
      <c r="CD189" s="48">
        <f ca="1">IF(AY1&lt;&gt;0,0,IF($BF$9=1,0,IF(AND($I$1=2,$BF$9=2,$E$1=1,MAX($CD$166:$CD$188)&gt;=MAX($CD$88:$CD$102)),MAX($CD$166:$CD$188)+1,IF(AND($I$1=2,$BF$9=2,$E$1=1,MAX($CD$166:$CD$188)&lt;MAX($CD$88:$CD$102)),MAX($CD$88:$CD$102)+1,IF(AND($I$1=1,$BF$9=2,$F$1=1,MAX($CD$166:$CD$188)&gt;=MAX($CD$88:$CD$102)),MAX($CD$166:$CD$188)+1,IF(AND($I$1=1,$BF$9=2,$F$1=1,MAX($CD$166:$CD$188)&lt;MAX($CD$88:$CD$102)),MAX($CD$88:$CD$102)+1,0))))))</f>
        <v>0</v>
      </c>
      <c r="CE189" s="48">
        <f ca="1">IF(EU3&gt;0,0,IF(AND($I$1=1,$F$1=1),SUM(CE188,CE186,CE183,CE184,CE185),IF(OR(AND($I$1=2,$E$1=1),C3103="_ _ _",CE188&gt;0,CE186&gt;0,CE185&gt;0,CE183="_ _ _"),"_ _ _",0)))</f>
        <v>0</v>
      </c>
      <c r="CF189" s="48">
        <f>CF164</f>
        <v>0</v>
      </c>
      <c r="CG189" s="48" t="str">
        <f>CG164</f>
        <v>TOTALE PASSIVO</v>
      </c>
      <c r="CH189" s="48">
        <f t="shared" ca="1" si="388"/>
        <v>0</v>
      </c>
      <c r="CM189" s="242" t="str">
        <f t="shared" ca="1" si="305"/>
        <v/>
      </c>
      <c r="CN189" s="243">
        <f t="shared" ca="1" si="306"/>
        <v>0</v>
      </c>
      <c r="CO189" s="48" t="str">
        <f t="shared" ca="1" si="307"/>
        <v/>
      </c>
      <c r="CQ189" s="242"/>
      <c r="CR189" s="242"/>
      <c r="CU189" s="48">
        <f ca="1">IF(SUMIFS(AVERE,DEN_G,AC189,AVERE,"&gt;"&amp;0)+SUMIFS(DARE,DEN_G,AC189,DARE,"&gt;"&amp;0)&gt;0,MAX($CU$2:CU188)+1,0)</f>
        <v>0</v>
      </c>
      <c r="CV189" s="48" t="str">
        <f ca="1">IF(IFERROR(INDEX(PDC,MATCH(ROWS($CV$3:CV189),$CU$3:$CU$400,0),2),"")="CONTO DI RISULTATO ECONOMICO","",IFERROR(INDEX(PDC,MATCH(ROWS($CV$3:CV189),$CU$3:$CU$400,0),2),""))</f>
        <v/>
      </c>
      <c r="CW189" s="48">
        <f ca="1">IFERROR(IF(CV189&lt;&gt;"",MAX($CW$2:CW188)+1,0),0)</f>
        <v>0</v>
      </c>
      <c r="CX189" s="48">
        <f t="shared" ca="1" si="405"/>
        <v>15</v>
      </c>
      <c r="CY189" s="48" t="str">
        <f t="shared" ca="1" si="404"/>
        <v>MASTRO</v>
      </c>
      <c r="CZ189" s="48" t="e">
        <f t="shared" ca="1" si="407"/>
        <v>#N/A</v>
      </c>
      <c r="DA189" s="48" t="str">
        <f t="shared" ca="1" si="412"/>
        <v/>
      </c>
      <c r="DB189" s="48" t="str">
        <f t="shared" ca="1" si="347"/>
        <v/>
      </c>
      <c r="DC189" s="48" t="str">
        <f t="shared" ca="1" si="408"/>
        <v/>
      </c>
      <c r="DD189" s="48" t="str">
        <f t="shared" ca="1" si="409"/>
        <v/>
      </c>
      <c r="DE189" s="48" t="str">
        <f t="shared" ca="1" si="410"/>
        <v/>
      </c>
      <c r="DF189" s="48">
        <f ca="1">IF(AND(CX189=$DF$1,CX189&lt;&gt;""),0,IF(AND(DB189&lt;&gt;"",OR(DB188&lt;&gt;"",DB190&lt;&gt;"")),MAX($DF$2:DF188)+1,0))</f>
        <v>0</v>
      </c>
      <c r="DH189" s="244"/>
      <c r="DN189" s="48">
        <f>IF(DI189&lt;&gt;"",MAX($DN$2:DN188)+1,0)</f>
        <v>0</v>
      </c>
      <c r="DP189" s="48">
        <f t="shared" ca="1" si="411"/>
        <v>0</v>
      </c>
      <c r="DQ189" s="227" t="s">
        <v>877</v>
      </c>
      <c r="DR189" s="48" t="str">
        <f ca="1">IFERROR(IF(DP189&lt;&gt;0,CONCATENATE("SOCIO ",DP189," C/UTILI"),""),"")</f>
        <v/>
      </c>
      <c r="DS189" s="48" t="s">
        <v>312</v>
      </c>
      <c r="DT189" s="48" t="s">
        <v>298</v>
      </c>
      <c r="DU189" s="48" t="s">
        <v>5</v>
      </c>
      <c r="DV189" s="48" t="s">
        <v>299</v>
      </c>
      <c r="DW189" s="48">
        <f ca="1">IF(DR189&lt;&gt;"",MAX($DW$2:DW188)+1,0)</f>
        <v>0</v>
      </c>
      <c r="DX189" s="48" t="str">
        <f t="shared" ca="1" si="401"/>
        <v>ppd</v>
      </c>
      <c r="DY189" s="48" t="str">
        <f t="shared" ca="1" si="291"/>
        <v/>
      </c>
      <c r="DZ189" s="48" t="str">
        <f t="shared" ca="1" si="309"/>
        <v/>
      </c>
      <c r="EA189" s="48" t="str">
        <f t="shared" ca="1" si="310"/>
        <v/>
      </c>
      <c r="EB189" s="48">
        <f t="shared" ca="1" si="311"/>
        <v>0</v>
      </c>
      <c r="EC189" s="48">
        <f t="shared" ca="1" si="312"/>
        <v>0</v>
      </c>
      <c r="ED189" s="48" t="str">
        <f t="shared" ca="1" si="313"/>
        <v/>
      </c>
      <c r="EE189" s="48">
        <f t="shared" ca="1" si="314"/>
        <v>0</v>
      </c>
      <c r="EF189" s="48" t="str">
        <f t="shared" ca="1" si="315"/>
        <v/>
      </c>
      <c r="EG189" s="48">
        <f t="shared" ca="1" si="316"/>
        <v>0</v>
      </c>
      <c r="EH189" s="48" t="str">
        <f t="shared" ca="1" si="317"/>
        <v/>
      </c>
      <c r="EI189" s="48">
        <f t="shared" ca="1" si="318"/>
        <v>0</v>
      </c>
      <c r="EJ189" s="48" t="str">
        <f t="shared" ca="1" si="319"/>
        <v/>
      </c>
      <c r="EK189" s="48">
        <f t="shared" ca="1" si="320"/>
        <v>0</v>
      </c>
      <c r="EL189" s="48">
        <f t="shared" ca="1" si="292"/>
        <v>0</v>
      </c>
      <c r="EM189" s="48">
        <f ca="1">IF(EL189&gt;=0,0,MAX($EM$2:EM188)+1)</f>
        <v>0</v>
      </c>
      <c r="EN189" s="48" t="str">
        <f t="shared" ca="1" si="321"/>
        <v/>
      </c>
      <c r="EO189" s="48" t="str">
        <f ca="1">IFERROR(INDEX($EM$3:$EN$400,MATCH(ROWS($EO$3:EO189),$EM$3:$EM$400,0),2),"")</f>
        <v/>
      </c>
      <c r="EP189" s="48">
        <f>ROW()</f>
        <v>189</v>
      </c>
      <c r="EQ189" s="48">
        <f t="shared" ca="1" si="293"/>
        <v>0</v>
      </c>
      <c r="ER189" s="48">
        <f ca="1">IF(ISNA(EQ189)=TRUE,MAX($ER$2:ER188)+1,0)</f>
        <v>0</v>
      </c>
      <c r="ES189" s="48" t="str">
        <f t="shared" ca="1" si="322"/>
        <v/>
      </c>
      <c r="ET189" s="48" t="str">
        <f ca="1">IFERROR(INDEX($ER$3:$ES$400,MATCH(ROWS($ET$3:ET189),$ER$3:$ER$400,0),2),"")</f>
        <v/>
      </c>
      <c r="EV189" s="48">
        <f ca="1">IFERROR(INDEX(LIBRO_GIORNALE!$O$11:$P$408,MATCH(ROWS($EV$2:EV188),LIBRO_GIORNALE!$P$11:$P$408,0),1),0)</f>
        <v>0</v>
      </c>
      <c r="EW189" s="48" t="str">
        <f t="shared" ca="1" si="323"/>
        <v>0</v>
      </c>
      <c r="EX189" s="48">
        <f t="shared" ca="1" si="324"/>
        <v>0</v>
      </c>
      <c r="EY189" s="48">
        <f ca="1">IF(EX189&gt;0,MAX($EY$2:EY188)+1,0)</f>
        <v>0</v>
      </c>
      <c r="EZ189" s="48">
        <f ca="1">IFERROR(INDEX($EX$3:$EX$400,MATCH(ROWS($EZ$3:EZ189),$EY$3:$EY$400,0),1),0)</f>
        <v>0</v>
      </c>
      <c r="FA189" s="48">
        <f ca="1">IF(EZ189&gt;0,0,MAX($FA$2:FA188)+1)</f>
        <v>187</v>
      </c>
      <c r="FB189" s="48">
        <f t="shared" ca="1" si="325"/>
        <v>0</v>
      </c>
      <c r="FC189" s="48">
        <f t="shared" ca="1" si="326"/>
        <v>187</v>
      </c>
      <c r="FD189" s="48">
        <f t="shared" ca="1" si="327"/>
        <v>187</v>
      </c>
      <c r="FE189" s="48">
        <f ca="1">IF(FD189=0,0,MAX($FE$2:FE188)+1)</f>
        <v>187</v>
      </c>
      <c r="FF189" s="48">
        <f ca="1">IFERROR(INDEX($FD$3:$FE$400,MATCH(ROWS($FF$3:FF189),$FE$3:$FE$400,0),1),"")</f>
        <v>187</v>
      </c>
      <c r="FG189" s="48">
        <f t="shared" ca="1" si="380"/>
        <v>0</v>
      </c>
      <c r="FH189" s="48">
        <f t="shared" ca="1" si="328"/>
        <v>0</v>
      </c>
      <c r="FI189" s="48">
        <f ca="1">IF(FH189&lt;&gt;0,MAX($FI$2:FI188)+1,0)</f>
        <v>0</v>
      </c>
      <c r="FJ189" s="48" t="str">
        <f ca="1">IFERROR(INDEX($FH$3:$FI$400,MATCH(ROWS($FJ$3:FJ189),$FI$3:$FI$400,0),1),"")</f>
        <v/>
      </c>
      <c r="FK189" s="48">
        <f ca="1">IF(ABS(SUMIFS(DARE,DEN_G,"="&amp;FJ189,DATA,"&lt;="&amp;FINE_AC,DATA,"&gt;="&amp;INIZIO_A_PC)-SUMIFS(AVERE,DEN_G,"="&amp;FJ189,DATA,"&lt;="&amp;FINE_AC,DATA,"&gt;="&amp;INIZIO_A_PC))&gt;0,MAX($FK$2:FK188)+1,0)</f>
        <v>0</v>
      </c>
      <c r="FL189" s="48" t="str">
        <f ca="1">IF(AND(ROW()-2&lt;&gt;1,ROW()-2&lt;=$FK$1),CONCATENATE(" - ",IFERROR(INDEX($FJ$3:$FK$400,MATCH(ROWS($FL$3:FL189),$FK$3:$FK$400,0),1),"")),IFERROR(INDEX($FJ$3:$FK$400,MATCH(ROWS($FL$3:FL189),$FK$3:$FK$400,0),1),""))</f>
        <v/>
      </c>
      <c r="FM189" s="48">
        <f ca="1">IF(OR(B189="IVA ns/credito",B189="IVA NS/DEBITO",B189="IVA C/ACCONTO",B189="IMPOSTE C/ACCONTO",B189="CREDITI PER RITENUTE SUBITE",B189="CREDITI D'IMPOSTA"),MAX($FM$2:FM188)+1,0)</f>
        <v>0</v>
      </c>
      <c r="FN189" s="48" t="str">
        <f t="shared" ca="1" si="329"/>
        <v/>
      </c>
      <c r="FO189" s="48" t="str">
        <f ca="1">IFERROR(INDEX($FM$3:$FN$400,MATCH(ROWS($FO$3:FO189),$FM$3:$FM$400,0),2),"")</f>
        <v/>
      </c>
      <c r="FP189" s="48">
        <f ca="1">IF(ABS(SUMIFS(DARE,DEN_G,"="&amp;FO189,DATA,"&lt;="&amp;FINE_AC,DATA,"&gt;="&amp;INIZIO_A_PC)-SUMIFS(AVERE,DEN_G,"="&amp;FO189,DATA,"&lt;="&amp;FINE_AC,DATA,"&gt;="&amp;INIZIO_A_PC))&gt;0,MAX($FP$2:FP188)+1,0)</f>
        <v>0</v>
      </c>
      <c r="FQ189" s="48" t="str">
        <f ca="1">IF(AND(ROW()-2&lt;&gt;1,ROW()-2&lt;=$FP$1),CONCATENATE(" - ",IFERROR(INDEX($FO$3:$FP$400,MATCH(ROWS($FQ$3:FQ189),$FP$3:$FP$400,0),1),"")),IFERROR(INDEX($FO$3:$FP$400,MATCH(ROWS($FQ$3:FQ189),$FP$3:$FP$400,0),1),""))</f>
        <v/>
      </c>
    </row>
    <row r="190" spans="1:173" x14ac:dyDescent="0.3">
      <c r="A190" s="48" t="str">
        <f ca="1">IFERROR(IF($A$1=2,INDEX($DH$3:$DN$401,MATCH(ROWS(A$3:A190),$DN$3:$DN$401,0),COLUMN()),IF($A$1=1,INDEX($DQ$3:$DW$401,MATCH(ROWS(A$3:A190),$DW$3:$DW$401,0),COLUMN()),"")),"")</f>
        <v>20.03</v>
      </c>
      <c r="B190" s="48" t="str">
        <f ca="1">IFERROR(IF($A$1=2,INDEX($DH$3:$DN$401,MATCH(ROWS(B$3:B190),$DN$3:$DN$401,0),COLUMN()),IF($A$1=1,INDEX($DQ$3:$DW$400,MATCH(ROWS(B$3:B190),$DW$3:$DW$401,0),COLUMN()),"")),"")</f>
        <v>SERVIZI ON LINE</v>
      </c>
      <c r="C190" s="48" t="str">
        <f ca="1">IFERROR(IF($A$1=2,INDEX($DH$3:$DN$401,MATCH(ROWS(C$3:C190),$DN$3:$DN$401,0),COLUMN()),IF($A$1=1,INDEX($DQ$3:$DW$401,MATCH(ROWS(C$3:C190),$DW$3:$DW$401,0),COLUMN()),"")),"")</f>
        <v>E</v>
      </c>
      <c r="D190" s="48" t="str">
        <f ca="1">IFERROR(IF($A$1=2,INDEX($DH$3:$DN$401,MATCH(ROWS(D$3:D190),$DN$3:$DN$401,0),COLUMN()),IF($A$1=1,INDEX($DQ$3:$DW$401,MATCH(ROWS(D$3:D190),$DW$3:$DW$401,0),COLUMN()),"")),"")</f>
        <v>A</v>
      </c>
      <c r="E190" s="48" t="str">
        <f ca="1">IFERROR(IF($A$1=2,INDEX($DH$3:$DN$401,MATCH(ROWS(E$3:E190),$DN$3:$DN$401,0),COLUMN()),IF($A$1=1,INDEX($DQ$3:$DW$401,MATCH(ROWS(E$3:E190),$DW$3:$DW$401,0),COLUMN()),"")),"")</f>
        <v>RICAVI D'ESERCIZIO</v>
      </c>
      <c r="F190" s="48" t="str">
        <f ca="1">IFERROR(IF($A$1=2,INDEX($DH$3:$DN$401,MATCH(ROWS(F$3:F190),$DN$3:$DN$401,0),COLUMN()),IF($A$1=1,INDEX($DQ$3:$DX$401,MATCH(ROWS(F$3:F190),$DW$3:$DW$401,0),COLUMN()),"")),"")</f>
        <v>SE AVERE</v>
      </c>
      <c r="G190" s="48" t="str">
        <f t="shared" ca="1" si="294"/>
        <v>SE</v>
      </c>
      <c r="H190" s="48" t="str">
        <f ca="1">IFERROR(IF($A$1=2,INDEX($DH$3:$DO$400,MATCH(ROWS(H$3:H190),$DN$3:$DN$400,0),COLUMN()),IF($A$1=1,INDEX($DQ$3:$DX$400,MATCH(ROWS(H$3:H190),$DW$3:$DW$400,0),COLUMN()),"")),"")</f>
        <v>ea1</v>
      </c>
      <c r="I190" s="48" t="str">
        <f t="shared" ca="1" si="295"/>
        <v/>
      </c>
      <c r="J190" s="48" t="str">
        <f t="shared" ca="1" si="296"/>
        <v/>
      </c>
      <c r="K190" s="48">
        <f t="shared" ca="1" si="297"/>
        <v>0</v>
      </c>
      <c r="L190" s="48">
        <f t="shared" ca="1" si="298"/>
        <v>0</v>
      </c>
      <c r="M190" s="48">
        <f ca="1">IFERROR(IF(IF(MID($A190,3,3)=".00",MID(A190,1,2),"")&lt;&gt;"",MAX($M$2:M189)+1,0),"")</f>
        <v>0</v>
      </c>
      <c r="N190" s="48" t="str">
        <f t="shared" ca="1" si="299"/>
        <v/>
      </c>
      <c r="O190" s="48" t="str">
        <f ca="1">IF(IFERROR(INDEX($N$3:$O$300,MATCH(ROWS($O$3:O190),$M$3:$M$300,0),1),"")&lt;&gt;"",CONCATENATE(INDEX($N$3:$O$300,MATCH(ROWS($O$3:O190),$M$3:$M$300,0),1),".00"),"")</f>
        <v/>
      </c>
      <c r="P190" s="48" t="str">
        <f t="shared" ca="1" si="300"/>
        <v/>
      </c>
      <c r="Q190" s="48">
        <f ca="1">IF(M190&gt;=1,0,MAX($Q$2:Q189)+1)</f>
        <v>168</v>
      </c>
      <c r="U190" s="48" t="str">
        <f ca="1">IFERROR(INDEX(PDC,MATCH(ROWS(U$3:U190),$V$3:$V$400,0),2),"")</f>
        <v>PRODOTTI FINITI C/ESISTENZE INIZIALI</v>
      </c>
      <c r="V190" s="48">
        <f ca="1">IF(AND($T$1="VISUALIZZA TUTTI I CONTI",AA190&lt;&gt;""),MAX($V$2:V189)+1,IF(AND($U$2=2,AI190=$T$1),MAX($V$2:V189)+1,IF(AND($U$2=1,$T$1=AF190),MAX($V$2:V189)+1,0)))</f>
        <v>188</v>
      </c>
      <c r="AA190" s="48" t="str">
        <f t="shared" ca="1" si="301"/>
        <v>21.00</v>
      </c>
      <c r="AB190" s="48" t="str">
        <f ca="1">IFERROR(INDEX($A$3:$G$400,MATCH(ROWS(AB$3:AB190),$Q$3:$Q$400,0),1),"")</f>
        <v>21.06</v>
      </c>
      <c r="AC190" s="48" t="str">
        <f ca="1">IFERROR(INDEX($A$3:$G$400,MATCH(ROWS($AC$3:AC190),$Q$3:$Q$400,0),2),"")</f>
        <v>PRODOTTI FINITI C/ESISTENZE INIZIALI</v>
      </c>
      <c r="AD190" s="48" t="str">
        <f ca="1">IFERROR(INDEX($A$3:$G$400,MATCH(ROWS(AD$3:AD190),$Q$3:$Q$400,0),3),"")</f>
        <v>E</v>
      </c>
      <c r="AE190" s="48" t="str">
        <f ca="1">IFERROR(INDEX($A$3:$G$400,MATCH(ROWS(AE$3:AE190),$Q$3:$Q$400,0),4),"")</f>
        <v>D</v>
      </c>
      <c r="AF190" s="48" t="str">
        <f ca="1">IFERROR(INDEX($A$3:$G$400,MATCH(ROWS(AF$3:AF190),$Q$3:$Q$400,0),5),"")</f>
        <v>COSTI D'ESERCIZIO</v>
      </c>
      <c r="AG190" s="48" t="str">
        <f ca="1">IFERROR(INDEX($A$3:$G$400,MATCH(ROWS(AG$3:AG190),$Q$3:$Q$400,0),6),"")</f>
        <v>SE DARE</v>
      </c>
      <c r="AH190" s="48" t="str">
        <f ca="1">IFERROR(INDEX($A$3:$G$400,MATCH(ROWS(AH$3:AH190),$Q$3:$Q$400,0),7),"")</f>
        <v>SE</v>
      </c>
      <c r="AI190" s="48" t="str">
        <f t="shared" ca="1" si="302"/>
        <v>VARIAZ. RIM. PROD. IN CORSO DI LAVORAZ., SEMIL. E FINITI</v>
      </c>
      <c r="AJ190" s="48" t="str">
        <f ca="1">IFERROR(INDEX($A$3:$H$400,MATCH(ROWS(AJ$3:AJ190),$Q$3:$Q$400,0),8),"")</f>
        <v>ea2</v>
      </c>
      <c r="AK190" s="48">
        <f t="shared" ca="1" si="277"/>
        <v>0</v>
      </c>
      <c r="AL190" s="48">
        <f t="shared" ca="1" si="373"/>
        <v>0</v>
      </c>
      <c r="AM190" s="48">
        <f t="shared" ca="1" si="377"/>
        <v>0</v>
      </c>
      <c r="AN190" s="48">
        <f t="shared" ca="1" si="378"/>
        <v>0</v>
      </c>
      <c r="AO190" s="48">
        <f t="shared" ca="1" si="379"/>
        <v>0</v>
      </c>
      <c r="AP190" s="48">
        <f t="shared" ca="1" si="379"/>
        <v>0</v>
      </c>
      <c r="AQ190" s="48" t="str">
        <f t="shared" ca="1" si="278"/>
        <v/>
      </c>
      <c r="AR190" s="48">
        <f t="shared" ca="1" si="279"/>
        <v>0</v>
      </c>
      <c r="AS190" s="48">
        <f t="shared" ca="1" si="280"/>
        <v>0</v>
      </c>
      <c r="AT190" s="48">
        <f t="shared" ca="1" si="303"/>
        <v>0</v>
      </c>
      <c r="AU190" s="48">
        <f t="shared" ca="1" si="304"/>
        <v>0</v>
      </c>
      <c r="AV190" s="48">
        <f ca="1">IF(OR(AT190&gt;0,AU190&gt;0),MAX($AV$2:AV189)+1,0)</f>
        <v>0</v>
      </c>
      <c r="AZ190" s="241" t="str">
        <f>CONCATENATE(ROW()-100," V.I.")</f>
        <v>90 V.I.</v>
      </c>
      <c r="BA190" s="48">
        <f t="shared" ca="1" si="369"/>
        <v>0</v>
      </c>
      <c r="BB190" s="48">
        <f t="shared" ca="1" si="370"/>
        <v>0</v>
      </c>
      <c r="BC190" s="48" t="str">
        <f t="shared" ca="1" si="382"/>
        <v/>
      </c>
      <c r="BD190" s="48">
        <f t="shared" ca="1" si="383"/>
        <v>0</v>
      </c>
      <c r="BE190" s="48">
        <f t="shared" ca="1" si="384"/>
        <v>0</v>
      </c>
      <c r="BG190" s="48">
        <f ca="1">IF(IF(AND(OR(INDEX(PDC,MATCH($AC190,DEN_PDC,0),6)="SP DARE",INDEX(PDC,MATCH($AC190,DEN_PDC,0),6)="SP DARE/AVERE"),SUMIFS(DARE,DEN_G,$AC190)&gt;=SUMIFS(AVERE,DEN_G,$AC190)),SUMIFS(DARE,DEN_G,$AC190)-SUMIFS(AVERE,DEN_G,$AC190),0)&gt;0,MAX($BG$2:BG189)+1,0)</f>
        <v>0</v>
      </c>
      <c r="BH190" s="48">
        <f ca="1">IF(IF(AND(OR(INDEX(PDC,MATCH($AC190,DEN_PDC,0),6)="SP AVERE",INDEX(PDC,MATCH($AC190,DEN_PDC,0),6)="SP DARE/AVERE"),SUMIFS(AVERE,DEN_G,$AC190)&gt;=SUMIFS(DARE,DEN_G,$AC190)),SUMIFS(AVERE,DEN_G,$AC190)-SUMIFS(DARE,DEN_G,$AC190),0)&gt;0,MAX(BH$2:BH189)+1,0)</f>
        <v>0</v>
      </c>
      <c r="BI190" s="48">
        <f ca="1">IF(IF(AND(OR(INDEX(PDC,MATCH($AC190,DEN_PDC,0),6)="SE DARE",INDEX(PDC,MATCH($AC190,DEN_PDC,0),6)="SE DARE/AVERE"),SUMIFS(DARE,DEN_G,$AC190)&gt;=SUMIFS(AVERE,DEN_G,$AC190)),SUMIFS(DARE,DEN_G,$AC190)-SUMIFS(AVERE,DEN_G,$AC190),0)&gt;0,MAX(BI$2:BI189)+1,0)</f>
        <v>0</v>
      </c>
      <c r="BJ190" s="48">
        <f ca="1">IF(IF(AND(OR(INDEX(PDC,MATCH($AC190,DEN_PDC,0),6)="SE AVERE",INDEX(PDC,MATCH($AC190,DEN_PDC,0),6)="SE DARE/AVERE"),SUMIFS(AVERE,DEN_G,$AC190)&gt;=SUMIFS(DARE,DEN_G,$AC190)),SUMIFS(AVERE,DEN_G,$AC190)-SUMIFS(DARE,DEN_G,$AC190),0)&gt;0,MAX(BJ$2:BJ189)+1,0)</f>
        <v>0</v>
      </c>
      <c r="BK190" s="48" t="str">
        <f ca="1">IF(AND(AND($DY$2=0,$DY$1=0),$I$1=2,ROW()&gt;$BG$1+2,ROW()&lt;=$BG$1+4),"………………..",IF(AND(OR($DY$2&gt;0,$DY$1&gt;0),$I$1=2,ROW()&gt;$BG$1+2,ROW()&lt;=$BG$1+4),"………………..",IFERROR(INDEX($AC$3:$AC$398,MATCH(ROWS(BK$3:BK190),BG$3:BG$398,0),1),"")))</f>
        <v/>
      </c>
      <c r="BL190" s="48">
        <f t="shared" ca="1" si="281"/>
        <v>0</v>
      </c>
      <c r="BM190" s="48" t="str">
        <f ca="1">IF(AND(OR($DY$2=0,$DY$1=0),$I$1=2,ROW()&gt;$BH$1+2,ROW()&lt;=$BH$1+4),"………………..",IF(AND(OR($DY$2&gt;0,$DY$1&gt;0),$I$1=2,ROW()&gt;$BH$1+2,ROW()&lt;=$BH$1+4),"………………..",IFERROR(INDEX($AC$3:$AC$400,MATCH(ROWS(BM$3:BM190),BH$3:BH$400,0),1),"")))</f>
        <v/>
      </c>
      <c r="BN190" s="48">
        <f t="shared" ca="1" si="282"/>
        <v>0</v>
      </c>
      <c r="BO190" s="48" t="str">
        <f ca="1">IF(AND(OR($DY$2=0,$DY$1=0),$I$1=2,ROW()&gt;$BI$1+2,ROW()&lt;=$BI$1+4),"………………..",IF(AND(OR($DY$2&gt;0,$DY$1&gt;0),$I$1=2,ROW()&gt;$BI$1+2,ROW()&lt;=$BI$1+4),"………………..",IFERROR(INDEX($AC$3:$AC$400,MATCH(ROWS(BO$3:BO190),BI$3:BI$400,0),1),"")))</f>
        <v/>
      </c>
      <c r="BP190" s="48">
        <f t="shared" ca="1" si="283"/>
        <v>0</v>
      </c>
      <c r="BQ190" s="48" t="str">
        <f ca="1">IF(AND(OR($DY$2=0,$DY$1=0),$I$1=2,ROW()&gt;$BJ$1+2,ROW()&lt;=$BJ$1+4),"………………..",IF(AND(OR($DY$2&gt;0,$DY$1&gt;0),$I$1=2,ROW()&gt;$BJ$1+2,ROW()&lt;=$BJ$1+4),"………………..",IFERROR(INDEX($AC$3:$AC$400,MATCH(ROWS(BQ$3:BQ190),BJ$3:BJ$400,0),1),"")))</f>
        <v/>
      </c>
      <c r="BR190" s="48">
        <f t="shared" ca="1" si="284"/>
        <v>0</v>
      </c>
      <c r="BS190" s="48">
        <f ca="1">IF(IF(AND(OR(INDEX(PDC,MATCH($AC190,DEN_PDC,0),4)="D",INDEX(PDC,MATCH($AC190,DEN_PDC,0),4)="D/A"),SUMIFS(DARE,DEN_G,$AC190)&gt;=SUMIFS(AVERE,DEN_G,$AC190)),SUMIFS(DARE,DEN_G,$AC190),IF(AND(OR(INDEX(PDC,MATCH($AC190,DEN_PDC,0),4)="A",INDEX(PDC,MATCH($AC190,DEN_PDC,0),4)="D/A"),SUMIFS(AVERE,DEN_G,$AC190)&gt;=SUMIFS(DARE,DEN_G,$AC190)),SUMIFS(AVERE,DEN_G,$AC190),))&gt;0,MAX($BS$2:BS189)+1,0)</f>
        <v>0</v>
      </c>
      <c r="BT190" s="48" t="str">
        <f ca="1">IF($CO$1=0,"",IF(AND($I$1=2,ROW()&gt;$BR$1,ROW()&lt;=$BS$1)," …………….",IF(AND($E$1=1,$BX$1=1,$I$1=2,ROW()=$BQ$1),"TOTALI",IFERROR(INDEX(PDC,MATCH(ROWS(BT$3:BT190),BS$3:BS587,0),2),""))))</f>
        <v/>
      </c>
      <c r="BU190" s="48">
        <f t="shared" ca="1" si="285"/>
        <v>0</v>
      </c>
      <c r="BV190" s="48">
        <f t="shared" ca="1" si="286"/>
        <v>0</v>
      </c>
      <c r="BW190" s="48">
        <f t="shared" ca="1" si="287"/>
        <v>0</v>
      </c>
      <c r="BX190" s="48">
        <f t="shared" ca="1" si="288"/>
        <v>0</v>
      </c>
      <c r="BY190" s="48">
        <f ca="1">IF(OR(BW190&gt;0,BX190&gt;0),MAX($BY$2:BY189)+1,0)</f>
        <v>0</v>
      </c>
      <c r="BZ190" s="48" t="str">
        <f ca="1">IFERROR(INDEX($BT$3:$BY$400,MATCH(ROWS(BZ$3:BZ190),$BY$3:$BY$400,0),1),"")</f>
        <v/>
      </c>
      <c r="CA190" s="48" t="str">
        <f ca="1">IFERROR(INDEX($BT$3:$BY$400,MATCH(ROWS(CA$3:CA190),$BY$3:$BY$400,0),4),"")</f>
        <v/>
      </c>
      <c r="CB190" s="48" t="str">
        <f ca="1">IFERROR(INDEX($BT$3:$BY$400,MATCH(ROWS(CB$3:CB190),$BY$3:$BY$400,0),5),"")</f>
        <v/>
      </c>
      <c r="CC190" s="48" t="str">
        <f t="shared" ca="1" si="289"/>
        <v/>
      </c>
      <c r="CM190" s="242" t="str">
        <f t="shared" ca="1" si="305"/>
        <v/>
      </c>
      <c r="CN190" s="243">
        <f t="shared" ca="1" si="306"/>
        <v>0</v>
      </c>
      <c r="CO190" s="48" t="str">
        <f t="shared" ca="1" si="307"/>
        <v/>
      </c>
      <c r="CQ190" s="242"/>
      <c r="CR190" s="242"/>
      <c r="CU190" s="48">
        <f ca="1">IF(SUMIFS(AVERE,DEN_G,AC190,AVERE,"&gt;"&amp;0)+SUMIFS(DARE,DEN_G,AC190,DARE,"&gt;"&amp;0)&gt;0,MAX($CU$2:CU189)+1,0)</f>
        <v>0</v>
      </c>
      <c r="CV190" s="48" t="str">
        <f ca="1">IF(IFERROR(INDEX(PDC,MATCH(ROWS($CV$3:CV190),$CU$3:$CU$400,0),2),"")="CONTO DI RISULTATO ECONOMICO","",IFERROR(INDEX(PDC,MATCH(ROWS($CV$3:CV190),$CU$3:$CU$400,0),2),""))</f>
        <v/>
      </c>
      <c r="CW190" s="48">
        <f ca="1">IFERROR(IF(CV190&lt;&gt;"",MAX($CW$2:CW189)+1,0),0)</f>
        <v>0</v>
      </c>
      <c r="CX190" s="48">
        <f t="shared" ca="1" si="405"/>
        <v>15</v>
      </c>
      <c r="CY190" s="48" t="str">
        <f t="shared" ca="1" si="404"/>
        <v>MASTRO</v>
      </c>
      <c r="CZ190" s="48" t="e">
        <f t="shared" ca="1" si="407"/>
        <v>#N/A</v>
      </c>
      <c r="DA190" s="48" t="str">
        <f t="shared" ca="1" si="412"/>
        <v/>
      </c>
      <c r="DB190" s="48" t="str">
        <f t="shared" ca="1" si="347"/>
        <v/>
      </c>
      <c r="DC190" s="48" t="str">
        <f t="shared" ca="1" si="408"/>
        <v/>
      </c>
      <c r="DD190" s="48" t="str">
        <f t="shared" ca="1" si="409"/>
        <v/>
      </c>
      <c r="DE190" s="48" t="str">
        <f t="shared" ca="1" si="410"/>
        <v/>
      </c>
      <c r="DF190" s="48">
        <f ca="1">IF(AND(CX190=$DF$1,CX190&lt;&gt;""),0,IF(AND(DB190&lt;&gt;"",OR(DB189&lt;&gt;"",DB191&lt;&gt;"")),MAX($DF$2:DF189)+1,0))</f>
        <v>0</v>
      </c>
      <c r="DH190" s="244" t="s">
        <v>286</v>
      </c>
      <c r="DI190" s="48" t="str">
        <f ca="1">IF($DL$1=TRUE,"SOCI C/COMPETENZE","AZIONISTI C/COMPETENZE")</f>
        <v>AZIONISTI C/COMPETENZE</v>
      </c>
      <c r="DJ190" s="48" t="s">
        <v>312</v>
      </c>
      <c r="DK190" s="48" t="s">
        <v>298</v>
      </c>
      <c r="DL190" s="48" t="s">
        <v>5</v>
      </c>
      <c r="DM190" s="48" t="s">
        <v>299</v>
      </c>
      <c r="DO190" s="48" t="str">
        <f t="shared" ca="1" si="403"/>
        <v>ppd</v>
      </c>
      <c r="DQ190" s="227" t="s">
        <v>414</v>
      </c>
      <c r="DR190" s="48" t="str">
        <f ca="1">IF($DR$1=0,"SOCIO … C/RIMBORSI","")</f>
        <v>SOCIO … C/RIMBORSI</v>
      </c>
      <c r="DS190" s="48" t="s">
        <v>312</v>
      </c>
      <c r="DT190" s="48" t="s">
        <v>298</v>
      </c>
      <c r="DU190" s="48" t="s">
        <v>5</v>
      </c>
      <c r="DV190" s="48" t="s">
        <v>299</v>
      </c>
      <c r="DW190" s="48">
        <f ca="1">IF(DR190&lt;&gt;"",MAX($DW$2:DW189)+1,0)</f>
        <v>118</v>
      </c>
      <c r="DX190" s="48" t="str">
        <f t="shared" ca="1" si="401"/>
        <v>ppd</v>
      </c>
      <c r="DY190" s="48" t="str">
        <f t="shared" ca="1" si="291"/>
        <v/>
      </c>
      <c r="DZ190" s="48" t="str">
        <f t="shared" ca="1" si="309"/>
        <v/>
      </c>
      <c r="EA190" s="48" t="str">
        <f t="shared" ca="1" si="310"/>
        <v/>
      </c>
      <c r="EB190" s="48">
        <f t="shared" ca="1" si="311"/>
        <v>0</v>
      </c>
      <c r="EC190" s="48">
        <f t="shared" ca="1" si="312"/>
        <v>0</v>
      </c>
      <c r="ED190" s="48" t="str">
        <f t="shared" ca="1" si="313"/>
        <v/>
      </c>
      <c r="EE190" s="48">
        <f t="shared" ca="1" si="314"/>
        <v>0</v>
      </c>
      <c r="EF190" s="48" t="str">
        <f t="shared" ca="1" si="315"/>
        <v/>
      </c>
      <c r="EG190" s="48">
        <f t="shared" ca="1" si="316"/>
        <v>0</v>
      </c>
      <c r="EH190" s="48" t="str">
        <f t="shared" ca="1" si="317"/>
        <v/>
      </c>
      <c r="EI190" s="48">
        <f t="shared" ca="1" si="318"/>
        <v>0</v>
      </c>
      <c r="EJ190" s="48" t="str">
        <f t="shared" ca="1" si="319"/>
        <v/>
      </c>
      <c r="EK190" s="48">
        <f t="shared" ca="1" si="320"/>
        <v>0</v>
      </c>
      <c r="EL190" s="48">
        <f t="shared" ca="1" si="292"/>
        <v>0</v>
      </c>
      <c r="EM190" s="48">
        <f ca="1">IF(EL190&gt;=0,0,MAX($EM$2:EM189)+1)</f>
        <v>0</v>
      </c>
      <c r="EN190" s="48" t="str">
        <f t="shared" ca="1" si="321"/>
        <v/>
      </c>
      <c r="EO190" s="48" t="str">
        <f ca="1">IFERROR(INDEX($EM$3:$EN$400,MATCH(ROWS($EO$3:EO190),$EM$3:$EM$400,0),2),"")</f>
        <v/>
      </c>
      <c r="EP190" s="48">
        <f>ROW()</f>
        <v>190</v>
      </c>
      <c r="EQ190" s="48">
        <f t="shared" ca="1" si="293"/>
        <v>0</v>
      </c>
      <c r="ER190" s="48">
        <f ca="1">IF(ISNA(EQ190)=TRUE,MAX($ER$2:ER189)+1,0)</f>
        <v>0</v>
      </c>
      <c r="ES190" s="48" t="str">
        <f t="shared" ca="1" si="322"/>
        <v/>
      </c>
      <c r="ET190" s="48" t="str">
        <f ca="1">IFERROR(INDEX($ER$3:$ES$400,MATCH(ROWS($ET$3:ET190),$ER$3:$ER$400,0),2),"")</f>
        <v/>
      </c>
      <c r="EV190" s="48">
        <f ca="1">IFERROR(INDEX(LIBRO_GIORNALE!$O$11:$P$408,MATCH(ROWS($EV$2:EV189),LIBRO_GIORNALE!$P$11:$P$408,0),1),0)</f>
        <v>0</v>
      </c>
      <c r="EW190" s="48" t="str">
        <f t="shared" ca="1" si="323"/>
        <v>0</v>
      </c>
      <c r="EX190" s="48">
        <f t="shared" ca="1" si="324"/>
        <v>0</v>
      </c>
      <c r="EY190" s="48">
        <f ca="1">IF(EX190&gt;0,MAX($EY$2:EY189)+1,0)</f>
        <v>0</v>
      </c>
      <c r="EZ190" s="48">
        <f ca="1">IFERROR(INDEX($EX$3:$EX$400,MATCH(ROWS($EZ$3:EZ190),$EY$3:$EY$400,0),1),0)</f>
        <v>0</v>
      </c>
      <c r="FA190" s="48">
        <f ca="1">IF(EZ190&gt;0,0,MAX($FA$2:FA189)+1)</f>
        <v>188</v>
      </c>
      <c r="FB190" s="48">
        <f t="shared" ca="1" si="325"/>
        <v>0</v>
      </c>
      <c r="FC190" s="48">
        <f t="shared" ca="1" si="326"/>
        <v>188</v>
      </c>
      <c r="FD190" s="48">
        <f t="shared" ca="1" si="327"/>
        <v>188</v>
      </c>
      <c r="FE190" s="48">
        <f ca="1">IF(FD190=0,0,MAX($FE$2:FE189)+1)</f>
        <v>188</v>
      </c>
      <c r="FF190" s="48">
        <f ca="1">IFERROR(INDEX($FD$3:$FE$400,MATCH(ROWS($FF$3:FF190),$FE$3:$FE$400,0),1),"")</f>
        <v>188</v>
      </c>
      <c r="FG190" s="48">
        <f t="shared" ca="1" si="380"/>
        <v>0</v>
      </c>
      <c r="FH190" s="48">
        <f t="shared" ca="1" si="328"/>
        <v>0</v>
      </c>
      <c r="FI190" s="48">
        <f ca="1">IF(FH190&lt;&gt;0,MAX($FI$2:FI189)+1,0)</f>
        <v>0</v>
      </c>
      <c r="FJ190" s="48" t="str">
        <f ca="1">IFERROR(INDEX($FH$3:$FI$400,MATCH(ROWS($FJ$3:FJ190),$FI$3:$FI$400,0),1),"")</f>
        <v/>
      </c>
      <c r="FK190" s="48">
        <f ca="1">IF(ABS(SUMIFS(DARE,DEN_G,"="&amp;FJ190,DATA,"&lt;="&amp;FINE_AC,DATA,"&gt;="&amp;INIZIO_A_PC)-SUMIFS(AVERE,DEN_G,"="&amp;FJ190,DATA,"&lt;="&amp;FINE_AC,DATA,"&gt;="&amp;INIZIO_A_PC))&gt;0,MAX($FK$2:FK189)+1,0)</f>
        <v>0</v>
      </c>
      <c r="FL190" s="48" t="str">
        <f ca="1">IF(AND(ROW()-2&lt;&gt;1,ROW()-2&lt;=$FK$1),CONCATENATE(" - ",IFERROR(INDEX($FJ$3:$FK$400,MATCH(ROWS($FL$3:FL190),$FK$3:$FK$400,0),1),"")),IFERROR(INDEX($FJ$3:$FK$400,MATCH(ROWS($FL$3:FL190),$FK$3:$FK$400,0),1),""))</f>
        <v/>
      </c>
      <c r="FM190" s="48">
        <f ca="1">IF(OR(B190="IVA ns/credito",B190="IVA NS/DEBITO",B190="IVA C/ACCONTO",B190="IMPOSTE C/ACCONTO",B190="CREDITI PER RITENUTE SUBITE",B190="CREDITI D'IMPOSTA"),MAX($FM$2:FM189)+1,0)</f>
        <v>0</v>
      </c>
      <c r="FN190" s="48" t="str">
        <f t="shared" ca="1" si="329"/>
        <v/>
      </c>
      <c r="FO190" s="48" t="str">
        <f ca="1">IFERROR(INDEX($FM$3:$FN$400,MATCH(ROWS($FO$3:FO190),$FM$3:$FM$400,0),2),"")</f>
        <v/>
      </c>
      <c r="FP190" s="48">
        <f ca="1">IF(ABS(SUMIFS(DARE,DEN_G,"="&amp;FO190,DATA,"&lt;="&amp;FINE_AC,DATA,"&gt;="&amp;INIZIO_A_PC)-SUMIFS(AVERE,DEN_G,"="&amp;FO190,DATA,"&lt;="&amp;FINE_AC,DATA,"&gt;="&amp;INIZIO_A_PC))&gt;0,MAX($FP$2:FP189)+1,0)</f>
        <v>0</v>
      </c>
      <c r="FQ190" s="48" t="str">
        <f ca="1">IF(AND(ROW()-2&lt;&gt;1,ROW()-2&lt;=$FP$1),CONCATENATE(" - ",IFERROR(INDEX($FO$3:$FP$400,MATCH(ROWS($FQ$3:FQ190),$FP$3:$FP$400,0),1),"")),IFERROR(INDEX($FO$3:$FP$400,MATCH(ROWS($FQ$3:FQ190),$FP$3:$FP$400,0),1),""))</f>
        <v/>
      </c>
    </row>
    <row r="191" spans="1:173" x14ac:dyDescent="0.3">
      <c r="A191" s="48" t="str">
        <f ca="1">IFERROR(IF($A$1=2,INDEX($DH$3:$DN$401,MATCH(ROWS(A$3:A191),$DN$3:$DN$401,0),COLUMN()),IF($A$1=1,INDEX($DQ$3:$DW$401,MATCH(ROWS(A$3:A191),$DW$3:$DW$401,0),COLUMN()),"")),"")</f>
        <v>20.05</v>
      </c>
      <c r="B191" s="48" t="str">
        <f ca="1">IFERROR(IF($A$1=2,INDEX($DH$3:$DN$401,MATCH(ROWS(B$3:B191),$DN$3:$DN$401,0),COLUMN()),IF($A$1=1,INDEX($DQ$3:$DW$400,MATCH(ROWS(B$3:B191),$DW$3:$DW$401,0),COLUMN()),"")),"")</f>
        <v>LAVORAZIONI C/TERZI</v>
      </c>
      <c r="C191" s="48" t="str">
        <f ca="1">IFERROR(IF($A$1=2,INDEX($DH$3:$DN$401,MATCH(ROWS(C$3:C191),$DN$3:$DN$401,0),COLUMN()),IF($A$1=1,INDEX($DQ$3:$DW$401,MATCH(ROWS(C$3:C191),$DW$3:$DW$401,0),COLUMN()),"")),"")</f>
        <v>E</v>
      </c>
      <c r="D191" s="48" t="str">
        <f ca="1">IFERROR(IF($A$1=2,INDEX($DH$3:$DN$401,MATCH(ROWS(D$3:D191),$DN$3:$DN$401,0),COLUMN()),IF($A$1=1,INDEX($DQ$3:$DW$401,MATCH(ROWS(D$3:D191),$DW$3:$DW$401,0),COLUMN()),"")),"")</f>
        <v>A</v>
      </c>
      <c r="E191" s="48" t="str">
        <f ca="1">IFERROR(IF($A$1=2,INDEX($DH$3:$DN$401,MATCH(ROWS(E$3:E191),$DN$3:$DN$401,0),COLUMN()),IF($A$1=1,INDEX($DQ$3:$DW$401,MATCH(ROWS(E$3:E191),$DW$3:$DW$401,0),COLUMN()),"")),"")</f>
        <v>RICAVI D'ESERCIZIO</v>
      </c>
      <c r="F191" s="48" t="str">
        <f ca="1">IFERROR(IF($A$1=2,INDEX($DH$3:$DN$401,MATCH(ROWS(F$3:F191),$DN$3:$DN$401,0),COLUMN()),IF($A$1=1,INDEX($DQ$3:$DX$401,MATCH(ROWS(F$3:F191),$DW$3:$DW$401,0),COLUMN()),"")),"")</f>
        <v>SE AVERE</v>
      </c>
      <c r="G191" s="48" t="str">
        <f t="shared" ca="1" si="294"/>
        <v>SE</v>
      </c>
      <c r="H191" s="48" t="str">
        <f ca="1">IFERROR(IF($A$1=2,INDEX($DH$3:$DO$400,MATCH(ROWS(H$3:H191),$DN$3:$DN$400,0),COLUMN()),IF($A$1=1,INDEX($DQ$3:$DX$400,MATCH(ROWS(H$3:H191),$DW$3:$DW$400,0),COLUMN()),"")),"")</f>
        <v>ea1</v>
      </c>
      <c r="I191" s="48" t="str">
        <f t="shared" ca="1" si="295"/>
        <v/>
      </c>
      <c r="J191" s="48" t="str">
        <f t="shared" ca="1" si="296"/>
        <v/>
      </c>
      <c r="K191" s="48">
        <f t="shared" ca="1" si="297"/>
        <v>0</v>
      </c>
      <c r="L191" s="48">
        <f t="shared" ca="1" si="298"/>
        <v>0</v>
      </c>
      <c r="M191" s="48">
        <f ca="1">IFERROR(IF(IF(MID($A191,3,3)=".00",MID(A191,1,2),"")&lt;&gt;"",MAX($M$2:M190)+1,0),"")</f>
        <v>0</v>
      </c>
      <c r="N191" s="48" t="str">
        <f t="shared" ca="1" si="299"/>
        <v/>
      </c>
      <c r="O191" s="48" t="str">
        <f ca="1">IF(IFERROR(INDEX($N$3:$O$300,MATCH(ROWS($O$3:O191),$M$3:$M$300,0),1),"")&lt;&gt;"",CONCATENATE(INDEX($N$3:$O$300,MATCH(ROWS($O$3:O191),$M$3:$M$300,0),1),".00"),"")</f>
        <v/>
      </c>
      <c r="P191" s="48" t="str">
        <f t="shared" ca="1" si="300"/>
        <v/>
      </c>
      <c r="Q191" s="48">
        <f ca="1">IF(M191&gt;=1,0,MAX($Q$2:Q190)+1)</f>
        <v>169</v>
      </c>
      <c r="U191" s="48" t="str">
        <f ca="1">IFERROR(INDEX(PDC,MATCH(ROWS(U$3:U191),$V$3:$V$400,0),2),"")</f>
        <v>PRODOTTI IN LAVORAZIONE C/RIMANENZE FINALI</v>
      </c>
      <c r="V191" s="48">
        <f ca="1">IF(AND($T$1="VISUALIZZA TUTTI I CONTI",AA191&lt;&gt;""),MAX($V$2:V190)+1,IF(AND($U$2=2,AI191=$T$1),MAX($V$2:V190)+1,IF(AND($U$2=1,$T$1=AF191),MAX($V$2:V190)+1,0)))</f>
        <v>189</v>
      </c>
      <c r="AA191" s="48" t="str">
        <f t="shared" ca="1" si="301"/>
        <v>21.00</v>
      </c>
      <c r="AB191" s="48" t="str">
        <f ca="1">IFERROR(INDEX($A$3:$G$400,MATCH(ROWS(AB$3:AB191),$Q$3:$Q$400,0),1),"")</f>
        <v>21.10</v>
      </c>
      <c r="AC191" s="48" t="str">
        <f ca="1">IFERROR(INDEX($A$3:$G$400,MATCH(ROWS($AC$3:AC191),$Q$3:$Q$400,0),2),"")</f>
        <v>PRODOTTI IN LAVORAZIONE C/RIMANENZE FINALI</v>
      </c>
      <c r="AD191" s="48" t="str">
        <f ca="1">IFERROR(INDEX($A$3:$G$400,MATCH(ROWS(AD$3:AD191),$Q$3:$Q$400,0),3),"")</f>
        <v>E</v>
      </c>
      <c r="AE191" s="48" t="str">
        <f ca="1">IFERROR(INDEX($A$3:$G$400,MATCH(ROWS(AE$3:AE191),$Q$3:$Q$400,0),4),"")</f>
        <v>A</v>
      </c>
      <c r="AF191" s="48" t="str">
        <f ca="1">IFERROR(INDEX($A$3:$G$400,MATCH(ROWS(AF$3:AF191),$Q$3:$Q$400,0),5),"")</f>
        <v>RETTIFICHE COSTI D'ESERCIZIO</v>
      </c>
      <c r="AG191" s="48" t="str">
        <f ca="1">IFERROR(INDEX($A$3:$G$400,MATCH(ROWS(AG$3:AG191),$Q$3:$Q$400,0),6),"")</f>
        <v>SE AVERE</v>
      </c>
      <c r="AH191" s="48" t="str">
        <f ca="1">IFERROR(INDEX($A$3:$G$400,MATCH(ROWS(AH$3:AH191),$Q$3:$Q$400,0),7),"")</f>
        <v>SE</v>
      </c>
      <c r="AI191" s="48" t="str">
        <f t="shared" ca="1" si="302"/>
        <v>VARIAZ. RIM. PROD. IN CORSO DI LAVORAZ., SEMIL. E FINITI</v>
      </c>
      <c r="AJ191" s="48" t="str">
        <f ca="1">IFERROR(INDEX($A$3:$H$400,MATCH(ROWS(AJ$3:AJ191),$Q$3:$Q$400,0),8),"")</f>
        <v>ea2</v>
      </c>
      <c r="AK191" s="48">
        <f t="shared" ca="1" si="277"/>
        <v>0</v>
      </c>
      <c r="AL191" s="48">
        <f t="shared" ca="1" si="373"/>
        <v>0</v>
      </c>
      <c r="AM191" s="48">
        <f t="shared" ca="1" si="377"/>
        <v>0</v>
      </c>
      <c r="AN191" s="48">
        <f t="shared" ca="1" si="378"/>
        <v>0</v>
      </c>
      <c r="AO191" s="48">
        <f t="shared" ca="1" si="379"/>
        <v>0</v>
      </c>
      <c r="AP191" s="48">
        <f t="shared" ca="1" si="379"/>
        <v>0</v>
      </c>
      <c r="AQ191" s="48" t="str">
        <f t="shared" ca="1" si="278"/>
        <v/>
      </c>
      <c r="AR191" s="48">
        <f t="shared" ca="1" si="279"/>
        <v>0</v>
      </c>
      <c r="AS191" s="48">
        <f t="shared" ca="1" si="280"/>
        <v>0</v>
      </c>
      <c r="AT191" s="48">
        <f t="shared" ca="1" si="303"/>
        <v>0</v>
      </c>
      <c r="AU191" s="48">
        <f t="shared" ca="1" si="304"/>
        <v>0</v>
      </c>
      <c r="AV191" s="48">
        <f ca="1">IF(OR(AT191&gt;0,AU191&gt;0),MAX($AV$2:AV190)+1,0)</f>
        <v>0</v>
      </c>
      <c r="AZ191" s="241" t="str">
        <f t="shared" si="381"/>
        <v>91 V.I.</v>
      </c>
      <c r="BA191" s="48">
        <f t="shared" ca="1" si="369"/>
        <v>0</v>
      </c>
      <c r="BB191" s="48">
        <f t="shared" ca="1" si="370"/>
        <v>0</v>
      </c>
      <c r="BC191" s="48" t="str">
        <f t="shared" ca="1" si="382"/>
        <v/>
      </c>
      <c r="BD191" s="48">
        <f t="shared" ca="1" si="383"/>
        <v>0</v>
      </c>
      <c r="BE191" s="48">
        <f t="shared" ca="1" si="384"/>
        <v>0</v>
      </c>
      <c r="BG191" s="48">
        <f ca="1">IF(IF(AND(OR(INDEX(PDC,MATCH($AC191,DEN_PDC,0),6)="SP DARE",INDEX(PDC,MATCH($AC191,DEN_PDC,0),6)="SP DARE/AVERE"),SUMIFS(DARE,DEN_G,$AC191)&gt;=SUMIFS(AVERE,DEN_G,$AC191)),SUMIFS(DARE,DEN_G,$AC191)-SUMIFS(AVERE,DEN_G,$AC191),0)&gt;0,MAX($BG$2:BG190)+1,0)</f>
        <v>0</v>
      </c>
      <c r="BH191" s="48">
        <f ca="1">IF(IF(AND(OR(INDEX(PDC,MATCH($AC191,DEN_PDC,0),6)="SP AVERE",INDEX(PDC,MATCH($AC191,DEN_PDC,0),6)="SP DARE/AVERE"),SUMIFS(AVERE,DEN_G,$AC191)&gt;=SUMIFS(DARE,DEN_G,$AC191)),SUMIFS(AVERE,DEN_G,$AC191)-SUMIFS(DARE,DEN_G,$AC191),0)&gt;0,MAX(BH$2:BH190)+1,0)</f>
        <v>0</v>
      </c>
      <c r="BI191" s="48">
        <f ca="1">IF(IF(AND(OR(INDEX(PDC,MATCH($AC191,DEN_PDC,0),6)="SE DARE",INDEX(PDC,MATCH($AC191,DEN_PDC,0),6)="SE DARE/AVERE"),SUMIFS(DARE,DEN_G,$AC191)&gt;=SUMIFS(AVERE,DEN_G,$AC191)),SUMIFS(DARE,DEN_G,$AC191)-SUMIFS(AVERE,DEN_G,$AC191),0)&gt;0,MAX(BI$2:BI190)+1,0)</f>
        <v>0</v>
      </c>
      <c r="BJ191" s="48">
        <f ca="1">IF(IF(AND(OR(INDEX(PDC,MATCH($AC191,DEN_PDC,0),6)="SE AVERE",INDEX(PDC,MATCH($AC191,DEN_PDC,0),6)="SE DARE/AVERE"),SUMIFS(AVERE,DEN_G,$AC191)&gt;=SUMIFS(DARE,DEN_G,$AC191)),SUMIFS(AVERE,DEN_G,$AC191)-SUMIFS(DARE,DEN_G,$AC191),0)&gt;0,MAX(BJ$2:BJ190)+1,0)</f>
        <v>0</v>
      </c>
      <c r="BK191" s="48" t="str">
        <f ca="1">IF(AND(AND($DY$2=0,$DY$1=0),$I$1=2,ROW()&gt;$BG$1+2,ROW()&lt;=$BG$1+4),"………………..",IF(AND(OR($DY$2&gt;0,$DY$1&gt;0),$I$1=2,ROW()&gt;$BG$1+2,ROW()&lt;=$BG$1+4),"………………..",IFERROR(INDEX($AC$3:$AC$398,MATCH(ROWS(BK$3:BK191),BG$3:BG$398,0),1),"")))</f>
        <v/>
      </c>
      <c r="BL191" s="48">
        <f t="shared" ca="1" si="281"/>
        <v>0</v>
      </c>
      <c r="BM191" s="48" t="str">
        <f ca="1">IF(AND(OR($DY$2=0,$DY$1=0),$I$1=2,ROW()&gt;$BH$1+2,ROW()&lt;=$BH$1+4),"………………..",IF(AND(OR($DY$2&gt;0,$DY$1&gt;0),$I$1=2,ROW()&gt;$BH$1+2,ROW()&lt;=$BH$1+4),"………………..",IFERROR(INDEX($AC$3:$AC$400,MATCH(ROWS(BM$3:BM191),BH$3:BH$400,0),1),"")))</f>
        <v/>
      </c>
      <c r="BN191" s="48">
        <f t="shared" ca="1" si="282"/>
        <v>0</v>
      </c>
      <c r="BO191" s="48" t="str">
        <f ca="1">IF(AND(OR($DY$2=0,$DY$1=0),$I$1=2,ROW()&gt;$BI$1+2,ROW()&lt;=$BI$1+4),"………………..",IF(AND(OR($DY$2&gt;0,$DY$1&gt;0),$I$1=2,ROW()&gt;$BI$1+2,ROW()&lt;=$BI$1+4),"………………..",IFERROR(INDEX($AC$3:$AC$400,MATCH(ROWS(BO$3:BO191),BI$3:BI$400,0),1),"")))</f>
        <v/>
      </c>
      <c r="BP191" s="48">
        <f t="shared" ca="1" si="283"/>
        <v>0</v>
      </c>
      <c r="BQ191" s="48" t="str">
        <f ca="1">IF(AND(OR($DY$2=0,$DY$1=0),$I$1=2,ROW()&gt;$BJ$1+2,ROW()&lt;=$BJ$1+4),"………………..",IF(AND(OR($DY$2&gt;0,$DY$1&gt;0),$I$1=2,ROW()&gt;$BJ$1+2,ROW()&lt;=$BJ$1+4),"………………..",IFERROR(INDEX($AC$3:$AC$400,MATCH(ROWS(BQ$3:BQ191),BJ$3:BJ$400,0),1),"")))</f>
        <v/>
      </c>
      <c r="BR191" s="48">
        <f t="shared" ca="1" si="284"/>
        <v>0</v>
      </c>
      <c r="BS191" s="48">
        <f ca="1">IF(IF(AND(OR(INDEX(PDC,MATCH($AC191,DEN_PDC,0),4)="D",INDEX(PDC,MATCH($AC191,DEN_PDC,0),4)="D/A"),SUMIFS(DARE,DEN_G,$AC191)&gt;=SUMIFS(AVERE,DEN_G,$AC191)),SUMIFS(DARE,DEN_G,$AC191),IF(AND(OR(INDEX(PDC,MATCH($AC191,DEN_PDC,0),4)="A",INDEX(PDC,MATCH($AC191,DEN_PDC,0),4)="D/A"),SUMIFS(AVERE,DEN_G,$AC191)&gt;=SUMIFS(DARE,DEN_G,$AC191)),SUMIFS(AVERE,DEN_G,$AC191),))&gt;0,MAX($BS$2:BS190)+1,0)</f>
        <v>0</v>
      </c>
      <c r="BT191" s="48" t="str">
        <f ca="1">IF($CO$1=0,"",IF(AND($I$1=2,ROW()&gt;$BR$1,ROW()&lt;=$BS$1)," …………….",IF(AND($E$1=1,$BX$1=1,$I$1=2,ROW()=$BQ$1),"TOTALI",IFERROR(INDEX(PDC,MATCH(ROWS(BT$3:BT191),BS$3:BS588,0),2),""))))</f>
        <v/>
      </c>
      <c r="BU191" s="48">
        <f t="shared" ca="1" si="285"/>
        <v>0</v>
      </c>
      <c r="BV191" s="48">
        <f t="shared" ca="1" si="286"/>
        <v>0</v>
      </c>
      <c r="BW191" s="48">
        <f t="shared" ca="1" si="287"/>
        <v>0</v>
      </c>
      <c r="BX191" s="48">
        <f t="shared" ca="1" si="288"/>
        <v>0</v>
      </c>
      <c r="BY191" s="48">
        <f ca="1">IF(OR(BW191&gt;0,BX191&gt;0),MAX($BY$2:BY190)+1,0)</f>
        <v>0</v>
      </c>
      <c r="BZ191" s="48" t="str">
        <f ca="1">IFERROR(INDEX($BT$3:$BY$400,MATCH(ROWS(BZ$3:BZ191),$BY$3:$BY$400,0),1),"")</f>
        <v/>
      </c>
      <c r="CA191" s="48" t="str">
        <f ca="1">IFERROR(INDEX($BT$3:$BY$400,MATCH(ROWS(CA$3:CA191),$BY$3:$BY$400,0),4),"")</f>
        <v/>
      </c>
      <c r="CB191" s="48" t="str">
        <f ca="1">IFERROR(INDEX($BT$3:$BY$400,MATCH(ROWS(CB$3:CB191),$BY$3:$BY$400,0),5),"")</f>
        <v/>
      </c>
      <c r="CC191" s="48" t="str">
        <f t="shared" ca="1" si="289"/>
        <v/>
      </c>
      <c r="CD191" s="48">
        <f ca="1">IF(CE191&gt;0,MAX($CD$190:CD190)+1,0)</f>
        <v>0</v>
      </c>
      <c r="CE191" s="48">
        <f ca="1">IF(OR(CE221&lt;&gt;0,CE200&lt;&gt;0,CE232&lt;&gt;0,CE244&lt;&gt;0,CE245&lt;&gt;0,CE246&lt;&gt;0,CE247&lt;&gt;0),"A",0)</f>
        <v>0</v>
      </c>
      <c r="CG191" s="48" t="str">
        <f ca="1">IF(CO1=0,"",IF(AND(COPIA!$I$1=1,COPIA!$BF$9=1),CONCATENATE("CONTO ECONOMICO in forma ordinaria al ",$AS$1,"/",$AT$1,"/",$AW$1),IF(AND(COPIA!$I$1=1,COPIA!$BF$9=2),CONCATENATE("CONTO ECONOMICO in forma abbreviata al ",$AS$1,"/",$AT$1,"/",$AW$1),IF(AND(COPIA!$I$1=2,COPIA!$BF$9=1),CONCATENATE("Stralcio di CONTO ECONOMICO in forma ordinaria al ",$AS$1,"/",$AT$1,"/",$AW$1),IF(AND(COPIA!$I$1=2,COPIA!$BF$9=2),CONCATENATE("Stralcio di CONTO ECONOMICO in forma abbreviata al ",$AS$1,"/",$AT$1,"/",$AW$1),"")))))</f>
        <v/>
      </c>
      <c r="CH191" s="48" t="str">
        <f ca="1">IF(CG191="","","importi      ")</f>
        <v/>
      </c>
      <c r="CM191" s="242" t="str">
        <f t="shared" ca="1" si="305"/>
        <v/>
      </c>
      <c r="CN191" s="243">
        <f t="shared" ca="1" si="306"/>
        <v>0</v>
      </c>
      <c r="CO191" s="48" t="str">
        <f t="shared" ca="1" si="307"/>
        <v/>
      </c>
      <c r="CQ191" s="242"/>
      <c r="CR191" s="242"/>
      <c r="CU191" s="48">
        <f ca="1">IF(SUMIFS(AVERE,DEN_G,AC191,AVERE,"&gt;"&amp;0)+SUMIFS(DARE,DEN_G,AC191,DARE,"&gt;"&amp;0)&gt;0,MAX($CU$2:CU190)+1,0)</f>
        <v>0</v>
      </c>
      <c r="CV191" s="48" t="str">
        <f ca="1">IF(IFERROR(INDEX(PDC,MATCH(ROWS($CV$3:CV191),$CU$3:$CU$400,0),2),"")="CONTO DI RISULTATO ECONOMICO","",IFERROR(INDEX(PDC,MATCH(ROWS($CV$3:CV191),$CU$3:$CU$400,0),2),""))</f>
        <v/>
      </c>
      <c r="CW191" s="48">
        <f ca="1">IFERROR(IF(CV191&lt;&gt;"",MAX($CW$2:CW190)+1,0),0)</f>
        <v>0</v>
      </c>
      <c r="CX191" s="48">
        <f t="shared" ca="1" si="405"/>
        <v>15</v>
      </c>
      <c r="CY191" s="48" t="str">
        <f t="shared" ca="1" si="404"/>
        <v>MASTRO</v>
      </c>
      <c r="CZ191" s="48" t="e">
        <f t="shared" ca="1" si="407"/>
        <v>#N/A</v>
      </c>
      <c r="DA191" s="48" t="str">
        <f t="shared" ca="1" si="412"/>
        <v/>
      </c>
      <c r="DB191" s="48" t="str">
        <f t="shared" ca="1" si="347"/>
        <v/>
      </c>
      <c r="DC191" s="48" t="str">
        <f t="shared" ca="1" si="408"/>
        <v/>
      </c>
      <c r="DD191" s="48" t="str">
        <f t="shared" ca="1" si="409"/>
        <v/>
      </c>
      <c r="DE191" s="48" t="str">
        <f t="shared" ca="1" si="410"/>
        <v/>
      </c>
      <c r="DF191" s="48">
        <f ca="1">IF(AND(CX191=$DF$1,CX191&lt;&gt;""),0,IF(AND(DB191&lt;&gt;"",OR(DB190&lt;&gt;"",DB192&lt;&gt;"")),MAX($DF$2:DF190)+1,0))</f>
        <v>0</v>
      </c>
      <c r="DG191" s="48">
        <f ca="1">DG196</f>
        <v>0</v>
      </c>
      <c r="DH191" s="244" t="s">
        <v>286</v>
      </c>
      <c r="DI191" s="48" t="str">
        <f ca="1">IFERROR(IF(AND($DL$1=TRUE,DG191&lt;&gt;0),CONCATENATE("SOCIO ",DG191," C/COMPETENZE"),IF(AND($DL$1=FALSE,DG191&lt;&gt;0),CONCATENATE("AZIONISTA ",DG191," C/COMPETENZE"),"")),"")</f>
        <v/>
      </c>
      <c r="DJ191" s="48" t="s">
        <v>312</v>
      </c>
      <c r="DK191" s="48" t="s">
        <v>298</v>
      </c>
      <c r="DL191" s="48" t="s">
        <v>5</v>
      </c>
      <c r="DM191" s="48" t="s">
        <v>299</v>
      </c>
      <c r="DN191" s="48">
        <f ca="1">IF(DI191&lt;&gt;"",MAX($DN$2:DN190)+1,0)</f>
        <v>0</v>
      </c>
      <c r="DO191" s="48" t="str">
        <f t="shared" ca="1" si="403"/>
        <v>ppd</v>
      </c>
      <c r="DP191" s="48">
        <f ca="1">DP5</f>
        <v>0</v>
      </c>
      <c r="DQ191" s="227" t="s">
        <v>414</v>
      </c>
      <c r="DR191" s="48" t="str">
        <f ca="1">IFERROR(IF(DP191&lt;&gt;0,CONCATENATE("SOCIO ",DP191," C/RIMBORSI"),""),"")</f>
        <v/>
      </c>
      <c r="DS191" s="48" t="s">
        <v>312</v>
      </c>
      <c r="DT191" s="48" t="s">
        <v>298</v>
      </c>
      <c r="DU191" s="48" t="s">
        <v>5</v>
      </c>
      <c r="DV191" s="48" t="s">
        <v>299</v>
      </c>
      <c r="DW191" s="48">
        <f ca="1">IF(DR191&lt;&gt;"",MAX($DW$2:DW190)+1,0)</f>
        <v>0</v>
      </c>
      <c r="DX191" s="48" t="str">
        <f t="shared" ca="1" si="401"/>
        <v>ppd</v>
      </c>
      <c r="DY191" s="48" t="str">
        <f t="shared" ca="1" si="291"/>
        <v/>
      </c>
      <c r="DZ191" s="48" t="str">
        <f t="shared" ca="1" si="309"/>
        <v/>
      </c>
      <c r="EA191" s="48" t="str">
        <f t="shared" ca="1" si="310"/>
        <v/>
      </c>
      <c r="EB191" s="48">
        <f t="shared" ca="1" si="311"/>
        <v>0</v>
      </c>
      <c r="EC191" s="48">
        <f t="shared" ca="1" si="312"/>
        <v>0</v>
      </c>
      <c r="ED191" s="48" t="str">
        <f t="shared" ca="1" si="313"/>
        <v/>
      </c>
      <c r="EE191" s="48">
        <f t="shared" ca="1" si="314"/>
        <v>0</v>
      </c>
      <c r="EF191" s="48" t="str">
        <f t="shared" ca="1" si="315"/>
        <v/>
      </c>
      <c r="EG191" s="48">
        <f t="shared" ca="1" si="316"/>
        <v>0</v>
      </c>
      <c r="EH191" s="48" t="str">
        <f t="shared" ca="1" si="317"/>
        <v/>
      </c>
      <c r="EI191" s="48">
        <f t="shared" ca="1" si="318"/>
        <v>0</v>
      </c>
      <c r="EJ191" s="48" t="str">
        <f t="shared" ca="1" si="319"/>
        <v/>
      </c>
      <c r="EK191" s="48">
        <f t="shared" ca="1" si="320"/>
        <v>0</v>
      </c>
      <c r="EL191" s="48">
        <f t="shared" ca="1" si="292"/>
        <v>0</v>
      </c>
      <c r="EM191" s="48">
        <f ca="1">IF(EL191&gt;=0,0,MAX($EM$2:EM190)+1)</f>
        <v>0</v>
      </c>
      <c r="EN191" s="48" t="str">
        <f t="shared" ca="1" si="321"/>
        <v/>
      </c>
      <c r="EO191" s="48" t="str">
        <f ca="1">IFERROR(INDEX($EM$3:$EN$400,MATCH(ROWS($EO$3:EO191),$EM$3:$EM$400,0),2),"")</f>
        <v/>
      </c>
      <c r="EP191" s="48">
        <f>ROW()</f>
        <v>191</v>
      </c>
      <c r="EQ191" s="48">
        <f t="shared" ca="1" si="293"/>
        <v>0</v>
      </c>
      <c r="ER191" s="48">
        <f ca="1">IF(ISNA(EQ191)=TRUE,MAX($ER$2:ER190)+1,0)</f>
        <v>0</v>
      </c>
      <c r="ES191" s="48" t="str">
        <f t="shared" ca="1" si="322"/>
        <v/>
      </c>
      <c r="ET191" s="48" t="str">
        <f ca="1">IFERROR(INDEX($ER$3:$ES$400,MATCH(ROWS($ET$3:ET191),$ER$3:$ER$400,0),2),"")</f>
        <v/>
      </c>
      <c r="EV191" s="48">
        <f ca="1">IFERROR(INDEX(LIBRO_GIORNALE!$O$11:$P$408,MATCH(ROWS($EV$2:EV190),LIBRO_GIORNALE!$P$11:$P$408,0),1),0)</f>
        <v>0</v>
      </c>
      <c r="EW191" s="48" t="str">
        <f t="shared" ca="1" si="323"/>
        <v>0</v>
      </c>
      <c r="EX191" s="48">
        <f t="shared" ca="1" si="324"/>
        <v>0</v>
      </c>
      <c r="EY191" s="48">
        <f ca="1">IF(EX191&gt;0,MAX($EY$2:EY190)+1,0)</f>
        <v>0</v>
      </c>
      <c r="EZ191" s="48">
        <f ca="1">IFERROR(INDEX($EX$3:$EX$400,MATCH(ROWS($EZ$3:EZ191),$EY$3:$EY$400,0),1),0)</f>
        <v>0</v>
      </c>
      <c r="FA191" s="48">
        <f ca="1">IF(EZ191&gt;0,0,MAX($FA$2:FA190)+1)</f>
        <v>189</v>
      </c>
      <c r="FB191" s="48">
        <f t="shared" ca="1" si="325"/>
        <v>0</v>
      </c>
      <c r="FC191" s="48">
        <f t="shared" ca="1" si="326"/>
        <v>189</v>
      </c>
      <c r="FD191" s="48">
        <f t="shared" ca="1" si="327"/>
        <v>189</v>
      </c>
      <c r="FE191" s="48">
        <f ca="1">IF(FD191=0,0,MAX($FE$2:FE190)+1)</f>
        <v>189</v>
      </c>
      <c r="FF191" s="48">
        <f ca="1">IFERROR(INDEX($FD$3:$FE$400,MATCH(ROWS($FF$3:FF191),$FE$3:$FE$400,0),1),"")</f>
        <v>189</v>
      </c>
      <c r="FG191" s="48">
        <f t="shared" ca="1" si="380"/>
        <v>0</v>
      </c>
      <c r="FH191" s="48">
        <f t="shared" ca="1" si="328"/>
        <v>0</v>
      </c>
      <c r="FI191" s="48">
        <f ca="1">IF(FH191&lt;&gt;0,MAX($FI$2:FI190)+1,0)</f>
        <v>0</v>
      </c>
      <c r="FJ191" s="48" t="str">
        <f ca="1">IFERROR(INDEX($FH$3:$FI$400,MATCH(ROWS($FJ$3:FJ191),$FI$3:$FI$400,0),1),"")</f>
        <v/>
      </c>
      <c r="FK191" s="48">
        <f ca="1">IF(ABS(SUMIFS(DARE,DEN_G,"="&amp;FJ191,DATA,"&lt;="&amp;FINE_AC,DATA,"&gt;="&amp;INIZIO_A_PC)-SUMIFS(AVERE,DEN_G,"="&amp;FJ191,DATA,"&lt;="&amp;FINE_AC,DATA,"&gt;="&amp;INIZIO_A_PC))&gt;0,MAX($FK$2:FK190)+1,0)</f>
        <v>0</v>
      </c>
      <c r="FL191" s="48" t="str">
        <f ca="1">IF(AND(ROW()-2&lt;&gt;1,ROW()-2&lt;=$FK$1),CONCATENATE(" - ",IFERROR(INDEX($FJ$3:$FK$400,MATCH(ROWS($FL$3:FL191),$FK$3:$FK$400,0),1),"")),IFERROR(INDEX($FJ$3:$FK$400,MATCH(ROWS($FL$3:FL191),$FK$3:$FK$400,0),1),""))</f>
        <v/>
      </c>
      <c r="FM191" s="48">
        <f ca="1">IF(OR(B191="IVA ns/credito",B191="IVA NS/DEBITO",B191="IVA C/ACCONTO",B191="IMPOSTE C/ACCONTO",B191="CREDITI PER RITENUTE SUBITE",B191="CREDITI D'IMPOSTA"),MAX($FM$2:FM190)+1,0)</f>
        <v>0</v>
      </c>
      <c r="FN191" s="48" t="str">
        <f t="shared" ca="1" si="329"/>
        <v/>
      </c>
      <c r="FO191" s="48" t="str">
        <f ca="1">IFERROR(INDEX($FM$3:$FN$400,MATCH(ROWS($FO$3:FO191),$FM$3:$FM$400,0),2),"")</f>
        <v/>
      </c>
      <c r="FP191" s="48">
        <f ca="1">IF(ABS(SUMIFS(DARE,DEN_G,"="&amp;FO191,DATA,"&lt;="&amp;FINE_AC,DATA,"&gt;="&amp;INIZIO_A_PC)-SUMIFS(AVERE,DEN_G,"="&amp;FO191,DATA,"&lt;="&amp;FINE_AC,DATA,"&gt;="&amp;INIZIO_A_PC))&gt;0,MAX($FP$2:FP190)+1,0)</f>
        <v>0</v>
      </c>
      <c r="FQ191" s="48" t="str">
        <f ca="1">IF(AND(ROW()-2&lt;&gt;1,ROW()-2&lt;=$FP$1),CONCATENATE(" - ",IFERROR(INDEX($FO$3:$FP$400,MATCH(ROWS($FQ$3:FQ191),$FP$3:$FP$400,0),1),"")),IFERROR(INDEX($FO$3:$FP$400,MATCH(ROWS($FQ$3:FQ191),$FP$3:$FP$400,0),1),""))</f>
        <v/>
      </c>
    </row>
    <row r="192" spans="1:173" x14ac:dyDescent="0.3">
      <c r="A192" s="48" t="str">
        <f ca="1">IFERROR(IF($A$1=2,INDEX($DH$3:$DN$401,MATCH(ROWS(A$3:A192),$DN$3:$DN$401,0),COLUMN()),IF($A$1=1,INDEX($DQ$3:$DW$401,MATCH(ROWS(A$3:A192),$DW$3:$DW$401,0),COLUMN()),"")),"")</f>
        <v>20.10</v>
      </c>
      <c r="B192" s="48" t="str">
        <f ca="1">IFERROR(IF($A$1=2,INDEX($DH$3:$DN$401,MATCH(ROWS(B$3:B192),$DN$3:$DN$401,0),COLUMN()),IF($A$1=1,INDEX($DQ$3:$DW$400,MATCH(ROWS(B$3:B192),$DW$3:$DW$401,0),COLUMN()),"")),"")</f>
        <v>RESI SU VENDITE</v>
      </c>
      <c r="C192" s="48" t="str">
        <f ca="1">IFERROR(IF($A$1=2,INDEX($DH$3:$DN$401,MATCH(ROWS(C$3:C192),$DN$3:$DN$401,0),COLUMN()),IF($A$1=1,INDEX($DQ$3:$DW$401,MATCH(ROWS(C$3:C192),$DW$3:$DW$401,0),COLUMN()),"")),"")</f>
        <v>E</v>
      </c>
      <c r="D192" s="48" t="str">
        <f ca="1">IFERROR(IF($A$1=2,INDEX($DH$3:$DN$401,MATCH(ROWS(D$3:D192),$DN$3:$DN$401,0),COLUMN()),IF($A$1=1,INDEX($DQ$3:$DW$401,MATCH(ROWS(D$3:D192),$DW$3:$DW$401,0),COLUMN()),"")),"")</f>
        <v>D</v>
      </c>
      <c r="E192" s="48" t="str">
        <f ca="1">IFERROR(IF($A$1=2,INDEX($DH$3:$DN$401,MATCH(ROWS(E$3:E192),$DN$3:$DN$401,0),COLUMN()),IF($A$1=1,INDEX($DQ$3:$DW$401,MATCH(ROWS(E$3:E192),$DW$3:$DW$401,0),COLUMN()),"")),"")</f>
        <v>RETTIFICHE RICAVI D'ESERCIZIO</v>
      </c>
      <c r="F192" s="48" t="str">
        <f ca="1">IFERROR(IF($A$1=2,INDEX($DH$3:$DN$401,MATCH(ROWS(F$3:F192),$DN$3:$DN$401,0),COLUMN()),IF($A$1=1,INDEX($DQ$3:$DX$401,MATCH(ROWS(F$3:F192),$DW$3:$DW$401,0),COLUMN()),"")),"")</f>
        <v>SE DARE</v>
      </c>
      <c r="G192" s="48" t="str">
        <f t="shared" ca="1" si="294"/>
        <v>SE</v>
      </c>
      <c r="H192" s="48" t="str">
        <f ca="1">IFERROR(IF($A$1=2,INDEX($DH$3:$DO$400,MATCH(ROWS(H$3:H192),$DN$3:$DN$400,0),COLUMN()),IF($A$1=1,INDEX($DQ$3:$DX$400,MATCH(ROWS(H$3:H192),$DW$3:$DW$400,0),COLUMN()),"")),"")</f>
        <v>ea1</v>
      </c>
      <c r="I192" s="48" t="str">
        <f t="shared" ca="1" si="295"/>
        <v/>
      </c>
      <c r="J192" s="48" t="str">
        <f t="shared" ca="1" si="296"/>
        <v/>
      </c>
      <c r="K192" s="48">
        <f t="shared" ca="1" si="297"/>
        <v>0</v>
      </c>
      <c r="L192" s="48">
        <f t="shared" ca="1" si="298"/>
        <v>0</v>
      </c>
      <c r="M192" s="48">
        <f ca="1">IFERROR(IF(IF(MID($A192,3,3)=".00",MID(A192,1,2),"")&lt;&gt;"",MAX($M$2:M191)+1,0),"")</f>
        <v>0</v>
      </c>
      <c r="N192" s="48" t="str">
        <f t="shared" ca="1" si="299"/>
        <v/>
      </c>
      <c r="O192" s="48" t="str">
        <f ca="1">IF(IFERROR(INDEX($N$3:$O$300,MATCH(ROWS($O$3:O192),$M$3:$M$300,0),1),"")&lt;&gt;"",CONCATENATE(INDEX($N$3:$O$300,MATCH(ROWS($O$3:O192),$M$3:$M$300,0),1),".00"),"")</f>
        <v/>
      </c>
      <c r="P192" s="48" t="str">
        <f t="shared" ca="1" si="300"/>
        <v/>
      </c>
      <c r="Q192" s="48">
        <f ca="1">IF(M192&gt;=1,0,MAX($Q$2:Q191)+1)</f>
        <v>170</v>
      </c>
      <c r="U192" s="48" t="str">
        <f ca="1">IFERROR(INDEX(PDC,MATCH(ROWS(U$3:U192),$V$3:$V$400,0),2),"")</f>
        <v>SEMILAVORATI C/RIMANENZE FINALI</v>
      </c>
      <c r="V192" s="48">
        <f ca="1">IF(AND($T$1="VISUALIZZA TUTTI I CONTI",AA192&lt;&gt;""),MAX($V$2:V191)+1,IF(AND($U$2=2,AI192=$T$1),MAX($V$2:V191)+1,IF(AND($U$2=1,$T$1=AF192),MAX($V$2:V191)+1,0)))</f>
        <v>190</v>
      </c>
      <c r="AA192" s="48" t="str">
        <f t="shared" ca="1" si="301"/>
        <v>21.00</v>
      </c>
      <c r="AB192" s="48" t="str">
        <f ca="1">IFERROR(INDEX($A$3:$G$400,MATCH(ROWS(AB$3:AB192),$Q$3:$Q$400,0),1),"")</f>
        <v>21.11</v>
      </c>
      <c r="AC192" s="48" t="str">
        <f ca="1">IFERROR(INDEX($A$3:$G$400,MATCH(ROWS($AC$3:AC192),$Q$3:$Q$400,0),2),"")</f>
        <v>SEMILAVORATI C/RIMANENZE FINALI</v>
      </c>
      <c r="AD192" s="48" t="str">
        <f ca="1">IFERROR(INDEX($A$3:$G$400,MATCH(ROWS(AD$3:AD192),$Q$3:$Q$400,0),3),"")</f>
        <v>E</v>
      </c>
      <c r="AE192" s="48" t="str">
        <f ca="1">IFERROR(INDEX($A$3:$G$400,MATCH(ROWS(AE$3:AE192),$Q$3:$Q$400,0),4),"")</f>
        <v>A</v>
      </c>
      <c r="AF192" s="48" t="str">
        <f ca="1">IFERROR(INDEX($A$3:$G$400,MATCH(ROWS(AF$3:AF192),$Q$3:$Q$400,0),5),"")</f>
        <v>RETTIFICHE COSTI D'ESERCIZIO</v>
      </c>
      <c r="AG192" s="48" t="str">
        <f ca="1">IFERROR(INDEX($A$3:$G$400,MATCH(ROWS(AG$3:AG192),$Q$3:$Q$400,0),6),"")</f>
        <v>SE AVERE</v>
      </c>
      <c r="AH192" s="48" t="str">
        <f ca="1">IFERROR(INDEX($A$3:$G$400,MATCH(ROWS(AH$3:AH192),$Q$3:$Q$400,0),7),"")</f>
        <v>SE</v>
      </c>
      <c r="AI192" s="48" t="str">
        <f t="shared" ca="1" si="302"/>
        <v>VARIAZ. RIM. PROD. IN CORSO DI LAVORAZ., SEMIL. E FINITI</v>
      </c>
      <c r="AJ192" s="48" t="str">
        <f ca="1">IFERROR(INDEX($A$3:$H$400,MATCH(ROWS(AJ$3:AJ192),$Q$3:$Q$400,0),8),"")</f>
        <v>ea2</v>
      </c>
      <c r="AK192" s="48">
        <f t="shared" ca="1" si="277"/>
        <v>0</v>
      </c>
      <c r="AL192" s="48">
        <f t="shared" ca="1" si="373"/>
        <v>0</v>
      </c>
      <c r="AM192" s="48">
        <f t="shared" ca="1" si="377"/>
        <v>0</v>
      </c>
      <c r="AN192" s="48">
        <f t="shared" ca="1" si="378"/>
        <v>0</v>
      </c>
      <c r="AO192" s="48">
        <f t="shared" ca="1" si="379"/>
        <v>0</v>
      </c>
      <c r="AP192" s="48">
        <f t="shared" ca="1" si="379"/>
        <v>0</v>
      </c>
      <c r="AQ192" s="48" t="str">
        <f t="shared" ca="1" si="278"/>
        <v/>
      </c>
      <c r="AR192" s="48">
        <f t="shared" ca="1" si="279"/>
        <v>0</v>
      </c>
      <c r="AS192" s="48">
        <f t="shared" ca="1" si="280"/>
        <v>0</v>
      </c>
      <c r="AT192" s="48">
        <f t="shared" ca="1" si="303"/>
        <v>0</v>
      </c>
      <c r="AU192" s="48">
        <f t="shared" ca="1" si="304"/>
        <v>0</v>
      </c>
      <c r="AV192" s="48">
        <f ca="1">IF(OR(AT192&gt;0,AU192&gt;0),MAX($AV$2:AV191)+1,0)</f>
        <v>0</v>
      </c>
      <c r="AZ192" s="241" t="str">
        <f t="shared" si="381"/>
        <v>92 V.I.</v>
      </c>
      <c r="BA192" s="48">
        <f t="shared" ca="1" si="369"/>
        <v>0</v>
      </c>
      <c r="BB192" s="48">
        <f t="shared" ca="1" si="370"/>
        <v>0</v>
      </c>
      <c r="BC192" s="48" t="str">
        <f t="shared" ca="1" si="382"/>
        <v/>
      </c>
      <c r="BD192" s="48">
        <f t="shared" ca="1" si="383"/>
        <v>0</v>
      </c>
      <c r="BE192" s="48">
        <f t="shared" ca="1" si="384"/>
        <v>0</v>
      </c>
      <c r="BG192" s="48">
        <f ca="1">IF(IF(AND(OR(INDEX(PDC,MATCH($AC192,DEN_PDC,0),6)="SP DARE",INDEX(PDC,MATCH($AC192,DEN_PDC,0),6)="SP DARE/AVERE"),SUMIFS(DARE,DEN_G,$AC192)&gt;=SUMIFS(AVERE,DEN_G,$AC192)),SUMIFS(DARE,DEN_G,$AC192)-SUMIFS(AVERE,DEN_G,$AC192),0)&gt;0,MAX($BG$2:BG191)+1,0)</f>
        <v>0</v>
      </c>
      <c r="BH192" s="48">
        <f ca="1">IF(IF(AND(OR(INDEX(PDC,MATCH($AC192,DEN_PDC,0),6)="SP AVERE",INDEX(PDC,MATCH($AC192,DEN_PDC,0),6)="SP DARE/AVERE"),SUMIFS(AVERE,DEN_G,$AC192)&gt;=SUMIFS(DARE,DEN_G,$AC192)),SUMIFS(AVERE,DEN_G,$AC192)-SUMIFS(DARE,DEN_G,$AC192),0)&gt;0,MAX(BH$2:BH191)+1,0)</f>
        <v>0</v>
      </c>
      <c r="BI192" s="48">
        <f ca="1">IF(IF(AND(OR(INDEX(PDC,MATCH($AC192,DEN_PDC,0),6)="SE DARE",INDEX(PDC,MATCH($AC192,DEN_PDC,0),6)="SE DARE/AVERE"),SUMIFS(DARE,DEN_G,$AC192)&gt;=SUMIFS(AVERE,DEN_G,$AC192)),SUMIFS(DARE,DEN_G,$AC192)-SUMIFS(AVERE,DEN_G,$AC192),0)&gt;0,MAX(BI$2:BI191)+1,0)</f>
        <v>0</v>
      </c>
      <c r="BJ192" s="48">
        <f ca="1">IF(IF(AND(OR(INDEX(PDC,MATCH($AC192,DEN_PDC,0),6)="SE AVERE",INDEX(PDC,MATCH($AC192,DEN_PDC,0),6)="SE DARE/AVERE"),SUMIFS(AVERE,DEN_G,$AC192)&gt;=SUMIFS(DARE,DEN_G,$AC192)),SUMIFS(AVERE,DEN_G,$AC192)-SUMIFS(DARE,DEN_G,$AC192),0)&gt;0,MAX(BJ$2:BJ191)+1,0)</f>
        <v>0</v>
      </c>
      <c r="BK192" s="48" t="str">
        <f ca="1">IF(AND(AND($DY$2=0,$DY$1=0),$I$1=2,ROW()&gt;$BG$1+2,ROW()&lt;=$BG$1+4),"………………..",IF(AND(OR($DY$2&gt;0,$DY$1&gt;0),$I$1=2,ROW()&gt;$BG$1+2,ROW()&lt;=$BG$1+4),"………………..",IFERROR(INDEX($AC$3:$AC$398,MATCH(ROWS(BK$3:BK192),BG$3:BG$398,0),1),"")))</f>
        <v/>
      </c>
      <c r="BL192" s="48">
        <f t="shared" ca="1" si="281"/>
        <v>0</v>
      </c>
      <c r="BM192" s="48" t="str">
        <f ca="1">IF(AND(OR($DY$2=0,$DY$1=0),$I$1=2,ROW()&gt;$BH$1+2,ROW()&lt;=$BH$1+4),"………………..",IF(AND(OR($DY$2&gt;0,$DY$1&gt;0),$I$1=2,ROW()&gt;$BH$1+2,ROW()&lt;=$BH$1+4),"………………..",IFERROR(INDEX($AC$3:$AC$400,MATCH(ROWS(BM$3:BM192),BH$3:BH$400,0),1),"")))</f>
        <v/>
      </c>
      <c r="BN192" s="48">
        <f t="shared" ca="1" si="282"/>
        <v>0</v>
      </c>
      <c r="BO192" s="48" t="str">
        <f ca="1">IF(AND(OR($DY$2=0,$DY$1=0),$I$1=2,ROW()&gt;$BI$1+2,ROW()&lt;=$BI$1+4),"………………..",IF(AND(OR($DY$2&gt;0,$DY$1&gt;0),$I$1=2,ROW()&gt;$BI$1+2,ROW()&lt;=$BI$1+4),"………………..",IFERROR(INDEX($AC$3:$AC$400,MATCH(ROWS(BO$3:BO192),BI$3:BI$400,0),1),"")))</f>
        <v/>
      </c>
      <c r="BP192" s="48">
        <f t="shared" ca="1" si="283"/>
        <v>0</v>
      </c>
      <c r="BQ192" s="48" t="str">
        <f ca="1">IF(AND(OR($DY$2=0,$DY$1=0),$I$1=2,ROW()&gt;$BJ$1+2,ROW()&lt;=$BJ$1+4),"………………..",IF(AND(OR($DY$2&gt;0,$DY$1&gt;0),$I$1=2,ROW()&gt;$BJ$1+2,ROW()&lt;=$BJ$1+4),"………………..",IFERROR(INDEX($AC$3:$AC$400,MATCH(ROWS(BQ$3:BQ192),BJ$3:BJ$400,0),1),"")))</f>
        <v/>
      </c>
      <c r="BR192" s="48">
        <f t="shared" ca="1" si="284"/>
        <v>0</v>
      </c>
      <c r="BS192" s="48">
        <f ca="1">IF(IF(AND(OR(INDEX(PDC,MATCH($AC192,DEN_PDC,0),4)="D",INDEX(PDC,MATCH($AC192,DEN_PDC,0),4)="D/A"),SUMIFS(DARE,DEN_G,$AC192)&gt;=SUMIFS(AVERE,DEN_G,$AC192)),SUMIFS(DARE,DEN_G,$AC192),IF(AND(OR(INDEX(PDC,MATCH($AC192,DEN_PDC,0),4)="A",INDEX(PDC,MATCH($AC192,DEN_PDC,0),4)="D/A"),SUMIFS(AVERE,DEN_G,$AC192)&gt;=SUMIFS(DARE,DEN_G,$AC192)),SUMIFS(AVERE,DEN_G,$AC192),))&gt;0,MAX($BS$2:BS191)+1,0)</f>
        <v>0</v>
      </c>
      <c r="BT192" s="48" t="str">
        <f ca="1">IF($CO$1=0,"",IF(AND($I$1=2,ROW()&gt;$BR$1,ROW()&lt;=$BS$1)," …………….",IF(AND($E$1=1,$BX$1=1,$I$1=2,ROW()=$BQ$1),"TOTALI",IFERROR(INDEX(PDC,MATCH(ROWS(BT$3:BT192),BS$3:BS589,0),2),""))))</f>
        <v/>
      </c>
      <c r="BU192" s="48">
        <f t="shared" ca="1" si="285"/>
        <v>0</v>
      </c>
      <c r="BV192" s="48">
        <f t="shared" ca="1" si="286"/>
        <v>0</v>
      </c>
      <c r="BW192" s="48">
        <f t="shared" ca="1" si="287"/>
        <v>0</v>
      </c>
      <c r="BX192" s="48">
        <f t="shared" ca="1" si="288"/>
        <v>0</v>
      </c>
      <c r="BY192" s="48">
        <f ca="1">IF(OR(BW192&gt;0,BX192&gt;0),MAX($BY$2:BY191)+1,0)</f>
        <v>0</v>
      </c>
      <c r="BZ192" s="48" t="str">
        <f ca="1">IFERROR(INDEX($BT$3:$BY$400,MATCH(ROWS(BZ$3:BZ192),$BY$3:$BY$400,0),1),"")</f>
        <v/>
      </c>
      <c r="CA192" s="48" t="str">
        <f ca="1">IFERROR(INDEX($BT$3:$BY$400,MATCH(ROWS(CA$3:CA192),$BY$3:$BY$400,0),4),"")</f>
        <v/>
      </c>
      <c r="CB192" s="48" t="str">
        <f ca="1">IFERROR(INDEX($BT$3:$BY$400,MATCH(ROWS(CB$3:CB192),$BY$3:$BY$400,0),5),"")</f>
        <v/>
      </c>
      <c r="CC192" s="48" t="str">
        <f t="shared" ca="1" si="289"/>
        <v/>
      </c>
      <c r="CD192" s="48">
        <f ca="1">IF(CE192&gt;0,MAX($CD$190:CD191)+1,0)</f>
        <v>0</v>
      </c>
      <c r="CE192" s="48">
        <f ca="1">IF(OR(CE200&lt;&gt;0,CE201&lt;&gt;0,CE232&lt;&gt;0,CE244&lt;&gt;0),"A",0)</f>
        <v>0</v>
      </c>
      <c r="CG192" s="243" t="s">
        <v>573</v>
      </c>
      <c r="CM192" s="242" t="str">
        <f t="shared" ca="1" si="305"/>
        <v/>
      </c>
      <c r="CN192" s="243">
        <f t="shared" ca="1" si="306"/>
        <v>0</v>
      </c>
      <c r="CO192" s="48" t="str">
        <f t="shared" ca="1" si="307"/>
        <v/>
      </c>
      <c r="CQ192" s="242"/>
      <c r="CR192" s="242"/>
      <c r="CU192" s="48">
        <f ca="1">IF(SUMIFS(AVERE,DEN_G,AC192,AVERE,"&gt;"&amp;0)+SUMIFS(DARE,DEN_G,AC192,DARE,"&gt;"&amp;0)&gt;0,MAX($CU$2:CU191)+1,0)</f>
        <v>0</v>
      </c>
      <c r="CV192" s="48" t="str">
        <f ca="1">IF(IFERROR(INDEX(PDC,MATCH(ROWS($CV$3:CV192),$CU$3:$CU$400,0),2),"")="CONTO DI RISULTATO ECONOMICO","",IFERROR(INDEX(PDC,MATCH(ROWS($CV$3:CV192),$CU$3:$CU$400,0),2),""))</f>
        <v/>
      </c>
      <c r="CW192" s="48">
        <f ca="1">IFERROR(IF(CV192&lt;&gt;"",MAX($CW$2:CW191)+1,0),0)</f>
        <v>0</v>
      </c>
      <c r="CX192" s="48">
        <f t="shared" ca="1" si="405"/>
        <v>15</v>
      </c>
      <c r="CY192" s="48" t="str">
        <f t="shared" ca="1" si="404"/>
        <v>MASTRO</v>
      </c>
      <c r="CZ192" s="48" t="e">
        <f t="shared" ca="1" si="407"/>
        <v>#N/A</v>
      </c>
      <c r="DA192" s="48" t="str">
        <f t="shared" ca="1" si="412"/>
        <v/>
      </c>
      <c r="DB192" s="48" t="str">
        <f t="shared" ca="1" si="347"/>
        <v/>
      </c>
      <c r="DC192" s="48" t="str">
        <f t="shared" ca="1" si="408"/>
        <v/>
      </c>
      <c r="DD192" s="48" t="str">
        <f t="shared" ca="1" si="409"/>
        <v/>
      </c>
      <c r="DE192" s="48" t="str">
        <f t="shared" ca="1" si="410"/>
        <v/>
      </c>
      <c r="DF192" s="48">
        <f ca="1">IF(AND(CX192=$DF$1,CX192&lt;&gt;""),0,IF(AND(DB192&lt;&gt;"",OR(DB191&lt;&gt;"",DB193&lt;&gt;"")),MAX($DF$2:DF191)+1,0))</f>
        <v>0</v>
      </c>
      <c r="DG192" s="48">
        <f t="shared" ref="DG192:DG194" ca="1" si="413">DG197</f>
        <v>0</v>
      </c>
      <c r="DH192" s="244" t="s">
        <v>286</v>
      </c>
      <c r="DI192" s="48" t="str">
        <f t="shared" ref="DI192:DI194" ca="1" si="414">IFERROR(IF(AND($DL$1=TRUE,DG192&lt;&gt;0),CONCATENATE("SOCIO ",DG192," C/COMPETENZE"),IF(AND($DL$1=FALSE,DG192&lt;&gt;0),CONCATENATE("AZIONISTA ",DG192," C/COMPETENZE"),"")),"")</f>
        <v/>
      </c>
      <c r="DJ192" s="48" t="s">
        <v>312</v>
      </c>
      <c r="DK192" s="48" t="s">
        <v>298</v>
      </c>
      <c r="DL192" s="48" t="s">
        <v>5</v>
      </c>
      <c r="DM192" s="48" t="s">
        <v>299</v>
      </c>
      <c r="DN192" s="48">
        <f ca="1">IF(DI192&lt;&gt;"",MAX($DN$2:DN191)+1,0)</f>
        <v>0</v>
      </c>
      <c r="DO192" s="48" t="str">
        <f t="shared" ca="1" si="403"/>
        <v>ppd</v>
      </c>
      <c r="DP192" s="48">
        <f t="shared" ref="DP192:DP194" ca="1" si="415">DP6</f>
        <v>0</v>
      </c>
      <c r="DQ192" s="227" t="s">
        <v>415</v>
      </c>
      <c r="DR192" s="48" t="str">
        <f ca="1">IFERROR(IF(DP192&lt;&gt;0,CONCATENATE("SOCIO ",DP192," C/RIMBORSI"),""),"")</f>
        <v/>
      </c>
      <c r="DS192" s="48" t="s">
        <v>312</v>
      </c>
      <c r="DT192" s="48" t="s">
        <v>298</v>
      </c>
      <c r="DU192" s="48" t="s">
        <v>5</v>
      </c>
      <c r="DV192" s="48" t="s">
        <v>299</v>
      </c>
      <c r="DW192" s="48">
        <f ca="1">IF(DR192&lt;&gt;"",MAX($DW$2:DW191)+1,0)</f>
        <v>0</v>
      </c>
      <c r="DX192" s="48" t="str">
        <f t="shared" ca="1" si="401"/>
        <v>ppd</v>
      </c>
      <c r="DY192" s="48" t="str">
        <f t="shared" ca="1" si="291"/>
        <v/>
      </c>
      <c r="DZ192" s="48" t="str">
        <f t="shared" ca="1" si="309"/>
        <v/>
      </c>
      <c r="EA192" s="48" t="str">
        <f t="shared" ca="1" si="310"/>
        <v/>
      </c>
      <c r="EB192" s="48">
        <f t="shared" ca="1" si="311"/>
        <v>0</v>
      </c>
      <c r="EC192" s="48">
        <f t="shared" ca="1" si="312"/>
        <v>0</v>
      </c>
      <c r="ED192" s="48" t="str">
        <f t="shared" ca="1" si="313"/>
        <v/>
      </c>
      <c r="EE192" s="48">
        <f t="shared" ca="1" si="314"/>
        <v>0</v>
      </c>
      <c r="EF192" s="48" t="str">
        <f t="shared" ca="1" si="315"/>
        <v/>
      </c>
      <c r="EG192" s="48">
        <f t="shared" ca="1" si="316"/>
        <v>0</v>
      </c>
      <c r="EH192" s="48" t="str">
        <f t="shared" ca="1" si="317"/>
        <v/>
      </c>
      <c r="EI192" s="48">
        <f t="shared" ca="1" si="318"/>
        <v>0</v>
      </c>
      <c r="EJ192" s="48" t="str">
        <f t="shared" ca="1" si="319"/>
        <v/>
      </c>
      <c r="EK192" s="48">
        <f t="shared" ca="1" si="320"/>
        <v>0</v>
      </c>
      <c r="EL192" s="48">
        <f t="shared" ca="1" si="292"/>
        <v>0</v>
      </c>
      <c r="EM192" s="48">
        <f ca="1">IF(EL192&gt;=0,0,MAX($EM$2:EM191)+1)</f>
        <v>0</v>
      </c>
      <c r="EN192" s="48" t="str">
        <f t="shared" ca="1" si="321"/>
        <v/>
      </c>
      <c r="EO192" s="48" t="str">
        <f ca="1">IFERROR(INDEX($EM$3:$EN$400,MATCH(ROWS($EO$3:EO192),$EM$3:$EM$400,0),2),"")</f>
        <v/>
      </c>
      <c r="EP192" s="48">
        <f>ROW()</f>
        <v>192</v>
      </c>
      <c r="EQ192" s="48">
        <f t="shared" ca="1" si="293"/>
        <v>0</v>
      </c>
      <c r="ER192" s="48">
        <f ca="1">IF(ISNA(EQ192)=TRUE,MAX($ER$2:ER191)+1,0)</f>
        <v>0</v>
      </c>
      <c r="ES192" s="48" t="str">
        <f t="shared" ca="1" si="322"/>
        <v/>
      </c>
      <c r="ET192" s="48" t="str">
        <f ca="1">IFERROR(INDEX($ER$3:$ES$400,MATCH(ROWS($ET$3:ET192),$ER$3:$ER$400,0),2),"")</f>
        <v/>
      </c>
      <c r="EV192" s="48">
        <f ca="1">IFERROR(INDEX(LIBRO_GIORNALE!$O$11:$P$408,MATCH(ROWS($EV$2:EV191),LIBRO_GIORNALE!$P$11:$P$408,0),1),0)</f>
        <v>0</v>
      </c>
      <c r="EW192" s="48" t="str">
        <f t="shared" ca="1" si="323"/>
        <v>0</v>
      </c>
      <c r="EX192" s="48">
        <f t="shared" ca="1" si="324"/>
        <v>0</v>
      </c>
      <c r="EY192" s="48">
        <f ca="1">IF(EX192&gt;0,MAX($EY$2:EY191)+1,0)</f>
        <v>0</v>
      </c>
      <c r="EZ192" s="48">
        <f ca="1">IFERROR(INDEX($EX$3:$EX$400,MATCH(ROWS($EZ$3:EZ192),$EY$3:$EY$400,0),1),0)</f>
        <v>0</v>
      </c>
      <c r="FA192" s="48">
        <f ca="1">IF(EZ192&gt;0,0,MAX($FA$2:FA191)+1)</f>
        <v>190</v>
      </c>
      <c r="FB192" s="48">
        <f t="shared" ca="1" si="325"/>
        <v>0</v>
      </c>
      <c r="FC192" s="48">
        <f t="shared" ca="1" si="326"/>
        <v>190</v>
      </c>
      <c r="FD192" s="48">
        <f t="shared" ca="1" si="327"/>
        <v>190</v>
      </c>
      <c r="FE192" s="48">
        <f ca="1">IF(FD192=0,0,MAX($FE$2:FE191)+1)</f>
        <v>190</v>
      </c>
      <c r="FF192" s="48">
        <f ca="1">IFERROR(INDEX($FD$3:$FE$400,MATCH(ROWS($FF$3:FF192),$FE$3:$FE$400,0),1),"")</f>
        <v>190</v>
      </c>
      <c r="FG192" s="48">
        <f t="shared" ca="1" si="380"/>
        <v>0</v>
      </c>
      <c r="FH192" s="48">
        <f t="shared" ca="1" si="328"/>
        <v>0</v>
      </c>
      <c r="FI192" s="48">
        <f ca="1">IF(FH192&lt;&gt;0,MAX($FI$2:FI191)+1,0)</f>
        <v>0</v>
      </c>
      <c r="FJ192" s="48" t="str">
        <f ca="1">IFERROR(INDEX($FH$3:$FI$400,MATCH(ROWS($FJ$3:FJ192),$FI$3:$FI$400,0),1),"")</f>
        <v/>
      </c>
      <c r="FK192" s="48">
        <f ca="1">IF(ABS(SUMIFS(DARE,DEN_G,"="&amp;FJ192,DATA,"&lt;="&amp;FINE_AC,DATA,"&gt;="&amp;INIZIO_A_PC)-SUMIFS(AVERE,DEN_G,"="&amp;FJ192,DATA,"&lt;="&amp;FINE_AC,DATA,"&gt;="&amp;INIZIO_A_PC))&gt;0,MAX($FK$2:FK191)+1,0)</f>
        <v>0</v>
      </c>
      <c r="FL192" s="48" t="str">
        <f ca="1">IF(AND(ROW()-2&lt;&gt;1,ROW()-2&lt;=$FK$1),CONCATENATE(" - ",IFERROR(INDEX($FJ$3:$FK$400,MATCH(ROWS($FL$3:FL192),$FK$3:$FK$400,0),1),"")),IFERROR(INDEX($FJ$3:$FK$400,MATCH(ROWS($FL$3:FL192),$FK$3:$FK$400,0),1),""))</f>
        <v/>
      </c>
      <c r="FM192" s="48">
        <f ca="1">IF(OR(B192="IVA ns/credito",B192="IVA NS/DEBITO",B192="IVA C/ACCONTO",B192="IMPOSTE C/ACCONTO",B192="CREDITI PER RITENUTE SUBITE",B192="CREDITI D'IMPOSTA"),MAX($FM$2:FM191)+1,0)</f>
        <v>0</v>
      </c>
      <c r="FN192" s="48" t="str">
        <f t="shared" ca="1" si="329"/>
        <v/>
      </c>
      <c r="FO192" s="48" t="str">
        <f ca="1">IFERROR(INDEX($FM$3:$FN$400,MATCH(ROWS($FO$3:FO192),$FM$3:$FM$400,0),2),"")</f>
        <v/>
      </c>
      <c r="FP192" s="48">
        <f ca="1">IF(ABS(SUMIFS(DARE,DEN_G,"="&amp;FO192,DATA,"&lt;="&amp;FINE_AC,DATA,"&gt;="&amp;INIZIO_A_PC)-SUMIFS(AVERE,DEN_G,"="&amp;FO192,DATA,"&lt;="&amp;FINE_AC,DATA,"&gt;="&amp;INIZIO_A_PC))&gt;0,MAX($FP$2:FP191)+1,0)</f>
        <v>0</v>
      </c>
      <c r="FQ192" s="48" t="str">
        <f ca="1">IF(AND(ROW()-2&lt;&gt;1,ROW()-2&lt;=$FP$1),CONCATENATE(" - ",IFERROR(INDEX($FO$3:$FP$400,MATCH(ROWS($FQ$3:FQ192),$FP$3:$FP$400,0),1),"")),IFERROR(INDEX($FO$3:$FP$400,MATCH(ROWS($FQ$3:FQ192),$FP$3:$FP$400,0),1),""))</f>
        <v/>
      </c>
    </row>
    <row r="193" spans="1:173" x14ac:dyDescent="0.3">
      <c r="A193" s="48" t="str">
        <f ca="1">IFERROR(IF($A$1=2,INDEX($DH$3:$DN$401,MATCH(ROWS(A$3:A193),$DN$3:$DN$401,0),COLUMN()),IF($A$1=1,INDEX($DQ$3:$DW$401,MATCH(ROWS(A$3:A193),$DW$3:$DW$401,0),COLUMN()),"")),"")</f>
        <v>20.11</v>
      </c>
      <c r="B193" s="48" t="str">
        <f ca="1">IFERROR(IF($A$1=2,INDEX($DH$3:$DN$401,MATCH(ROWS(B$3:B193),$DN$3:$DN$401,0),COLUMN()),IF($A$1=1,INDEX($DQ$3:$DW$400,MATCH(ROWS(B$3:B193),$DW$3:$DW$401,0),COLUMN()),"")),"")</f>
        <v>RIBASSI E ABBUONI PASSIVI</v>
      </c>
      <c r="C193" s="48" t="str">
        <f ca="1">IFERROR(IF($A$1=2,INDEX($DH$3:$DN$401,MATCH(ROWS(C$3:C193),$DN$3:$DN$401,0),COLUMN()),IF($A$1=1,INDEX($DQ$3:$DW$401,MATCH(ROWS(C$3:C193),$DW$3:$DW$401,0),COLUMN()),"")),"")</f>
        <v>E</v>
      </c>
      <c r="D193" s="48" t="str">
        <f ca="1">IFERROR(IF($A$1=2,INDEX($DH$3:$DN$401,MATCH(ROWS(D$3:D193),$DN$3:$DN$401,0),COLUMN()),IF($A$1=1,INDEX($DQ$3:$DW$401,MATCH(ROWS(D$3:D193),$DW$3:$DW$401,0),COLUMN()),"")),"")</f>
        <v>D</v>
      </c>
      <c r="E193" s="48" t="str">
        <f ca="1">IFERROR(IF($A$1=2,INDEX($DH$3:$DN$401,MATCH(ROWS(E$3:E193),$DN$3:$DN$401,0),COLUMN()),IF($A$1=1,INDEX($DQ$3:$DW$401,MATCH(ROWS(E$3:E193),$DW$3:$DW$401,0),COLUMN()),"")),"")</f>
        <v>RETTIFICHE RICAVI D'ESERCIZIO</v>
      </c>
      <c r="F193" s="48" t="str">
        <f ca="1">IFERROR(IF($A$1=2,INDEX($DH$3:$DN$401,MATCH(ROWS(F$3:F193),$DN$3:$DN$401,0),COLUMN()),IF($A$1=1,INDEX($DQ$3:$DX$401,MATCH(ROWS(F$3:F193),$DW$3:$DW$401,0),COLUMN()),"")),"")</f>
        <v>SE DARE</v>
      </c>
      <c r="G193" s="48" t="str">
        <f t="shared" ca="1" si="294"/>
        <v>SE</v>
      </c>
      <c r="H193" s="48" t="str">
        <f ca="1">IFERROR(IF($A$1=2,INDEX($DH$3:$DO$400,MATCH(ROWS(H$3:H193),$DN$3:$DN$400,0),COLUMN()),IF($A$1=1,INDEX($DQ$3:$DX$400,MATCH(ROWS(H$3:H193),$DW$3:$DW$400,0),COLUMN()),"")),"")</f>
        <v>ea1</v>
      </c>
      <c r="I193" s="48" t="str">
        <f t="shared" ca="1" si="295"/>
        <v/>
      </c>
      <c r="J193" s="48" t="str">
        <f t="shared" ca="1" si="296"/>
        <v/>
      </c>
      <c r="K193" s="48">
        <f t="shared" ca="1" si="297"/>
        <v>0</v>
      </c>
      <c r="L193" s="48">
        <f t="shared" ca="1" si="298"/>
        <v>0</v>
      </c>
      <c r="M193" s="48">
        <f ca="1">IFERROR(IF(IF(MID($A193,3,3)=".00",MID(A193,1,2),"")&lt;&gt;"",MAX($M$2:M192)+1,0),"")</f>
        <v>0</v>
      </c>
      <c r="N193" s="48" t="str">
        <f t="shared" ca="1" si="299"/>
        <v/>
      </c>
      <c r="O193" s="48" t="str">
        <f ca="1">IF(IFERROR(INDEX($N$3:$O$300,MATCH(ROWS($O$3:O193),$M$3:$M$300,0),1),"")&lt;&gt;"",CONCATENATE(INDEX($N$3:$O$300,MATCH(ROWS($O$3:O193),$M$3:$M$300,0),1),".00"),"")</f>
        <v/>
      </c>
      <c r="P193" s="48" t="str">
        <f t="shared" ca="1" si="300"/>
        <v/>
      </c>
      <c r="Q193" s="48">
        <f ca="1">IF(M193&gt;=1,0,MAX($Q$2:Q192)+1)</f>
        <v>171</v>
      </c>
      <c r="U193" s="48" t="str">
        <f ca="1">IFERROR(INDEX(PDC,MATCH(ROWS(U$3:U193),$V$3:$V$400,0),2),"")</f>
        <v>PRODOTTI FINITI C/RIMANENZE FINALI</v>
      </c>
      <c r="V193" s="48">
        <f ca="1">IF(AND($T$1="VISUALIZZA TUTTI I CONTI",AA193&lt;&gt;""),MAX($V$2:V192)+1,IF(AND($U$2=2,AI193=$T$1),MAX($V$2:V192)+1,IF(AND($U$2=1,$T$1=AF193),MAX($V$2:V192)+1,0)))</f>
        <v>191</v>
      </c>
      <c r="AA193" s="48" t="str">
        <f t="shared" ca="1" si="301"/>
        <v>21.00</v>
      </c>
      <c r="AB193" s="48" t="str">
        <f ca="1">IFERROR(INDEX($A$3:$G$400,MATCH(ROWS(AB$3:AB193),$Q$3:$Q$400,0),1),"")</f>
        <v>21.12</v>
      </c>
      <c r="AC193" s="48" t="str">
        <f ca="1">IFERROR(INDEX($A$3:$G$400,MATCH(ROWS($AC$3:AC193),$Q$3:$Q$400,0),2),"")</f>
        <v>PRODOTTI FINITI C/RIMANENZE FINALI</v>
      </c>
      <c r="AD193" s="48" t="str">
        <f ca="1">IFERROR(INDEX($A$3:$G$400,MATCH(ROWS(AD$3:AD193),$Q$3:$Q$400,0),3),"")</f>
        <v>E</v>
      </c>
      <c r="AE193" s="48" t="str">
        <f ca="1">IFERROR(INDEX($A$3:$G$400,MATCH(ROWS(AE$3:AE193),$Q$3:$Q$400,0),4),"")</f>
        <v>A</v>
      </c>
      <c r="AF193" s="48" t="str">
        <f ca="1">IFERROR(INDEX($A$3:$G$400,MATCH(ROWS(AF$3:AF193),$Q$3:$Q$400,0),5),"")</f>
        <v>RETTIFICHE COSTI D'ESERCIZIO</v>
      </c>
      <c r="AG193" s="48" t="str">
        <f ca="1">IFERROR(INDEX($A$3:$G$400,MATCH(ROWS(AG$3:AG193),$Q$3:$Q$400,0),6),"")</f>
        <v>SE AVERE</v>
      </c>
      <c r="AH193" s="48" t="str">
        <f ca="1">IFERROR(INDEX($A$3:$G$400,MATCH(ROWS(AH$3:AH193),$Q$3:$Q$400,0),7),"")</f>
        <v>SE</v>
      </c>
      <c r="AI193" s="48" t="str">
        <f t="shared" ca="1" si="302"/>
        <v>VARIAZ. RIM. PROD. IN CORSO DI LAVORAZ., SEMIL. E FINITI</v>
      </c>
      <c r="AJ193" s="48" t="str">
        <f ca="1">IFERROR(INDEX($A$3:$H$400,MATCH(ROWS(AJ$3:AJ193),$Q$3:$Q$400,0),8),"")</f>
        <v>ea2</v>
      </c>
      <c r="AK193" s="48">
        <f t="shared" ca="1" si="277"/>
        <v>0</v>
      </c>
      <c r="AL193" s="48">
        <f t="shared" ca="1" si="373"/>
        <v>0</v>
      </c>
      <c r="AM193" s="48">
        <f t="shared" ca="1" si="377"/>
        <v>0</v>
      </c>
      <c r="AN193" s="48">
        <f t="shared" ca="1" si="378"/>
        <v>0</v>
      </c>
      <c r="AO193" s="48">
        <f t="shared" ca="1" si="379"/>
        <v>0</v>
      </c>
      <c r="AP193" s="48">
        <f t="shared" ca="1" si="379"/>
        <v>0</v>
      </c>
      <c r="AQ193" s="48" t="str">
        <f t="shared" ca="1" si="278"/>
        <v/>
      </c>
      <c r="AR193" s="48">
        <f t="shared" ca="1" si="279"/>
        <v>0</v>
      </c>
      <c r="AS193" s="48">
        <f t="shared" ca="1" si="280"/>
        <v>0</v>
      </c>
      <c r="AT193" s="48">
        <f t="shared" ca="1" si="303"/>
        <v>0</v>
      </c>
      <c r="AU193" s="48">
        <f t="shared" ca="1" si="304"/>
        <v>0</v>
      </c>
      <c r="AV193" s="48">
        <f ca="1">IF(OR(AT193&gt;0,AU193&gt;0),MAX($AV$2:AV192)+1,0)</f>
        <v>0</v>
      </c>
      <c r="AZ193" s="241" t="str">
        <f t="shared" si="381"/>
        <v>93 V.I.</v>
      </c>
      <c r="BA193" s="48">
        <f t="shared" ca="1" si="369"/>
        <v>0</v>
      </c>
      <c r="BB193" s="48">
        <f t="shared" ca="1" si="370"/>
        <v>0</v>
      </c>
      <c r="BC193" s="48" t="str">
        <f t="shared" ca="1" si="382"/>
        <v/>
      </c>
      <c r="BD193" s="48">
        <f t="shared" ca="1" si="383"/>
        <v>0</v>
      </c>
      <c r="BE193" s="48">
        <f t="shared" ca="1" si="384"/>
        <v>0</v>
      </c>
      <c r="BG193" s="48">
        <f ca="1">IF(IF(AND(OR(INDEX(PDC,MATCH($AC193,DEN_PDC,0),6)="SP DARE",INDEX(PDC,MATCH($AC193,DEN_PDC,0),6)="SP DARE/AVERE"),SUMIFS(DARE,DEN_G,$AC193)&gt;=SUMIFS(AVERE,DEN_G,$AC193)),SUMIFS(DARE,DEN_G,$AC193)-SUMIFS(AVERE,DEN_G,$AC193),0)&gt;0,MAX($BG$2:BG192)+1,0)</f>
        <v>0</v>
      </c>
      <c r="BH193" s="48">
        <f ca="1">IF(IF(AND(OR(INDEX(PDC,MATCH($AC193,DEN_PDC,0),6)="SP AVERE",INDEX(PDC,MATCH($AC193,DEN_PDC,0),6)="SP DARE/AVERE"),SUMIFS(AVERE,DEN_G,$AC193)&gt;=SUMIFS(DARE,DEN_G,$AC193)),SUMIFS(AVERE,DEN_G,$AC193)-SUMIFS(DARE,DEN_G,$AC193),0)&gt;0,MAX(BH$2:BH192)+1,0)</f>
        <v>0</v>
      </c>
      <c r="BI193" s="48">
        <f ca="1">IF(IF(AND(OR(INDEX(PDC,MATCH($AC193,DEN_PDC,0),6)="SE DARE",INDEX(PDC,MATCH($AC193,DEN_PDC,0),6)="SE DARE/AVERE"),SUMIFS(DARE,DEN_G,$AC193)&gt;=SUMIFS(AVERE,DEN_G,$AC193)),SUMIFS(DARE,DEN_G,$AC193)-SUMIFS(AVERE,DEN_G,$AC193),0)&gt;0,MAX(BI$2:BI192)+1,0)</f>
        <v>0</v>
      </c>
      <c r="BJ193" s="48">
        <f ca="1">IF(IF(AND(OR(INDEX(PDC,MATCH($AC193,DEN_PDC,0),6)="SE AVERE",INDEX(PDC,MATCH($AC193,DEN_PDC,0),6)="SE DARE/AVERE"),SUMIFS(AVERE,DEN_G,$AC193)&gt;=SUMIFS(DARE,DEN_G,$AC193)),SUMIFS(AVERE,DEN_G,$AC193)-SUMIFS(DARE,DEN_G,$AC193),0)&gt;0,MAX(BJ$2:BJ192)+1,0)</f>
        <v>0</v>
      </c>
      <c r="BK193" s="48" t="str">
        <f ca="1">IF(AND(AND($DY$2=0,$DY$1=0),$I$1=2,ROW()&gt;$BG$1+2,ROW()&lt;=$BG$1+4),"………………..",IF(AND(OR($DY$2&gt;0,$DY$1&gt;0),$I$1=2,ROW()&gt;$BG$1+2,ROW()&lt;=$BG$1+4),"………………..",IFERROR(INDEX($AC$3:$AC$398,MATCH(ROWS(BK$3:BK193),BG$3:BG$398,0),1),"")))</f>
        <v/>
      </c>
      <c r="BL193" s="48">
        <f t="shared" ca="1" si="281"/>
        <v>0</v>
      </c>
      <c r="BM193" s="48" t="str">
        <f ca="1">IF(AND(OR($DY$2=0,$DY$1=0),$I$1=2,ROW()&gt;$BH$1+2,ROW()&lt;=$BH$1+4),"………………..",IF(AND(OR($DY$2&gt;0,$DY$1&gt;0),$I$1=2,ROW()&gt;$BH$1+2,ROW()&lt;=$BH$1+4),"………………..",IFERROR(INDEX($AC$3:$AC$400,MATCH(ROWS(BM$3:BM193),BH$3:BH$400,0),1),"")))</f>
        <v/>
      </c>
      <c r="BN193" s="48">
        <f t="shared" ca="1" si="282"/>
        <v>0</v>
      </c>
      <c r="BO193" s="48" t="str">
        <f ca="1">IF(AND(OR($DY$2=0,$DY$1=0),$I$1=2,ROW()&gt;$BI$1+2,ROW()&lt;=$BI$1+4),"………………..",IF(AND(OR($DY$2&gt;0,$DY$1&gt;0),$I$1=2,ROW()&gt;$BI$1+2,ROW()&lt;=$BI$1+4),"………………..",IFERROR(INDEX($AC$3:$AC$400,MATCH(ROWS(BO$3:BO193),BI$3:BI$400,0),1),"")))</f>
        <v/>
      </c>
      <c r="BP193" s="48">
        <f t="shared" ca="1" si="283"/>
        <v>0</v>
      </c>
      <c r="BQ193" s="48" t="str">
        <f ca="1">IF(AND(OR($DY$2=0,$DY$1=0),$I$1=2,ROW()&gt;$BJ$1+2,ROW()&lt;=$BJ$1+4),"………………..",IF(AND(OR($DY$2&gt;0,$DY$1&gt;0),$I$1=2,ROW()&gt;$BJ$1+2,ROW()&lt;=$BJ$1+4),"………………..",IFERROR(INDEX($AC$3:$AC$400,MATCH(ROWS(BQ$3:BQ193),BJ$3:BJ$400,0),1),"")))</f>
        <v/>
      </c>
      <c r="BR193" s="48">
        <f t="shared" ca="1" si="284"/>
        <v>0</v>
      </c>
      <c r="BS193" s="48">
        <f ca="1">IF(IF(AND(OR(INDEX(PDC,MATCH($AC193,DEN_PDC,0),4)="D",INDEX(PDC,MATCH($AC193,DEN_PDC,0),4)="D/A"),SUMIFS(DARE,DEN_G,$AC193)&gt;=SUMIFS(AVERE,DEN_G,$AC193)),SUMIFS(DARE,DEN_G,$AC193),IF(AND(OR(INDEX(PDC,MATCH($AC193,DEN_PDC,0),4)="A",INDEX(PDC,MATCH($AC193,DEN_PDC,0),4)="D/A"),SUMIFS(AVERE,DEN_G,$AC193)&gt;=SUMIFS(DARE,DEN_G,$AC193)),SUMIFS(AVERE,DEN_G,$AC193),))&gt;0,MAX($BS$2:BS192)+1,0)</f>
        <v>0</v>
      </c>
      <c r="BT193" s="48" t="str">
        <f ca="1">IF($CO$1=0,"",IF(AND($I$1=2,ROW()&gt;$BR$1,ROW()&lt;=$BS$1)," …………….",IF(AND($E$1=1,$BX$1=1,$I$1=2,ROW()=$BQ$1),"TOTALI",IFERROR(INDEX(PDC,MATCH(ROWS(BT$3:BT193),BS$3:BS590,0),2),""))))</f>
        <v/>
      </c>
      <c r="BU193" s="48">
        <f t="shared" ca="1" si="285"/>
        <v>0</v>
      </c>
      <c r="BV193" s="48">
        <f t="shared" ca="1" si="286"/>
        <v>0</v>
      </c>
      <c r="BW193" s="48">
        <f t="shared" ca="1" si="287"/>
        <v>0</v>
      </c>
      <c r="BX193" s="48">
        <f t="shared" ca="1" si="288"/>
        <v>0</v>
      </c>
      <c r="BY193" s="48">
        <f ca="1">IF(OR(BW193&gt;0,BX193&gt;0),MAX($BY$2:BY192)+1,0)</f>
        <v>0</v>
      </c>
      <c r="BZ193" s="48" t="str">
        <f ca="1">IFERROR(INDEX($BT$3:$BY$400,MATCH(ROWS(BZ$3:BZ193),$BY$3:$BY$400,0),1),"")</f>
        <v/>
      </c>
      <c r="CA193" s="48" t="str">
        <f ca="1">IFERROR(INDEX($BT$3:$BY$400,MATCH(ROWS(CA$3:CA193),$BY$3:$BY$400,0),4),"")</f>
        <v/>
      </c>
      <c r="CB193" s="48" t="str">
        <f ca="1">IFERROR(INDEX($BT$3:$BY$400,MATCH(ROWS(CB$3:CB193),$BY$3:$BY$400,0),5),"")</f>
        <v/>
      </c>
      <c r="CC193" s="48" t="str">
        <f t="shared" ca="1" si="289"/>
        <v/>
      </c>
      <c r="CD193" s="48">
        <f ca="1">IF(CE193&gt;0,MAX($CD$190:CD192)+1,0)</f>
        <v>0</v>
      </c>
      <c r="CE193" s="48">
        <f ca="1">IF(ROUND(SUMIFS(COPIA!$CB$3:$CB$400,COPIA!$CC$3:$CC$400,CF193)-SUMIFS(COPIA!$CA$3:$CA$400,COPIA!$CC$3:$CC$400,CF193),0)&lt;0,0,ROUND(SUMIFS(COPIA!$CB$3:$CB$400,COPIA!$CC$3:$CC$400,CF193)-SUMIFS(COPIA!$CA$3:$CA$400,COPIA!$CC$3:$CC$400,CF193),0))</f>
        <v>0</v>
      </c>
      <c r="CF193" s="48" t="s">
        <v>701</v>
      </c>
      <c r="CG193" s="242" t="s">
        <v>747</v>
      </c>
      <c r="CH193" s="48">
        <f ca="1">CE193</f>
        <v>0</v>
      </c>
      <c r="CM193" s="242" t="str">
        <f t="shared" ca="1" si="305"/>
        <v/>
      </c>
      <c r="CN193" s="243">
        <f t="shared" ca="1" si="306"/>
        <v>0</v>
      </c>
      <c r="CO193" s="48" t="str">
        <f t="shared" ca="1" si="307"/>
        <v/>
      </c>
      <c r="CQ193" s="242"/>
      <c r="CR193" s="242"/>
      <c r="CU193" s="48">
        <f ca="1">IF(SUMIFS(AVERE,DEN_G,AC193,AVERE,"&gt;"&amp;0)+SUMIFS(DARE,DEN_G,AC193,DARE,"&gt;"&amp;0)&gt;0,MAX($CU$2:CU192)+1,0)</f>
        <v>0</v>
      </c>
      <c r="CV193" s="48" t="str">
        <f ca="1">IF(IFERROR(INDEX(PDC,MATCH(ROWS($CV$3:CV193),$CU$3:$CU$400,0),2),"")="CONTO DI RISULTATO ECONOMICO","",IFERROR(INDEX(PDC,MATCH(ROWS($CV$3:CV193),$CU$3:$CU$400,0),2),""))</f>
        <v/>
      </c>
      <c r="CW193" s="48">
        <f ca="1">IFERROR(IF(CV193&lt;&gt;"",MAX($CW$2:CW192)+1,0),0)</f>
        <v>0</v>
      </c>
      <c r="CX193" s="48">
        <f t="shared" ca="1" si="405"/>
        <v>15</v>
      </c>
      <c r="CY193" s="48" t="str">
        <f t="shared" ca="1" si="404"/>
        <v>MASTRO</v>
      </c>
      <c r="CZ193" s="48" t="e">
        <f t="shared" ca="1" si="407"/>
        <v>#N/A</v>
      </c>
      <c r="DA193" s="48" t="str">
        <f t="shared" ca="1" si="412"/>
        <v/>
      </c>
      <c r="DB193" s="48" t="str">
        <f t="shared" ca="1" si="347"/>
        <v/>
      </c>
      <c r="DC193" s="48" t="str">
        <f t="shared" ca="1" si="408"/>
        <v/>
      </c>
      <c r="DD193" s="48" t="str">
        <f t="shared" ca="1" si="409"/>
        <v/>
      </c>
      <c r="DE193" s="48" t="str">
        <f t="shared" ca="1" si="410"/>
        <v/>
      </c>
      <c r="DF193" s="48">
        <f ca="1">IF(AND(CX193=$DF$1,CX193&lt;&gt;""),0,IF(AND(DB193&lt;&gt;"",OR(DB192&lt;&gt;"",DB194&lt;&gt;"")),MAX($DF$2:DF192)+1,0))</f>
        <v>0</v>
      </c>
      <c r="DG193" s="48">
        <f t="shared" ca="1" si="413"/>
        <v>0</v>
      </c>
      <c r="DH193" s="244" t="s">
        <v>286</v>
      </c>
      <c r="DI193" s="48" t="str">
        <f t="shared" ca="1" si="414"/>
        <v/>
      </c>
      <c r="DJ193" s="48" t="s">
        <v>312</v>
      </c>
      <c r="DK193" s="48" t="s">
        <v>298</v>
      </c>
      <c r="DL193" s="48" t="s">
        <v>5</v>
      </c>
      <c r="DM193" s="48" t="s">
        <v>299</v>
      </c>
      <c r="DN193" s="48">
        <f ca="1">IF(DI193&lt;&gt;"",MAX($DN$2:DN192)+1,0)</f>
        <v>0</v>
      </c>
      <c r="DO193" s="48" t="str">
        <f t="shared" ca="1" si="403"/>
        <v>ppd</v>
      </c>
      <c r="DP193" s="48">
        <f t="shared" ca="1" si="415"/>
        <v>0</v>
      </c>
      <c r="DQ193" s="227" t="s">
        <v>494</v>
      </c>
      <c r="DR193" s="48" t="str">
        <f ca="1">IFERROR(IF(DP193&lt;&gt;0,CONCATENATE("SOCIO ",DP193," C/RIMBORSI"),""),"")</f>
        <v/>
      </c>
      <c r="DS193" s="48" t="s">
        <v>312</v>
      </c>
      <c r="DT193" s="48" t="s">
        <v>298</v>
      </c>
      <c r="DU193" s="48" t="s">
        <v>5</v>
      </c>
      <c r="DV193" s="48" t="s">
        <v>299</v>
      </c>
      <c r="DW193" s="48">
        <f ca="1">IF(DR193&lt;&gt;"",MAX($DW$2:DW192)+1,0)</f>
        <v>0</v>
      </c>
      <c r="DX193" s="48" t="str">
        <f t="shared" ca="1" si="401"/>
        <v>ppd</v>
      </c>
      <c r="DY193" s="48" t="str">
        <f t="shared" ca="1" si="291"/>
        <v/>
      </c>
      <c r="DZ193" s="48" t="str">
        <f t="shared" ca="1" si="309"/>
        <v/>
      </c>
      <c r="EA193" s="48" t="str">
        <f t="shared" ca="1" si="310"/>
        <v/>
      </c>
      <c r="EB193" s="48">
        <f t="shared" ca="1" si="311"/>
        <v>0</v>
      </c>
      <c r="EC193" s="48">
        <f t="shared" ca="1" si="312"/>
        <v>0</v>
      </c>
      <c r="ED193" s="48" t="str">
        <f t="shared" ca="1" si="313"/>
        <v/>
      </c>
      <c r="EE193" s="48">
        <f t="shared" ca="1" si="314"/>
        <v>0</v>
      </c>
      <c r="EF193" s="48" t="str">
        <f t="shared" ca="1" si="315"/>
        <v/>
      </c>
      <c r="EG193" s="48">
        <f t="shared" ca="1" si="316"/>
        <v>0</v>
      </c>
      <c r="EH193" s="48" t="str">
        <f t="shared" ca="1" si="317"/>
        <v/>
      </c>
      <c r="EI193" s="48">
        <f t="shared" ca="1" si="318"/>
        <v>0</v>
      </c>
      <c r="EJ193" s="48" t="str">
        <f t="shared" ca="1" si="319"/>
        <v/>
      </c>
      <c r="EK193" s="48">
        <f t="shared" ca="1" si="320"/>
        <v>0</v>
      </c>
      <c r="EL193" s="48">
        <f t="shared" ca="1" si="292"/>
        <v>0</v>
      </c>
      <c r="EM193" s="48">
        <f ca="1">IF(EL193&gt;=0,0,MAX($EM$2:EM192)+1)</f>
        <v>0</v>
      </c>
      <c r="EN193" s="48" t="str">
        <f t="shared" ca="1" si="321"/>
        <v/>
      </c>
      <c r="EO193" s="48" t="str">
        <f ca="1">IFERROR(INDEX($EM$3:$EN$400,MATCH(ROWS($EO$3:EO193),$EM$3:$EM$400,0),2),"")</f>
        <v/>
      </c>
      <c r="EP193" s="48">
        <f>ROW()</f>
        <v>193</v>
      </c>
      <c r="EQ193" s="48">
        <f t="shared" ca="1" si="293"/>
        <v>0</v>
      </c>
      <c r="ER193" s="48">
        <f ca="1">IF(ISNA(EQ193)=TRUE,MAX($ER$2:ER192)+1,0)</f>
        <v>0</v>
      </c>
      <c r="ES193" s="48" t="str">
        <f t="shared" ca="1" si="322"/>
        <v/>
      </c>
      <c r="ET193" s="48" t="str">
        <f ca="1">IFERROR(INDEX($ER$3:$ES$400,MATCH(ROWS($ET$3:ET193),$ER$3:$ER$400,0),2),"")</f>
        <v/>
      </c>
      <c r="EU193" s="48">
        <f ca="1">IF(ROUND(SUMIFS(COPIA!$CB$3:$CB$400,COPIA!$CC$3:$CC$400,CF193)-SUMIFS(COPIA!$CA$3:$CA$400,COPIA!$CC$3:$CC$400,CF193),0)&lt;0,1,0)</f>
        <v>0</v>
      </c>
      <c r="EV193" s="48">
        <f ca="1">IFERROR(INDEX(LIBRO_GIORNALE!$O$11:$P$408,MATCH(ROWS($EV$2:EV192),LIBRO_GIORNALE!$P$11:$P$408,0),1),0)</f>
        <v>0</v>
      </c>
      <c r="EW193" s="48" t="str">
        <f t="shared" ca="1" si="323"/>
        <v>0</v>
      </c>
      <c r="EX193" s="48">
        <f t="shared" ca="1" si="324"/>
        <v>0</v>
      </c>
      <c r="EY193" s="48">
        <f ca="1">IF(EX193&gt;0,MAX($EY$2:EY192)+1,0)</f>
        <v>0</v>
      </c>
      <c r="EZ193" s="48">
        <f ca="1">IFERROR(INDEX($EX$3:$EX$400,MATCH(ROWS($EZ$3:EZ193),$EY$3:$EY$400,0),1),0)</f>
        <v>0</v>
      </c>
      <c r="FA193" s="48">
        <f ca="1">IF(EZ193&gt;0,0,MAX($FA$2:FA192)+1)</f>
        <v>191</v>
      </c>
      <c r="FB193" s="48">
        <f t="shared" ca="1" si="325"/>
        <v>0</v>
      </c>
      <c r="FC193" s="48">
        <f t="shared" ca="1" si="326"/>
        <v>191</v>
      </c>
      <c r="FD193" s="48">
        <f t="shared" ca="1" si="327"/>
        <v>191</v>
      </c>
      <c r="FE193" s="48">
        <f ca="1">IF(FD193=0,0,MAX($FE$2:FE192)+1)</f>
        <v>191</v>
      </c>
      <c r="FF193" s="48">
        <f ca="1">IFERROR(INDEX($FD$3:$FE$400,MATCH(ROWS($FF$3:FF193),$FE$3:$FE$400,0),1),"")</f>
        <v>191</v>
      </c>
      <c r="FG193" s="48">
        <f t="shared" ca="1" si="380"/>
        <v>0</v>
      </c>
      <c r="FH193" s="48">
        <f t="shared" ca="1" si="328"/>
        <v>0</v>
      </c>
      <c r="FI193" s="48">
        <f ca="1">IF(FH193&lt;&gt;0,MAX($FI$2:FI192)+1,0)</f>
        <v>0</v>
      </c>
      <c r="FJ193" s="48" t="str">
        <f ca="1">IFERROR(INDEX($FH$3:$FI$400,MATCH(ROWS($FJ$3:FJ193),$FI$3:$FI$400,0),1),"")</f>
        <v/>
      </c>
      <c r="FK193" s="48">
        <f ca="1">IF(ABS(SUMIFS(DARE,DEN_G,"="&amp;FJ193,DATA,"&lt;="&amp;FINE_AC,DATA,"&gt;="&amp;INIZIO_A_PC)-SUMIFS(AVERE,DEN_G,"="&amp;FJ193,DATA,"&lt;="&amp;FINE_AC,DATA,"&gt;="&amp;INIZIO_A_PC))&gt;0,MAX($FK$2:FK192)+1,0)</f>
        <v>0</v>
      </c>
      <c r="FL193" s="48" t="str">
        <f ca="1">IF(AND(ROW()-2&lt;&gt;1,ROW()-2&lt;=$FK$1),CONCATENATE(" - ",IFERROR(INDEX($FJ$3:$FK$400,MATCH(ROWS($FL$3:FL193),$FK$3:$FK$400,0),1),"")),IFERROR(INDEX($FJ$3:$FK$400,MATCH(ROWS($FL$3:FL193),$FK$3:$FK$400,0),1),""))</f>
        <v/>
      </c>
      <c r="FM193" s="48">
        <f ca="1">IF(OR(B193="IVA ns/credito",B193="IVA NS/DEBITO",B193="IVA C/ACCONTO",B193="IMPOSTE C/ACCONTO",B193="CREDITI PER RITENUTE SUBITE",B193="CREDITI D'IMPOSTA"),MAX($FM$2:FM192)+1,0)</f>
        <v>0</v>
      </c>
      <c r="FN193" s="48" t="str">
        <f t="shared" ca="1" si="329"/>
        <v/>
      </c>
      <c r="FO193" s="48" t="str">
        <f ca="1">IFERROR(INDEX($FM$3:$FN$400,MATCH(ROWS($FO$3:FO193),$FM$3:$FM$400,0),2),"")</f>
        <v/>
      </c>
      <c r="FP193" s="48">
        <f ca="1">IF(ABS(SUMIFS(DARE,DEN_G,"="&amp;FO193,DATA,"&lt;="&amp;FINE_AC,DATA,"&gt;="&amp;INIZIO_A_PC)-SUMIFS(AVERE,DEN_G,"="&amp;FO193,DATA,"&lt;="&amp;FINE_AC,DATA,"&gt;="&amp;INIZIO_A_PC))&gt;0,MAX($FP$2:FP192)+1,0)</f>
        <v>0</v>
      </c>
      <c r="FQ193" s="48" t="str">
        <f ca="1">IF(AND(ROW()-2&lt;&gt;1,ROW()-2&lt;=$FP$1),CONCATENATE(" - ",IFERROR(INDEX($FO$3:$FP$400,MATCH(ROWS($FQ$3:FQ193),$FP$3:$FP$400,0),1),"")),IFERROR(INDEX($FO$3:$FP$400,MATCH(ROWS($FQ$3:FQ193),$FP$3:$FP$400,0),1),""))</f>
        <v/>
      </c>
    </row>
    <row r="194" spans="1:173" x14ac:dyDescent="0.3">
      <c r="A194" s="48" t="str">
        <f ca="1">IFERROR(IF($A$1=2,INDEX($DH$3:$DN$401,MATCH(ROWS(A$3:A194),$DN$3:$DN$401,0),COLUMN()),IF($A$1=1,INDEX($DQ$3:$DW$401,MATCH(ROWS(A$3:A194),$DW$3:$DW$401,0),COLUMN()),"")),"")</f>
        <v>20.12</v>
      </c>
      <c r="B194" s="48" t="str">
        <f ca="1">IFERROR(IF($A$1=2,INDEX($DH$3:$DN$401,MATCH(ROWS(B$3:B194),$DN$3:$DN$401,0),COLUMN()),IF($A$1=1,INDEX($DQ$3:$DW$400,MATCH(ROWS(B$3:B194),$DW$3:$DW$401,0),COLUMN()),"")),"")</f>
        <v>PREMI SU VENDITE</v>
      </c>
      <c r="C194" s="48" t="str">
        <f ca="1">IFERROR(IF($A$1=2,INDEX($DH$3:$DN$401,MATCH(ROWS(C$3:C194),$DN$3:$DN$401,0),COLUMN()),IF($A$1=1,INDEX($DQ$3:$DW$401,MATCH(ROWS(C$3:C194),$DW$3:$DW$401,0),COLUMN()),"")),"")</f>
        <v>E</v>
      </c>
      <c r="D194" s="48" t="str">
        <f ca="1">IFERROR(IF($A$1=2,INDEX($DH$3:$DN$401,MATCH(ROWS(D$3:D194),$DN$3:$DN$401,0),COLUMN()),IF($A$1=1,INDEX($DQ$3:$DW$401,MATCH(ROWS(D$3:D194),$DW$3:$DW$401,0),COLUMN()),"")),"")</f>
        <v>D</v>
      </c>
      <c r="E194" s="48" t="str">
        <f ca="1">IFERROR(IF($A$1=2,INDEX($DH$3:$DN$401,MATCH(ROWS(E$3:E194),$DN$3:$DN$401,0),COLUMN()),IF($A$1=1,INDEX($DQ$3:$DW$401,MATCH(ROWS(E$3:E194),$DW$3:$DW$401,0),COLUMN()),"")),"")</f>
        <v>RETTIFICHE RICAVI D'ESERCIZIO</v>
      </c>
      <c r="F194" s="48" t="str">
        <f ca="1">IFERROR(IF($A$1=2,INDEX($DH$3:$DN$401,MATCH(ROWS(F$3:F194),$DN$3:$DN$401,0),COLUMN()),IF($A$1=1,INDEX($DQ$3:$DX$401,MATCH(ROWS(F$3:F194),$DW$3:$DW$401,0),COLUMN()),"")),"")</f>
        <v>SE DARE</v>
      </c>
      <c r="G194" s="48" t="str">
        <f t="shared" ca="1" si="294"/>
        <v>SE</v>
      </c>
      <c r="H194" s="48" t="str">
        <f ca="1">IFERROR(IF($A$1=2,INDEX($DH$3:$DO$400,MATCH(ROWS(H$3:H194),$DN$3:$DN$400,0),COLUMN()),IF($A$1=1,INDEX($DQ$3:$DX$400,MATCH(ROWS(H$3:H194),$DW$3:$DW$400,0),COLUMN()),"")),"")</f>
        <v>ea1</v>
      </c>
      <c r="I194" s="48" t="str">
        <f t="shared" ca="1" si="295"/>
        <v/>
      </c>
      <c r="J194" s="48" t="str">
        <f t="shared" ca="1" si="296"/>
        <v/>
      </c>
      <c r="K194" s="48">
        <f t="shared" ca="1" si="297"/>
        <v>0</v>
      </c>
      <c r="L194" s="48">
        <f t="shared" ca="1" si="298"/>
        <v>0</v>
      </c>
      <c r="M194" s="48">
        <f ca="1">IFERROR(IF(IF(MID($A194,3,3)=".00",MID(A194,1,2),"")&lt;&gt;"",MAX($M$2:M193)+1,0),"")</f>
        <v>0</v>
      </c>
      <c r="N194" s="48" t="str">
        <f t="shared" ca="1" si="299"/>
        <v/>
      </c>
      <c r="O194" s="48" t="str">
        <f ca="1">IF(IFERROR(INDEX($N$3:$O$300,MATCH(ROWS($O$3:O194),$M$3:$M$300,0),1),"")&lt;&gt;"",CONCATENATE(INDEX($N$3:$O$300,MATCH(ROWS($O$3:O194),$M$3:$M$300,0),1),".00"),"")</f>
        <v/>
      </c>
      <c r="P194" s="48" t="str">
        <f t="shared" ca="1" si="300"/>
        <v/>
      </c>
      <c r="Q194" s="48">
        <f ca="1">IF(M194&gt;=1,0,MAX($Q$2:Q193)+1)</f>
        <v>172</v>
      </c>
      <c r="U194" s="48" t="str">
        <f ca="1">IFERROR(INDEX(PDC,MATCH(ROWS(U$3:U194),$V$3:$V$400,0),2),"")</f>
        <v>MATERIE PRIME C/ACQUISTI</v>
      </c>
      <c r="V194" s="48">
        <f ca="1">IF(AND($T$1="VISUALIZZA TUTTI I CONTI",AA194&lt;&gt;""),MAX($V$2:V193)+1,IF(AND($U$2=2,AI194=$T$1),MAX($V$2:V193)+1,IF(AND($U$2=1,$T$1=AF194),MAX($V$2:V193)+1,0)))</f>
        <v>192</v>
      </c>
      <c r="AA194" s="48" t="str">
        <f t="shared" ca="1" si="301"/>
        <v>30.00</v>
      </c>
      <c r="AB194" s="48" t="str">
        <f ca="1">IFERROR(INDEX($A$3:$G$400,MATCH(ROWS(AB$3:AB194),$Q$3:$Q$400,0),1),"")</f>
        <v>30.01</v>
      </c>
      <c r="AC194" s="48" t="str">
        <f ca="1">IFERROR(INDEX($A$3:$G$400,MATCH(ROWS($AC$3:AC194),$Q$3:$Q$400,0),2),"")</f>
        <v>MATERIE PRIME C/ACQUISTI</v>
      </c>
      <c r="AD194" s="48" t="str">
        <f ca="1">IFERROR(INDEX($A$3:$G$400,MATCH(ROWS(AD$3:AD194),$Q$3:$Q$400,0),3),"")</f>
        <v>E</v>
      </c>
      <c r="AE194" s="48" t="str">
        <f ca="1">IFERROR(INDEX($A$3:$G$400,MATCH(ROWS(AE$3:AE194),$Q$3:$Q$400,0),4),"")</f>
        <v>D</v>
      </c>
      <c r="AF194" s="48" t="str">
        <f ca="1">IFERROR(INDEX($A$3:$G$400,MATCH(ROWS(AF$3:AF194),$Q$3:$Q$400,0),5),"")</f>
        <v>COSTI D'ESERCIZIO</v>
      </c>
      <c r="AG194" s="48" t="str">
        <f ca="1">IFERROR(INDEX($A$3:$G$400,MATCH(ROWS(AG$3:AG194),$Q$3:$Q$400,0),6),"")</f>
        <v>SE DARE</v>
      </c>
      <c r="AH194" s="48" t="str">
        <f ca="1">IFERROR(INDEX($A$3:$G$400,MATCH(ROWS(AH$3:AH194),$Q$3:$Q$400,0),7),"")</f>
        <v>SE</v>
      </c>
      <c r="AI194" s="48" t="str">
        <f t="shared" ca="1" si="302"/>
        <v>COSTI DELLE MATERIE</v>
      </c>
      <c r="AJ194" s="48" t="str">
        <f ca="1">IFERROR(INDEX($A$3:$H$400,MATCH(ROWS(AJ$3:AJ194),$Q$3:$Q$400,0),8),"")</f>
        <v>eb6</v>
      </c>
      <c r="AK194" s="48">
        <f t="shared" ca="1" si="277"/>
        <v>0</v>
      </c>
      <c r="AL194" s="48">
        <f t="shared" ca="1" si="373"/>
        <v>0</v>
      </c>
      <c r="AM194" s="48">
        <f t="shared" ca="1" si="377"/>
        <v>0</v>
      </c>
      <c r="AN194" s="48">
        <f t="shared" ca="1" si="378"/>
        <v>0</v>
      </c>
      <c r="AO194" s="48">
        <f t="shared" ca="1" si="379"/>
        <v>0</v>
      </c>
      <c r="AP194" s="48">
        <f t="shared" ca="1" si="379"/>
        <v>0</v>
      </c>
      <c r="AQ194" s="48" t="str">
        <f t="shared" ca="1" si="278"/>
        <v/>
      </c>
      <c r="AR194" s="48">
        <f t="shared" ca="1" si="279"/>
        <v>0</v>
      </c>
      <c r="AS194" s="48">
        <f t="shared" ca="1" si="280"/>
        <v>0</v>
      </c>
      <c r="AT194" s="48">
        <f t="shared" ca="1" si="303"/>
        <v>0</v>
      </c>
      <c r="AU194" s="48">
        <f t="shared" ca="1" si="304"/>
        <v>0</v>
      </c>
      <c r="AV194" s="48">
        <f ca="1">IF(OR(AT194&gt;0,AU194&gt;0),MAX($AV$2:AV193)+1,0)</f>
        <v>0</v>
      </c>
      <c r="AZ194" s="241" t="str">
        <f t="shared" si="381"/>
        <v>94 V.I.</v>
      </c>
      <c r="BA194" s="48">
        <f t="shared" ca="1" si="369"/>
        <v>0</v>
      </c>
      <c r="BB194" s="48">
        <f t="shared" ca="1" si="370"/>
        <v>0</v>
      </c>
      <c r="BC194" s="48" t="str">
        <f t="shared" ca="1" si="382"/>
        <v/>
      </c>
      <c r="BD194" s="48">
        <f t="shared" ca="1" si="383"/>
        <v>0</v>
      </c>
      <c r="BE194" s="48">
        <f t="shared" ca="1" si="384"/>
        <v>0</v>
      </c>
      <c r="BG194" s="48">
        <f ca="1">IF(IF(AND(OR(INDEX(PDC,MATCH($AC194,DEN_PDC,0),6)="SP DARE",INDEX(PDC,MATCH($AC194,DEN_PDC,0),6)="SP DARE/AVERE"),SUMIFS(DARE,DEN_G,$AC194)&gt;=SUMIFS(AVERE,DEN_G,$AC194)),SUMIFS(DARE,DEN_G,$AC194)-SUMIFS(AVERE,DEN_G,$AC194),0)&gt;0,MAX($BG$2:BG193)+1,0)</f>
        <v>0</v>
      </c>
      <c r="BH194" s="48">
        <f ca="1">IF(IF(AND(OR(INDEX(PDC,MATCH($AC194,DEN_PDC,0),6)="SP AVERE",INDEX(PDC,MATCH($AC194,DEN_PDC,0),6)="SP DARE/AVERE"),SUMIFS(AVERE,DEN_G,$AC194)&gt;=SUMIFS(DARE,DEN_G,$AC194)),SUMIFS(AVERE,DEN_G,$AC194)-SUMIFS(DARE,DEN_G,$AC194),0)&gt;0,MAX(BH$2:BH193)+1,0)</f>
        <v>0</v>
      </c>
      <c r="BI194" s="48">
        <f ca="1">IF(IF(AND(OR(INDEX(PDC,MATCH($AC194,DEN_PDC,0),6)="SE DARE",INDEX(PDC,MATCH($AC194,DEN_PDC,0),6)="SE DARE/AVERE"),SUMIFS(DARE,DEN_G,$AC194)&gt;=SUMIFS(AVERE,DEN_G,$AC194)),SUMIFS(DARE,DEN_G,$AC194)-SUMIFS(AVERE,DEN_G,$AC194),0)&gt;0,MAX(BI$2:BI193)+1,0)</f>
        <v>0</v>
      </c>
      <c r="BJ194" s="48">
        <f ca="1">IF(IF(AND(OR(INDEX(PDC,MATCH($AC194,DEN_PDC,0),6)="SE AVERE",INDEX(PDC,MATCH($AC194,DEN_PDC,0),6)="SE DARE/AVERE"),SUMIFS(AVERE,DEN_G,$AC194)&gt;=SUMIFS(DARE,DEN_G,$AC194)),SUMIFS(AVERE,DEN_G,$AC194)-SUMIFS(DARE,DEN_G,$AC194),0)&gt;0,MAX(BJ$2:BJ193)+1,0)</f>
        <v>0</v>
      </c>
      <c r="BK194" s="48" t="str">
        <f ca="1">IF(AND(AND($DY$2=0,$DY$1=0),$I$1=2,ROW()&gt;$BG$1+2,ROW()&lt;=$BG$1+4),"………………..",IF(AND(OR($DY$2&gt;0,$DY$1&gt;0),$I$1=2,ROW()&gt;$BG$1+2,ROW()&lt;=$BG$1+4),"………………..",IFERROR(INDEX($AC$3:$AC$398,MATCH(ROWS(BK$3:BK194),BG$3:BG$398,0),1),"")))</f>
        <v/>
      </c>
      <c r="BL194" s="48">
        <f t="shared" ca="1" si="281"/>
        <v>0</v>
      </c>
      <c r="BM194" s="48" t="str">
        <f ca="1">IF(AND(OR($DY$2=0,$DY$1=0),$I$1=2,ROW()&gt;$BH$1+2,ROW()&lt;=$BH$1+4),"………………..",IF(AND(OR($DY$2&gt;0,$DY$1&gt;0),$I$1=2,ROW()&gt;$BH$1+2,ROW()&lt;=$BH$1+4),"………………..",IFERROR(INDEX($AC$3:$AC$400,MATCH(ROWS(BM$3:BM194),BH$3:BH$400,0),1),"")))</f>
        <v/>
      </c>
      <c r="BN194" s="48">
        <f t="shared" ca="1" si="282"/>
        <v>0</v>
      </c>
      <c r="BO194" s="48" t="str">
        <f ca="1">IF(AND(OR($DY$2=0,$DY$1=0),$I$1=2,ROW()&gt;$BI$1+2,ROW()&lt;=$BI$1+4),"………………..",IF(AND(OR($DY$2&gt;0,$DY$1&gt;0),$I$1=2,ROW()&gt;$BI$1+2,ROW()&lt;=$BI$1+4),"………………..",IFERROR(INDEX($AC$3:$AC$400,MATCH(ROWS(BO$3:BO194),BI$3:BI$400,0),1),"")))</f>
        <v/>
      </c>
      <c r="BP194" s="48">
        <f t="shared" ca="1" si="283"/>
        <v>0</v>
      </c>
      <c r="BQ194" s="48" t="str">
        <f ca="1">IF(AND(OR($DY$2=0,$DY$1=0),$I$1=2,ROW()&gt;$BJ$1+2,ROW()&lt;=$BJ$1+4),"………………..",IF(AND(OR($DY$2&gt;0,$DY$1&gt;0),$I$1=2,ROW()&gt;$BJ$1+2,ROW()&lt;=$BJ$1+4),"………………..",IFERROR(INDEX($AC$3:$AC$400,MATCH(ROWS(BQ$3:BQ194),BJ$3:BJ$400,0),1),"")))</f>
        <v/>
      </c>
      <c r="BR194" s="48">
        <f t="shared" ca="1" si="284"/>
        <v>0</v>
      </c>
      <c r="BS194" s="48">
        <f ca="1">IF(IF(AND(OR(INDEX(PDC,MATCH($AC194,DEN_PDC,0),4)="D",INDEX(PDC,MATCH($AC194,DEN_PDC,0),4)="D/A"),SUMIFS(DARE,DEN_G,$AC194)&gt;=SUMIFS(AVERE,DEN_G,$AC194)),SUMIFS(DARE,DEN_G,$AC194),IF(AND(OR(INDEX(PDC,MATCH($AC194,DEN_PDC,0),4)="A",INDEX(PDC,MATCH($AC194,DEN_PDC,0),4)="D/A"),SUMIFS(AVERE,DEN_G,$AC194)&gt;=SUMIFS(DARE,DEN_G,$AC194)),SUMIFS(AVERE,DEN_G,$AC194),))&gt;0,MAX($BS$2:BS193)+1,0)</f>
        <v>0</v>
      </c>
      <c r="BT194" s="48" t="str">
        <f ca="1">IF($CO$1=0,"",IF(AND($I$1=2,ROW()&gt;$BR$1,ROW()&lt;=$BS$1)," …………….",IF(AND($E$1=1,$BX$1=1,$I$1=2,ROW()=$BQ$1),"TOTALI",IFERROR(INDEX(PDC,MATCH(ROWS(BT$3:BT194),BS$3:BS591,0),2),""))))</f>
        <v/>
      </c>
      <c r="BU194" s="48">
        <f t="shared" ca="1" si="285"/>
        <v>0</v>
      </c>
      <c r="BV194" s="48">
        <f t="shared" ca="1" si="286"/>
        <v>0</v>
      </c>
      <c r="BW194" s="48">
        <f t="shared" ca="1" si="287"/>
        <v>0</v>
      </c>
      <c r="BX194" s="48">
        <f t="shared" ca="1" si="288"/>
        <v>0</v>
      </c>
      <c r="BY194" s="48">
        <f ca="1">IF(OR(BW194&gt;0,BX194&gt;0),MAX($BY$2:BY193)+1,0)</f>
        <v>0</v>
      </c>
      <c r="BZ194" s="48" t="str">
        <f ca="1">IFERROR(INDEX($BT$3:$BY$400,MATCH(ROWS(BZ$3:BZ194),$BY$3:$BY$400,0),1),"")</f>
        <v/>
      </c>
      <c r="CA194" s="48" t="str">
        <f ca="1">IFERROR(INDEX($BT$3:$BY$400,MATCH(ROWS(CA$3:CA194),$BY$3:$BY$400,0),4),"")</f>
        <v/>
      </c>
      <c r="CB194" s="48" t="str">
        <f ca="1">IFERROR(INDEX($BT$3:$BY$400,MATCH(ROWS(CB$3:CB194),$BY$3:$BY$400,0),5),"")</f>
        <v/>
      </c>
      <c r="CC194" s="48" t="str">
        <f t="shared" ca="1" si="289"/>
        <v/>
      </c>
      <c r="CD194" s="48">
        <f ca="1">IF(CE194&lt;&gt;0,MAX($CD$190:CD193)+1,0)</f>
        <v>0</v>
      </c>
      <c r="CE194" s="48">
        <f ca="1">ROUND(SUMIFS(COPIA!$CB$3:$CB$400,COPIA!$CC$3:$CC$400,CF194)-SUMIFS(COPIA!$CA$3:$CA$400,COPIA!$CC$3:$CC$400,CF194),0)</f>
        <v>0</v>
      </c>
      <c r="CF194" s="48" t="s">
        <v>706</v>
      </c>
      <c r="CG194" s="242" t="str">
        <f ca="1">IF($BF$9=2,"__2) var. rimanenze prodotti in lav., semilavorati, finiti e lavori in corso su ordinazione","__2) variazioni delle rimanenze di prodotti in corso di lavorazione, semilavorati e finiti")</f>
        <v>__2) var. rimanenze prodotti in lav., semilavorati, finiti e lavori in corso su ordinazione</v>
      </c>
      <c r="CH194" s="48">
        <f t="shared" ref="CH194:CH197" ca="1" si="416">CE194</f>
        <v>0</v>
      </c>
      <c r="CM194" s="242" t="str">
        <f t="shared" ca="1" si="305"/>
        <v/>
      </c>
      <c r="CN194" s="243">
        <f t="shared" ca="1" si="306"/>
        <v>0</v>
      </c>
      <c r="CO194" s="48" t="str">
        <f t="shared" ca="1" si="307"/>
        <v/>
      </c>
      <c r="CQ194" s="242"/>
      <c r="CR194" s="242"/>
      <c r="CU194" s="48">
        <f ca="1">IF(SUMIFS(AVERE,DEN_G,AC194,AVERE,"&gt;"&amp;0)+SUMIFS(DARE,DEN_G,AC194,DARE,"&gt;"&amp;0)&gt;0,MAX($CU$2:CU193)+1,0)</f>
        <v>0</v>
      </c>
      <c r="CV194" s="48" t="str">
        <f ca="1">IF(IFERROR(INDEX(PDC,MATCH(ROWS($CV$3:CV194),$CU$3:$CU$400,0),2),"")="CONTO DI RISULTATO ECONOMICO","",IFERROR(INDEX(PDC,MATCH(ROWS($CV$3:CV194),$CU$3:$CU$400,0),2),""))</f>
        <v/>
      </c>
      <c r="CW194" s="48">
        <f ca="1">IFERROR(IF(CV194&lt;&gt;"",MAX($CW$2:CW193)+1,0),0)</f>
        <v>0</v>
      </c>
      <c r="CX194" s="48">
        <f t="shared" ca="1" si="405"/>
        <v>15</v>
      </c>
      <c r="CY194" s="48" t="str">
        <f t="shared" ca="1" si="404"/>
        <v>MASTRO</v>
      </c>
      <c r="CZ194" s="48" t="e">
        <f t="shared" ca="1" si="407"/>
        <v>#N/A</v>
      </c>
      <c r="DA194" s="48" t="str">
        <f t="shared" ca="1" si="412"/>
        <v/>
      </c>
      <c r="DB194" s="48" t="str">
        <f t="shared" ca="1" si="347"/>
        <v/>
      </c>
      <c r="DC194" s="48" t="str">
        <f t="shared" ca="1" si="408"/>
        <v/>
      </c>
      <c r="DD194" s="48" t="str">
        <f t="shared" ca="1" si="409"/>
        <v/>
      </c>
      <c r="DE194" s="48" t="str">
        <f t="shared" ca="1" si="410"/>
        <v/>
      </c>
      <c r="DF194" s="48">
        <f ca="1">IF(AND(CX194=$DF$1,CX194&lt;&gt;""),0,IF(AND(DB194&lt;&gt;"",OR(DB193&lt;&gt;"",DB195&lt;&gt;"")),MAX($DF$2:DF193)+1,0))</f>
        <v>0</v>
      </c>
      <c r="DG194" s="48">
        <f t="shared" ca="1" si="413"/>
        <v>0</v>
      </c>
      <c r="DH194" s="244" t="s">
        <v>286</v>
      </c>
      <c r="DI194" s="48" t="str">
        <f t="shared" ca="1" si="414"/>
        <v/>
      </c>
      <c r="DJ194" s="48" t="s">
        <v>312</v>
      </c>
      <c r="DK194" s="48" t="s">
        <v>298</v>
      </c>
      <c r="DL194" s="48" t="s">
        <v>5</v>
      </c>
      <c r="DM194" s="48" t="s">
        <v>299</v>
      </c>
      <c r="DN194" s="48">
        <f ca="1">IF(DI194&lt;&gt;"",MAX($DN$2:DN193)+1,0)</f>
        <v>0</v>
      </c>
      <c r="DO194" s="48" t="str">
        <f t="shared" ca="1" si="403"/>
        <v>ppd</v>
      </c>
      <c r="DP194" s="48">
        <f t="shared" ca="1" si="415"/>
        <v>0</v>
      </c>
      <c r="DQ194" s="227" t="s">
        <v>495</v>
      </c>
      <c r="DR194" s="48" t="str">
        <f ca="1">IFERROR(IF(DP194&lt;&gt;0,CONCATENATE("SOCIO ",DP194," C/RIMBORSI"),""),"")</f>
        <v/>
      </c>
      <c r="DS194" s="48" t="s">
        <v>312</v>
      </c>
      <c r="DT194" s="48" t="s">
        <v>298</v>
      </c>
      <c r="DU194" s="48" t="s">
        <v>5</v>
      </c>
      <c r="DV194" s="48" t="s">
        <v>299</v>
      </c>
      <c r="DW194" s="48">
        <f ca="1">IF(DR194&lt;&gt;"",MAX($DW$2:DW193)+1,0)</f>
        <v>0</v>
      </c>
      <c r="DX194" s="48" t="str">
        <f t="shared" ca="1" si="401"/>
        <v>ppd</v>
      </c>
      <c r="DY194" s="48" t="str">
        <f t="shared" ca="1" si="291"/>
        <v/>
      </c>
      <c r="DZ194" s="48" t="str">
        <f t="shared" ca="1" si="309"/>
        <v/>
      </c>
      <c r="EA194" s="48" t="str">
        <f t="shared" ca="1" si="310"/>
        <v/>
      </c>
      <c r="EB194" s="48">
        <f t="shared" ca="1" si="311"/>
        <v>0</v>
      </c>
      <c r="EC194" s="48">
        <f t="shared" ca="1" si="312"/>
        <v>0</v>
      </c>
      <c r="ED194" s="48" t="str">
        <f t="shared" ca="1" si="313"/>
        <v/>
      </c>
      <c r="EE194" s="48">
        <f t="shared" ca="1" si="314"/>
        <v>0</v>
      </c>
      <c r="EF194" s="48" t="str">
        <f t="shared" ca="1" si="315"/>
        <v/>
      </c>
      <c r="EG194" s="48">
        <f t="shared" ca="1" si="316"/>
        <v>0</v>
      </c>
      <c r="EH194" s="48" t="str">
        <f t="shared" ca="1" si="317"/>
        <v/>
      </c>
      <c r="EI194" s="48">
        <f t="shared" ca="1" si="318"/>
        <v>0</v>
      </c>
      <c r="EJ194" s="48" t="str">
        <f t="shared" ca="1" si="319"/>
        <v/>
      </c>
      <c r="EK194" s="48">
        <f t="shared" ca="1" si="320"/>
        <v>0</v>
      </c>
      <c r="EL194" s="48">
        <f t="shared" ca="1" si="292"/>
        <v>0</v>
      </c>
      <c r="EM194" s="48">
        <f ca="1">IF(EL194&gt;=0,0,MAX($EM$2:EM193)+1)</f>
        <v>0</v>
      </c>
      <c r="EN194" s="48" t="str">
        <f t="shared" ca="1" si="321"/>
        <v/>
      </c>
      <c r="EO194" s="48" t="str">
        <f ca="1">IFERROR(INDEX($EM$3:$EN$400,MATCH(ROWS($EO$3:EO194),$EM$3:$EM$400,0),2),"")</f>
        <v/>
      </c>
      <c r="EP194" s="48">
        <f>ROW()</f>
        <v>194</v>
      </c>
      <c r="EQ194" s="48">
        <f t="shared" ca="1" si="293"/>
        <v>0</v>
      </c>
      <c r="ER194" s="48">
        <f ca="1">IF(ISNA(EQ194)=TRUE,MAX($ER$2:ER193)+1,0)</f>
        <v>0</v>
      </c>
      <c r="ES194" s="48" t="str">
        <f t="shared" ca="1" si="322"/>
        <v/>
      </c>
      <c r="ET194" s="48" t="str">
        <f ca="1">IFERROR(INDEX($ER$3:$ES$400,MATCH(ROWS($ET$3:ET194),$ER$3:$ER$400,0),2),"")</f>
        <v/>
      </c>
      <c r="EV194" s="48">
        <f ca="1">IFERROR(INDEX(LIBRO_GIORNALE!$O$11:$P$408,MATCH(ROWS($EV$2:EV193),LIBRO_GIORNALE!$P$11:$P$408,0),1),0)</f>
        <v>0</v>
      </c>
      <c r="EW194" s="48" t="str">
        <f t="shared" ca="1" si="323"/>
        <v>0</v>
      </c>
      <c r="EX194" s="48">
        <f t="shared" ca="1" si="324"/>
        <v>0</v>
      </c>
      <c r="EY194" s="48">
        <f ca="1">IF(EX194&gt;0,MAX($EY$2:EY193)+1,0)</f>
        <v>0</v>
      </c>
      <c r="EZ194" s="48">
        <f ca="1">IFERROR(INDEX($EX$3:$EX$400,MATCH(ROWS($EZ$3:EZ194),$EY$3:$EY$400,0),1),0)</f>
        <v>0</v>
      </c>
      <c r="FA194" s="48">
        <f ca="1">IF(EZ194&gt;0,0,MAX($FA$2:FA193)+1)</f>
        <v>192</v>
      </c>
      <c r="FB194" s="48">
        <f t="shared" ca="1" si="325"/>
        <v>0</v>
      </c>
      <c r="FC194" s="48">
        <f t="shared" ca="1" si="326"/>
        <v>192</v>
      </c>
      <c r="FD194" s="48">
        <f t="shared" ca="1" si="327"/>
        <v>192</v>
      </c>
      <c r="FE194" s="48">
        <f ca="1">IF(FD194=0,0,MAX($FE$2:FE193)+1)</f>
        <v>192</v>
      </c>
      <c r="FF194" s="48">
        <f ca="1">IFERROR(INDEX($FD$3:$FE$400,MATCH(ROWS($FF$3:FF194),$FE$3:$FE$400,0),1),"")</f>
        <v>192</v>
      </c>
      <c r="FG194" s="48">
        <f t="shared" ca="1" si="380"/>
        <v>0</v>
      </c>
      <c r="FH194" s="48">
        <f t="shared" ca="1" si="328"/>
        <v>0</v>
      </c>
      <c r="FI194" s="48">
        <f ca="1">IF(FH194&lt;&gt;0,MAX($FI$2:FI193)+1,0)</f>
        <v>0</v>
      </c>
      <c r="FJ194" s="48" t="str">
        <f ca="1">IFERROR(INDEX($FH$3:$FI$400,MATCH(ROWS($FJ$3:FJ194),$FI$3:$FI$400,0),1),"")</f>
        <v/>
      </c>
      <c r="FK194" s="48">
        <f ca="1">IF(ABS(SUMIFS(DARE,DEN_G,"="&amp;FJ194,DATA,"&lt;="&amp;FINE_AC,DATA,"&gt;="&amp;INIZIO_A_PC)-SUMIFS(AVERE,DEN_G,"="&amp;FJ194,DATA,"&lt;="&amp;FINE_AC,DATA,"&gt;="&amp;INIZIO_A_PC))&gt;0,MAX($FK$2:FK193)+1,0)</f>
        <v>0</v>
      </c>
      <c r="FL194" s="48" t="str">
        <f ca="1">IF(AND(ROW()-2&lt;&gt;1,ROW()-2&lt;=$FK$1),CONCATENATE(" - ",IFERROR(INDEX($FJ$3:$FK$400,MATCH(ROWS($FL$3:FL194),$FK$3:$FK$400,0),1),"")),IFERROR(INDEX($FJ$3:$FK$400,MATCH(ROWS($FL$3:FL194),$FK$3:$FK$400,0),1),""))</f>
        <v/>
      </c>
      <c r="FM194" s="48">
        <f ca="1">IF(OR(B194="IVA ns/credito",B194="IVA NS/DEBITO",B194="IVA C/ACCONTO",B194="IMPOSTE C/ACCONTO",B194="CREDITI PER RITENUTE SUBITE",B194="CREDITI D'IMPOSTA"),MAX($FM$2:FM193)+1,0)</f>
        <v>0</v>
      </c>
      <c r="FN194" s="48" t="str">
        <f t="shared" ca="1" si="329"/>
        <v/>
      </c>
      <c r="FO194" s="48" t="str">
        <f ca="1">IFERROR(INDEX($FM$3:$FN$400,MATCH(ROWS($FO$3:FO194),$FM$3:$FM$400,0),2),"")</f>
        <v/>
      </c>
      <c r="FP194" s="48">
        <f ca="1">IF(ABS(SUMIFS(DARE,DEN_G,"="&amp;FO194,DATA,"&lt;="&amp;FINE_AC,DATA,"&gt;="&amp;INIZIO_A_PC)-SUMIFS(AVERE,DEN_G,"="&amp;FO194,DATA,"&lt;="&amp;FINE_AC,DATA,"&gt;="&amp;INIZIO_A_PC))&gt;0,MAX($FP$2:FP193)+1,0)</f>
        <v>0</v>
      </c>
      <c r="FQ194" s="48" t="str">
        <f ca="1">IF(AND(ROW()-2&lt;&gt;1,ROW()-2&lt;=$FP$1),CONCATENATE(" - ",IFERROR(INDEX($FO$3:$FP$400,MATCH(ROWS($FQ$3:FQ194),$FP$3:$FP$400,0),1),"")),IFERROR(INDEX($FO$3:$FP$400,MATCH(ROWS($FQ$3:FQ194),$FP$3:$FP$400,0),1),""))</f>
        <v/>
      </c>
    </row>
    <row r="195" spans="1:173" x14ac:dyDescent="0.3">
      <c r="A195" s="48" t="str">
        <f ca="1">IFERROR(IF($A$1=2,INDEX($DH$3:$DN$401,MATCH(ROWS(A$3:A195),$DN$3:$DN$401,0),COLUMN()),IF($A$1=1,INDEX($DQ$3:$DW$401,MATCH(ROWS(A$3:A195),$DW$3:$DW$401,0),COLUMN()),"")),"")</f>
        <v>20.20</v>
      </c>
      <c r="B195" s="48" t="str">
        <f ca="1">IFERROR(IF($A$1=2,INDEX($DH$3:$DN$401,MATCH(ROWS(B$3:B195),$DN$3:$DN$401,0),COLUMN()),IF($A$1=1,INDEX($DQ$3:$DW$400,MATCH(ROWS(B$3:B195),$DW$3:$DW$401,0),COLUMN()),"")),"")</f>
        <v>COSTRUZIONI INTERNE</v>
      </c>
      <c r="C195" s="48" t="str">
        <f ca="1">IFERROR(IF($A$1=2,INDEX($DH$3:$DN$401,MATCH(ROWS(C$3:C195),$DN$3:$DN$401,0),COLUMN()),IF($A$1=1,INDEX($DQ$3:$DW$401,MATCH(ROWS(C$3:C195),$DW$3:$DW$401,0),COLUMN()),"")),"")</f>
        <v>E</v>
      </c>
      <c r="D195" s="48" t="str">
        <f ca="1">IFERROR(IF($A$1=2,INDEX($DH$3:$DN$401,MATCH(ROWS(D$3:D195),$DN$3:$DN$401,0),COLUMN()),IF($A$1=1,INDEX($DQ$3:$DW$401,MATCH(ROWS(D$3:D195),$DW$3:$DW$401,0),COLUMN()),"")),"")</f>
        <v>A</v>
      </c>
      <c r="E195" s="48" t="str">
        <f ca="1">IFERROR(IF($A$1=2,INDEX($DH$3:$DN$401,MATCH(ROWS(E$3:E195),$DN$3:$DN$401,0),COLUMN()),IF($A$1=1,INDEX($DQ$3:$DW$401,MATCH(ROWS(E$3:E195),$DW$3:$DW$401,0),COLUMN()),"")),"")</f>
        <v>RETTIFICHE COSTI D'ESERCIZIO</v>
      </c>
      <c r="F195" s="48" t="str">
        <f ca="1">IFERROR(IF($A$1=2,INDEX($DH$3:$DN$401,MATCH(ROWS(F$3:F195),$DN$3:$DN$401,0),COLUMN()),IF($A$1=1,INDEX($DQ$3:$DX$401,MATCH(ROWS(F$3:F195),$DW$3:$DW$401,0),COLUMN()),"")),"")</f>
        <v>SE AVERE</v>
      </c>
      <c r="G195" s="48" t="str">
        <f t="shared" ca="1" si="294"/>
        <v>SE</v>
      </c>
      <c r="H195" s="48" t="str">
        <f ca="1">IFERROR(IF($A$1=2,INDEX($DH$3:$DO$400,MATCH(ROWS(H$3:H195),$DN$3:$DN$400,0),COLUMN()),IF($A$1=1,INDEX($DQ$3:$DX$400,MATCH(ROWS(H$3:H195),$DW$3:$DW$400,0),COLUMN()),"")),"")</f>
        <v>ea4</v>
      </c>
      <c r="I195" s="48" t="str">
        <f t="shared" ca="1" si="295"/>
        <v/>
      </c>
      <c r="J195" s="48" t="str">
        <f t="shared" ca="1" si="296"/>
        <v/>
      </c>
      <c r="K195" s="48">
        <f t="shared" ca="1" si="297"/>
        <v>0</v>
      </c>
      <c r="L195" s="48">
        <f t="shared" ca="1" si="298"/>
        <v>0</v>
      </c>
      <c r="M195" s="48">
        <f ca="1">IFERROR(IF(IF(MID($A195,3,3)=".00",MID(A195,1,2),"")&lt;&gt;"",MAX($M$2:M194)+1,0),"")</f>
        <v>0</v>
      </c>
      <c r="N195" s="48" t="str">
        <f t="shared" ca="1" si="299"/>
        <v/>
      </c>
      <c r="O195" s="48" t="str">
        <f ca="1">IF(IFERROR(INDEX($N$3:$O$300,MATCH(ROWS($O$3:O195),$M$3:$M$300,0),1),"")&lt;&gt;"",CONCATENATE(INDEX($N$3:$O$300,MATCH(ROWS($O$3:O195),$M$3:$M$300,0),1),".00"),"")</f>
        <v/>
      </c>
      <c r="P195" s="48" t="str">
        <f t="shared" ca="1" si="300"/>
        <v/>
      </c>
      <c r="Q195" s="48">
        <f ca="1">IF(M195&gt;=1,0,MAX($Q$2:Q194)+1)</f>
        <v>173</v>
      </c>
      <c r="U195" s="48" t="str">
        <f ca="1">IFERROR(INDEX(PDC,MATCH(ROWS(U$3:U195),$V$3:$V$400,0),2),"")</f>
        <v>MATERIE SUSSIDIARIE C/ACQUISTI</v>
      </c>
      <c r="V195" s="48">
        <f ca="1">IF(AND($T$1="VISUALIZZA TUTTI I CONTI",AA195&lt;&gt;""),MAX($V$2:V194)+1,IF(AND($U$2=2,AI195=$T$1),MAX($V$2:V194)+1,IF(AND($U$2=1,$T$1=AF195),MAX($V$2:V194)+1,0)))</f>
        <v>193</v>
      </c>
      <c r="AA195" s="48" t="str">
        <f t="shared" ca="1" si="301"/>
        <v>30.00</v>
      </c>
      <c r="AB195" s="48" t="str">
        <f ca="1">IFERROR(INDEX($A$3:$G$400,MATCH(ROWS(AB$3:AB195),$Q$3:$Q$400,0),1),"")</f>
        <v>30.02</v>
      </c>
      <c r="AC195" s="48" t="str">
        <f ca="1">IFERROR(INDEX($A$3:$G$400,MATCH(ROWS($AC$3:AC195),$Q$3:$Q$400,0),2),"")</f>
        <v>MATERIE SUSSIDIARIE C/ACQUISTI</v>
      </c>
      <c r="AD195" s="48" t="str">
        <f ca="1">IFERROR(INDEX($A$3:$G$400,MATCH(ROWS(AD$3:AD195),$Q$3:$Q$400,0),3),"")</f>
        <v>E</v>
      </c>
      <c r="AE195" s="48" t="str">
        <f ca="1">IFERROR(INDEX($A$3:$G$400,MATCH(ROWS(AE$3:AE195),$Q$3:$Q$400,0),4),"")</f>
        <v>D</v>
      </c>
      <c r="AF195" s="48" t="str">
        <f ca="1">IFERROR(INDEX($A$3:$G$400,MATCH(ROWS(AF$3:AF195),$Q$3:$Q$400,0),5),"")</f>
        <v>COSTI D'ESERCIZIO</v>
      </c>
      <c r="AG195" s="48" t="str">
        <f ca="1">IFERROR(INDEX($A$3:$G$400,MATCH(ROWS(AG$3:AG195),$Q$3:$Q$400,0),6),"")</f>
        <v>SE DARE</v>
      </c>
      <c r="AH195" s="48" t="str">
        <f ca="1">IFERROR(INDEX($A$3:$G$400,MATCH(ROWS(AH$3:AH195),$Q$3:$Q$400,0),7),"")</f>
        <v>SE</v>
      </c>
      <c r="AI195" s="48" t="str">
        <f t="shared" ca="1" si="302"/>
        <v>COSTI DELLE MATERIE</v>
      </c>
      <c r="AJ195" s="48" t="str">
        <f ca="1">IFERROR(INDEX($A$3:$H$400,MATCH(ROWS(AJ$3:AJ195),$Q$3:$Q$400,0),8),"")</f>
        <v>eb6</v>
      </c>
      <c r="AK195" s="48">
        <f t="shared" ref="AK195:AK258" ca="1" si="417">IFERROR(INDEX(PDC,MATCH(AM195,DEN_PDC,0),6),0)</f>
        <v>0</v>
      </c>
      <c r="AL195" s="48">
        <f t="shared" ca="1" si="373"/>
        <v>0</v>
      </c>
      <c r="AM195" s="48">
        <f t="shared" ca="1" si="377"/>
        <v>0</v>
      </c>
      <c r="AN195" s="48">
        <f t="shared" ca="1" si="378"/>
        <v>0</v>
      </c>
      <c r="AO195" s="48">
        <f t="shared" ca="1" si="379"/>
        <v>0</v>
      </c>
      <c r="AP195" s="48">
        <f t="shared" ca="1" si="379"/>
        <v>0</v>
      </c>
      <c r="AQ195" s="48" t="str">
        <f t="shared" ref="AQ195:AQ230" ca="1" si="418">IF(INDEX(PDC,MATCH(AC195,DEN_PDC,0),7)="SP",AC195,"")</f>
        <v/>
      </c>
      <c r="AR195" s="48">
        <f t="shared" ref="AR195:AR230" ca="1" si="419">IFERROR(IF(AND(INDEX(PDC,MATCH($AQ195,DEN_PDC,0),4)="D",SUMIFS(dare_grezzo,den_grezzo,$AQ195,data_grezzo,"&lt;"&amp;INIZIO_AC,data_grezzo,"&gt;="&amp;INIZIO_A_PC)&gt;=SUMIFS(avere_grezzo,den_grezzo,$AQ195,data_grezzo,"&lt;"&amp;INIZIO_AC,data_grezzo,"&gt;="&amp;INIZIO_A_PC)),SUMIFS(dare_grezzo,den_grezzo,$AQ195,data_grezzo,"&lt;"&amp;INIZIO_AC,data_grezzo,"&gt;="&amp;INIZIO_A_PC),IF(AND(INDEX(PDC,MATCH($AQ195,DEN_PDC,0),4)="A",SUMIFS(avere_grezzo,den_grezzo,$AQ195,data_grezzo,"&lt;"&amp;INIZIO_AC,data_grezzo,"&gt;="&amp;INIZIO_A_PC)&gt;=SUMIFS(dare_grezzo,den_grezzo,$AQ195,data_grezzo,"&lt;"&amp;INIZIO_AC,data_grezzo,"&gt;="&amp;INIZIO_A_PC)),SUMIFS(dare_grezzo,den_grezzo,$AQ195,data_grezzo,"&lt;"&amp;INIZIO_AC,data_grezzo,"&gt;="&amp;INIZIO_A_PC),IF(INDEX(PDC,MATCH($AQ195,DEN_PDC,0),4)="D/A",SUMIFS(dare_grezzo,den_grezzo,$AQ195,data_grezzo,"&lt;"&amp;INIZIO_AC,data_grezzo,"&gt;="&amp;INIZIO_A_PC),0))),0)</f>
        <v>0</v>
      </c>
      <c r="AS195" s="48">
        <f t="shared" ref="AS195:AS230" ca="1" si="420">IFERROR(IF(AND(INDEX(PDC,MATCH($AQ195,DEN_PDC,0),4)="D",SUMIFS(dare_grezzo,den_grezzo,$AQ195,data_grezzo,"&lt;"&amp;INIZIO_AC,data_grezzo,"&gt;="&amp;INIZIO_A_PC)&gt;=SUMIFS(avere_grezzo,den_grezzo,$AQ195,data_grezzo,"&lt;"&amp;INIZIO_AC,data_grezzo,"&gt;="&amp;INIZIO_A_PC)),SUMIFS(avere_grezzo,den_grezzo,$AQ195,data_grezzo,"&lt;"&amp;INIZIO_AC,data_grezzo,"&gt;="&amp;INIZIO_A_PC),IF(AND(INDEX(PDC,MATCH($AQ195,DEN_PDC,0),4)="A",SUMIFS(avere_grezzo,den_grezzo,$AQ195,data_grezzo,"&lt;"&amp;INIZIO_AC,data_grezzo,"&gt;="&amp;INIZIO_A_PC)&gt;=SUMIFS(dare_grezzo,den_grezzo,$AQ195,data_grezzo,"&lt;"&amp;INIZIO_AC,data_grezzo,"&gt;="&amp;INIZIO_A_PC)),SUMIFS(avere_grezzo,den_grezzo,$AQ195,data_grezzo,"&lt;"&amp;INIZIO_AC,data_grezzo,"&gt;="&amp;INIZIO_A_PC),IF(INDEX(PDC,MATCH($AQ195,DEN_PDC,0),4)="D/A",SUMIFS(avere_grezzo,den_grezzo,$AQ195,data_grezzo,"&lt;"&amp;INIZIO_AC,data_grezzo,"&gt;="&amp;INIZIO_A_PC),0))),0)</f>
        <v>0</v>
      </c>
      <c r="AT195" s="48">
        <f t="shared" ca="1" si="303"/>
        <v>0</v>
      </c>
      <c r="AU195" s="48">
        <f t="shared" ca="1" si="304"/>
        <v>0</v>
      </c>
      <c r="AV195" s="48">
        <f ca="1">IF(OR(AT195&gt;0,AU195&gt;0),MAX($AV$2:AV194)+1,0)</f>
        <v>0</v>
      </c>
      <c r="AZ195" s="241" t="str">
        <f t="shared" si="381"/>
        <v>95 V.I.</v>
      </c>
      <c r="BA195" s="48">
        <f t="shared" ca="1" si="369"/>
        <v>0</v>
      </c>
      <c r="BB195" s="48">
        <f t="shared" ca="1" si="370"/>
        <v>0</v>
      </c>
      <c r="BC195" s="48" t="str">
        <f t="shared" ca="1" si="382"/>
        <v/>
      </c>
      <c r="BD195" s="48">
        <f t="shared" ca="1" si="383"/>
        <v>0</v>
      </c>
      <c r="BE195" s="48">
        <f t="shared" ca="1" si="384"/>
        <v>0</v>
      </c>
      <c r="BG195" s="48">
        <f ca="1">IF(IF(AND(OR(INDEX(PDC,MATCH($AC195,DEN_PDC,0),6)="SP DARE",INDEX(PDC,MATCH($AC195,DEN_PDC,0),6)="SP DARE/AVERE"),SUMIFS(DARE,DEN_G,$AC195)&gt;=SUMIFS(AVERE,DEN_G,$AC195)),SUMIFS(DARE,DEN_G,$AC195)-SUMIFS(AVERE,DEN_G,$AC195),0)&gt;0,MAX($BG$2:BG194)+1,0)</f>
        <v>0</v>
      </c>
      <c r="BH195" s="48">
        <f ca="1">IF(IF(AND(OR(INDEX(PDC,MATCH($AC195,DEN_PDC,0),6)="SP AVERE",INDEX(PDC,MATCH($AC195,DEN_PDC,0),6)="SP DARE/AVERE"),SUMIFS(AVERE,DEN_G,$AC195)&gt;=SUMIFS(DARE,DEN_G,$AC195)),SUMIFS(AVERE,DEN_G,$AC195)-SUMIFS(DARE,DEN_G,$AC195),0)&gt;0,MAX(BH$2:BH194)+1,0)</f>
        <v>0</v>
      </c>
      <c r="BI195" s="48">
        <f ca="1">IF(IF(AND(OR(INDEX(PDC,MATCH($AC195,DEN_PDC,0),6)="SE DARE",INDEX(PDC,MATCH($AC195,DEN_PDC,0),6)="SE DARE/AVERE"),SUMIFS(DARE,DEN_G,$AC195)&gt;=SUMIFS(AVERE,DEN_G,$AC195)),SUMIFS(DARE,DEN_G,$AC195)-SUMIFS(AVERE,DEN_G,$AC195),0)&gt;0,MAX(BI$2:BI194)+1,0)</f>
        <v>0</v>
      </c>
      <c r="BJ195" s="48">
        <f ca="1">IF(IF(AND(OR(INDEX(PDC,MATCH($AC195,DEN_PDC,0),6)="SE AVERE",INDEX(PDC,MATCH($AC195,DEN_PDC,0),6)="SE DARE/AVERE"),SUMIFS(AVERE,DEN_G,$AC195)&gt;=SUMIFS(DARE,DEN_G,$AC195)),SUMIFS(AVERE,DEN_G,$AC195)-SUMIFS(DARE,DEN_G,$AC195),0)&gt;0,MAX(BJ$2:BJ194)+1,0)</f>
        <v>0</v>
      </c>
      <c r="BK195" s="48" t="str">
        <f ca="1">IF(AND(AND($DY$2=0,$DY$1=0),$I$1=2,ROW()&gt;$BG$1+2,ROW()&lt;=$BG$1+4),"………………..",IF(AND(OR($DY$2&gt;0,$DY$1&gt;0),$I$1=2,ROW()&gt;$BG$1+2,ROW()&lt;=$BG$1+4),"………………..",IFERROR(INDEX($AC$3:$AC$398,MATCH(ROWS(BK$3:BK195),BG$3:BG$398,0),1),"")))</f>
        <v/>
      </c>
      <c r="BL195" s="48">
        <f t="shared" ref="BL195:BL258" ca="1" si="421">IF(BK195&lt;&gt;0,SUMIFS(DARE,DEN_G,$BK195)-SUMIFS(AVERE,DEN_G,$BK195),0)</f>
        <v>0</v>
      </c>
      <c r="BM195" s="48" t="str">
        <f ca="1">IF(AND(OR($DY$2=0,$DY$1=0),$I$1=2,ROW()&gt;$BH$1+2,ROW()&lt;=$BH$1+4),"………………..",IF(AND(OR($DY$2&gt;0,$DY$1&gt;0),$I$1=2,ROW()&gt;$BH$1+2,ROW()&lt;=$BH$1+4),"………………..",IFERROR(INDEX($AC$3:$AC$400,MATCH(ROWS(BM$3:BM195),BH$3:BH$400,0),1),"")))</f>
        <v/>
      </c>
      <c r="BN195" s="48">
        <f t="shared" ref="BN195:BN258" ca="1" si="422">IF(AND($I$1=2,BM195="……………….."),"_ _ _",IF(BM195&lt;&gt;0,SUMIFS(AVERE,DEN_G,$BM195)-SUMIFS(DARE,DEN_G,$BM195),0))</f>
        <v>0</v>
      </c>
      <c r="BO195" s="48" t="str">
        <f ca="1">IF(AND(OR($DY$2=0,$DY$1=0),$I$1=2,ROW()&gt;$BI$1+2,ROW()&lt;=$BI$1+4),"………………..",IF(AND(OR($DY$2&gt;0,$DY$1&gt;0),$I$1=2,ROW()&gt;$BI$1+2,ROW()&lt;=$BI$1+4),"………………..",IFERROR(INDEX($AC$3:$AC$400,MATCH(ROWS(BO$3:BO195),BI$3:BI$400,0),1),"")))</f>
        <v/>
      </c>
      <c r="BP195" s="48">
        <f t="shared" ref="BP195:BP258" ca="1" si="423">IF(AND($I$1=2,BO195="……………….."),"_ _ _",IF(BO195&lt;&gt;0,(SUMIFS(DARE,DEN_G,$BO195)-SUMIFS(AVERE,DEN_G,$BO195)),0))</f>
        <v>0</v>
      </c>
      <c r="BQ195" s="48" t="str">
        <f ca="1">IF(AND(OR($DY$2=0,$DY$1=0),$I$1=2,ROW()&gt;$BJ$1+2,ROW()&lt;=$BJ$1+4),"………………..",IF(AND(OR($DY$2&gt;0,$DY$1&gt;0),$I$1=2,ROW()&gt;$BJ$1+2,ROW()&lt;=$BJ$1+4),"………………..",IFERROR(INDEX($AC$3:$AC$400,MATCH(ROWS(BQ$3:BQ195),BJ$3:BJ$400,0),1),"")))</f>
        <v/>
      </c>
      <c r="BR195" s="48">
        <f t="shared" ref="BR195:BR258" ca="1" si="424">IF(AND($I$1=2,BQ195="……………….."),"_ _ _",IF(BQ195&lt;&gt;0,SUMIFS(AVERE,DEN_G,$BQ195)-SUMIFS(DARE,DEN_G,$BQ195),0))</f>
        <v>0</v>
      </c>
      <c r="BS195" s="48">
        <f ca="1">IF(IF(AND(OR(INDEX(PDC,MATCH($AC195,DEN_PDC,0),4)="D",INDEX(PDC,MATCH($AC195,DEN_PDC,0),4)="D/A"),SUMIFS(DARE,DEN_G,$AC195)&gt;=SUMIFS(AVERE,DEN_G,$AC195)),SUMIFS(DARE,DEN_G,$AC195),IF(AND(OR(INDEX(PDC,MATCH($AC195,DEN_PDC,0),4)="A",INDEX(PDC,MATCH($AC195,DEN_PDC,0),4)="D/A"),SUMIFS(AVERE,DEN_G,$AC195)&gt;=SUMIFS(DARE,DEN_G,$AC195)),SUMIFS(AVERE,DEN_G,$AC195),))&gt;0,MAX($BS$2:BS194)+1,0)</f>
        <v>0</v>
      </c>
      <c r="BT195" s="48" t="str">
        <f ca="1">IF($CO$1=0,"",IF(AND($I$1=2,ROW()&gt;$BR$1,ROW()&lt;=$BS$1)," …………….",IF(AND($E$1=1,$BX$1=1,$I$1=2,ROW()=$BQ$1),"TOTALI",IFERROR(INDEX(PDC,MATCH(ROWS(BT$3:BT195),BS$3:BS592,0),2),""))))</f>
        <v/>
      </c>
      <c r="BU195" s="48">
        <f t="shared" ref="BU195:BU258" ca="1" si="425">IF(BT195="",0,IF(BT195=" …………….","_ _ _    ",IF(BT195="",0,IF(AND($I$1=2,BT195="TOTALI"),"_ _ _    ",SUMIFS(DARE,DEN_G,$BT195)))))</f>
        <v>0</v>
      </c>
      <c r="BV195" s="48">
        <f t="shared" ref="BV195:BV258" ca="1" si="426">IF(BT195="",0,IF(BT195=" …………….","_ _ _    ",IF(BT195="",0,IF(AND($I$1=2,BT195="TOTALI"),"_ _ _    ",SUMIFS(AVERE,DEN_G,$BT195)))))</f>
        <v>0</v>
      </c>
      <c r="BW195" s="48">
        <f t="shared" ref="BW195:BW258" ca="1" si="427">IF(BU195&gt;BV195,BU195-BV195,IF(BU195="_ _ _    ","_ _ _    ",0))</f>
        <v>0</v>
      </c>
      <c r="BX195" s="48">
        <f t="shared" ref="BX195:BX258" ca="1" si="428">IF(BV195&gt;BU195,BV195-BU195,IF(BU195="_ _ _    ","_ _ _    ",0))</f>
        <v>0</v>
      </c>
      <c r="BY195" s="48">
        <f ca="1">IF(OR(BW195&gt;0,BX195&gt;0),MAX($BY$2:BY194)+1,0)</f>
        <v>0</v>
      </c>
      <c r="BZ195" s="48" t="str">
        <f ca="1">IFERROR(INDEX($BT$3:$BY$400,MATCH(ROWS(BZ$3:BZ195),$BY$3:$BY$400,0),1),"")</f>
        <v/>
      </c>
      <c r="CA195" s="48" t="str">
        <f ca="1">IFERROR(INDEX($BT$3:$BY$400,MATCH(ROWS(CA$3:CA195),$BY$3:$BY$400,0),4),"")</f>
        <v/>
      </c>
      <c r="CB195" s="48" t="str">
        <f ca="1">IFERROR(INDEX($BT$3:$BY$400,MATCH(ROWS(CB$3:CB195),$BY$3:$BY$400,0),5),"")</f>
        <v/>
      </c>
      <c r="CC195" s="48" t="str">
        <f t="shared" ref="CC195:CC258" ca="1" si="429">IFERROR(INDEX(PDC,MATCH(BZ195,DEN_PDC,0),9),"")</f>
        <v/>
      </c>
      <c r="CD195" s="48">
        <f ca="1">IF(CE195&lt;&gt;0,MAX($CD$190:CD194)+1,0)</f>
        <v>0</v>
      </c>
      <c r="CE195" s="48">
        <f ca="1">ROUND(SUMIFS(COPIA!$CB$3:$CB$400,COPIA!$CC$3:$CC$400,CF195)-SUMIFS(COPIA!$CA$3:$CA$400,COPIA!$CC$3:$CC$400,CF195),0)</f>
        <v>0</v>
      </c>
      <c r="CF195" s="48" t="str">
        <f>IF(CG195="","","ea3")</f>
        <v>ea3</v>
      </c>
      <c r="CG195" s="242" t="s">
        <v>842</v>
      </c>
      <c r="CH195" s="48">
        <f t="shared" ca="1" si="416"/>
        <v>0</v>
      </c>
      <c r="CM195" s="242" t="str">
        <f t="shared" ca="1" si="305"/>
        <v/>
      </c>
      <c r="CN195" s="243">
        <f t="shared" ca="1" si="306"/>
        <v>0</v>
      </c>
      <c r="CO195" s="48" t="str">
        <f t="shared" ca="1" si="307"/>
        <v/>
      </c>
      <c r="CQ195" s="242"/>
      <c r="CR195" s="242"/>
      <c r="CU195" s="48">
        <f ca="1">IF(SUMIFS(AVERE,DEN_G,AC195,AVERE,"&gt;"&amp;0)+SUMIFS(DARE,DEN_G,AC195,DARE,"&gt;"&amp;0)&gt;0,MAX($CU$2:CU194)+1,0)</f>
        <v>0</v>
      </c>
      <c r="CV195" s="48" t="str">
        <f ca="1">IF(IFERROR(INDEX(PDC,MATCH(ROWS($CV$3:CV195),$CU$3:$CU$400,0),2),"")="CONTO DI RISULTATO ECONOMICO","",IFERROR(INDEX(PDC,MATCH(ROWS($CV$3:CV195),$CU$3:$CU$400,0),2),""))</f>
        <v/>
      </c>
      <c r="CW195" s="48">
        <f ca="1">IFERROR(IF(CV195&lt;&gt;"",MAX($CW$2:CW194)+1,0),0)</f>
        <v>0</v>
      </c>
      <c r="CX195" s="48">
        <f t="shared" ca="1" si="405"/>
        <v>15</v>
      </c>
      <c r="CY195" s="48" t="str">
        <f t="shared" ca="1" si="404"/>
        <v>MASTRO</v>
      </c>
      <c r="CZ195" s="48" t="e">
        <f t="shared" ca="1" si="407"/>
        <v>#N/A</v>
      </c>
      <c r="DA195" s="48" t="str">
        <f t="shared" ca="1" si="412"/>
        <v/>
      </c>
      <c r="DB195" s="48" t="str">
        <f t="shared" ca="1" si="347"/>
        <v/>
      </c>
      <c r="DC195" s="48" t="str">
        <f t="shared" ca="1" si="408"/>
        <v/>
      </c>
      <c r="DD195" s="48" t="str">
        <f t="shared" ca="1" si="409"/>
        <v/>
      </c>
      <c r="DE195" s="48" t="str">
        <f t="shared" ca="1" si="410"/>
        <v/>
      </c>
      <c r="DF195" s="48">
        <f ca="1">IF(AND(CX195=$DF$1,CX195&lt;&gt;""),0,IF(AND(DB195&lt;&gt;"",OR(DB194&lt;&gt;"",DB196&lt;&gt;"")),MAX($DF$2:DF194)+1,0))</f>
        <v>0</v>
      </c>
      <c r="DH195" s="244" t="s">
        <v>286</v>
      </c>
      <c r="DI195" s="48" t="str">
        <f ca="1">IF($DL$1=TRUE,"SOCI C/UTILI","AZIONISTI C/DIVIDENDI")</f>
        <v>AZIONISTI C/DIVIDENDI</v>
      </c>
      <c r="DJ195" s="48" t="s">
        <v>312</v>
      </c>
      <c r="DK195" s="48" t="s">
        <v>298</v>
      </c>
      <c r="DL195" s="48" t="s">
        <v>5</v>
      </c>
      <c r="DM195" s="48" t="s">
        <v>299</v>
      </c>
      <c r="DN195" s="48">
        <f ca="1">IF(DI195&lt;&gt;"",MAX($DN$2:DN194)+1,0)</f>
        <v>159</v>
      </c>
      <c r="DO195" s="48" t="str">
        <f t="shared" ca="1" si="403"/>
        <v>ppd</v>
      </c>
      <c r="DQ195" s="227" t="s">
        <v>416</v>
      </c>
      <c r="DR195" s="48" t="str">
        <f ca="1">IF($DR$1=0,"SOCIO … C/LIQUIDAZIONE","")</f>
        <v>SOCIO … C/LIQUIDAZIONE</v>
      </c>
      <c r="DS195" s="48" t="s">
        <v>312</v>
      </c>
      <c r="DT195" s="48" t="s">
        <v>298</v>
      </c>
      <c r="DU195" s="48" t="s">
        <v>5</v>
      </c>
      <c r="DV195" s="48" t="s">
        <v>299</v>
      </c>
      <c r="DW195" s="48">
        <f ca="1">IF(DR195&lt;&gt;"",MAX($DW$2:DW194)+1,0)</f>
        <v>119</v>
      </c>
      <c r="DX195" s="48" t="str">
        <f t="shared" ca="1" si="401"/>
        <v>ppd</v>
      </c>
      <c r="DY195" s="48" t="str">
        <f t="shared" ref="DY195:DY258" ca="1" si="430">IF(BB195=0,"",INDEX(PDC,MATCH(BB195,DEN_PDC,0),1))</f>
        <v/>
      </c>
      <c r="DZ195" s="48" t="str">
        <f t="shared" ca="1" si="309"/>
        <v/>
      </c>
      <c r="EA195" s="48" t="str">
        <f t="shared" ca="1" si="310"/>
        <v/>
      </c>
      <c r="EB195" s="48">
        <f t="shared" ca="1" si="311"/>
        <v>0</v>
      </c>
      <c r="EC195" s="48">
        <f t="shared" ca="1" si="312"/>
        <v>0</v>
      </c>
      <c r="ED195" s="48" t="str">
        <f t="shared" ca="1" si="313"/>
        <v/>
      </c>
      <c r="EE195" s="48">
        <f t="shared" ca="1" si="314"/>
        <v>0</v>
      </c>
      <c r="EF195" s="48" t="str">
        <f t="shared" ca="1" si="315"/>
        <v/>
      </c>
      <c r="EG195" s="48">
        <f t="shared" ca="1" si="316"/>
        <v>0</v>
      </c>
      <c r="EH195" s="48" t="str">
        <f t="shared" ca="1" si="317"/>
        <v/>
      </c>
      <c r="EI195" s="48">
        <f t="shared" ca="1" si="318"/>
        <v>0</v>
      </c>
      <c r="EJ195" s="48" t="str">
        <f t="shared" ca="1" si="319"/>
        <v/>
      </c>
      <c r="EK195" s="48">
        <f t="shared" ca="1" si="320"/>
        <v>0</v>
      </c>
      <c r="EL195" s="48">
        <f t="shared" ref="EL195:EL258" ca="1" si="431">IF(OR(AND($I$1=1,AC195="perdita d'esercizio"),AND($I$1=1,AC195="utile d'esercizio")),0,IF(AND(AE195="d",AG195="SP DARE"),SUMIFS(dare_grezzo,den_grezzo,AC195,data_grezzo,"&lt;="&amp;FINE_AC,data_grezzo,"&gt;="&amp;INIZIO_A_PC)-SUMIFS(avere_grezzo,den_grezzo,AC195,data_grezzo,"&lt;="&amp;FINE_AC,data_grezzo,"&gt;="&amp;INIZIO_A_PC),IF(AND(AE195="a",AG195="SP AVERE"),SUMIFS(avere_grezzo,den_grezzo,AC195,data_grezzo,"&lt;="&amp;FINE_AC,data_grezzo,"&gt;="&amp;INIZIO_A_PC)-SUMIFS(dare_grezzo,den_grezzo,AC195,data_grezzo,"&lt;="&amp;FINE_AC,data_grezzo,"&gt;="&amp;INIZIO_A_PC),IF(AND(AE195="d",AG195="SE DARE"),SUMIFS(dare_grezzo,den_grezzo,AC195,data_grezzo,"&lt;="&amp;FINE_AC,data_grezzo,"&gt;="&amp;INIZIO_A_PC,data_grezzo,"&gt;="&amp;INIZIO_AC)-SUMIFS(avere_grezzo,den_grezzo,AC195,data_grezzo,"&lt;="&amp;FINE_AC,data_grezzo,"&gt;="&amp;INIZIO_A_PC,data_grezzo,"&gt;="&amp;INIZIO_AC),IF(AND(AE195="a",AG195="SE AVERE"),SUMIFS(avere_grezzo,den_grezzo,AC195,data_grezzo,"&lt;="&amp;FINE_AC,data_grezzo,"&gt;="&amp;INIZIO_A_PC,data_grezzo,"&gt;="&amp;INIZIO_AC)-SUMIFS(dare_grezzo,den_grezzo,AC195,data_grezzo,"&lt;="&amp;FINE_AC,data_grezzo,"&gt;="&amp;INIZIO_A_PC,data_grezzo,"&gt;="&amp;INIZIO_AC),0)))))</f>
        <v>0</v>
      </c>
      <c r="EM195" s="48">
        <f ca="1">IF(EL195&gt;=0,0,MAX($EM$2:EM194)+1)</f>
        <v>0</v>
      </c>
      <c r="EN195" s="48" t="str">
        <f t="shared" ca="1" si="321"/>
        <v/>
      </c>
      <c r="EO195" s="48" t="str">
        <f ca="1">IFERROR(INDEX($EM$3:$EN$400,MATCH(ROWS($EO$3:EO195),$EM$3:$EM$400,0),2),"")</f>
        <v/>
      </c>
      <c r="EP195" s="48">
        <f>ROW()</f>
        <v>195</v>
      </c>
      <c r="EQ195" s="48">
        <f t="shared" ref="EQ195:EQ258" ca="1" si="432">IF(AND(AM195&lt;&gt;0,AL195&lt;=FINE_AC),INDEX(PDC,MATCH(SUBSTITUTE(AM195,"[",""),DEN_PDC,0),1),0)</f>
        <v>0</v>
      </c>
      <c r="ER195" s="48">
        <f ca="1">IF(ISNA(EQ195)=TRUE,MAX($ER$2:ER194)+1,0)</f>
        <v>0</v>
      </c>
      <c r="ES195" s="48" t="str">
        <f t="shared" ca="1" si="322"/>
        <v/>
      </c>
      <c r="ET195" s="48" t="str">
        <f ca="1">IFERROR(INDEX($ER$3:$ES$400,MATCH(ROWS($ET$3:ET195),$ER$3:$ER$400,0),2),"")</f>
        <v/>
      </c>
      <c r="EV195" s="48">
        <f ca="1">IFERROR(INDEX(LIBRO_GIORNALE!$O$11:$P$408,MATCH(ROWS($EV$2:EV194),LIBRO_GIORNALE!$P$11:$P$408,0),1),0)</f>
        <v>0</v>
      </c>
      <c r="EW195" s="48" t="str">
        <f t="shared" ca="1" si="323"/>
        <v>0</v>
      </c>
      <c r="EX195" s="48">
        <f t="shared" ca="1" si="324"/>
        <v>0</v>
      </c>
      <c r="EY195" s="48">
        <f ca="1">IF(EX195&gt;0,MAX($EY$2:EY194)+1,0)</f>
        <v>0</v>
      </c>
      <c r="EZ195" s="48">
        <f ca="1">IFERROR(INDEX($EX$3:$EX$400,MATCH(ROWS($EZ$3:EZ195),$EY$3:$EY$400,0),1),0)</f>
        <v>0</v>
      </c>
      <c r="FA195" s="48">
        <f ca="1">IF(EZ195&gt;0,0,MAX($FA$2:FA194)+1)</f>
        <v>193</v>
      </c>
      <c r="FB195" s="48">
        <f t="shared" ca="1" si="325"/>
        <v>0</v>
      </c>
      <c r="FC195" s="48">
        <f t="shared" ca="1" si="326"/>
        <v>193</v>
      </c>
      <c r="FD195" s="48">
        <f t="shared" ca="1" si="327"/>
        <v>193</v>
      </c>
      <c r="FE195" s="48">
        <f ca="1">IF(FD195=0,0,MAX($FE$2:FE194)+1)</f>
        <v>193</v>
      </c>
      <c r="FF195" s="48">
        <f ca="1">IFERROR(INDEX($FD$3:$FE$400,MATCH(ROWS($FF$3:FF195),$FE$3:$FE$400,0),1),"")</f>
        <v>193</v>
      </c>
      <c r="FG195" s="48">
        <f t="shared" ca="1" si="380"/>
        <v>0</v>
      </c>
      <c r="FH195" s="48">
        <f t="shared" ca="1" si="328"/>
        <v>0</v>
      </c>
      <c r="FI195" s="48">
        <f ca="1">IF(FH195&lt;&gt;0,MAX($FI$2:FI194)+1,0)</f>
        <v>0</v>
      </c>
      <c r="FJ195" s="48" t="str">
        <f ca="1">IFERROR(INDEX($FH$3:$FI$400,MATCH(ROWS($FJ$3:FJ195),$FI$3:$FI$400,0),1),"")</f>
        <v/>
      </c>
      <c r="FK195" s="48">
        <f ca="1">IF(ABS(SUMIFS(DARE,DEN_G,"="&amp;FJ195,DATA,"&lt;="&amp;FINE_AC,DATA,"&gt;="&amp;INIZIO_A_PC)-SUMIFS(AVERE,DEN_G,"="&amp;FJ195,DATA,"&lt;="&amp;FINE_AC,DATA,"&gt;="&amp;INIZIO_A_PC))&gt;0,MAX($FK$2:FK194)+1,0)</f>
        <v>0</v>
      </c>
      <c r="FL195" s="48" t="str">
        <f ca="1">IF(AND(ROW()-2&lt;&gt;1,ROW()-2&lt;=$FK$1),CONCATENATE(" - ",IFERROR(INDEX($FJ$3:$FK$400,MATCH(ROWS($FL$3:FL195),$FK$3:$FK$400,0),1),"")),IFERROR(INDEX($FJ$3:$FK$400,MATCH(ROWS($FL$3:FL195),$FK$3:$FK$400,0),1),""))</f>
        <v/>
      </c>
      <c r="FM195" s="48">
        <f ca="1">IF(OR(B195="IVA ns/credito",B195="IVA NS/DEBITO",B195="IVA C/ACCONTO",B195="IMPOSTE C/ACCONTO",B195="CREDITI PER RITENUTE SUBITE",B195="CREDITI D'IMPOSTA"),MAX($FM$2:FM194)+1,0)</f>
        <v>0</v>
      </c>
      <c r="FN195" s="48" t="str">
        <f t="shared" ca="1" si="329"/>
        <v/>
      </c>
      <c r="FO195" s="48" t="str">
        <f ca="1">IFERROR(INDEX($FM$3:$FN$400,MATCH(ROWS($FO$3:FO195),$FM$3:$FM$400,0),2),"")</f>
        <v/>
      </c>
      <c r="FP195" s="48">
        <f ca="1">IF(ABS(SUMIFS(DARE,DEN_G,"="&amp;FO195,DATA,"&lt;="&amp;FINE_AC,DATA,"&gt;="&amp;INIZIO_A_PC)-SUMIFS(AVERE,DEN_G,"="&amp;FO195,DATA,"&lt;="&amp;FINE_AC,DATA,"&gt;="&amp;INIZIO_A_PC))&gt;0,MAX($FP$2:FP194)+1,0)</f>
        <v>0</v>
      </c>
      <c r="FQ195" s="48" t="str">
        <f ca="1">IF(AND(ROW()-2&lt;&gt;1,ROW()-2&lt;=$FP$1),CONCATENATE(" - ",IFERROR(INDEX($FO$3:$FP$400,MATCH(ROWS($FQ$3:FQ195),$FP$3:$FP$400,0),1),"")),IFERROR(INDEX($FO$3:$FP$400,MATCH(ROWS($FQ$3:FQ195),$FP$3:$FP$400,0),1),""))</f>
        <v/>
      </c>
    </row>
    <row r="196" spans="1:173" x14ac:dyDescent="0.3">
      <c r="A196" s="48" t="str">
        <f ca="1">IFERROR(IF($A$1=2,INDEX($DH$3:$DN$401,MATCH(ROWS(A$3:A196),$DN$3:$DN$401,0),COLUMN()),IF($A$1=1,INDEX($DQ$3:$DW$401,MATCH(ROWS(A$3:A196),$DW$3:$DW$401,0),COLUMN()),"")),"")</f>
        <v>20.21</v>
      </c>
      <c r="B196" s="48" t="str">
        <f ca="1">IFERROR(IF($A$1=2,INDEX($DH$3:$DN$401,MATCH(ROWS(B$3:B196),$DN$3:$DN$401,0),COLUMN()),IF($A$1=1,INDEX($DQ$3:$DW$400,MATCH(ROWS(B$3:B196),$DW$3:$DW$401,0),COLUMN()),"")),"")</f>
        <v>COSTI DI SVILUPPO RINVIATI</v>
      </c>
      <c r="C196" s="48" t="str">
        <f ca="1">IFERROR(IF($A$1=2,INDEX($DH$3:$DN$401,MATCH(ROWS(C$3:C196),$DN$3:$DN$401,0),COLUMN()),IF($A$1=1,INDEX($DQ$3:$DW$401,MATCH(ROWS(C$3:C196),$DW$3:$DW$401,0),COLUMN()),"")),"")</f>
        <v>E</v>
      </c>
      <c r="D196" s="48" t="str">
        <f ca="1">IFERROR(IF($A$1=2,INDEX($DH$3:$DN$401,MATCH(ROWS(D$3:D196),$DN$3:$DN$401,0),COLUMN()),IF($A$1=1,INDEX($DQ$3:$DW$401,MATCH(ROWS(D$3:D196),$DW$3:$DW$401,0),COLUMN()),"")),"")</f>
        <v>A</v>
      </c>
      <c r="E196" s="48" t="str">
        <f ca="1">IFERROR(IF($A$1=2,INDEX($DH$3:$DN$401,MATCH(ROWS(E$3:E196),$DN$3:$DN$401,0),COLUMN()),IF($A$1=1,INDEX($DQ$3:$DW$401,MATCH(ROWS(E$3:E196),$DW$3:$DW$401,0),COLUMN()),"")),"")</f>
        <v>RETTIFICHE COSTI D'ESERCIZIO</v>
      </c>
      <c r="F196" s="48" t="str">
        <f ca="1">IFERROR(IF($A$1=2,INDEX($DH$3:$DN$401,MATCH(ROWS(F$3:F196),$DN$3:$DN$401,0),COLUMN()),IF($A$1=1,INDEX($DQ$3:$DX$401,MATCH(ROWS(F$3:F196),$DW$3:$DW$401,0),COLUMN()),"")),"")</f>
        <v>SE AVERE</v>
      </c>
      <c r="G196" s="48" t="str">
        <f t="shared" ref="G196:G259" ca="1" si="433">IFERROR(MID(F196,1,2),"")</f>
        <v>SE</v>
      </c>
      <c r="H196" s="48" t="str">
        <f ca="1">IFERROR(IF($A$1=2,INDEX($DH$3:$DO$400,MATCH(ROWS(H$3:H196),$DN$3:$DN$400,0),COLUMN()),IF($A$1=1,INDEX($DQ$3:$DX$400,MATCH(ROWS(H$3:H196),$DW$3:$DW$400,0),COLUMN()),"")),"")</f>
        <v>ea4</v>
      </c>
      <c r="I196" s="48" t="str">
        <f t="shared" ref="I196:I200" ca="1" si="434">IF(OR($ES$1&gt;0,$DW$1=0,$BX$1=0,$AY$1&lt;&gt;0),"",IF(AND($F$1=1,$BI$1&gt;=$BJ$1,$BP$2&gt;$BR$2,ROW()=$BI$1+5),"TOTALE COSTI",IF(AND($F$1=1,$BI$1&lt;=$BJ$1,$BP$2&gt;$BR$2,ROW()=$BJ$1+5),"TOTALE COSTI",IF(AND($F$1=1,$BI$1&gt;=$BJ$1,$BP$2&lt;$BR$2,ROW()=$BI$1+3),"TOTALE COSTI",IF(AND($F$1=1,$BI$1&gt;=$BJ$1,$BP$2&lt;$BR$2,ROW()=$BI$1+4),"SALDO ECONOMICO POSITIVO",IF(AND($F$1=1,$BI$1&gt;=$BJ$1,$BP$2&lt;$BR$2,ROW()=$BI$1+5),"TOTALE A PAREGGIO",IF(AND($F$1=1,$BI$1&lt;=$BJ$1,$BP$2&lt;$BR$2,ROW()=$BJ$1+3),"TOTALE COSTI",IF(AND($F$1=1,$BI$1&lt;=$BJ$1,$BP$2&lt;$BR$2,ROW()=$BJ$1+4),"SALDO ECONOMICO POSITIVO",IF(AND($F$1=1,$BI$1&lt;=$BJ$1,$BP$2&lt;$BR$2,ROW()=$BJ$1+5),"TOTALE A PAREGGIO",IF(AND($F$1=1,$BI$1&gt;$BJ$1,$BP$2&lt;&gt;0,$BP$2=$BR$2,ROW()=$BI$1+3),"TOTALE COSTI",IF(AND($BP$2&lt;&gt;0,$F$1=1,$BI$1&lt;$BJ$1,$BP$2=$BR$2,ROW()=$BJ$1+3),"TOTALE COSTI",IF(AND($BP$2&lt;&gt;0,$F$1=1,$BI$1=$BJ$1,$BP$2=$BR$2,ROW()=$BI$1+3),"TOTALE COSTI",IF(AND($I$1=2,$E$1=1,$BI$1&gt;=$BJ$1,$DY$1&gt;0,ROW()=$BI$1+7),"TOTALE COSTI",IF(AND($I$1=2,$E$1=1,$BI$1&lt;=$BJ$1,$DY$1&gt;0,ROW()=$BJ$1+7),"TOTALE COSTI",IF(AND($I$1=2,$E$1=1,$BI$1&gt;=$BJ$1,$DY$2&gt;0,ROW()=$BI$1+5),"TOTALE COSTI",IF(AND($I$1=2,$E$1=1,$BI$1&lt;=$BJ$1,$DY$2&gt;0,ROW()=$BJ$1+5),"TOTALE COSTI",IF(AND($I$1=2,$E$1=1,$BI$1&lt;=$BJ$1,$DY$2&gt;0,ROW()=$BJ$1+6),"UTILE D'ESERCIZIO",IF(AND($I$1=2,$E$1=1,$BI$1&gt;=$BJ$1,$DY$2&gt;0,ROW()=$BI$1+6),"UTILE D'ESERCIZIO",IF(AND($I$1=2,$E$1=1,$BI$1&lt;=$BJ$1,$DY$2&gt;0,ROW()=$BJ$1+7),"TOTALE A PAREGGIO",IF(AND($I$1=2,$E$1=1,$BI$1&gt;=$BJ$1,$DY$2&gt;0,ROW()=$BI$1+7),"TOTALE A PAREGGIO",IF(AND($I$1=2,$E$1=1,$BI$1&gt;=$BJ$1,$DY$2=0,$DY$1=0,ROW()=$BI$1+5),"TOTALE",IF(AND($I$1=2,$E$1=1,$BI$1&lt;=$BJ$1,$DY$2=0,$DY$1=0,ROW()=$BJ$1+5),"TOTALE",""))))))))))))))))))))))</f>
        <v/>
      </c>
      <c r="J196" s="48" t="str">
        <f t="shared" ref="J196:J200" ca="1" si="435">IF($CO$1=0,"",IF(AND($CP$1=TRUE,CONCATENATE(I196,BO196)="SALDO ECONOMICO POSITIVO"),REPLACE(CONCATENATE(I196,BO196),1,30,"UTILE D'ESERCIZIO"),CONCATENATE(I196,BO196)))</f>
        <v/>
      </c>
      <c r="K196" s="48">
        <f t="shared" ref="K196:K200" ca="1" si="436">IF(AND($I$1=2,J196="……………….."),"_ _ _",IF(AND(J196="TOTALE",$I$1=2),"_ _ _",IF(AND(J196="TOTALE COSTI",$I$1=2),"_ _ _",IF(AND(J196="TOTALE A PAREGGIO",$I$1=2),"_ _ _",IF(AND(J196="UTILE D'ESERCIZIO",$I$1=2),$DY$2,IF(J196="TOTALE COSTI",$BP$2,IF(OR(J196="SALDO ECONOMICO POSITIVO",J196="UTILE D'ESERCIZIO"),$BR$2-$BP$2,IF(J196="TOTALE A PAREGGIO",$BR$2,0))))))))</f>
        <v>0</v>
      </c>
      <c r="L196" s="48">
        <f t="shared" ref="L196:L200" ca="1" si="437">IF(AND($I$1=2,K196&lt;&gt;0),K196,SUM(K196,BP196))</f>
        <v>0</v>
      </c>
      <c r="M196" s="48">
        <f ca="1">IFERROR(IF(IF(MID($A196,3,3)=".00",MID(A196,1,2),"")&lt;&gt;"",MAX($M$2:M195)+1,0),"")</f>
        <v>0</v>
      </c>
      <c r="N196" s="48" t="str">
        <f t="shared" ref="N196:N259" ca="1" si="438">IFERROR(IF(MID($A196,3,3)=".00",MID(A196,1,2),""),"")</f>
        <v/>
      </c>
      <c r="O196" s="48" t="str">
        <f ca="1">IF(IFERROR(INDEX($N$3:$O$300,MATCH(ROWS($O$3:O196),$M$3:$M$300,0),1),"")&lt;&gt;"",CONCATENATE(INDEX($N$3:$O$300,MATCH(ROWS($O$3:O196),$M$3:$M$300,0),1),".00"),"")</f>
        <v/>
      </c>
      <c r="P196" s="48" t="str">
        <f t="shared" ref="P196:P259" ca="1" si="439">IFERROR(INDEX($A$3:$B$400,MATCH(O196,$A$3:$A$400,0),2),"")</f>
        <v/>
      </c>
      <c r="Q196" s="48">
        <f ca="1">IF(M196&gt;=1,0,MAX($Q$2:Q195)+1)</f>
        <v>174</v>
      </c>
      <c r="U196" s="48" t="str">
        <f ca="1">IFERROR(INDEX(PDC,MATCH(ROWS(U$3:U196),$V$3:$V$400,0),2),"")</f>
        <v>MATERIE DI CONSUMO C/ACQUISTI</v>
      </c>
      <c r="V196" s="48">
        <f ca="1">IF(AND($T$1="VISUALIZZA TUTTI I CONTI",AA196&lt;&gt;""),MAX($V$2:V195)+1,IF(AND($U$2=2,AI196=$T$1),MAX($V$2:V195)+1,IF(AND($U$2=1,$T$1=AF196),MAX($V$2:V195)+1,0)))</f>
        <v>194</v>
      </c>
      <c r="AA196" s="48" t="str">
        <f t="shared" ref="AA196:AA259" ca="1" si="440">IF(AC196&lt;&gt;"",CONCATENATE(MID(AB196,1,2),".00"),"")</f>
        <v>30.00</v>
      </c>
      <c r="AB196" s="48" t="str">
        <f ca="1">IFERROR(INDEX($A$3:$G$400,MATCH(ROWS(AB$3:AB196),$Q$3:$Q$400,0),1),"")</f>
        <v>30.03</v>
      </c>
      <c r="AC196" s="48" t="str">
        <f ca="1">IFERROR(INDEX($A$3:$G$400,MATCH(ROWS($AC$3:AC196),$Q$3:$Q$400,0),2),"")</f>
        <v>MATERIE DI CONSUMO C/ACQUISTI</v>
      </c>
      <c r="AD196" s="48" t="str">
        <f ca="1">IFERROR(INDEX($A$3:$G$400,MATCH(ROWS(AD$3:AD196),$Q$3:$Q$400,0),3),"")</f>
        <v>E</v>
      </c>
      <c r="AE196" s="48" t="str">
        <f ca="1">IFERROR(INDEX($A$3:$G$400,MATCH(ROWS(AE$3:AE196),$Q$3:$Q$400,0),4),"")</f>
        <v>D</v>
      </c>
      <c r="AF196" s="48" t="str">
        <f ca="1">IFERROR(INDEX($A$3:$G$400,MATCH(ROWS(AF$3:AF196),$Q$3:$Q$400,0),5),"")</f>
        <v>COSTI D'ESERCIZIO</v>
      </c>
      <c r="AG196" s="48" t="str">
        <f ca="1">IFERROR(INDEX($A$3:$G$400,MATCH(ROWS(AG$3:AG196),$Q$3:$Q$400,0),6),"")</f>
        <v>SE DARE</v>
      </c>
      <c r="AH196" s="48" t="str">
        <f ca="1">IFERROR(INDEX($A$3:$G$400,MATCH(ROWS(AH$3:AH196),$Q$3:$Q$400,0),7),"")</f>
        <v>SE</v>
      </c>
      <c r="AI196" s="48" t="str">
        <f t="shared" ref="AI196:AI259" ca="1" si="441">INDEX($O$3:$P$50,MATCH(AA196,$O$3:$O$50,0),2)</f>
        <v>COSTI DELLE MATERIE</v>
      </c>
      <c r="AJ196" s="48" t="str">
        <f ca="1">IFERROR(INDEX($A$3:$H$400,MATCH(ROWS(AJ$3:AJ196),$Q$3:$Q$400,0),8),"")</f>
        <v>eb6</v>
      </c>
      <c r="AK196" s="48">
        <f t="shared" ca="1" si="417"/>
        <v>0</v>
      </c>
      <c r="AL196" s="48">
        <f t="shared" ca="1" si="373"/>
        <v>0</v>
      </c>
      <c r="AM196" s="48">
        <f t="shared" ca="1" si="377"/>
        <v>0</v>
      </c>
      <c r="AN196" s="48">
        <f t="shared" ca="1" si="378"/>
        <v>0</v>
      </c>
      <c r="AO196" s="48">
        <f t="shared" ca="1" si="379"/>
        <v>0</v>
      </c>
      <c r="AP196" s="48">
        <f t="shared" ca="1" si="379"/>
        <v>0</v>
      </c>
      <c r="AQ196" s="48" t="str">
        <f t="shared" ca="1" si="418"/>
        <v/>
      </c>
      <c r="AR196" s="48">
        <f t="shared" ca="1" si="419"/>
        <v>0</v>
      </c>
      <c r="AS196" s="48">
        <f t="shared" ca="1" si="420"/>
        <v>0</v>
      </c>
      <c r="AT196" s="48">
        <f t="shared" ref="AT196:AT230" ca="1" si="442">IF(AND(AQ196&lt;&gt;"",$AR196&gt;$AS196,OR($AR196&gt;0,$AS196&gt;0)),$AR196-$AS196,0)</f>
        <v>0</v>
      </c>
      <c r="AU196" s="48">
        <f t="shared" ref="AU196:AU230" ca="1" si="443">IF(AND(AQ196&lt;&gt;"",$AR196&lt;$AS196,OR($AR196&gt;0,$AS196&gt;0)),$AS196-$AR196,0)</f>
        <v>0</v>
      </c>
      <c r="AV196" s="48">
        <f ca="1">IF(OR(AT196&gt;0,AU196&gt;0),MAX($AV$2:AV195)+1,0)</f>
        <v>0</v>
      </c>
      <c r="AZ196" s="241" t="str">
        <f t="shared" si="381"/>
        <v>96 V.I.</v>
      </c>
      <c r="BA196" s="48">
        <f t="shared" ca="1" si="369"/>
        <v>0</v>
      </c>
      <c r="BB196" s="48">
        <f t="shared" ca="1" si="370"/>
        <v>0</v>
      </c>
      <c r="BC196" s="48" t="str">
        <f t="shared" ca="1" si="382"/>
        <v/>
      </c>
      <c r="BD196" s="48">
        <f t="shared" ca="1" si="383"/>
        <v>0</v>
      </c>
      <c r="BE196" s="48">
        <f t="shared" ca="1" si="384"/>
        <v>0</v>
      </c>
      <c r="BG196" s="48">
        <f ca="1">IF(IF(AND(OR(INDEX(PDC,MATCH($AC196,DEN_PDC,0),6)="SP DARE",INDEX(PDC,MATCH($AC196,DEN_PDC,0),6)="SP DARE/AVERE"),SUMIFS(DARE,DEN_G,$AC196)&gt;=SUMIFS(AVERE,DEN_G,$AC196)),SUMIFS(DARE,DEN_G,$AC196)-SUMIFS(AVERE,DEN_G,$AC196),0)&gt;0,MAX($BG$2:BG195)+1,0)</f>
        <v>0</v>
      </c>
      <c r="BH196" s="48">
        <f ca="1">IF(IF(AND(OR(INDEX(PDC,MATCH($AC196,DEN_PDC,0),6)="SP AVERE",INDEX(PDC,MATCH($AC196,DEN_PDC,0),6)="SP DARE/AVERE"),SUMIFS(AVERE,DEN_G,$AC196)&gt;=SUMIFS(DARE,DEN_G,$AC196)),SUMIFS(AVERE,DEN_G,$AC196)-SUMIFS(DARE,DEN_G,$AC196),0)&gt;0,MAX(BH$2:BH195)+1,0)</f>
        <v>0</v>
      </c>
      <c r="BI196" s="48">
        <f ca="1">IF(IF(AND(OR(INDEX(PDC,MATCH($AC196,DEN_PDC,0),6)="SE DARE",INDEX(PDC,MATCH($AC196,DEN_PDC,0),6)="SE DARE/AVERE"),SUMIFS(DARE,DEN_G,$AC196)&gt;=SUMIFS(AVERE,DEN_G,$AC196)),SUMIFS(DARE,DEN_G,$AC196)-SUMIFS(AVERE,DEN_G,$AC196),0)&gt;0,MAX(BI$2:BI195)+1,0)</f>
        <v>0</v>
      </c>
      <c r="BJ196" s="48">
        <f ca="1">IF(IF(AND(OR(INDEX(PDC,MATCH($AC196,DEN_PDC,0),6)="SE AVERE",INDEX(PDC,MATCH($AC196,DEN_PDC,0),6)="SE DARE/AVERE"),SUMIFS(AVERE,DEN_G,$AC196)&gt;=SUMIFS(DARE,DEN_G,$AC196)),SUMIFS(AVERE,DEN_G,$AC196)-SUMIFS(DARE,DEN_G,$AC196),0)&gt;0,MAX(BJ$2:BJ195)+1,0)</f>
        <v>0</v>
      </c>
      <c r="BK196" s="48" t="str">
        <f ca="1">IF(AND(AND($DY$2=0,$DY$1=0),$I$1=2,ROW()&gt;$BG$1+2,ROW()&lt;=$BG$1+4),"………………..",IF(AND(OR($DY$2&gt;0,$DY$1&gt;0),$I$1=2,ROW()&gt;$BG$1+2,ROW()&lt;=$BG$1+4),"………………..",IFERROR(INDEX($AC$3:$AC$398,MATCH(ROWS(BK$3:BK196),BG$3:BG$398,0),1),"")))</f>
        <v/>
      </c>
      <c r="BL196" s="48">
        <f t="shared" ca="1" si="421"/>
        <v>0</v>
      </c>
      <c r="BM196" s="48" t="str">
        <f ca="1">IF(AND(OR($DY$2=0,$DY$1=0),$I$1=2,ROW()&gt;$BH$1+2,ROW()&lt;=$BH$1+4),"………………..",IF(AND(OR($DY$2&gt;0,$DY$1&gt;0),$I$1=2,ROW()&gt;$BH$1+2,ROW()&lt;=$BH$1+4),"………………..",IFERROR(INDEX($AC$3:$AC$400,MATCH(ROWS(BM$3:BM196),BH$3:BH$400,0),1),"")))</f>
        <v/>
      </c>
      <c r="BN196" s="48">
        <f t="shared" ca="1" si="422"/>
        <v>0</v>
      </c>
      <c r="BO196" s="48" t="str">
        <f ca="1">IF(AND(OR($DY$2=0,$DY$1=0),$I$1=2,ROW()&gt;$BI$1+2,ROW()&lt;=$BI$1+4),"………………..",IF(AND(OR($DY$2&gt;0,$DY$1&gt;0),$I$1=2,ROW()&gt;$BI$1+2,ROW()&lt;=$BI$1+4),"………………..",IFERROR(INDEX($AC$3:$AC$400,MATCH(ROWS(BO$3:BO196),BI$3:BI$400,0),1),"")))</f>
        <v/>
      </c>
      <c r="BP196" s="48">
        <f t="shared" ca="1" si="423"/>
        <v>0</v>
      </c>
      <c r="BQ196" s="48" t="str">
        <f ca="1">IF(AND(OR($DY$2=0,$DY$1=0),$I$1=2,ROW()&gt;$BJ$1+2,ROW()&lt;=$BJ$1+4),"………………..",IF(AND(OR($DY$2&gt;0,$DY$1&gt;0),$I$1=2,ROW()&gt;$BJ$1+2,ROW()&lt;=$BJ$1+4),"………………..",IFERROR(INDEX($AC$3:$AC$400,MATCH(ROWS(BQ$3:BQ196),BJ$3:BJ$400,0),1),"")))</f>
        <v/>
      </c>
      <c r="BR196" s="48">
        <f t="shared" ca="1" si="424"/>
        <v>0</v>
      </c>
      <c r="BS196" s="48">
        <f ca="1">IF(IF(AND(OR(INDEX(PDC,MATCH($AC196,DEN_PDC,0),4)="D",INDEX(PDC,MATCH($AC196,DEN_PDC,0),4)="D/A"),SUMIFS(DARE,DEN_G,$AC196)&gt;=SUMIFS(AVERE,DEN_G,$AC196)),SUMIFS(DARE,DEN_G,$AC196),IF(AND(OR(INDEX(PDC,MATCH($AC196,DEN_PDC,0),4)="A",INDEX(PDC,MATCH($AC196,DEN_PDC,0),4)="D/A"),SUMIFS(AVERE,DEN_G,$AC196)&gt;=SUMIFS(DARE,DEN_G,$AC196)),SUMIFS(AVERE,DEN_G,$AC196),))&gt;0,MAX($BS$2:BS195)+1,0)</f>
        <v>0</v>
      </c>
      <c r="BT196" s="48" t="str">
        <f ca="1">IF($CO$1=0,"",IF(AND($I$1=2,ROW()&gt;$BR$1,ROW()&lt;=$BS$1)," …………….",IF(AND($E$1=1,$BX$1=1,$I$1=2,ROW()=$BQ$1),"TOTALI",IFERROR(INDEX(PDC,MATCH(ROWS(BT$3:BT196),BS$3:BS593,0),2),""))))</f>
        <v/>
      </c>
      <c r="BU196" s="48">
        <f t="shared" ca="1" si="425"/>
        <v>0</v>
      </c>
      <c r="BV196" s="48">
        <f t="shared" ca="1" si="426"/>
        <v>0</v>
      </c>
      <c r="BW196" s="48">
        <f t="shared" ca="1" si="427"/>
        <v>0</v>
      </c>
      <c r="BX196" s="48">
        <f t="shared" ca="1" si="428"/>
        <v>0</v>
      </c>
      <c r="BY196" s="48">
        <f ca="1">IF(OR(BW196&gt;0,BX196&gt;0),MAX($BY$2:BY195)+1,0)</f>
        <v>0</v>
      </c>
      <c r="BZ196" s="48" t="str">
        <f ca="1">IFERROR(INDEX($BT$3:$BY$400,MATCH(ROWS(BZ$3:BZ196),$BY$3:$BY$400,0),1),"")</f>
        <v/>
      </c>
      <c r="CA196" s="48" t="str">
        <f ca="1">IFERROR(INDEX($BT$3:$BY$400,MATCH(ROWS(CA$3:CA196),$BY$3:$BY$400,0),4),"")</f>
        <v/>
      </c>
      <c r="CB196" s="48" t="str">
        <f ca="1">IFERROR(INDEX($BT$3:$BY$400,MATCH(ROWS(CB$3:CB196),$BY$3:$BY$400,0),5),"")</f>
        <v/>
      </c>
      <c r="CC196" s="48" t="str">
        <f t="shared" ca="1" si="429"/>
        <v/>
      </c>
      <c r="CD196" s="48">
        <f ca="1">IF(CE196&gt;0,MAX($CD$190:CD195)+1,0)</f>
        <v>0</v>
      </c>
      <c r="CE196" s="48">
        <f ca="1">IF(ROUND(SUMIFS(COPIA!$CB$3:$CB$400,COPIA!$CC$3:$CC$400,CF196)-SUMIFS(COPIA!$CA$3:$CA$400,COPIA!$CC$3:$CC$400,CF196),0)&lt;0,0,ROUND(SUMIFS(COPIA!$CB$3:$CB$400,COPIA!$CC$3:$CC$400,CF196)-SUMIFS(COPIA!$CA$3:$CA$400,COPIA!$CC$3:$CC$400,CF196),0))</f>
        <v>0</v>
      </c>
      <c r="CF196" s="48" t="s">
        <v>707</v>
      </c>
      <c r="CG196" s="242" t="s">
        <v>574</v>
      </c>
      <c r="CH196" s="48">
        <f t="shared" ca="1" si="416"/>
        <v>0</v>
      </c>
      <c r="CM196" s="242" t="str">
        <f t="shared" ref="CM196:CM259" ca="1" si="444">IF($CO$1=0,"",IF(AND($E$1=1,$I$1=2,OR($BU$1=1,$BU$1=3)),"",IF(AND($E$1=1,$I$1=2,$BW$1=1,ROW()=$BS$1+1,OR($BU$1=1,$BU$1=3,$CL$1=1)),"TOTALI",IF(AND($F$1=1,$BA$1&gt;0,$I$1=1,ROW()=$BT$1+3,$CL$1=1,$BD$1=1,$EL$2=0),"TOTALI",""))))</f>
        <v/>
      </c>
      <c r="CN196" s="243">
        <f t="shared" ref="CN196:CN259" ca="1" si="445">IF(CM196="TOTALI",$BU$401,0)</f>
        <v>0</v>
      </c>
      <c r="CO196" s="48" t="str">
        <f t="shared" ref="CO196:CO259" ca="1" si="446">IF($CO$1=0,"",CONCATENATE(BT196,CM196))</f>
        <v/>
      </c>
      <c r="CQ196" s="242"/>
      <c r="CR196" s="242"/>
      <c r="CU196" s="48">
        <f ca="1">IF(SUMIFS(AVERE,DEN_G,AC196,AVERE,"&gt;"&amp;0)+SUMIFS(DARE,DEN_G,AC196,DARE,"&gt;"&amp;0)&gt;0,MAX($CU$2:CU195)+1,0)</f>
        <v>0</v>
      </c>
      <c r="CV196" s="48" t="str">
        <f ca="1">IF(IFERROR(INDEX(PDC,MATCH(ROWS($CV$3:CV196),$CU$3:$CU$400,0),2),"")="CONTO DI RISULTATO ECONOMICO","",IFERROR(INDEX(PDC,MATCH(ROWS($CV$3:CV196),$CU$3:$CU$400,0),2),""))</f>
        <v/>
      </c>
      <c r="CW196" s="48">
        <f ca="1">IFERROR(IF(CV196&lt;&gt;"",MAX($CW$2:CW195)+1,0),0)</f>
        <v>0</v>
      </c>
      <c r="CX196" s="48">
        <f t="shared" ca="1" si="405"/>
        <v>15</v>
      </c>
      <c r="CY196" s="48" t="str">
        <f t="shared" ca="1" si="404"/>
        <v>MASTRO</v>
      </c>
      <c r="CZ196" s="48" t="e">
        <f t="shared" ca="1" si="407"/>
        <v>#N/A</v>
      </c>
      <c r="DA196" s="48" t="str">
        <f t="shared" ca="1" si="412"/>
        <v/>
      </c>
      <c r="DB196" s="48" t="str">
        <f t="shared" ca="1" si="347"/>
        <v/>
      </c>
      <c r="DC196" s="48" t="str">
        <f t="shared" ca="1" si="408"/>
        <v/>
      </c>
      <c r="DD196" s="48" t="str">
        <f t="shared" ca="1" si="409"/>
        <v/>
      </c>
      <c r="DE196" s="48" t="str">
        <f t="shared" ca="1" si="410"/>
        <v/>
      </c>
      <c r="DF196" s="48">
        <f ca="1">IF(AND(CX196=$DF$1,CX196&lt;&gt;""),0,IF(AND(DB196&lt;&gt;"",OR(DB195&lt;&gt;"",DB197&lt;&gt;"")),MAX($DF$2:DF195)+1,0))</f>
        <v>0</v>
      </c>
      <c r="DG196" s="48">
        <f ca="1">DG201</f>
        <v>0</v>
      </c>
      <c r="DH196" s="244" t="s">
        <v>286</v>
      </c>
      <c r="DI196" s="48" t="str">
        <f ca="1">IFERROR(IF(AND($DL$1=TRUE,DG196&lt;&gt;0),CONCATENATE("SOCIO ",DG196," C/UTILI"),IF(AND($DL$1=FALSE,DG196&lt;&gt;0),CONCATENATE("AZIONISTA ",DG196," C/DIVIDENDI"),"")),"")</f>
        <v/>
      </c>
      <c r="DJ196" s="48" t="s">
        <v>312</v>
      </c>
      <c r="DK196" s="48" t="s">
        <v>298</v>
      </c>
      <c r="DL196" s="48" t="s">
        <v>5</v>
      </c>
      <c r="DM196" s="48" t="s">
        <v>299</v>
      </c>
      <c r="DN196" s="48">
        <f ca="1">IF(DI196&lt;&gt;"",MAX($DN$2:DN195)+1,0)</f>
        <v>0</v>
      </c>
      <c r="DO196" s="48" t="str">
        <f t="shared" ca="1" si="403"/>
        <v>ppd</v>
      </c>
      <c r="DP196" s="48">
        <f ca="1">DP5</f>
        <v>0</v>
      </c>
      <c r="DQ196" s="227" t="s">
        <v>416</v>
      </c>
      <c r="DR196" s="48" t="str">
        <f ca="1">IFERROR(IF(DP196&lt;&gt;0,CONCATENATE("SOCIO ",DP196," C/LIQUIDAZIONE"),""),"")</f>
        <v/>
      </c>
      <c r="DS196" s="48" t="s">
        <v>312</v>
      </c>
      <c r="DT196" s="48" t="s">
        <v>298</v>
      </c>
      <c r="DU196" s="48" t="s">
        <v>5</v>
      </c>
      <c r="DV196" s="48" t="s">
        <v>299</v>
      </c>
      <c r="DW196" s="48">
        <f ca="1">IF(DR196&lt;&gt;"",MAX($DW$2:DW195)+1,0)</f>
        <v>0</v>
      </c>
      <c r="DX196" s="48" t="str">
        <f t="shared" ca="1" si="401"/>
        <v>ppd</v>
      </c>
      <c r="DY196" s="48" t="str">
        <f t="shared" ca="1" si="430"/>
        <v/>
      </c>
      <c r="DZ196" s="48" t="str">
        <f t="shared" ref="DZ196:DZ200" ca="1" si="447">IF(OR($ES$1&gt;0,$DW$1=0,$BX$1=0,$AY$1&lt;&gt;0),"",IF(AND($F$1=1,$BI$1&gt;=$BJ$1,$BP$2&gt;$BR$2,ROW()=$BI$1+3),"TOTALE RICAVI",IF(AND($F$1=1,$BI$1&gt;=$BJ$1,$BP$2&gt;$BR$2,ROW()=$BI$1+4),"SALDO ECONOMICO NEGATIVO",IF(AND($F$1=1,$BI$1&gt;=$BJ$1,$BP$2&gt;$BR$2,ROW()=$BI$1+5),"TOTALE A PAREGGIO",IF(AND($F$1=1,$BI$1&lt;=$BJ$1,$BP$2&gt;$BR$2,ROW()=$BJ$1+3),"TOTALE RICAVI",IF(AND($F$1=1,$BI$1&lt;=$BJ$1,$BP$2&gt;$BR$2,ROW()=$BJ$1+4),"SALDO ECONOMICO NEGATIVO",IF(AND($F$1=1,$BI$1&lt;=$BJ$1,$BP$2&gt;$BR$2,ROW()=$BJ$1+5),"TOTALE A PAREGGIO",IF(AND($F$1=1,$BI$1&gt;=$BJ$1,$BP$2&lt;$BR$2,ROW()=$BI$1+5),"TOTALE RICAVI",IF(AND($F$1=1,$BI$1&lt;=$BJ$1,$BP$2&lt;$BR$2,ROW()=$BJ$1+5),"TOTALE RICAVI",IF(AND($BP$2&lt;&gt;0,$F$1=1,$BI$1&gt;$BJ$1,$BP$2=$BR$2,ROW()=$BI$1+3),"TOTALE RICAVI",IF(AND($BP$2&lt;&gt;0,$F$1=1,$BI$1&lt;$BJ$1,$BP$2=$BR$2,ROW()=$BJ$1+3),"TOTALE RICAVI",IF(AND($BP$2&lt;&gt;0,$F$1=1,$BI$1=$BJ$1,$BP$2=$BR$2,ROW()=$BI$1+3),"TOTALE RICAVI",IF(AND($I$1=2,$E$1=1,$BI$1&gt;=$BJ$1,$DY$1&gt;0,ROW()=$BI$1+5),"TOTALE RICAVI",IF(AND($I$1=2,$E$1=1,$BI$1&lt;=$BJ$1,$DY$1&gt;0,ROW()=$BJ$1+5),"TOTALE RICAVI",IF(AND($I$1=2,$E$1=1,$BI$1&gt;=$BJ$1,$DY$2&gt;0,ROW()=$BI$1+7),"TOTALE RICAVI",IF(AND($I$1=2,$E$1=1,$BI$1&lt;=$BJ$1,$DY$2&gt;0,ROW()=$BJ$1+7),"TOTALE RICAVI",IF(AND($I$1=2,$E$1=1,$BI$1&lt;=$BJ$1,$DY$1&gt;0,ROW()=$BJ$1+6),"PERDITA D'ESERCIZIO",IF(AND($I$1=2,$E$1=1,$BI$1&gt;=$BJ$1,$DY$1&gt;0,ROW()=$BI$1+6),"PERDITA D'ESERCIZIO",IF(AND($I$1=2,$E$1=1,$BI$1&lt;=$BJ$1,$DY$1&gt;0,ROW()=$BJ$1+7),"TOTALE A PAREGGIO",IF(AND($I$1=2,$E$1=1,$BI$1&gt;=$BJ$1,$DY$1&gt;0,ROW()=$BI$1+7),"TOTALE A PAREGGIO",IF(AND($I$1=2,$E$1=1,$BI$1&gt;=$BJ$1,$DY$2&gt;0,ROW()=$BI$1+7),"TOTALE A PAREGGIO",IF(AND($I$1=2,$E$1=1,$BI$1&gt;=$BJ$1,$DY$2=0,$DY$1=0,ROW()=$BI$1+5),"TOTALE",IF(AND($I$1=2,$E$1=1,$BI$1&lt;=$BJ$1,$DY$2=0,$DY$1=0,ROW()=$BJ$1+5),"TOTALE","")))))))))))))))))))))))</f>
        <v/>
      </c>
      <c r="EA196" s="48" t="str">
        <f t="shared" ref="EA196:EA200" ca="1" si="448">IF($CO$1=0,"",IF(AND($CP$1=TRUE,CONCATENATE(DZ196,BQ196)="SALDO ECONOMICO NEGATIVO"),REPLACE(CONCATENATE(DZ196,BQ196),1,30,"PERDITA D'ESERCIZIO"),CONCATENATE(DZ196,BQ196)))</f>
        <v/>
      </c>
      <c r="EB196" s="48">
        <f t="shared" ref="EB196:EB200" ca="1" si="449">IF(AND($I$1=2,EA196="……………….."),"_ _ _",IF(AND(DZ196="TOTALE",$I$1=2),"_ _ _",IF(AND(DZ196="TOTALE RICAVI",$I$1=2),"_ _ _",IF(AND(DZ196="TOTALE A PAREGGIO",$I$1=2),"_ _ _",IF(AND(DZ196="PERDITA D'ESERCIZIO",$I$1=2),$DY$1,IF(OR(EA196="SALDO ECONOMICO NEGATIVO",EA196="PERDITA D'ESERCIZIO"),$BP$2-$BR$2,IF(DZ196="TOTALE RICAVI",$BR$2,IF(DZ196="TOTALE A PAREGGIO",$BP$2,0))))))))</f>
        <v>0</v>
      </c>
      <c r="EC196" s="48">
        <f t="shared" ref="EC196:EC200" ca="1" si="450">IF(AND($I$1=2,EB196&lt;&gt;0),EB196,SUM(EB196,BR196))</f>
        <v>0</v>
      </c>
      <c r="ED196" s="48" t="str">
        <f t="shared" ref="ED196:ED200" ca="1" si="451">IF(OR($ES$1&gt;0,$DW$1=0,$BX$1=0,$AY$1&lt;&gt;0),"",IF(AND($F$1=1,$BG$1=$BH$1,$BL$2&gt;$BN$2,ROW()=$BG$1+5),"TOTALE",IF(AND($F$1=1,$BG$1=$BH$1,$BL$2=$BN$2,ROW()=$BG$1+3),"TOTALE",IF(AND($F$1=1,$BG$1=$BH$1,$BL$2&lt;$BN$2,ROW()=$BG$1+3),"TOTALE",IF(AND($F$1=1,$BG$1&gt;$BH$1,$BL$2&gt;$BN$2,ROW()=$BG$1+5),"TOTALE",IF(AND($F$1=1,$BG$1&gt;$BH$1,$BL$2=$BN$2,ROW()=$BG$1+3),"TOTALE",IF(AND($F$1=1,$BG$1&gt;$BH$1,$BL$2&lt;$BN$2,ROW()=$BG$1+3),"TOTALE",IF(AND($F$1=1,$BG$1&lt;$BH$1,$BL$2&gt;$BN$2,ROW()=$BH$1+5),"TOTALE",IF(AND($F$1=1,$BG$1&lt;$BH$1,$BL$2&lt;$BN$2,ROW()=$BH$1+3),"TOTALE",IF(AND($F$1=1,$BG$1&lt;$BH$1,$BL$2=$BN$2,ROW()=$BH$1+3),"TOTALE",IF(AND($F$1=1,$BG$1&lt;=$BH$1,$BL$2&lt;$BN$2,ROW()=$BH$1+4),"SALDO ECONOMICO NEGATIVO",IF(AND($F$1=1,$BG$1&gt;$BH$1,$BL$2&lt;$BN$2,ROW()=$BG$1+4),"SALDO ECONOMICO NEGATIVO",IF(AND($F$1=1,$BG$1&lt;$BH$1,$BL$2&lt;$BN$2,ROW()=$BH$1+5),"TOTALE A PAREGGIO",IF(AND($F$1=1,$BG$1&gt;=$BH$1,$BL$2&lt;$BN$2,ROW()=$BG$1+5),"TOTALE A PAREGGIO",IF(AND($I$1=2,$E$1=1,$BG$1&gt;=$BH$1,$DY$1&gt;0,ROW()=$BG$1+7),"TOTALE A PAREGGIO",IF(AND($I$1=2,$E$1=1,$BG$1&gt;=$BH$1,$DY$1&gt;0,ROW()=$BG$1+6),"PERDITA D'ESERCIZIO",IF(AND($I$1=2,$E$1=1,$BG$1&gt;=$BH$1,$DY$1&gt;0,ROW()=$BG$1+5),"TOTALE",IF(AND($I$1=2,$E$1=1,$BG$1&lt;=$BH$1,$DY$1&gt;0,ROW()=$BH$1+7),"TOTALE A PAREGGIO",IF(AND($I$1=2,$E$1=1,$BG$1&lt;=$BH$1,$DY$1&gt;0,ROW()=$BH$1+6),"PERDITA D'ESERCIZIO",IF(AND($I$1=2,$E$1=1,$BG$1&lt;=$BH$1,$DY$1&gt;0,ROW()=$BH$1+5),"TOTALE",IF(AND($I$1=2,$E$1=1,$BG$1&lt;=$BH$1,$DY$2&gt;0,ROW()=$BH$1+7),"TOTALE",IF(AND($I$1=2,$E$1=1,$BG$1&gt;=$BH$1,$DY$2&gt;0,ROW()=$BG$1+7),"TOTALE",IF(AND($I$1=2,$E$1=1,$BG$1&gt;=$BH$1,$DY$2=0,$DY$1=0,ROW()=$BG$1+5),"TOTALE",IF(AND($I$1=2,$E$1=1,$BG$1&lt;=$BH$1,$DY$2=0,$DY$1=0,ROW()=$BH$1+5),"TOTALE",""))))))))))))))))))))))))</f>
        <v/>
      </c>
      <c r="EE196" s="48">
        <f t="shared" ref="EE196:EE200" ca="1" si="452">IF(AND($I$1=2,EF196="……………….."),"_ _ _",IF(AND($I$1=2,ED196="TOTALE"),"_ _ _",IF(AND($I$1=2,ED196="TOTALE A PAREGGIO"),"_ _ _",IF(AND($I$1=2,ED196="PERDITA D'ESERCIZIO"),$DY$1,IF(ED196="totale",$BL$2,IF(ED196="SALDO ECONOMICO NEGATIVO",$BP$2-$BR$2,IF(ED196="TOTALE A PAREGGIO",$BN$2,0)))))))</f>
        <v>0</v>
      </c>
      <c r="EF196" s="48" t="str">
        <f t="shared" ref="EF196:EF200" ca="1" si="453">IF($CO$1=0,"",CONCATENATE(ED196,BK196))</f>
        <v/>
      </c>
      <c r="EG196" s="48">
        <f t="shared" ref="EG196:EG200" ca="1" si="454">IF(AND($I$1=2,EE196&lt;&gt;0),EE196,SUM(BL196,EE196))</f>
        <v>0</v>
      </c>
      <c r="EH196" s="48" t="str">
        <f t="shared" ref="EH196:EH200" ca="1" si="455">IF(OR($ES$1&gt;0,$DW$1=0,$BX$1=0,$AY$1&lt;&gt;0),"",IF(AND($F$1=1,$BG$1=$BH$1,$BL$2&gt;$BN$2,ROW()=$BG$1+3),"TOTALE",IF(AND($F$1=1,$BG$1=$BH$1,$BL$2=$BN$2,ROW()=$BG$1+3),"TOTALE",IF(AND($F$1=1,$BG$1=$BH$1,$BL$2&lt;$BN$2,ROW()=$BG$1+5),"TOTALE",IF(AND($F$1=1,$BG$1&gt;$BH$1,$BL$2&gt;$BN$2,ROW()=$BG$1+3),"TOTALE",IF(AND($F$1=1,$BG$1&gt;$BH$1,$BL$2=$BN$2,ROW()=$BG$1+3),"TOTALE",IF(AND($F$1=1,$BG$1&gt;$BH$1,$BL$2&lt;$BN$2,ROW()=$BG$1+5),"TOTALE",IF(AND($F$1=1,$BG$1&lt;$BH$1,$BL$2&gt;$BN$2,ROW()=$BH$1+3),"TOTALE",IF(AND($F$1=1,$BG$1&lt;$BH$1,$BL$2&lt;$BN$2,ROW()=$BH$1+5),"TOTALE",IF(AND($F$1=1,$BG$1&lt;$BH$1,$BL$2=$BN$2,ROW()=$BH$1+3),"TOTALE",IF(AND($F$1=1,$BG$1&lt;=$BH$1,$BL$2&gt;$BN$2,ROW()=$BH$1+4),"SALDO ECONOMICO POSITIVO",IF(AND($F$1=1,$BG$1&gt;$BH$1,$BL$2&gt;$BN$2,ROW()=$BG$1+4),"SALDO ECONOMICO POSITIVO",IF(AND($F$1=1,$BG$1&lt;$BH$1,$BL$2&gt;$BN$2,ROW()=$BH$1+5),"TOTALE A PAREGGIO",IF(AND($F$1=1,$BG$1&gt;=$BH$1,$BL$2&gt;$BN$2,ROW()=$BG$1+5),"TOTALE A PAREGGIO",IF(AND($I$1=2,$E$1=1,$BG$1&gt;=$BH$1,$DY$2&gt;0,ROW()=$BG$1+7),"TOTALE A PAREGGIO",IF(AND($I$1=2,$E$1=1,$BG$1&gt;=$BH$1,$DY$2&gt;0,ROW()=$BG$1+6),"UTILE D'ESERCIZIO",IF(AND($I$1=2,$E$1=1,$BG$1&gt;=$BH$1,$DY$2&gt;0,ROW()=$BG$1+5),"TOTALE",IF(AND($I$1=2,$E$1=1,$BG$1&lt;=$BH$1,$DY$2&gt;0,ROW()=$BH$1+7),"TOTALE A PAREGGIO",IF(AND($I$1=2,$E$1=1,$BG$1&lt;=$BH$1,$DY$2&gt;0,ROW()=$BH$1+6),"UTILE D'ESERCIZIO",IF(AND($I$1=2,$E$1=1,$BG$1&lt;=$BH$1,$DY$2&gt;0,ROW()=$BH$1+5),"TOTALE",IF(AND($I$1=2,$E$1=1,$BG$1&lt;=$BH$1,$DY$1&gt;0,ROW()=$BH$1+7),"TOTALE",IF(AND($I$1=2,$E$1=1,$BG$1&gt;=$BH$1,$DY$1&gt;0,ROW()=$BG$1+7),"TOTALE",IF(AND($I$1=2,$E$1=1,$BG$1&gt;=$BH$1,$DY$2=0,$DY$1=0,ROW()=$BG$1+5),"TOTALE",IF(AND($I$1=2,$E$1=1,$BG$1&lt;=$BH$1,$DY$2=0,$DY$1=0,ROW()=$BH$1+5),"TOTALE",""))))))))))))))))))))))))</f>
        <v/>
      </c>
      <c r="EI196" s="48">
        <f t="shared" ref="EI196:EI200" ca="1" si="456">IF(AND($I$1=2,EJ196="……………….."),"_ _ _",IF(AND($I$1=2,EH196="TOTALE"),"_ _ _",IF(AND($I$1=2,EH196="TOTALE A PAREGGIO"),"_ _ _",IF(AND($I$1=2,EH196="UTILE D'ESERCIZIO"),$DY$2,IF(EH196="totale",$BN$2,IF(EH196="SALDO ECONOMICO POSITIVO",$BR$2-$BP$2,IF(EH196="TOTALE A PAREGGIO",$BL$2,0)))))))</f>
        <v>0</v>
      </c>
      <c r="EJ196" s="48" t="str">
        <f t="shared" ref="EJ196:EJ200" ca="1" si="457">IF($CO$1=0,"",CONCATENATE(EH196,BM196))</f>
        <v/>
      </c>
      <c r="EK196" s="48">
        <f t="shared" ref="EK196:EK200" ca="1" si="458">IF(AND($I$1=2,EI196&lt;&gt;0),EI196,SUM(EI196,BN196))</f>
        <v>0</v>
      </c>
      <c r="EL196" s="48">
        <f t="shared" ca="1" si="431"/>
        <v>0</v>
      </c>
      <c r="EM196" s="48">
        <f ca="1">IF(EL196&gt;=0,0,MAX($EM$2:EM195)+1)</f>
        <v>0</v>
      </c>
      <c r="EN196" s="48" t="str">
        <f t="shared" ref="EN196:EN259" ca="1" si="459">IF(EL196&lt;0,AC196,"")</f>
        <v/>
      </c>
      <c r="EO196" s="48" t="str">
        <f ca="1">IFERROR(INDEX($EM$3:$EN$400,MATCH(ROWS($EO$3:EO196),$EM$3:$EM$400,0),2),"")</f>
        <v/>
      </c>
      <c r="EP196" s="48">
        <f>ROW()</f>
        <v>196</v>
      </c>
      <c r="EQ196" s="48">
        <f t="shared" ca="1" si="432"/>
        <v>0</v>
      </c>
      <c r="ER196" s="48">
        <f ca="1">IF(ISNA(EQ196)=TRUE,MAX($ER$2:ER195)+1,0)</f>
        <v>0</v>
      </c>
      <c r="ES196" s="48" t="str">
        <f t="shared" ref="ES196:ES259" ca="1" si="460">IF(ER196&lt;&gt;0,AM196,"")</f>
        <v/>
      </c>
      <c r="ET196" s="48" t="str">
        <f ca="1">IFERROR(INDEX($ER$3:$ES$400,MATCH(ROWS($ET$3:ET196),$ER$3:$ER$400,0),2),"")</f>
        <v/>
      </c>
      <c r="EV196" s="48">
        <f ca="1">IFERROR(INDEX(LIBRO_GIORNALE!$O$11:$P$408,MATCH(ROWS($EV$2:EV195),LIBRO_GIORNALE!$P$11:$P$408,0),1),0)</f>
        <v>0</v>
      </c>
      <c r="EW196" s="48" t="str">
        <f t="shared" ref="EW196:EW250" ca="1" si="461">UPPER(IFERROR(INDEX($AZ$103:$BB$400,MATCH(EV196,$AZ$103:$AZ$400,0),3),0))</f>
        <v>0</v>
      </c>
      <c r="EX196" s="48">
        <f t="shared" ref="EX196:EX259" ca="1" si="462">IF(EXACT(EW196,EW195),0,IF($EV$1=1,IFERROR(MATCH($EW196,$CV$3:$CV$400,0),0),0))</f>
        <v>0</v>
      </c>
      <c r="EY196" s="48">
        <f ca="1">IF(EX196&gt;0,MAX($EY$2:EY195)+1,0)</f>
        <v>0</v>
      </c>
      <c r="EZ196" s="48">
        <f ca="1">IFERROR(INDEX($EX$3:$EX$400,MATCH(ROWS($EZ$3:EZ196),$EY$3:$EY$400,0),1),0)</f>
        <v>0</v>
      </c>
      <c r="FA196" s="48">
        <f ca="1">IF(EZ196&gt;0,0,MAX($FA$2:FA195)+1)</f>
        <v>194</v>
      </c>
      <c r="FB196" s="48">
        <f t="shared" ref="FB196:FB250" ca="1" si="463">IFERROR(IF(FA196&gt;0,MATCH(FA196,$EZ$3:$EZ$400,0),0),0)</f>
        <v>0</v>
      </c>
      <c r="FC196" s="48">
        <f t="shared" ref="FC196:FC250" ca="1" si="464">IF(FB196=0,FA196,0)</f>
        <v>194</v>
      </c>
      <c r="FD196" s="48">
        <f t="shared" ref="FD196:FD259" ca="1" si="465">SUM(EZ196,FC196)</f>
        <v>194</v>
      </c>
      <c r="FE196" s="48">
        <f ca="1">IF(FD196=0,0,MAX($FE$2:FE195)+1)</f>
        <v>194</v>
      </c>
      <c r="FF196" s="48">
        <f ca="1">IFERROR(INDEX($FD$3:$FE$400,MATCH(ROWS($FF$3:FF196),$FE$3:$FE$400,0),1),"")</f>
        <v>194</v>
      </c>
      <c r="FG196" s="48">
        <f t="shared" ca="1" si="380"/>
        <v>0</v>
      </c>
      <c r="FH196" s="48">
        <f t="shared" ref="FH196:FH259" ca="1" si="466">IF(F196="SP DARE/AVERE",B196,0)</f>
        <v>0</v>
      </c>
      <c r="FI196" s="48">
        <f ca="1">IF(FH196&lt;&gt;0,MAX($FI$2:FI195)+1,0)</f>
        <v>0</v>
      </c>
      <c r="FJ196" s="48" t="str">
        <f ca="1">IFERROR(INDEX($FH$3:$FI$400,MATCH(ROWS($FJ$3:FJ196),$FI$3:$FI$400,0),1),"")</f>
        <v/>
      </c>
      <c r="FK196" s="48">
        <f ca="1">IF(ABS(SUMIFS(DARE,DEN_G,"="&amp;FJ196,DATA,"&lt;="&amp;FINE_AC,DATA,"&gt;="&amp;INIZIO_A_PC)-SUMIFS(AVERE,DEN_G,"="&amp;FJ196,DATA,"&lt;="&amp;FINE_AC,DATA,"&gt;="&amp;INIZIO_A_PC))&gt;0,MAX($FK$2:FK195)+1,0)</f>
        <v>0</v>
      </c>
      <c r="FL196" s="48" t="str">
        <f ca="1">IF(AND(ROW()-2&lt;&gt;1,ROW()-2&lt;=$FK$1),CONCATENATE(" - ",IFERROR(INDEX($FJ$3:$FK$400,MATCH(ROWS($FL$3:FL196),$FK$3:$FK$400,0),1),"")),IFERROR(INDEX($FJ$3:$FK$400,MATCH(ROWS($FL$3:FL196),$FK$3:$FK$400,0),1),""))</f>
        <v/>
      </c>
      <c r="FM196" s="48">
        <f ca="1">IF(OR(B196="IVA ns/credito",B196="IVA NS/DEBITO",B196="IVA C/ACCONTO",B196="IMPOSTE C/ACCONTO",B196="CREDITI PER RITENUTE SUBITE",B196="CREDITI D'IMPOSTA"),MAX($FM$2:FM195)+1,0)</f>
        <v>0</v>
      </c>
      <c r="FN196" s="48" t="str">
        <f t="shared" ref="FN196:FN259" ca="1" si="467">IF(FM196&gt;0,B196,"")</f>
        <v/>
      </c>
      <c r="FO196" s="48" t="str">
        <f ca="1">IFERROR(INDEX($FM$3:$FN$400,MATCH(ROWS($FO$3:FO196),$FM$3:$FM$400,0),2),"")</f>
        <v/>
      </c>
      <c r="FP196" s="48">
        <f ca="1">IF(ABS(SUMIFS(DARE,DEN_G,"="&amp;FO196,DATA,"&lt;="&amp;FINE_AC,DATA,"&gt;="&amp;INIZIO_A_PC)-SUMIFS(AVERE,DEN_G,"="&amp;FO196,DATA,"&lt;="&amp;FINE_AC,DATA,"&gt;="&amp;INIZIO_A_PC))&gt;0,MAX($FP$2:FP195)+1,0)</f>
        <v>0</v>
      </c>
      <c r="FQ196" s="48" t="str">
        <f ca="1">IF(AND(ROW()-2&lt;&gt;1,ROW()-2&lt;=$FP$1),CONCATENATE(" - ",IFERROR(INDEX($FO$3:$FP$400,MATCH(ROWS($FQ$3:FQ196),$FP$3:$FP$400,0),1),"")),IFERROR(INDEX($FO$3:$FP$400,MATCH(ROWS($FQ$3:FQ196),$FP$3:$FP$400,0),1),""))</f>
        <v/>
      </c>
    </row>
    <row r="197" spans="1:173" x14ac:dyDescent="0.3">
      <c r="A197" s="48" t="str">
        <f ca="1">IFERROR(IF($A$1=2,INDEX($DH$3:$DN$401,MATCH(ROWS(A$3:A197),$DN$3:$DN$401,0),COLUMN()),IF($A$1=1,INDEX($DQ$3:$DW$401,MATCH(ROWS(A$3:A197),$DW$3:$DW$401,0),COLUMN()),"")),"")</f>
        <v>20.30</v>
      </c>
      <c r="B197" s="48" t="str">
        <f ca="1">IFERROR(IF($A$1=2,INDEX($DH$3:$DN$401,MATCH(ROWS(B$3:B197),$DN$3:$DN$401,0),COLUMN()),IF($A$1=1,INDEX($DQ$3:$DW$400,MATCH(ROWS(B$3:B197),$DW$3:$DW$401,0),COLUMN()),"")),"")</f>
        <v>RIMBORSI COSTI DI VENDITA</v>
      </c>
      <c r="C197" s="48" t="str">
        <f ca="1">IFERROR(IF($A$1=2,INDEX($DH$3:$DN$401,MATCH(ROWS(C$3:C197),$DN$3:$DN$401,0),COLUMN()),IF($A$1=1,INDEX($DQ$3:$DW$401,MATCH(ROWS(C$3:C197),$DW$3:$DW$401,0),COLUMN()),"")),"")</f>
        <v>E</v>
      </c>
      <c r="D197" s="48" t="str">
        <f ca="1">IFERROR(IF($A$1=2,INDEX($DH$3:$DN$401,MATCH(ROWS(D$3:D197),$DN$3:$DN$401,0),COLUMN()),IF($A$1=1,INDEX($DQ$3:$DW$401,MATCH(ROWS(D$3:D197),$DW$3:$DW$401,0),COLUMN()),"")),"")</f>
        <v>A</v>
      </c>
      <c r="E197" s="48" t="str">
        <f ca="1">IFERROR(IF($A$1=2,INDEX($DH$3:$DN$401,MATCH(ROWS(E$3:E197),$DN$3:$DN$401,0),COLUMN()),IF($A$1=1,INDEX($DQ$3:$DW$401,MATCH(ROWS(E$3:E197),$DW$3:$DW$401,0),COLUMN()),"")),"")</f>
        <v>RICAVI D'ESERCIZIO</v>
      </c>
      <c r="F197" s="48" t="str">
        <f ca="1">IFERROR(IF($A$1=2,INDEX($DH$3:$DN$401,MATCH(ROWS(F$3:F197),$DN$3:$DN$401,0),COLUMN()),IF($A$1=1,INDEX($DQ$3:$DX$401,MATCH(ROWS(F$3:F197),$DW$3:$DW$401,0),COLUMN()),"")),"")</f>
        <v>SE AVERE</v>
      </c>
      <c r="G197" s="48" t="str">
        <f t="shared" ca="1" si="433"/>
        <v>SE</v>
      </c>
      <c r="H197" s="48" t="str">
        <f ca="1">IFERROR(IF($A$1=2,INDEX($DH$3:$DO$400,MATCH(ROWS(H$3:H197),$DN$3:$DN$400,0),COLUMN()),IF($A$1=1,INDEX($DQ$3:$DX$400,MATCH(ROWS(H$3:H197),$DW$3:$DW$400,0),COLUMN()),"")),"")</f>
        <v>ea5</v>
      </c>
      <c r="I197" s="48" t="str">
        <f t="shared" ca="1" si="434"/>
        <v/>
      </c>
      <c r="J197" s="48" t="str">
        <f t="shared" ca="1" si="435"/>
        <v/>
      </c>
      <c r="K197" s="48">
        <f t="shared" ca="1" si="436"/>
        <v>0</v>
      </c>
      <c r="L197" s="48">
        <f t="shared" ca="1" si="437"/>
        <v>0</v>
      </c>
      <c r="M197" s="48">
        <f ca="1">IFERROR(IF(IF(MID($A197,3,3)=".00",MID(A197,1,2),"")&lt;&gt;"",MAX($M$2:M196)+1,0),"")</f>
        <v>0</v>
      </c>
      <c r="N197" s="48" t="str">
        <f t="shared" ca="1" si="438"/>
        <v/>
      </c>
      <c r="O197" s="48" t="str">
        <f ca="1">IF(IFERROR(INDEX($N$3:$O$300,MATCH(ROWS($O$3:O197),$M$3:$M$300,0),1),"")&lt;&gt;"",CONCATENATE(INDEX($N$3:$O$300,MATCH(ROWS($O$3:O197),$M$3:$M$300,0),1),".00"),"")</f>
        <v/>
      </c>
      <c r="P197" s="48" t="str">
        <f t="shared" ca="1" si="439"/>
        <v/>
      </c>
      <c r="Q197" s="48">
        <f ca="1">IF(M197&gt;=1,0,MAX($Q$2:Q196)+1)</f>
        <v>175</v>
      </c>
      <c r="U197" s="48" t="str">
        <f ca="1">IFERROR(INDEX(PDC,MATCH(ROWS(U$3:U197),$V$3:$V$400,0),2),"")</f>
        <v>MATERIE C/APPORTI</v>
      </c>
      <c r="V197" s="48">
        <f ca="1">IF(AND($T$1="VISUALIZZA TUTTI I CONTI",AA197&lt;&gt;""),MAX($V$2:V196)+1,IF(AND($U$2=2,AI197=$T$1),MAX($V$2:V196)+1,IF(AND($U$2=1,$T$1=AF197),MAX($V$2:V196)+1,0)))</f>
        <v>195</v>
      </c>
      <c r="AA197" s="48" t="str">
        <f t="shared" ca="1" si="440"/>
        <v>30.00</v>
      </c>
      <c r="AB197" s="48" t="str">
        <f ca="1">IFERROR(INDEX($A$3:$G$400,MATCH(ROWS(AB$3:AB197),$Q$3:$Q$400,0),1),"")</f>
        <v>30.04</v>
      </c>
      <c r="AC197" s="48" t="str">
        <f ca="1">IFERROR(INDEX($A$3:$G$400,MATCH(ROWS($AC$3:AC197),$Q$3:$Q$400,0),2),"")</f>
        <v>MATERIE C/APPORTI</v>
      </c>
      <c r="AD197" s="48" t="str">
        <f ca="1">IFERROR(INDEX($A$3:$G$400,MATCH(ROWS(AD$3:AD197),$Q$3:$Q$400,0),3),"")</f>
        <v>E</v>
      </c>
      <c r="AE197" s="48" t="str">
        <f ca="1">IFERROR(INDEX($A$3:$G$400,MATCH(ROWS(AE$3:AE197),$Q$3:$Q$400,0),4),"")</f>
        <v>D</v>
      </c>
      <c r="AF197" s="48" t="str">
        <f ca="1">IFERROR(INDEX($A$3:$G$400,MATCH(ROWS(AF$3:AF197),$Q$3:$Q$400,0),5),"")</f>
        <v>COSTI D'ESERCIZIO</v>
      </c>
      <c r="AG197" s="48" t="str">
        <f ca="1">IFERROR(INDEX($A$3:$G$400,MATCH(ROWS(AG$3:AG197),$Q$3:$Q$400,0),6),"")</f>
        <v>SE DARE</v>
      </c>
      <c r="AH197" s="48" t="str">
        <f ca="1">IFERROR(INDEX($A$3:$G$400,MATCH(ROWS(AH$3:AH197),$Q$3:$Q$400,0),7),"")</f>
        <v>SE</v>
      </c>
      <c r="AI197" s="48" t="str">
        <f t="shared" ca="1" si="441"/>
        <v>COSTI DELLE MATERIE</v>
      </c>
      <c r="AJ197" s="48" t="str">
        <f ca="1">IFERROR(INDEX($A$3:$H$400,MATCH(ROWS(AJ$3:AJ197),$Q$3:$Q$400,0),8),"")</f>
        <v>eb6</v>
      </c>
      <c r="AK197" s="48">
        <f t="shared" ca="1" si="417"/>
        <v>0</v>
      </c>
      <c r="AL197" s="48">
        <f t="shared" ca="1" si="373"/>
        <v>0</v>
      </c>
      <c r="AM197" s="48">
        <f t="shared" ca="1" si="377"/>
        <v>0</v>
      </c>
      <c r="AN197" s="48">
        <f t="shared" ca="1" si="378"/>
        <v>0</v>
      </c>
      <c r="AO197" s="48">
        <f t="shared" ca="1" si="379"/>
        <v>0</v>
      </c>
      <c r="AP197" s="48">
        <f t="shared" ca="1" si="379"/>
        <v>0</v>
      </c>
      <c r="AQ197" s="48" t="str">
        <f t="shared" ca="1" si="418"/>
        <v/>
      </c>
      <c r="AR197" s="48">
        <f t="shared" ca="1" si="419"/>
        <v>0</v>
      </c>
      <c r="AS197" s="48">
        <f t="shared" ca="1" si="420"/>
        <v>0</v>
      </c>
      <c r="AT197" s="48">
        <f t="shared" ca="1" si="442"/>
        <v>0</v>
      </c>
      <c r="AU197" s="48">
        <f t="shared" ca="1" si="443"/>
        <v>0</v>
      </c>
      <c r="AV197" s="48">
        <f ca="1">IF(OR(AT197&gt;0,AU197&gt;0),MAX($AV$2:AV196)+1,0)</f>
        <v>0</v>
      </c>
      <c r="AZ197" s="241" t="str">
        <f t="shared" si="381"/>
        <v>97 V.I.</v>
      </c>
      <c r="BA197" s="48">
        <f t="shared" ca="1" si="369"/>
        <v>0</v>
      </c>
      <c r="BB197" s="48">
        <f t="shared" ca="1" si="370"/>
        <v>0</v>
      </c>
      <c r="BC197" s="48" t="str">
        <f t="shared" ca="1" si="382"/>
        <v/>
      </c>
      <c r="BD197" s="48">
        <f t="shared" ca="1" si="383"/>
        <v>0</v>
      </c>
      <c r="BE197" s="48">
        <f t="shared" ca="1" si="384"/>
        <v>0</v>
      </c>
      <c r="BG197" s="48">
        <f ca="1">IF(IF(AND(OR(INDEX(PDC,MATCH($AC197,DEN_PDC,0),6)="SP DARE",INDEX(PDC,MATCH($AC197,DEN_PDC,0),6)="SP DARE/AVERE"),SUMIFS(DARE,DEN_G,$AC197)&gt;=SUMIFS(AVERE,DEN_G,$AC197)),SUMIFS(DARE,DEN_G,$AC197)-SUMIFS(AVERE,DEN_G,$AC197),0)&gt;0,MAX($BG$2:BG196)+1,0)</f>
        <v>0</v>
      </c>
      <c r="BH197" s="48">
        <f ca="1">IF(IF(AND(OR(INDEX(PDC,MATCH($AC197,DEN_PDC,0),6)="SP AVERE",INDEX(PDC,MATCH($AC197,DEN_PDC,0),6)="SP DARE/AVERE"),SUMIFS(AVERE,DEN_G,$AC197)&gt;=SUMIFS(DARE,DEN_G,$AC197)),SUMIFS(AVERE,DEN_G,$AC197)-SUMIFS(DARE,DEN_G,$AC197),0)&gt;0,MAX(BH$2:BH196)+1,0)</f>
        <v>0</v>
      </c>
      <c r="BI197" s="48">
        <f ca="1">IF(IF(AND(OR(INDEX(PDC,MATCH($AC197,DEN_PDC,0),6)="SE DARE",INDEX(PDC,MATCH($AC197,DEN_PDC,0),6)="SE DARE/AVERE"),SUMIFS(DARE,DEN_G,$AC197)&gt;=SUMIFS(AVERE,DEN_G,$AC197)),SUMIFS(DARE,DEN_G,$AC197)-SUMIFS(AVERE,DEN_G,$AC197),0)&gt;0,MAX(BI$2:BI196)+1,0)</f>
        <v>0</v>
      </c>
      <c r="BJ197" s="48">
        <f ca="1">IF(IF(AND(OR(INDEX(PDC,MATCH($AC197,DEN_PDC,0),6)="SE AVERE",INDEX(PDC,MATCH($AC197,DEN_PDC,0),6)="SE DARE/AVERE"),SUMIFS(AVERE,DEN_G,$AC197)&gt;=SUMIFS(DARE,DEN_G,$AC197)),SUMIFS(AVERE,DEN_G,$AC197)-SUMIFS(DARE,DEN_G,$AC197),0)&gt;0,MAX(BJ$2:BJ196)+1,0)</f>
        <v>0</v>
      </c>
      <c r="BK197" s="48" t="str">
        <f ca="1">IF(AND(AND($DY$2=0,$DY$1=0),$I$1=2,ROW()&gt;$BG$1+2,ROW()&lt;=$BG$1+4),"………………..",IF(AND(OR($DY$2&gt;0,$DY$1&gt;0),$I$1=2,ROW()&gt;$BG$1+2,ROW()&lt;=$BG$1+4),"………………..",IFERROR(INDEX($AC$3:$AC$398,MATCH(ROWS(BK$3:BK197),BG$3:BG$398,0),1),"")))</f>
        <v/>
      </c>
      <c r="BL197" s="48">
        <f t="shared" ca="1" si="421"/>
        <v>0</v>
      </c>
      <c r="BM197" s="48" t="str">
        <f ca="1">IF(AND(OR($DY$2=0,$DY$1=0),$I$1=2,ROW()&gt;$BH$1+2,ROW()&lt;=$BH$1+4),"………………..",IF(AND(OR($DY$2&gt;0,$DY$1&gt;0),$I$1=2,ROW()&gt;$BH$1+2,ROW()&lt;=$BH$1+4),"………………..",IFERROR(INDEX($AC$3:$AC$400,MATCH(ROWS(BM$3:BM197),BH$3:BH$400,0),1),"")))</f>
        <v/>
      </c>
      <c r="BN197" s="48">
        <f t="shared" ca="1" si="422"/>
        <v>0</v>
      </c>
      <c r="BO197" s="48" t="str">
        <f ca="1">IF(AND(OR($DY$2=0,$DY$1=0),$I$1=2,ROW()&gt;$BI$1+2,ROW()&lt;=$BI$1+4),"………………..",IF(AND(OR($DY$2&gt;0,$DY$1&gt;0),$I$1=2,ROW()&gt;$BI$1+2,ROW()&lt;=$BI$1+4),"………………..",IFERROR(INDEX($AC$3:$AC$400,MATCH(ROWS(BO$3:BO197),BI$3:BI$400,0),1),"")))</f>
        <v/>
      </c>
      <c r="BP197" s="48">
        <f t="shared" ca="1" si="423"/>
        <v>0</v>
      </c>
      <c r="BQ197" s="48" t="str">
        <f ca="1">IF(AND(OR($DY$2=0,$DY$1=0),$I$1=2,ROW()&gt;$BJ$1+2,ROW()&lt;=$BJ$1+4),"………………..",IF(AND(OR($DY$2&gt;0,$DY$1&gt;0),$I$1=2,ROW()&gt;$BJ$1+2,ROW()&lt;=$BJ$1+4),"………………..",IFERROR(INDEX($AC$3:$AC$400,MATCH(ROWS(BQ$3:BQ197),BJ$3:BJ$400,0),1),"")))</f>
        <v/>
      </c>
      <c r="BR197" s="48">
        <f t="shared" ca="1" si="424"/>
        <v>0</v>
      </c>
      <c r="BS197" s="48">
        <f ca="1">IF(IF(AND(OR(INDEX(PDC,MATCH($AC197,DEN_PDC,0),4)="D",INDEX(PDC,MATCH($AC197,DEN_PDC,0),4)="D/A"),SUMIFS(DARE,DEN_G,$AC197)&gt;=SUMIFS(AVERE,DEN_G,$AC197)),SUMIFS(DARE,DEN_G,$AC197),IF(AND(OR(INDEX(PDC,MATCH($AC197,DEN_PDC,0),4)="A",INDEX(PDC,MATCH($AC197,DEN_PDC,0),4)="D/A"),SUMIFS(AVERE,DEN_G,$AC197)&gt;=SUMIFS(DARE,DEN_G,$AC197)),SUMIFS(AVERE,DEN_G,$AC197),))&gt;0,MAX($BS$2:BS196)+1,0)</f>
        <v>0</v>
      </c>
      <c r="BT197" s="48" t="str">
        <f ca="1">IF($CO$1=0,"",IF(AND($I$1=2,ROW()&gt;$BR$1,ROW()&lt;=$BS$1)," …………….",IF(AND($E$1=1,$BX$1=1,$I$1=2,ROW()=$BQ$1),"TOTALI",IFERROR(INDEX(PDC,MATCH(ROWS(BT$3:BT197),BS$3:BS594,0),2),""))))</f>
        <v/>
      </c>
      <c r="BU197" s="48">
        <f t="shared" ca="1" si="425"/>
        <v>0</v>
      </c>
      <c r="BV197" s="48">
        <f t="shared" ca="1" si="426"/>
        <v>0</v>
      </c>
      <c r="BW197" s="48">
        <f t="shared" ca="1" si="427"/>
        <v>0</v>
      </c>
      <c r="BX197" s="48">
        <f t="shared" ca="1" si="428"/>
        <v>0</v>
      </c>
      <c r="BY197" s="48">
        <f ca="1">IF(OR(BW197&gt;0,BX197&gt;0),MAX($BY$2:BY196)+1,0)</f>
        <v>0</v>
      </c>
      <c r="BZ197" s="48" t="str">
        <f ca="1">IFERROR(INDEX($BT$3:$BY$400,MATCH(ROWS(BZ$3:BZ197),$BY$3:$BY$400,0),1),"")</f>
        <v/>
      </c>
      <c r="CA197" s="48" t="str">
        <f ca="1">IFERROR(INDEX($BT$3:$BY$400,MATCH(ROWS(CA$3:CA197),$BY$3:$BY$400,0),4),"")</f>
        <v/>
      </c>
      <c r="CB197" s="48" t="str">
        <f ca="1">IFERROR(INDEX($BT$3:$BY$400,MATCH(ROWS(CB$3:CB197),$BY$3:$BY$400,0),5),"")</f>
        <v/>
      </c>
      <c r="CC197" s="48" t="str">
        <f t="shared" ca="1" si="429"/>
        <v/>
      </c>
      <c r="CD197" s="48">
        <f ca="1">IF(CE197&gt;0,MAX($CD$190:CD196)+1,0)</f>
        <v>0</v>
      </c>
      <c r="CE197" s="48">
        <f ca="1">IF(ROUND(SUMIFS(COPIA!$CB$3:$CB$400,COPIA!$CC$3:$CC$400,CF197)-SUMIFS(COPIA!$CA$3:$CA$400,COPIA!$CC$3:$CC$400,CF197),0)&lt;0,0,ROUND(SUMIFS(COPIA!$CB$3:$CB$400,COPIA!$CC$3:$CC$400,CF197)-SUMIFS(COPIA!$CA$3:$CA$400,COPIA!$CC$3:$CC$400,CF197),0))</f>
        <v>0</v>
      </c>
      <c r="CF197" s="48" t="s">
        <v>708</v>
      </c>
      <c r="CG197" s="242" t="s">
        <v>787</v>
      </c>
      <c r="CH197" s="48">
        <f t="shared" ca="1" si="416"/>
        <v>0</v>
      </c>
      <c r="CM197" s="242" t="str">
        <f t="shared" ca="1" si="444"/>
        <v/>
      </c>
      <c r="CN197" s="243">
        <f t="shared" ca="1" si="445"/>
        <v>0</v>
      </c>
      <c r="CO197" s="48" t="str">
        <f t="shared" ca="1" si="446"/>
        <v/>
      </c>
      <c r="CQ197" s="242"/>
      <c r="CR197" s="242"/>
      <c r="CU197" s="48">
        <f ca="1">IF(SUMIFS(AVERE,DEN_G,AC197,AVERE,"&gt;"&amp;0)+SUMIFS(DARE,DEN_G,AC197,DARE,"&gt;"&amp;0)&gt;0,MAX($CU$2:CU196)+1,0)</f>
        <v>0</v>
      </c>
      <c r="CV197" s="48" t="str">
        <f ca="1">IF(IFERROR(INDEX(PDC,MATCH(ROWS($CV$3:CV197),$CU$3:$CU$400,0),2),"")="CONTO DI RISULTATO ECONOMICO","",IFERROR(INDEX(PDC,MATCH(ROWS($CV$3:CV197),$CU$3:$CU$400,0),2),""))</f>
        <v/>
      </c>
      <c r="CW197" s="48">
        <f ca="1">IFERROR(IF(CV197&lt;&gt;"",MAX($CW$2:CW196)+1,0),0)</f>
        <v>0</v>
      </c>
      <c r="CY197" s="48" t="s">
        <v>500</v>
      </c>
      <c r="DB197" s="48" t="str">
        <f t="shared" ref="DB197" ca="1" si="468">IF(CX196=$DF$1,"","MASTRO")</f>
        <v>MASTRO</v>
      </c>
      <c r="DF197" s="48">
        <f ca="1">IF(AND(CX197=$DF$1,CX197&lt;&gt;""),0,IF(AND(DB197&lt;&gt;"",OR(DB196&lt;&gt;"",DB198&lt;&gt;"")),MAX($DF$2:DF196)+1,0))</f>
        <v>0</v>
      </c>
      <c r="DG197" s="48">
        <f t="shared" ref="DG197:DG199" ca="1" si="469">DG202</f>
        <v>0</v>
      </c>
      <c r="DH197" s="244" t="s">
        <v>286</v>
      </c>
      <c r="DI197" s="48" t="str">
        <f t="shared" ref="DI197:DI199" ca="1" si="470">IFERROR(IF(AND($DL$1=TRUE,DG197&lt;&gt;0),CONCATENATE("SOCIO ",DG197," C/UTILI"),IF(AND($DL$1=FALSE,DG197&lt;&gt;0),CONCATENATE("AZIONISTA ",DG197," C/DIVIDENDI"),"")),"")</f>
        <v/>
      </c>
      <c r="DJ197" s="48" t="s">
        <v>312</v>
      </c>
      <c r="DK197" s="48" t="s">
        <v>298</v>
      </c>
      <c r="DL197" s="48" t="s">
        <v>5</v>
      </c>
      <c r="DM197" s="48" t="s">
        <v>299</v>
      </c>
      <c r="DN197" s="48">
        <f ca="1">IF(DI197&lt;&gt;"",MAX($DN$2:DN196)+1,0)</f>
        <v>0</v>
      </c>
      <c r="DO197" s="48" t="str">
        <f t="shared" ca="1" si="403"/>
        <v>ppd</v>
      </c>
      <c r="DP197" s="48">
        <f t="shared" ref="DP197:DP199" ca="1" si="471">DP6</f>
        <v>0</v>
      </c>
      <c r="DQ197" s="227" t="s">
        <v>418</v>
      </c>
      <c r="DR197" s="48" t="str">
        <f ca="1">IFERROR(IF(DP197&lt;&gt;0,CONCATENATE("SOCIO ",DP197," C/LIQUIDAZIONE"),""),"")</f>
        <v/>
      </c>
      <c r="DS197" s="48" t="s">
        <v>312</v>
      </c>
      <c r="DT197" s="48" t="s">
        <v>298</v>
      </c>
      <c r="DU197" s="48" t="s">
        <v>5</v>
      </c>
      <c r="DV197" s="48" t="s">
        <v>299</v>
      </c>
      <c r="DW197" s="48">
        <f ca="1">IF(DR197&lt;&gt;"",MAX($DW$2:DW196)+1,0)</f>
        <v>0</v>
      </c>
      <c r="DX197" s="48" t="str">
        <f t="shared" ca="1" si="401"/>
        <v>ppd</v>
      </c>
      <c r="DY197" s="48" t="str">
        <f t="shared" ca="1" si="430"/>
        <v/>
      </c>
      <c r="DZ197" s="48" t="str">
        <f t="shared" ca="1" si="447"/>
        <v/>
      </c>
      <c r="EA197" s="48" t="str">
        <f t="shared" ca="1" si="448"/>
        <v/>
      </c>
      <c r="EB197" s="48">
        <f t="shared" ca="1" si="449"/>
        <v>0</v>
      </c>
      <c r="EC197" s="48">
        <f t="shared" ca="1" si="450"/>
        <v>0</v>
      </c>
      <c r="ED197" s="48" t="str">
        <f t="shared" ca="1" si="451"/>
        <v/>
      </c>
      <c r="EE197" s="48">
        <f t="shared" ca="1" si="452"/>
        <v>0</v>
      </c>
      <c r="EF197" s="48" t="str">
        <f t="shared" ca="1" si="453"/>
        <v/>
      </c>
      <c r="EG197" s="48">
        <f t="shared" ca="1" si="454"/>
        <v>0</v>
      </c>
      <c r="EH197" s="48" t="str">
        <f t="shared" ca="1" si="455"/>
        <v/>
      </c>
      <c r="EI197" s="48">
        <f t="shared" ca="1" si="456"/>
        <v>0</v>
      </c>
      <c r="EJ197" s="48" t="str">
        <f t="shared" ca="1" si="457"/>
        <v/>
      </c>
      <c r="EK197" s="48">
        <f t="shared" ca="1" si="458"/>
        <v>0</v>
      </c>
      <c r="EL197" s="48">
        <f t="shared" ca="1" si="431"/>
        <v>0</v>
      </c>
      <c r="EM197" s="48">
        <f ca="1">IF(EL197&gt;=0,0,MAX($EM$2:EM196)+1)</f>
        <v>0</v>
      </c>
      <c r="EN197" s="48" t="str">
        <f t="shared" ca="1" si="459"/>
        <v/>
      </c>
      <c r="EO197" s="48" t="str">
        <f ca="1">IFERROR(INDEX($EM$3:$EN$400,MATCH(ROWS($EO$3:EO197),$EM$3:$EM$400,0),2),"")</f>
        <v/>
      </c>
      <c r="EP197" s="48">
        <f>ROW()</f>
        <v>197</v>
      </c>
      <c r="EQ197" s="48">
        <f t="shared" ca="1" si="432"/>
        <v>0</v>
      </c>
      <c r="ER197" s="48">
        <f ca="1">IF(ISNA(EQ197)=TRUE,MAX($ER$2:ER196)+1,0)</f>
        <v>0</v>
      </c>
      <c r="ES197" s="48" t="str">
        <f t="shared" ca="1" si="460"/>
        <v/>
      </c>
      <c r="ET197" s="48" t="str">
        <f ca="1">IFERROR(INDEX($ER$3:$ES$400,MATCH(ROWS($ET$3:ET197),$ER$3:$ER$400,0),2),"")</f>
        <v/>
      </c>
      <c r="EV197" s="48">
        <f ca="1">IFERROR(INDEX(LIBRO_GIORNALE!$O$11:$P$408,MATCH(ROWS($EV$2:EV196),LIBRO_GIORNALE!$P$11:$P$408,0),1),0)</f>
        <v>0</v>
      </c>
      <c r="EW197" s="48" t="str">
        <f t="shared" ca="1" si="461"/>
        <v>0</v>
      </c>
      <c r="EX197" s="48">
        <f t="shared" ca="1" si="462"/>
        <v>0</v>
      </c>
      <c r="EY197" s="48">
        <f ca="1">IF(EX197&gt;0,MAX($EY$2:EY196)+1,0)</f>
        <v>0</v>
      </c>
      <c r="EZ197" s="48">
        <f ca="1">IFERROR(INDEX($EX$3:$EX$400,MATCH(ROWS($EZ$3:EZ197),$EY$3:$EY$400,0),1),0)</f>
        <v>0</v>
      </c>
      <c r="FA197" s="48">
        <f ca="1">IF(EZ197&gt;0,0,MAX($FA$2:FA196)+1)</f>
        <v>195</v>
      </c>
      <c r="FB197" s="48">
        <f t="shared" ca="1" si="463"/>
        <v>0</v>
      </c>
      <c r="FC197" s="48">
        <f t="shared" ca="1" si="464"/>
        <v>195</v>
      </c>
      <c r="FD197" s="48">
        <f t="shared" ca="1" si="465"/>
        <v>195</v>
      </c>
      <c r="FE197" s="48">
        <f ca="1">IF(FD197=0,0,MAX($FE$2:FE196)+1)</f>
        <v>195</v>
      </c>
      <c r="FF197" s="48">
        <f ca="1">IFERROR(INDEX($FD$3:$FE$400,MATCH(ROWS($FF$3:FF197),$FE$3:$FE$400,0),1),"")</f>
        <v>195</v>
      </c>
      <c r="FG197" s="48">
        <f t="shared" ca="1" si="380"/>
        <v>0</v>
      </c>
      <c r="FH197" s="48">
        <f t="shared" ca="1" si="466"/>
        <v>0</v>
      </c>
      <c r="FI197" s="48">
        <f ca="1">IF(FH197&lt;&gt;0,MAX($FI$2:FI196)+1,0)</f>
        <v>0</v>
      </c>
      <c r="FJ197" s="48" t="str">
        <f ca="1">IFERROR(INDEX($FH$3:$FI$400,MATCH(ROWS($FJ$3:FJ197),$FI$3:$FI$400,0),1),"")</f>
        <v/>
      </c>
      <c r="FK197" s="48">
        <f ca="1">IF(ABS(SUMIFS(DARE,DEN_G,"="&amp;FJ197,DATA,"&lt;="&amp;FINE_AC,DATA,"&gt;="&amp;INIZIO_A_PC)-SUMIFS(AVERE,DEN_G,"="&amp;FJ197,DATA,"&lt;="&amp;FINE_AC,DATA,"&gt;="&amp;INIZIO_A_PC))&gt;0,MAX($FK$2:FK196)+1,0)</f>
        <v>0</v>
      </c>
      <c r="FL197" s="48" t="str">
        <f ca="1">IF(AND(ROW()-2&lt;&gt;1,ROW()-2&lt;=$FK$1),CONCATENATE(" - ",IFERROR(INDEX($FJ$3:$FK$400,MATCH(ROWS($FL$3:FL197),$FK$3:$FK$400,0),1),"")),IFERROR(INDEX($FJ$3:$FK$400,MATCH(ROWS($FL$3:FL197),$FK$3:$FK$400,0),1),""))</f>
        <v/>
      </c>
      <c r="FM197" s="48">
        <f ca="1">IF(OR(B197="IVA ns/credito",B197="IVA NS/DEBITO",B197="IVA C/ACCONTO",B197="IMPOSTE C/ACCONTO",B197="CREDITI PER RITENUTE SUBITE",B197="CREDITI D'IMPOSTA"),MAX($FM$2:FM196)+1,0)</f>
        <v>0</v>
      </c>
      <c r="FN197" s="48" t="str">
        <f t="shared" ca="1" si="467"/>
        <v/>
      </c>
      <c r="FO197" s="48" t="str">
        <f ca="1">IFERROR(INDEX($FM$3:$FN$400,MATCH(ROWS($FO$3:FO197),$FM$3:$FM$400,0),2),"")</f>
        <v/>
      </c>
      <c r="FP197" s="48">
        <f ca="1">IF(ABS(SUMIFS(DARE,DEN_G,"="&amp;FO197,DATA,"&lt;="&amp;FINE_AC,DATA,"&gt;="&amp;INIZIO_A_PC)-SUMIFS(AVERE,DEN_G,"="&amp;FO197,DATA,"&lt;="&amp;FINE_AC,DATA,"&gt;="&amp;INIZIO_A_PC))&gt;0,MAX($FP$2:FP196)+1,0)</f>
        <v>0</v>
      </c>
      <c r="FQ197" s="48" t="str">
        <f ca="1">IF(AND(ROW()-2&lt;&gt;1,ROW()-2&lt;=$FP$1),CONCATENATE(" - ",IFERROR(INDEX($FO$3:$FP$400,MATCH(ROWS($FQ$3:FQ197),$FP$3:$FP$400,0),1),"")),IFERROR(INDEX($FO$3:$FP$400,MATCH(ROWS($FQ$3:FQ197),$FP$3:$FP$400,0),1),""))</f>
        <v/>
      </c>
    </row>
    <row r="198" spans="1:173" x14ac:dyDescent="0.3">
      <c r="A198" s="48" t="str">
        <f ca="1">IFERROR(IF($A$1=2,INDEX($DH$3:$DN$401,MATCH(ROWS(A$3:A198),$DN$3:$DN$401,0),COLUMN()),IF($A$1=1,INDEX($DQ$3:$DW$401,MATCH(ROWS(A$3:A198),$DW$3:$DW$401,0),COLUMN()),"")),"")</f>
        <v>20.32</v>
      </c>
      <c r="B198" s="48" t="str">
        <f ca="1">IFERROR(IF($A$1=2,INDEX($DH$3:$DN$401,MATCH(ROWS(B$3:B198),$DN$3:$DN$401,0),COLUMN()),IF($A$1=1,INDEX($DQ$3:$DW$400,MATCH(ROWS(B$3:B198),$DW$3:$DW$401,0),COLUMN()),"")),"")</f>
        <v>FITTI ATTIVI</v>
      </c>
      <c r="C198" s="48" t="str">
        <f ca="1">IFERROR(IF($A$1=2,INDEX($DH$3:$DN$401,MATCH(ROWS(C$3:C198),$DN$3:$DN$401,0),COLUMN()),IF($A$1=1,INDEX($DQ$3:$DW$401,MATCH(ROWS(C$3:C198),$DW$3:$DW$401,0),COLUMN()),"")),"")</f>
        <v>E</v>
      </c>
      <c r="D198" s="48" t="str">
        <f ca="1">IFERROR(IF($A$1=2,INDEX($DH$3:$DN$401,MATCH(ROWS(D$3:D198),$DN$3:$DN$401,0),COLUMN()),IF($A$1=1,INDEX($DQ$3:$DW$401,MATCH(ROWS(D$3:D198),$DW$3:$DW$401,0),COLUMN()),"")),"")</f>
        <v>A</v>
      </c>
      <c r="E198" s="48" t="str">
        <f ca="1">IFERROR(IF($A$1=2,INDEX($DH$3:$DN$401,MATCH(ROWS(E$3:E198),$DN$3:$DN$401,0),COLUMN()),IF($A$1=1,INDEX($DQ$3:$DW$401,MATCH(ROWS(E$3:E198),$DW$3:$DW$401,0),COLUMN()),"")),"")</f>
        <v>RICAVI D'ESERCIZIO</v>
      </c>
      <c r="F198" s="48" t="str">
        <f ca="1">IFERROR(IF($A$1=2,INDEX($DH$3:$DN$401,MATCH(ROWS(F$3:F198),$DN$3:$DN$401,0),COLUMN()),IF($A$1=1,INDEX($DQ$3:$DX$401,MATCH(ROWS(F$3:F198),$DW$3:$DW$401,0),COLUMN()),"")),"")</f>
        <v>SE AVERE</v>
      </c>
      <c r="G198" s="48" t="str">
        <f t="shared" ca="1" si="433"/>
        <v>SE</v>
      </c>
      <c r="H198" s="48" t="str">
        <f ca="1">IFERROR(IF($A$1=2,INDEX($DH$3:$DO$400,MATCH(ROWS(H$3:H198),$DN$3:$DN$400,0),COLUMN()),IF($A$1=1,INDEX($DQ$3:$DX$400,MATCH(ROWS(H$3:H198),$DW$3:$DW$400,0),COLUMN()),"")),"")</f>
        <v>ea5</v>
      </c>
      <c r="I198" s="48" t="str">
        <f t="shared" ca="1" si="434"/>
        <v/>
      </c>
      <c r="J198" s="48" t="str">
        <f t="shared" ca="1" si="435"/>
        <v/>
      </c>
      <c r="K198" s="48">
        <f t="shared" ca="1" si="436"/>
        <v>0</v>
      </c>
      <c r="L198" s="48">
        <f t="shared" ca="1" si="437"/>
        <v>0</v>
      </c>
      <c r="M198" s="48">
        <f ca="1">IFERROR(IF(IF(MID($A198,3,3)=".00",MID(A198,1,2),"")&lt;&gt;"",MAX($M$2:M197)+1,0),"")</f>
        <v>0</v>
      </c>
      <c r="N198" s="48" t="str">
        <f t="shared" ca="1" si="438"/>
        <v/>
      </c>
      <c r="O198" s="48" t="str">
        <f ca="1">IF(IFERROR(INDEX($N$3:$O$300,MATCH(ROWS($O$3:O198),$M$3:$M$300,0),1),"")&lt;&gt;"",CONCATENATE(INDEX($N$3:$O$300,MATCH(ROWS($O$3:O198),$M$3:$M$300,0),1),".00"),"")</f>
        <v/>
      </c>
      <c r="P198" s="48" t="str">
        <f t="shared" ca="1" si="439"/>
        <v/>
      </c>
      <c r="Q198" s="48">
        <f ca="1">IF(M198&gt;=1,0,MAX($Q$2:Q197)+1)</f>
        <v>176</v>
      </c>
      <c r="U198" s="48" t="str">
        <f ca="1">IFERROR(INDEX(PDC,MATCH(ROWS(U$3:U198),$V$3:$V$400,0),2),"")</f>
        <v>RESI SU ACQUISTI</v>
      </c>
      <c r="V198" s="48">
        <f ca="1">IF(AND($T$1="VISUALIZZA TUTTI I CONTI",AA198&lt;&gt;""),MAX($V$2:V197)+1,IF(AND($U$2=2,AI198=$T$1),MAX($V$2:V197)+1,IF(AND($U$2=1,$T$1=AF198),MAX($V$2:V197)+1,0)))</f>
        <v>196</v>
      </c>
      <c r="AA198" s="48" t="str">
        <f t="shared" ca="1" si="440"/>
        <v>30.00</v>
      </c>
      <c r="AB198" s="48" t="str">
        <f ca="1">IFERROR(INDEX($A$3:$G$400,MATCH(ROWS(AB$3:AB198),$Q$3:$Q$400,0),1),"")</f>
        <v>30.10</v>
      </c>
      <c r="AC198" s="48" t="str">
        <f ca="1">IFERROR(INDEX($A$3:$G$400,MATCH(ROWS($AC$3:AC198),$Q$3:$Q$400,0),2),"")</f>
        <v>RESI SU ACQUISTI</v>
      </c>
      <c r="AD198" s="48" t="str">
        <f ca="1">IFERROR(INDEX($A$3:$G$400,MATCH(ROWS(AD$3:AD198),$Q$3:$Q$400,0),3),"")</f>
        <v>E</v>
      </c>
      <c r="AE198" s="48" t="str">
        <f ca="1">IFERROR(INDEX($A$3:$G$400,MATCH(ROWS(AE$3:AE198),$Q$3:$Q$400,0),4),"")</f>
        <v>A</v>
      </c>
      <c r="AF198" s="48" t="str">
        <f ca="1">IFERROR(INDEX($A$3:$G$400,MATCH(ROWS(AF$3:AF198),$Q$3:$Q$400,0),5),"")</f>
        <v>RETTIFICHE COSTI D'ESERCIZIO</v>
      </c>
      <c r="AG198" s="48" t="str">
        <f ca="1">IFERROR(INDEX($A$3:$G$400,MATCH(ROWS(AG$3:AG198),$Q$3:$Q$400,0),6),"")</f>
        <v>SE AVERE</v>
      </c>
      <c r="AH198" s="48" t="str">
        <f ca="1">IFERROR(INDEX($A$3:$G$400,MATCH(ROWS(AH$3:AH198),$Q$3:$Q$400,0),7),"")</f>
        <v>SE</v>
      </c>
      <c r="AI198" s="48" t="str">
        <f t="shared" ca="1" si="441"/>
        <v>COSTI DELLE MATERIE</v>
      </c>
      <c r="AJ198" s="48" t="str">
        <f ca="1">IFERROR(INDEX($A$3:$H$400,MATCH(ROWS(AJ$3:AJ198),$Q$3:$Q$400,0),8),"")</f>
        <v>eb6</v>
      </c>
      <c r="AK198" s="48">
        <f t="shared" ca="1" si="417"/>
        <v>0</v>
      </c>
      <c r="AL198" s="48">
        <f t="shared" ca="1" si="373"/>
        <v>0</v>
      </c>
      <c r="AM198" s="48">
        <f t="shared" ca="1" si="377"/>
        <v>0</v>
      </c>
      <c r="AN198" s="48">
        <f t="shared" ca="1" si="378"/>
        <v>0</v>
      </c>
      <c r="AO198" s="48">
        <f t="shared" ca="1" si="379"/>
        <v>0</v>
      </c>
      <c r="AP198" s="48">
        <f t="shared" ca="1" si="379"/>
        <v>0</v>
      </c>
      <c r="AQ198" s="48" t="str">
        <f t="shared" ca="1" si="418"/>
        <v/>
      </c>
      <c r="AR198" s="48">
        <f t="shared" ca="1" si="419"/>
        <v>0</v>
      </c>
      <c r="AS198" s="48">
        <f t="shared" ca="1" si="420"/>
        <v>0</v>
      </c>
      <c r="AT198" s="48">
        <f t="shared" ca="1" si="442"/>
        <v>0</v>
      </c>
      <c r="AU198" s="48">
        <f t="shared" ca="1" si="443"/>
        <v>0</v>
      </c>
      <c r="AV198" s="48">
        <f ca="1">IF(OR(AT198&gt;0,AU198&gt;0),MAX($AV$2:AV197)+1,0)</f>
        <v>0</v>
      </c>
      <c r="AZ198" s="241" t="str">
        <f>CONCATENATE(ROW()-100," V.I.")</f>
        <v>98 V.I.</v>
      </c>
      <c r="BA198" s="48">
        <f t="shared" ca="1" si="369"/>
        <v>0</v>
      </c>
      <c r="BB198" s="48">
        <f t="shared" ca="1" si="370"/>
        <v>0</v>
      </c>
      <c r="BC198" s="48" t="str">
        <f t="shared" ca="1" si="382"/>
        <v/>
      </c>
      <c r="BD198" s="48">
        <f t="shared" ca="1" si="383"/>
        <v>0</v>
      </c>
      <c r="BE198" s="48">
        <f t="shared" ca="1" si="384"/>
        <v>0</v>
      </c>
      <c r="BG198" s="48">
        <f ca="1">IF(IF(AND(OR(INDEX(PDC,MATCH($AC198,DEN_PDC,0),6)="SP DARE",INDEX(PDC,MATCH($AC198,DEN_PDC,0),6)="SP DARE/AVERE"),SUMIFS(DARE,DEN_G,$AC198)&gt;=SUMIFS(AVERE,DEN_G,$AC198)),SUMIFS(DARE,DEN_G,$AC198)-SUMIFS(AVERE,DEN_G,$AC198),0)&gt;0,MAX($BG$2:BG197)+1,0)</f>
        <v>0</v>
      </c>
      <c r="BH198" s="48">
        <f ca="1">IF(IF(AND(OR(INDEX(PDC,MATCH($AC198,DEN_PDC,0),6)="SP AVERE",INDEX(PDC,MATCH($AC198,DEN_PDC,0),6)="SP DARE/AVERE"),SUMIFS(AVERE,DEN_G,$AC198)&gt;=SUMIFS(DARE,DEN_G,$AC198)),SUMIFS(AVERE,DEN_G,$AC198)-SUMIFS(DARE,DEN_G,$AC198),0)&gt;0,MAX(BH$2:BH197)+1,0)</f>
        <v>0</v>
      </c>
      <c r="BI198" s="48">
        <f ca="1">IF(IF(AND(OR(INDEX(PDC,MATCH($AC198,DEN_PDC,0),6)="SE DARE",INDEX(PDC,MATCH($AC198,DEN_PDC,0),6)="SE DARE/AVERE"),SUMIFS(DARE,DEN_G,$AC198)&gt;=SUMIFS(AVERE,DEN_G,$AC198)),SUMIFS(DARE,DEN_G,$AC198)-SUMIFS(AVERE,DEN_G,$AC198),0)&gt;0,MAX(BI$2:BI197)+1,0)</f>
        <v>0</v>
      </c>
      <c r="BJ198" s="48">
        <f ca="1">IF(IF(AND(OR(INDEX(PDC,MATCH($AC198,DEN_PDC,0),6)="SE AVERE",INDEX(PDC,MATCH($AC198,DEN_PDC,0),6)="SE DARE/AVERE"),SUMIFS(AVERE,DEN_G,$AC198)&gt;=SUMIFS(DARE,DEN_G,$AC198)),SUMIFS(AVERE,DEN_G,$AC198)-SUMIFS(DARE,DEN_G,$AC198),0)&gt;0,MAX(BJ$2:BJ197)+1,0)</f>
        <v>0</v>
      </c>
      <c r="BK198" s="48" t="str">
        <f ca="1">IF(AND(AND($DY$2=0,$DY$1=0),$I$1=2,ROW()&gt;$BG$1+2,ROW()&lt;=$BG$1+4),"………………..",IF(AND(OR($DY$2&gt;0,$DY$1&gt;0),$I$1=2,ROW()&gt;$BG$1+2,ROW()&lt;=$BG$1+4),"………………..",IFERROR(INDEX($AC$3:$AC$398,MATCH(ROWS(BK$3:BK198),BG$3:BG$398,0),1),"")))</f>
        <v/>
      </c>
      <c r="BL198" s="48">
        <f t="shared" ca="1" si="421"/>
        <v>0</v>
      </c>
      <c r="BM198" s="48" t="str">
        <f ca="1">IF(AND(OR($DY$2=0,$DY$1=0),$I$1=2,ROW()&gt;$BH$1+2,ROW()&lt;=$BH$1+4),"………………..",IF(AND(OR($DY$2&gt;0,$DY$1&gt;0),$I$1=2,ROW()&gt;$BH$1+2,ROW()&lt;=$BH$1+4),"………………..",IFERROR(INDEX($AC$3:$AC$400,MATCH(ROWS(BM$3:BM198),BH$3:BH$400,0),1),"")))</f>
        <v/>
      </c>
      <c r="BN198" s="48">
        <f t="shared" ca="1" si="422"/>
        <v>0</v>
      </c>
      <c r="BO198" s="48" t="str">
        <f ca="1">IF(AND(OR($DY$2=0,$DY$1=0),$I$1=2,ROW()&gt;$BI$1+2,ROW()&lt;=$BI$1+4),"………………..",IF(AND(OR($DY$2&gt;0,$DY$1&gt;0),$I$1=2,ROW()&gt;$BI$1+2,ROW()&lt;=$BI$1+4),"………………..",IFERROR(INDEX($AC$3:$AC$400,MATCH(ROWS(BO$3:BO198),BI$3:BI$400,0),1),"")))</f>
        <v/>
      </c>
      <c r="BP198" s="48">
        <f t="shared" ca="1" si="423"/>
        <v>0</v>
      </c>
      <c r="BQ198" s="48" t="str">
        <f ca="1">IF(AND(OR($DY$2=0,$DY$1=0),$I$1=2,ROW()&gt;$BJ$1+2,ROW()&lt;=$BJ$1+4),"………………..",IF(AND(OR($DY$2&gt;0,$DY$1&gt;0),$I$1=2,ROW()&gt;$BJ$1+2,ROW()&lt;=$BJ$1+4),"………………..",IFERROR(INDEX($AC$3:$AC$400,MATCH(ROWS(BQ$3:BQ198),BJ$3:BJ$400,0),1),"")))</f>
        <v/>
      </c>
      <c r="BR198" s="48">
        <f t="shared" ca="1" si="424"/>
        <v>0</v>
      </c>
      <c r="BS198" s="48">
        <f ca="1">IF(IF(AND(OR(INDEX(PDC,MATCH($AC198,DEN_PDC,0),4)="D",INDEX(PDC,MATCH($AC198,DEN_PDC,0),4)="D/A"),SUMIFS(DARE,DEN_G,$AC198)&gt;=SUMIFS(AVERE,DEN_G,$AC198)),SUMIFS(DARE,DEN_G,$AC198),IF(AND(OR(INDEX(PDC,MATCH($AC198,DEN_PDC,0),4)="A",INDEX(PDC,MATCH($AC198,DEN_PDC,0),4)="D/A"),SUMIFS(AVERE,DEN_G,$AC198)&gt;=SUMIFS(DARE,DEN_G,$AC198)),SUMIFS(AVERE,DEN_G,$AC198),))&gt;0,MAX($BS$2:BS197)+1,0)</f>
        <v>0</v>
      </c>
      <c r="BT198" s="48" t="str">
        <f ca="1">IF($CO$1=0,"",IF(AND($I$1=2,ROW()&gt;$BR$1,ROW()&lt;=$BS$1)," …………….",IF(AND($E$1=1,$BX$1=1,$I$1=2,ROW()=$BQ$1),"TOTALI",IFERROR(INDEX(PDC,MATCH(ROWS(BT$3:BT198),BS$3:BS595,0),2),""))))</f>
        <v/>
      </c>
      <c r="BU198" s="48">
        <f t="shared" ca="1" si="425"/>
        <v>0</v>
      </c>
      <c r="BV198" s="48">
        <f t="shared" ca="1" si="426"/>
        <v>0</v>
      </c>
      <c r="BW198" s="48">
        <f t="shared" ca="1" si="427"/>
        <v>0</v>
      </c>
      <c r="BX198" s="48">
        <f t="shared" ca="1" si="428"/>
        <v>0</v>
      </c>
      <c r="BY198" s="48">
        <f ca="1">IF(OR(BW198&gt;0,BX198&gt;0),MAX($BY$2:BY197)+1,0)</f>
        <v>0</v>
      </c>
      <c r="BZ198" s="48" t="str">
        <f ca="1">IFERROR(INDEX($BT$3:$BY$400,MATCH(ROWS(BZ$3:BZ198),$BY$3:$BY$400,0),1),"")</f>
        <v/>
      </c>
      <c r="CA198" s="48" t="str">
        <f ca="1">IFERROR(INDEX($BT$3:$BY$400,MATCH(ROWS(CA$3:CA198),$BY$3:$BY$400,0),4),"")</f>
        <v/>
      </c>
      <c r="CB198" s="48" t="str">
        <f ca="1">IFERROR(INDEX($BT$3:$BY$400,MATCH(ROWS(CB$3:CB198),$BY$3:$BY$400,0),5),"")</f>
        <v/>
      </c>
      <c r="CC198" s="48" t="str">
        <f t="shared" ca="1" si="429"/>
        <v/>
      </c>
      <c r="CD198" s="48">
        <f ca="1">IF(CI198&gt;0,MAX($CD$190:CD197)+1,0)</f>
        <v>0</v>
      </c>
      <c r="CG198" s="242" t="str">
        <f ca="1">IF(CI198&gt;0,CONCATENATE("____di cui contributi in conto esercizio ",FIXED(CI198,2,),""),"")</f>
        <v/>
      </c>
      <c r="CI198" s="48">
        <f ca="1">IF($A$1=1,0,SUMIFS(AVERE,CODICE_BILANCIO,"="&amp;"20.33")-SUMIFS(DARE,CODICE_BILANCIO,"="&amp;"20.33"))</f>
        <v>0</v>
      </c>
      <c r="CM198" s="242" t="str">
        <f t="shared" ca="1" si="444"/>
        <v/>
      </c>
      <c r="CN198" s="243">
        <f t="shared" ca="1" si="445"/>
        <v>0</v>
      </c>
      <c r="CO198" s="48" t="str">
        <f t="shared" ca="1" si="446"/>
        <v/>
      </c>
      <c r="CQ198" s="242"/>
      <c r="CR198" s="242"/>
      <c r="CU198" s="48">
        <f ca="1">IF(SUMIFS(AVERE,DEN_G,AC198,AVERE,"&gt;"&amp;0)+SUMIFS(DARE,DEN_G,AC198,DARE,"&gt;"&amp;0)&gt;0,MAX($CU$2:CU197)+1,0)</f>
        <v>0</v>
      </c>
      <c r="CV198" s="48" t="str">
        <f ca="1">IF(IFERROR(INDEX(PDC,MATCH(ROWS($CV$3:CV198),$CU$3:$CU$400,0),2),"")="CONTO DI RISULTATO ECONOMICO","",IFERROR(INDEX(PDC,MATCH(ROWS($CV$3:CV198),$CU$3:$CU$400,0),2),""))</f>
        <v/>
      </c>
      <c r="CW198" s="48">
        <f ca="1">IFERROR(IF(CV198&lt;&gt;"",MAX($CW$2:CW197)+1,0),0)</f>
        <v>0</v>
      </c>
      <c r="CX198" s="48">
        <f ca="1">$FF$18</f>
        <v>16</v>
      </c>
      <c r="CY198" s="48" t="str">
        <f t="shared" ref="CY198:CY209" ca="1" si="472">IF(ISERROR(INDEX($CV$3:$CX$1302,MATCH(CX198,$CW$3:$CW$1302,0),1)),"MASTRO",INDEX($CV$3:$CX$1302,MATCH(CX198,$CW$3:$CW$1302,0),1))</f>
        <v>MASTRO</v>
      </c>
      <c r="DA198" s="48" t="str">
        <f>IF(CY197="MASTRO","Conto n.","")</f>
        <v>Conto n.</v>
      </c>
      <c r="DB198" s="48" t="str">
        <f ca="1">IF(CY198=0,"",INDEX(PDC,MATCH(DC198,DEN_PDC,0),1))</f>
        <v/>
      </c>
      <c r="DC198" s="48" t="str">
        <f ca="1">IF(OR(CY198=0,CY198="mastro"),"",CY198)</f>
        <v/>
      </c>
      <c r="DD198" s="48" t="str">
        <f ca="1">IF(AND($DA$2=TRUE,OR(INDEX(PDC,MATCH($DC198,DEN_PDC,0),4)="A",INDEX(PDC,MATCH($DC198,DEN_PDC,0),4)="D/A"),SUMIFS(AVERE,DEN_G,"="&amp;$DC198,DATA,"&lt;="&amp;FINE_AC,DATA,"&gt;="&amp;INIZIO_AC)&gt;SUMIFS(DARE,DEN_G,"="&amp;$DC198,DATA,"&lt;="&amp;FINE_AC,DATA,"&gt;="&amp;INIZIO_AC)),CONCATENATE("s ",FIXED(ABS(SUMIFS(AVERE,DEN_G,"="&amp;$DC198,DATA,"&lt;="&amp;FINE_AC,DATA,"&gt;="&amp;INIZIO_AC)-SUMIFS(DARE,DEN_G,"="&amp;$DC198,DATA,"&lt;="&amp;FINE_AC,DATA,"&gt;="&amp;INIZIO_AC)),2)),"")</f>
        <v/>
      </c>
      <c r="DE198" s="48" t="str">
        <f ca="1">IF(AND($DA$2=TRUE,OR(INDEX(PDC,MATCH($DC198,DEN_PDC,0),4)="D",INDEX(PDC,MATCH($DC198,DEN_PDC,0),4)="D/A"),SUMIFS(DARE,DEN_G,"="&amp;$DC198,DATA,"&lt;="&amp;FINE_AC,DATA,"&gt;="&amp;INIZIO_AC)&gt;SUMIFS(AVERE,DEN_G,"="&amp;$DC198,DATA,"&lt;="&amp;FINE_AC,DATA,"&gt;="&amp;INIZIO_AC)),CONCATENATE("s ",FIXED(ABS(SUMIFS(DARE,DEN_G,"="&amp;$DC198,DATA,"&lt;="&amp;FINE_AC,DATA,"&gt;="&amp;INIZIO_AC)-SUMIFS(AVERE,DEN_G,"="&amp;$DC198,DATA,"&lt;="&amp;FINE_AC,DATA,"&gt;="&amp;INIZIO_AC)),2)),"")</f>
        <v/>
      </c>
      <c r="DF198" s="48">
        <f ca="1">IF(AND(CX198=$DF$1,CX198&lt;&gt;""),0,IF(AND(DB198&lt;&gt;"",OR(DB197&lt;&gt;"",DB199&lt;&gt;"")),MAX($DF$2:DF197)+1,0))</f>
        <v>0</v>
      </c>
      <c r="DG198" s="48">
        <f t="shared" ca="1" si="469"/>
        <v>0</v>
      </c>
      <c r="DH198" s="244" t="s">
        <v>286</v>
      </c>
      <c r="DI198" s="48" t="str">
        <f t="shared" ca="1" si="470"/>
        <v/>
      </c>
      <c r="DJ198" s="48" t="s">
        <v>312</v>
      </c>
      <c r="DK198" s="48" t="s">
        <v>298</v>
      </c>
      <c r="DL198" s="48" t="s">
        <v>5</v>
      </c>
      <c r="DM198" s="48" t="s">
        <v>299</v>
      </c>
      <c r="DN198" s="48">
        <f ca="1">IF(DI198&lt;&gt;"",MAX($DN$2:DN197)+1,0)</f>
        <v>0</v>
      </c>
      <c r="DO198" s="48" t="str">
        <f t="shared" ca="1" si="403"/>
        <v>ppd</v>
      </c>
      <c r="DP198" s="48">
        <f t="shared" ca="1" si="471"/>
        <v>0</v>
      </c>
      <c r="DQ198" s="227" t="s">
        <v>496</v>
      </c>
      <c r="DR198" s="48" t="str">
        <f ca="1">IFERROR(IF(DP198&lt;&gt;0,CONCATENATE("SOCIO ",DP198," C/LIQUIDAZIONE"),""),"")</f>
        <v/>
      </c>
      <c r="DS198" s="48" t="s">
        <v>312</v>
      </c>
      <c r="DT198" s="48" t="s">
        <v>298</v>
      </c>
      <c r="DU198" s="48" t="s">
        <v>5</v>
      </c>
      <c r="DV198" s="48" t="s">
        <v>299</v>
      </c>
      <c r="DW198" s="48">
        <f ca="1">IF(DR198&lt;&gt;"",MAX($DW$2:DW197)+1,0)</f>
        <v>0</v>
      </c>
      <c r="DX198" s="48" t="str">
        <f t="shared" ca="1" si="401"/>
        <v>ppd</v>
      </c>
      <c r="DY198" s="48" t="str">
        <f t="shared" ca="1" si="430"/>
        <v/>
      </c>
      <c r="DZ198" s="48" t="str">
        <f t="shared" ca="1" si="447"/>
        <v/>
      </c>
      <c r="EA198" s="48" t="str">
        <f t="shared" ca="1" si="448"/>
        <v/>
      </c>
      <c r="EB198" s="48">
        <f t="shared" ca="1" si="449"/>
        <v>0</v>
      </c>
      <c r="EC198" s="48">
        <f t="shared" ca="1" si="450"/>
        <v>0</v>
      </c>
      <c r="ED198" s="48" t="str">
        <f t="shared" ca="1" si="451"/>
        <v/>
      </c>
      <c r="EE198" s="48">
        <f t="shared" ca="1" si="452"/>
        <v>0</v>
      </c>
      <c r="EF198" s="48" t="str">
        <f t="shared" ca="1" si="453"/>
        <v/>
      </c>
      <c r="EG198" s="48">
        <f t="shared" ca="1" si="454"/>
        <v>0</v>
      </c>
      <c r="EH198" s="48" t="str">
        <f t="shared" ca="1" si="455"/>
        <v/>
      </c>
      <c r="EI198" s="48">
        <f t="shared" ca="1" si="456"/>
        <v>0</v>
      </c>
      <c r="EJ198" s="48" t="str">
        <f t="shared" ca="1" si="457"/>
        <v/>
      </c>
      <c r="EK198" s="48">
        <f t="shared" ca="1" si="458"/>
        <v>0</v>
      </c>
      <c r="EL198" s="48">
        <f t="shared" ca="1" si="431"/>
        <v>0</v>
      </c>
      <c r="EM198" s="48">
        <f ca="1">IF(EL198&gt;=0,0,MAX($EM$2:EM197)+1)</f>
        <v>0</v>
      </c>
      <c r="EN198" s="48" t="str">
        <f t="shared" ca="1" si="459"/>
        <v/>
      </c>
      <c r="EO198" s="48" t="str">
        <f ca="1">IFERROR(INDEX($EM$3:$EN$400,MATCH(ROWS($EO$3:EO198),$EM$3:$EM$400,0),2),"")</f>
        <v/>
      </c>
      <c r="EP198" s="48">
        <f>ROW()</f>
        <v>198</v>
      </c>
      <c r="EQ198" s="48">
        <f t="shared" ca="1" si="432"/>
        <v>0</v>
      </c>
      <c r="ER198" s="48">
        <f ca="1">IF(ISNA(EQ198)=TRUE,MAX($ER$2:ER197)+1,0)</f>
        <v>0</v>
      </c>
      <c r="ES198" s="48" t="str">
        <f t="shared" ca="1" si="460"/>
        <v/>
      </c>
      <c r="ET198" s="48" t="str">
        <f ca="1">IFERROR(INDEX($ER$3:$ES$400,MATCH(ROWS($ET$3:ET198),$ER$3:$ER$400,0),2),"")</f>
        <v/>
      </c>
      <c r="EV198" s="48">
        <f ca="1">IFERROR(INDEX(LIBRO_GIORNALE!$O$11:$P$408,MATCH(ROWS($EV$2:EV197),LIBRO_GIORNALE!$P$11:$P$408,0),1),0)</f>
        <v>0</v>
      </c>
      <c r="EW198" s="48" t="str">
        <f t="shared" ca="1" si="461"/>
        <v>0</v>
      </c>
      <c r="EX198" s="48">
        <f t="shared" ca="1" si="462"/>
        <v>0</v>
      </c>
      <c r="EY198" s="48">
        <f ca="1">IF(EX198&gt;0,MAX($EY$2:EY197)+1,0)</f>
        <v>0</v>
      </c>
      <c r="EZ198" s="48">
        <f ca="1">IFERROR(INDEX($EX$3:$EX$400,MATCH(ROWS($EZ$3:EZ198),$EY$3:$EY$400,0),1),0)</f>
        <v>0</v>
      </c>
      <c r="FA198" s="48">
        <f ca="1">IF(EZ198&gt;0,0,MAX($FA$2:FA197)+1)</f>
        <v>196</v>
      </c>
      <c r="FB198" s="48">
        <f t="shared" ca="1" si="463"/>
        <v>0</v>
      </c>
      <c r="FC198" s="48">
        <f t="shared" ca="1" si="464"/>
        <v>196</v>
      </c>
      <c r="FD198" s="48">
        <f t="shared" ca="1" si="465"/>
        <v>196</v>
      </c>
      <c r="FE198" s="48">
        <f ca="1">IF(FD198=0,0,MAX($FE$2:FE197)+1)</f>
        <v>196</v>
      </c>
      <c r="FF198" s="48">
        <f ca="1">IFERROR(INDEX($FD$3:$FE$400,MATCH(ROWS($FF$3:FF198),$FE$3:$FE$400,0),1),"")</f>
        <v>196</v>
      </c>
      <c r="FG198" s="48">
        <f t="shared" ca="1" si="380"/>
        <v>0</v>
      </c>
      <c r="FH198" s="48">
        <f t="shared" ca="1" si="466"/>
        <v>0</v>
      </c>
      <c r="FI198" s="48">
        <f ca="1">IF(FH198&lt;&gt;0,MAX($FI$2:FI197)+1,0)</f>
        <v>0</v>
      </c>
      <c r="FJ198" s="48" t="str">
        <f ca="1">IFERROR(INDEX($FH$3:$FI$400,MATCH(ROWS($FJ$3:FJ198),$FI$3:$FI$400,0),1),"")</f>
        <v/>
      </c>
      <c r="FK198" s="48">
        <f ca="1">IF(ABS(SUMIFS(DARE,DEN_G,"="&amp;FJ198,DATA,"&lt;="&amp;FINE_AC,DATA,"&gt;="&amp;INIZIO_A_PC)-SUMIFS(AVERE,DEN_G,"="&amp;FJ198,DATA,"&lt;="&amp;FINE_AC,DATA,"&gt;="&amp;INIZIO_A_PC))&gt;0,MAX($FK$2:FK197)+1,0)</f>
        <v>0</v>
      </c>
      <c r="FL198" s="48" t="str">
        <f ca="1">IF(AND(ROW()-2&lt;&gt;1,ROW()-2&lt;=$FK$1),CONCATENATE(" - ",IFERROR(INDEX($FJ$3:$FK$400,MATCH(ROWS($FL$3:FL198),$FK$3:$FK$400,0),1),"")),IFERROR(INDEX($FJ$3:$FK$400,MATCH(ROWS($FL$3:FL198),$FK$3:$FK$400,0),1),""))</f>
        <v/>
      </c>
      <c r="FM198" s="48">
        <f ca="1">IF(OR(B198="IVA ns/credito",B198="IVA NS/DEBITO",B198="IVA C/ACCONTO",B198="IMPOSTE C/ACCONTO",B198="CREDITI PER RITENUTE SUBITE",B198="CREDITI D'IMPOSTA"),MAX($FM$2:FM197)+1,0)</f>
        <v>0</v>
      </c>
      <c r="FN198" s="48" t="str">
        <f t="shared" ca="1" si="467"/>
        <v/>
      </c>
      <c r="FO198" s="48" t="str">
        <f ca="1">IFERROR(INDEX($FM$3:$FN$400,MATCH(ROWS($FO$3:FO198),$FM$3:$FM$400,0),2),"")</f>
        <v/>
      </c>
      <c r="FP198" s="48">
        <f ca="1">IF(ABS(SUMIFS(DARE,DEN_G,"="&amp;FO198,DATA,"&lt;="&amp;FINE_AC,DATA,"&gt;="&amp;INIZIO_A_PC)-SUMIFS(AVERE,DEN_G,"="&amp;FO198,DATA,"&lt;="&amp;FINE_AC,DATA,"&gt;="&amp;INIZIO_A_PC))&gt;0,MAX($FP$2:FP197)+1,0)</f>
        <v>0</v>
      </c>
      <c r="FQ198" s="48" t="str">
        <f ca="1">IF(AND(ROW()-2&lt;&gt;1,ROW()-2&lt;=$FP$1),CONCATENATE(" - ",IFERROR(INDEX($FO$3:$FP$400,MATCH(ROWS($FQ$3:FQ198),$FP$3:$FP$400,0),1),"")),IFERROR(INDEX($FO$3:$FP$400,MATCH(ROWS($FQ$3:FQ198),$FP$3:$FP$400,0),1),""))</f>
        <v/>
      </c>
    </row>
    <row r="199" spans="1:173" x14ac:dyDescent="0.3">
      <c r="A199" s="48" t="str">
        <f ca="1">IFERROR(IF($A$1=2,INDEX($DH$3:$DN$401,MATCH(ROWS(A$3:A199),$DN$3:$DN$401,0),COLUMN()),IF($A$1=1,INDEX($DQ$3:$DW$401,MATCH(ROWS(A$3:A199),$DW$3:$DW$401,0),COLUMN()),"")),"")</f>
        <v>20.33</v>
      </c>
      <c r="B199" s="48" t="str">
        <f ca="1">IFERROR(IF($A$1=2,INDEX($DH$3:$DN$401,MATCH(ROWS(B$3:B199),$DN$3:$DN$401,0),COLUMN()),IF($A$1=1,INDEX($DQ$3:$DW$400,MATCH(ROWS(B$3:B199),$DW$3:$DW$401,0),COLUMN()),"")),"")</f>
        <v>CONTRIBUTI IN C/ESERCIZIO</v>
      </c>
      <c r="C199" s="48" t="str">
        <f ca="1">IFERROR(IF($A$1=2,INDEX($DH$3:$DN$401,MATCH(ROWS(C$3:C199),$DN$3:$DN$401,0),COLUMN()),IF($A$1=1,INDEX($DQ$3:$DW$401,MATCH(ROWS(C$3:C199),$DW$3:$DW$401,0),COLUMN()),"")),"")</f>
        <v>E</v>
      </c>
      <c r="D199" s="48" t="str">
        <f ca="1">IFERROR(IF($A$1=2,INDEX($DH$3:$DN$401,MATCH(ROWS(D$3:D199),$DN$3:$DN$401,0),COLUMN()),IF($A$1=1,INDEX($DQ$3:$DW$401,MATCH(ROWS(D$3:D199),$DW$3:$DW$401,0),COLUMN()),"")),"")</f>
        <v>A</v>
      </c>
      <c r="E199" s="48" t="str">
        <f ca="1">IFERROR(IF($A$1=2,INDEX($DH$3:$DN$401,MATCH(ROWS(E$3:E199),$DN$3:$DN$401,0),COLUMN()),IF($A$1=1,INDEX($DQ$3:$DW$401,MATCH(ROWS(E$3:E199),$DW$3:$DW$401,0),COLUMN()),"")),"")</f>
        <v>RICAVI D'ESERCIZIO</v>
      </c>
      <c r="F199" s="48" t="str">
        <f ca="1">IFERROR(IF($A$1=2,INDEX($DH$3:$DN$401,MATCH(ROWS(F$3:F199),$DN$3:$DN$401,0),COLUMN()),IF($A$1=1,INDEX($DQ$3:$DX$401,MATCH(ROWS(F$3:F199),$DW$3:$DW$401,0),COLUMN()),"")),"")</f>
        <v>SE AVERE</v>
      </c>
      <c r="G199" s="48" t="str">
        <f t="shared" ca="1" si="433"/>
        <v>SE</v>
      </c>
      <c r="H199" s="48" t="str">
        <f ca="1">IFERROR(IF($A$1=2,INDEX($DH$3:$DO$400,MATCH(ROWS(H$3:H199),$DN$3:$DN$400,0),COLUMN()),IF($A$1=1,INDEX($DQ$3:$DX$400,MATCH(ROWS(H$3:H199),$DW$3:$DW$400,0),COLUMN()),"")),"")</f>
        <v>ea5</v>
      </c>
      <c r="I199" s="48" t="str">
        <f t="shared" ca="1" si="434"/>
        <v/>
      </c>
      <c r="J199" s="48" t="str">
        <f t="shared" ca="1" si="435"/>
        <v/>
      </c>
      <c r="K199" s="48">
        <f t="shared" ca="1" si="436"/>
        <v>0</v>
      </c>
      <c r="L199" s="48">
        <f t="shared" ca="1" si="437"/>
        <v>0</v>
      </c>
      <c r="M199" s="48">
        <f ca="1">IFERROR(IF(IF(MID($A199,3,3)=".00",MID(A199,1,2),"")&lt;&gt;"",MAX($M$2:M198)+1,0),"")</f>
        <v>0</v>
      </c>
      <c r="N199" s="48" t="str">
        <f t="shared" ca="1" si="438"/>
        <v/>
      </c>
      <c r="O199" s="48" t="str">
        <f ca="1">IF(IFERROR(INDEX($N$3:$O$300,MATCH(ROWS($O$3:O199),$M$3:$M$300,0),1),"")&lt;&gt;"",CONCATENATE(INDEX($N$3:$O$300,MATCH(ROWS($O$3:O199),$M$3:$M$300,0),1),".00"),"")</f>
        <v/>
      </c>
      <c r="P199" s="48" t="str">
        <f t="shared" ca="1" si="439"/>
        <v/>
      </c>
      <c r="Q199" s="48">
        <f ca="1">IF(M199&gt;=1,0,MAX($Q$2:Q198)+1)</f>
        <v>177</v>
      </c>
      <c r="U199" s="48" t="str">
        <f ca="1">IFERROR(INDEX(PDC,MATCH(ROWS(U$3:U199),$V$3:$V$400,0),2),"")</f>
        <v>RIBASSI E ABBUONI ATTIVI</v>
      </c>
      <c r="V199" s="48">
        <f ca="1">IF(AND($T$1="VISUALIZZA TUTTI I CONTI",AA199&lt;&gt;""),MAX($V$2:V198)+1,IF(AND($U$2=2,AI199=$T$1),MAX($V$2:V198)+1,IF(AND($U$2=1,$T$1=AF199),MAX($V$2:V198)+1,0)))</f>
        <v>197</v>
      </c>
      <c r="AA199" s="48" t="str">
        <f t="shared" ca="1" si="440"/>
        <v>30.00</v>
      </c>
      <c r="AB199" s="48" t="str">
        <f ca="1">IFERROR(INDEX($A$3:$G$400,MATCH(ROWS(AB$3:AB199),$Q$3:$Q$400,0),1),"")</f>
        <v>30.11</v>
      </c>
      <c r="AC199" s="48" t="str">
        <f ca="1">IFERROR(INDEX($A$3:$G$400,MATCH(ROWS($AC$3:AC199),$Q$3:$Q$400,0),2),"")</f>
        <v>RIBASSI E ABBUONI ATTIVI</v>
      </c>
      <c r="AD199" s="48" t="str">
        <f ca="1">IFERROR(INDEX($A$3:$G$400,MATCH(ROWS(AD$3:AD199),$Q$3:$Q$400,0),3),"")</f>
        <v>E</v>
      </c>
      <c r="AE199" s="48" t="str">
        <f ca="1">IFERROR(INDEX($A$3:$G$400,MATCH(ROWS(AE$3:AE199),$Q$3:$Q$400,0),4),"")</f>
        <v>A</v>
      </c>
      <c r="AF199" s="48" t="str">
        <f ca="1">IFERROR(INDEX($A$3:$G$400,MATCH(ROWS(AF$3:AF199),$Q$3:$Q$400,0),5),"")</f>
        <v>RETTIFICHE COSTI D'ESERCIZIO</v>
      </c>
      <c r="AG199" s="48" t="str">
        <f ca="1">IFERROR(INDEX($A$3:$G$400,MATCH(ROWS(AG$3:AG199),$Q$3:$Q$400,0),6),"")</f>
        <v>SE AVERE</v>
      </c>
      <c r="AH199" s="48" t="str">
        <f ca="1">IFERROR(INDEX($A$3:$G$400,MATCH(ROWS(AH$3:AH199),$Q$3:$Q$400,0),7),"")</f>
        <v>SE</v>
      </c>
      <c r="AI199" s="48" t="str">
        <f t="shared" ca="1" si="441"/>
        <v>COSTI DELLE MATERIE</v>
      </c>
      <c r="AJ199" s="48" t="str">
        <f ca="1">IFERROR(INDEX($A$3:$H$400,MATCH(ROWS(AJ$3:AJ199),$Q$3:$Q$400,0),8),"")</f>
        <v>eb6</v>
      </c>
      <c r="AK199" s="48">
        <f t="shared" ca="1" si="417"/>
        <v>0</v>
      </c>
      <c r="AL199" s="48">
        <f t="shared" ref="AL199:AL230" ca="1" si="473">IF(AND(AO199&gt;0,AP199&gt;0),0,IF(INDIRECT(ADDRESS(ROW()-92,COLUMN()-34,,,"LIBRO_GIORNALE"))&lt;INIZIO_A_PC,0,INDIRECT(ADDRESS(ROW()-92,COLUMN()-34,,,"LIBRO_GIORNALE"))))</f>
        <v>0</v>
      </c>
      <c r="AM199" s="48">
        <f t="shared" ca="1" si="377"/>
        <v>0</v>
      </c>
      <c r="AN199" s="48">
        <f t="shared" ca="1" si="378"/>
        <v>0</v>
      </c>
      <c r="AO199" s="48">
        <f t="shared" ca="1" si="379"/>
        <v>0</v>
      </c>
      <c r="AP199" s="48">
        <f t="shared" ca="1" si="379"/>
        <v>0</v>
      </c>
      <c r="AQ199" s="48" t="str">
        <f t="shared" ca="1" si="418"/>
        <v/>
      </c>
      <c r="AR199" s="48">
        <f t="shared" ca="1" si="419"/>
        <v>0</v>
      </c>
      <c r="AS199" s="48">
        <f t="shared" ca="1" si="420"/>
        <v>0</v>
      </c>
      <c r="AT199" s="48">
        <f t="shared" ca="1" si="442"/>
        <v>0</v>
      </c>
      <c r="AU199" s="48">
        <f t="shared" ca="1" si="443"/>
        <v>0</v>
      </c>
      <c r="AV199" s="48">
        <f ca="1">IF(OR(AT199&gt;0,AU199&gt;0),MAX($AV$2:AV198)+1,0)</f>
        <v>0</v>
      </c>
      <c r="AZ199" s="241" t="str">
        <f t="shared" si="381"/>
        <v>99 V.I.</v>
      </c>
      <c r="BA199" s="48">
        <f t="shared" ca="1" si="369"/>
        <v>0</v>
      </c>
      <c r="BB199" s="48">
        <f t="shared" ca="1" si="370"/>
        <v>0</v>
      </c>
      <c r="BC199" s="48" t="str">
        <f t="shared" ca="1" si="382"/>
        <v/>
      </c>
      <c r="BD199" s="48">
        <f t="shared" ca="1" si="383"/>
        <v>0</v>
      </c>
      <c r="BE199" s="48">
        <f t="shared" ca="1" si="384"/>
        <v>0</v>
      </c>
      <c r="BG199" s="48">
        <f ca="1">IF(IF(AND(OR(INDEX(PDC,MATCH($AC199,DEN_PDC,0),6)="SP DARE",INDEX(PDC,MATCH($AC199,DEN_PDC,0),6)="SP DARE/AVERE"),SUMIFS(DARE,DEN_G,$AC199)&gt;=SUMIFS(AVERE,DEN_G,$AC199)),SUMIFS(DARE,DEN_G,$AC199)-SUMIFS(AVERE,DEN_G,$AC199),0)&gt;0,MAX($BG$2:BG198)+1,0)</f>
        <v>0</v>
      </c>
      <c r="BH199" s="48">
        <f ca="1">IF(IF(AND(OR(INDEX(PDC,MATCH($AC199,DEN_PDC,0),6)="SP AVERE",INDEX(PDC,MATCH($AC199,DEN_PDC,0),6)="SP DARE/AVERE"),SUMIFS(AVERE,DEN_G,$AC199)&gt;=SUMIFS(DARE,DEN_G,$AC199)),SUMIFS(AVERE,DEN_G,$AC199)-SUMIFS(DARE,DEN_G,$AC199),0)&gt;0,MAX(BH$2:BH198)+1,0)</f>
        <v>0</v>
      </c>
      <c r="BI199" s="48">
        <f ca="1">IF(IF(AND(OR(INDEX(PDC,MATCH($AC199,DEN_PDC,0),6)="SE DARE",INDEX(PDC,MATCH($AC199,DEN_PDC,0),6)="SE DARE/AVERE"),SUMIFS(DARE,DEN_G,$AC199)&gt;=SUMIFS(AVERE,DEN_G,$AC199)),SUMIFS(DARE,DEN_G,$AC199)-SUMIFS(AVERE,DEN_G,$AC199),0)&gt;0,MAX(BI$2:BI198)+1,0)</f>
        <v>0</v>
      </c>
      <c r="BJ199" s="48">
        <f ca="1">IF(IF(AND(OR(INDEX(PDC,MATCH($AC199,DEN_PDC,0),6)="SE AVERE",INDEX(PDC,MATCH($AC199,DEN_PDC,0),6)="SE DARE/AVERE"),SUMIFS(AVERE,DEN_G,$AC199)&gt;=SUMIFS(DARE,DEN_G,$AC199)),SUMIFS(AVERE,DEN_G,$AC199)-SUMIFS(DARE,DEN_G,$AC199),0)&gt;0,MAX(BJ$2:BJ198)+1,0)</f>
        <v>0</v>
      </c>
      <c r="BK199" s="48" t="str">
        <f ca="1">IF(AND(AND($DY$2=0,$DY$1=0),$I$1=2,ROW()&gt;$BG$1+2,ROW()&lt;=$BG$1+4),"………………..",IF(AND(OR($DY$2&gt;0,$DY$1&gt;0),$I$1=2,ROW()&gt;$BG$1+2,ROW()&lt;=$BG$1+4),"………………..",IFERROR(INDEX($AC$3:$AC$398,MATCH(ROWS(BK$3:BK199),BG$3:BG$398,0),1),"")))</f>
        <v/>
      </c>
      <c r="BL199" s="48">
        <f t="shared" ca="1" si="421"/>
        <v>0</v>
      </c>
      <c r="BM199" s="48" t="str">
        <f ca="1">IF(AND(OR($DY$2=0,$DY$1=0),$I$1=2,ROW()&gt;$BH$1+2,ROW()&lt;=$BH$1+4),"………………..",IF(AND(OR($DY$2&gt;0,$DY$1&gt;0),$I$1=2,ROW()&gt;$BH$1+2,ROW()&lt;=$BH$1+4),"………………..",IFERROR(INDEX($AC$3:$AC$400,MATCH(ROWS(BM$3:BM199),BH$3:BH$400,0),1),"")))</f>
        <v/>
      </c>
      <c r="BN199" s="48">
        <f t="shared" ca="1" si="422"/>
        <v>0</v>
      </c>
      <c r="BO199" s="48" t="str">
        <f ca="1">IF(AND(OR($DY$2=0,$DY$1=0),$I$1=2,ROW()&gt;$BI$1+2,ROW()&lt;=$BI$1+4),"………………..",IF(AND(OR($DY$2&gt;0,$DY$1&gt;0),$I$1=2,ROW()&gt;$BI$1+2,ROW()&lt;=$BI$1+4),"………………..",IFERROR(INDEX($AC$3:$AC$400,MATCH(ROWS(BO$3:BO199),BI$3:BI$400,0),1),"")))</f>
        <v/>
      </c>
      <c r="BP199" s="48">
        <f t="shared" ca="1" si="423"/>
        <v>0</v>
      </c>
      <c r="BQ199" s="48" t="str">
        <f ca="1">IF(AND(OR($DY$2=0,$DY$1=0),$I$1=2,ROW()&gt;$BJ$1+2,ROW()&lt;=$BJ$1+4),"………………..",IF(AND(OR($DY$2&gt;0,$DY$1&gt;0),$I$1=2,ROW()&gt;$BJ$1+2,ROW()&lt;=$BJ$1+4),"………………..",IFERROR(INDEX($AC$3:$AC$400,MATCH(ROWS(BQ$3:BQ199),BJ$3:BJ$400,0),1),"")))</f>
        <v/>
      </c>
      <c r="BR199" s="48">
        <f t="shared" ca="1" si="424"/>
        <v>0</v>
      </c>
      <c r="BS199" s="48">
        <f ca="1">IF(IF(AND(OR(INDEX(PDC,MATCH($AC199,DEN_PDC,0),4)="D",INDEX(PDC,MATCH($AC199,DEN_PDC,0),4)="D/A"),SUMIFS(DARE,DEN_G,$AC199)&gt;=SUMIFS(AVERE,DEN_G,$AC199)),SUMIFS(DARE,DEN_G,$AC199),IF(AND(OR(INDEX(PDC,MATCH($AC199,DEN_PDC,0),4)="A",INDEX(PDC,MATCH($AC199,DEN_PDC,0),4)="D/A"),SUMIFS(AVERE,DEN_G,$AC199)&gt;=SUMIFS(DARE,DEN_G,$AC199)),SUMIFS(AVERE,DEN_G,$AC199),))&gt;0,MAX($BS$2:BS198)+1,0)</f>
        <v>0</v>
      </c>
      <c r="BT199" s="48" t="str">
        <f ca="1">IF($CO$1=0,"",IF(AND($I$1=2,ROW()&gt;$BR$1,ROW()&lt;=$BS$1)," …………….",IF(AND($E$1=1,$BX$1=1,$I$1=2,ROW()=$BQ$1),"TOTALI",IFERROR(INDEX(PDC,MATCH(ROWS(BT$3:BT199),BS$3:BS596,0),2),""))))</f>
        <v/>
      </c>
      <c r="BU199" s="48">
        <f t="shared" ca="1" si="425"/>
        <v>0</v>
      </c>
      <c r="BV199" s="48">
        <f t="shared" ca="1" si="426"/>
        <v>0</v>
      </c>
      <c r="BW199" s="48">
        <f t="shared" ca="1" si="427"/>
        <v>0</v>
      </c>
      <c r="BX199" s="48">
        <f t="shared" ca="1" si="428"/>
        <v>0</v>
      </c>
      <c r="BY199" s="48">
        <f ca="1">IF(OR(BW199&gt;0,BX199&gt;0),MAX($BY$2:BY198)+1,0)</f>
        <v>0</v>
      </c>
      <c r="BZ199" s="48" t="str">
        <f ca="1">IFERROR(INDEX($BT$3:$BY$400,MATCH(ROWS(BZ$3:BZ199),$BY$3:$BY$400,0),1),"")</f>
        <v/>
      </c>
      <c r="CA199" s="48" t="str">
        <f ca="1">IFERROR(INDEX($BT$3:$BY$400,MATCH(ROWS(CA$3:CA199),$BY$3:$BY$400,0),4),"")</f>
        <v/>
      </c>
      <c r="CB199" s="48" t="str">
        <f ca="1">IFERROR(INDEX($BT$3:$BY$400,MATCH(ROWS(CB$3:CB199),$BY$3:$BY$400,0),5),"")</f>
        <v/>
      </c>
      <c r="CC199" s="48" t="str">
        <f t="shared" ca="1" si="429"/>
        <v/>
      </c>
      <c r="CD199" s="48">
        <f ca="1">IF(EU3&gt;0,0,IF(CH199&gt;0,MAX($CD$191:CD198)+1,0))</f>
        <v>0</v>
      </c>
      <c r="CG199" s="243" t="s">
        <v>833</v>
      </c>
      <c r="CH199" s="48">
        <f ca="1">IF($CH$247=$CE$247,0,IF(AND($CH$247&lt;0,$CH$247&gt;$CE$247),ABS($CE$247)-ABS(CH247),IF(AND($CH$247&gt;0,CH247&gt;$CE$247),$CH$247-$CE$247,0)))</f>
        <v>0</v>
      </c>
      <c r="CM199" s="242" t="str">
        <f t="shared" ca="1" si="444"/>
        <v/>
      </c>
      <c r="CN199" s="243">
        <f t="shared" ca="1" si="445"/>
        <v>0</v>
      </c>
      <c r="CO199" s="48" t="str">
        <f t="shared" ca="1" si="446"/>
        <v/>
      </c>
      <c r="CQ199" s="242"/>
      <c r="CR199" s="242"/>
      <c r="CU199" s="48">
        <f ca="1">IF(SUMIFS(AVERE,DEN_G,AC199,AVERE,"&gt;"&amp;0)+SUMIFS(DARE,DEN_G,AC199,DARE,"&gt;"&amp;0)&gt;0,MAX($CU$2:CU198)+1,0)</f>
        <v>0</v>
      </c>
      <c r="CV199" s="48" t="str">
        <f ca="1">IF(IFERROR(INDEX(PDC,MATCH(ROWS($CV$3:CV199),$CU$3:$CU$400,0),2),"")="CONTO DI RISULTATO ECONOMICO","",IFERROR(INDEX(PDC,MATCH(ROWS($CV$3:CV199),$CU$3:$CU$400,0),2),""))</f>
        <v/>
      </c>
      <c r="CW199" s="48">
        <f ca="1">IFERROR(IF(CV199&lt;&gt;"",MAX($CW$2:CW198)+1,0),0)</f>
        <v>0</v>
      </c>
      <c r="CX199" s="48">
        <f t="shared" ref="CX199:CX209" ca="1" si="474">$FF$18</f>
        <v>16</v>
      </c>
      <c r="CY199" s="48" t="str">
        <f t="shared" ca="1" si="472"/>
        <v>MASTRO</v>
      </c>
      <c r="DA199" s="48" t="str">
        <f ca="1">IF(DB198="","","Num. riga")</f>
        <v/>
      </c>
      <c r="DB199" s="48" t="str">
        <f t="shared" ref="DB199" ca="1" si="475">IF(DB198="","","Data")</f>
        <v/>
      </c>
      <c r="DC199" s="48" t="str">
        <f ca="1">IF(DB198="","","Operazioni")</f>
        <v/>
      </c>
      <c r="DD199" s="48" t="str">
        <f ca="1">IF(DB198="","","Dare        ")</f>
        <v/>
      </c>
      <c r="DE199" s="48" t="str">
        <f ca="1">IF(DB198="","","Avere        ")</f>
        <v/>
      </c>
      <c r="DF199" s="48">
        <f ca="1">IF(AND(CX199=$DF$1,CX199&lt;&gt;""),0,IF(AND(DB199&lt;&gt;"",OR(DB198&lt;&gt;"",DB200&lt;&gt;"")),MAX($DF$2:DF198)+1,0))</f>
        <v>0</v>
      </c>
      <c r="DG199" s="48">
        <f t="shared" ca="1" si="469"/>
        <v>0</v>
      </c>
      <c r="DH199" s="244" t="s">
        <v>286</v>
      </c>
      <c r="DI199" s="48" t="str">
        <f t="shared" ca="1" si="470"/>
        <v/>
      </c>
      <c r="DJ199" s="48" t="s">
        <v>312</v>
      </c>
      <c r="DK199" s="48" t="s">
        <v>298</v>
      </c>
      <c r="DL199" s="48" t="s">
        <v>5</v>
      </c>
      <c r="DM199" s="48" t="s">
        <v>299</v>
      </c>
      <c r="DN199" s="48">
        <f ca="1">IF(DI199&lt;&gt;"",MAX($DN$2:DN198)+1,0)</f>
        <v>0</v>
      </c>
      <c r="DO199" s="48" t="str">
        <f t="shared" ca="1" si="403"/>
        <v>ppd</v>
      </c>
      <c r="DP199" s="48">
        <f t="shared" ca="1" si="471"/>
        <v>0</v>
      </c>
      <c r="DQ199" s="227" t="s">
        <v>497</v>
      </c>
      <c r="DR199" s="48" t="str">
        <f ca="1">IFERROR(IF(DP199&lt;&gt;0,CONCATENATE("SOCIO ",DP199," C/LIQUIDAZIONE"),""),"")</f>
        <v/>
      </c>
      <c r="DS199" s="48" t="s">
        <v>312</v>
      </c>
      <c r="DT199" s="48" t="s">
        <v>298</v>
      </c>
      <c r="DU199" s="48" t="s">
        <v>5</v>
      </c>
      <c r="DV199" s="48" t="s">
        <v>299</v>
      </c>
      <c r="DW199" s="48">
        <f ca="1">IF(DR199&lt;&gt;"",MAX($DW$2:DW198)+1,0)</f>
        <v>0</v>
      </c>
      <c r="DX199" s="48" t="str">
        <f t="shared" ca="1" si="401"/>
        <v>ppd</v>
      </c>
      <c r="DY199" s="48" t="str">
        <f t="shared" ca="1" si="430"/>
        <v/>
      </c>
      <c r="DZ199" s="48" t="str">
        <f t="shared" ca="1" si="447"/>
        <v/>
      </c>
      <c r="EA199" s="48" t="str">
        <f t="shared" ca="1" si="448"/>
        <v/>
      </c>
      <c r="EB199" s="48">
        <f t="shared" ca="1" si="449"/>
        <v>0</v>
      </c>
      <c r="EC199" s="48">
        <f t="shared" ca="1" si="450"/>
        <v>0</v>
      </c>
      <c r="ED199" s="48" t="str">
        <f t="shared" ca="1" si="451"/>
        <v/>
      </c>
      <c r="EE199" s="48">
        <f t="shared" ca="1" si="452"/>
        <v>0</v>
      </c>
      <c r="EF199" s="48" t="str">
        <f t="shared" ca="1" si="453"/>
        <v/>
      </c>
      <c r="EG199" s="48">
        <f t="shared" ca="1" si="454"/>
        <v>0</v>
      </c>
      <c r="EH199" s="48" t="str">
        <f t="shared" ca="1" si="455"/>
        <v/>
      </c>
      <c r="EI199" s="48">
        <f t="shared" ca="1" si="456"/>
        <v>0</v>
      </c>
      <c r="EJ199" s="48" t="str">
        <f t="shared" ca="1" si="457"/>
        <v/>
      </c>
      <c r="EK199" s="48">
        <f t="shared" ca="1" si="458"/>
        <v>0</v>
      </c>
      <c r="EL199" s="48">
        <f t="shared" ca="1" si="431"/>
        <v>0</v>
      </c>
      <c r="EM199" s="48">
        <f ca="1">IF(EL199&gt;=0,0,MAX($EM$2:EM198)+1)</f>
        <v>0</v>
      </c>
      <c r="EN199" s="48" t="str">
        <f t="shared" ca="1" si="459"/>
        <v/>
      </c>
      <c r="EO199" s="48" t="str">
        <f ca="1">IFERROR(INDEX($EM$3:$EN$400,MATCH(ROWS($EO$3:EO199),$EM$3:$EM$400,0),2),"")</f>
        <v/>
      </c>
      <c r="EP199" s="48">
        <f>ROW()</f>
        <v>199</v>
      </c>
      <c r="EQ199" s="48">
        <f t="shared" ca="1" si="432"/>
        <v>0</v>
      </c>
      <c r="ER199" s="48">
        <f ca="1">IF(ISNA(EQ199)=TRUE,MAX($ER$2:ER198)+1,0)</f>
        <v>0</v>
      </c>
      <c r="ES199" s="48" t="str">
        <f t="shared" ca="1" si="460"/>
        <v/>
      </c>
      <c r="ET199" s="48" t="str">
        <f ca="1">IFERROR(INDEX($ER$3:$ES$400,MATCH(ROWS($ET$3:ET199),$ER$3:$ER$400,0),2),"")</f>
        <v/>
      </c>
      <c r="EV199" s="48">
        <f ca="1">IFERROR(INDEX(LIBRO_GIORNALE!$O$11:$P$408,MATCH(ROWS($EV$2:EV198),LIBRO_GIORNALE!$P$11:$P$408,0),1),0)</f>
        <v>0</v>
      </c>
      <c r="EW199" s="48" t="str">
        <f t="shared" ca="1" si="461"/>
        <v>0</v>
      </c>
      <c r="EX199" s="48">
        <f t="shared" ca="1" si="462"/>
        <v>0</v>
      </c>
      <c r="EY199" s="48">
        <f ca="1">IF(EX199&gt;0,MAX($EY$2:EY198)+1,0)</f>
        <v>0</v>
      </c>
      <c r="EZ199" s="48">
        <f ca="1">IFERROR(INDEX($EX$3:$EX$400,MATCH(ROWS($EZ$3:EZ199),$EY$3:$EY$400,0),1),0)</f>
        <v>0</v>
      </c>
      <c r="FA199" s="48">
        <f ca="1">IF(EZ199&gt;0,0,MAX($FA$2:FA198)+1)</f>
        <v>197</v>
      </c>
      <c r="FB199" s="48">
        <f t="shared" ca="1" si="463"/>
        <v>0</v>
      </c>
      <c r="FC199" s="48">
        <f t="shared" ca="1" si="464"/>
        <v>197</v>
      </c>
      <c r="FD199" s="48">
        <f t="shared" ca="1" si="465"/>
        <v>197</v>
      </c>
      <c r="FE199" s="48">
        <f ca="1">IF(FD199=0,0,MAX($FE$2:FE198)+1)</f>
        <v>197</v>
      </c>
      <c r="FF199" s="48">
        <f ca="1">IFERROR(INDEX($FD$3:$FE$400,MATCH(ROWS($FF$3:FF199),$FE$3:$FE$400,0),1),"")</f>
        <v>197</v>
      </c>
      <c r="FG199" s="48">
        <f t="shared" ca="1" si="380"/>
        <v>0</v>
      </c>
      <c r="FH199" s="48">
        <f t="shared" ca="1" si="466"/>
        <v>0</v>
      </c>
      <c r="FI199" s="48">
        <f ca="1">IF(FH199&lt;&gt;0,MAX($FI$2:FI198)+1,0)</f>
        <v>0</v>
      </c>
      <c r="FJ199" s="48" t="str">
        <f ca="1">IFERROR(INDEX($FH$3:$FI$400,MATCH(ROWS($FJ$3:FJ199),$FI$3:$FI$400,0),1),"")</f>
        <v/>
      </c>
      <c r="FK199" s="48">
        <f ca="1">IF(ABS(SUMIFS(DARE,DEN_G,"="&amp;FJ199,DATA,"&lt;="&amp;FINE_AC,DATA,"&gt;="&amp;INIZIO_A_PC)-SUMIFS(AVERE,DEN_G,"="&amp;FJ199,DATA,"&lt;="&amp;FINE_AC,DATA,"&gt;="&amp;INIZIO_A_PC))&gt;0,MAX($FK$2:FK198)+1,0)</f>
        <v>0</v>
      </c>
      <c r="FL199" s="48" t="str">
        <f ca="1">IF(AND(ROW()-2&lt;&gt;1,ROW()-2&lt;=$FK$1),CONCATENATE(" - ",IFERROR(INDEX($FJ$3:$FK$400,MATCH(ROWS($FL$3:FL199),$FK$3:$FK$400,0),1),"")),IFERROR(INDEX($FJ$3:$FK$400,MATCH(ROWS($FL$3:FL199),$FK$3:$FK$400,0),1),""))</f>
        <v/>
      </c>
      <c r="FM199" s="48">
        <f ca="1">IF(OR(B199="IVA ns/credito",B199="IVA NS/DEBITO",B199="IVA C/ACCONTO",B199="IMPOSTE C/ACCONTO",B199="CREDITI PER RITENUTE SUBITE",B199="CREDITI D'IMPOSTA"),MAX($FM$2:FM198)+1,0)</f>
        <v>0</v>
      </c>
      <c r="FN199" s="48" t="str">
        <f t="shared" ca="1" si="467"/>
        <v/>
      </c>
      <c r="FO199" s="48" t="str">
        <f ca="1">IFERROR(INDEX($FM$3:$FN$400,MATCH(ROWS($FO$3:FO199),$FM$3:$FM$400,0),2),"")</f>
        <v/>
      </c>
      <c r="FP199" s="48">
        <f ca="1">IF(ABS(SUMIFS(DARE,DEN_G,"="&amp;FO199,DATA,"&lt;="&amp;FINE_AC,DATA,"&gt;="&amp;INIZIO_A_PC)-SUMIFS(AVERE,DEN_G,"="&amp;FO199,DATA,"&lt;="&amp;FINE_AC,DATA,"&gt;="&amp;INIZIO_A_PC))&gt;0,MAX($FP$2:FP198)+1,0)</f>
        <v>0</v>
      </c>
      <c r="FQ199" s="48" t="str">
        <f ca="1">IF(AND(ROW()-2&lt;&gt;1,ROW()-2&lt;=$FP$1),CONCATENATE(" - ",IFERROR(INDEX($FO$3:$FP$400,MATCH(ROWS($FQ$3:FQ199),$FP$3:$FP$400,0),1),"")),IFERROR(INDEX($FO$3:$FP$400,MATCH(ROWS($FQ$3:FQ199),$FP$3:$FP$400,0),1),""))</f>
        <v/>
      </c>
    </row>
    <row r="200" spans="1:173" x14ac:dyDescent="0.3">
      <c r="A200" s="48" t="str">
        <f ca="1">IFERROR(IF($A$1=2,INDEX($DH$3:$DN$401,MATCH(ROWS(A$3:A200),$DN$3:$DN$401,0),COLUMN()),IF($A$1=1,INDEX($DQ$3:$DW$401,MATCH(ROWS(A$3:A200),$DW$3:$DW$401,0),COLUMN()),"")),"")</f>
        <v>20.34</v>
      </c>
      <c r="B200" s="48" t="str">
        <f ca="1">IFERROR(IF($A$1=2,INDEX($DH$3:$DN$401,MATCH(ROWS(B$3:B200),$DN$3:$DN$401,0),COLUMN()),IF($A$1=1,INDEX($DQ$3:$DW$400,MATCH(ROWS(B$3:B200),$DW$3:$DW$401,0),COLUMN()),"")),"")</f>
        <v>CONTRIBUTI IN C/IMPIANTI</v>
      </c>
      <c r="C200" s="48" t="str">
        <f ca="1">IFERROR(IF($A$1=2,INDEX($DH$3:$DN$401,MATCH(ROWS(C$3:C200),$DN$3:$DN$401,0),COLUMN()),IF($A$1=1,INDEX($DQ$3:$DW$401,MATCH(ROWS(C$3:C200),$DW$3:$DW$401,0),COLUMN()),"")),"")</f>
        <v>E</v>
      </c>
      <c r="D200" s="48" t="str">
        <f ca="1">IFERROR(IF($A$1=2,INDEX($DH$3:$DN$401,MATCH(ROWS(D$3:D200),$DN$3:$DN$401,0),COLUMN()),IF($A$1=1,INDEX($DQ$3:$DW$401,MATCH(ROWS(D$3:D200),$DW$3:$DW$401,0),COLUMN()),"")),"")</f>
        <v>A</v>
      </c>
      <c r="E200" s="48" t="str">
        <f ca="1">IFERROR(IF($A$1=2,INDEX($DH$3:$DN$401,MATCH(ROWS(E$3:E200),$DN$3:$DN$401,0),COLUMN()),IF($A$1=1,INDEX($DQ$3:$DW$401,MATCH(ROWS(E$3:E200),$DW$3:$DW$401,0),COLUMN()),"")),"")</f>
        <v>RICAVI D'ESERCIZIO</v>
      </c>
      <c r="F200" s="48" t="str">
        <f ca="1">IFERROR(IF($A$1=2,INDEX($DH$3:$DN$401,MATCH(ROWS(F$3:F200),$DN$3:$DN$401,0),COLUMN()),IF($A$1=1,INDEX($DQ$3:$DX$401,MATCH(ROWS(F$3:F200),$DW$3:$DW$401,0),COLUMN()),"")),"")</f>
        <v>SE AVERE</v>
      </c>
      <c r="G200" s="48" t="str">
        <f t="shared" ca="1" si="433"/>
        <v>SE</v>
      </c>
      <c r="H200" s="48" t="str">
        <f ca="1">IFERROR(IF($A$1=2,INDEX($DH$3:$DO$400,MATCH(ROWS(H$3:H200),$DN$3:$DN$400,0),COLUMN()),IF($A$1=1,INDEX($DQ$3:$DX$400,MATCH(ROWS(H$3:H200),$DW$3:$DW$400,0),COLUMN()),"")),"")</f>
        <v>ea5</v>
      </c>
      <c r="I200" s="48" t="str">
        <f t="shared" ca="1" si="434"/>
        <v/>
      </c>
      <c r="J200" s="48" t="str">
        <f t="shared" ca="1" si="435"/>
        <v/>
      </c>
      <c r="K200" s="48">
        <f t="shared" ca="1" si="436"/>
        <v>0</v>
      </c>
      <c r="L200" s="48">
        <f t="shared" ca="1" si="437"/>
        <v>0</v>
      </c>
      <c r="M200" s="48">
        <f ca="1">IFERROR(IF(IF(MID($A200,3,3)=".00",MID(A200,1,2),"")&lt;&gt;"",MAX($M$2:M199)+1,0),"")</f>
        <v>0</v>
      </c>
      <c r="N200" s="48" t="str">
        <f t="shared" ca="1" si="438"/>
        <v/>
      </c>
      <c r="O200" s="48" t="str">
        <f ca="1">IF(IFERROR(INDEX($N$3:$O$300,MATCH(ROWS($O$3:O200),$M$3:$M$300,0),1),"")&lt;&gt;"",CONCATENATE(INDEX($N$3:$O$300,MATCH(ROWS($O$3:O200),$M$3:$M$300,0),1),".00"),"")</f>
        <v/>
      </c>
      <c r="P200" s="48" t="str">
        <f t="shared" ca="1" si="439"/>
        <v/>
      </c>
      <c r="Q200" s="48">
        <f ca="1">IF(M200&gt;=1,0,MAX($Q$2:Q199)+1)</f>
        <v>178</v>
      </c>
      <c r="U200" s="48" t="str">
        <f ca="1">IFERROR(INDEX(PDC,MATCH(ROWS(U$3:U200),$V$3:$V$400,0),2),"")</f>
        <v>PREMI SU ACQUISTI</v>
      </c>
      <c r="V200" s="48">
        <f ca="1">IF(AND($T$1="VISUALIZZA TUTTI I CONTI",AA200&lt;&gt;""),MAX($V$2:V199)+1,IF(AND($U$2=2,AI200=$T$1),MAX($V$2:V199)+1,IF(AND($U$2=1,$T$1=AF200),MAX($V$2:V199)+1,0)))</f>
        <v>198</v>
      </c>
      <c r="AA200" s="48" t="str">
        <f t="shared" ca="1" si="440"/>
        <v>30.00</v>
      </c>
      <c r="AB200" s="48" t="str">
        <f ca="1">IFERROR(INDEX($A$3:$G$400,MATCH(ROWS(AB$3:AB200),$Q$3:$Q$400,0),1),"")</f>
        <v>30.12</v>
      </c>
      <c r="AC200" s="48" t="str">
        <f ca="1">IFERROR(INDEX($A$3:$G$400,MATCH(ROWS($AC$3:AC200),$Q$3:$Q$400,0),2),"")</f>
        <v>PREMI SU ACQUISTI</v>
      </c>
      <c r="AD200" s="48" t="str">
        <f ca="1">IFERROR(INDEX($A$3:$G$400,MATCH(ROWS(AD$3:AD200),$Q$3:$Q$400,0),3),"")</f>
        <v>E</v>
      </c>
      <c r="AE200" s="48" t="str">
        <f ca="1">IFERROR(INDEX($A$3:$G$400,MATCH(ROWS(AE$3:AE200),$Q$3:$Q$400,0),4),"")</f>
        <v>A</v>
      </c>
      <c r="AF200" s="48" t="str">
        <f ca="1">IFERROR(INDEX($A$3:$G$400,MATCH(ROWS(AF$3:AF200),$Q$3:$Q$400,0),5),"")</f>
        <v>RETTIFICHE COSTI D'ESERCIZIO</v>
      </c>
      <c r="AG200" s="48" t="str">
        <f ca="1">IFERROR(INDEX($A$3:$G$400,MATCH(ROWS(AG$3:AG200),$Q$3:$Q$400,0),6),"")</f>
        <v>SE AVERE</v>
      </c>
      <c r="AH200" s="48" t="str">
        <f ca="1">IFERROR(INDEX($A$3:$G$400,MATCH(ROWS(AH$3:AH200),$Q$3:$Q$400,0),7),"")</f>
        <v>SE</v>
      </c>
      <c r="AI200" s="48" t="str">
        <f t="shared" ca="1" si="441"/>
        <v>COSTI DELLE MATERIE</v>
      </c>
      <c r="AJ200" s="48" t="str">
        <f ca="1">IFERROR(INDEX($A$3:$H$400,MATCH(ROWS(AJ$3:AJ200),$Q$3:$Q$400,0),8),"")</f>
        <v>eb6</v>
      </c>
      <c r="AK200" s="48">
        <f t="shared" ca="1" si="417"/>
        <v>0</v>
      </c>
      <c r="AL200" s="48">
        <f t="shared" ca="1" si="473"/>
        <v>0</v>
      </c>
      <c r="AM200" s="48">
        <f t="shared" ca="1" si="377"/>
        <v>0</v>
      </c>
      <c r="AN200" s="48">
        <f t="shared" ca="1" si="378"/>
        <v>0</v>
      </c>
      <c r="AO200" s="48">
        <f t="shared" ca="1" si="379"/>
        <v>0</v>
      </c>
      <c r="AP200" s="48">
        <f t="shared" ca="1" si="379"/>
        <v>0</v>
      </c>
      <c r="AQ200" s="48" t="str">
        <f t="shared" ca="1" si="418"/>
        <v/>
      </c>
      <c r="AR200" s="48">
        <f t="shared" ca="1" si="419"/>
        <v>0</v>
      </c>
      <c r="AS200" s="48">
        <f t="shared" ca="1" si="420"/>
        <v>0</v>
      </c>
      <c r="AT200" s="48">
        <f t="shared" ca="1" si="442"/>
        <v>0</v>
      </c>
      <c r="AU200" s="48">
        <f t="shared" ca="1" si="443"/>
        <v>0</v>
      </c>
      <c r="AV200" s="48">
        <f ca="1">IF(OR(AT200&gt;0,AU200&gt;0),MAX($AV$2:AV199)+1,0)</f>
        <v>0</v>
      </c>
      <c r="AZ200" s="241" t="str">
        <f t="shared" si="381"/>
        <v>100 V.I.</v>
      </c>
      <c r="BA200" s="48">
        <f t="shared" ca="1" si="369"/>
        <v>0</v>
      </c>
      <c r="BB200" s="48">
        <f t="shared" ca="1" si="370"/>
        <v>0</v>
      </c>
      <c r="BC200" s="48" t="str">
        <f t="shared" ca="1" si="382"/>
        <v/>
      </c>
      <c r="BD200" s="48">
        <f t="shared" ca="1" si="383"/>
        <v>0</v>
      </c>
      <c r="BE200" s="48">
        <f t="shared" ca="1" si="384"/>
        <v>0</v>
      </c>
      <c r="BF200" s="48" t="s">
        <v>761</v>
      </c>
      <c r="BG200" s="48">
        <f ca="1">IF(IF(AND(OR(INDEX(PDC,MATCH($AC200,DEN_PDC,0),6)="SP DARE",INDEX(PDC,MATCH($AC200,DEN_PDC,0),6)="SP DARE/AVERE"),SUMIFS(DARE,DEN_G,$AC200)&gt;=SUMIFS(AVERE,DEN_G,$AC200)),SUMIFS(DARE,DEN_G,$AC200)-SUMIFS(AVERE,DEN_G,$AC200),0)&gt;0,MAX($BG$2:BG199)+1,0)</f>
        <v>0</v>
      </c>
      <c r="BH200" s="48">
        <f ca="1">IF(IF(AND(OR(INDEX(PDC,MATCH($AC200,DEN_PDC,0),6)="SP AVERE",INDEX(PDC,MATCH($AC200,DEN_PDC,0),6)="SP DARE/AVERE"),SUMIFS(AVERE,DEN_G,$AC200)&gt;=SUMIFS(DARE,DEN_G,$AC200)),SUMIFS(AVERE,DEN_G,$AC200)-SUMIFS(DARE,DEN_G,$AC200),0)&gt;0,MAX(BH$2:BH199)+1,0)</f>
        <v>0</v>
      </c>
      <c r="BI200" s="48">
        <f ca="1">IF(IF(AND(OR(INDEX(PDC,MATCH($AC200,DEN_PDC,0),6)="SE DARE",INDEX(PDC,MATCH($AC200,DEN_PDC,0),6)="SE DARE/AVERE"),SUMIFS(DARE,DEN_G,$AC200)&gt;=SUMIFS(AVERE,DEN_G,$AC200)),SUMIFS(DARE,DEN_G,$AC200)-SUMIFS(AVERE,DEN_G,$AC200),0)&gt;0,MAX(BI$2:BI199)+1,0)</f>
        <v>0</v>
      </c>
      <c r="BJ200" s="48">
        <f ca="1">IF(IF(AND(OR(INDEX(PDC,MATCH($AC200,DEN_PDC,0),6)="SE AVERE",INDEX(PDC,MATCH($AC200,DEN_PDC,0),6)="SE DARE/AVERE"),SUMIFS(AVERE,DEN_G,$AC200)&gt;=SUMIFS(DARE,DEN_G,$AC200)),SUMIFS(AVERE,DEN_G,$AC200)-SUMIFS(DARE,DEN_G,$AC200),0)&gt;0,MAX(BJ$2:BJ199)+1,0)</f>
        <v>0</v>
      </c>
      <c r="BK200" s="48" t="str">
        <f ca="1">IF(AND(AND($DY$2=0,$DY$1=0),$I$1=2,ROW()&gt;$BG$1+2,ROW()&lt;=$BG$1+4),"………………..",IF(AND(OR($DY$2&gt;0,$DY$1&gt;0),$I$1=2,ROW()&gt;$BG$1+2,ROW()&lt;=$BG$1+4),"………………..",IFERROR(INDEX($AC$3:$AC$398,MATCH(ROWS(BK$3:BK200),BG$3:BG$398,0),1),"")))</f>
        <v/>
      </c>
      <c r="BL200" s="48">
        <f t="shared" ca="1" si="421"/>
        <v>0</v>
      </c>
      <c r="BM200" s="48" t="str">
        <f ca="1">IF(AND(OR($DY$2=0,$DY$1=0),$I$1=2,ROW()&gt;$BH$1+2,ROW()&lt;=$BH$1+4),"………………..",IF(AND(OR($DY$2&gt;0,$DY$1&gt;0),$I$1=2,ROW()&gt;$BH$1+2,ROW()&lt;=$BH$1+4),"………………..",IFERROR(INDEX($AC$3:$AC$400,MATCH(ROWS(BM$3:BM200),BH$3:BH$400,0),1),"")))</f>
        <v/>
      </c>
      <c r="BN200" s="48">
        <f t="shared" ca="1" si="422"/>
        <v>0</v>
      </c>
      <c r="BO200" s="48" t="str">
        <f ca="1">IF(AND(OR($DY$2=0,$DY$1=0),$I$1=2,ROW()&gt;$BI$1+2,ROW()&lt;=$BI$1+4),"………………..",IF(AND(OR($DY$2&gt;0,$DY$1&gt;0),$I$1=2,ROW()&gt;$BI$1+2,ROW()&lt;=$BI$1+4),"………………..",IFERROR(INDEX($AC$3:$AC$400,MATCH(ROWS(BO$3:BO200),BI$3:BI$400,0),1),"")))</f>
        <v/>
      </c>
      <c r="BP200" s="48">
        <f t="shared" ca="1" si="423"/>
        <v>0</v>
      </c>
      <c r="BQ200" s="48" t="str">
        <f ca="1">IF(AND(OR($DY$2=0,$DY$1=0),$I$1=2,ROW()&gt;$BJ$1+2,ROW()&lt;=$BJ$1+4),"………………..",IF(AND(OR($DY$2&gt;0,$DY$1&gt;0),$I$1=2,ROW()&gt;$BJ$1+2,ROW()&lt;=$BJ$1+4),"………………..",IFERROR(INDEX($AC$3:$AC$400,MATCH(ROWS(BQ$3:BQ200),BJ$3:BJ$400,0),1),"")))</f>
        <v/>
      </c>
      <c r="BR200" s="48">
        <f t="shared" ca="1" si="424"/>
        <v>0</v>
      </c>
      <c r="BS200" s="48">
        <f ca="1">IF(IF(AND(OR(INDEX(PDC,MATCH($AC200,DEN_PDC,0),4)="D",INDEX(PDC,MATCH($AC200,DEN_PDC,0),4)="D/A"),SUMIFS(DARE,DEN_G,$AC200)&gt;=SUMIFS(AVERE,DEN_G,$AC200)),SUMIFS(DARE,DEN_G,$AC200),IF(AND(OR(INDEX(PDC,MATCH($AC200,DEN_PDC,0),4)="A",INDEX(PDC,MATCH($AC200,DEN_PDC,0),4)="D/A"),SUMIFS(AVERE,DEN_G,$AC200)&gt;=SUMIFS(DARE,DEN_G,$AC200)),SUMIFS(AVERE,DEN_G,$AC200),))&gt;0,MAX($BS$2:BS199)+1,0)</f>
        <v>0</v>
      </c>
      <c r="BT200" s="48" t="str">
        <f ca="1">IF($CO$1=0,"",IF(AND($I$1=2,ROW()&gt;$BR$1,ROW()&lt;=$BS$1)," …………….",IF(AND($E$1=1,$BX$1=1,$I$1=2,ROW()=$BQ$1),"TOTALI",IFERROR(INDEX(PDC,MATCH(ROWS(BT$3:BT200),BS$3:BS597,0),2),""))))</f>
        <v/>
      </c>
      <c r="BU200" s="48">
        <f t="shared" ca="1" si="425"/>
        <v>0</v>
      </c>
      <c r="BV200" s="48">
        <f t="shared" ca="1" si="426"/>
        <v>0</v>
      </c>
      <c r="BW200" s="48">
        <f t="shared" ca="1" si="427"/>
        <v>0</v>
      </c>
      <c r="BX200" s="48">
        <f t="shared" ca="1" si="428"/>
        <v>0</v>
      </c>
      <c r="BY200" s="48">
        <f ca="1">IF(OR(BW200&gt;0,BX200&gt;0),MAX($BY$2:BY199)+1,0)</f>
        <v>0</v>
      </c>
      <c r="BZ200" s="48" t="str">
        <f ca="1">IFERROR(INDEX($BT$3:$BY$400,MATCH(ROWS(BZ$3:BZ200),$BY$3:$BY$400,0),1),"")</f>
        <v/>
      </c>
      <c r="CA200" s="48" t="str">
        <f ca="1">IFERROR(INDEX($BT$3:$BY$400,MATCH(ROWS(CA$3:CA200),$BY$3:$BY$400,0),4),"")</f>
        <v/>
      </c>
      <c r="CB200" s="48" t="str">
        <f ca="1">IFERROR(INDEX($BT$3:$BY$400,MATCH(ROWS(CB$3:CB200),$BY$3:$BY$400,0),5),"")</f>
        <v/>
      </c>
      <c r="CC200" s="48" t="str">
        <f t="shared" ca="1" si="429"/>
        <v/>
      </c>
      <c r="CD200" s="48">
        <f ca="1">IF(AND($CF$1=TRUE,CH200&lt;&gt;0),MAX($CD$190:CD199)+1,0)</f>
        <v>0</v>
      </c>
      <c r="CE200" s="48">
        <f ca="1">IF($I$1=1,ROUND(SUM(CE193:CE199),0),IF(AND(I1=2,SUM(CE193:CE199)&lt;&gt;0),"_ _ _",0))</f>
        <v>0</v>
      </c>
      <c r="CG200" s="242" t="s">
        <v>783</v>
      </c>
      <c r="CH200" s="48">
        <f ca="1">IF($I$1=1,SUM(CE200,CH199),CE200)</f>
        <v>0</v>
      </c>
      <c r="CM200" s="242" t="str">
        <f t="shared" ca="1" si="444"/>
        <v/>
      </c>
      <c r="CN200" s="243">
        <f t="shared" ca="1" si="445"/>
        <v>0</v>
      </c>
      <c r="CO200" s="48" t="str">
        <f t="shared" ca="1" si="446"/>
        <v/>
      </c>
      <c r="CQ200" s="242"/>
      <c r="CR200" s="242"/>
      <c r="CU200" s="48">
        <f ca="1">IF(SUMIFS(AVERE,DEN_G,AC200,AVERE,"&gt;"&amp;0)+SUMIFS(DARE,DEN_G,AC200,DARE,"&gt;"&amp;0)&gt;0,MAX($CU$2:CU199)+1,0)</f>
        <v>0</v>
      </c>
      <c r="CV200" s="48" t="str">
        <f ca="1">IF(IFERROR(INDEX(PDC,MATCH(ROWS($CV$3:CV200),$CU$3:$CU$400,0),2),"")="CONTO DI RISULTATO ECONOMICO","",IFERROR(INDEX(PDC,MATCH(ROWS($CV$3:CV200),$CU$3:$CU$400,0),2),""))</f>
        <v/>
      </c>
      <c r="CW200" s="48">
        <f ca="1">IFERROR(IF(CV200&lt;&gt;"",MAX($CW$2:CW199)+1,0),0)</f>
        <v>0</v>
      </c>
      <c r="CX200" s="48">
        <f t="shared" ca="1" si="474"/>
        <v>16</v>
      </c>
      <c r="CY200" s="48" t="str">
        <f t="shared" ca="1" si="472"/>
        <v>MASTRO</v>
      </c>
      <c r="CZ200" s="48" t="e">
        <f t="shared" ref="CZ200:CZ209" ca="1" si="476">SUM(MATCH($CY200,INDIRECT(ADDRESS(SUM(CZ199)+3,54)&amp;":"&amp;ADDRESS(400,54)),0),CZ199)</f>
        <v>#N/A</v>
      </c>
      <c r="DA200" s="48" t="str">
        <f ca="1">IFERROR(INDEX(LIBRO_GIORNALE,CZ200,1),"")</f>
        <v/>
      </c>
      <c r="DB200" s="48" t="str">
        <f t="shared" ca="1" si="347"/>
        <v/>
      </c>
      <c r="DC200" s="48" t="str">
        <f t="shared" ref="DC200:DC209" ca="1" si="477">IF(IFERROR(INDEX(LIBRO_GIORNALE,CZ200,4),"")=0,"manca la descrizione dell'operazione",IFERROR(INDEX(LIBRO_GIORNALE,CZ200,4),""))</f>
        <v/>
      </c>
      <c r="DD200" s="48" t="str">
        <f t="shared" ref="DD200:DD209" ca="1" si="478">IFERROR(IF(INDEX(LIBRO_GIORNALE,CZ200,5)&gt;0,INDEX(LIBRO_GIORNALE,CZ200,5),""),"")</f>
        <v/>
      </c>
      <c r="DE200" s="48" t="str">
        <f t="shared" ref="DE200:DE209" ca="1" si="479">IFERROR(IF(INDEX(LIBRO_GIORNALE,CZ200,6)&gt;0,INDEX(LIBRO_GIORNALE,CZ200,6),""),"")</f>
        <v/>
      </c>
      <c r="DF200" s="48">
        <f ca="1">IF(AND(CX200=$DF$1,CX200&lt;&gt;""),0,IF(AND(DB200&lt;&gt;"",OR(DB199&lt;&gt;"",DB201&lt;&gt;"")),MAX($DF$2:DF199)+1,0))</f>
        <v>0</v>
      </c>
      <c r="DH200" s="244" t="s">
        <v>415</v>
      </c>
      <c r="DI200" s="48" t="str">
        <f ca="1">IF($DL$1=TRUE,"SOCI C/ACCONTO UTILI","AZIONISTI C/ACCONTO DIVIDENDI")</f>
        <v>AZIONISTI C/ACCONTO DIVIDENDI</v>
      </c>
      <c r="DJ200" s="48" t="s">
        <v>312</v>
      </c>
      <c r="DK200" s="48" t="s">
        <v>298</v>
      </c>
      <c r="DL200" s="48" t="s">
        <v>5</v>
      </c>
      <c r="DM200" s="48" t="s">
        <v>299</v>
      </c>
      <c r="DO200" s="48" t="str">
        <f t="shared" ca="1" si="403"/>
        <v>ppd</v>
      </c>
      <c r="DW200" s="48">
        <f>IF(DR200&lt;&gt;"",MAX($DW$2:DW199)+1,0)</f>
        <v>0</v>
      </c>
      <c r="DY200" s="48" t="str">
        <f t="shared" ca="1" si="430"/>
        <v/>
      </c>
      <c r="DZ200" s="48" t="str">
        <f t="shared" ca="1" si="447"/>
        <v/>
      </c>
      <c r="EA200" s="48" t="str">
        <f t="shared" ca="1" si="448"/>
        <v/>
      </c>
      <c r="EB200" s="48">
        <f t="shared" ca="1" si="449"/>
        <v>0</v>
      </c>
      <c r="EC200" s="48">
        <f t="shared" ca="1" si="450"/>
        <v>0</v>
      </c>
      <c r="ED200" s="48" t="str">
        <f t="shared" ca="1" si="451"/>
        <v/>
      </c>
      <c r="EE200" s="48">
        <f t="shared" ca="1" si="452"/>
        <v>0</v>
      </c>
      <c r="EF200" s="48" t="str">
        <f t="shared" ca="1" si="453"/>
        <v/>
      </c>
      <c r="EG200" s="48">
        <f t="shared" ca="1" si="454"/>
        <v>0</v>
      </c>
      <c r="EH200" s="48" t="str">
        <f t="shared" ca="1" si="455"/>
        <v/>
      </c>
      <c r="EI200" s="48">
        <f t="shared" ca="1" si="456"/>
        <v>0</v>
      </c>
      <c r="EJ200" s="48" t="str">
        <f t="shared" ca="1" si="457"/>
        <v/>
      </c>
      <c r="EK200" s="48">
        <f t="shared" ca="1" si="458"/>
        <v>0</v>
      </c>
      <c r="EL200" s="48">
        <f t="shared" ca="1" si="431"/>
        <v>0</v>
      </c>
      <c r="EM200" s="48">
        <f ca="1">IF(EL200&gt;=0,0,MAX($EM$2:EM199)+1)</f>
        <v>0</v>
      </c>
      <c r="EN200" s="48" t="str">
        <f t="shared" ca="1" si="459"/>
        <v/>
      </c>
      <c r="EO200" s="48" t="str">
        <f ca="1">IFERROR(INDEX($EM$3:$EN$400,MATCH(ROWS($EO$3:EO200),$EM$3:$EM$400,0),2),"")</f>
        <v/>
      </c>
      <c r="EP200" s="48">
        <f>ROW()</f>
        <v>200</v>
      </c>
      <c r="EQ200" s="48">
        <f t="shared" ca="1" si="432"/>
        <v>0</v>
      </c>
      <c r="ER200" s="48">
        <f ca="1">IF(ISNA(EQ200)=TRUE,MAX($ER$2:ER199)+1,0)</f>
        <v>0</v>
      </c>
      <c r="ES200" s="48" t="str">
        <f t="shared" ca="1" si="460"/>
        <v/>
      </c>
      <c r="ET200" s="48" t="str">
        <f ca="1">IFERROR(INDEX($ER$3:$ES$400,MATCH(ROWS($ET$3:ET200),$ER$3:$ER$400,0),2),"")</f>
        <v/>
      </c>
      <c r="EV200" s="48">
        <f ca="1">IFERROR(INDEX(LIBRO_GIORNALE!$O$11:$P$408,MATCH(ROWS($EV$2:EV199),LIBRO_GIORNALE!$P$11:$P$408,0),1),0)</f>
        <v>0</v>
      </c>
      <c r="EW200" s="48" t="str">
        <f t="shared" ca="1" si="461"/>
        <v>0</v>
      </c>
      <c r="EX200" s="48">
        <f t="shared" ca="1" si="462"/>
        <v>0</v>
      </c>
      <c r="EY200" s="48">
        <f ca="1">IF(EX200&gt;0,MAX($EY$2:EY199)+1,0)</f>
        <v>0</v>
      </c>
      <c r="EZ200" s="48">
        <f ca="1">IFERROR(INDEX($EX$3:$EX$400,MATCH(ROWS($EZ$3:EZ200),$EY$3:$EY$400,0),1),0)</f>
        <v>0</v>
      </c>
      <c r="FA200" s="48">
        <f ca="1">IF(EZ200&gt;0,0,MAX($FA$2:FA199)+1)</f>
        <v>198</v>
      </c>
      <c r="FB200" s="48">
        <f t="shared" ca="1" si="463"/>
        <v>0</v>
      </c>
      <c r="FC200" s="48">
        <f t="shared" ca="1" si="464"/>
        <v>198</v>
      </c>
      <c r="FD200" s="48">
        <f t="shared" ca="1" si="465"/>
        <v>198</v>
      </c>
      <c r="FE200" s="48">
        <f ca="1">IF(FD200=0,0,MAX($FE$2:FE199)+1)</f>
        <v>198</v>
      </c>
      <c r="FF200" s="48">
        <f ca="1">IFERROR(INDEX($FD$3:$FE$400,MATCH(ROWS($FF$3:FF200),$FE$3:$FE$400,0),1),"")</f>
        <v>198</v>
      </c>
      <c r="FG200" s="48">
        <f t="shared" ca="1" si="380"/>
        <v>0</v>
      </c>
      <c r="FH200" s="48">
        <f t="shared" ca="1" si="466"/>
        <v>0</v>
      </c>
      <c r="FI200" s="48">
        <f ca="1">IF(FH200&lt;&gt;0,MAX($FI$2:FI199)+1,0)</f>
        <v>0</v>
      </c>
      <c r="FJ200" s="48" t="str">
        <f ca="1">IFERROR(INDEX($FH$3:$FI$400,MATCH(ROWS($FJ$3:FJ200),$FI$3:$FI$400,0),1),"")</f>
        <v/>
      </c>
      <c r="FK200" s="48">
        <f ca="1">IF(ABS(SUMIFS(DARE,DEN_G,"="&amp;FJ200,DATA,"&lt;="&amp;FINE_AC,DATA,"&gt;="&amp;INIZIO_A_PC)-SUMIFS(AVERE,DEN_G,"="&amp;FJ200,DATA,"&lt;="&amp;FINE_AC,DATA,"&gt;="&amp;INIZIO_A_PC))&gt;0,MAX($FK$2:FK199)+1,0)</f>
        <v>0</v>
      </c>
      <c r="FL200" s="48" t="str">
        <f ca="1">IF(AND(ROW()-2&lt;&gt;1,ROW()-2&lt;=$FK$1),CONCATENATE(" - ",IFERROR(INDEX($FJ$3:$FK$400,MATCH(ROWS($FL$3:FL200),$FK$3:$FK$400,0),1),"")),IFERROR(INDEX($FJ$3:$FK$400,MATCH(ROWS($FL$3:FL200),$FK$3:$FK$400,0),1),""))</f>
        <v/>
      </c>
      <c r="FM200" s="48">
        <f ca="1">IF(OR(B200="IVA ns/credito",B200="IVA NS/DEBITO",B200="IVA C/ACCONTO",B200="IMPOSTE C/ACCONTO",B200="CREDITI PER RITENUTE SUBITE",B200="CREDITI D'IMPOSTA"),MAX($FM$2:FM199)+1,0)</f>
        <v>0</v>
      </c>
      <c r="FN200" s="48" t="str">
        <f t="shared" ca="1" si="467"/>
        <v/>
      </c>
      <c r="FO200" s="48" t="str">
        <f ca="1">IFERROR(INDEX($FM$3:$FN$400,MATCH(ROWS($FO$3:FO200),$FM$3:$FM$400,0),2),"")</f>
        <v/>
      </c>
      <c r="FP200" s="48">
        <f ca="1">IF(ABS(SUMIFS(DARE,DEN_G,"="&amp;FO200,DATA,"&lt;="&amp;FINE_AC,DATA,"&gt;="&amp;INIZIO_A_PC)-SUMIFS(AVERE,DEN_G,"="&amp;FO200,DATA,"&lt;="&amp;FINE_AC,DATA,"&gt;="&amp;INIZIO_A_PC))&gt;0,MAX($FP$2:FP199)+1,0)</f>
        <v>0</v>
      </c>
      <c r="FQ200" s="48" t="str">
        <f ca="1">IF(AND(ROW()-2&lt;&gt;1,ROW()-2&lt;=$FP$1),CONCATENATE(" - ",IFERROR(INDEX($FO$3:$FP$400,MATCH(ROWS($FQ$3:FQ200),$FP$3:$FP$400,0),1),"")),IFERROR(INDEX($FO$3:$FP$400,MATCH(ROWS($FQ$3:FQ200),$FP$3:$FP$400,0),1),""))</f>
        <v/>
      </c>
    </row>
    <row r="201" spans="1:173" x14ac:dyDescent="0.3">
      <c r="A201" s="48" t="str">
        <f ca="1">IFERROR(IF($A$1=2,INDEX($DH$3:$DN$401,MATCH(ROWS(A$3:A201),$DN$3:$DN$401,0),COLUMN()),IF($A$1=1,INDEX($DQ$3:$DW$401,MATCH(ROWS(A$3:A201),$DW$3:$DW$401,0),COLUMN()),"")),"")</f>
        <v>20.38</v>
      </c>
      <c r="B201" s="48" t="str">
        <f ca="1">IFERROR(IF($A$1=2,INDEX($DH$3:$DN$401,MATCH(ROWS(B$3:B201),$DN$3:$DN$401,0),COLUMN()),IF($A$1=1,INDEX($DQ$3:$DW$400,MATCH(ROWS(B$3:B201),$DW$3:$DW$401,0),COLUMN()),"")),"")</f>
        <v>PROVENTI VARI</v>
      </c>
      <c r="C201" s="48" t="str">
        <f ca="1">IFERROR(IF($A$1=2,INDEX($DH$3:$DN$401,MATCH(ROWS(C$3:C201),$DN$3:$DN$401,0),COLUMN()),IF($A$1=1,INDEX($DQ$3:$DW$401,MATCH(ROWS(C$3:C201),$DW$3:$DW$401,0),COLUMN()),"")),"")</f>
        <v>E</v>
      </c>
      <c r="D201" s="48" t="str">
        <f ca="1">IFERROR(IF($A$1=2,INDEX($DH$3:$DN$401,MATCH(ROWS(D$3:D201),$DN$3:$DN$401,0),COLUMN()),IF($A$1=1,INDEX($DQ$3:$DW$401,MATCH(ROWS(D$3:D201),$DW$3:$DW$401,0),COLUMN()),"")),"")</f>
        <v>A</v>
      </c>
      <c r="E201" s="48" t="str">
        <f ca="1">IFERROR(IF($A$1=2,INDEX($DH$3:$DN$401,MATCH(ROWS(E$3:E201),$DN$3:$DN$401,0),COLUMN()),IF($A$1=1,INDEX($DQ$3:$DW$401,MATCH(ROWS(E$3:E201),$DW$3:$DW$401,0),COLUMN()),"")),"")</f>
        <v>RICAVI D'ESERCIZIO</v>
      </c>
      <c r="F201" s="48" t="str">
        <f ca="1">IFERROR(IF($A$1=2,INDEX($DH$3:$DN$401,MATCH(ROWS(F$3:F201),$DN$3:$DN$401,0),COLUMN()),IF($A$1=1,INDEX($DQ$3:$DX$401,MATCH(ROWS(F$3:F201),$DW$3:$DW$401,0),COLUMN()),"")),"")</f>
        <v>SE AVERE</v>
      </c>
      <c r="G201" s="48" t="str">
        <f t="shared" ca="1" si="433"/>
        <v>SE</v>
      </c>
      <c r="H201" s="48" t="str">
        <f ca="1">IFERROR(IF($A$1=2,INDEX($DH$3:$DO$400,MATCH(ROWS(H$3:H201),$DN$3:$DN$400,0),COLUMN()),IF($A$1=1,INDEX($DQ$3:$DX$400,MATCH(ROWS(H$3:H201),$DW$3:$DW$400,0),COLUMN()),"")),"")</f>
        <v>ea5</v>
      </c>
      <c r="M201" s="48">
        <f ca="1">IFERROR(IF(IF(MID($A201,3,3)=".00",MID(A201,1,2),"")&lt;&gt;"",MAX($M$2:M200)+1,0),"")</f>
        <v>0</v>
      </c>
      <c r="N201" s="48" t="str">
        <f t="shared" ca="1" si="438"/>
        <v/>
      </c>
      <c r="O201" s="48" t="str">
        <f ca="1">IF(IFERROR(INDEX($N$3:$O$300,MATCH(ROWS($O$3:O201),$M$3:$M$300,0),1),"")&lt;&gt;"",CONCATENATE(INDEX($N$3:$O$300,MATCH(ROWS($O$3:O201),$M$3:$M$300,0),1),".00"),"")</f>
        <v/>
      </c>
      <c r="P201" s="48" t="str">
        <f t="shared" ca="1" si="439"/>
        <v/>
      </c>
      <c r="Q201" s="48">
        <f ca="1">IF(M201&gt;=1,0,MAX($Q$2:Q200)+1)</f>
        <v>179</v>
      </c>
      <c r="U201" s="48" t="str">
        <f ca="1">IFERROR(INDEX(PDC,MATCH(ROWS(U$3:U201),$V$3:$V$400,0),2),"")</f>
        <v>COSTI DI TRASPORTO</v>
      </c>
      <c r="V201" s="48">
        <f ca="1">IF(AND($T$1="VISUALIZZA TUTTI I CONTI",AA201&lt;&gt;""),MAX($V$2:V200)+1,IF(AND($U$2=2,AI201=$T$1),MAX($V$2:V200)+1,IF(AND($U$2=1,$T$1=AF201),MAX($V$2:V200)+1,0)))</f>
        <v>199</v>
      </c>
      <c r="AA201" s="48" t="str">
        <f t="shared" ca="1" si="440"/>
        <v>31.00</v>
      </c>
      <c r="AB201" s="48" t="str">
        <f ca="1">IFERROR(INDEX($A$3:$G$400,MATCH(ROWS(AB$3:AB201),$Q$3:$Q$400,0),1),"")</f>
        <v>31.01</v>
      </c>
      <c r="AC201" s="48" t="str">
        <f ca="1">IFERROR(INDEX($A$3:$G$400,MATCH(ROWS($AC$3:AC201),$Q$3:$Q$400,0),2),"")</f>
        <v>COSTI DI TRASPORTO</v>
      </c>
      <c r="AD201" s="48" t="str">
        <f ca="1">IFERROR(INDEX($A$3:$G$400,MATCH(ROWS(AD$3:AD201),$Q$3:$Q$400,0),3),"")</f>
        <v>E</v>
      </c>
      <c r="AE201" s="48" t="str">
        <f ca="1">IFERROR(INDEX($A$3:$G$400,MATCH(ROWS(AE$3:AE201),$Q$3:$Q$400,0),4),"")</f>
        <v>D</v>
      </c>
      <c r="AF201" s="48" t="str">
        <f ca="1">IFERROR(INDEX($A$3:$G$400,MATCH(ROWS(AF$3:AF201),$Q$3:$Q$400,0),5),"")</f>
        <v>COSTI D'ESERCIZIO</v>
      </c>
      <c r="AG201" s="48" t="str">
        <f ca="1">IFERROR(INDEX($A$3:$G$400,MATCH(ROWS(AG$3:AG201),$Q$3:$Q$400,0),6),"")</f>
        <v>SE DARE</v>
      </c>
      <c r="AH201" s="48" t="str">
        <f ca="1">IFERROR(INDEX($A$3:$G$400,MATCH(ROWS(AH$3:AH201),$Q$3:$Q$400,0),7),"")</f>
        <v>SE</v>
      </c>
      <c r="AI201" s="48" t="str">
        <f t="shared" ca="1" si="441"/>
        <v>COSTI PER SERVIZI</v>
      </c>
      <c r="AJ201" s="48" t="str">
        <f ca="1">IFERROR(INDEX($A$3:$H$400,MATCH(ROWS(AJ$3:AJ201),$Q$3:$Q$400,0),8),"")</f>
        <v>eb7</v>
      </c>
      <c r="AK201" s="48">
        <f t="shared" ca="1" si="417"/>
        <v>0</v>
      </c>
      <c r="AL201" s="48">
        <f t="shared" ca="1" si="473"/>
        <v>0</v>
      </c>
      <c r="AM201" s="48">
        <f t="shared" ca="1" si="377"/>
        <v>0</v>
      </c>
      <c r="AN201" s="48">
        <f t="shared" ca="1" si="378"/>
        <v>0</v>
      </c>
      <c r="AO201" s="48">
        <f t="shared" ca="1" si="379"/>
        <v>0</v>
      </c>
      <c r="AP201" s="48">
        <f t="shared" ca="1" si="379"/>
        <v>0</v>
      </c>
      <c r="AQ201" s="48" t="str">
        <f t="shared" ca="1" si="418"/>
        <v/>
      </c>
      <c r="AR201" s="48">
        <f t="shared" ca="1" si="419"/>
        <v>0</v>
      </c>
      <c r="AS201" s="48">
        <f t="shared" ca="1" si="420"/>
        <v>0</v>
      </c>
      <c r="AT201" s="48">
        <f t="shared" ca="1" si="442"/>
        <v>0</v>
      </c>
      <c r="AU201" s="48">
        <f t="shared" ca="1" si="443"/>
        <v>0</v>
      </c>
      <c r="AV201" s="48">
        <f ca="1">IF(OR(AT201&gt;0,AU201&gt;0),MAX($AV$2:AV200)+1,0)</f>
        <v>0</v>
      </c>
      <c r="AZ201" s="48" t="str">
        <f ca="1">IF(BB201=0,"",ROW()-200)</f>
        <v/>
      </c>
      <c r="BA201" s="48">
        <f t="shared" ref="BA201:BA232" ca="1" si="480">IF(AND(BF201&lt;$BF$2,AL103&gt;=INIZIO_AC,AL103&gt;=INIZIO_A_PC,AL103&lt;=FINE_AC),AL103,0)</f>
        <v>0</v>
      </c>
      <c r="BB201" s="48">
        <f t="shared" ref="BB201:BB233" ca="1" si="481">IF($BA201=0,0,IF(AND(BE201&gt;0,AM103="UTILE D'ESERCIZIO"),CONCATENATE("[",AM103),IF(AND(BD201&gt;0,AM103="PERDITA D'ESERCIZIO"),CONCATENATE("[",AM103),AM103)))</f>
        <v>0</v>
      </c>
      <c r="BC201" s="48">
        <f t="shared" ref="BC201:BC233" ca="1" si="482">IF($BA201=0,0,AN103)</f>
        <v>0</v>
      </c>
      <c r="BD201" s="48">
        <f t="shared" ca="1" si="383"/>
        <v>0</v>
      </c>
      <c r="BE201" s="48">
        <f t="shared" ca="1" si="384"/>
        <v>0</v>
      </c>
      <c r="BF201" s="48">
        <f>ROW()-200</f>
        <v>1</v>
      </c>
      <c r="BG201" s="48">
        <f ca="1">IF(IF(AND(OR(INDEX(PDC,MATCH($AC201,DEN_PDC,0),6)="SP DARE",INDEX(PDC,MATCH($AC201,DEN_PDC,0),6)="SP DARE/AVERE"),SUMIFS(DARE,DEN_G,$AC201)&gt;=SUMIFS(AVERE,DEN_G,$AC201)),SUMIFS(DARE,DEN_G,$AC201)-SUMIFS(AVERE,DEN_G,$AC201),0)&gt;0,MAX($BG$2:BG200)+1,0)</f>
        <v>0</v>
      </c>
      <c r="BH201" s="48">
        <f ca="1">IF(IF(AND(OR(INDEX(PDC,MATCH($AC201,DEN_PDC,0),6)="SP AVERE",INDEX(PDC,MATCH($AC201,DEN_PDC,0),6)="SP DARE/AVERE"),SUMIFS(AVERE,DEN_G,$AC201)&gt;=SUMIFS(DARE,DEN_G,$AC201)),SUMIFS(AVERE,DEN_G,$AC201)-SUMIFS(DARE,DEN_G,$AC201),0)&gt;0,MAX(BH$2:BH200)+1,0)</f>
        <v>0</v>
      </c>
      <c r="BI201" s="48">
        <f ca="1">IF(IF(AND(OR(INDEX(PDC,MATCH($AC201,DEN_PDC,0),6)="SE DARE",INDEX(PDC,MATCH($AC201,DEN_PDC,0),6)="SE DARE/AVERE"),SUMIFS(DARE,DEN_G,$AC201)&gt;=SUMIFS(AVERE,DEN_G,$AC201)),SUMIFS(DARE,DEN_G,$AC201)-SUMIFS(AVERE,DEN_G,$AC201),0)&gt;0,MAX(BI$2:BI200)+1,0)</f>
        <v>0</v>
      </c>
      <c r="BJ201" s="48">
        <f ca="1">IF(IF(AND(OR(INDEX(PDC,MATCH($AC201,DEN_PDC,0),6)="SE AVERE",INDEX(PDC,MATCH($AC201,DEN_PDC,0),6)="SE DARE/AVERE"),SUMIFS(AVERE,DEN_G,$AC201)&gt;=SUMIFS(DARE,DEN_G,$AC201)),SUMIFS(AVERE,DEN_G,$AC201)-SUMIFS(DARE,DEN_G,$AC201),0)&gt;0,MAX(BJ$2:BJ200)+1,0)</f>
        <v>0</v>
      </c>
      <c r="BK201" s="48" t="str">
        <f ca="1">IF(AND(AND($DY$2=0,$DY$1=0),$I$1=2,ROW()&gt;$BG$1+2,ROW()&lt;=$BG$1+4),"………………..",IF(AND(OR($DY$2&gt;0,$DY$1&gt;0),$I$1=2,ROW()&gt;$BG$1+2,ROW()&lt;=$BG$1+4),"………………..",IFERROR(INDEX($AC$3:$AC$398,MATCH(ROWS(BK$3:BK201),BG$3:BG$398,0),1),"")))</f>
        <v/>
      </c>
      <c r="BL201" s="48">
        <f t="shared" ca="1" si="421"/>
        <v>0</v>
      </c>
      <c r="BM201" s="48" t="str">
        <f ca="1">IF(AND(OR($DY$2=0,$DY$1=0),$I$1=2,ROW()&gt;$BH$1+2,ROW()&lt;=$BH$1+4),"………………..",IF(AND(OR($DY$2&gt;0,$DY$1&gt;0),$I$1=2,ROW()&gt;$BH$1+2,ROW()&lt;=$BH$1+4),"………………..",IFERROR(INDEX($AC$3:$AC$400,MATCH(ROWS(BM$3:BM201),BH$3:BH$400,0),1),"")))</f>
        <v/>
      </c>
      <c r="BN201" s="48">
        <f t="shared" ca="1" si="422"/>
        <v>0</v>
      </c>
      <c r="BO201" s="48" t="str">
        <f ca="1">IF(AND(OR($DY$2=0,$DY$1=0),$I$1=2,ROW()&gt;$BI$1+2,ROW()&lt;=$BI$1+4),"………………..",IF(AND(OR($DY$2&gt;0,$DY$1&gt;0),$I$1=2,ROW()&gt;$BI$1+2,ROW()&lt;=$BI$1+4),"………………..",IFERROR(INDEX($AC$3:$AC$400,MATCH(ROWS(BO$3:BO201),BI$3:BI$400,0),1),"")))</f>
        <v/>
      </c>
      <c r="BP201" s="48">
        <f t="shared" ca="1" si="423"/>
        <v>0</v>
      </c>
      <c r="BQ201" s="48" t="str">
        <f ca="1">IF(AND(OR($DY$2=0,$DY$1=0),$I$1=2,ROW()&gt;$BJ$1+2,ROW()&lt;=$BJ$1+4),"………………..",IF(AND(OR($DY$2&gt;0,$DY$1&gt;0),$I$1=2,ROW()&gt;$BJ$1+2,ROW()&lt;=$BJ$1+4),"………………..",IFERROR(INDEX($AC$3:$AC$400,MATCH(ROWS(BQ$3:BQ201),BJ$3:BJ$400,0),1),"")))</f>
        <v/>
      </c>
      <c r="BR201" s="48">
        <f t="shared" ca="1" si="424"/>
        <v>0</v>
      </c>
      <c r="BS201" s="48">
        <f ca="1">IF(IF(AND(OR(INDEX(PDC,MATCH($AC201,DEN_PDC,0),4)="D",INDEX(PDC,MATCH($AC201,DEN_PDC,0),4)="D/A"),SUMIFS(DARE,DEN_G,$AC201)&gt;=SUMIFS(AVERE,DEN_G,$AC201)),SUMIFS(DARE,DEN_G,$AC201),IF(AND(OR(INDEX(PDC,MATCH($AC201,DEN_PDC,0),4)="A",INDEX(PDC,MATCH($AC201,DEN_PDC,0),4)="D/A"),SUMIFS(AVERE,DEN_G,$AC201)&gt;=SUMIFS(DARE,DEN_G,$AC201)),SUMIFS(AVERE,DEN_G,$AC201),))&gt;0,MAX($BS$2:BS200)+1,0)</f>
        <v>0</v>
      </c>
      <c r="BT201" s="48" t="str">
        <f ca="1">IF($CO$1=0,"",IF(AND($I$1=2,ROW()&gt;$BR$1,ROW()&lt;=$BS$1)," …………….",IF(AND($E$1=1,$BX$1=1,$I$1=2,ROW()=$BQ$1),"TOTALI",IFERROR(INDEX(PDC,MATCH(ROWS(BT$3:BT201),BS$3:BS598,0),2),""))))</f>
        <v/>
      </c>
      <c r="BU201" s="48">
        <f t="shared" ca="1" si="425"/>
        <v>0</v>
      </c>
      <c r="BV201" s="48">
        <f t="shared" ca="1" si="426"/>
        <v>0</v>
      </c>
      <c r="BW201" s="48">
        <f t="shared" ca="1" si="427"/>
        <v>0</v>
      </c>
      <c r="BX201" s="48">
        <f t="shared" ca="1" si="428"/>
        <v>0</v>
      </c>
      <c r="BY201" s="48">
        <f ca="1">IF(OR(BW201&gt;0,BX201&gt;0),MAX($BY$2:BY200)+1,0)</f>
        <v>0</v>
      </c>
      <c r="BZ201" s="48" t="str">
        <f ca="1">IFERROR(INDEX($BT$3:$BY$400,MATCH(ROWS(BZ$3:BZ201),$BY$3:$BY$400,0),1),"")</f>
        <v/>
      </c>
      <c r="CA201" s="48" t="str">
        <f ca="1">IFERROR(INDEX($BT$3:$BY$400,MATCH(ROWS(CA$3:CA201),$BY$3:$BY$400,0),4),"")</f>
        <v/>
      </c>
      <c r="CB201" s="48" t="str">
        <f ca="1">IFERROR(INDEX($BT$3:$BY$400,MATCH(ROWS(CB$3:CB201),$BY$3:$BY$400,0),5),"")</f>
        <v/>
      </c>
      <c r="CC201" s="48" t="str">
        <f t="shared" ca="1" si="429"/>
        <v/>
      </c>
      <c r="CD201" s="48">
        <f ca="1">IF(CE201&lt;&gt;0,MAX($CD$190:CD200)+1,0)</f>
        <v>0</v>
      </c>
      <c r="CE201" s="48">
        <f ca="1">IF(OR(CE197&lt;&gt;0,CE221&lt;&gt;0,CE232&lt;&gt;0,CE244&lt;&gt;0),"A",0)</f>
        <v>0</v>
      </c>
      <c r="CG201" s="243" t="s">
        <v>575</v>
      </c>
      <c r="CM201" s="242" t="str">
        <f t="shared" ca="1" si="444"/>
        <v/>
      </c>
      <c r="CN201" s="243">
        <f t="shared" ca="1" si="445"/>
        <v>0</v>
      </c>
      <c r="CO201" s="48" t="str">
        <f t="shared" ca="1" si="446"/>
        <v/>
      </c>
      <c r="CU201" s="48">
        <f ca="1">IF(SUMIFS(AVERE,DEN_G,AC201,AVERE,"&gt;"&amp;0)+SUMIFS(DARE,DEN_G,AC201,DARE,"&gt;"&amp;0)&gt;0,MAX($CU$2:CU200)+1,0)</f>
        <v>0</v>
      </c>
      <c r="CV201" s="48" t="str">
        <f ca="1">IF(IFERROR(INDEX(PDC,MATCH(ROWS($CV$3:CV201),$CU$3:$CU$400,0),2),"")="CONTO DI RISULTATO ECONOMICO","",IFERROR(INDEX(PDC,MATCH(ROWS($CV$3:CV201),$CU$3:$CU$400,0),2),""))</f>
        <v/>
      </c>
      <c r="CW201" s="48">
        <f ca="1">IFERROR(IF(CV201&lt;&gt;"",MAX($CW$2:CW200)+1,0),0)</f>
        <v>0</v>
      </c>
      <c r="CX201" s="48">
        <f t="shared" ca="1" si="474"/>
        <v>16</v>
      </c>
      <c r="CY201" s="48" t="str">
        <f t="shared" ca="1" si="472"/>
        <v>MASTRO</v>
      </c>
      <c r="CZ201" s="48" t="e">
        <f t="shared" ca="1" si="476"/>
        <v>#N/A</v>
      </c>
      <c r="DA201" s="48" t="str">
        <f t="shared" ref="DA201:DA209" ca="1" si="483">IFERROR(INDEX(LIBRO_GIORNALE,CZ201,1),"")</f>
        <v/>
      </c>
      <c r="DB201" s="48" t="str">
        <f t="shared" ca="1" si="347"/>
        <v/>
      </c>
      <c r="DC201" s="48" t="str">
        <f t="shared" ca="1" si="477"/>
        <v/>
      </c>
      <c r="DD201" s="48" t="str">
        <f t="shared" ca="1" si="478"/>
        <v/>
      </c>
      <c r="DE201" s="48" t="str">
        <f t="shared" ca="1" si="479"/>
        <v/>
      </c>
      <c r="DF201" s="48">
        <f ca="1">IF(AND(CX201=$DF$1,CX201&lt;&gt;""),0,IF(AND(DB201&lt;&gt;"",OR(DB200&lt;&gt;"",DB202&lt;&gt;"")),MAX($DF$2:DF200)+1,0))</f>
        <v>0</v>
      </c>
      <c r="DG201" s="48">
        <f ca="1">DG206</f>
        <v>0</v>
      </c>
      <c r="DH201" s="244" t="s">
        <v>415</v>
      </c>
      <c r="DI201" s="48" t="str">
        <f ca="1">IFERROR(IF(AND($DL$1=TRUE,DG201&lt;&gt;0),CONCATENATE("SOCIO ",DG201," C/ACCONTO UTILI"),IF(AND($DL$1=FALSE,DG201&lt;&gt;0),CONCATENATE("AZIONISTA ",DG201," C/ACCONTO DIVIDENDI"),"")),"")</f>
        <v/>
      </c>
      <c r="DJ201" s="48" t="s">
        <v>312</v>
      </c>
      <c r="DK201" s="48" t="s">
        <v>298</v>
      </c>
      <c r="DL201" s="48" t="s">
        <v>5</v>
      </c>
      <c r="DM201" s="48" t="s">
        <v>299</v>
      </c>
      <c r="DN201" s="48">
        <f ca="1">IF(DI201&lt;&gt;"",MAX($DN$2:DN200)+1,0)</f>
        <v>0</v>
      </c>
      <c r="DO201" s="48" t="str">
        <f t="shared" ca="1" si="403"/>
        <v>ppd</v>
      </c>
      <c r="DW201" s="48">
        <f>IF(DR201&lt;&gt;"",MAX($DW$2:DW200)+1,0)</f>
        <v>0</v>
      </c>
      <c r="DY201" s="48" t="str">
        <f t="shared" ca="1" si="430"/>
        <v/>
      </c>
      <c r="EL201" s="48">
        <f t="shared" ca="1" si="431"/>
        <v>0</v>
      </c>
      <c r="EM201" s="48">
        <f ca="1">IF(EL201&gt;=0,0,MAX($EM$2:EM200)+1)</f>
        <v>0</v>
      </c>
      <c r="EN201" s="48" t="str">
        <f t="shared" ca="1" si="459"/>
        <v/>
      </c>
      <c r="EO201" s="48" t="str">
        <f ca="1">IFERROR(INDEX($EM$3:$EN$400,MATCH(ROWS($EO$3:EO201),$EM$3:$EM$400,0),2),"")</f>
        <v/>
      </c>
      <c r="EP201" s="48">
        <f>ROW()</f>
        <v>201</v>
      </c>
      <c r="EQ201" s="48">
        <f t="shared" ca="1" si="432"/>
        <v>0</v>
      </c>
      <c r="ER201" s="48">
        <f ca="1">IF(ISNA(EQ201)=TRUE,MAX($ER$2:ER200)+1,0)</f>
        <v>0</v>
      </c>
      <c r="ES201" s="48" t="str">
        <f t="shared" ca="1" si="460"/>
        <v/>
      </c>
      <c r="ET201" s="48" t="str">
        <f ca="1">IFERROR(INDEX($ER$3:$ES$400,MATCH(ROWS($ET$3:ET201),$ER$3:$ER$400,0),2),"")</f>
        <v/>
      </c>
      <c r="EV201" s="48">
        <f ca="1">IFERROR(INDEX(LIBRO_GIORNALE!$O$11:$P$408,MATCH(ROWS($EV$2:EV200),LIBRO_GIORNALE!$P$11:$P$408,0),1),0)</f>
        <v>0</v>
      </c>
      <c r="EW201" s="48" t="str">
        <f t="shared" ca="1" si="461"/>
        <v>0</v>
      </c>
      <c r="EX201" s="48">
        <f t="shared" ca="1" si="462"/>
        <v>0</v>
      </c>
      <c r="EY201" s="48">
        <f ca="1">IF(EX201&gt;0,MAX($EY$2:EY200)+1,0)</f>
        <v>0</v>
      </c>
      <c r="EZ201" s="48">
        <f ca="1">IFERROR(INDEX($EX$3:$EX$400,MATCH(ROWS($EZ$3:EZ201),$EY$3:$EY$400,0),1),0)</f>
        <v>0</v>
      </c>
      <c r="FA201" s="48">
        <f ca="1">IF(EZ201&gt;0,0,MAX($FA$2:FA200)+1)</f>
        <v>199</v>
      </c>
      <c r="FB201" s="48">
        <f t="shared" ca="1" si="463"/>
        <v>0</v>
      </c>
      <c r="FC201" s="48">
        <f t="shared" ca="1" si="464"/>
        <v>199</v>
      </c>
      <c r="FD201" s="48">
        <f t="shared" ca="1" si="465"/>
        <v>199</v>
      </c>
      <c r="FE201" s="48">
        <f ca="1">IF(FD201=0,0,MAX($FE$2:FE200)+1)</f>
        <v>199</v>
      </c>
      <c r="FF201" s="48">
        <f ca="1">IFERROR(INDEX($FD$3:$FE$400,MATCH(ROWS($FF$3:FF201),$FE$3:$FE$400,0),1),"")</f>
        <v>199</v>
      </c>
      <c r="FG201" s="48">
        <f t="shared" ca="1" si="380"/>
        <v>0</v>
      </c>
      <c r="FH201" s="48">
        <f t="shared" ca="1" si="466"/>
        <v>0</v>
      </c>
      <c r="FI201" s="48">
        <f ca="1">IF(FH201&lt;&gt;0,MAX($FI$2:FI200)+1,0)</f>
        <v>0</v>
      </c>
      <c r="FJ201" s="48" t="str">
        <f ca="1">IFERROR(INDEX($FH$3:$FI$400,MATCH(ROWS($FJ$3:FJ201),$FI$3:$FI$400,0),1),"")</f>
        <v/>
      </c>
      <c r="FK201" s="48">
        <f ca="1">IF(ABS(SUMIFS(DARE,DEN_G,"="&amp;FJ201,DATA,"&lt;="&amp;FINE_AC,DATA,"&gt;="&amp;INIZIO_A_PC)-SUMIFS(AVERE,DEN_G,"="&amp;FJ201,DATA,"&lt;="&amp;FINE_AC,DATA,"&gt;="&amp;INIZIO_A_PC))&gt;0,MAX($FK$2:FK200)+1,0)</f>
        <v>0</v>
      </c>
      <c r="FL201" s="48" t="str">
        <f ca="1">IF(AND(ROW()-2&lt;&gt;1,ROW()-2&lt;=$FK$1),CONCATENATE(" - ",IFERROR(INDEX($FJ$3:$FK$400,MATCH(ROWS($FL$3:FL201),$FK$3:$FK$400,0),1),"")),IFERROR(INDEX($FJ$3:$FK$400,MATCH(ROWS($FL$3:FL201),$FK$3:$FK$400,0),1),""))</f>
        <v/>
      </c>
      <c r="FM201" s="48">
        <f ca="1">IF(OR(B201="IVA ns/credito",B201="IVA NS/DEBITO",B201="IVA C/ACCONTO",B201="IMPOSTE C/ACCONTO",B201="CREDITI PER RITENUTE SUBITE",B201="CREDITI D'IMPOSTA"),MAX($FM$2:FM200)+1,0)</f>
        <v>0</v>
      </c>
      <c r="FN201" s="48" t="str">
        <f t="shared" ca="1" si="467"/>
        <v/>
      </c>
      <c r="FO201" s="48" t="str">
        <f ca="1">IFERROR(INDEX($FM$3:$FN$400,MATCH(ROWS($FO$3:FO201),$FM$3:$FM$400,0),2),"")</f>
        <v/>
      </c>
      <c r="FP201" s="48">
        <f ca="1">IF(ABS(SUMIFS(DARE,DEN_G,"="&amp;FO201,DATA,"&lt;="&amp;FINE_AC,DATA,"&gt;="&amp;INIZIO_A_PC)-SUMIFS(AVERE,DEN_G,"="&amp;FO201,DATA,"&lt;="&amp;FINE_AC,DATA,"&gt;="&amp;INIZIO_A_PC))&gt;0,MAX($FP$2:FP200)+1,0)</f>
        <v>0</v>
      </c>
      <c r="FQ201" s="48" t="str">
        <f ca="1">IF(AND(ROW()-2&lt;&gt;1,ROW()-2&lt;=$FP$1),CONCATENATE(" - ",IFERROR(INDEX($FO$3:$FP$400,MATCH(ROWS($FQ$3:FQ201),$FP$3:$FP$400,0),1),"")),IFERROR(INDEX($FO$3:$FP$400,MATCH(ROWS($FQ$3:FQ201),$FP$3:$FP$400,0),1),""))</f>
        <v/>
      </c>
    </row>
    <row r="202" spans="1:173" x14ac:dyDescent="0.3">
      <c r="A202" s="48" t="str">
        <f ca="1">IFERROR(IF($A$1=2,INDEX($DH$3:$DN$401,MATCH(ROWS(A$3:A202),$DN$3:$DN$401,0),COLUMN()),IF($A$1=1,INDEX($DQ$3:$DW$401,MATCH(ROWS(A$3:A202),$DW$3:$DW$401,0),COLUMN()),"")),"")</f>
        <v>20.39</v>
      </c>
      <c r="B202" s="48" t="str">
        <f ca="1">IFERROR(IF($A$1=2,INDEX($DH$3:$DN$401,MATCH(ROWS(B$3:B202),$DN$3:$DN$401,0),COLUMN()),IF($A$1=1,INDEX($DQ$3:$DW$400,MATCH(ROWS(B$3:B202),$DW$3:$DW$401,0),COLUMN()),"")),"")</f>
        <v>ARROTONDAMENTI ATTIVI</v>
      </c>
      <c r="C202" s="48" t="str">
        <f ca="1">IFERROR(IF($A$1=2,INDEX($DH$3:$DN$401,MATCH(ROWS(C$3:C202),$DN$3:$DN$401,0),COLUMN()),IF($A$1=1,INDEX($DQ$3:$DW$401,MATCH(ROWS(C$3:C202),$DW$3:$DW$401,0),COLUMN()),"")),"")</f>
        <v>E</v>
      </c>
      <c r="D202" s="48" t="str">
        <f ca="1">IFERROR(IF($A$1=2,INDEX($DH$3:$DN$401,MATCH(ROWS(D$3:D202),$DN$3:$DN$401,0),COLUMN()),IF($A$1=1,INDEX($DQ$3:$DW$401,MATCH(ROWS(D$3:D202),$DW$3:$DW$401,0),COLUMN()),"")),"")</f>
        <v>A</v>
      </c>
      <c r="E202" s="48" t="str">
        <f ca="1">IFERROR(IF($A$1=2,INDEX($DH$3:$DN$401,MATCH(ROWS(E$3:E202),$DN$3:$DN$401,0),COLUMN()),IF($A$1=1,INDEX($DQ$3:$DW$401,MATCH(ROWS(E$3:E202),$DW$3:$DW$401,0),COLUMN()),"")),"")</f>
        <v>RICAVI D'ESERCIZIO</v>
      </c>
      <c r="F202" s="48" t="str">
        <f ca="1">IFERROR(IF($A$1=2,INDEX($DH$3:$DN$401,MATCH(ROWS(F$3:F202),$DN$3:$DN$401,0),COLUMN()),IF($A$1=1,INDEX($DQ$3:$DX$401,MATCH(ROWS(F$3:F202),$DW$3:$DW$401,0),COLUMN()),"")),"")</f>
        <v>SE AVERE</v>
      </c>
      <c r="G202" s="48" t="str">
        <f t="shared" ca="1" si="433"/>
        <v>SE</v>
      </c>
      <c r="H202" s="48" t="str">
        <f ca="1">IFERROR(IF($A$1=2,INDEX($DH$3:$DO$400,MATCH(ROWS(H$3:H202),$DN$3:$DN$400,0),COLUMN()),IF($A$1=1,INDEX($DQ$3:$DX$400,MATCH(ROWS(H$3:H202),$DW$3:$DW$400,0),COLUMN()),"")),"")</f>
        <v>ea5</v>
      </c>
      <c r="M202" s="48">
        <f ca="1">IFERROR(IF(IF(MID($A202,3,3)=".00",MID(A202,1,2),"")&lt;&gt;"",MAX($M$2:M201)+1,0),"")</f>
        <v>0</v>
      </c>
      <c r="N202" s="48" t="str">
        <f t="shared" ca="1" si="438"/>
        <v/>
      </c>
      <c r="O202" s="48" t="str">
        <f ca="1">IF(IFERROR(INDEX($N$3:$O$300,MATCH(ROWS($O$3:O202),$M$3:$M$300,0),1),"")&lt;&gt;"",CONCATENATE(INDEX($N$3:$O$300,MATCH(ROWS($O$3:O202),$M$3:$M$300,0),1),".00"),"")</f>
        <v/>
      </c>
      <c r="P202" s="48" t="str">
        <f t="shared" ca="1" si="439"/>
        <v/>
      </c>
      <c r="Q202" s="48">
        <f ca="1">IF(M202&gt;=1,0,MAX($Q$2:Q201)+1)</f>
        <v>180</v>
      </c>
      <c r="U202" s="48" t="str">
        <f ca="1">IFERROR(INDEX(PDC,MATCH(ROWS(U$3:U202),$V$3:$V$400,0),2),"")</f>
        <v>COSTI PER ENERGIA</v>
      </c>
      <c r="V202" s="48">
        <f ca="1">IF(AND($T$1="VISUALIZZA TUTTI I CONTI",AA202&lt;&gt;""),MAX($V$2:V201)+1,IF(AND($U$2=2,AI202=$T$1),MAX($V$2:V201)+1,IF(AND($U$2=1,$T$1=AF202),MAX($V$2:V201)+1,0)))</f>
        <v>200</v>
      </c>
      <c r="AA202" s="48" t="str">
        <f t="shared" ca="1" si="440"/>
        <v>31.00</v>
      </c>
      <c r="AB202" s="48" t="str">
        <f ca="1">IFERROR(INDEX($A$3:$G$400,MATCH(ROWS(AB$3:AB202),$Q$3:$Q$400,0),1),"")</f>
        <v>31.02</v>
      </c>
      <c r="AC202" s="48" t="str">
        <f ca="1">IFERROR(INDEX($A$3:$G$400,MATCH(ROWS($AC$3:AC202),$Q$3:$Q$400,0),2),"")</f>
        <v>COSTI PER ENERGIA</v>
      </c>
      <c r="AD202" s="48" t="str">
        <f ca="1">IFERROR(INDEX($A$3:$G$400,MATCH(ROWS(AD$3:AD202),$Q$3:$Q$400,0),3),"")</f>
        <v>E</v>
      </c>
      <c r="AE202" s="48" t="str">
        <f ca="1">IFERROR(INDEX($A$3:$G$400,MATCH(ROWS(AE$3:AE202),$Q$3:$Q$400,0),4),"")</f>
        <v>D</v>
      </c>
      <c r="AF202" s="48" t="str">
        <f ca="1">IFERROR(INDEX($A$3:$G$400,MATCH(ROWS(AF$3:AF202),$Q$3:$Q$400,0),5),"")</f>
        <v>COSTI D'ESERCIZIO</v>
      </c>
      <c r="AG202" s="48" t="str">
        <f ca="1">IFERROR(INDEX($A$3:$G$400,MATCH(ROWS(AG$3:AG202),$Q$3:$Q$400,0),6),"")</f>
        <v>SE DARE</v>
      </c>
      <c r="AH202" s="48" t="str">
        <f ca="1">IFERROR(INDEX($A$3:$G$400,MATCH(ROWS(AH$3:AH202),$Q$3:$Q$400,0),7),"")</f>
        <v>SE</v>
      </c>
      <c r="AI202" s="48" t="str">
        <f t="shared" ca="1" si="441"/>
        <v>COSTI PER SERVIZI</v>
      </c>
      <c r="AJ202" s="48" t="str">
        <f ca="1">IFERROR(INDEX($A$3:$H$400,MATCH(ROWS(AJ$3:AJ202),$Q$3:$Q$400,0),8),"")</f>
        <v>eb7</v>
      </c>
      <c r="AK202" s="48">
        <f t="shared" ca="1" si="417"/>
        <v>0</v>
      </c>
      <c r="AL202" s="48">
        <f t="shared" ca="1" si="473"/>
        <v>0</v>
      </c>
      <c r="AM202" s="48">
        <f t="shared" ca="1" si="377"/>
        <v>0</v>
      </c>
      <c r="AN202" s="48">
        <f t="shared" ca="1" si="378"/>
        <v>0</v>
      </c>
      <c r="AO202" s="48">
        <f t="shared" ca="1" si="379"/>
        <v>0</v>
      </c>
      <c r="AP202" s="48">
        <f t="shared" ca="1" si="379"/>
        <v>0</v>
      </c>
      <c r="AQ202" s="48" t="str">
        <f t="shared" ca="1" si="418"/>
        <v/>
      </c>
      <c r="AR202" s="48">
        <f t="shared" ca="1" si="419"/>
        <v>0</v>
      </c>
      <c r="AS202" s="48">
        <f t="shared" ca="1" si="420"/>
        <v>0</v>
      </c>
      <c r="AT202" s="48">
        <f t="shared" ca="1" si="442"/>
        <v>0</v>
      </c>
      <c r="AU202" s="48">
        <f t="shared" ca="1" si="443"/>
        <v>0</v>
      </c>
      <c r="AV202" s="48">
        <f ca="1">IF(OR(AT202&gt;0,AU202&gt;0),MAX($AV$2:AV201)+1,0)</f>
        <v>0</v>
      </c>
      <c r="AZ202" s="48" t="str">
        <f t="shared" ref="AZ202:AZ265" ca="1" si="484">IF(BB202=0,"",ROW()-200)</f>
        <v/>
      </c>
      <c r="BA202" s="48">
        <f t="shared" ca="1" si="480"/>
        <v>0</v>
      </c>
      <c r="BB202" s="48">
        <f t="shared" ca="1" si="481"/>
        <v>0</v>
      </c>
      <c r="BC202" s="48">
        <f t="shared" ca="1" si="482"/>
        <v>0</v>
      </c>
      <c r="BD202" s="48">
        <f t="shared" ca="1" si="383"/>
        <v>0</v>
      </c>
      <c r="BE202" s="48">
        <f t="shared" ca="1" si="384"/>
        <v>0</v>
      </c>
      <c r="BF202" s="48">
        <f t="shared" ref="BF202:BF265" si="485">ROW()-200</f>
        <v>2</v>
      </c>
      <c r="BG202" s="48">
        <f ca="1">IF(IF(AND(OR(INDEX(PDC,MATCH($AC202,DEN_PDC,0),6)="SP DARE",INDEX(PDC,MATCH($AC202,DEN_PDC,0),6)="SP DARE/AVERE"),SUMIFS(DARE,DEN_G,$AC202)&gt;=SUMIFS(AVERE,DEN_G,$AC202)),SUMIFS(DARE,DEN_G,$AC202)-SUMIFS(AVERE,DEN_G,$AC202),0)&gt;0,MAX($BG$2:BG201)+1,0)</f>
        <v>0</v>
      </c>
      <c r="BH202" s="48">
        <f ca="1">IF(IF(AND(OR(INDEX(PDC,MATCH($AC202,DEN_PDC,0),6)="SP AVERE",INDEX(PDC,MATCH($AC202,DEN_PDC,0),6)="SP DARE/AVERE"),SUMIFS(AVERE,DEN_G,$AC202)&gt;=SUMIFS(DARE,DEN_G,$AC202)),SUMIFS(AVERE,DEN_G,$AC202)-SUMIFS(DARE,DEN_G,$AC202),0)&gt;0,MAX(BH$2:BH201)+1,0)</f>
        <v>0</v>
      </c>
      <c r="BI202" s="48">
        <f ca="1">IF(IF(AND(OR(INDEX(PDC,MATCH($AC202,DEN_PDC,0),6)="SE DARE",INDEX(PDC,MATCH($AC202,DEN_PDC,0),6)="SE DARE/AVERE"),SUMIFS(DARE,DEN_G,$AC202)&gt;=SUMIFS(AVERE,DEN_G,$AC202)),SUMIFS(DARE,DEN_G,$AC202)-SUMIFS(AVERE,DEN_G,$AC202),0)&gt;0,MAX(BI$2:BI201)+1,0)</f>
        <v>0</v>
      </c>
      <c r="BJ202" s="48">
        <f ca="1">IF(IF(AND(OR(INDEX(PDC,MATCH($AC202,DEN_PDC,0),6)="SE AVERE",INDEX(PDC,MATCH($AC202,DEN_PDC,0),6)="SE DARE/AVERE"),SUMIFS(AVERE,DEN_G,$AC202)&gt;=SUMIFS(DARE,DEN_G,$AC202)),SUMIFS(AVERE,DEN_G,$AC202)-SUMIFS(DARE,DEN_G,$AC202),0)&gt;0,MAX(BJ$2:BJ201)+1,0)</f>
        <v>0</v>
      </c>
      <c r="BK202" s="48" t="str">
        <f ca="1">IF(AND(AND($DY$2=0,$DY$1=0),$I$1=2,ROW()&gt;$BG$1+2,ROW()&lt;=$BG$1+4),"………………..",IF(AND(OR($DY$2&gt;0,$DY$1&gt;0),$I$1=2,ROW()&gt;$BG$1+2,ROW()&lt;=$BG$1+4),"………………..",IFERROR(INDEX($AC$3:$AC$398,MATCH(ROWS(BK$3:BK202),BG$3:BG$398,0),1),"")))</f>
        <v/>
      </c>
      <c r="BL202" s="48">
        <f t="shared" ca="1" si="421"/>
        <v>0</v>
      </c>
      <c r="BM202" s="48" t="str">
        <f ca="1">IF(AND(OR($DY$2=0,$DY$1=0),$I$1=2,ROW()&gt;$BH$1+2,ROW()&lt;=$BH$1+4),"………………..",IF(AND(OR($DY$2&gt;0,$DY$1&gt;0),$I$1=2,ROW()&gt;$BH$1+2,ROW()&lt;=$BH$1+4),"………………..",IFERROR(INDEX($AC$3:$AC$400,MATCH(ROWS(BM$3:BM202),BH$3:BH$400,0),1),"")))</f>
        <v/>
      </c>
      <c r="BN202" s="48">
        <f t="shared" ca="1" si="422"/>
        <v>0</v>
      </c>
      <c r="BO202" s="48" t="str">
        <f ca="1">IF(AND(OR($DY$2=0,$DY$1=0),$I$1=2,ROW()&gt;$BI$1+2,ROW()&lt;=$BI$1+4),"………………..",IF(AND(OR($DY$2&gt;0,$DY$1&gt;0),$I$1=2,ROW()&gt;$BI$1+2,ROW()&lt;=$BI$1+4),"………………..",IFERROR(INDEX($AC$3:$AC$400,MATCH(ROWS(BO$3:BO202),BI$3:BI$400,0),1),"")))</f>
        <v/>
      </c>
      <c r="BP202" s="48">
        <f t="shared" ca="1" si="423"/>
        <v>0</v>
      </c>
      <c r="BQ202" s="48" t="str">
        <f ca="1">IF(AND(OR($DY$2=0,$DY$1=0),$I$1=2,ROW()&gt;$BJ$1+2,ROW()&lt;=$BJ$1+4),"………………..",IF(AND(OR($DY$2&gt;0,$DY$1&gt;0),$I$1=2,ROW()&gt;$BJ$1+2,ROW()&lt;=$BJ$1+4),"………………..",IFERROR(INDEX($AC$3:$AC$400,MATCH(ROWS(BQ$3:BQ202),BJ$3:BJ$400,0),1),"")))</f>
        <v/>
      </c>
      <c r="BR202" s="48">
        <f t="shared" ca="1" si="424"/>
        <v>0</v>
      </c>
      <c r="BS202" s="48">
        <f ca="1">IF(IF(AND(OR(INDEX(PDC,MATCH($AC202,DEN_PDC,0),4)="D",INDEX(PDC,MATCH($AC202,DEN_PDC,0),4)="D/A"),SUMIFS(DARE,DEN_G,$AC202)&gt;=SUMIFS(AVERE,DEN_G,$AC202)),SUMIFS(DARE,DEN_G,$AC202),IF(AND(OR(INDEX(PDC,MATCH($AC202,DEN_PDC,0),4)="A",INDEX(PDC,MATCH($AC202,DEN_PDC,0),4)="D/A"),SUMIFS(AVERE,DEN_G,$AC202)&gt;=SUMIFS(DARE,DEN_G,$AC202)),SUMIFS(AVERE,DEN_G,$AC202),))&gt;0,MAX($BS$2:BS201)+1,0)</f>
        <v>0</v>
      </c>
      <c r="BT202" s="48" t="str">
        <f ca="1">IF($CO$1=0,"",IF(AND($I$1=2,ROW()&gt;$BR$1,ROW()&lt;=$BS$1)," …………….",IF(AND($E$1=1,$BX$1=1,$I$1=2,ROW()=$BQ$1),"TOTALI",IFERROR(INDEX(PDC,MATCH(ROWS(BT$3:BT202),BS$3:BS599,0),2),""))))</f>
        <v/>
      </c>
      <c r="BU202" s="48">
        <f t="shared" ca="1" si="425"/>
        <v>0</v>
      </c>
      <c r="BV202" s="48">
        <f t="shared" ca="1" si="426"/>
        <v>0</v>
      </c>
      <c r="BW202" s="48">
        <f t="shared" ca="1" si="427"/>
        <v>0</v>
      </c>
      <c r="BX202" s="48">
        <f t="shared" ca="1" si="428"/>
        <v>0</v>
      </c>
      <c r="BY202" s="48">
        <f ca="1">IF(OR(BW202&gt;0,BX202&gt;0),MAX($BY$2:BY201)+1,0)</f>
        <v>0</v>
      </c>
      <c r="BZ202" s="48" t="str">
        <f ca="1">IFERROR(INDEX($BT$3:$BY$400,MATCH(ROWS(BZ$3:BZ202),$BY$3:$BY$400,0),1),"")</f>
        <v/>
      </c>
      <c r="CA202" s="48" t="str">
        <f ca="1">IFERROR(INDEX($BT$3:$BY$400,MATCH(ROWS(CA$3:CA202),$BY$3:$BY$400,0),4),"")</f>
        <v/>
      </c>
      <c r="CB202" s="48" t="str">
        <f ca="1">IFERROR(INDEX($BT$3:$BY$400,MATCH(ROWS(CB$3:CB202),$BY$3:$BY$400,0),5),"")</f>
        <v/>
      </c>
      <c r="CC202" s="48" t="str">
        <f t="shared" ca="1" si="429"/>
        <v/>
      </c>
      <c r="CD202" s="48">
        <f ca="1">IF(CE202&lt;&gt;0,MAX($CD$190:CD201)+1,0)</f>
        <v>0</v>
      </c>
      <c r="CE202" s="48">
        <f ca="1">IF(ROUND(SUMIFS(COPIA!$CA$3:$CA$400,COPIA!$CC$3:$CC$400,CF202)-SUMIFS(COPIA!$CB$3:$CB$400,COPIA!$CC$3:$CC$400,CF202),0)&lt;0,0,ROUND(SUMIFS(COPIA!$CA$3:$CA$400,COPIA!$CC$3:$CC$400,CF202)-SUMIFS(COPIA!$CB$3:$CB$400,COPIA!$CC$3:$CC$400,CF202),0))</f>
        <v>0</v>
      </c>
      <c r="CF202" s="48" t="s">
        <v>709</v>
      </c>
      <c r="CG202" s="242" t="s">
        <v>843</v>
      </c>
      <c r="CH202" s="48">
        <f t="shared" ref="CH202:CH204" ca="1" si="486">CE202</f>
        <v>0</v>
      </c>
      <c r="CM202" s="242" t="str">
        <f t="shared" ca="1" si="444"/>
        <v/>
      </c>
      <c r="CN202" s="243">
        <f t="shared" ca="1" si="445"/>
        <v>0</v>
      </c>
      <c r="CO202" s="48" t="str">
        <f t="shared" ca="1" si="446"/>
        <v/>
      </c>
      <c r="CU202" s="48">
        <f ca="1">IF(SUMIFS(AVERE,DEN_G,AC202,AVERE,"&gt;"&amp;0)+SUMIFS(DARE,DEN_G,AC202,DARE,"&gt;"&amp;0)&gt;0,MAX($CU$2:CU201)+1,0)</f>
        <v>0</v>
      </c>
      <c r="CV202" s="48" t="str">
        <f ca="1">IF(IFERROR(INDEX(PDC,MATCH(ROWS($CV$3:CV202),$CU$3:$CU$400,0),2),"")="CONTO DI RISULTATO ECONOMICO","",IFERROR(INDEX(PDC,MATCH(ROWS($CV$3:CV202),$CU$3:$CU$400,0),2),""))</f>
        <v/>
      </c>
      <c r="CW202" s="48">
        <f ca="1">IFERROR(IF(CV202&lt;&gt;"",MAX($CW$2:CW201)+1,0),0)</f>
        <v>0</v>
      </c>
      <c r="CX202" s="48">
        <f t="shared" ca="1" si="474"/>
        <v>16</v>
      </c>
      <c r="CY202" s="48" t="str">
        <f t="shared" ca="1" si="472"/>
        <v>MASTRO</v>
      </c>
      <c r="CZ202" s="48" t="e">
        <f t="shared" ca="1" si="476"/>
        <v>#N/A</v>
      </c>
      <c r="DA202" s="48" t="str">
        <f t="shared" ca="1" si="483"/>
        <v/>
      </c>
      <c r="DB202" s="48" t="str">
        <f t="shared" ca="1" si="347"/>
        <v/>
      </c>
      <c r="DC202" s="48" t="str">
        <f t="shared" ca="1" si="477"/>
        <v/>
      </c>
      <c r="DD202" s="48" t="str">
        <f t="shared" ca="1" si="478"/>
        <v/>
      </c>
      <c r="DE202" s="48" t="str">
        <f t="shared" ca="1" si="479"/>
        <v/>
      </c>
      <c r="DF202" s="48">
        <f ca="1">IF(AND(CX202=$DF$1,CX202&lt;&gt;""),0,IF(AND(DB202&lt;&gt;"",OR(DB201&lt;&gt;"",DB203&lt;&gt;"")),MAX($DF$2:DF201)+1,0))</f>
        <v>0</v>
      </c>
      <c r="DG202" s="48">
        <f t="shared" ref="DG202:DG204" ca="1" si="487">DG207</f>
        <v>0</v>
      </c>
      <c r="DH202" s="244" t="s">
        <v>415</v>
      </c>
      <c r="DI202" s="48" t="str">
        <f t="shared" ref="DI202:DI204" ca="1" si="488">IFERROR(IF(AND($DL$1=TRUE,DG202&lt;&gt;0),CONCATENATE("SOCIO ",DG202," C/ACCONTO UTILI"),IF(AND($DL$1=FALSE,DG202&lt;&gt;0),CONCATENATE("AZIONISTA ",DG202," C/ACCONTO DIVIDENDI"),"")),"")</f>
        <v/>
      </c>
      <c r="DJ202" s="48" t="s">
        <v>312</v>
      </c>
      <c r="DK202" s="48" t="s">
        <v>298</v>
      </c>
      <c r="DL202" s="48" t="s">
        <v>5</v>
      </c>
      <c r="DM202" s="48" t="s">
        <v>299</v>
      </c>
      <c r="DN202" s="48">
        <f ca="1">IF(DI202&lt;&gt;"",MAX($DN$2:DN201)+1,0)</f>
        <v>0</v>
      </c>
      <c r="DO202" s="48" t="str">
        <f t="shared" ca="1" si="403"/>
        <v>ppd</v>
      </c>
      <c r="DW202" s="48">
        <f>IF(DR202&lt;&gt;"",MAX($DW$2:DW201)+1,0)</f>
        <v>0</v>
      </c>
      <c r="DY202" s="48" t="str">
        <f t="shared" ca="1" si="430"/>
        <v/>
      </c>
      <c r="EL202" s="48">
        <f t="shared" ca="1" si="431"/>
        <v>0</v>
      </c>
      <c r="EM202" s="48">
        <f ca="1">IF(EL202&gt;=0,0,MAX($EM$2:EM201)+1)</f>
        <v>0</v>
      </c>
      <c r="EN202" s="48" t="str">
        <f t="shared" ca="1" si="459"/>
        <v/>
      </c>
      <c r="EO202" s="48" t="str">
        <f ca="1">IFERROR(INDEX($EM$3:$EN$400,MATCH(ROWS($EO$3:EO202),$EM$3:$EM$400,0),2),"")</f>
        <v/>
      </c>
      <c r="EP202" s="48">
        <f>ROW()</f>
        <v>202</v>
      </c>
      <c r="EQ202" s="48">
        <f t="shared" ca="1" si="432"/>
        <v>0</v>
      </c>
      <c r="ER202" s="48">
        <f ca="1">IF(ISNA(EQ202)=TRUE,MAX($ER$2:ER201)+1,0)</f>
        <v>0</v>
      </c>
      <c r="ES202" s="48" t="str">
        <f t="shared" ca="1" si="460"/>
        <v/>
      </c>
      <c r="ET202" s="48" t="str">
        <f ca="1">IFERROR(INDEX($ER$3:$ES$400,MATCH(ROWS($ET$3:ET202),$ER$3:$ER$400,0),2),"")</f>
        <v/>
      </c>
      <c r="EU202" s="48">
        <f ca="1">IF(ROUND(SUMIFS(COPIA!$CA$3:$CA$400,COPIA!$CC$3:$CC$400,CF202)-SUMIFS(COPIA!$CB$3:$CB$400,COPIA!$CC$3:$CC$400,CF202),0)&lt;0,1,0)</f>
        <v>0</v>
      </c>
      <c r="EV202" s="48">
        <f ca="1">IFERROR(INDEX(LIBRO_GIORNALE!$O$11:$P$408,MATCH(ROWS($EV$2:EV201),LIBRO_GIORNALE!$P$11:$P$408,0),1),0)</f>
        <v>0</v>
      </c>
      <c r="EW202" s="48" t="str">
        <f t="shared" ca="1" si="461"/>
        <v>0</v>
      </c>
      <c r="EX202" s="48">
        <f t="shared" ca="1" si="462"/>
        <v>0</v>
      </c>
      <c r="EY202" s="48">
        <f ca="1">IF(EX202&gt;0,MAX($EY$2:EY201)+1,0)</f>
        <v>0</v>
      </c>
      <c r="EZ202" s="48">
        <f ca="1">IFERROR(INDEX($EX$3:$EX$400,MATCH(ROWS($EZ$3:EZ202),$EY$3:$EY$400,0),1),0)</f>
        <v>0</v>
      </c>
      <c r="FA202" s="48">
        <f ca="1">IF(EZ202&gt;0,0,MAX($FA$2:FA201)+1)</f>
        <v>200</v>
      </c>
      <c r="FB202" s="48">
        <f t="shared" ca="1" si="463"/>
        <v>0</v>
      </c>
      <c r="FC202" s="48">
        <f t="shared" ca="1" si="464"/>
        <v>200</v>
      </c>
      <c r="FD202" s="48">
        <f t="shared" ca="1" si="465"/>
        <v>200</v>
      </c>
      <c r="FE202" s="48">
        <f ca="1">IF(FD202=0,0,MAX($FE$2:FE201)+1)</f>
        <v>200</v>
      </c>
      <c r="FF202" s="48">
        <f ca="1">IFERROR(INDEX($FD$3:$FE$400,MATCH(ROWS($FF$3:FF202),$FE$3:$FE$400,0),1),"")</f>
        <v>200</v>
      </c>
      <c r="FG202" s="48">
        <f t="shared" ca="1" si="380"/>
        <v>0</v>
      </c>
      <c r="FH202" s="48">
        <f t="shared" ca="1" si="466"/>
        <v>0</v>
      </c>
      <c r="FI202" s="48">
        <f ca="1">IF(FH202&lt;&gt;0,MAX($FI$2:FI201)+1,0)</f>
        <v>0</v>
      </c>
      <c r="FJ202" s="48" t="str">
        <f ca="1">IFERROR(INDEX($FH$3:$FI$400,MATCH(ROWS($FJ$3:FJ202),$FI$3:$FI$400,0),1),"")</f>
        <v/>
      </c>
      <c r="FK202" s="48">
        <f ca="1">IF(ABS(SUMIFS(DARE,DEN_G,"="&amp;FJ202,DATA,"&lt;="&amp;FINE_AC,DATA,"&gt;="&amp;INIZIO_A_PC)-SUMIFS(AVERE,DEN_G,"="&amp;FJ202,DATA,"&lt;="&amp;FINE_AC,DATA,"&gt;="&amp;INIZIO_A_PC))&gt;0,MAX($FK$2:FK201)+1,0)</f>
        <v>0</v>
      </c>
      <c r="FL202" s="48" t="str">
        <f ca="1">IF(AND(ROW()-2&lt;&gt;1,ROW()-2&lt;=$FK$1),CONCATENATE(" - ",IFERROR(INDEX($FJ$3:$FK$400,MATCH(ROWS($FL$3:FL202),$FK$3:$FK$400,0),1),"")),IFERROR(INDEX($FJ$3:$FK$400,MATCH(ROWS($FL$3:FL202),$FK$3:$FK$400,0),1),""))</f>
        <v/>
      </c>
      <c r="FM202" s="48">
        <f ca="1">IF(OR(B202="IVA ns/credito",B202="IVA NS/DEBITO",B202="IVA C/ACCONTO",B202="IMPOSTE C/ACCONTO",B202="CREDITI PER RITENUTE SUBITE",B202="CREDITI D'IMPOSTA"),MAX($FM$2:FM201)+1,0)</f>
        <v>0</v>
      </c>
      <c r="FN202" s="48" t="str">
        <f t="shared" ca="1" si="467"/>
        <v/>
      </c>
      <c r="FO202" s="48" t="str">
        <f ca="1">IFERROR(INDEX($FM$3:$FN$400,MATCH(ROWS($FO$3:FO202),$FM$3:$FM$400,0),2),"")</f>
        <v/>
      </c>
      <c r="FP202" s="48">
        <f ca="1">IF(ABS(SUMIFS(DARE,DEN_G,"="&amp;FO202,DATA,"&lt;="&amp;FINE_AC,DATA,"&gt;="&amp;INIZIO_A_PC)-SUMIFS(AVERE,DEN_G,"="&amp;FO202,DATA,"&lt;="&amp;FINE_AC,DATA,"&gt;="&amp;INIZIO_A_PC))&gt;0,MAX($FP$2:FP201)+1,0)</f>
        <v>0</v>
      </c>
      <c r="FQ202" s="48" t="str">
        <f ca="1">IF(AND(ROW()-2&lt;&gt;1,ROW()-2&lt;=$FP$1),CONCATENATE(" - ",IFERROR(INDEX($FO$3:$FP$400,MATCH(ROWS($FQ$3:FQ202),$FP$3:$FP$400,0),1),"")),IFERROR(INDEX($FO$3:$FP$400,MATCH(ROWS($FQ$3:FQ202),$FP$3:$FP$400,0),1),""))</f>
        <v/>
      </c>
    </row>
    <row r="203" spans="1:173" x14ac:dyDescent="0.3">
      <c r="A203" s="48" t="str">
        <f ca="1">IFERROR(IF($A$1=2,INDEX($DH$3:$DN$401,MATCH(ROWS(A$3:A203),$DN$3:$DN$401,0),COLUMN()),IF($A$1=1,INDEX($DQ$3:$DW$401,MATCH(ROWS(A$3:A203),$DW$3:$DW$401,0),COLUMN()),"")),"")</f>
        <v>20.40</v>
      </c>
      <c r="B203" s="48" t="str">
        <f ca="1">IFERROR(IF($A$1=2,INDEX($DH$3:$DN$401,MATCH(ROWS(B$3:B203),$DN$3:$DN$401,0),COLUMN()),IF($A$1=1,INDEX($DQ$3:$DW$400,MATCH(ROWS(B$3:B203),$DW$3:$DW$401,0),COLUMN()),"")),"")</f>
        <v>PLUSVALENZE</v>
      </c>
      <c r="C203" s="48" t="str">
        <f ca="1">IFERROR(IF($A$1=2,INDEX($DH$3:$DN$401,MATCH(ROWS(C$3:C203),$DN$3:$DN$401,0),COLUMN()),IF($A$1=1,INDEX($DQ$3:$DW$401,MATCH(ROWS(C$3:C203),$DW$3:$DW$401,0),COLUMN()),"")),"")</f>
        <v>E</v>
      </c>
      <c r="D203" s="48" t="str">
        <f ca="1">IFERROR(IF($A$1=2,INDEX($DH$3:$DN$401,MATCH(ROWS(D$3:D203),$DN$3:$DN$401,0),COLUMN()),IF($A$1=1,INDEX($DQ$3:$DW$401,MATCH(ROWS(D$3:D203),$DW$3:$DW$401,0),COLUMN()),"")),"")</f>
        <v>A</v>
      </c>
      <c r="E203" s="48" t="str">
        <f ca="1">IFERROR(IF($A$1=2,INDEX($DH$3:$DN$401,MATCH(ROWS(E$3:E203),$DN$3:$DN$401,0),COLUMN()),IF($A$1=1,INDEX($DQ$3:$DW$401,MATCH(ROWS(E$3:E203),$DW$3:$DW$401,0),COLUMN()),"")),"")</f>
        <v>RICAVI D'ESERCIZIO</v>
      </c>
      <c r="F203" s="48" t="str">
        <f ca="1">IFERROR(IF($A$1=2,INDEX($DH$3:$DN$401,MATCH(ROWS(F$3:F203),$DN$3:$DN$401,0),COLUMN()),IF($A$1=1,INDEX($DQ$3:$DX$401,MATCH(ROWS(F$3:F203),$DW$3:$DW$401,0),COLUMN()),"")),"")</f>
        <v>SE AVERE</v>
      </c>
      <c r="G203" s="48" t="str">
        <f t="shared" ca="1" si="433"/>
        <v>SE</v>
      </c>
      <c r="H203" s="48" t="str">
        <f ca="1">IFERROR(IF($A$1=2,INDEX($DH$3:$DO$400,MATCH(ROWS(H$3:H203),$DN$3:$DN$400,0),COLUMN()),IF($A$1=1,INDEX($DQ$3:$DX$400,MATCH(ROWS(H$3:H203),$DW$3:$DW$400,0),COLUMN()),"")),"")</f>
        <v>ea5</v>
      </c>
      <c r="M203" s="48">
        <f ca="1">IFERROR(IF(IF(MID($A203,3,3)=".00",MID(A203,1,2),"")&lt;&gt;"",MAX($M$2:M202)+1,0),"")</f>
        <v>0</v>
      </c>
      <c r="N203" s="48" t="str">
        <f t="shared" ca="1" si="438"/>
        <v/>
      </c>
      <c r="O203" s="48" t="str">
        <f ca="1">IF(IFERROR(INDEX($N$3:$O$300,MATCH(ROWS($O$3:O203),$M$3:$M$300,0),1),"")&lt;&gt;"",CONCATENATE(INDEX($N$3:$O$300,MATCH(ROWS($O$3:O203),$M$3:$M$300,0),1),".00"),"")</f>
        <v/>
      </c>
      <c r="P203" s="48" t="str">
        <f t="shared" ca="1" si="439"/>
        <v/>
      </c>
      <c r="Q203" s="48">
        <f ca="1">IF(M203&gt;=1,0,MAX($Q$2:Q202)+1)</f>
        <v>181</v>
      </c>
      <c r="U203" s="48" t="str">
        <f ca="1">IFERROR(INDEX(PDC,MATCH(ROWS(U$3:U203),$V$3:$V$400,0),2),"")</f>
        <v>PUBBLICITÀ</v>
      </c>
      <c r="V203" s="48">
        <f ca="1">IF(AND($T$1="VISUALIZZA TUTTI I CONTI",AA203&lt;&gt;""),MAX($V$2:V202)+1,IF(AND($U$2=2,AI203=$T$1),MAX($V$2:V202)+1,IF(AND($U$2=1,$T$1=AF203),MAX($V$2:V202)+1,0)))</f>
        <v>201</v>
      </c>
      <c r="AA203" s="48" t="str">
        <f t="shared" ca="1" si="440"/>
        <v>31.00</v>
      </c>
      <c r="AB203" s="48" t="str">
        <f ca="1">IFERROR(INDEX($A$3:$G$400,MATCH(ROWS(AB$3:AB203),$Q$3:$Q$400,0),1),"")</f>
        <v>31.03</v>
      </c>
      <c r="AC203" s="48" t="str">
        <f ca="1">IFERROR(INDEX($A$3:$G$400,MATCH(ROWS($AC$3:AC203),$Q$3:$Q$400,0),2),"")</f>
        <v>PUBBLICITÀ</v>
      </c>
      <c r="AD203" s="48" t="str">
        <f ca="1">IFERROR(INDEX($A$3:$G$400,MATCH(ROWS(AD$3:AD203),$Q$3:$Q$400,0),3),"")</f>
        <v>E</v>
      </c>
      <c r="AE203" s="48" t="str">
        <f ca="1">IFERROR(INDEX($A$3:$G$400,MATCH(ROWS(AE$3:AE203),$Q$3:$Q$400,0),4),"")</f>
        <v>D</v>
      </c>
      <c r="AF203" s="48" t="str">
        <f ca="1">IFERROR(INDEX($A$3:$G$400,MATCH(ROWS(AF$3:AF203),$Q$3:$Q$400,0),5),"")</f>
        <v>COSTI D'ESERCIZIO</v>
      </c>
      <c r="AG203" s="48" t="str">
        <f ca="1">IFERROR(INDEX($A$3:$G$400,MATCH(ROWS(AG$3:AG203),$Q$3:$Q$400,0),6),"")</f>
        <v>SE DARE</v>
      </c>
      <c r="AH203" s="48" t="str">
        <f ca="1">IFERROR(INDEX($A$3:$G$400,MATCH(ROWS(AH$3:AH203),$Q$3:$Q$400,0),7),"")</f>
        <v>SE</v>
      </c>
      <c r="AI203" s="48" t="str">
        <f t="shared" ca="1" si="441"/>
        <v>COSTI PER SERVIZI</v>
      </c>
      <c r="AJ203" s="48" t="str">
        <f ca="1">IFERROR(INDEX($A$3:$H$400,MATCH(ROWS(AJ$3:AJ203),$Q$3:$Q$400,0),8),"")</f>
        <v>eb7</v>
      </c>
      <c r="AK203" s="48">
        <f t="shared" ca="1" si="417"/>
        <v>0</v>
      </c>
      <c r="AL203" s="48">
        <f t="shared" ca="1" si="473"/>
        <v>0</v>
      </c>
      <c r="AM203" s="48">
        <f t="shared" ca="1" si="377"/>
        <v>0</v>
      </c>
      <c r="AN203" s="48">
        <f t="shared" ca="1" si="378"/>
        <v>0</v>
      </c>
      <c r="AO203" s="48">
        <f t="shared" ca="1" si="379"/>
        <v>0</v>
      </c>
      <c r="AP203" s="48">
        <f t="shared" ca="1" si="379"/>
        <v>0</v>
      </c>
      <c r="AQ203" s="48" t="str">
        <f t="shared" ca="1" si="418"/>
        <v/>
      </c>
      <c r="AR203" s="48">
        <f t="shared" ca="1" si="419"/>
        <v>0</v>
      </c>
      <c r="AS203" s="48">
        <f t="shared" ca="1" si="420"/>
        <v>0</v>
      </c>
      <c r="AT203" s="48">
        <f t="shared" ca="1" si="442"/>
        <v>0</v>
      </c>
      <c r="AU203" s="48">
        <f t="shared" ca="1" si="443"/>
        <v>0</v>
      </c>
      <c r="AV203" s="48">
        <f ca="1">IF(OR(AT203&gt;0,AU203&gt;0),MAX($AV$2:AV202)+1,0)</f>
        <v>0</v>
      </c>
      <c r="AZ203" s="48" t="str">
        <f t="shared" ca="1" si="484"/>
        <v/>
      </c>
      <c r="BA203" s="48">
        <f t="shared" ca="1" si="480"/>
        <v>0</v>
      </c>
      <c r="BB203" s="48">
        <f t="shared" ca="1" si="481"/>
        <v>0</v>
      </c>
      <c r="BC203" s="48">
        <f t="shared" ca="1" si="482"/>
        <v>0</v>
      </c>
      <c r="BD203" s="48">
        <f t="shared" ca="1" si="383"/>
        <v>0</v>
      </c>
      <c r="BE203" s="48">
        <f t="shared" ca="1" si="384"/>
        <v>0</v>
      </c>
      <c r="BF203" s="48">
        <f t="shared" si="485"/>
        <v>3</v>
      </c>
      <c r="BG203" s="48">
        <f ca="1">IF(IF(AND(OR(INDEX(PDC,MATCH($AC203,DEN_PDC,0),6)="SP DARE",INDEX(PDC,MATCH($AC203,DEN_PDC,0),6)="SP DARE/AVERE"),SUMIFS(DARE,DEN_G,$AC203)&gt;=SUMIFS(AVERE,DEN_G,$AC203)),SUMIFS(DARE,DEN_G,$AC203)-SUMIFS(AVERE,DEN_G,$AC203),0)&gt;0,MAX($BG$2:BG202)+1,0)</f>
        <v>0</v>
      </c>
      <c r="BH203" s="48">
        <f ca="1">IF(IF(AND(OR(INDEX(PDC,MATCH($AC203,DEN_PDC,0),6)="SP AVERE",INDEX(PDC,MATCH($AC203,DEN_PDC,0),6)="SP DARE/AVERE"),SUMIFS(AVERE,DEN_G,$AC203)&gt;=SUMIFS(DARE,DEN_G,$AC203)),SUMIFS(AVERE,DEN_G,$AC203)-SUMIFS(DARE,DEN_G,$AC203),0)&gt;0,MAX(BH$2:BH202)+1,0)</f>
        <v>0</v>
      </c>
      <c r="BI203" s="48">
        <f ca="1">IF(IF(AND(OR(INDEX(PDC,MATCH($AC203,DEN_PDC,0),6)="SE DARE",INDEX(PDC,MATCH($AC203,DEN_PDC,0),6)="SE DARE/AVERE"),SUMIFS(DARE,DEN_G,$AC203)&gt;=SUMIFS(AVERE,DEN_G,$AC203)),SUMIFS(DARE,DEN_G,$AC203)-SUMIFS(AVERE,DEN_G,$AC203),0)&gt;0,MAX(BI$2:BI202)+1,0)</f>
        <v>0</v>
      </c>
      <c r="BJ203" s="48">
        <f ca="1">IF(IF(AND(OR(INDEX(PDC,MATCH($AC203,DEN_PDC,0),6)="SE AVERE",INDEX(PDC,MATCH($AC203,DEN_PDC,0),6)="SE DARE/AVERE"),SUMIFS(AVERE,DEN_G,$AC203)&gt;=SUMIFS(DARE,DEN_G,$AC203)),SUMIFS(AVERE,DEN_G,$AC203)-SUMIFS(DARE,DEN_G,$AC203),0)&gt;0,MAX(BJ$2:BJ202)+1,0)</f>
        <v>0</v>
      </c>
      <c r="BK203" s="48" t="str">
        <f ca="1">IF(AND(AND($DY$2=0,$DY$1=0),$I$1=2,ROW()&gt;$BG$1+2,ROW()&lt;=$BG$1+4),"………………..",IF(AND(OR($DY$2&gt;0,$DY$1&gt;0),$I$1=2,ROW()&gt;$BG$1+2,ROW()&lt;=$BG$1+4),"………………..",IFERROR(INDEX($AC$3:$AC$398,MATCH(ROWS(BK$3:BK203),BG$3:BG$398,0),1),"")))</f>
        <v/>
      </c>
      <c r="BL203" s="48">
        <f t="shared" ca="1" si="421"/>
        <v>0</v>
      </c>
      <c r="BM203" s="48" t="str">
        <f ca="1">IF(AND(OR($DY$2=0,$DY$1=0),$I$1=2,ROW()&gt;$BH$1+2,ROW()&lt;=$BH$1+4),"………………..",IF(AND(OR($DY$2&gt;0,$DY$1&gt;0),$I$1=2,ROW()&gt;$BH$1+2,ROW()&lt;=$BH$1+4),"………………..",IFERROR(INDEX($AC$3:$AC$400,MATCH(ROWS(BM$3:BM203),BH$3:BH$400,0),1),"")))</f>
        <v/>
      </c>
      <c r="BN203" s="48">
        <f t="shared" ca="1" si="422"/>
        <v>0</v>
      </c>
      <c r="BO203" s="48" t="str">
        <f ca="1">IF(AND(OR($DY$2=0,$DY$1=0),$I$1=2,ROW()&gt;$BI$1+2,ROW()&lt;=$BI$1+4),"………………..",IF(AND(OR($DY$2&gt;0,$DY$1&gt;0),$I$1=2,ROW()&gt;$BI$1+2,ROW()&lt;=$BI$1+4),"………………..",IFERROR(INDEX($AC$3:$AC$400,MATCH(ROWS(BO$3:BO203),BI$3:BI$400,0),1),"")))</f>
        <v/>
      </c>
      <c r="BP203" s="48">
        <f t="shared" ca="1" si="423"/>
        <v>0</v>
      </c>
      <c r="BQ203" s="48" t="str">
        <f ca="1">IF(AND(OR($DY$2=0,$DY$1=0),$I$1=2,ROW()&gt;$BJ$1+2,ROW()&lt;=$BJ$1+4),"………………..",IF(AND(OR($DY$2&gt;0,$DY$1&gt;0),$I$1=2,ROW()&gt;$BJ$1+2,ROW()&lt;=$BJ$1+4),"………………..",IFERROR(INDEX($AC$3:$AC$400,MATCH(ROWS(BQ$3:BQ203),BJ$3:BJ$400,0),1),"")))</f>
        <v/>
      </c>
      <c r="BR203" s="48">
        <f t="shared" ca="1" si="424"/>
        <v>0</v>
      </c>
      <c r="BS203" s="48">
        <f ca="1">IF(IF(AND(OR(INDEX(PDC,MATCH($AC203,DEN_PDC,0),4)="D",INDEX(PDC,MATCH($AC203,DEN_PDC,0),4)="D/A"),SUMIFS(DARE,DEN_G,$AC203)&gt;=SUMIFS(AVERE,DEN_G,$AC203)),SUMIFS(DARE,DEN_G,$AC203),IF(AND(OR(INDEX(PDC,MATCH($AC203,DEN_PDC,0),4)="A",INDEX(PDC,MATCH($AC203,DEN_PDC,0),4)="D/A"),SUMIFS(AVERE,DEN_G,$AC203)&gt;=SUMIFS(DARE,DEN_G,$AC203)),SUMIFS(AVERE,DEN_G,$AC203),))&gt;0,MAX($BS$2:BS202)+1,0)</f>
        <v>0</v>
      </c>
      <c r="BT203" s="48" t="str">
        <f ca="1">IF($CO$1=0,"",IF(AND($I$1=2,ROW()&gt;$BR$1,ROW()&lt;=$BS$1)," …………….",IF(AND($E$1=1,$BX$1=1,$I$1=2,ROW()=$BQ$1),"TOTALI",IFERROR(INDEX(PDC,MATCH(ROWS(BT$3:BT203),BS$3:BS600,0),2),""))))</f>
        <v/>
      </c>
      <c r="BU203" s="48">
        <f t="shared" ca="1" si="425"/>
        <v>0</v>
      </c>
      <c r="BV203" s="48">
        <f t="shared" ca="1" si="426"/>
        <v>0</v>
      </c>
      <c r="BW203" s="48">
        <f t="shared" ca="1" si="427"/>
        <v>0</v>
      </c>
      <c r="BX203" s="48">
        <f t="shared" ca="1" si="428"/>
        <v>0</v>
      </c>
      <c r="BY203" s="48">
        <f ca="1">IF(OR(BW203&gt;0,BX203&gt;0),MAX($BY$2:BY202)+1,0)</f>
        <v>0</v>
      </c>
      <c r="BZ203" s="48" t="str">
        <f ca="1">IFERROR(INDEX($BT$3:$BY$400,MATCH(ROWS(BZ$3:BZ203),$BY$3:$BY$400,0),1),"")</f>
        <v/>
      </c>
      <c r="CA203" s="48" t="str">
        <f ca="1">IFERROR(INDEX($BT$3:$BY$400,MATCH(ROWS(CA$3:CA203),$BY$3:$BY$400,0),4),"")</f>
        <v/>
      </c>
      <c r="CB203" s="48" t="str">
        <f ca="1">IFERROR(INDEX($BT$3:$BY$400,MATCH(ROWS(CB$3:CB203),$BY$3:$BY$400,0),5),"")</f>
        <v/>
      </c>
      <c r="CC203" s="48" t="str">
        <f t="shared" ca="1" si="429"/>
        <v/>
      </c>
      <c r="CD203" s="48">
        <f ca="1">IF(CE203&lt;&gt;0,MAX($CD$190:CD202)+1,0)</f>
        <v>0</v>
      </c>
      <c r="CE203" s="48">
        <f ca="1">IF(ROUND(SUMIFS(COPIA!$CA$3:$CA$400,COPIA!$CC$3:$CC$400,CF203)-SUMIFS(COPIA!$CB$3:$CB$400,COPIA!$CC$3:$CC$400,CF203),0)&lt;0,0,ROUND(SUMIFS(COPIA!$CA$3:$CA$400,COPIA!$CC$3:$CC$400,CF203)-SUMIFS(COPIA!$CB$3:$CB$400,COPIA!$CC$3:$CC$400,CF203),0))</f>
        <v>0</v>
      </c>
      <c r="CF203" s="48" t="s">
        <v>710</v>
      </c>
      <c r="CG203" s="242" t="s">
        <v>767</v>
      </c>
      <c r="CH203" s="48">
        <f t="shared" ca="1" si="486"/>
        <v>0</v>
      </c>
      <c r="CM203" s="242" t="str">
        <f t="shared" ca="1" si="444"/>
        <v/>
      </c>
      <c r="CN203" s="243">
        <f t="shared" ca="1" si="445"/>
        <v>0</v>
      </c>
      <c r="CO203" s="48" t="str">
        <f t="shared" ca="1" si="446"/>
        <v/>
      </c>
      <c r="CU203" s="48">
        <f ca="1">IF(SUMIFS(AVERE,DEN_G,AC203,AVERE,"&gt;"&amp;0)+SUMIFS(DARE,DEN_G,AC203,DARE,"&gt;"&amp;0)&gt;0,MAX($CU$2:CU202)+1,0)</f>
        <v>0</v>
      </c>
      <c r="CV203" s="48" t="str">
        <f ca="1">IF(IFERROR(INDEX(PDC,MATCH(ROWS($CV$3:CV203),$CU$3:$CU$400,0),2),"")="CONTO DI RISULTATO ECONOMICO","",IFERROR(INDEX(PDC,MATCH(ROWS($CV$3:CV203),$CU$3:$CU$400,0),2),""))</f>
        <v/>
      </c>
      <c r="CW203" s="48">
        <f ca="1">IFERROR(IF(CV203&lt;&gt;"",MAX($CW$2:CW202)+1,0),0)</f>
        <v>0</v>
      </c>
      <c r="CX203" s="48">
        <f t="shared" ca="1" si="474"/>
        <v>16</v>
      </c>
      <c r="CY203" s="48" t="str">
        <f t="shared" ca="1" si="472"/>
        <v>MASTRO</v>
      </c>
      <c r="CZ203" s="48" t="e">
        <f t="shared" ca="1" si="476"/>
        <v>#N/A</v>
      </c>
      <c r="DA203" s="48" t="str">
        <f t="shared" ca="1" si="483"/>
        <v/>
      </c>
      <c r="DB203" s="48" t="str">
        <f t="shared" ca="1" si="347"/>
        <v/>
      </c>
      <c r="DC203" s="48" t="str">
        <f t="shared" ca="1" si="477"/>
        <v/>
      </c>
      <c r="DD203" s="48" t="str">
        <f t="shared" ca="1" si="478"/>
        <v/>
      </c>
      <c r="DE203" s="48" t="str">
        <f t="shared" ca="1" si="479"/>
        <v/>
      </c>
      <c r="DF203" s="48">
        <f ca="1">IF(AND(CX203=$DF$1,CX203&lt;&gt;""),0,IF(AND(DB203&lt;&gt;"",OR(DB202&lt;&gt;"",DB204&lt;&gt;"")),MAX($DF$2:DF202)+1,0))</f>
        <v>0</v>
      </c>
      <c r="DG203" s="48">
        <f t="shared" ca="1" si="487"/>
        <v>0</v>
      </c>
      <c r="DH203" s="244" t="s">
        <v>415</v>
      </c>
      <c r="DI203" s="48" t="str">
        <f t="shared" ca="1" si="488"/>
        <v/>
      </c>
      <c r="DJ203" s="48" t="s">
        <v>312</v>
      </c>
      <c r="DK203" s="48" t="s">
        <v>298</v>
      </c>
      <c r="DL203" s="48" t="s">
        <v>5</v>
      </c>
      <c r="DM203" s="48" t="s">
        <v>299</v>
      </c>
      <c r="DN203" s="48">
        <f ca="1">IF(DI203&lt;&gt;"",MAX($DN$2:DN202)+1,0)</f>
        <v>0</v>
      </c>
      <c r="DO203" s="48" t="str">
        <f t="shared" ca="1" si="403"/>
        <v>ppd</v>
      </c>
      <c r="DR203" s="228"/>
      <c r="DW203" s="48">
        <f>IF(DR203&lt;&gt;"",MAX($DW$2:DW202)+1,0)</f>
        <v>0</v>
      </c>
      <c r="DY203" s="48" t="str">
        <f t="shared" ca="1" si="430"/>
        <v/>
      </c>
      <c r="EL203" s="48">
        <f t="shared" ca="1" si="431"/>
        <v>0</v>
      </c>
      <c r="EM203" s="48">
        <f ca="1">IF(EL203&gt;=0,0,MAX($EM$2:EM202)+1)</f>
        <v>0</v>
      </c>
      <c r="EN203" s="48" t="str">
        <f t="shared" ca="1" si="459"/>
        <v/>
      </c>
      <c r="EO203" s="48" t="str">
        <f ca="1">IFERROR(INDEX($EM$3:$EN$400,MATCH(ROWS($EO$3:EO203),$EM$3:$EM$400,0),2),"")</f>
        <v/>
      </c>
      <c r="EP203" s="48">
        <f>ROW()</f>
        <v>203</v>
      </c>
      <c r="EQ203" s="48">
        <f t="shared" ca="1" si="432"/>
        <v>0</v>
      </c>
      <c r="ER203" s="48">
        <f ca="1">IF(ISNA(EQ203)=TRUE,MAX($ER$2:ER202)+1,0)</f>
        <v>0</v>
      </c>
      <c r="ES203" s="48" t="str">
        <f t="shared" ca="1" si="460"/>
        <v/>
      </c>
      <c r="ET203" s="48" t="str">
        <f ca="1">IFERROR(INDEX($ER$3:$ES$400,MATCH(ROWS($ET$3:ET203),$ER$3:$ER$400,0),2),"")</f>
        <v/>
      </c>
      <c r="EV203" s="48">
        <f ca="1">IFERROR(INDEX(LIBRO_GIORNALE!$O$11:$P$408,MATCH(ROWS($EV$2:EV202),LIBRO_GIORNALE!$P$11:$P$408,0),1),0)</f>
        <v>0</v>
      </c>
      <c r="EW203" s="48" t="str">
        <f t="shared" ca="1" si="461"/>
        <v>0</v>
      </c>
      <c r="EX203" s="48">
        <f t="shared" ca="1" si="462"/>
        <v>0</v>
      </c>
      <c r="EY203" s="48">
        <f ca="1">IF(EX203&gt;0,MAX($EY$2:EY202)+1,0)</f>
        <v>0</v>
      </c>
      <c r="EZ203" s="48">
        <f ca="1">IFERROR(INDEX($EX$3:$EX$400,MATCH(ROWS($EZ$3:EZ203),$EY$3:$EY$400,0),1),0)</f>
        <v>0</v>
      </c>
      <c r="FA203" s="48">
        <f ca="1">IF(EZ203&gt;0,0,MAX($FA$2:FA202)+1)</f>
        <v>201</v>
      </c>
      <c r="FB203" s="48">
        <f t="shared" ca="1" si="463"/>
        <v>0</v>
      </c>
      <c r="FC203" s="48">
        <f t="shared" ca="1" si="464"/>
        <v>201</v>
      </c>
      <c r="FD203" s="48">
        <f t="shared" ca="1" si="465"/>
        <v>201</v>
      </c>
      <c r="FE203" s="48">
        <f ca="1">IF(FD203=0,0,MAX($FE$2:FE202)+1)</f>
        <v>201</v>
      </c>
      <c r="FF203" s="48">
        <f ca="1">IFERROR(INDEX($FD$3:$FE$400,MATCH(ROWS($FF$3:FF203),$FE$3:$FE$400,0),1),"")</f>
        <v>201</v>
      </c>
      <c r="FG203" s="48">
        <f t="shared" ca="1" si="380"/>
        <v>0</v>
      </c>
      <c r="FH203" s="48">
        <f t="shared" ca="1" si="466"/>
        <v>0</v>
      </c>
      <c r="FI203" s="48">
        <f ca="1">IF(FH203&lt;&gt;0,MAX($FI$2:FI202)+1,0)</f>
        <v>0</v>
      </c>
      <c r="FJ203" s="48" t="str">
        <f ca="1">IFERROR(INDEX($FH$3:$FI$400,MATCH(ROWS($FJ$3:FJ203),$FI$3:$FI$400,0),1),"")</f>
        <v/>
      </c>
      <c r="FK203" s="48">
        <f ca="1">IF(ABS(SUMIFS(DARE,DEN_G,"="&amp;FJ203,DATA,"&lt;="&amp;FINE_AC,DATA,"&gt;="&amp;INIZIO_A_PC)-SUMIFS(AVERE,DEN_G,"="&amp;FJ203,DATA,"&lt;="&amp;FINE_AC,DATA,"&gt;="&amp;INIZIO_A_PC))&gt;0,MAX($FK$2:FK202)+1,0)</f>
        <v>0</v>
      </c>
      <c r="FL203" s="48" t="str">
        <f ca="1">IF(AND(ROW()-2&lt;&gt;1,ROW()-2&lt;=$FK$1),CONCATENATE(" - ",IFERROR(INDEX($FJ$3:$FK$400,MATCH(ROWS($FL$3:FL203),$FK$3:$FK$400,0),1),"")),IFERROR(INDEX($FJ$3:$FK$400,MATCH(ROWS($FL$3:FL203),$FK$3:$FK$400,0),1),""))</f>
        <v/>
      </c>
      <c r="FM203" s="48">
        <f ca="1">IF(OR(B203="IVA ns/credito",B203="IVA NS/DEBITO",B203="IVA C/ACCONTO",B203="IMPOSTE C/ACCONTO",B203="CREDITI PER RITENUTE SUBITE",B203="CREDITI D'IMPOSTA"),MAX($FM$2:FM202)+1,0)</f>
        <v>0</v>
      </c>
      <c r="FN203" s="48" t="str">
        <f t="shared" ca="1" si="467"/>
        <v/>
      </c>
      <c r="FO203" s="48" t="str">
        <f ca="1">IFERROR(INDEX($FM$3:$FN$400,MATCH(ROWS($FO$3:FO203),$FM$3:$FM$400,0),2),"")</f>
        <v/>
      </c>
      <c r="FP203" s="48">
        <f ca="1">IF(ABS(SUMIFS(DARE,DEN_G,"="&amp;FO203,DATA,"&lt;="&amp;FINE_AC,DATA,"&gt;="&amp;INIZIO_A_PC)-SUMIFS(AVERE,DEN_G,"="&amp;FO203,DATA,"&lt;="&amp;FINE_AC,DATA,"&gt;="&amp;INIZIO_A_PC))&gt;0,MAX($FP$2:FP202)+1,0)</f>
        <v>0</v>
      </c>
      <c r="FQ203" s="48" t="str">
        <f ca="1">IF(AND(ROW()-2&lt;&gt;1,ROW()-2&lt;=$FP$1),CONCATENATE(" - ",IFERROR(INDEX($FO$3:$FP$400,MATCH(ROWS($FQ$3:FQ203),$FP$3:$FP$400,0),1),"")),IFERROR(INDEX($FO$3:$FP$400,MATCH(ROWS($FQ$3:FQ203),$FP$3:$FP$400,0),1),""))</f>
        <v/>
      </c>
    </row>
    <row r="204" spans="1:173" x14ac:dyDescent="0.3">
      <c r="A204" s="48" t="str">
        <f ca="1">IFERROR(IF($A$1=2,INDEX($DH$3:$DN$401,MATCH(ROWS(A$3:A204),$DN$3:$DN$401,0),COLUMN()),IF($A$1=1,INDEX($DQ$3:$DW$401,MATCH(ROWS(A$3:A204),$DW$3:$DW$401,0),COLUMN()),"")),"")</f>
        <v>20.41</v>
      </c>
      <c r="B204" s="48" t="str">
        <f ca="1">IFERROR(IF($A$1=2,INDEX($DH$3:$DN$401,MATCH(ROWS(B$3:B204),$DN$3:$DN$401,0),COLUMN()),IF($A$1=1,INDEX($DQ$3:$DW$400,MATCH(ROWS(B$3:B204),$DW$3:$DW$401,0),COLUMN()),"")),"")</f>
        <v>SOPRAVVENIENZE ATTIVE</v>
      </c>
      <c r="C204" s="48" t="str">
        <f ca="1">IFERROR(IF($A$1=2,INDEX($DH$3:$DN$401,MATCH(ROWS(C$3:C204),$DN$3:$DN$401,0),COLUMN()),IF($A$1=1,INDEX($DQ$3:$DW$401,MATCH(ROWS(C$3:C204),$DW$3:$DW$401,0),COLUMN()),"")),"")</f>
        <v>E</v>
      </c>
      <c r="D204" s="48" t="str">
        <f ca="1">IFERROR(IF($A$1=2,INDEX($DH$3:$DN$401,MATCH(ROWS(D$3:D204),$DN$3:$DN$401,0),COLUMN()),IF($A$1=1,INDEX($DQ$3:$DW$401,MATCH(ROWS(D$3:D204),$DW$3:$DW$401,0),COLUMN()),"")),"")</f>
        <v>A</v>
      </c>
      <c r="E204" s="48" t="str">
        <f ca="1">IFERROR(IF($A$1=2,INDEX($DH$3:$DN$401,MATCH(ROWS(E$3:E204),$DN$3:$DN$401,0),COLUMN()),IF($A$1=1,INDEX($DQ$3:$DW$401,MATCH(ROWS(E$3:E204),$DW$3:$DW$401,0),COLUMN()),"")),"")</f>
        <v>RICAVI D'ESERCIZIO</v>
      </c>
      <c r="F204" s="48" t="str">
        <f ca="1">IFERROR(IF($A$1=2,INDEX($DH$3:$DN$401,MATCH(ROWS(F$3:F204),$DN$3:$DN$401,0),COLUMN()),IF($A$1=1,INDEX($DQ$3:$DX$401,MATCH(ROWS(F$3:F204),$DW$3:$DW$401,0),COLUMN()),"")),"")</f>
        <v>SE AVERE</v>
      </c>
      <c r="G204" s="48" t="str">
        <f t="shared" ca="1" si="433"/>
        <v>SE</v>
      </c>
      <c r="H204" s="48" t="str">
        <f ca="1">IFERROR(IF($A$1=2,INDEX($DH$3:$DO$400,MATCH(ROWS(H$3:H204),$DN$3:$DN$400,0),COLUMN()),IF($A$1=1,INDEX($DQ$3:$DX$400,MATCH(ROWS(H$3:H204),$DW$3:$DW$400,0),COLUMN()),"")),"")</f>
        <v>ea5</v>
      </c>
      <c r="M204" s="48">
        <f ca="1">IFERROR(IF(IF(MID($A204,3,3)=".00",MID(A204,1,2),"")&lt;&gt;"",MAX($M$2:M203)+1,0),"")</f>
        <v>0</v>
      </c>
      <c r="N204" s="48" t="str">
        <f t="shared" ca="1" si="438"/>
        <v/>
      </c>
      <c r="O204" s="48" t="str">
        <f ca="1">IF(IFERROR(INDEX($N$3:$O$300,MATCH(ROWS($O$3:O204),$M$3:$M$300,0),1),"")&lt;&gt;"",CONCATENATE(INDEX($N$3:$O$300,MATCH(ROWS($O$3:O204),$M$3:$M$300,0),1),".00"),"")</f>
        <v/>
      </c>
      <c r="P204" s="48" t="str">
        <f t="shared" ca="1" si="439"/>
        <v/>
      </c>
      <c r="Q204" s="48">
        <f ca="1">IF(M204&gt;=1,0,MAX($Q$2:Q203)+1)</f>
        <v>182</v>
      </c>
      <c r="U204" s="48" t="str">
        <f ca="1">IFERROR(INDEX(PDC,MATCH(ROWS(U$3:U204),$V$3:$V$400,0),2),"")</f>
        <v>CONSULENZE</v>
      </c>
      <c r="V204" s="48">
        <f ca="1">IF(AND($T$1="VISUALIZZA TUTTI I CONTI",AA204&lt;&gt;""),MAX($V$2:V203)+1,IF(AND($U$2=2,AI204=$T$1),MAX($V$2:V203)+1,IF(AND($U$2=1,$T$1=AF204),MAX($V$2:V203)+1,0)))</f>
        <v>202</v>
      </c>
      <c r="AA204" s="48" t="str">
        <f t="shared" ca="1" si="440"/>
        <v>31.00</v>
      </c>
      <c r="AB204" s="48" t="str">
        <f ca="1">IFERROR(INDEX($A$3:$G$400,MATCH(ROWS(AB$3:AB204),$Q$3:$Q$400,0),1),"")</f>
        <v>31.04</v>
      </c>
      <c r="AC204" s="48" t="str">
        <f ca="1">IFERROR(INDEX($A$3:$G$400,MATCH(ROWS($AC$3:AC204),$Q$3:$Q$400,0),2),"")</f>
        <v>CONSULENZE</v>
      </c>
      <c r="AD204" s="48" t="str">
        <f ca="1">IFERROR(INDEX($A$3:$G$400,MATCH(ROWS(AD$3:AD204),$Q$3:$Q$400,0),3),"")</f>
        <v>E</v>
      </c>
      <c r="AE204" s="48" t="str">
        <f ca="1">IFERROR(INDEX($A$3:$G$400,MATCH(ROWS(AE$3:AE204),$Q$3:$Q$400,0),4),"")</f>
        <v>D</v>
      </c>
      <c r="AF204" s="48" t="str">
        <f ca="1">IFERROR(INDEX($A$3:$G$400,MATCH(ROWS(AF$3:AF204),$Q$3:$Q$400,0),5),"")</f>
        <v>COSTI D'ESERCIZIO</v>
      </c>
      <c r="AG204" s="48" t="str">
        <f ca="1">IFERROR(INDEX($A$3:$G$400,MATCH(ROWS(AG$3:AG204),$Q$3:$Q$400,0),6),"")</f>
        <v>SE DARE</v>
      </c>
      <c r="AH204" s="48" t="str">
        <f ca="1">IFERROR(INDEX($A$3:$G$400,MATCH(ROWS(AH$3:AH204),$Q$3:$Q$400,0),7),"")</f>
        <v>SE</v>
      </c>
      <c r="AI204" s="48" t="str">
        <f t="shared" ca="1" si="441"/>
        <v>COSTI PER SERVIZI</v>
      </c>
      <c r="AJ204" s="48" t="str">
        <f ca="1">IFERROR(INDEX($A$3:$H$400,MATCH(ROWS(AJ$3:AJ204),$Q$3:$Q$400,0),8),"")</f>
        <v>eb7</v>
      </c>
      <c r="AK204" s="48">
        <f t="shared" ca="1" si="417"/>
        <v>0</v>
      </c>
      <c r="AL204" s="48">
        <f t="shared" ca="1" si="473"/>
        <v>0</v>
      </c>
      <c r="AM204" s="48">
        <f t="shared" ca="1" si="377"/>
        <v>0</v>
      </c>
      <c r="AN204" s="48">
        <f t="shared" ca="1" si="378"/>
        <v>0</v>
      </c>
      <c r="AO204" s="48">
        <f t="shared" ca="1" si="379"/>
        <v>0</v>
      </c>
      <c r="AP204" s="48">
        <f t="shared" ca="1" si="379"/>
        <v>0</v>
      </c>
      <c r="AQ204" s="48" t="str">
        <f t="shared" ca="1" si="418"/>
        <v/>
      </c>
      <c r="AR204" s="48">
        <f t="shared" ca="1" si="419"/>
        <v>0</v>
      </c>
      <c r="AS204" s="48">
        <f t="shared" ca="1" si="420"/>
        <v>0</v>
      </c>
      <c r="AT204" s="48">
        <f t="shared" ca="1" si="442"/>
        <v>0</v>
      </c>
      <c r="AU204" s="48">
        <f t="shared" ca="1" si="443"/>
        <v>0</v>
      </c>
      <c r="AV204" s="48">
        <f ca="1">IF(OR(AT204&gt;0,AU204&gt;0),MAX($AV$2:AV203)+1,0)</f>
        <v>0</v>
      </c>
      <c r="AZ204" s="48" t="str">
        <f t="shared" ca="1" si="484"/>
        <v/>
      </c>
      <c r="BA204" s="48">
        <f t="shared" ca="1" si="480"/>
        <v>0</v>
      </c>
      <c r="BB204" s="48">
        <f t="shared" ca="1" si="481"/>
        <v>0</v>
      </c>
      <c r="BC204" s="48">
        <f t="shared" ca="1" si="482"/>
        <v>0</v>
      </c>
      <c r="BD204" s="48">
        <f t="shared" ca="1" si="383"/>
        <v>0</v>
      </c>
      <c r="BE204" s="48">
        <f t="shared" ca="1" si="384"/>
        <v>0</v>
      </c>
      <c r="BF204" s="48">
        <f t="shared" si="485"/>
        <v>4</v>
      </c>
      <c r="BG204" s="48">
        <f ca="1">IF(IF(AND(OR(INDEX(PDC,MATCH($AC204,DEN_PDC,0),6)="SP DARE",INDEX(PDC,MATCH($AC204,DEN_PDC,0),6)="SP DARE/AVERE"),SUMIFS(DARE,DEN_G,$AC204)&gt;=SUMIFS(AVERE,DEN_G,$AC204)),SUMIFS(DARE,DEN_G,$AC204)-SUMIFS(AVERE,DEN_G,$AC204),0)&gt;0,MAX($BG$2:BG203)+1,0)</f>
        <v>0</v>
      </c>
      <c r="BH204" s="48">
        <f ca="1">IF(IF(AND(OR(INDEX(PDC,MATCH($AC204,DEN_PDC,0),6)="SP AVERE",INDEX(PDC,MATCH($AC204,DEN_PDC,0),6)="SP DARE/AVERE"),SUMIFS(AVERE,DEN_G,$AC204)&gt;=SUMIFS(DARE,DEN_G,$AC204)),SUMIFS(AVERE,DEN_G,$AC204)-SUMIFS(DARE,DEN_G,$AC204),0)&gt;0,MAX(BH$2:BH203)+1,0)</f>
        <v>0</v>
      </c>
      <c r="BI204" s="48">
        <f ca="1">IF(IF(AND(OR(INDEX(PDC,MATCH($AC204,DEN_PDC,0),6)="SE DARE",INDEX(PDC,MATCH($AC204,DEN_PDC,0),6)="SE DARE/AVERE"),SUMIFS(DARE,DEN_G,$AC204)&gt;=SUMIFS(AVERE,DEN_G,$AC204)),SUMIFS(DARE,DEN_G,$AC204)-SUMIFS(AVERE,DEN_G,$AC204),0)&gt;0,MAX(BI$2:BI203)+1,0)</f>
        <v>0</v>
      </c>
      <c r="BJ204" s="48">
        <f ca="1">IF(IF(AND(OR(INDEX(PDC,MATCH($AC204,DEN_PDC,0),6)="SE AVERE",INDEX(PDC,MATCH($AC204,DEN_PDC,0),6)="SE DARE/AVERE"),SUMIFS(AVERE,DEN_G,$AC204)&gt;=SUMIFS(DARE,DEN_G,$AC204)),SUMIFS(AVERE,DEN_G,$AC204)-SUMIFS(DARE,DEN_G,$AC204),0)&gt;0,MAX(BJ$2:BJ203)+1,0)</f>
        <v>0</v>
      </c>
      <c r="BK204" s="48" t="str">
        <f ca="1">IF(AND(AND($DY$2=0,$DY$1=0),$I$1=2,ROW()&gt;$BG$1+2,ROW()&lt;=$BG$1+4),"………………..",IF(AND(OR($DY$2&gt;0,$DY$1&gt;0),$I$1=2,ROW()&gt;$BG$1+2,ROW()&lt;=$BG$1+4),"………………..",IFERROR(INDEX($AC$3:$AC$398,MATCH(ROWS(BK$3:BK204),BG$3:BG$398,0),1),"")))</f>
        <v/>
      </c>
      <c r="BL204" s="48">
        <f t="shared" ca="1" si="421"/>
        <v>0</v>
      </c>
      <c r="BM204" s="48" t="str">
        <f ca="1">IF(AND(OR($DY$2=0,$DY$1=0),$I$1=2,ROW()&gt;$BH$1+2,ROW()&lt;=$BH$1+4),"………………..",IF(AND(OR($DY$2&gt;0,$DY$1&gt;0),$I$1=2,ROW()&gt;$BH$1+2,ROW()&lt;=$BH$1+4),"………………..",IFERROR(INDEX($AC$3:$AC$400,MATCH(ROWS(BM$3:BM204),BH$3:BH$400,0),1),"")))</f>
        <v/>
      </c>
      <c r="BN204" s="48">
        <f t="shared" ca="1" si="422"/>
        <v>0</v>
      </c>
      <c r="BO204" s="48" t="str">
        <f ca="1">IF(AND(OR($DY$2=0,$DY$1=0),$I$1=2,ROW()&gt;$BI$1+2,ROW()&lt;=$BI$1+4),"………………..",IF(AND(OR($DY$2&gt;0,$DY$1&gt;0),$I$1=2,ROW()&gt;$BI$1+2,ROW()&lt;=$BI$1+4),"………………..",IFERROR(INDEX($AC$3:$AC$400,MATCH(ROWS(BO$3:BO204),BI$3:BI$400,0),1),"")))</f>
        <v/>
      </c>
      <c r="BP204" s="48">
        <f t="shared" ca="1" si="423"/>
        <v>0</v>
      </c>
      <c r="BQ204" s="48" t="str">
        <f ca="1">IF(AND(OR($DY$2=0,$DY$1=0),$I$1=2,ROW()&gt;$BJ$1+2,ROW()&lt;=$BJ$1+4),"………………..",IF(AND(OR($DY$2&gt;0,$DY$1&gt;0),$I$1=2,ROW()&gt;$BJ$1+2,ROW()&lt;=$BJ$1+4),"………………..",IFERROR(INDEX($AC$3:$AC$400,MATCH(ROWS(BQ$3:BQ204),BJ$3:BJ$400,0),1),"")))</f>
        <v/>
      </c>
      <c r="BR204" s="48">
        <f t="shared" ca="1" si="424"/>
        <v>0</v>
      </c>
      <c r="BS204" s="48">
        <f ca="1">IF(IF(AND(OR(INDEX(PDC,MATCH($AC204,DEN_PDC,0),4)="D",INDEX(PDC,MATCH($AC204,DEN_PDC,0),4)="D/A"),SUMIFS(DARE,DEN_G,$AC204)&gt;=SUMIFS(AVERE,DEN_G,$AC204)),SUMIFS(DARE,DEN_G,$AC204),IF(AND(OR(INDEX(PDC,MATCH($AC204,DEN_PDC,0),4)="A",INDEX(PDC,MATCH($AC204,DEN_PDC,0),4)="D/A"),SUMIFS(AVERE,DEN_G,$AC204)&gt;=SUMIFS(DARE,DEN_G,$AC204)),SUMIFS(AVERE,DEN_G,$AC204),))&gt;0,MAX($BS$2:BS203)+1,0)</f>
        <v>0</v>
      </c>
      <c r="BT204" s="48" t="str">
        <f ca="1">IF($CO$1=0,"",IF(AND($I$1=2,ROW()&gt;$BR$1,ROW()&lt;=$BS$1)," …………….",IF(AND($E$1=1,$BX$1=1,$I$1=2,ROW()=$BQ$1),"TOTALI",IFERROR(INDEX(PDC,MATCH(ROWS(BT$3:BT204),BS$3:BS601,0),2),""))))</f>
        <v/>
      </c>
      <c r="BU204" s="48">
        <f t="shared" ca="1" si="425"/>
        <v>0</v>
      </c>
      <c r="BV204" s="48">
        <f t="shared" ca="1" si="426"/>
        <v>0</v>
      </c>
      <c r="BW204" s="48">
        <f t="shared" ca="1" si="427"/>
        <v>0</v>
      </c>
      <c r="BX204" s="48">
        <f t="shared" ca="1" si="428"/>
        <v>0</v>
      </c>
      <c r="BY204" s="48">
        <f ca="1">IF(OR(BW204&gt;0,BX204&gt;0),MAX($BY$2:BY203)+1,0)</f>
        <v>0</v>
      </c>
      <c r="BZ204" s="48" t="str">
        <f ca="1">IFERROR(INDEX($BT$3:$BY$400,MATCH(ROWS(BZ$3:BZ204),$BY$3:$BY$400,0),1),"")</f>
        <v/>
      </c>
      <c r="CA204" s="48" t="str">
        <f ca="1">IFERROR(INDEX($BT$3:$BY$400,MATCH(ROWS(CA$3:CA204),$BY$3:$BY$400,0),4),"")</f>
        <v/>
      </c>
      <c r="CB204" s="48" t="str">
        <f ca="1">IFERROR(INDEX($BT$3:$BY$400,MATCH(ROWS(CB$3:CB204),$BY$3:$BY$400,0),5),"")</f>
        <v/>
      </c>
      <c r="CC204" s="48" t="str">
        <f t="shared" ca="1" si="429"/>
        <v/>
      </c>
      <c r="CD204" s="48">
        <f ca="1">IF(CE204&lt;&gt;0,MAX($CD$190:CD203)+1,0)</f>
        <v>0</v>
      </c>
      <c r="CE204" s="48">
        <f ca="1">IF(ROUND(SUMIFS(COPIA!$CA$3:$CA$400,COPIA!$CC$3:$CC$400,CF204)-SUMIFS(COPIA!$CB$3:$CB$400,COPIA!$CC$3:$CC$400,CF204),0)&lt;0,0,ROUND(SUMIFS(COPIA!$CA$3:$CA$400,COPIA!$CC$3:$CC$400,CF204)-SUMIFS(COPIA!$CB$3:$CB$400,COPIA!$CC$3:$CC$400,CF204),0))</f>
        <v>0</v>
      </c>
      <c r="CF204" s="48" t="s">
        <v>711</v>
      </c>
      <c r="CG204" s="242" t="s">
        <v>576</v>
      </c>
      <c r="CH204" s="48">
        <f t="shared" ca="1" si="486"/>
        <v>0</v>
      </c>
      <c r="CM204" s="242" t="str">
        <f t="shared" ca="1" si="444"/>
        <v/>
      </c>
      <c r="CN204" s="243">
        <f t="shared" ca="1" si="445"/>
        <v>0</v>
      </c>
      <c r="CO204" s="48" t="str">
        <f t="shared" ca="1" si="446"/>
        <v/>
      </c>
      <c r="CU204" s="48">
        <f ca="1">IF(SUMIFS(AVERE,DEN_G,AC204,AVERE,"&gt;"&amp;0)+SUMIFS(DARE,DEN_G,AC204,DARE,"&gt;"&amp;0)&gt;0,MAX($CU$2:CU203)+1,0)</f>
        <v>0</v>
      </c>
      <c r="CV204" s="48" t="str">
        <f ca="1">IF(IFERROR(INDEX(PDC,MATCH(ROWS($CV$3:CV204),$CU$3:$CU$400,0),2),"")="CONTO DI RISULTATO ECONOMICO","",IFERROR(INDEX(PDC,MATCH(ROWS($CV$3:CV204),$CU$3:$CU$400,0),2),""))</f>
        <v/>
      </c>
      <c r="CW204" s="48">
        <f ca="1">IFERROR(IF(CV204&lt;&gt;"",MAX($CW$2:CW203)+1,0),0)</f>
        <v>0</v>
      </c>
      <c r="CX204" s="48">
        <f t="shared" ca="1" si="474"/>
        <v>16</v>
      </c>
      <c r="CY204" s="48" t="str">
        <f t="shared" ca="1" si="472"/>
        <v>MASTRO</v>
      </c>
      <c r="CZ204" s="48" t="e">
        <f t="shared" ca="1" si="476"/>
        <v>#N/A</v>
      </c>
      <c r="DA204" s="48" t="str">
        <f t="shared" ca="1" si="483"/>
        <v/>
      </c>
      <c r="DB204" s="48" t="str">
        <f t="shared" ca="1" si="347"/>
        <v/>
      </c>
      <c r="DC204" s="48" t="str">
        <f t="shared" ca="1" si="477"/>
        <v/>
      </c>
      <c r="DD204" s="48" t="str">
        <f t="shared" ca="1" si="478"/>
        <v/>
      </c>
      <c r="DE204" s="48" t="str">
        <f t="shared" ca="1" si="479"/>
        <v/>
      </c>
      <c r="DF204" s="48">
        <f ca="1">IF(AND(CX204=$DF$1,CX204&lt;&gt;""),0,IF(AND(DB204&lt;&gt;"",OR(DB203&lt;&gt;"",DB205&lt;&gt;"")),MAX($DF$2:DF203)+1,0))</f>
        <v>0</v>
      </c>
      <c r="DG204" s="48">
        <f t="shared" ca="1" si="487"/>
        <v>0</v>
      </c>
      <c r="DH204" s="244" t="s">
        <v>415</v>
      </c>
      <c r="DI204" s="48" t="str">
        <f t="shared" ca="1" si="488"/>
        <v/>
      </c>
      <c r="DJ204" s="48" t="s">
        <v>312</v>
      </c>
      <c r="DK204" s="48" t="s">
        <v>298</v>
      </c>
      <c r="DL204" s="48" t="s">
        <v>5</v>
      </c>
      <c r="DM204" s="48" t="s">
        <v>299</v>
      </c>
      <c r="DN204" s="48">
        <f ca="1">IF(DI204&lt;&gt;"",MAX($DN$2:DN203)+1,0)</f>
        <v>0</v>
      </c>
      <c r="DO204" s="48" t="str">
        <f t="shared" ca="1" si="403"/>
        <v>ppd</v>
      </c>
      <c r="DW204" s="48">
        <f>IF(DR204&lt;&gt;"",MAX($DW$2:DW203)+1,0)</f>
        <v>0</v>
      </c>
      <c r="DY204" s="48" t="str">
        <f t="shared" ca="1" si="430"/>
        <v/>
      </c>
      <c r="EL204" s="48">
        <f t="shared" ca="1" si="431"/>
        <v>0</v>
      </c>
      <c r="EM204" s="48">
        <f ca="1">IF(EL204&gt;=0,0,MAX($EM$2:EM203)+1)</f>
        <v>0</v>
      </c>
      <c r="EN204" s="48" t="str">
        <f t="shared" ca="1" si="459"/>
        <v/>
      </c>
      <c r="EO204" s="48" t="str">
        <f ca="1">IFERROR(INDEX($EM$3:$EN$400,MATCH(ROWS($EO$3:EO204),$EM$3:$EM$400,0),2),"")</f>
        <v/>
      </c>
      <c r="EP204" s="48">
        <f>ROW()</f>
        <v>204</v>
      </c>
      <c r="EQ204" s="48">
        <f t="shared" ca="1" si="432"/>
        <v>0</v>
      </c>
      <c r="ER204" s="48">
        <f ca="1">IF(ISNA(EQ204)=TRUE,MAX($ER$2:ER203)+1,0)</f>
        <v>0</v>
      </c>
      <c r="ES204" s="48" t="str">
        <f t="shared" ca="1" si="460"/>
        <v/>
      </c>
      <c r="ET204" s="48" t="str">
        <f ca="1">IFERROR(INDEX($ER$3:$ES$400,MATCH(ROWS($ET$3:ET204),$ER$3:$ER$400,0),2),"")</f>
        <v/>
      </c>
      <c r="EV204" s="48">
        <f ca="1">IFERROR(INDEX(LIBRO_GIORNALE!$O$11:$P$408,MATCH(ROWS($EV$2:EV203),LIBRO_GIORNALE!$P$11:$P$408,0),1),0)</f>
        <v>0</v>
      </c>
      <c r="EW204" s="48" t="str">
        <f t="shared" ca="1" si="461"/>
        <v>0</v>
      </c>
      <c r="EX204" s="48">
        <f t="shared" ca="1" si="462"/>
        <v>0</v>
      </c>
      <c r="EY204" s="48">
        <f ca="1">IF(EX204&gt;0,MAX($EY$2:EY203)+1,0)</f>
        <v>0</v>
      </c>
      <c r="EZ204" s="48">
        <f ca="1">IFERROR(INDEX($EX$3:$EX$400,MATCH(ROWS($EZ$3:EZ204),$EY$3:$EY$400,0),1),0)</f>
        <v>0</v>
      </c>
      <c r="FA204" s="48">
        <f ca="1">IF(EZ204&gt;0,0,MAX($FA$2:FA203)+1)</f>
        <v>202</v>
      </c>
      <c r="FB204" s="48">
        <f t="shared" ca="1" si="463"/>
        <v>0</v>
      </c>
      <c r="FC204" s="48">
        <f t="shared" ca="1" si="464"/>
        <v>202</v>
      </c>
      <c r="FD204" s="48">
        <f t="shared" ca="1" si="465"/>
        <v>202</v>
      </c>
      <c r="FE204" s="48">
        <f ca="1">IF(FD204=0,0,MAX($FE$2:FE203)+1)</f>
        <v>202</v>
      </c>
      <c r="FF204" s="48">
        <f ca="1">IFERROR(INDEX($FD$3:$FE$400,MATCH(ROWS($FF$3:FF204),$FE$3:$FE$400,0),1),"")</f>
        <v>202</v>
      </c>
      <c r="FG204" s="48">
        <f t="shared" ca="1" si="380"/>
        <v>0</v>
      </c>
      <c r="FH204" s="48">
        <f t="shared" ca="1" si="466"/>
        <v>0</v>
      </c>
      <c r="FI204" s="48">
        <f ca="1">IF(FH204&lt;&gt;0,MAX($FI$2:FI203)+1,0)</f>
        <v>0</v>
      </c>
      <c r="FJ204" s="48" t="str">
        <f ca="1">IFERROR(INDEX($FH$3:$FI$400,MATCH(ROWS($FJ$3:FJ204),$FI$3:$FI$400,0),1),"")</f>
        <v/>
      </c>
      <c r="FK204" s="48">
        <f ca="1">IF(ABS(SUMIFS(DARE,DEN_G,"="&amp;FJ204,DATA,"&lt;="&amp;FINE_AC,DATA,"&gt;="&amp;INIZIO_A_PC)-SUMIFS(AVERE,DEN_G,"="&amp;FJ204,DATA,"&lt;="&amp;FINE_AC,DATA,"&gt;="&amp;INIZIO_A_PC))&gt;0,MAX($FK$2:FK203)+1,0)</f>
        <v>0</v>
      </c>
      <c r="FL204" s="48" t="str">
        <f ca="1">IF(AND(ROW()-2&lt;&gt;1,ROW()-2&lt;=$FK$1),CONCATENATE(" - ",IFERROR(INDEX($FJ$3:$FK$400,MATCH(ROWS($FL$3:FL204),$FK$3:$FK$400,0),1),"")),IFERROR(INDEX($FJ$3:$FK$400,MATCH(ROWS($FL$3:FL204),$FK$3:$FK$400,0),1),""))</f>
        <v/>
      </c>
      <c r="FM204" s="48">
        <f ca="1">IF(OR(B204="IVA ns/credito",B204="IVA NS/DEBITO",B204="IVA C/ACCONTO",B204="IMPOSTE C/ACCONTO",B204="CREDITI PER RITENUTE SUBITE",B204="CREDITI D'IMPOSTA"),MAX($FM$2:FM203)+1,0)</f>
        <v>0</v>
      </c>
      <c r="FN204" s="48" t="str">
        <f t="shared" ca="1" si="467"/>
        <v/>
      </c>
      <c r="FO204" s="48" t="str">
        <f ca="1">IFERROR(INDEX($FM$3:$FN$400,MATCH(ROWS($FO$3:FO204),$FM$3:$FM$400,0),2),"")</f>
        <v/>
      </c>
      <c r="FP204" s="48">
        <f ca="1">IF(ABS(SUMIFS(DARE,DEN_G,"="&amp;FO204,DATA,"&lt;="&amp;FINE_AC,DATA,"&gt;="&amp;INIZIO_A_PC)-SUMIFS(AVERE,DEN_G,"="&amp;FO204,DATA,"&lt;="&amp;FINE_AC,DATA,"&gt;="&amp;INIZIO_A_PC))&gt;0,MAX($FP$2:FP203)+1,0)</f>
        <v>0</v>
      </c>
      <c r="FQ204" s="48" t="str">
        <f ca="1">IF(AND(ROW()-2&lt;&gt;1,ROW()-2&lt;=$FP$1),CONCATENATE(" - ",IFERROR(INDEX($FO$3:$FP$400,MATCH(ROWS($FQ$3:FQ204),$FP$3:$FP$400,0),1),"")),IFERROR(INDEX($FO$3:$FP$400,MATCH(ROWS($FQ$3:FQ204),$FP$3:$FP$400,0),1),""))</f>
        <v/>
      </c>
    </row>
    <row r="205" spans="1:173" x14ac:dyDescent="0.3">
      <c r="A205" s="48" t="str">
        <f ca="1">IFERROR(IF($A$1=2,INDEX($DH$3:$DN$401,MATCH(ROWS(A$3:A205),$DN$3:$DN$401,0),COLUMN()),IF($A$1=1,INDEX($DQ$3:$DW$401,MATCH(ROWS(A$3:A205),$DW$3:$DW$401,0),COLUMN()),"")),"")</f>
        <v>20.42</v>
      </c>
      <c r="B205" s="48" t="str">
        <f ca="1">IFERROR(IF($A$1=2,INDEX($DH$3:$DN$401,MATCH(ROWS(B$3:B205),$DN$3:$DN$401,0),COLUMN()),IF($A$1=1,INDEX($DQ$3:$DW$400,MATCH(ROWS(B$3:B205),$DW$3:$DW$401,0),COLUMN()),"")),"")</f>
        <v>INSUSSISTENZE ATTIVE</v>
      </c>
      <c r="C205" s="48" t="str">
        <f ca="1">IFERROR(IF($A$1=2,INDEX($DH$3:$DN$401,MATCH(ROWS(C$3:C205),$DN$3:$DN$401,0),COLUMN()),IF($A$1=1,INDEX($DQ$3:$DW$401,MATCH(ROWS(C$3:C205),$DW$3:$DW$401,0),COLUMN()),"")),"")</f>
        <v>E</v>
      </c>
      <c r="D205" s="48" t="str">
        <f ca="1">IFERROR(IF($A$1=2,INDEX($DH$3:$DN$401,MATCH(ROWS(D$3:D205),$DN$3:$DN$401,0),COLUMN()),IF($A$1=1,INDEX($DQ$3:$DW$401,MATCH(ROWS(D$3:D205),$DW$3:$DW$401,0),COLUMN()),"")),"")</f>
        <v>A</v>
      </c>
      <c r="E205" s="48" t="str">
        <f ca="1">IFERROR(IF($A$1=2,INDEX($DH$3:$DN$401,MATCH(ROWS(E$3:E205),$DN$3:$DN$401,0),COLUMN()),IF($A$1=1,INDEX($DQ$3:$DW$401,MATCH(ROWS(E$3:E205),$DW$3:$DW$401,0),COLUMN()),"")),"")</f>
        <v>RICAVI D'ESERCIZIO</v>
      </c>
      <c r="F205" s="48" t="str">
        <f ca="1">IFERROR(IF($A$1=2,INDEX($DH$3:$DN$401,MATCH(ROWS(F$3:F205),$DN$3:$DN$401,0),COLUMN()),IF($A$1=1,INDEX($DQ$3:$DX$401,MATCH(ROWS(F$3:F205),$DW$3:$DW$401,0),COLUMN()),"")),"")</f>
        <v>SE AVERE</v>
      </c>
      <c r="G205" s="48" t="str">
        <f t="shared" ca="1" si="433"/>
        <v>SE</v>
      </c>
      <c r="H205" s="48" t="str">
        <f ca="1">IFERROR(IF($A$1=2,INDEX($DH$3:$DO$400,MATCH(ROWS(H$3:H205),$DN$3:$DN$400,0),COLUMN()),IF($A$1=1,INDEX($DQ$3:$DX$400,MATCH(ROWS(H$3:H205),$DW$3:$DW$400,0),COLUMN()),"")),"")</f>
        <v>ea5</v>
      </c>
      <c r="M205" s="48">
        <f ca="1">IFERROR(IF(IF(MID($A205,3,3)=".00",MID(A205,1,2),"")&lt;&gt;"",MAX($M$2:M204)+1,0),"")</f>
        <v>0</v>
      </c>
      <c r="N205" s="48" t="str">
        <f t="shared" ca="1" si="438"/>
        <v/>
      </c>
      <c r="O205" s="48" t="str">
        <f ca="1">IF(IFERROR(INDEX($N$3:$O$300,MATCH(ROWS($O$3:O205),$M$3:$M$300,0),1),"")&lt;&gt;"",CONCATENATE(INDEX($N$3:$O$300,MATCH(ROWS($O$3:O205),$M$3:$M$300,0),1),".00"),"")</f>
        <v/>
      </c>
      <c r="P205" s="48" t="str">
        <f t="shared" ca="1" si="439"/>
        <v/>
      </c>
      <c r="Q205" s="48">
        <f ca="1">IF(M205&gt;=1,0,MAX($Q$2:Q204)+1)</f>
        <v>183</v>
      </c>
      <c r="U205" s="48" t="str">
        <f ca="1">IFERROR(INDEX(PDC,MATCH(ROWS(U$3:U205),$V$3:$V$400,0),2),"")</f>
        <v>COSTI TELEFONICI</v>
      </c>
      <c r="V205" s="48">
        <f ca="1">IF(AND($T$1="VISUALIZZA TUTTI I CONTI",AA205&lt;&gt;""),MAX($V$2:V204)+1,IF(AND($U$2=2,AI205=$T$1),MAX($V$2:V204)+1,IF(AND($U$2=1,$T$1=AF205),MAX($V$2:V204)+1,0)))</f>
        <v>203</v>
      </c>
      <c r="AA205" s="48" t="str">
        <f t="shared" ca="1" si="440"/>
        <v>31.00</v>
      </c>
      <c r="AB205" s="48" t="str">
        <f ca="1">IFERROR(INDEX($A$3:$G$400,MATCH(ROWS(AB$3:AB205),$Q$3:$Q$400,0),1),"")</f>
        <v>31.05</v>
      </c>
      <c r="AC205" s="48" t="str">
        <f ca="1">IFERROR(INDEX($A$3:$G$400,MATCH(ROWS($AC$3:AC205),$Q$3:$Q$400,0),2),"")</f>
        <v>COSTI TELEFONICI</v>
      </c>
      <c r="AD205" s="48" t="str">
        <f ca="1">IFERROR(INDEX($A$3:$G$400,MATCH(ROWS(AD$3:AD205),$Q$3:$Q$400,0),3),"")</f>
        <v>E</v>
      </c>
      <c r="AE205" s="48" t="str">
        <f ca="1">IFERROR(INDEX($A$3:$G$400,MATCH(ROWS(AE$3:AE205),$Q$3:$Q$400,0),4),"")</f>
        <v>D</v>
      </c>
      <c r="AF205" s="48" t="str">
        <f ca="1">IFERROR(INDEX($A$3:$G$400,MATCH(ROWS(AF$3:AF205),$Q$3:$Q$400,0),5),"")</f>
        <v>COSTI D'ESERCIZIO</v>
      </c>
      <c r="AG205" s="48" t="str">
        <f ca="1">IFERROR(INDEX($A$3:$G$400,MATCH(ROWS(AG$3:AG205),$Q$3:$Q$400,0),6),"")</f>
        <v>SE DARE</v>
      </c>
      <c r="AH205" s="48" t="str">
        <f ca="1">IFERROR(INDEX($A$3:$G$400,MATCH(ROWS(AH$3:AH205),$Q$3:$Q$400,0),7),"")</f>
        <v>SE</v>
      </c>
      <c r="AI205" s="48" t="str">
        <f t="shared" ca="1" si="441"/>
        <v>COSTI PER SERVIZI</v>
      </c>
      <c r="AJ205" s="48" t="str">
        <f ca="1">IFERROR(INDEX($A$3:$H$400,MATCH(ROWS(AJ$3:AJ205),$Q$3:$Q$400,0),8),"")</f>
        <v>eb7</v>
      </c>
      <c r="AK205" s="48">
        <f t="shared" ca="1" si="417"/>
        <v>0</v>
      </c>
      <c r="AL205" s="48">
        <f t="shared" ca="1" si="473"/>
        <v>0</v>
      </c>
      <c r="AM205" s="48">
        <f t="shared" ca="1" si="377"/>
        <v>0</v>
      </c>
      <c r="AN205" s="48">
        <f t="shared" ca="1" si="378"/>
        <v>0</v>
      </c>
      <c r="AO205" s="48">
        <f t="shared" ca="1" si="379"/>
        <v>0</v>
      </c>
      <c r="AP205" s="48">
        <f t="shared" ca="1" si="379"/>
        <v>0</v>
      </c>
      <c r="AQ205" s="48" t="str">
        <f t="shared" ca="1" si="418"/>
        <v/>
      </c>
      <c r="AR205" s="48">
        <f t="shared" ca="1" si="419"/>
        <v>0</v>
      </c>
      <c r="AS205" s="48">
        <f t="shared" ca="1" si="420"/>
        <v>0</v>
      </c>
      <c r="AT205" s="48">
        <f t="shared" ca="1" si="442"/>
        <v>0</v>
      </c>
      <c r="AU205" s="48">
        <f t="shared" ca="1" si="443"/>
        <v>0</v>
      </c>
      <c r="AV205" s="48">
        <f ca="1">IF(OR(AT205&gt;0,AU205&gt;0),MAX($AV$2:AV204)+1,0)</f>
        <v>0</v>
      </c>
      <c r="AZ205" s="48" t="str">
        <f t="shared" ca="1" si="484"/>
        <v/>
      </c>
      <c r="BA205" s="48">
        <f t="shared" ca="1" si="480"/>
        <v>0</v>
      </c>
      <c r="BB205" s="48">
        <f t="shared" ca="1" si="481"/>
        <v>0</v>
      </c>
      <c r="BC205" s="48">
        <f t="shared" ca="1" si="482"/>
        <v>0</v>
      </c>
      <c r="BD205" s="48">
        <f t="shared" ca="1" si="383"/>
        <v>0</v>
      </c>
      <c r="BE205" s="48">
        <f t="shared" ca="1" si="384"/>
        <v>0</v>
      </c>
      <c r="BF205" s="48">
        <f t="shared" si="485"/>
        <v>5</v>
      </c>
      <c r="BG205" s="48">
        <f ca="1">IF(IF(AND(OR(INDEX(PDC,MATCH($AC205,DEN_PDC,0),6)="SP DARE",INDEX(PDC,MATCH($AC205,DEN_PDC,0),6)="SP DARE/AVERE"),SUMIFS(DARE,DEN_G,$AC205)&gt;=SUMIFS(AVERE,DEN_G,$AC205)),SUMIFS(DARE,DEN_G,$AC205)-SUMIFS(AVERE,DEN_G,$AC205),0)&gt;0,MAX($BG$2:BG204)+1,0)</f>
        <v>0</v>
      </c>
      <c r="BH205" s="48">
        <f ca="1">IF(IF(AND(OR(INDEX(PDC,MATCH($AC205,DEN_PDC,0),6)="SP AVERE",INDEX(PDC,MATCH($AC205,DEN_PDC,0),6)="SP DARE/AVERE"),SUMIFS(AVERE,DEN_G,$AC205)&gt;=SUMIFS(DARE,DEN_G,$AC205)),SUMIFS(AVERE,DEN_G,$AC205)-SUMIFS(DARE,DEN_G,$AC205),0)&gt;0,MAX(BH$2:BH204)+1,0)</f>
        <v>0</v>
      </c>
      <c r="BI205" s="48">
        <f ca="1">IF(IF(AND(OR(INDEX(PDC,MATCH($AC205,DEN_PDC,0),6)="SE DARE",INDEX(PDC,MATCH($AC205,DEN_PDC,0),6)="SE DARE/AVERE"),SUMIFS(DARE,DEN_G,$AC205)&gt;=SUMIFS(AVERE,DEN_G,$AC205)),SUMIFS(DARE,DEN_G,$AC205)-SUMIFS(AVERE,DEN_G,$AC205),0)&gt;0,MAX(BI$2:BI204)+1,0)</f>
        <v>0</v>
      </c>
      <c r="BJ205" s="48">
        <f ca="1">IF(IF(AND(OR(INDEX(PDC,MATCH($AC205,DEN_PDC,0),6)="SE AVERE",INDEX(PDC,MATCH($AC205,DEN_PDC,0),6)="SE DARE/AVERE"),SUMIFS(AVERE,DEN_G,$AC205)&gt;=SUMIFS(DARE,DEN_G,$AC205)),SUMIFS(AVERE,DEN_G,$AC205)-SUMIFS(DARE,DEN_G,$AC205),0)&gt;0,MAX(BJ$2:BJ204)+1,0)</f>
        <v>0</v>
      </c>
      <c r="BK205" s="48" t="str">
        <f ca="1">IF(AND(AND($DY$2=0,$DY$1=0),$I$1=2,ROW()&gt;$BG$1+2,ROW()&lt;=$BG$1+4),"………………..",IF(AND(OR($DY$2&gt;0,$DY$1&gt;0),$I$1=2,ROW()&gt;$BG$1+2,ROW()&lt;=$BG$1+4),"………………..",IFERROR(INDEX($AC$3:$AC$398,MATCH(ROWS(BK$3:BK205),BG$3:BG$398,0),1),"")))</f>
        <v/>
      </c>
      <c r="BL205" s="48">
        <f t="shared" ca="1" si="421"/>
        <v>0</v>
      </c>
      <c r="BM205" s="48" t="str">
        <f ca="1">IF(AND(OR($DY$2=0,$DY$1=0),$I$1=2,ROW()&gt;$BH$1+2,ROW()&lt;=$BH$1+4),"………………..",IF(AND(OR($DY$2&gt;0,$DY$1&gt;0),$I$1=2,ROW()&gt;$BH$1+2,ROW()&lt;=$BH$1+4),"………………..",IFERROR(INDEX($AC$3:$AC$400,MATCH(ROWS(BM$3:BM205),BH$3:BH$400,0),1),"")))</f>
        <v/>
      </c>
      <c r="BN205" s="48">
        <f t="shared" ca="1" si="422"/>
        <v>0</v>
      </c>
      <c r="BO205" s="48" t="str">
        <f ca="1">IF(AND(OR($DY$2=0,$DY$1=0),$I$1=2,ROW()&gt;$BI$1+2,ROW()&lt;=$BI$1+4),"………………..",IF(AND(OR($DY$2&gt;0,$DY$1&gt;0),$I$1=2,ROW()&gt;$BI$1+2,ROW()&lt;=$BI$1+4),"………………..",IFERROR(INDEX($AC$3:$AC$400,MATCH(ROWS(BO$3:BO205),BI$3:BI$400,0),1),"")))</f>
        <v/>
      </c>
      <c r="BP205" s="48">
        <f t="shared" ca="1" si="423"/>
        <v>0</v>
      </c>
      <c r="BQ205" s="48" t="str">
        <f ca="1">IF(AND(OR($DY$2=0,$DY$1=0),$I$1=2,ROW()&gt;$BJ$1+2,ROW()&lt;=$BJ$1+4),"………………..",IF(AND(OR($DY$2&gt;0,$DY$1&gt;0),$I$1=2,ROW()&gt;$BJ$1+2,ROW()&lt;=$BJ$1+4),"………………..",IFERROR(INDEX($AC$3:$AC$400,MATCH(ROWS(BQ$3:BQ205),BJ$3:BJ$400,0),1),"")))</f>
        <v/>
      </c>
      <c r="BR205" s="48">
        <f t="shared" ca="1" si="424"/>
        <v>0</v>
      </c>
      <c r="BS205" s="48">
        <f ca="1">IF(IF(AND(OR(INDEX(PDC,MATCH($AC205,DEN_PDC,0),4)="D",INDEX(PDC,MATCH($AC205,DEN_PDC,0),4)="D/A"),SUMIFS(DARE,DEN_G,$AC205)&gt;=SUMIFS(AVERE,DEN_G,$AC205)),SUMIFS(DARE,DEN_G,$AC205),IF(AND(OR(INDEX(PDC,MATCH($AC205,DEN_PDC,0),4)="A",INDEX(PDC,MATCH($AC205,DEN_PDC,0),4)="D/A"),SUMIFS(AVERE,DEN_G,$AC205)&gt;=SUMIFS(DARE,DEN_G,$AC205)),SUMIFS(AVERE,DEN_G,$AC205),))&gt;0,MAX($BS$2:BS204)+1,0)</f>
        <v>0</v>
      </c>
      <c r="BT205" s="48" t="str">
        <f ca="1">IF($CO$1=0,"",IF(AND($I$1=2,ROW()&gt;$BR$1,ROW()&lt;=$BS$1)," …………….",IF(AND($E$1=1,$BX$1=1,$I$1=2,ROW()=$BQ$1),"TOTALI",IFERROR(INDEX(PDC,MATCH(ROWS(BT$3:BT205),BS$3:BS602,0),2),""))))</f>
        <v/>
      </c>
      <c r="BU205" s="48">
        <f t="shared" ca="1" si="425"/>
        <v>0</v>
      </c>
      <c r="BV205" s="48">
        <f t="shared" ca="1" si="426"/>
        <v>0</v>
      </c>
      <c r="BW205" s="48">
        <f t="shared" ca="1" si="427"/>
        <v>0</v>
      </c>
      <c r="BX205" s="48">
        <f t="shared" ca="1" si="428"/>
        <v>0</v>
      </c>
      <c r="BY205" s="48">
        <f ca="1">IF(OR(BW205&gt;0,BX205&gt;0),MAX($BY$2:BY204)+1,0)</f>
        <v>0</v>
      </c>
      <c r="BZ205" s="48" t="str">
        <f ca="1">IFERROR(INDEX($BT$3:$BY$400,MATCH(ROWS(BZ$3:BZ205),$BY$3:$BY$400,0),1),"")</f>
        <v/>
      </c>
      <c r="CA205" s="48" t="str">
        <f ca="1">IFERROR(INDEX($BT$3:$BY$400,MATCH(ROWS(CA$3:CA205),$BY$3:$BY$400,0),4),"")</f>
        <v/>
      </c>
      <c r="CB205" s="48" t="str">
        <f ca="1">IFERROR(INDEX($BT$3:$BY$400,MATCH(ROWS(CB$3:CB205),$BY$3:$BY$400,0),5),"")</f>
        <v/>
      </c>
      <c r="CC205" s="48" t="str">
        <f t="shared" ca="1" si="429"/>
        <v/>
      </c>
      <c r="CD205" s="48">
        <f ca="1">IF(CE205&lt;&gt;0,MAX($CD$190:CD204)+1,0)</f>
        <v>0</v>
      </c>
      <c r="CE205" s="48">
        <f ca="1">IF(OR(CE206&gt;0,CE207&gt;0,CE208&gt;0,CE209&gt;0,CE210&gt;0),"a",0)</f>
        <v>0</v>
      </c>
      <c r="CF205" s="48" t="s">
        <v>738</v>
      </c>
      <c r="CG205" s="242" t="s">
        <v>577</v>
      </c>
      <c r="CM205" s="242" t="str">
        <f t="shared" ca="1" si="444"/>
        <v/>
      </c>
      <c r="CN205" s="243">
        <f t="shared" ca="1" si="445"/>
        <v>0</v>
      </c>
      <c r="CO205" s="48" t="str">
        <f t="shared" ca="1" si="446"/>
        <v/>
      </c>
      <c r="CU205" s="48">
        <f ca="1">IF(SUMIFS(AVERE,DEN_G,AC205,AVERE,"&gt;"&amp;0)+SUMIFS(DARE,DEN_G,AC205,DARE,"&gt;"&amp;0)&gt;0,MAX($CU$2:CU204)+1,0)</f>
        <v>0</v>
      </c>
      <c r="CV205" s="48" t="str">
        <f ca="1">IF(IFERROR(INDEX(PDC,MATCH(ROWS($CV$3:CV205),$CU$3:$CU$400,0),2),"")="CONTO DI RISULTATO ECONOMICO","",IFERROR(INDEX(PDC,MATCH(ROWS($CV$3:CV205),$CU$3:$CU$400,0),2),""))</f>
        <v/>
      </c>
      <c r="CW205" s="48">
        <f ca="1">IFERROR(IF(CV205&lt;&gt;"",MAX($CW$2:CW204)+1,0),0)</f>
        <v>0</v>
      </c>
      <c r="CX205" s="48">
        <f t="shared" ca="1" si="474"/>
        <v>16</v>
      </c>
      <c r="CY205" s="48" t="str">
        <f t="shared" ca="1" si="472"/>
        <v>MASTRO</v>
      </c>
      <c r="CZ205" s="48" t="e">
        <f t="shared" ca="1" si="476"/>
        <v>#N/A</v>
      </c>
      <c r="DA205" s="48" t="str">
        <f t="shared" ca="1" si="483"/>
        <v/>
      </c>
      <c r="DB205" s="48" t="str">
        <f t="shared" ca="1" si="347"/>
        <v/>
      </c>
      <c r="DC205" s="48" t="str">
        <f t="shared" ca="1" si="477"/>
        <v/>
      </c>
      <c r="DD205" s="48" t="str">
        <f t="shared" ca="1" si="478"/>
        <v/>
      </c>
      <c r="DE205" s="48" t="str">
        <f t="shared" ca="1" si="479"/>
        <v/>
      </c>
      <c r="DF205" s="48">
        <f ca="1">IF(AND(CX205=$DF$1,CX205&lt;&gt;""),0,IF(AND(DB205&lt;&gt;"",OR(DB204&lt;&gt;"",DB206&lt;&gt;"")),MAX($DF$2:DF204)+1,0))</f>
        <v>0</v>
      </c>
      <c r="DH205" s="244" t="s">
        <v>414</v>
      </c>
      <c r="DI205" s="48" t="str">
        <f ca="1">IF($DL$1=TRUE,"SOCI C/RIMBORSO","AZIONISTI C/RIMBORSO")</f>
        <v>AZIONISTI C/RIMBORSO</v>
      </c>
      <c r="DJ205" s="48" t="s">
        <v>312</v>
      </c>
      <c r="DK205" s="48" t="s">
        <v>298</v>
      </c>
      <c r="DL205" s="48" t="s">
        <v>5</v>
      </c>
      <c r="DM205" s="48" t="s">
        <v>299</v>
      </c>
      <c r="DN205" s="48">
        <f ca="1">IF(DI205&lt;&gt;"",MAX($DN$2:DN204)+1,0)</f>
        <v>160</v>
      </c>
      <c r="DO205" s="48" t="str">
        <f t="shared" ca="1" si="403"/>
        <v>ppd</v>
      </c>
      <c r="DQ205" s="227" t="s">
        <v>148</v>
      </c>
      <c r="DR205" s="228" t="s">
        <v>147</v>
      </c>
      <c r="DW205" s="48">
        <f ca="1">IF(DR205&lt;&gt;"",MAX($DW$2:DW204)+1,0)</f>
        <v>120</v>
      </c>
      <c r="DY205" s="48" t="str">
        <f t="shared" ca="1" si="430"/>
        <v/>
      </c>
      <c r="EL205" s="48">
        <f t="shared" ca="1" si="431"/>
        <v>0</v>
      </c>
      <c r="EM205" s="48">
        <f ca="1">IF(EL205&gt;=0,0,MAX($EM$2:EM204)+1)</f>
        <v>0</v>
      </c>
      <c r="EN205" s="48" t="str">
        <f t="shared" ca="1" si="459"/>
        <v/>
      </c>
      <c r="EO205" s="48" t="str">
        <f ca="1">IFERROR(INDEX($EM$3:$EN$400,MATCH(ROWS($EO$3:EO205),$EM$3:$EM$400,0),2),"")</f>
        <v/>
      </c>
      <c r="EP205" s="48">
        <f>ROW()</f>
        <v>205</v>
      </c>
      <c r="EQ205" s="48">
        <f t="shared" ca="1" si="432"/>
        <v>0</v>
      </c>
      <c r="ER205" s="48">
        <f ca="1">IF(ISNA(EQ205)=TRUE,MAX($ER$2:ER204)+1,0)</f>
        <v>0</v>
      </c>
      <c r="ES205" s="48" t="str">
        <f t="shared" ca="1" si="460"/>
        <v/>
      </c>
      <c r="ET205" s="48" t="str">
        <f ca="1">IFERROR(INDEX($ER$3:$ES$400,MATCH(ROWS($ET$3:ET205),$ER$3:$ER$400,0),2),"")</f>
        <v/>
      </c>
      <c r="EV205" s="48">
        <f ca="1">IFERROR(INDEX(LIBRO_GIORNALE!$O$11:$P$408,MATCH(ROWS($EV$2:EV204),LIBRO_GIORNALE!$P$11:$P$408,0),1),0)</f>
        <v>0</v>
      </c>
      <c r="EW205" s="48" t="str">
        <f t="shared" ca="1" si="461"/>
        <v>0</v>
      </c>
      <c r="EX205" s="48">
        <f t="shared" ca="1" si="462"/>
        <v>0</v>
      </c>
      <c r="EY205" s="48">
        <f ca="1">IF(EX205&gt;0,MAX($EY$2:EY204)+1,0)</f>
        <v>0</v>
      </c>
      <c r="EZ205" s="48">
        <f ca="1">IFERROR(INDEX($EX$3:$EX$400,MATCH(ROWS($EZ$3:EZ205),$EY$3:$EY$400,0),1),0)</f>
        <v>0</v>
      </c>
      <c r="FA205" s="48">
        <f ca="1">IF(EZ205&gt;0,0,MAX($FA$2:FA204)+1)</f>
        <v>203</v>
      </c>
      <c r="FB205" s="48">
        <f t="shared" ca="1" si="463"/>
        <v>0</v>
      </c>
      <c r="FC205" s="48">
        <f t="shared" ca="1" si="464"/>
        <v>203</v>
      </c>
      <c r="FD205" s="48">
        <f t="shared" ca="1" si="465"/>
        <v>203</v>
      </c>
      <c r="FE205" s="48">
        <f ca="1">IF(FD205=0,0,MAX($FE$2:FE204)+1)</f>
        <v>203</v>
      </c>
      <c r="FF205" s="48">
        <f ca="1">IFERROR(INDEX($FD$3:$FE$400,MATCH(ROWS($FF$3:FF205),$FE$3:$FE$400,0),1),"")</f>
        <v>203</v>
      </c>
      <c r="FG205" s="48">
        <f t="shared" ca="1" si="380"/>
        <v>0</v>
      </c>
      <c r="FH205" s="48">
        <f t="shared" ca="1" si="466"/>
        <v>0</v>
      </c>
      <c r="FI205" s="48">
        <f ca="1">IF(FH205&lt;&gt;0,MAX($FI$2:FI204)+1,0)</f>
        <v>0</v>
      </c>
      <c r="FJ205" s="48" t="str">
        <f ca="1">IFERROR(INDEX($FH$3:$FI$400,MATCH(ROWS($FJ$3:FJ205),$FI$3:$FI$400,0),1),"")</f>
        <v/>
      </c>
      <c r="FK205" s="48">
        <f ca="1">IF(ABS(SUMIFS(DARE,DEN_G,"="&amp;FJ205,DATA,"&lt;="&amp;FINE_AC,DATA,"&gt;="&amp;INIZIO_A_PC)-SUMIFS(AVERE,DEN_G,"="&amp;FJ205,DATA,"&lt;="&amp;FINE_AC,DATA,"&gt;="&amp;INIZIO_A_PC))&gt;0,MAX($FK$2:FK204)+1,0)</f>
        <v>0</v>
      </c>
      <c r="FL205" s="48" t="str">
        <f ca="1">IF(AND(ROW()-2&lt;&gt;1,ROW()-2&lt;=$FK$1),CONCATENATE(" - ",IFERROR(INDEX($FJ$3:$FK$400,MATCH(ROWS($FL$3:FL205),$FK$3:$FK$400,0),1),"")),IFERROR(INDEX($FJ$3:$FK$400,MATCH(ROWS($FL$3:FL205),$FK$3:$FK$400,0),1),""))</f>
        <v/>
      </c>
      <c r="FM205" s="48">
        <f ca="1">IF(OR(B205="IVA ns/credito",B205="IVA NS/DEBITO",B205="IVA C/ACCONTO",B205="IMPOSTE C/ACCONTO",B205="CREDITI PER RITENUTE SUBITE",B205="CREDITI D'IMPOSTA"),MAX($FM$2:FM204)+1,0)</f>
        <v>0</v>
      </c>
      <c r="FN205" s="48" t="str">
        <f t="shared" ca="1" si="467"/>
        <v/>
      </c>
      <c r="FO205" s="48" t="str">
        <f ca="1">IFERROR(INDEX($FM$3:$FN$400,MATCH(ROWS($FO$3:FO205),$FM$3:$FM$400,0),2),"")</f>
        <v/>
      </c>
      <c r="FP205" s="48">
        <f ca="1">IF(ABS(SUMIFS(DARE,DEN_G,"="&amp;FO205,DATA,"&lt;="&amp;FINE_AC,DATA,"&gt;="&amp;INIZIO_A_PC)-SUMIFS(AVERE,DEN_G,"="&amp;FO205,DATA,"&lt;="&amp;FINE_AC,DATA,"&gt;="&amp;INIZIO_A_PC))&gt;0,MAX($FP$2:FP204)+1,0)</f>
        <v>0</v>
      </c>
      <c r="FQ205" s="48" t="str">
        <f ca="1">IF(AND(ROW()-2&lt;&gt;1,ROW()-2&lt;=$FP$1),CONCATENATE(" - ",IFERROR(INDEX($FO$3:$FP$400,MATCH(ROWS($FQ$3:FQ205),$FP$3:$FP$400,0),1),"")),IFERROR(INDEX($FO$3:$FP$400,MATCH(ROWS($FQ$3:FQ205),$FP$3:$FP$400,0),1),""))</f>
        <v/>
      </c>
    </row>
    <row r="206" spans="1:173" x14ac:dyDescent="0.3">
      <c r="A206" s="48" t="str">
        <f ca="1">IFERROR(IF($A$1=2,INDEX($DH$3:$DN$401,MATCH(ROWS(A$3:A206),$DN$3:$DN$401,0),COLUMN()),IF($A$1=1,INDEX($DQ$3:$DW$401,MATCH(ROWS(A$3:A206),$DW$3:$DW$401,0),COLUMN()),"")),"")</f>
        <v>20.46</v>
      </c>
      <c r="B206" s="48" t="str">
        <f ca="1">IFERROR(IF($A$1=2,INDEX($DH$3:$DN$401,MATCH(ROWS(B$3:B206),$DN$3:$DN$401,0),COLUMN()),IF($A$1=1,INDEX($DQ$3:$DW$400,MATCH(ROWS(B$3:B206),$DW$3:$DW$401,0),COLUMN()),"")),"")</f>
        <v>RIVALUTAZIONE TERRENI E FABBRICATI</v>
      </c>
      <c r="C206" s="48" t="str">
        <f ca="1">IFERROR(IF($A$1=2,INDEX($DH$3:$DN$401,MATCH(ROWS(C$3:C206),$DN$3:$DN$401,0),COLUMN()),IF($A$1=1,INDEX($DQ$3:$DW$401,MATCH(ROWS(C$3:C206),$DW$3:$DW$401,0),COLUMN()),"")),"")</f>
        <v>E</v>
      </c>
      <c r="D206" s="48" t="str">
        <f ca="1">IFERROR(IF($A$1=2,INDEX($DH$3:$DN$401,MATCH(ROWS(D$3:D206),$DN$3:$DN$401,0),COLUMN()),IF($A$1=1,INDEX($DQ$3:$DW$401,MATCH(ROWS(D$3:D206),$DW$3:$DW$401,0),COLUMN()),"")),"")</f>
        <v>A</v>
      </c>
      <c r="E206" s="48" t="str">
        <f ca="1">IFERROR(IF($A$1=2,INDEX($DH$3:$DN$401,MATCH(ROWS(E$3:E206),$DN$3:$DN$401,0),COLUMN()),IF($A$1=1,INDEX($DQ$3:$DW$401,MATCH(ROWS(E$3:E206),$DW$3:$DW$401,0),COLUMN()),"")),"")</f>
        <v>RICAVI D'ESERCIZIO</v>
      </c>
      <c r="F206" s="48" t="str">
        <f ca="1">IFERROR(IF($A$1=2,INDEX($DH$3:$DN$401,MATCH(ROWS(F$3:F206),$DN$3:$DN$401,0),COLUMN()),IF($A$1=1,INDEX($DQ$3:$DX$401,MATCH(ROWS(F$3:F206),$DW$3:$DW$401,0),COLUMN()),"")),"")</f>
        <v>SE AVERE</v>
      </c>
      <c r="G206" s="48" t="str">
        <f t="shared" ca="1" si="433"/>
        <v>SE</v>
      </c>
      <c r="H206" s="48" t="str">
        <f ca="1">IFERROR(IF($A$1=2,INDEX($DH$3:$DO$400,MATCH(ROWS(H$3:H206),$DN$3:$DN$400,0),COLUMN()),IF($A$1=1,INDEX($DQ$3:$DX$400,MATCH(ROWS(H$3:H206),$DW$3:$DW$400,0),COLUMN()),"")),"")</f>
        <v>ea5</v>
      </c>
      <c r="M206" s="48">
        <f ca="1">IFERROR(IF(IF(MID($A206,3,3)=".00",MID(A206,1,2),"")&lt;&gt;"",MAX($M$2:M205)+1,0),"")</f>
        <v>0</v>
      </c>
      <c r="N206" s="48" t="str">
        <f t="shared" ca="1" si="438"/>
        <v/>
      </c>
      <c r="O206" s="48" t="str">
        <f ca="1">IF(IFERROR(INDEX($N$3:$O$300,MATCH(ROWS($O$3:O206),$M$3:$M$300,0),1),"")&lt;&gt;"",CONCATENATE(INDEX($N$3:$O$300,MATCH(ROWS($O$3:O206),$M$3:$M$300,0),1),".00"),"")</f>
        <v/>
      </c>
      <c r="P206" s="48" t="str">
        <f t="shared" ca="1" si="439"/>
        <v/>
      </c>
      <c r="Q206" s="48">
        <f ca="1">IF(M206&gt;=1,0,MAX($Q$2:Q205)+1)</f>
        <v>184</v>
      </c>
      <c r="U206" s="48" t="str">
        <f ca="1">IFERROR(INDEX(PDC,MATCH(ROWS(U$3:U206),$V$3:$V$400,0),2),"")</f>
        <v>COSTI DI VIGILANZA</v>
      </c>
      <c r="V206" s="48">
        <f ca="1">IF(AND($T$1="VISUALIZZA TUTTI I CONTI",AA206&lt;&gt;""),MAX($V$2:V205)+1,IF(AND($U$2=2,AI206=$T$1),MAX($V$2:V205)+1,IF(AND($U$2=1,$T$1=AF206),MAX($V$2:V205)+1,0)))</f>
        <v>204</v>
      </c>
      <c r="AA206" s="48" t="str">
        <f t="shared" ca="1" si="440"/>
        <v>31.00</v>
      </c>
      <c r="AB206" s="48" t="str">
        <f ca="1">IFERROR(INDEX($A$3:$G$400,MATCH(ROWS(AB$3:AB206),$Q$3:$Q$400,0),1),"")</f>
        <v>31.06</v>
      </c>
      <c r="AC206" s="48" t="str">
        <f ca="1">IFERROR(INDEX($A$3:$G$400,MATCH(ROWS($AC$3:AC206),$Q$3:$Q$400,0),2),"")</f>
        <v>COSTI DI VIGILANZA</v>
      </c>
      <c r="AD206" s="48" t="str">
        <f ca="1">IFERROR(INDEX($A$3:$G$400,MATCH(ROWS(AD$3:AD206),$Q$3:$Q$400,0),3),"")</f>
        <v>E</v>
      </c>
      <c r="AE206" s="48" t="str">
        <f ca="1">IFERROR(INDEX($A$3:$G$400,MATCH(ROWS(AE$3:AE206),$Q$3:$Q$400,0),4),"")</f>
        <v>D</v>
      </c>
      <c r="AF206" s="48" t="str">
        <f ca="1">IFERROR(INDEX($A$3:$G$400,MATCH(ROWS(AF$3:AF206),$Q$3:$Q$400,0),5),"")</f>
        <v>COSTI D'ESERCIZIO</v>
      </c>
      <c r="AG206" s="48" t="str">
        <f ca="1">IFERROR(INDEX($A$3:$G$400,MATCH(ROWS(AG$3:AG206),$Q$3:$Q$400,0),6),"")</f>
        <v>SE DARE</v>
      </c>
      <c r="AH206" s="48" t="str">
        <f ca="1">IFERROR(INDEX($A$3:$G$400,MATCH(ROWS(AH$3:AH206),$Q$3:$Q$400,0),7),"")</f>
        <v>SE</v>
      </c>
      <c r="AI206" s="48" t="str">
        <f t="shared" ca="1" si="441"/>
        <v>COSTI PER SERVIZI</v>
      </c>
      <c r="AJ206" s="48" t="str">
        <f ca="1">IFERROR(INDEX($A$3:$H$400,MATCH(ROWS(AJ$3:AJ206),$Q$3:$Q$400,0),8),"")</f>
        <v>eb7</v>
      </c>
      <c r="AK206" s="48">
        <f t="shared" ca="1" si="417"/>
        <v>0</v>
      </c>
      <c r="AL206" s="48">
        <f t="shared" ca="1" si="473"/>
        <v>0</v>
      </c>
      <c r="AM206" s="48">
        <f t="shared" ca="1" si="377"/>
        <v>0</v>
      </c>
      <c r="AN206" s="48">
        <f t="shared" ca="1" si="378"/>
        <v>0</v>
      </c>
      <c r="AO206" s="48">
        <f t="shared" ca="1" si="379"/>
        <v>0</v>
      </c>
      <c r="AP206" s="48">
        <f t="shared" ca="1" si="379"/>
        <v>0</v>
      </c>
      <c r="AQ206" s="48" t="str">
        <f t="shared" ca="1" si="418"/>
        <v/>
      </c>
      <c r="AR206" s="48">
        <f t="shared" ca="1" si="419"/>
        <v>0</v>
      </c>
      <c r="AS206" s="48">
        <f t="shared" ca="1" si="420"/>
        <v>0</v>
      </c>
      <c r="AT206" s="48">
        <f t="shared" ca="1" si="442"/>
        <v>0</v>
      </c>
      <c r="AU206" s="48">
        <f t="shared" ca="1" si="443"/>
        <v>0</v>
      </c>
      <c r="AV206" s="48">
        <f ca="1">IF(OR(AT206&gt;0,AU206&gt;0),MAX($AV$2:AV205)+1,0)</f>
        <v>0</v>
      </c>
      <c r="AZ206" s="48" t="str">
        <f t="shared" ca="1" si="484"/>
        <v/>
      </c>
      <c r="BA206" s="48">
        <f t="shared" ca="1" si="480"/>
        <v>0</v>
      </c>
      <c r="BB206" s="48">
        <f t="shared" ca="1" si="481"/>
        <v>0</v>
      </c>
      <c r="BC206" s="48">
        <f t="shared" ca="1" si="482"/>
        <v>0</v>
      </c>
      <c r="BD206" s="48">
        <f t="shared" ca="1" si="383"/>
        <v>0</v>
      </c>
      <c r="BE206" s="48">
        <f t="shared" ca="1" si="384"/>
        <v>0</v>
      </c>
      <c r="BF206" s="48">
        <f t="shared" si="485"/>
        <v>6</v>
      </c>
      <c r="BG206" s="48">
        <f ca="1">IF(IF(AND(OR(INDEX(PDC,MATCH($AC206,DEN_PDC,0),6)="SP DARE",INDEX(PDC,MATCH($AC206,DEN_PDC,0),6)="SP DARE/AVERE"),SUMIFS(DARE,DEN_G,$AC206)&gt;=SUMIFS(AVERE,DEN_G,$AC206)),SUMIFS(DARE,DEN_G,$AC206)-SUMIFS(AVERE,DEN_G,$AC206),0)&gt;0,MAX($BG$2:BG205)+1,0)</f>
        <v>0</v>
      </c>
      <c r="BH206" s="48">
        <f ca="1">IF(IF(AND(OR(INDEX(PDC,MATCH($AC206,DEN_PDC,0),6)="SP AVERE",INDEX(PDC,MATCH($AC206,DEN_PDC,0),6)="SP DARE/AVERE"),SUMIFS(AVERE,DEN_G,$AC206)&gt;=SUMIFS(DARE,DEN_G,$AC206)),SUMIFS(AVERE,DEN_G,$AC206)-SUMIFS(DARE,DEN_G,$AC206),0)&gt;0,MAX(BH$2:BH205)+1,0)</f>
        <v>0</v>
      </c>
      <c r="BI206" s="48">
        <f ca="1">IF(IF(AND(OR(INDEX(PDC,MATCH($AC206,DEN_PDC,0),6)="SE DARE",INDEX(PDC,MATCH($AC206,DEN_PDC,0),6)="SE DARE/AVERE"),SUMIFS(DARE,DEN_G,$AC206)&gt;=SUMIFS(AVERE,DEN_G,$AC206)),SUMIFS(DARE,DEN_G,$AC206)-SUMIFS(AVERE,DEN_G,$AC206),0)&gt;0,MAX(BI$2:BI205)+1,0)</f>
        <v>0</v>
      </c>
      <c r="BJ206" s="48">
        <f ca="1">IF(IF(AND(OR(INDEX(PDC,MATCH($AC206,DEN_PDC,0),6)="SE AVERE",INDEX(PDC,MATCH($AC206,DEN_PDC,0),6)="SE DARE/AVERE"),SUMIFS(AVERE,DEN_G,$AC206)&gt;=SUMIFS(DARE,DEN_G,$AC206)),SUMIFS(AVERE,DEN_G,$AC206)-SUMIFS(DARE,DEN_G,$AC206),0)&gt;0,MAX(BJ$2:BJ205)+1,0)</f>
        <v>0</v>
      </c>
      <c r="BK206" s="48" t="str">
        <f ca="1">IF(AND(AND($DY$2=0,$DY$1=0),$I$1=2,ROW()&gt;$BG$1+2,ROW()&lt;=$BG$1+4),"………………..",IF(AND(OR($DY$2&gt;0,$DY$1&gt;0),$I$1=2,ROW()&gt;$BG$1+2,ROW()&lt;=$BG$1+4),"………………..",IFERROR(INDEX($AC$3:$AC$398,MATCH(ROWS(BK$3:BK206),BG$3:BG$398,0),1),"")))</f>
        <v/>
      </c>
      <c r="BL206" s="48">
        <f t="shared" ca="1" si="421"/>
        <v>0</v>
      </c>
      <c r="BM206" s="48" t="str">
        <f ca="1">IF(AND(OR($DY$2=0,$DY$1=0),$I$1=2,ROW()&gt;$BH$1+2,ROW()&lt;=$BH$1+4),"………………..",IF(AND(OR($DY$2&gt;0,$DY$1&gt;0),$I$1=2,ROW()&gt;$BH$1+2,ROW()&lt;=$BH$1+4),"………………..",IFERROR(INDEX($AC$3:$AC$400,MATCH(ROWS(BM$3:BM206),BH$3:BH$400,0),1),"")))</f>
        <v/>
      </c>
      <c r="BN206" s="48">
        <f t="shared" ca="1" si="422"/>
        <v>0</v>
      </c>
      <c r="BO206" s="48" t="str">
        <f ca="1">IF(AND(OR($DY$2=0,$DY$1=0),$I$1=2,ROW()&gt;$BI$1+2,ROW()&lt;=$BI$1+4),"………………..",IF(AND(OR($DY$2&gt;0,$DY$1&gt;0),$I$1=2,ROW()&gt;$BI$1+2,ROW()&lt;=$BI$1+4),"………………..",IFERROR(INDEX($AC$3:$AC$400,MATCH(ROWS(BO$3:BO206),BI$3:BI$400,0),1),"")))</f>
        <v/>
      </c>
      <c r="BP206" s="48">
        <f t="shared" ca="1" si="423"/>
        <v>0</v>
      </c>
      <c r="BQ206" s="48" t="str">
        <f ca="1">IF(AND(OR($DY$2=0,$DY$1=0),$I$1=2,ROW()&gt;$BJ$1+2,ROW()&lt;=$BJ$1+4),"………………..",IF(AND(OR($DY$2&gt;0,$DY$1&gt;0),$I$1=2,ROW()&gt;$BJ$1+2,ROW()&lt;=$BJ$1+4),"………………..",IFERROR(INDEX($AC$3:$AC$400,MATCH(ROWS(BQ$3:BQ206),BJ$3:BJ$400,0),1),"")))</f>
        <v/>
      </c>
      <c r="BR206" s="48">
        <f t="shared" ca="1" si="424"/>
        <v>0</v>
      </c>
      <c r="BS206" s="48">
        <f ca="1">IF(IF(AND(OR(INDEX(PDC,MATCH($AC206,DEN_PDC,0),4)="D",INDEX(PDC,MATCH($AC206,DEN_PDC,0),4)="D/A"),SUMIFS(DARE,DEN_G,$AC206)&gt;=SUMIFS(AVERE,DEN_G,$AC206)),SUMIFS(DARE,DEN_G,$AC206),IF(AND(OR(INDEX(PDC,MATCH($AC206,DEN_PDC,0),4)="A",INDEX(PDC,MATCH($AC206,DEN_PDC,0),4)="D/A"),SUMIFS(AVERE,DEN_G,$AC206)&gt;=SUMIFS(DARE,DEN_G,$AC206)),SUMIFS(AVERE,DEN_G,$AC206),))&gt;0,MAX($BS$2:BS205)+1,0)</f>
        <v>0</v>
      </c>
      <c r="BT206" s="48" t="str">
        <f ca="1">IF($CO$1=0,"",IF(AND($I$1=2,ROW()&gt;$BR$1,ROW()&lt;=$BS$1)," …………….",IF(AND($E$1=1,$BX$1=1,$I$1=2,ROW()=$BQ$1),"TOTALI",IFERROR(INDEX(PDC,MATCH(ROWS(BT$3:BT206),BS$3:BS603,0),2),""))))</f>
        <v/>
      </c>
      <c r="BU206" s="48">
        <f t="shared" ca="1" si="425"/>
        <v>0</v>
      </c>
      <c r="BV206" s="48">
        <f t="shared" ca="1" si="426"/>
        <v>0</v>
      </c>
      <c r="BW206" s="48">
        <f t="shared" ca="1" si="427"/>
        <v>0</v>
      </c>
      <c r="BX206" s="48">
        <f t="shared" ca="1" si="428"/>
        <v>0</v>
      </c>
      <c r="BY206" s="48">
        <f ca="1">IF(OR(BW206&gt;0,BX206&gt;0),MAX($BY$2:BY205)+1,0)</f>
        <v>0</v>
      </c>
      <c r="BZ206" s="48" t="str">
        <f ca="1">IFERROR(INDEX($BT$3:$BY$400,MATCH(ROWS(BZ$3:BZ206),$BY$3:$BY$400,0),1),"")</f>
        <v/>
      </c>
      <c r="CA206" s="48" t="str">
        <f ca="1">IFERROR(INDEX($BT$3:$BY$400,MATCH(ROWS(CA$3:CA206),$BY$3:$BY$400,0),4),"")</f>
        <v/>
      </c>
      <c r="CB206" s="48" t="str">
        <f ca="1">IFERROR(INDEX($BT$3:$BY$400,MATCH(ROWS(CB$3:CB206),$BY$3:$BY$400,0),5),"")</f>
        <v/>
      </c>
      <c r="CC206" s="48" t="str">
        <f t="shared" ca="1" si="429"/>
        <v/>
      </c>
      <c r="CD206" s="48">
        <f ca="1">IF(CE206&lt;&gt;0,MAX($CD$190:CD205)+1,0)</f>
        <v>0</v>
      </c>
      <c r="CE206" s="48">
        <f ca="1">IF(ROUND(SUMIFS(COPIA!$CA$3:$CA$400,COPIA!$CC$3:$CC$400,CF206)-SUMIFS(COPIA!$CB$3:$CB$400,COPIA!$CC$3:$CC$400,CF206),0)&lt;0,0,ROUND(SUMIFS(COPIA!$CA$3:$CA$400,COPIA!$CC$3:$CC$400,CF206)-SUMIFS(COPIA!$CB$3:$CB$400,COPIA!$CC$3:$CC$400,CF206),0))</f>
        <v>0</v>
      </c>
      <c r="CF206" s="48" t="s">
        <v>712</v>
      </c>
      <c r="CG206" s="242" t="s">
        <v>578</v>
      </c>
      <c r="CH206" s="48">
        <f t="shared" ref="CH206:CH210" ca="1" si="489">CE206</f>
        <v>0</v>
      </c>
      <c r="CM206" s="242" t="str">
        <f t="shared" ca="1" si="444"/>
        <v/>
      </c>
      <c r="CN206" s="243">
        <f t="shared" ca="1" si="445"/>
        <v>0</v>
      </c>
      <c r="CO206" s="48" t="str">
        <f t="shared" ca="1" si="446"/>
        <v/>
      </c>
      <c r="CU206" s="48">
        <f ca="1">IF(SUMIFS(AVERE,DEN_G,AC206,AVERE,"&gt;"&amp;0)+SUMIFS(DARE,DEN_G,AC206,DARE,"&gt;"&amp;0)&gt;0,MAX($CU$2:CU205)+1,0)</f>
        <v>0</v>
      </c>
      <c r="CV206" s="48" t="str">
        <f ca="1">IF(IFERROR(INDEX(PDC,MATCH(ROWS($CV$3:CV206),$CU$3:$CU$400,0),2),"")="CONTO DI RISULTATO ECONOMICO","",IFERROR(INDEX(PDC,MATCH(ROWS($CV$3:CV206),$CU$3:$CU$400,0),2),""))</f>
        <v/>
      </c>
      <c r="CW206" s="48">
        <f ca="1">IFERROR(IF(CV206&lt;&gt;"",MAX($CW$2:CW205)+1,0),0)</f>
        <v>0</v>
      </c>
      <c r="CX206" s="48">
        <f t="shared" ca="1" si="474"/>
        <v>16</v>
      </c>
      <c r="CY206" s="48" t="str">
        <f t="shared" ca="1" si="472"/>
        <v>MASTRO</v>
      </c>
      <c r="CZ206" s="48" t="e">
        <f t="shared" ca="1" si="476"/>
        <v>#N/A</v>
      </c>
      <c r="DA206" s="48" t="str">
        <f t="shared" ca="1" si="483"/>
        <v/>
      </c>
      <c r="DB206" s="48" t="str">
        <f t="shared" ca="1" si="347"/>
        <v/>
      </c>
      <c r="DC206" s="48" t="str">
        <f t="shared" ca="1" si="477"/>
        <v/>
      </c>
      <c r="DD206" s="48" t="str">
        <f t="shared" ca="1" si="478"/>
        <v/>
      </c>
      <c r="DE206" s="48" t="str">
        <f t="shared" ca="1" si="479"/>
        <v/>
      </c>
      <c r="DF206" s="48">
        <f ca="1">IF(AND(CX206=$DF$1,CX206&lt;&gt;""),0,IF(AND(DB206&lt;&gt;"",OR(DB205&lt;&gt;"",DB207&lt;&gt;"")),MAX($DF$2:DF205)+1,0))</f>
        <v>0</v>
      </c>
      <c r="DG206" s="48">
        <f ca="1">DG154</f>
        <v>0</v>
      </c>
      <c r="DH206" s="244" t="s">
        <v>414</v>
      </c>
      <c r="DI206" s="48" t="str">
        <f ca="1">IFERROR(IF(AND($DL$1=TRUE,DG206&lt;&gt;0),CONCATENATE("SOCIO ",DG206," C/RIMBORSO"),IF(AND($DL$1=FALSE,DG206&lt;&gt;0),CONCATENATE("AZIONISTA ",DG206," C/RIMBORSO"),"")),"")</f>
        <v/>
      </c>
      <c r="DJ206" s="48" t="s">
        <v>312</v>
      </c>
      <c r="DK206" s="48" t="s">
        <v>298</v>
      </c>
      <c r="DL206" s="48" t="s">
        <v>5</v>
      </c>
      <c r="DM206" s="48" t="s">
        <v>299</v>
      </c>
      <c r="DN206" s="48">
        <f ca="1">IF(DI206&lt;&gt;"",MAX($DN$2:DN205)+1,0)</f>
        <v>0</v>
      </c>
      <c r="DO206" s="48" t="str">
        <f t="shared" ca="1" si="403"/>
        <v>ppd</v>
      </c>
      <c r="DQ206" s="227" t="s">
        <v>151</v>
      </c>
      <c r="DR206" s="48" t="s">
        <v>149</v>
      </c>
      <c r="DS206" s="48" t="s">
        <v>312</v>
      </c>
      <c r="DT206" s="48" t="s">
        <v>298</v>
      </c>
      <c r="DU206" s="48" t="s">
        <v>272</v>
      </c>
      <c r="DV206" s="48" t="s">
        <v>299</v>
      </c>
      <c r="DW206" s="48">
        <f ca="1">IF(DR206&lt;&gt;"",MAX($DW$2:DW205)+1,0)</f>
        <v>121</v>
      </c>
      <c r="DX206" s="48" t="str">
        <f ca="1">IF($BF$9=1,"ppe",IF(AND($BF$9=2,$DJ$1=FALSE),"ppe","ppd"))</f>
        <v>ppe</v>
      </c>
      <c r="DY206" s="48" t="str">
        <f t="shared" ca="1" si="430"/>
        <v/>
      </c>
      <c r="EL206" s="48">
        <f t="shared" ca="1" si="431"/>
        <v>0</v>
      </c>
      <c r="EM206" s="48">
        <f ca="1">IF(EL206&gt;=0,0,MAX($EM$2:EM205)+1)</f>
        <v>0</v>
      </c>
      <c r="EN206" s="48" t="str">
        <f t="shared" ca="1" si="459"/>
        <v/>
      </c>
      <c r="EO206" s="48" t="str">
        <f ca="1">IFERROR(INDEX($EM$3:$EN$400,MATCH(ROWS($EO$3:EO206),$EM$3:$EM$400,0),2),"")</f>
        <v/>
      </c>
      <c r="EP206" s="48">
        <f>ROW()</f>
        <v>206</v>
      </c>
      <c r="EQ206" s="48">
        <f t="shared" ca="1" si="432"/>
        <v>0</v>
      </c>
      <c r="ER206" s="48">
        <f ca="1">IF(ISNA(EQ206)=TRUE,MAX($ER$2:ER205)+1,0)</f>
        <v>0</v>
      </c>
      <c r="ES206" s="48" t="str">
        <f t="shared" ca="1" si="460"/>
        <v/>
      </c>
      <c r="ET206" s="48" t="str">
        <f ca="1">IFERROR(INDEX($ER$3:$ES$400,MATCH(ROWS($ET$3:ET206),$ER$3:$ER$400,0),2),"")</f>
        <v/>
      </c>
      <c r="EV206" s="48">
        <f ca="1">IFERROR(INDEX(LIBRO_GIORNALE!$O$11:$P$408,MATCH(ROWS($EV$2:EV205),LIBRO_GIORNALE!$P$11:$P$408,0),1),0)</f>
        <v>0</v>
      </c>
      <c r="EW206" s="48" t="str">
        <f t="shared" ca="1" si="461"/>
        <v>0</v>
      </c>
      <c r="EX206" s="48">
        <f t="shared" ca="1" si="462"/>
        <v>0</v>
      </c>
      <c r="EY206" s="48">
        <f ca="1">IF(EX206&gt;0,MAX($EY$2:EY205)+1,0)</f>
        <v>0</v>
      </c>
      <c r="EZ206" s="48">
        <f ca="1">IFERROR(INDEX($EX$3:$EX$400,MATCH(ROWS($EZ$3:EZ206),$EY$3:$EY$400,0),1),0)</f>
        <v>0</v>
      </c>
      <c r="FA206" s="48">
        <f ca="1">IF(EZ206&gt;0,0,MAX($FA$2:FA205)+1)</f>
        <v>204</v>
      </c>
      <c r="FB206" s="48">
        <f t="shared" ca="1" si="463"/>
        <v>0</v>
      </c>
      <c r="FC206" s="48">
        <f t="shared" ca="1" si="464"/>
        <v>204</v>
      </c>
      <c r="FD206" s="48">
        <f t="shared" ca="1" si="465"/>
        <v>204</v>
      </c>
      <c r="FE206" s="48">
        <f ca="1">IF(FD206=0,0,MAX($FE$2:FE205)+1)</f>
        <v>204</v>
      </c>
      <c r="FF206" s="48">
        <f ca="1">IFERROR(INDEX($FD$3:$FE$400,MATCH(ROWS($FF$3:FF206),$FE$3:$FE$400,0),1),"")</f>
        <v>204</v>
      </c>
      <c r="FG206" s="48">
        <f t="shared" ca="1" si="380"/>
        <v>0</v>
      </c>
      <c r="FH206" s="48">
        <f t="shared" ca="1" si="466"/>
        <v>0</v>
      </c>
      <c r="FI206" s="48">
        <f ca="1">IF(FH206&lt;&gt;0,MAX($FI$2:FI205)+1,0)</f>
        <v>0</v>
      </c>
      <c r="FJ206" s="48" t="str">
        <f ca="1">IFERROR(INDEX($FH$3:$FI$400,MATCH(ROWS($FJ$3:FJ206),$FI$3:$FI$400,0),1),"")</f>
        <v/>
      </c>
      <c r="FK206" s="48">
        <f ca="1">IF(ABS(SUMIFS(DARE,DEN_G,"="&amp;FJ206,DATA,"&lt;="&amp;FINE_AC,DATA,"&gt;="&amp;INIZIO_A_PC)-SUMIFS(AVERE,DEN_G,"="&amp;FJ206,DATA,"&lt;="&amp;FINE_AC,DATA,"&gt;="&amp;INIZIO_A_PC))&gt;0,MAX($FK$2:FK205)+1,0)</f>
        <v>0</v>
      </c>
      <c r="FL206" s="48" t="str">
        <f ca="1">IF(AND(ROW()-2&lt;&gt;1,ROW()-2&lt;=$FK$1),CONCATENATE(" - ",IFERROR(INDEX($FJ$3:$FK$400,MATCH(ROWS($FL$3:FL206),$FK$3:$FK$400,0),1),"")),IFERROR(INDEX($FJ$3:$FK$400,MATCH(ROWS($FL$3:FL206),$FK$3:$FK$400,0),1),""))</f>
        <v/>
      </c>
      <c r="FM206" s="48">
        <f ca="1">IF(OR(B206="IVA ns/credito",B206="IVA NS/DEBITO",B206="IVA C/ACCONTO",B206="IMPOSTE C/ACCONTO",B206="CREDITI PER RITENUTE SUBITE",B206="CREDITI D'IMPOSTA"),MAX($FM$2:FM205)+1,0)</f>
        <v>0</v>
      </c>
      <c r="FN206" s="48" t="str">
        <f t="shared" ca="1" si="467"/>
        <v/>
      </c>
      <c r="FO206" s="48" t="str">
        <f ca="1">IFERROR(INDEX($FM$3:$FN$400,MATCH(ROWS($FO$3:FO206),$FM$3:$FM$400,0),2),"")</f>
        <v/>
      </c>
      <c r="FP206" s="48">
        <f ca="1">IF(ABS(SUMIFS(DARE,DEN_G,"="&amp;FO206,DATA,"&lt;="&amp;FINE_AC,DATA,"&gt;="&amp;INIZIO_A_PC)-SUMIFS(AVERE,DEN_G,"="&amp;FO206,DATA,"&lt;="&amp;FINE_AC,DATA,"&gt;="&amp;INIZIO_A_PC))&gt;0,MAX($FP$2:FP205)+1,0)</f>
        <v>0</v>
      </c>
      <c r="FQ206" s="48" t="str">
        <f ca="1">IF(AND(ROW()-2&lt;&gt;1,ROW()-2&lt;=$FP$1),CONCATENATE(" - ",IFERROR(INDEX($FO$3:$FP$400,MATCH(ROWS($FQ$3:FQ206),$FP$3:$FP$400,0),1),"")),IFERROR(INDEX($FO$3:$FP$400,MATCH(ROWS($FQ$3:FQ206),$FP$3:$FP$400,0),1),""))</f>
        <v/>
      </c>
    </row>
    <row r="207" spans="1:173" x14ac:dyDescent="0.3">
      <c r="A207" s="48" t="str">
        <f ca="1">IFERROR(IF($A$1=2,INDEX($DH$3:$DN$401,MATCH(ROWS(A$3:A207),$DN$3:$DN$401,0),COLUMN()),IF($A$1=1,INDEX($DQ$3:$DW$401,MATCH(ROWS(A$3:A207),$DW$3:$DW$401,0),COLUMN()),"")),"")</f>
        <v>20.47</v>
      </c>
      <c r="B207" s="48" t="str">
        <f ca="1">IFERROR(IF($A$1=2,INDEX($DH$3:$DN$401,MATCH(ROWS(B$3:B207),$DN$3:$DN$401,0),COLUMN()),IF($A$1=1,INDEX($DQ$3:$DW$400,MATCH(ROWS(B$3:B207),$DW$3:$DW$401,0),COLUMN()),"")),"")</f>
        <v>RIVALUTAZIONE IMPIANTI E MACCHINARI</v>
      </c>
      <c r="C207" s="48" t="str">
        <f ca="1">IFERROR(IF($A$1=2,INDEX($DH$3:$DN$401,MATCH(ROWS(C$3:C207),$DN$3:$DN$401,0),COLUMN()),IF($A$1=1,INDEX($DQ$3:$DW$401,MATCH(ROWS(C$3:C207),$DW$3:$DW$401,0),COLUMN()),"")),"")</f>
        <v>E</v>
      </c>
      <c r="D207" s="48" t="str">
        <f ca="1">IFERROR(IF($A$1=2,INDEX($DH$3:$DN$401,MATCH(ROWS(D$3:D207),$DN$3:$DN$401,0),COLUMN()),IF($A$1=1,INDEX($DQ$3:$DW$401,MATCH(ROWS(D$3:D207),$DW$3:$DW$401,0),COLUMN()),"")),"")</f>
        <v>A</v>
      </c>
      <c r="E207" s="48" t="str">
        <f ca="1">IFERROR(IF($A$1=2,INDEX($DH$3:$DN$401,MATCH(ROWS(E$3:E207),$DN$3:$DN$401,0),COLUMN()),IF($A$1=1,INDEX($DQ$3:$DW$401,MATCH(ROWS(E$3:E207),$DW$3:$DW$401,0),COLUMN()),"")),"")</f>
        <v>RICAVI D'ESERCIZIO</v>
      </c>
      <c r="F207" s="48" t="str">
        <f ca="1">IFERROR(IF($A$1=2,INDEX($DH$3:$DN$401,MATCH(ROWS(F$3:F207),$DN$3:$DN$401,0),COLUMN()),IF($A$1=1,INDEX($DQ$3:$DX$401,MATCH(ROWS(F$3:F207),$DW$3:$DW$401,0),COLUMN()),"")),"")</f>
        <v>SE AVERE</v>
      </c>
      <c r="G207" s="48" t="str">
        <f t="shared" ca="1" si="433"/>
        <v>SE</v>
      </c>
      <c r="H207" s="48" t="str">
        <f ca="1">IFERROR(IF($A$1=2,INDEX($DH$3:$DO$400,MATCH(ROWS(H$3:H207),$DN$3:$DN$400,0),COLUMN()),IF($A$1=1,INDEX($DQ$3:$DX$400,MATCH(ROWS(H$3:H207),$DW$3:$DW$400,0),COLUMN()),"")),"")</f>
        <v>ea5</v>
      </c>
      <c r="M207" s="48">
        <f ca="1">IFERROR(IF(IF(MID($A207,3,3)=".00",MID(A207,1,2),"")&lt;&gt;"",MAX($M$2:M206)+1,0),"")</f>
        <v>0</v>
      </c>
      <c r="N207" s="48" t="str">
        <f t="shared" ca="1" si="438"/>
        <v/>
      </c>
      <c r="O207" s="48" t="str">
        <f ca="1">IF(IFERROR(INDEX($N$3:$O$300,MATCH(ROWS($O$3:O207),$M$3:$M$300,0),1),"")&lt;&gt;"",CONCATENATE(INDEX($N$3:$O$300,MATCH(ROWS($O$3:O207),$M$3:$M$300,0),1),".00"),"")</f>
        <v/>
      </c>
      <c r="P207" s="48" t="str">
        <f t="shared" ca="1" si="439"/>
        <v/>
      </c>
      <c r="Q207" s="48">
        <f ca="1">IF(M207&gt;=1,0,MAX($Q$2:Q206)+1)</f>
        <v>185</v>
      </c>
      <c r="U207" s="48" t="str">
        <f ca="1">IFERROR(INDEX(PDC,MATCH(ROWS(U$3:U207),$V$3:$V$400,0),2),"")</f>
        <v>COSTI POSTALI</v>
      </c>
      <c r="V207" s="48">
        <f ca="1">IF(AND($T$1="VISUALIZZA TUTTI I CONTI",AA207&lt;&gt;""),MAX($V$2:V206)+1,IF(AND($U$2=2,AI207=$T$1),MAX($V$2:V206)+1,IF(AND($U$2=1,$T$1=AF207),MAX($V$2:V206)+1,0)))</f>
        <v>205</v>
      </c>
      <c r="AA207" s="48" t="str">
        <f t="shared" ca="1" si="440"/>
        <v>31.00</v>
      </c>
      <c r="AB207" s="48" t="str">
        <f ca="1">IFERROR(INDEX($A$3:$G$400,MATCH(ROWS(AB$3:AB207),$Q$3:$Q$400,0),1),"")</f>
        <v>31.07</v>
      </c>
      <c r="AC207" s="48" t="str">
        <f ca="1">IFERROR(INDEX($A$3:$G$400,MATCH(ROWS($AC$3:AC207),$Q$3:$Q$400,0),2),"")</f>
        <v>COSTI POSTALI</v>
      </c>
      <c r="AD207" s="48" t="str">
        <f ca="1">IFERROR(INDEX($A$3:$G$400,MATCH(ROWS(AD$3:AD207),$Q$3:$Q$400,0),3),"")</f>
        <v>E</v>
      </c>
      <c r="AE207" s="48" t="str">
        <f ca="1">IFERROR(INDEX($A$3:$G$400,MATCH(ROWS(AE$3:AE207),$Q$3:$Q$400,0),4),"")</f>
        <v>D</v>
      </c>
      <c r="AF207" s="48" t="str">
        <f ca="1">IFERROR(INDEX($A$3:$G$400,MATCH(ROWS(AF$3:AF207),$Q$3:$Q$400,0),5),"")</f>
        <v>COSTI D'ESERCIZIO</v>
      </c>
      <c r="AG207" s="48" t="str">
        <f ca="1">IFERROR(INDEX($A$3:$G$400,MATCH(ROWS(AG$3:AG207),$Q$3:$Q$400,0),6),"")</f>
        <v>SE DARE</v>
      </c>
      <c r="AH207" s="48" t="str">
        <f ca="1">IFERROR(INDEX($A$3:$G$400,MATCH(ROWS(AH$3:AH207),$Q$3:$Q$400,0),7),"")</f>
        <v>SE</v>
      </c>
      <c r="AI207" s="48" t="str">
        <f t="shared" ca="1" si="441"/>
        <v>COSTI PER SERVIZI</v>
      </c>
      <c r="AJ207" s="48" t="str">
        <f ca="1">IFERROR(INDEX($A$3:$H$400,MATCH(ROWS(AJ$3:AJ207),$Q$3:$Q$400,0),8),"")</f>
        <v>eb7</v>
      </c>
      <c r="AK207" s="48">
        <f t="shared" ca="1" si="417"/>
        <v>0</v>
      </c>
      <c r="AL207" s="48">
        <f t="shared" ca="1" si="473"/>
        <v>0</v>
      </c>
      <c r="AM207" s="48">
        <f t="shared" ca="1" si="377"/>
        <v>0</v>
      </c>
      <c r="AN207" s="48">
        <f t="shared" ca="1" si="378"/>
        <v>0</v>
      </c>
      <c r="AO207" s="48">
        <f t="shared" ca="1" si="379"/>
        <v>0</v>
      </c>
      <c r="AP207" s="48">
        <f t="shared" ca="1" si="379"/>
        <v>0</v>
      </c>
      <c r="AQ207" s="48" t="str">
        <f t="shared" ca="1" si="418"/>
        <v/>
      </c>
      <c r="AR207" s="48">
        <f t="shared" ca="1" si="419"/>
        <v>0</v>
      </c>
      <c r="AS207" s="48">
        <f t="shared" ca="1" si="420"/>
        <v>0</v>
      </c>
      <c r="AT207" s="48">
        <f t="shared" ca="1" si="442"/>
        <v>0</v>
      </c>
      <c r="AU207" s="48">
        <f t="shared" ca="1" si="443"/>
        <v>0</v>
      </c>
      <c r="AV207" s="48">
        <f ca="1">IF(OR(AT207&gt;0,AU207&gt;0),MAX($AV$2:AV206)+1,0)</f>
        <v>0</v>
      </c>
      <c r="AZ207" s="48" t="str">
        <f t="shared" ca="1" si="484"/>
        <v/>
      </c>
      <c r="BA207" s="48">
        <f t="shared" ca="1" si="480"/>
        <v>0</v>
      </c>
      <c r="BB207" s="48">
        <f t="shared" ca="1" si="481"/>
        <v>0</v>
      </c>
      <c r="BC207" s="48">
        <f t="shared" ca="1" si="482"/>
        <v>0</v>
      </c>
      <c r="BD207" s="48">
        <f t="shared" ca="1" si="383"/>
        <v>0</v>
      </c>
      <c r="BE207" s="48">
        <f t="shared" ca="1" si="384"/>
        <v>0</v>
      </c>
      <c r="BF207" s="48">
        <f t="shared" si="485"/>
        <v>7</v>
      </c>
      <c r="BG207" s="48">
        <f ca="1">IF(IF(AND(OR(INDEX(PDC,MATCH($AC207,DEN_PDC,0),6)="SP DARE",INDEX(PDC,MATCH($AC207,DEN_PDC,0),6)="SP DARE/AVERE"),SUMIFS(DARE,DEN_G,$AC207)&gt;=SUMIFS(AVERE,DEN_G,$AC207)),SUMIFS(DARE,DEN_G,$AC207)-SUMIFS(AVERE,DEN_G,$AC207),0)&gt;0,MAX($BG$2:BG206)+1,0)</f>
        <v>0</v>
      </c>
      <c r="BH207" s="48">
        <f ca="1">IF(IF(AND(OR(INDEX(PDC,MATCH($AC207,DEN_PDC,0),6)="SP AVERE",INDEX(PDC,MATCH($AC207,DEN_PDC,0),6)="SP DARE/AVERE"),SUMIFS(AVERE,DEN_G,$AC207)&gt;=SUMIFS(DARE,DEN_G,$AC207)),SUMIFS(AVERE,DEN_G,$AC207)-SUMIFS(DARE,DEN_G,$AC207),0)&gt;0,MAX(BH$2:BH206)+1,0)</f>
        <v>0</v>
      </c>
      <c r="BI207" s="48">
        <f ca="1">IF(IF(AND(OR(INDEX(PDC,MATCH($AC207,DEN_PDC,0),6)="SE DARE",INDEX(PDC,MATCH($AC207,DEN_PDC,0),6)="SE DARE/AVERE"),SUMIFS(DARE,DEN_G,$AC207)&gt;=SUMIFS(AVERE,DEN_G,$AC207)),SUMIFS(DARE,DEN_G,$AC207)-SUMIFS(AVERE,DEN_G,$AC207),0)&gt;0,MAX(BI$2:BI206)+1,0)</f>
        <v>0</v>
      </c>
      <c r="BJ207" s="48">
        <f ca="1">IF(IF(AND(OR(INDEX(PDC,MATCH($AC207,DEN_PDC,0),6)="SE AVERE",INDEX(PDC,MATCH($AC207,DEN_PDC,0),6)="SE DARE/AVERE"),SUMIFS(AVERE,DEN_G,$AC207)&gt;=SUMIFS(DARE,DEN_G,$AC207)),SUMIFS(AVERE,DEN_G,$AC207)-SUMIFS(DARE,DEN_G,$AC207),0)&gt;0,MAX(BJ$2:BJ206)+1,0)</f>
        <v>0</v>
      </c>
      <c r="BK207" s="48" t="str">
        <f ca="1">IF(AND(AND($DY$2=0,$DY$1=0),$I$1=2,ROW()&gt;$BG$1+2,ROW()&lt;=$BG$1+4),"………………..",IF(AND(OR($DY$2&gt;0,$DY$1&gt;0),$I$1=2,ROW()&gt;$BG$1+2,ROW()&lt;=$BG$1+4),"………………..",IFERROR(INDEX($AC$3:$AC$398,MATCH(ROWS(BK$3:BK207),BG$3:BG$398,0),1),"")))</f>
        <v/>
      </c>
      <c r="BL207" s="48">
        <f t="shared" ca="1" si="421"/>
        <v>0</v>
      </c>
      <c r="BM207" s="48" t="str">
        <f ca="1">IF(AND(OR($DY$2=0,$DY$1=0),$I$1=2,ROW()&gt;$BH$1+2,ROW()&lt;=$BH$1+4),"………………..",IF(AND(OR($DY$2&gt;0,$DY$1&gt;0),$I$1=2,ROW()&gt;$BH$1+2,ROW()&lt;=$BH$1+4),"………………..",IFERROR(INDEX($AC$3:$AC$400,MATCH(ROWS(BM$3:BM207),BH$3:BH$400,0),1),"")))</f>
        <v/>
      </c>
      <c r="BN207" s="48">
        <f t="shared" ca="1" si="422"/>
        <v>0</v>
      </c>
      <c r="BO207" s="48" t="str">
        <f ca="1">IF(AND(OR($DY$2=0,$DY$1=0),$I$1=2,ROW()&gt;$BI$1+2,ROW()&lt;=$BI$1+4),"………………..",IF(AND(OR($DY$2&gt;0,$DY$1&gt;0),$I$1=2,ROW()&gt;$BI$1+2,ROW()&lt;=$BI$1+4),"………………..",IFERROR(INDEX($AC$3:$AC$400,MATCH(ROWS(BO$3:BO207),BI$3:BI$400,0),1),"")))</f>
        <v/>
      </c>
      <c r="BP207" s="48">
        <f t="shared" ca="1" si="423"/>
        <v>0</v>
      </c>
      <c r="BQ207" s="48" t="str">
        <f ca="1">IF(AND(OR($DY$2=0,$DY$1=0),$I$1=2,ROW()&gt;$BJ$1+2,ROW()&lt;=$BJ$1+4),"………………..",IF(AND(OR($DY$2&gt;0,$DY$1&gt;0),$I$1=2,ROW()&gt;$BJ$1+2,ROW()&lt;=$BJ$1+4),"………………..",IFERROR(INDEX($AC$3:$AC$400,MATCH(ROWS(BQ$3:BQ207),BJ$3:BJ$400,0),1),"")))</f>
        <v/>
      </c>
      <c r="BR207" s="48">
        <f t="shared" ca="1" si="424"/>
        <v>0</v>
      </c>
      <c r="BS207" s="48">
        <f ca="1">IF(IF(AND(OR(INDEX(PDC,MATCH($AC207,DEN_PDC,0),4)="D",INDEX(PDC,MATCH($AC207,DEN_PDC,0),4)="D/A"),SUMIFS(DARE,DEN_G,$AC207)&gt;=SUMIFS(AVERE,DEN_G,$AC207)),SUMIFS(DARE,DEN_G,$AC207),IF(AND(OR(INDEX(PDC,MATCH($AC207,DEN_PDC,0),4)="A",INDEX(PDC,MATCH($AC207,DEN_PDC,0),4)="D/A"),SUMIFS(AVERE,DEN_G,$AC207)&gt;=SUMIFS(DARE,DEN_G,$AC207)),SUMIFS(AVERE,DEN_G,$AC207),))&gt;0,MAX($BS$2:BS206)+1,0)</f>
        <v>0</v>
      </c>
      <c r="BT207" s="48" t="str">
        <f ca="1">IF($CO$1=0,"",IF(AND($I$1=2,ROW()&gt;$BR$1,ROW()&lt;=$BS$1)," …………….",IF(AND($E$1=1,$BX$1=1,$I$1=2,ROW()=$BQ$1),"TOTALI",IFERROR(INDEX(PDC,MATCH(ROWS(BT$3:BT207),BS$3:BS604,0),2),""))))</f>
        <v/>
      </c>
      <c r="BU207" s="48">
        <f t="shared" ca="1" si="425"/>
        <v>0</v>
      </c>
      <c r="BV207" s="48">
        <f t="shared" ca="1" si="426"/>
        <v>0</v>
      </c>
      <c r="BW207" s="48">
        <f t="shared" ca="1" si="427"/>
        <v>0</v>
      </c>
      <c r="BX207" s="48">
        <f t="shared" ca="1" si="428"/>
        <v>0</v>
      </c>
      <c r="BY207" s="48">
        <f ca="1">IF(OR(BW207&gt;0,BX207&gt;0),MAX($BY$2:BY206)+1,0)</f>
        <v>0</v>
      </c>
      <c r="BZ207" s="48" t="str">
        <f ca="1">IFERROR(INDEX($BT$3:$BY$400,MATCH(ROWS(BZ$3:BZ207),$BY$3:$BY$400,0),1),"")</f>
        <v/>
      </c>
      <c r="CA207" s="48" t="str">
        <f ca="1">IFERROR(INDEX($BT$3:$BY$400,MATCH(ROWS(CA$3:CA207),$BY$3:$BY$400,0),4),"")</f>
        <v/>
      </c>
      <c r="CB207" s="48" t="str">
        <f ca="1">IFERROR(INDEX($BT$3:$BY$400,MATCH(ROWS(CB$3:CB207),$BY$3:$BY$400,0),5),"")</f>
        <v/>
      </c>
      <c r="CC207" s="48" t="str">
        <f t="shared" ca="1" si="429"/>
        <v/>
      </c>
      <c r="CD207" s="48">
        <f ca="1">IF(CE207&lt;&gt;0,MAX($CD$190:CD206)+1,0)</f>
        <v>0</v>
      </c>
      <c r="CE207" s="48">
        <f ca="1">IF(ROUND(SUMIFS(COPIA!$CA$3:$CA$400,COPIA!$CC$3:$CC$400,CF207)-SUMIFS(COPIA!$CB$3:$CB$400,COPIA!$CC$3:$CC$400,CF207),0)&lt;0,0,ROUND(SUMIFS(COPIA!$CA$3:$CA$400,COPIA!$CC$3:$CC$400,CF207)-SUMIFS(COPIA!$CB$3:$CB$400,COPIA!$CC$3:$CC$400,CF207),0))</f>
        <v>0</v>
      </c>
      <c r="CF207" s="48" t="s">
        <v>713</v>
      </c>
      <c r="CG207" s="242" t="s">
        <v>579</v>
      </c>
      <c r="CH207" s="48">
        <f t="shared" ca="1" si="489"/>
        <v>0</v>
      </c>
      <c r="CM207" s="242" t="str">
        <f t="shared" ca="1" si="444"/>
        <v/>
      </c>
      <c r="CN207" s="243">
        <f t="shared" ca="1" si="445"/>
        <v>0</v>
      </c>
      <c r="CO207" s="48" t="str">
        <f t="shared" ca="1" si="446"/>
        <v/>
      </c>
      <c r="CU207" s="48">
        <f ca="1">IF(SUMIFS(AVERE,DEN_G,AC207,AVERE,"&gt;"&amp;0)+SUMIFS(DARE,DEN_G,AC207,DARE,"&gt;"&amp;0)&gt;0,MAX($CU$2:CU206)+1,0)</f>
        <v>0</v>
      </c>
      <c r="CV207" s="48" t="str">
        <f ca="1">IF(IFERROR(INDEX(PDC,MATCH(ROWS($CV$3:CV207),$CU$3:$CU$400,0),2),"")="CONTO DI RISULTATO ECONOMICO","",IFERROR(INDEX(PDC,MATCH(ROWS($CV$3:CV207),$CU$3:$CU$400,0),2),""))</f>
        <v/>
      </c>
      <c r="CW207" s="48">
        <f ca="1">IFERROR(IF(CV207&lt;&gt;"",MAX($CW$2:CW206)+1,0),0)</f>
        <v>0</v>
      </c>
      <c r="CX207" s="48">
        <f t="shared" ca="1" si="474"/>
        <v>16</v>
      </c>
      <c r="CY207" s="48" t="str">
        <f t="shared" ca="1" si="472"/>
        <v>MASTRO</v>
      </c>
      <c r="CZ207" s="48" t="e">
        <f t="shared" ca="1" si="476"/>
        <v>#N/A</v>
      </c>
      <c r="DA207" s="48" t="str">
        <f t="shared" ca="1" si="483"/>
        <v/>
      </c>
      <c r="DB207" s="48" t="str">
        <f t="shared" ca="1" si="347"/>
        <v/>
      </c>
      <c r="DC207" s="48" t="str">
        <f t="shared" ca="1" si="477"/>
        <v/>
      </c>
      <c r="DD207" s="48" t="str">
        <f t="shared" ca="1" si="478"/>
        <v/>
      </c>
      <c r="DE207" s="48" t="str">
        <f t="shared" ca="1" si="479"/>
        <v/>
      </c>
      <c r="DF207" s="48">
        <f ca="1">IF(AND(CX207=$DF$1,CX207&lt;&gt;""),0,IF(AND(DB207&lt;&gt;"",OR(DB206&lt;&gt;"",DB208&lt;&gt;"")),MAX($DF$2:DF206)+1,0))</f>
        <v>0</v>
      </c>
      <c r="DG207" s="48">
        <f t="shared" ref="DG207:DG209" ca="1" si="490">DG155</f>
        <v>0</v>
      </c>
      <c r="DH207" s="244" t="s">
        <v>414</v>
      </c>
      <c r="DI207" s="48" t="str">
        <f t="shared" ref="DI207:DI209" ca="1" si="491">IFERROR(IF(AND($DL$1=TRUE,DG207&lt;&gt;0),CONCATENATE("SOCIO ",DG207," C/RIMBORSO"),IF(AND($DL$1=FALSE,DG207&lt;&gt;0),CONCATENATE("AZIONISTA ",DG207," C/RIMBORSO"),"")),"")</f>
        <v/>
      </c>
      <c r="DJ207" s="48" t="s">
        <v>312</v>
      </c>
      <c r="DK207" s="48" t="s">
        <v>298</v>
      </c>
      <c r="DL207" s="48" t="s">
        <v>5</v>
      </c>
      <c r="DM207" s="48" t="s">
        <v>299</v>
      </c>
      <c r="DN207" s="48">
        <f ca="1">IF(DI207&lt;&gt;"",MAX($DN$2:DN206)+1,0)</f>
        <v>0</v>
      </c>
      <c r="DO207" s="48" t="str">
        <f t="shared" ca="1" si="403"/>
        <v>ppd</v>
      </c>
      <c r="DQ207" s="227" t="s">
        <v>152</v>
      </c>
      <c r="DR207" s="48" t="s">
        <v>150</v>
      </c>
      <c r="DS207" s="48" t="s">
        <v>311</v>
      </c>
      <c r="DT207" s="48" t="s">
        <v>298</v>
      </c>
      <c r="DU207" s="48" t="s">
        <v>273</v>
      </c>
      <c r="DV207" s="48" t="s">
        <v>299</v>
      </c>
      <c r="DW207" s="48">
        <f ca="1">IF(DR207&lt;&gt;"",MAX($DW$2:DW206)+1,0)</f>
        <v>122</v>
      </c>
      <c r="DX207" s="48" t="str">
        <f ca="1">IF($BF$9=1,"ppe",IF(AND($BF$9=2,$DJ$1=FALSE),"ppe","ppd"))</f>
        <v>ppe</v>
      </c>
      <c r="DY207" s="48" t="str">
        <f t="shared" ca="1" si="430"/>
        <v/>
      </c>
      <c r="EL207" s="48">
        <f t="shared" ca="1" si="431"/>
        <v>0</v>
      </c>
      <c r="EM207" s="48">
        <f ca="1">IF(EL207&gt;=0,0,MAX($EM$2:EM206)+1)</f>
        <v>0</v>
      </c>
      <c r="EN207" s="48" t="str">
        <f t="shared" ca="1" si="459"/>
        <v/>
      </c>
      <c r="EO207" s="48" t="str">
        <f ca="1">IFERROR(INDEX($EM$3:$EN$400,MATCH(ROWS($EO$3:EO207),$EM$3:$EM$400,0),2),"")</f>
        <v/>
      </c>
      <c r="EP207" s="48">
        <f>ROW()</f>
        <v>207</v>
      </c>
      <c r="EQ207" s="48">
        <f t="shared" ca="1" si="432"/>
        <v>0</v>
      </c>
      <c r="ER207" s="48">
        <f ca="1">IF(ISNA(EQ207)=TRUE,MAX($ER$2:ER206)+1,0)</f>
        <v>0</v>
      </c>
      <c r="ES207" s="48" t="str">
        <f t="shared" ca="1" si="460"/>
        <v/>
      </c>
      <c r="ET207" s="48" t="str">
        <f ca="1">IFERROR(INDEX($ER$3:$ES$400,MATCH(ROWS($ET$3:ET207),$ER$3:$ER$400,0),2),"")</f>
        <v/>
      </c>
      <c r="EV207" s="48">
        <f ca="1">IFERROR(INDEX(LIBRO_GIORNALE!$O$11:$P$408,MATCH(ROWS($EV$2:EV206),LIBRO_GIORNALE!$P$11:$P$408,0),1),0)</f>
        <v>0</v>
      </c>
      <c r="EW207" s="48" t="str">
        <f t="shared" ca="1" si="461"/>
        <v>0</v>
      </c>
      <c r="EX207" s="48">
        <f t="shared" ca="1" si="462"/>
        <v>0</v>
      </c>
      <c r="EY207" s="48">
        <f ca="1">IF(EX207&gt;0,MAX($EY$2:EY206)+1,0)</f>
        <v>0</v>
      </c>
      <c r="EZ207" s="48">
        <f ca="1">IFERROR(INDEX($EX$3:$EX$400,MATCH(ROWS($EZ$3:EZ207),$EY$3:$EY$400,0),1),0)</f>
        <v>0</v>
      </c>
      <c r="FA207" s="48">
        <f ca="1">IF(EZ207&gt;0,0,MAX($FA$2:FA206)+1)</f>
        <v>205</v>
      </c>
      <c r="FB207" s="48">
        <f t="shared" ca="1" si="463"/>
        <v>0</v>
      </c>
      <c r="FC207" s="48">
        <f t="shared" ca="1" si="464"/>
        <v>205</v>
      </c>
      <c r="FD207" s="48">
        <f t="shared" ca="1" si="465"/>
        <v>205</v>
      </c>
      <c r="FE207" s="48">
        <f ca="1">IF(FD207=0,0,MAX($FE$2:FE206)+1)</f>
        <v>205</v>
      </c>
      <c r="FF207" s="48">
        <f ca="1">IFERROR(INDEX($FD$3:$FE$400,MATCH(ROWS($FF$3:FF207),$FE$3:$FE$400,0),1),"")</f>
        <v>205</v>
      </c>
      <c r="FG207" s="48">
        <f t="shared" ca="1" si="380"/>
        <v>0</v>
      </c>
      <c r="FH207" s="48">
        <f t="shared" ca="1" si="466"/>
        <v>0</v>
      </c>
      <c r="FI207" s="48">
        <f ca="1">IF(FH207&lt;&gt;0,MAX($FI$2:FI206)+1,0)</f>
        <v>0</v>
      </c>
      <c r="FJ207" s="48" t="str">
        <f ca="1">IFERROR(INDEX($FH$3:$FI$400,MATCH(ROWS($FJ$3:FJ207),$FI$3:$FI$400,0),1),"")</f>
        <v/>
      </c>
      <c r="FK207" s="48">
        <f ca="1">IF(ABS(SUMIFS(DARE,DEN_G,"="&amp;FJ207,DATA,"&lt;="&amp;FINE_AC,DATA,"&gt;="&amp;INIZIO_A_PC)-SUMIFS(AVERE,DEN_G,"="&amp;FJ207,DATA,"&lt;="&amp;FINE_AC,DATA,"&gt;="&amp;INIZIO_A_PC))&gt;0,MAX($FK$2:FK206)+1,0)</f>
        <v>0</v>
      </c>
      <c r="FL207" s="48" t="str">
        <f ca="1">IF(AND(ROW()-2&lt;&gt;1,ROW()-2&lt;=$FK$1),CONCATENATE(" - ",IFERROR(INDEX($FJ$3:$FK$400,MATCH(ROWS($FL$3:FL207),$FK$3:$FK$400,0),1),"")),IFERROR(INDEX($FJ$3:$FK$400,MATCH(ROWS($FL$3:FL207),$FK$3:$FK$400,0),1),""))</f>
        <v/>
      </c>
      <c r="FM207" s="48">
        <f ca="1">IF(OR(B207="IVA ns/credito",B207="IVA NS/DEBITO",B207="IVA C/ACCONTO",B207="IMPOSTE C/ACCONTO",B207="CREDITI PER RITENUTE SUBITE",B207="CREDITI D'IMPOSTA"),MAX($FM$2:FM206)+1,0)</f>
        <v>0</v>
      </c>
      <c r="FN207" s="48" t="str">
        <f t="shared" ca="1" si="467"/>
        <v/>
      </c>
      <c r="FO207" s="48" t="str">
        <f ca="1">IFERROR(INDEX($FM$3:$FN$400,MATCH(ROWS($FO$3:FO207),$FM$3:$FM$400,0),2),"")</f>
        <v/>
      </c>
      <c r="FP207" s="48">
        <f ca="1">IF(ABS(SUMIFS(DARE,DEN_G,"="&amp;FO207,DATA,"&lt;="&amp;FINE_AC,DATA,"&gt;="&amp;INIZIO_A_PC)-SUMIFS(AVERE,DEN_G,"="&amp;FO207,DATA,"&lt;="&amp;FINE_AC,DATA,"&gt;="&amp;INIZIO_A_PC))&gt;0,MAX($FP$2:FP206)+1,0)</f>
        <v>0</v>
      </c>
      <c r="FQ207" s="48" t="str">
        <f ca="1">IF(AND(ROW()-2&lt;&gt;1,ROW()-2&lt;=$FP$1),CONCATENATE(" - ",IFERROR(INDEX($FO$3:$FP$400,MATCH(ROWS($FQ$3:FQ207),$FP$3:$FP$400,0),1),"")),IFERROR(INDEX($FO$3:$FP$400,MATCH(ROWS($FQ$3:FQ207),$FP$3:$FP$400,0),1),""))</f>
        <v/>
      </c>
    </row>
    <row r="208" spans="1:173" x14ac:dyDescent="0.3">
      <c r="A208" s="48" t="str">
        <f ca="1">IFERROR(IF($A$1=2,INDEX($DH$3:$DN$401,MATCH(ROWS(A$3:A208),$DN$3:$DN$401,0),COLUMN()),IF($A$1=1,INDEX($DQ$3:$DW$401,MATCH(ROWS(A$3:A208),$DW$3:$DW$401,0),COLUMN()),"")),"")</f>
        <v>21.00</v>
      </c>
      <c r="B208" s="48" t="str">
        <f ca="1">IFERROR(IF($A$1=2,INDEX($DH$3:$DN$401,MATCH(ROWS(B$3:B208),$DN$3:$DN$401,0),COLUMN()),IF($A$1=1,INDEX($DQ$3:$DW$400,MATCH(ROWS(B$3:B208),$DW$3:$DW$401,0),COLUMN()),"")),"")</f>
        <v>VARIAZ. RIM. PROD. IN CORSO DI LAVORAZ., SEMIL. E FINITI</v>
      </c>
      <c r="C208" s="48">
        <f ca="1">IFERROR(IF($A$1=2,INDEX($DH$3:$DN$401,MATCH(ROWS(C$3:C208),$DN$3:$DN$401,0),COLUMN()),IF($A$1=1,INDEX($DQ$3:$DW$401,MATCH(ROWS(C$3:C208),$DW$3:$DW$401,0),COLUMN()),"")),"")</f>
        <v>0</v>
      </c>
      <c r="D208" s="48">
        <f ca="1">IFERROR(IF($A$1=2,INDEX($DH$3:$DN$401,MATCH(ROWS(D$3:D208),$DN$3:$DN$401,0),COLUMN()),IF($A$1=1,INDEX($DQ$3:$DW$401,MATCH(ROWS(D$3:D208),$DW$3:$DW$401,0),COLUMN()),"")),"")</f>
        <v>0</v>
      </c>
      <c r="E208" s="48">
        <f ca="1">IFERROR(IF($A$1=2,INDEX($DH$3:$DN$401,MATCH(ROWS(E$3:E208),$DN$3:$DN$401,0),COLUMN()),IF($A$1=1,INDEX($DQ$3:$DW$401,MATCH(ROWS(E$3:E208),$DW$3:$DW$401,0),COLUMN()),"")),"")</f>
        <v>0</v>
      </c>
      <c r="F208" s="48">
        <f ca="1">IFERROR(IF($A$1=2,INDEX($DH$3:$DN$401,MATCH(ROWS(F$3:F208),$DN$3:$DN$401,0),COLUMN()),IF($A$1=1,INDEX($DQ$3:$DX$401,MATCH(ROWS(F$3:F208),$DW$3:$DW$401,0),COLUMN()),"")),"")</f>
        <v>0</v>
      </c>
      <c r="G208" s="48" t="str">
        <f t="shared" ca="1" si="433"/>
        <v>0</v>
      </c>
      <c r="H208" s="48">
        <f ca="1">IFERROR(IF($A$1=2,INDEX($DH$3:$DO$400,MATCH(ROWS(H$3:H208),$DN$3:$DN$400,0),COLUMN()),IF($A$1=1,INDEX($DQ$3:$DX$400,MATCH(ROWS(H$3:H208),$DW$3:$DW$400,0),COLUMN()),"")),"")</f>
        <v>0</v>
      </c>
      <c r="M208" s="48">
        <f ca="1">IFERROR(IF(IF(MID($A208,3,3)=".00",MID(A208,1,2),"")&lt;&gt;"",MAX($M$2:M207)+1,0),"")</f>
        <v>21</v>
      </c>
      <c r="N208" s="48" t="str">
        <f t="shared" ca="1" si="438"/>
        <v>21</v>
      </c>
      <c r="O208" s="48" t="str">
        <f ca="1">IF(IFERROR(INDEX($N$3:$O$300,MATCH(ROWS($O$3:O208),$M$3:$M$300,0),1),"")&lt;&gt;"",CONCATENATE(INDEX($N$3:$O$300,MATCH(ROWS($O$3:O208),$M$3:$M$300,0),1),".00"),"")</f>
        <v/>
      </c>
      <c r="P208" s="48" t="str">
        <f t="shared" ca="1" si="439"/>
        <v/>
      </c>
      <c r="Q208" s="48">
        <f ca="1">IF(M208&gt;=1,0,MAX($Q$2:Q207)+1)</f>
        <v>0</v>
      </c>
      <c r="U208" s="48" t="str">
        <f ca="1">IFERROR(INDEX(PDC,MATCH(ROWS(U$3:U208),$V$3:$V$400,0),2),"")</f>
        <v>ASSICURAZIONI</v>
      </c>
      <c r="V208" s="48">
        <f ca="1">IF(AND($T$1="VISUALIZZA TUTTI I CONTI",AA208&lt;&gt;""),MAX($V$2:V207)+1,IF(AND($U$2=2,AI208=$T$1),MAX($V$2:V207)+1,IF(AND($U$2=1,$T$1=AF208),MAX($V$2:V207)+1,0)))</f>
        <v>206</v>
      </c>
      <c r="AA208" s="48" t="str">
        <f t="shared" ca="1" si="440"/>
        <v>31.00</v>
      </c>
      <c r="AB208" s="48" t="str">
        <f ca="1">IFERROR(INDEX($A$3:$G$400,MATCH(ROWS(AB$3:AB208),$Q$3:$Q$400,0),1),"")</f>
        <v>31.08</v>
      </c>
      <c r="AC208" s="48" t="str">
        <f ca="1">IFERROR(INDEX($A$3:$G$400,MATCH(ROWS($AC$3:AC208),$Q$3:$Q$400,0),2),"")</f>
        <v>ASSICURAZIONI</v>
      </c>
      <c r="AD208" s="48" t="str">
        <f ca="1">IFERROR(INDEX($A$3:$G$400,MATCH(ROWS(AD$3:AD208),$Q$3:$Q$400,0),3),"")</f>
        <v>E</v>
      </c>
      <c r="AE208" s="48" t="str">
        <f ca="1">IFERROR(INDEX($A$3:$G$400,MATCH(ROWS(AE$3:AE208),$Q$3:$Q$400,0),4),"")</f>
        <v>D</v>
      </c>
      <c r="AF208" s="48" t="str">
        <f ca="1">IFERROR(INDEX($A$3:$G$400,MATCH(ROWS(AF$3:AF208),$Q$3:$Q$400,0),5),"")</f>
        <v>COSTI D'ESERCIZIO</v>
      </c>
      <c r="AG208" s="48" t="str">
        <f ca="1">IFERROR(INDEX($A$3:$G$400,MATCH(ROWS(AG$3:AG208),$Q$3:$Q$400,0),6),"")</f>
        <v>SE DARE</v>
      </c>
      <c r="AH208" s="48" t="str">
        <f ca="1">IFERROR(INDEX($A$3:$G$400,MATCH(ROWS(AH$3:AH208),$Q$3:$Q$400,0),7),"")</f>
        <v>SE</v>
      </c>
      <c r="AI208" s="48" t="str">
        <f t="shared" ca="1" si="441"/>
        <v>COSTI PER SERVIZI</v>
      </c>
      <c r="AJ208" s="48" t="str">
        <f ca="1">IFERROR(INDEX($A$3:$H$400,MATCH(ROWS(AJ$3:AJ208),$Q$3:$Q$400,0),8),"")</f>
        <v>eb7</v>
      </c>
      <c r="AK208" s="48">
        <f t="shared" ca="1" si="417"/>
        <v>0</v>
      </c>
      <c r="AL208" s="48">
        <f t="shared" ca="1" si="473"/>
        <v>0</v>
      </c>
      <c r="AM208" s="48">
        <f t="shared" ca="1" si="377"/>
        <v>0</v>
      </c>
      <c r="AN208" s="48">
        <f t="shared" ca="1" si="378"/>
        <v>0</v>
      </c>
      <c r="AO208" s="48">
        <f t="shared" ca="1" si="379"/>
        <v>0</v>
      </c>
      <c r="AP208" s="48">
        <f t="shared" ca="1" si="379"/>
        <v>0</v>
      </c>
      <c r="AQ208" s="48" t="str">
        <f t="shared" ca="1" si="418"/>
        <v/>
      </c>
      <c r="AR208" s="48">
        <f t="shared" ca="1" si="419"/>
        <v>0</v>
      </c>
      <c r="AS208" s="48">
        <f t="shared" ca="1" si="420"/>
        <v>0</v>
      </c>
      <c r="AT208" s="48">
        <f t="shared" ca="1" si="442"/>
        <v>0</v>
      </c>
      <c r="AU208" s="48">
        <f t="shared" ca="1" si="443"/>
        <v>0</v>
      </c>
      <c r="AV208" s="48">
        <f ca="1">IF(OR(AT208&gt;0,AU208&gt;0),MAX($AV$2:AV207)+1,0)</f>
        <v>0</v>
      </c>
      <c r="AZ208" s="48" t="str">
        <f t="shared" ca="1" si="484"/>
        <v/>
      </c>
      <c r="BA208" s="48">
        <f t="shared" ca="1" si="480"/>
        <v>0</v>
      </c>
      <c r="BB208" s="48">
        <f t="shared" ca="1" si="481"/>
        <v>0</v>
      </c>
      <c r="BC208" s="48">
        <f t="shared" ca="1" si="482"/>
        <v>0</v>
      </c>
      <c r="BD208" s="48">
        <f t="shared" ca="1" si="383"/>
        <v>0</v>
      </c>
      <c r="BE208" s="48">
        <f t="shared" ca="1" si="384"/>
        <v>0</v>
      </c>
      <c r="BF208" s="48">
        <f t="shared" si="485"/>
        <v>8</v>
      </c>
      <c r="BG208" s="48">
        <f ca="1">IF(IF(AND(OR(INDEX(PDC,MATCH($AC208,DEN_PDC,0),6)="SP DARE",INDEX(PDC,MATCH($AC208,DEN_PDC,0),6)="SP DARE/AVERE"),SUMIFS(DARE,DEN_G,$AC208)&gt;=SUMIFS(AVERE,DEN_G,$AC208)),SUMIFS(DARE,DEN_G,$AC208)-SUMIFS(AVERE,DEN_G,$AC208),0)&gt;0,MAX($BG$2:BG207)+1,0)</f>
        <v>0</v>
      </c>
      <c r="BH208" s="48">
        <f ca="1">IF(IF(AND(OR(INDEX(PDC,MATCH($AC208,DEN_PDC,0),6)="SP AVERE",INDEX(PDC,MATCH($AC208,DEN_PDC,0),6)="SP DARE/AVERE"),SUMIFS(AVERE,DEN_G,$AC208)&gt;=SUMIFS(DARE,DEN_G,$AC208)),SUMIFS(AVERE,DEN_G,$AC208)-SUMIFS(DARE,DEN_G,$AC208),0)&gt;0,MAX(BH$2:BH207)+1,0)</f>
        <v>0</v>
      </c>
      <c r="BI208" s="48">
        <f ca="1">IF(IF(AND(OR(INDEX(PDC,MATCH($AC208,DEN_PDC,0),6)="SE DARE",INDEX(PDC,MATCH($AC208,DEN_PDC,0),6)="SE DARE/AVERE"),SUMIFS(DARE,DEN_G,$AC208)&gt;=SUMIFS(AVERE,DEN_G,$AC208)),SUMIFS(DARE,DEN_G,$AC208)-SUMIFS(AVERE,DEN_G,$AC208),0)&gt;0,MAX(BI$2:BI207)+1,0)</f>
        <v>0</v>
      </c>
      <c r="BJ208" s="48">
        <f ca="1">IF(IF(AND(OR(INDEX(PDC,MATCH($AC208,DEN_PDC,0),6)="SE AVERE",INDEX(PDC,MATCH($AC208,DEN_PDC,0),6)="SE DARE/AVERE"),SUMIFS(AVERE,DEN_G,$AC208)&gt;=SUMIFS(DARE,DEN_G,$AC208)),SUMIFS(AVERE,DEN_G,$AC208)-SUMIFS(DARE,DEN_G,$AC208),0)&gt;0,MAX(BJ$2:BJ207)+1,0)</f>
        <v>0</v>
      </c>
      <c r="BK208" s="48" t="str">
        <f ca="1">IF(AND(AND($DY$2=0,$DY$1=0),$I$1=2,ROW()&gt;$BG$1+2,ROW()&lt;=$BG$1+4),"………………..",IF(AND(OR($DY$2&gt;0,$DY$1&gt;0),$I$1=2,ROW()&gt;$BG$1+2,ROW()&lt;=$BG$1+4),"………………..",IFERROR(INDEX($AC$3:$AC$398,MATCH(ROWS(BK$3:BK208),BG$3:BG$398,0),1),"")))</f>
        <v/>
      </c>
      <c r="BL208" s="48">
        <f t="shared" ca="1" si="421"/>
        <v>0</v>
      </c>
      <c r="BM208" s="48" t="str">
        <f ca="1">IF(AND(OR($DY$2=0,$DY$1=0),$I$1=2,ROW()&gt;$BH$1+2,ROW()&lt;=$BH$1+4),"………………..",IF(AND(OR($DY$2&gt;0,$DY$1&gt;0),$I$1=2,ROW()&gt;$BH$1+2,ROW()&lt;=$BH$1+4),"………………..",IFERROR(INDEX($AC$3:$AC$400,MATCH(ROWS(BM$3:BM208),BH$3:BH$400,0),1),"")))</f>
        <v/>
      </c>
      <c r="BN208" s="48">
        <f t="shared" ca="1" si="422"/>
        <v>0</v>
      </c>
      <c r="BO208" s="48" t="str">
        <f ca="1">IF(AND(OR($DY$2=0,$DY$1=0),$I$1=2,ROW()&gt;$BI$1+2,ROW()&lt;=$BI$1+4),"………………..",IF(AND(OR($DY$2&gt;0,$DY$1&gt;0),$I$1=2,ROW()&gt;$BI$1+2,ROW()&lt;=$BI$1+4),"………………..",IFERROR(INDEX($AC$3:$AC$400,MATCH(ROWS(BO$3:BO208),BI$3:BI$400,0),1),"")))</f>
        <v/>
      </c>
      <c r="BP208" s="48">
        <f t="shared" ca="1" si="423"/>
        <v>0</v>
      </c>
      <c r="BQ208" s="48" t="str">
        <f ca="1">IF(AND(OR($DY$2=0,$DY$1=0),$I$1=2,ROW()&gt;$BJ$1+2,ROW()&lt;=$BJ$1+4),"………………..",IF(AND(OR($DY$2&gt;0,$DY$1&gt;0),$I$1=2,ROW()&gt;$BJ$1+2,ROW()&lt;=$BJ$1+4),"………………..",IFERROR(INDEX($AC$3:$AC$400,MATCH(ROWS(BQ$3:BQ208),BJ$3:BJ$400,0),1),"")))</f>
        <v/>
      </c>
      <c r="BR208" s="48">
        <f t="shared" ca="1" si="424"/>
        <v>0</v>
      </c>
      <c r="BS208" s="48">
        <f ca="1">IF(IF(AND(OR(INDEX(PDC,MATCH($AC208,DEN_PDC,0),4)="D",INDEX(PDC,MATCH($AC208,DEN_PDC,0),4)="D/A"),SUMIFS(DARE,DEN_G,$AC208)&gt;=SUMIFS(AVERE,DEN_G,$AC208)),SUMIFS(DARE,DEN_G,$AC208),IF(AND(OR(INDEX(PDC,MATCH($AC208,DEN_PDC,0),4)="A",INDEX(PDC,MATCH($AC208,DEN_PDC,0),4)="D/A"),SUMIFS(AVERE,DEN_G,$AC208)&gt;=SUMIFS(DARE,DEN_G,$AC208)),SUMIFS(AVERE,DEN_G,$AC208),))&gt;0,MAX($BS$2:BS207)+1,0)</f>
        <v>0</v>
      </c>
      <c r="BT208" s="48" t="str">
        <f ca="1">IF($CO$1=0,"",IF(AND($I$1=2,ROW()&gt;$BR$1,ROW()&lt;=$BS$1)," …………….",IF(AND($E$1=1,$BX$1=1,$I$1=2,ROW()=$BQ$1),"TOTALI",IFERROR(INDEX(PDC,MATCH(ROWS(BT$3:BT208),BS$3:BS605,0),2),""))))</f>
        <v/>
      </c>
      <c r="BU208" s="48">
        <f t="shared" ca="1" si="425"/>
        <v>0</v>
      </c>
      <c r="BV208" s="48">
        <f t="shared" ca="1" si="426"/>
        <v>0</v>
      </c>
      <c r="BW208" s="48">
        <f t="shared" ca="1" si="427"/>
        <v>0</v>
      </c>
      <c r="BX208" s="48">
        <f t="shared" ca="1" si="428"/>
        <v>0</v>
      </c>
      <c r="BY208" s="48">
        <f ca="1">IF(OR(BW208&gt;0,BX208&gt;0),MAX($BY$2:BY207)+1,0)</f>
        <v>0</v>
      </c>
      <c r="BZ208" s="48" t="str">
        <f ca="1">IFERROR(INDEX($BT$3:$BY$400,MATCH(ROWS(BZ$3:BZ208),$BY$3:$BY$400,0),1),"")</f>
        <v/>
      </c>
      <c r="CA208" s="48" t="str">
        <f ca="1">IFERROR(INDEX($BT$3:$BY$400,MATCH(ROWS(CA$3:CA208),$BY$3:$BY$400,0),4),"")</f>
        <v/>
      </c>
      <c r="CB208" s="48" t="str">
        <f ca="1">IFERROR(INDEX($BT$3:$BY$400,MATCH(ROWS(CB$3:CB208),$BY$3:$BY$400,0),5),"")</f>
        <v/>
      </c>
      <c r="CC208" s="48" t="str">
        <f t="shared" ca="1" si="429"/>
        <v/>
      </c>
      <c r="CD208" s="48">
        <f ca="1">IF(CE208&lt;&gt;0,MAX($CD$190:CD207)+1,0)</f>
        <v>0</v>
      </c>
      <c r="CE208" s="48">
        <f ca="1">IF(ROUND(SUMIFS(COPIA!$CA$3:$CA$400,COPIA!$CC$3:$CC$400,CF208)-SUMIFS(COPIA!$CB$3:$CB$400,COPIA!$CC$3:$CC$400,CF208),0)&lt;0,0,ROUND(SUMIFS(COPIA!$CA$3:$CA$400,COPIA!$CC$3:$CC$400,CF208)-SUMIFS(COPIA!$CB$3:$CB$400,COPIA!$CC$3:$CC$400,CF208),0))</f>
        <v>0</v>
      </c>
      <c r="CF208" s="48" t="s">
        <v>714</v>
      </c>
      <c r="CG208" s="242" t="s">
        <v>965</v>
      </c>
      <c r="CH208" s="48">
        <f t="shared" ca="1" si="489"/>
        <v>0</v>
      </c>
      <c r="CM208" s="242" t="str">
        <f t="shared" ca="1" si="444"/>
        <v/>
      </c>
      <c r="CN208" s="243">
        <f t="shared" ca="1" si="445"/>
        <v>0</v>
      </c>
      <c r="CO208" s="48" t="str">
        <f t="shared" ca="1" si="446"/>
        <v/>
      </c>
      <c r="CU208" s="48">
        <f ca="1">IF(SUMIFS(AVERE,DEN_G,AC208,AVERE,"&gt;"&amp;0)+SUMIFS(DARE,DEN_G,AC208,DARE,"&gt;"&amp;0)&gt;0,MAX($CU$2:CU207)+1,0)</f>
        <v>0</v>
      </c>
      <c r="CV208" s="48" t="str">
        <f ca="1">IF(IFERROR(INDEX(PDC,MATCH(ROWS($CV$3:CV208),$CU$3:$CU$400,0),2),"")="CONTO DI RISULTATO ECONOMICO","",IFERROR(INDEX(PDC,MATCH(ROWS($CV$3:CV208),$CU$3:$CU$400,0),2),""))</f>
        <v/>
      </c>
      <c r="CW208" s="48">
        <f ca="1">IFERROR(IF(CV208&lt;&gt;"",MAX($CW$2:CW207)+1,0),0)</f>
        <v>0</v>
      </c>
      <c r="CX208" s="48">
        <f t="shared" ca="1" si="474"/>
        <v>16</v>
      </c>
      <c r="CY208" s="48" t="str">
        <f t="shared" ca="1" si="472"/>
        <v>MASTRO</v>
      </c>
      <c r="CZ208" s="48" t="e">
        <f t="shared" ca="1" si="476"/>
        <v>#N/A</v>
      </c>
      <c r="DA208" s="48" t="str">
        <f t="shared" ca="1" si="483"/>
        <v/>
      </c>
      <c r="DB208" s="48" t="str">
        <f t="shared" ca="1" si="347"/>
        <v/>
      </c>
      <c r="DC208" s="48" t="str">
        <f t="shared" ca="1" si="477"/>
        <v/>
      </c>
      <c r="DD208" s="48" t="str">
        <f t="shared" ca="1" si="478"/>
        <v/>
      </c>
      <c r="DE208" s="48" t="str">
        <f t="shared" ca="1" si="479"/>
        <v/>
      </c>
      <c r="DF208" s="48">
        <f ca="1">IF(AND(CX208=$DF$1,CX208&lt;&gt;""),0,IF(AND(DB208&lt;&gt;"",OR(DB207&lt;&gt;"",DB209&lt;&gt;"")),MAX($DF$2:DF207)+1,0))</f>
        <v>0</v>
      </c>
      <c r="DG208" s="48">
        <f t="shared" ca="1" si="490"/>
        <v>0</v>
      </c>
      <c r="DH208" s="244" t="s">
        <v>414</v>
      </c>
      <c r="DI208" s="48" t="str">
        <f t="shared" ca="1" si="491"/>
        <v/>
      </c>
      <c r="DJ208" s="48" t="s">
        <v>312</v>
      </c>
      <c r="DK208" s="48" t="s">
        <v>298</v>
      </c>
      <c r="DL208" s="48" t="s">
        <v>5</v>
      </c>
      <c r="DM208" s="48" t="s">
        <v>299</v>
      </c>
      <c r="DN208" s="48">
        <f ca="1">IF(DI208&lt;&gt;"",MAX($DN$2:DN207)+1,0)</f>
        <v>0</v>
      </c>
      <c r="DO208" s="48" t="str">
        <f t="shared" ca="1" si="403"/>
        <v>ppd</v>
      </c>
      <c r="DW208" s="48">
        <f>IF(DR208&lt;&gt;"",MAX($DW$2:DW207)+1,0)</f>
        <v>0</v>
      </c>
      <c r="DY208" s="48" t="str">
        <f t="shared" ca="1" si="430"/>
        <v/>
      </c>
      <c r="EL208" s="48">
        <f t="shared" ca="1" si="431"/>
        <v>0</v>
      </c>
      <c r="EM208" s="48">
        <f ca="1">IF(EL208&gt;=0,0,MAX($EM$2:EM207)+1)</f>
        <v>0</v>
      </c>
      <c r="EN208" s="48" t="str">
        <f t="shared" ca="1" si="459"/>
        <v/>
      </c>
      <c r="EO208" s="48" t="str">
        <f ca="1">IFERROR(INDEX($EM$3:$EN$400,MATCH(ROWS($EO$3:EO208),$EM$3:$EM$400,0),2),"")</f>
        <v/>
      </c>
      <c r="EP208" s="48">
        <f>ROW()</f>
        <v>208</v>
      </c>
      <c r="EQ208" s="48">
        <f t="shared" ca="1" si="432"/>
        <v>0</v>
      </c>
      <c r="ER208" s="48">
        <f ca="1">IF(ISNA(EQ208)=TRUE,MAX($ER$2:ER207)+1,0)</f>
        <v>0</v>
      </c>
      <c r="ES208" s="48" t="str">
        <f t="shared" ca="1" si="460"/>
        <v/>
      </c>
      <c r="ET208" s="48" t="str">
        <f ca="1">IFERROR(INDEX($ER$3:$ES$400,MATCH(ROWS($ET$3:ET208),$ER$3:$ER$400,0),2),"")</f>
        <v/>
      </c>
      <c r="EV208" s="48">
        <f ca="1">IFERROR(INDEX(LIBRO_GIORNALE!$O$11:$P$408,MATCH(ROWS($EV$2:EV207),LIBRO_GIORNALE!$P$11:$P$408,0),1),0)</f>
        <v>0</v>
      </c>
      <c r="EW208" s="48" t="str">
        <f t="shared" ca="1" si="461"/>
        <v>0</v>
      </c>
      <c r="EX208" s="48">
        <f t="shared" ca="1" si="462"/>
        <v>0</v>
      </c>
      <c r="EY208" s="48">
        <f ca="1">IF(EX208&gt;0,MAX($EY$2:EY207)+1,0)</f>
        <v>0</v>
      </c>
      <c r="EZ208" s="48">
        <f ca="1">IFERROR(INDEX($EX$3:$EX$400,MATCH(ROWS($EZ$3:EZ208),$EY$3:$EY$400,0),1),0)</f>
        <v>0</v>
      </c>
      <c r="FA208" s="48">
        <f ca="1">IF(EZ208&gt;0,0,MAX($FA$2:FA207)+1)</f>
        <v>206</v>
      </c>
      <c r="FB208" s="48">
        <f t="shared" ca="1" si="463"/>
        <v>0</v>
      </c>
      <c r="FC208" s="48">
        <f t="shared" ca="1" si="464"/>
        <v>206</v>
      </c>
      <c r="FD208" s="48">
        <f t="shared" ca="1" si="465"/>
        <v>206</v>
      </c>
      <c r="FE208" s="48">
        <f ca="1">IF(FD208=0,0,MAX($FE$2:FE207)+1)</f>
        <v>206</v>
      </c>
      <c r="FF208" s="48">
        <f ca="1">IFERROR(INDEX($FD$3:$FE$400,MATCH(ROWS($FF$3:FF208),$FE$3:$FE$400,0),1),"")</f>
        <v>206</v>
      </c>
      <c r="FG208" s="48">
        <f t="shared" ca="1" si="380"/>
        <v>0</v>
      </c>
      <c r="FH208" s="48">
        <f t="shared" ca="1" si="466"/>
        <v>0</v>
      </c>
      <c r="FI208" s="48">
        <f ca="1">IF(FH208&lt;&gt;0,MAX($FI$2:FI207)+1,0)</f>
        <v>0</v>
      </c>
      <c r="FJ208" s="48" t="str">
        <f ca="1">IFERROR(INDEX($FH$3:$FI$400,MATCH(ROWS($FJ$3:FJ208),$FI$3:$FI$400,0),1),"")</f>
        <v/>
      </c>
      <c r="FK208" s="48">
        <f ca="1">IF(ABS(SUMIFS(DARE,DEN_G,"="&amp;FJ208,DATA,"&lt;="&amp;FINE_AC,DATA,"&gt;="&amp;INIZIO_A_PC)-SUMIFS(AVERE,DEN_G,"="&amp;FJ208,DATA,"&lt;="&amp;FINE_AC,DATA,"&gt;="&amp;INIZIO_A_PC))&gt;0,MAX($FK$2:FK207)+1,0)</f>
        <v>0</v>
      </c>
      <c r="FL208" s="48" t="str">
        <f ca="1">IF(AND(ROW()-2&lt;&gt;1,ROW()-2&lt;=$FK$1),CONCATENATE(" - ",IFERROR(INDEX($FJ$3:$FK$400,MATCH(ROWS($FL$3:FL208),$FK$3:$FK$400,0),1),"")),IFERROR(INDEX($FJ$3:$FK$400,MATCH(ROWS($FL$3:FL208),$FK$3:$FK$400,0),1),""))</f>
        <v/>
      </c>
      <c r="FM208" s="48">
        <f ca="1">IF(OR(B208="IVA ns/credito",B208="IVA NS/DEBITO",B208="IVA C/ACCONTO",B208="IMPOSTE C/ACCONTO",B208="CREDITI PER RITENUTE SUBITE",B208="CREDITI D'IMPOSTA"),MAX($FM$2:FM207)+1,0)</f>
        <v>0</v>
      </c>
      <c r="FN208" s="48" t="str">
        <f t="shared" ca="1" si="467"/>
        <v/>
      </c>
      <c r="FO208" s="48" t="str">
        <f ca="1">IFERROR(INDEX($FM$3:$FN$400,MATCH(ROWS($FO$3:FO208),$FM$3:$FM$400,0),2),"")</f>
        <v/>
      </c>
      <c r="FP208" s="48">
        <f ca="1">IF(ABS(SUMIFS(DARE,DEN_G,"="&amp;FO208,DATA,"&lt;="&amp;FINE_AC,DATA,"&gt;="&amp;INIZIO_A_PC)-SUMIFS(AVERE,DEN_G,"="&amp;FO208,DATA,"&lt;="&amp;FINE_AC,DATA,"&gt;="&amp;INIZIO_A_PC))&gt;0,MAX($FP$2:FP207)+1,0)</f>
        <v>0</v>
      </c>
      <c r="FQ208" s="48" t="str">
        <f ca="1">IF(AND(ROW()-2&lt;&gt;1,ROW()-2&lt;=$FP$1),CONCATENATE(" - ",IFERROR(INDEX($FO$3:$FP$400,MATCH(ROWS($FQ$3:FQ208),$FP$3:$FP$400,0),1),"")),IFERROR(INDEX($FO$3:$FP$400,MATCH(ROWS($FQ$3:FQ208),$FP$3:$FP$400,0),1),""))</f>
        <v/>
      </c>
    </row>
    <row r="209" spans="1:173" x14ac:dyDescent="0.3">
      <c r="A209" s="48" t="str">
        <f ca="1">IFERROR(IF($A$1=2,INDEX($DH$3:$DN$401,MATCH(ROWS(A$3:A209),$DN$3:$DN$401,0),COLUMN()),IF($A$1=1,INDEX($DQ$3:$DW$401,MATCH(ROWS(A$3:A209),$DW$3:$DW$401,0),COLUMN()),"")),"")</f>
        <v>21.04</v>
      </c>
      <c r="B209" s="48" t="str">
        <f ca="1">IFERROR(IF($A$1=2,INDEX($DH$3:$DN$401,MATCH(ROWS(B$3:B209),$DN$3:$DN$401,0),COLUMN()),IF($A$1=1,INDEX($DQ$3:$DW$400,MATCH(ROWS(B$3:B209),$DW$3:$DW$401,0),COLUMN()),"")),"")</f>
        <v>PRODOTTI IN LAVORAZIONE C/ESISTENZE INIZIALI</v>
      </c>
      <c r="C209" s="48" t="str">
        <f ca="1">IFERROR(IF($A$1=2,INDEX($DH$3:$DN$401,MATCH(ROWS(C$3:C209),$DN$3:$DN$401,0),COLUMN()),IF($A$1=1,INDEX($DQ$3:$DW$401,MATCH(ROWS(C$3:C209),$DW$3:$DW$401,0),COLUMN()),"")),"")</f>
        <v>E</v>
      </c>
      <c r="D209" s="48" t="str">
        <f ca="1">IFERROR(IF($A$1=2,INDEX($DH$3:$DN$401,MATCH(ROWS(D$3:D209),$DN$3:$DN$401,0),COLUMN()),IF($A$1=1,INDEX($DQ$3:$DW$401,MATCH(ROWS(D$3:D209),$DW$3:$DW$401,0),COLUMN()),"")),"")</f>
        <v>D</v>
      </c>
      <c r="E209" s="48" t="str">
        <f ca="1">IFERROR(IF($A$1=2,INDEX($DH$3:$DN$401,MATCH(ROWS(E$3:E209),$DN$3:$DN$401,0),COLUMN()),IF($A$1=1,INDEX($DQ$3:$DW$401,MATCH(ROWS(E$3:E209),$DW$3:$DW$401,0),COLUMN()),"")),"")</f>
        <v>COSTI D'ESERCIZIO</v>
      </c>
      <c r="F209" s="48" t="str">
        <f ca="1">IFERROR(IF($A$1=2,INDEX($DH$3:$DN$401,MATCH(ROWS(F$3:F209),$DN$3:$DN$401,0),COLUMN()),IF($A$1=1,INDEX($DQ$3:$DX$401,MATCH(ROWS(F$3:F209),$DW$3:$DW$401,0),COLUMN()),"")),"")</f>
        <v>SE DARE</v>
      </c>
      <c r="G209" s="48" t="str">
        <f t="shared" ca="1" si="433"/>
        <v>SE</v>
      </c>
      <c r="H209" s="48" t="str">
        <f ca="1">IFERROR(IF($A$1=2,INDEX($DH$3:$DO$400,MATCH(ROWS(H$3:H209),$DN$3:$DN$400,0),COLUMN()),IF($A$1=1,INDEX($DQ$3:$DX$400,MATCH(ROWS(H$3:H209),$DW$3:$DW$400,0),COLUMN()),"")),"")</f>
        <v>ea2</v>
      </c>
      <c r="M209" s="48">
        <f ca="1">IFERROR(IF(IF(MID($A209,3,3)=".00",MID(A209,1,2),"")&lt;&gt;"",MAX($M$2:M208)+1,0),"")</f>
        <v>0</v>
      </c>
      <c r="N209" s="48" t="str">
        <f t="shared" ca="1" si="438"/>
        <v/>
      </c>
      <c r="O209" s="48" t="str">
        <f ca="1">IF(IFERROR(INDEX($N$3:$O$300,MATCH(ROWS($O$3:O209),$M$3:$M$300,0),1),"")&lt;&gt;"",CONCATENATE(INDEX($N$3:$O$300,MATCH(ROWS($O$3:O209),$M$3:$M$300,0),1),".00"),"")</f>
        <v/>
      </c>
      <c r="P209" s="48" t="str">
        <f t="shared" ca="1" si="439"/>
        <v/>
      </c>
      <c r="Q209" s="48">
        <f ca="1">IF(M209&gt;=1,0,MAX($Q$2:Q208)+1)</f>
        <v>186</v>
      </c>
      <c r="U209" s="48" t="str">
        <f ca="1">IFERROR(INDEX(PDC,MATCH(ROWS(U$3:U209),$V$3:$V$400,0),2),"")</f>
        <v>COSTI PER I LOCALI</v>
      </c>
      <c r="V209" s="48">
        <f ca="1">IF(AND($T$1="VISUALIZZA TUTTI I CONTI",AA209&lt;&gt;""),MAX($V$2:V208)+1,IF(AND($U$2=2,AI209=$T$1),MAX($V$2:V208)+1,IF(AND($U$2=1,$T$1=AF209),MAX($V$2:V208)+1,0)))</f>
        <v>207</v>
      </c>
      <c r="AA209" s="48" t="str">
        <f t="shared" ca="1" si="440"/>
        <v>31.00</v>
      </c>
      <c r="AB209" s="48" t="str">
        <f ca="1">IFERROR(INDEX($A$3:$G$400,MATCH(ROWS(AB$3:AB209),$Q$3:$Q$400,0),1),"")</f>
        <v>31.09</v>
      </c>
      <c r="AC209" s="48" t="str">
        <f ca="1">IFERROR(INDEX($A$3:$G$400,MATCH(ROWS($AC$3:AC209),$Q$3:$Q$400,0),2),"")</f>
        <v>COSTI PER I LOCALI</v>
      </c>
      <c r="AD209" s="48" t="str">
        <f ca="1">IFERROR(INDEX($A$3:$G$400,MATCH(ROWS(AD$3:AD209),$Q$3:$Q$400,0),3),"")</f>
        <v>E</v>
      </c>
      <c r="AE209" s="48" t="str">
        <f ca="1">IFERROR(INDEX($A$3:$G$400,MATCH(ROWS(AE$3:AE209),$Q$3:$Q$400,0),4),"")</f>
        <v>D</v>
      </c>
      <c r="AF209" s="48" t="str">
        <f ca="1">IFERROR(INDEX($A$3:$G$400,MATCH(ROWS(AF$3:AF209),$Q$3:$Q$400,0),5),"")</f>
        <v>COSTI D'ESERCIZIO</v>
      </c>
      <c r="AG209" s="48" t="str">
        <f ca="1">IFERROR(INDEX($A$3:$G$400,MATCH(ROWS(AG$3:AG209),$Q$3:$Q$400,0),6),"")</f>
        <v>SE DARE</v>
      </c>
      <c r="AH209" s="48" t="str">
        <f ca="1">IFERROR(INDEX($A$3:$G$400,MATCH(ROWS(AH$3:AH209),$Q$3:$Q$400,0),7),"")</f>
        <v>SE</v>
      </c>
      <c r="AI209" s="48" t="str">
        <f t="shared" ca="1" si="441"/>
        <v>COSTI PER SERVIZI</v>
      </c>
      <c r="AJ209" s="48" t="str">
        <f ca="1">IFERROR(INDEX($A$3:$H$400,MATCH(ROWS(AJ$3:AJ209),$Q$3:$Q$400,0),8),"")</f>
        <v>eb7</v>
      </c>
      <c r="AK209" s="48">
        <f t="shared" ca="1" si="417"/>
        <v>0</v>
      </c>
      <c r="AL209" s="48">
        <f t="shared" ca="1" si="473"/>
        <v>0</v>
      </c>
      <c r="AM209" s="48">
        <f t="shared" ca="1" si="377"/>
        <v>0</v>
      </c>
      <c r="AN209" s="48">
        <f t="shared" ca="1" si="378"/>
        <v>0</v>
      </c>
      <c r="AO209" s="48">
        <f t="shared" ca="1" si="379"/>
        <v>0</v>
      </c>
      <c r="AP209" s="48">
        <f t="shared" ca="1" si="379"/>
        <v>0</v>
      </c>
      <c r="AQ209" s="48" t="str">
        <f t="shared" ca="1" si="418"/>
        <v/>
      </c>
      <c r="AR209" s="48">
        <f t="shared" ca="1" si="419"/>
        <v>0</v>
      </c>
      <c r="AS209" s="48">
        <f t="shared" ca="1" si="420"/>
        <v>0</v>
      </c>
      <c r="AT209" s="48">
        <f t="shared" ca="1" si="442"/>
        <v>0</v>
      </c>
      <c r="AU209" s="48">
        <f t="shared" ca="1" si="443"/>
        <v>0</v>
      </c>
      <c r="AV209" s="48">
        <f ca="1">IF(OR(AT209&gt;0,AU209&gt;0),MAX($AV$2:AV208)+1,0)</f>
        <v>0</v>
      </c>
      <c r="AZ209" s="48" t="str">
        <f t="shared" ca="1" si="484"/>
        <v/>
      </c>
      <c r="BA209" s="48">
        <f t="shared" ca="1" si="480"/>
        <v>0</v>
      </c>
      <c r="BB209" s="48">
        <f t="shared" ca="1" si="481"/>
        <v>0</v>
      </c>
      <c r="BC209" s="48">
        <f t="shared" ca="1" si="482"/>
        <v>0</v>
      </c>
      <c r="BD209" s="48">
        <f t="shared" ca="1" si="383"/>
        <v>0</v>
      </c>
      <c r="BE209" s="48">
        <f t="shared" ca="1" si="384"/>
        <v>0</v>
      </c>
      <c r="BF209" s="48">
        <f t="shared" si="485"/>
        <v>9</v>
      </c>
      <c r="BG209" s="48">
        <f ca="1">IF(IF(AND(OR(INDEX(PDC,MATCH($AC209,DEN_PDC,0),6)="SP DARE",INDEX(PDC,MATCH($AC209,DEN_PDC,0),6)="SP DARE/AVERE"),SUMIFS(DARE,DEN_G,$AC209)&gt;=SUMIFS(AVERE,DEN_G,$AC209)),SUMIFS(DARE,DEN_G,$AC209)-SUMIFS(AVERE,DEN_G,$AC209),0)&gt;0,MAX($BG$2:BG208)+1,0)</f>
        <v>0</v>
      </c>
      <c r="BH209" s="48">
        <f ca="1">IF(IF(AND(OR(INDEX(PDC,MATCH($AC209,DEN_PDC,0),6)="SP AVERE",INDEX(PDC,MATCH($AC209,DEN_PDC,0),6)="SP DARE/AVERE"),SUMIFS(AVERE,DEN_G,$AC209)&gt;=SUMIFS(DARE,DEN_G,$AC209)),SUMIFS(AVERE,DEN_G,$AC209)-SUMIFS(DARE,DEN_G,$AC209),0)&gt;0,MAX(BH$2:BH208)+1,0)</f>
        <v>0</v>
      </c>
      <c r="BI209" s="48">
        <f ca="1">IF(IF(AND(OR(INDEX(PDC,MATCH($AC209,DEN_PDC,0),6)="SE DARE",INDEX(PDC,MATCH($AC209,DEN_PDC,0),6)="SE DARE/AVERE"),SUMIFS(DARE,DEN_G,$AC209)&gt;=SUMIFS(AVERE,DEN_G,$AC209)),SUMIFS(DARE,DEN_G,$AC209)-SUMIFS(AVERE,DEN_G,$AC209),0)&gt;0,MAX(BI$2:BI208)+1,0)</f>
        <v>0</v>
      </c>
      <c r="BJ209" s="48">
        <f ca="1">IF(IF(AND(OR(INDEX(PDC,MATCH($AC209,DEN_PDC,0),6)="SE AVERE",INDEX(PDC,MATCH($AC209,DEN_PDC,0),6)="SE DARE/AVERE"),SUMIFS(AVERE,DEN_G,$AC209)&gt;=SUMIFS(DARE,DEN_G,$AC209)),SUMIFS(AVERE,DEN_G,$AC209)-SUMIFS(DARE,DEN_G,$AC209),0)&gt;0,MAX(BJ$2:BJ208)+1,0)</f>
        <v>0</v>
      </c>
      <c r="BK209" s="48" t="str">
        <f ca="1">IF(AND(AND($DY$2=0,$DY$1=0),$I$1=2,ROW()&gt;$BG$1+2,ROW()&lt;=$BG$1+4),"………………..",IF(AND(OR($DY$2&gt;0,$DY$1&gt;0),$I$1=2,ROW()&gt;$BG$1+2,ROW()&lt;=$BG$1+4),"………………..",IFERROR(INDEX($AC$3:$AC$398,MATCH(ROWS(BK$3:BK209),BG$3:BG$398,0),1),"")))</f>
        <v/>
      </c>
      <c r="BL209" s="48">
        <f t="shared" ca="1" si="421"/>
        <v>0</v>
      </c>
      <c r="BM209" s="48" t="str">
        <f ca="1">IF(AND(OR($DY$2=0,$DY$1=0),$I$1=2,ROW()&gt;$BH$1+2,ROW()&lt;=$BH$1+4),"………………..",IF(AND(OR($DY$2&gt;0,$DY$1&gt;0),$I$1=2,ROW()&gt;$BH$1+2,ROW()&lt;=$BH$1+4),"………………..",IFERROR(INDEX($AC$3:$AC$400,MATCH(ROWS(BM$3:BM209),BH$3:BH$400,0),1),"")))</f>
        <v/>
      </c>
      <c r="BN209" s="48">
        <f t="shared" ca="1" si="422"/>
        <v>0</v>
      </c>
      <c r="BO209" s="48" t="str">
        <f ca="1">IF(AND(OR($DY$2=0,$DY$1=0),$I$1=2,ROW()&gt;$BI$1+2,ROW()&lt;=$BI$1+4),"………………..",IF(AND(OR($DY$2&gt;0,$DY$1&gt;0),$I$1=2,ROW()&gt;$BI$1+2,ROW()&lt;=$BI$1+4),"………………..",IFERROR(INDEX($AC$3:$AC$400,MATCH(ROWS(BO$3:BO209),BI$3:BI$400,0),1),"")))</f>
        <v/>
      </c>
      <c r="BP209" s="48">
        <f t="shared" ca="1" si="423"/>
        <v>0</v>
      </c>
      <c r="BQ209" s="48" t="str">
        <f ca="1">IF(AND(OR($DY$2=0,$DY$1=0),$I$1=2,ROW()&gt;$BJ$1+2,ROW()&lt;=$BJ$1+4),"………………..",IF(AND(OR($DY$2&gt;0,$DY$1&gt;0),$I$1=2,ROW()&gt;$BJ$1+2,ROW()&lt;=$BJ$1+4),"………………..",IFERROR(INDEX($AC$3:$AC$400,MATCH(ROWS(BQ$3:BQ209),BJ$3:BJ$400,0),1),"")))</f>
        <v/>
      </c>
      <c r="BR209" s="48">
        <f t="shared" ca="1" si="424"/>
        <v>0</v>
      </c>
      <c r="BS209" s="48">
        <f ca="1">IF(IF(AND(OR(INDEX(PDC,MATCH($AC209,DEN_PDC,0),4)="D",INDEX(PDC,MATCH($AC209,DEN_PDC,0),4)="D/A"),SUMIFS(DARE,DEN_G,$AC209)&gt;=SUMIFS(AVERE,DEN_G,$AC209)),SUMIFS(DARE,DEN_G,$AC209),IF(AND(OR(INDEX(PDC,MATCH($AC209,DEN_PDC,0),4)="A",INDEX(PDC,MATCH($AC209,DEN_PDC,0),4)="D/A"),SUMIFS(AVERE,DEN_G,$AC209)&gt;=SUMIFS(DARE,DEN_G,$AC209)),SUMIFS(AVERE,DEN_G,$AC209),))&gt;0,MAX($BS$2:BS208)+1,0)</f>
        <v>0</v>
      </c>
      <c r="BT209" s="48" t="str">
        <f ca="1">IF($CO$1=0,"",IF(AND($I$1=2,ROW()&gt;$BR$1,ROW()&lt;=$BS$1)," …………….",IF(AND($E$1=1,$BX$1=1,$I$1=2,ROW()=$BQ$1),"TOTALI",IFERROR(INDEX(PDC,MATCH(ROWS(BT$3:BT209),BS$3:BS606,0),2),""))))</f>
        <v/>
      </c>
      <c r="BU209" s="48">
        <f t="shared" ca="1" si="425"/>
        <v>0</v>
      </c>
      <c r="BV209" s="48">
        <f t="shared" ca="1" si="426"/>
        <v>0</v>
      </c>
      <c r="BW209" s="48">
        <f t="shared" ca="1" si="427"/>
        <v>0</v>
      </c>
      <c r="BX209" s="48">
        <f t="shared" ca="1" si="428"/>
        <v>0</v>
      </c>
      <c r="BY209" s="48">
        <f ca="1">IF(OR(BW209&gt;0,BX209&gt;0),MAX($BY$2:BY208)+1,0)</f>
        <v>0</v>
      </c>
      <c r="BZ209" s="48" t="str">
        <f ca="1">IFERROR(INDEX($BT$3:$BY$400,MATCH(ROWS(BZ$3:BZ209),$BY$3:$BY$400,0),1),"")</f>
        <v/>
      </c>
      <c r="CA209" s="48" t="str">
        <f ca="1">IFERROR(INDEX($BT$3:$BY$400,MATCH(ROWS(CA$3:CA209),$BY$3:$BY$400,0),4),"")</f>
        <v/>
      </c>
      <c r="CB209" s="48" t="str">
        <f ca="1">IFERROR(INDEX($BT$3:$BY$400,MATCH(ROWS(CB$3:CB209),$BY$3:$BY$400,0),5),"")</f>
        <v/>
      </c>
      <c r="CC209" s="48" t="str">
        <f t="shared" ca="1" si="429"/>
        <v/>
      </c>
      <c r="CD209" s="48">
        <f ca="1">IF(CE209&lt;&gt;0,MAX($CD$190:CD208)+1,0)</f>
        <v>0</v>
      </c>
      <c r="CE209" s="48">
        <f ca="1">IF(ROUND(SUMIFS(COPIA!$CA$3:$CA$400,COPIA!$CC$3:$CC$400,CF209)-SUMIFS(COPIA!$CB$3:$CB$400,COPIA!$CC$3:$CC$400,CF209),0)&lt;0,0,ROUND(SUMIFS(COPIA!$CA$3:$CA$400,COPIA!$CC$3:$CC$400,CF209)-SUMIFS(COPIA!$CB$3:$CB$400,COPIA!$CC$3:$CC$400,CF209),0))</f>
        <v>0</v>
      </c>
      <c r="CF209" s="48" t="s">
        <v>748</v>
      </c>
      <c r="CG209" s="242" t="s">
        <v>581</v>
      </c>
      <c r="CH209" s="48">
        <f t="shared" ca="1" si="489"/>
        <v>0</v>
      </c>
      <c r="CM209" s="242" t="str">
        <f t="shared" ca="1" si="444"/>
        <v/>
      </c>
      <c r="CN209" s="243">
        <f t="shared" ca="1" si="445"/>
        <v>0</v>
      </c>
      <c r="CO209" s="48" t="str">
        <f t="shared" ca="1" si="446"/>
        <v/>
      </c>
      <c r="CU209" s="48">
        <f ca="1">IF(SUMIFS(AVERE,DEN_G,AC209,AVERE,"&gt;"&amp;0)+SUMIFS(DARE,DEN_G,AC209,DARE,"&gt;"&amp;0)&gt;0,MAX($CU$2:CU208)+1,0)</f>
        <v>0</v>
      </c>
      <c r="CV209" s="48" t="str">
        <f ca="1">IF(IFERROR(INDEX(PDC,MATCH(ROWS($CV$3:CV209),$CU$3:$CU$400,0),2),"")="CONTO DI RISULTATO ECONOMICO","",IFERROR(INDEX(PDC,MATCH(ROWS($CV$3:CV209),$CU$3:$CU$400,0),2),""))</f>
        <v/>
      </c>
      <c r="CW209" s="48">
        <f ca="1">IFERROR(IF(CV209&lt;&gt;"",MAX($CW$2:CW208)+1,0),0)</f>
        <v>0</v>
      </c>
      <c r="CX209" s="48">
        <f t="shared" ca="1" si="474"/>
        <v>16</v>
      </c>
      <c r="CY209" s="48" t="str">
        <f t="shared" ca="1" si="472"/>
        <v>MASTRO</v>
      </c>
      <c r="CZ209" s="48" t="e">
        <f t="shared" ca="1" si="476"/>
        <v>#N/A</v>
      </c>
      <c r="DA209" s="48" t="str">
        <f t="shared" ca="1" si="483"/>
        <v/>
      </c>
      <c r="DB209" s="48" t="str">
        <f t="shared" ca="1" si="347"/>
        <v/>
      </c>
      <c r="DC209" s="48" t="str">
        <f t="shared" ca="1" si="477"/>
        <v/>
      </c>
      <c r="DD209" s="48" t="str">
        <f t="shared" ca="1" si="478"/>
        <v/>
      </c>
      <c r="DE209" s="48" t="str">
        <f t="shared" ca="1" si="479"/>
        <v/>
      </c>
      <c r="DF209" s="48">
        <f ca="1">IF(AND(CX209=$DF$1,CX209&lt;&gt;""),0,IF(AND(DB209&lt;&gt;"",OR(DB208&lt;&gt;"",DB210&lt;&gt;"")),MAX($DF$2:DF208)+1,0))</f>
        <v>0</v>
      </c>
      <c r="DG209" s="48">
        <f t="shared" ca="1" si="490"/>
        <v>0</v>
      </c>
      <c r="DH209" s="244" t="s">
        <v>414</v>
      </c>
      <c r="DI209" s="48" t="str">
        <f t="shared" ca="1" si="491"/>
        <v/>
      </c>
      <c r="DJ209" s="48" t="s">
        <v>312</v>
      </c>
      <c r="DK209" s="48" t="s">
        <v>298</v>
      </c>
      <c r="DL209" s="48" t="s">
        <v>5</v>
      </c>
      <c r="DM209" s="48" t="s">
        <v>299</v>
      </c>
      <c r="DN209" s="48">
        <f ca="1">IF(DI209&lt;&gt;"",MAX($DN$2:DN208)+1,0)</f>
        <v>0</v>
      </c>
      <c r="DO209" s="48" t="str">
        <f t="shared" ca="1" si="403"/>
        <v>ppd</v>
      </c>
      <c r="DW209" s="48">
        <f>IF(DR209&lt;&gt;"",MAX($DW$2:DW208)+1,0)</f>
        <v>0</v>
      </c>
      <c r="DY209" s="48" t="str">
        <f t="shared" ca="1" si="430"/>
        <v/>
      </c>
      <c r="EL209" s="48">
        <f t="shared" ca="1" si="431"/>
        <v>0</v>
      </c>
      <c r="EM209" s="48">
        <f ca="1">IF(EL209&gt;=0,0,MAX($EM$2:EM208)+1)</f>
        <v>0</v>
      </c>
      <c r="EN209" s="48" t="str">
        <f t="shared" ca="1" si="459"/>
        <v/>
      </c>
      <c r="EO209" s="48" t="str">
        <f ca="1">IFERROR(INDEX($EM$3:$EN$400,MATCH(ROWS($EO$3:EO209),$EM$3:$EM$400,0),2),"")</f>
        <v/>
      </c>
      <c r="EP209" s="48">
        <f>ROW()</f>
        <v>209</v>
      </c>
      <c r="EQ209" s="48">
        <f t="shared" ca="1" si="432"/>
        <v>0</v>
      </c>
      <c r="ER209" s="48">
        <f ca="1">IF(ISNA(EQ209)=TRUE,MAX($ER$2:ER208)+1,0)</f>
        <v>0</v>
      </c>
      <c r="ES209" s="48" t="str">
        <f t="shared" ca="1" si="460"/>
        <v/>
      </c>
      <c r="ET209" s="48" t="str">
        <f ca="1">IFERROR(INDEX($ER$3:$ES$400,MATCH(ROWS($ET$3:ET209),$ER$3:$ER$400,0),2),"")</f>
        <v/>
      </c>
      <c r="EV209" s="48">
        <f ca="1">IFERROR(INDEX(LIBRO_GIORNALE!$O$11:$P$408,MATCH(ROWS($EV$2:EV208),LIBRO_GIORNALE!$P$11:$P$408,0),1),0)</f>
        <v>0</v>
      </c>
      <c r="EW209" s="48" t="str">
        <f t="shared" ca="1" si="461"/>
        <v>0</v>
      </c>
      <c r="EX209" s="48">
        <f t="shared" ca="1" si="462"/>
        <v>0</v>
      </c>
      <c r="EY209" s="48">
        <f ca="1">IF(EX209&gt;0,MAX($EY$2:EY208)+1,0)</f>
        <v>0</v>
      </c>
      <c r="EZ209" s="48">
        <f ca="1">IFERROR(INDEX($EX$3:$EX$400,MATCH(ROWS($EZ$3:EZ209),$EY$3:$EY$400,0),1),0)</f>
        <v>0</v>
      </c>
      <c r="FA209" s="48">
        <f ca="1">IF(EZ209&gt;0,0,MAX($FA$2:FA208)+1)</f>
        <v>207</v>
      </c>
      <c r="FB209" s="48">
        <f t="shared" ca="1" si="463"/>
        <v>0</v>
      </c>
      <c r="FC209" s="48">
        <f t="shared" ca="1" si="464"/>
        <v>207</v>
      </c>
      <c r="FD209" s="48">
        <f t="shared" ca="1" si="465"/>
        <v>207</v>
      </c>
      <c r="FE209" s="48">
        <f ca="1">IF(FD209=0,0,MAX($FE$2:FE208)+1)</f>
        <v>207</v>
      </c>
      <c r="FF209" s="48">
        <f ca="1">IFERROR(INDEX($FD$3:$FE$400,MATCH(ROWS($FF$3:FF209),$FE$3:$FE$400,0),1),"")</f>
        <v>207</v>
      </c>
      <c r="FG209" s="48">
        <f t="shared" ca="1" si="380"/>
        <v>0</v>
      </c>
      <c r="FH209" s="48">
        <f t="shared" ca="1" si="466"/>
        <v>0</v>
      </c>
      <c r="FI209" s="48">
        <f ca="1">IF(FH209&lt;&gt;0,MAX($FI$2:FI208)+1,0)</f>
        <v>0</v>
      </c>
      <c r="FJ209" s="48" t="str">
        <f ca="1">IFERROR(INDEX($FH$3:$FI$400,MATCH(ROWS($FJ$3:FJ209),$FI$3:$FI$400,0),1),"")</f>
        <v/>
      </c>
      <c r="FK209" s="48">
        <f ca="1">IF(ABS(SUMIFS(DARE,DEN_G,"="&amp;FJ209,DATA,"&lt;="&amp;FINE_AC,DATA,"&gt;="&amp;INIZIO_A_PC)-SUMIFS(AVERE,DEN_G,"="&amp;FJ209,DATA,"&lt;="&amp;FINE_AC,DATA,"&gt;="&amp;INIZIO_A_PC))&gt;0,MAX($FK$2:FK208)+1,0)</f>
        <v>0</v>
      </c>
      <c r="FL209" s="48" t="str">
        <f ca="1">IF(AND(ROW()-2&lt;&gt;1,ROW()-2&lt;=$FK$1),CONCATENATE(" - ",IFERROR(INDEX($FJ$3:$FK$400,MATCH(ROWS($FL$3:FL209),$FK$3:$FK$400,0),1),"")),IFERROR(INDEX($FJ$3:$FK$400,MATCH(ROWS($FL$3:FL209),$FK$3:$FK$400,0),1),""))</f>
        <v/>
      </c>
      <c r="FM209" s="48">
        <f ca="1">IF(OR(B209="IVA ns/credito",B209="IVA NS/DEBITO",B209="IVA C/ACCONTO",B209="IMPOSTE C/ACCONTO",B209="CREDITI PER RITENUTE SUBITE",B209="CREDITI D'IMPOSTA"),MAX($FM$2:FM208)+1,0)</f>
        <v>0</v>
      </c>
      <c r="FN209" s="48" t="str">
        <f t="shared" ca="1" si="467"/>
        <v/>
      </c>
      <c r="FO209" s="48" t="str">
        <f ca="1">IFERROR(INDEX($FM$3:$FN$400,MATCH(ROWS($FO$3:FO209),$FM$3:$FM$400,0),2),"")</f>
        <v/>
      </c>
      <c r="FP209" s="48">
        <f ca="1">IF(ABS(SUMIFS(DARE,DEN_G,"="&amp;FO209,DATA,"&lt;="&amp;FINE_AC,DATA,"&gt;="&amp;INIZIO_A_PC)-SUMIFS(AVERE,DEN_G,"="&amp;FO209,DATA,"&lt;="&amp;FINE_AC,DATA,"&gt;="&amp;INIZIO_A_PC))&gt;0,MAX($FP$2:FP208)+1,0)</f>
        <v>0</v>
      </c>
      <c r="FQ209" s="48" t="str">
        <f ca="1">IF(AND(ROW()-2&lt;&gt;1,ROW()-2&lt;=$FP$1),CONCATENATE(" - ",IFERROR(INDEX($FO$3:$FP$400,MATCH(ROWS($FQ$3:FQ209),$FP$3:$FP$400,0),1),"")),IFERROR(INDEX($FO$3:$FP$400,MATCH(ROWS($FQ$3:FQ209),$FP$3:$FP$400,0),1),""))</f>
        <v/>
      </c>
    </row>
    <row r="210" spans="1:173" x14ac:dyDescent="0.3">
      <c r="A210" s="48" t="str">
        <f ca="1">IFERROR(IF($A$1=2,INDEX($DH$3:$DN$401,MATCH(ROWS(A$3:A210),$DN$3:$DN$401,0),COLUMN()),IF($A$1=1,INDEX($DQ$3:$DW$401,MATCH(ROWS(A$3:A210),$DW$3:$DW$401,0),COLUMN()),"")),"")</f>
        <v>21.05</v>
      </c>
      <c r="B210" s="48" t="str">
        <f ca="1">IFERROR(IF($A$1=2,INDEX($DH$3:$DN$401,MATCH(ROWS(B$3:B210),$DN$3:$DN$401,0),COLUMN()),IF($A$1=1,INDEX($DQ$3:$DW$400,MATCH(ROWS(B$3:B210),$DW$3:$DW$401,0),COLUMN()),"")),"")</f>
        <v>SEMILAVORATI C/ESISTENZE INIZIALI</v>
      </c>
      <c r="C210" s="48" t="str">
        <f ca="1">IFERROR(IF($A$1=2,INDEX($DH$3:$DN$401,MATCH(ROWS(C$3:C210),$DN$3:$DN$401,0),COLUMN()),IF($A$1=1,INDEX($DQ$3:$DW$401,MATCH(ROWS(C$3:C210),$DW$3:$DW$401,0),COLUMN()),"")),"")</f>
        <v>E</v>
      </c>
      <c r="D210" s="48" t="str">
        <f ca="1">IFERROR(IF($A$1=2,INDEX($DH$3:$DN$401,MATCH(ROWS(D$3:D210),$DN$3:$DN$401,0),COLUMN()),IF($A$1=1,INDEX($DQ$3:$DW$401,MATCH(ROWS(D$3:D210),$DW$3:$DW$401,0),COLUMN()),"")),"")</f>
        <v>D</v>
      </c>
      <c r="E210" s="48" t="str">
        <f ca="1">IFERROR(IF($A$1=2,INDEX($DH$3:$DN$401,MATCH(ROWS(E$3:E210),$DN$3:$DN$401,0),COLUMN()),IF($A$1=1,INDEX($DQ$3:$DW$401,MATCH(ROWS(E$3:E210),$DW$3:$DW$401,0),COLUMN()),"")),"")</f>
        <v>COSTI D'ESERCIZIO</v>
      </c>
      <c r="F210" s="48" t="str">
        <f ca="1">IFERROR(IF($A$1=2,INDEX($DH$3:$DN$401,MATCH(ROWS(F$3:F210),$DN$3:$DN$401,0),COLUMN()),IF($A$1=1,INDEX($DQ$3:$DX$401,MATCH(ROWS(F$3:F210),$DW$3:$DW$401,0),COLUMN()),"")),"")</f>
        <v>SE DARE</v>
      </c>
      <c r="G210" s="48" t="str">
        <f t="shared" ca="1" si="433"/>
        <v>SE</v>
      </c>
      <c r="H210" s="48" t="str">
        <f ca="1">IFERROR(IF($A$1=2,INDEX($DH$3:$DO$400,MATCH(ROWS(H$3:H210),$DN$3:$DN$400,0),COLUMN()),IF($A$1=1,INDEX($DQ$3:$DX$400,MATCH(ROWS(H$3:H210),$DW$3:$DW$400,0),COLUMN()),"")),"")</f>
        <v>ea2</v>
      </c>
      <c r="M210" s="48">
        <f ca="1">IFERROR(IF(IF(MID($A210,3,3)=".00",MID(A210,1,2),"")&lt;&gt;"",MAX($M$2:M209)+1,0),"")</f>
        <v>0</v>
      </c>
      <c r="N210" s="48" t="str">
        <f t="shared" ca="1" si="438"/>
        <v/>
      </c>
      <c r="O210" s="48" t="str">
        <f ca="1">IF(IFERROR(INDEX($N$3:$O$300,MATCH(ROWS($O$3:O210),$M$3:$M$300,0),1),"")&lt;&gt;"",CONCATENATE(INDEX($N$3:$O$300,MATCH(ROWS($O$3:O210),$M$3:$M$300,0),1),".00"),"")</f>
        <v/>
      </c>
      <c r="P210" s="48" t="str">
        <f t="shared" ca="1" si="439"/>
        <v/>
      </c>
      <c r="Q210" s="48">
        <f ca="1">IF(M210&gt;=1,0,MAX($Q$2:Q209)+1)</f>
        <v>187</v>
      </c>
      <c r="U210" s="48" t="str">
        <f ca="1">IFERROR(INDEX(PDC,MATCH(ROWS(U$3:U210),$V$3:$V$400,0),2),"")</f>
        <v>MANUTENZIONI E RIPARAZIONI</v>
      </c>
      <c r="V210" s="48">
        <f ca="1">IF(AND($T$1="VISUALIZZA TUTTI I CONTI",AA210&lt;&gt;""),MAX($V$2:V209)+1,IF(AND($U$2=2,AI210=$T$1),MAX($V$2:V209)+1,IF(AND($U$2=1,$T$1=AF210),MAX($V$2:V209)+1,0)))</f>
        <v>208</v>
      </c>
      <c r="AA210" s="48" t="str">
        <f t="shared" ca="1" si="440"/>
        <v>31.00</v>
      </c>
      <c r="AB210" s="48" t="str">
        <f ca="1">IFERROR(INDEX($A$3:$G$400,MATCH(ROWS(AB$3:AB210),$Q$3:$Q$400,0),1),"")</f>
        <v>31.10</v>
      </c>
      <c r="AC210" s="48" t="str">
        <f ca="1">IFERROR(INDEX($A$3:$G$400,MATCH(ROWS($AC$3:AC210),$Q$3:$Q$400,0),2),"")</f>
        <v>MANUTENZIONI E RIPARAZIONI</v>
      </c>
      <c r="AD210" s="48" t="str">
        <f ca="1">IFERROR(INDEX($A$3:$G$400,MATCH(ROWS(AD$3:AD210),$Q$3:$Q$400,0),3),"")</f>
        <v>E</v>
      </c>
      <c r="AE210" s="48" t="str">
        <f ca="1">IFERROR(INDEX($A$3:$G$400,MATCH(ROWS(AE$3:AE210),$Q$3:$Q$400,0),4),"")</f>
        <v>D</v>
      </c>
      <c r="AF210" s="48" t="str">
        <f ca="1">IFERROR(INDEX($A$3:$G$400,MATCH(ROWS(AF$3:AF210),$Q$3:$Q$400,0),5),"")</f>
        <v>COSTI D'ESERCIZIO</v>
      </c>
      <c r="AG210" s="48" t="str">
        <f ca="1">IFERROR(INDEX($A$3:$G$400,MATCH(ROWS(AG$3:AG210),$Q$3:$Q$400,0),6),"")</f>
        <v>SE DARE</v>
      </c>
      <c r="AH210" s="48" t="str">
        <f ca="1">IFERROR(INDEX($A$3:$G$400,MATCH(ROWS(AH$3:AH210),$Q$3:$Q$400,0),7),"")</f>
        <v>SE</v>
      </c>
      <c r="AI210" s="48" t="str">
        <f t="shared" ca="1" si="441"/>
        <v>COSTI PER SERVIZI</v>
      </c>
      <c r="AJ210" s="48" t="str">
        <f ca="1">IFERROR(INDEX($A$3:$H$400,MATCH(ROWS(AJ$3:AJ210),$Q$3:$Q$400,0),8),"")</f>
        <v>eb7</v>
      </c>
      <c r="AK210" s="48">
        <f t="shared" ca="1" si="417"/>
        <v>0</v>
      </c>
      <c r="AL210" s="48">
        <f t="shared" ca="1" si="473"/>
        <v>0</v>
      </c>
      <c r="AM210" s="48">
        <f t="shared" ca="1" si="377"/>
        <v>0</v>
      </c>
      <c r="AN210" s="48">
        <f t="shared" ca="1" si="378"/>
        <v>0</v>
      </c>
      <c r="AO210" s="48">
        <f t="shared" ca="1" si="379"/>
        <v>0</v>
      </c>
      <c r="AP210" s="48">
        <f t="shared" ca="1" si="379"/>
        <v>0</v>
      </c>
      <c r="AQ210" s="48" t="str">
        <f t="shared" ca="1" si="418"/>
        <v/>
      </c>
      <c r="AR210" s="48">
        <f t="shared" ca="1" si="419"/>
        <v>0</v>
      </c>
      <c r="AS210" s="48">
        <f t="shared" ca="1" si="420"/>
        <v>0</v>
      </c>
      <c r="AT210" s="48">
        <f t="shared" ca="1" si="442"/>
        <v>0</v>
      </c>
      <c r="AU210" s="48">
        <f t="shared" ca="1" si="443"/>
        <v>0</v>
      </c>
      <c r="AV210" s="48">
        <f ca="1">IF(OR(AT210&gt;0,AU210&gt;0),MAX($AV$2:AV209)+1,0)</f>
        <v>0</v>
      </c>
      <c r="AZ210" s="48" t="str">
        <f t="shared" ca="1" si="484"/>
        <v/>
      </c>
      <c r="BA210" s="48">
        <f t="shared" ca="1" si="480"/>
        <v>0</v>
      </c>
      <c r="BB210" s="48">
        <f t="shared" ca="1" si="481"/>
        <v>0</v>
      </c>
      <c r="BC210" s="48">
        <f t="shared" ca="1" si="482"/>
        <v>0</v>
      </c>
      <c r="BD210" s="48">
        <f t="shared" ca="1" si="383"/>
        <v>0</v>
      </c>
      <c r="BE210" s="48">
        <f t="shared" ca="1" si="384"/>
        <v>0</v>
      </c>
      <c r="BF210" s="48">
        <f t="shared" si="485"/>
        <v>10</v>
      </c>
      <c r="BG210" s="48">
        <f ca="1">IF(IF(AND(OR(INDEX(PDC,MATCH($AC210,DEN_PDC,0),6)="SP DARE",INDEX(PDC,MATCH($AC210,DEN_PDC,0),6)="SP DARE/AVERE"),SUMIFS(DARE,DEN_G,$AC210)&gt;=SUMIFS(AVERE,DEN_G,$AC210)),SUMIFS(DARE,DEN_G,$AC210)-SUMIFS(AVERE,DEN_G,$AC210),0)&gt;0,MAX($BG$2:BG209)+1,0)</f>
        <v>0</v>
      </c>
      <c r="BH210" s="48">
        <f ca="1">IF(IF(AND(OR(INDEX(PDC,MATCH($AC210,DEN_PDC,0),6)="SP AVERE",INDEX(PDC,MATCH($AC210,DEN_PDC,0),6)="SP DARE/AVERE"),SUMIFS(AVERE,DEN_G,$AC210)&gt;=SUMIFS(DARE,DEN_G,$AC210)),SUMIFS(AVERE,DEN_G,$AC210)-SUMIFS(DARE,DEN_G,$AC210),0)&gt;0,MAX(BH$2:BH209)+1,0)</f>
        <v>0</v>
      </c>
      <c r="BI210" s="48">
        <f ca="1">IF(IF(AND(OR(INDEX(PDC,MATCH($AC210,DEN_PDC,0),6)="SE DARE",INDEX(PDC,MATCH($AC210,DEN_PDC,0),6)="SE DARE/AVERE"),SUMIFS(DARE,DEN_G,$AC210)&gt;=SUMIFS(AVERE,DEN_G,$AC210)),SUMIFS(DARE,DEN_G,$AC210)-SUMIFS(AVERE,DEN_G,$AC210),0)&gt;0,MAX(BI$2:BI209)+1,0)</f>
        <v>0</v>
      </c>
      <c r="BJ210" s="48">
        <f ca="1">IF(IF(AND(OR(INDEX(PDC,MATCH($AC210,DEN_PDC,0),6)="SE AVERE",INDEX(PDC,MATCH($AC210,DEN_PDC,0),6)="SE DARE/AVERE"),SUMIFS(AVERE,DEN_G,$AC210)&gt;=SUMIFS(DARE,DEN_G,$AC210)),SUMIFS(AVERE,DEN_G,$AC210)-SUMIFS(DARE,DEN_G,$AC210),0)&gt;0,MAX(BJ$2:BJ209)+1,0)</f>
        <v>0</v>
      </c>
      <c r="BK210" s="48" t="str">
        <f ca="1">IF(AND(AND($DY$2=0,$DY$1=0),$I$1=2,ROW()&gt;$BG$1+2,ROW()&lt;=$BG$1+4),"………………..",IF(AND(OR($DY$2&gt;0,$DY$1&gt;0),$I$1=2,ROW()&gt;$BG$1+2,ROW()&lt;=$BG$1+4),"………………..",IFERROR(INDEX($AC$3:$AC$398,MATCH(ROWS(BK$3:BK210),BG$3:BG$398,0),1),"")))</f>
        <v/>
      </c>
      <c r="BL210" s="48">
        <f t="shared" ca="1" si="421"/>
        <v>0</v>
      </c>
      <c r="BM210" s="48" t="str">
        <f ca="1">IF(AND(OR($DY$2=0,$DY$1=0),$I$1=2,ROW()&gt;$BH$1+2,ROW()&lt;=$BH$1+4),"………………..",IF(AND(OR($DY$2&gt;0,$DY$1&gt;0),$I$1=2,ROW()&gt;$BH$1+2,ROW()&lt;=$BH$1+4),"………………..",IFERROR(INDEX($AC$3:$AC$400,MATCH(ROWS(BM$3:BM210),BH$3:BH$400,0),1),"")))</f>
        <v/>
      </c>
      <c r="BN210" s="48">
        <f t="shared" ca="1" si="422"/>
        <v>0</v>
      </c>
      <c r="BO210" s="48" t="str">
        <f ca="1">IF(AND(OR($DY$2=0,$DY$1=0),$I$1=2,ROW()&gt;$BI$1+2,ROW()&lt;=$BI$1+4),"………………..",IF(AND(OR($DY$2&gt;0,$DY$1&gt;0),$I$1=2,ROW()&gt;$BI$1+2,ROW()&lt;=$BI$1+4),"………………..",IFERROR(INDEX($AC$3:$AC$400,MATCH(ROWS(BO$3:BO210),BI$3:BI$400,0),1),"")))</f>
        <v/>
      </c>
      <c r="BP210" s="48">
        <f t="shared" ca="1" si="423"/>
        <v>0</v>
      </c>
      <c r="BQ210" s="48" t="str">
        <f ca="1">IF(AND(OR($DY$2=0,$DY$1=0),$I$1=2,ROW()&gt;$BJ$1+2,ROW()&lt;=$BJ$1+4),"………………..",IF(AND(OR($DY$2&gt;0,$DY$1&gt;0),$I$1=2,ROW()&gt;$BJ$1+2,ROW()&lt;=$BJ$1+4),"………………..",IFERROR(INDEX($AC$3:$AC$400,MATCH(ROWS(BQ$3:BQ210),BJ$3:BJ$400,0),1),"")))</f>
        <v/>
      </c>
      <c r="BR210" s="48">
        <f t="shared" ca="1" si="424"/>
        <v>0</v>
      </c>
      <c r="BS210" s="48">
        <f ca="1">IF(IF(AND(OR(INDEX(PDC,MATCH($AC210,DEN_PDC,0),4)="D",INDEX(PDC,MATCH($AC210,DEN_PDC,0),4)="D/A"),SUMIFS(DARE,DEN_G,$AC210)&gt;=SUMIFS(AVERE,DEN_G,$AC210)),SUMIFS(DARE,DEN_G,$AC210),IF(AND(OR(INDEX(PDC,MATCH($AC210,DEN_PDC,0),4)="A",INDEX(PDC,MATCH($AC210,DEN_PDC,0),4)="D/A"),SUMIFS(AVERE,DEN_G,$AC210)&gt;=SUMIFS(DARE,DEN_G,$AC210)),SUMIFS(AVERE,DEN_G,$AC210),))&gt;0,MAX($BS$2:BS209)+1,0)</f>
        <v>0</v>
      </c>
      <c r="BT210" s="48" t="str">
        <f ca="1">IF($CO$1=0,"",IF(AND($I$1=2,ROW()&gt;$BR$1,ROW()&lt;=$BS$1)," …………….",IF(AND($E$1=1,$BX$1=1,$I$1=2,ROW()=$BQ$1),"TOTALI",IFERROR(INDEX(PDC,MATCH(ROWS(BT$3:BT210),BS$3:BS607,0),2),""))))</f>
        <v/>
      </c>
      <c r="BU210" s="48">
        <f t="shared" ca="1" si="425"/>
        <v>0</v>
      </c>
      <c r="BV210" s="48">
        <f t="shared" ca="1" si="426"/>
        <v>0</v>
      </c>
      <c r="BW210" s="48">
        <f t="shared" ca="1" si="427"/>
        <v>0</v>
      </c>
      <c r="BX210" s="48">
        <f t="shared" ca="1" si="428"/>
        <v>0</v>
      </c>
      <c r="BY210" s="48">
        <f ca="1">IF(OR(BW210&gt;0,BX210&gt;0),MAX($BY$2:BY209)+1,0)</f>
        <v>0</v>
      </c>
      <c r="BZ210" s="48" t="str">
        <f ca="1">IFERROR(INDEX($BT$3:$BY$400,MATCH(ROWS(BZ$3:BZ210),$BY$3:$BY$400,0),1),"")</f>
        <v/>
      </c>
      <c r="CA210" s="48" t="str">
        <f ca="1">IFERROR(INDEX($BT$3:$BY$400,MATCH(ROWS(CA$3:CA210),$BY$3:$BY$400,0),4),"")</f>
        <v/>
      </c>
      <c r="CB210" s="48" t="str">
        <f ca="1">IFERROR(INDEX($BT$3:$BY$400,MATCH(ROWS(CB$3:CB210),$BY$3:$BY$400,0),5),"")</f>
        <v/>
      </c>
      <c r="CC210" s="48" t="str">
        <f t="shared" ca="1" si="429"/>
        <v/>
      </c>
      <c r="CD210" s="48">
        <f ca="1">IF(CE210&lt;&gt;0,MAX($CD$190:CD209)+1,0)</f>
        <v>0</v>
      </c>
      <c r="CE210" s="48">
        <f ca="1">IF(ROUND(SUMIFS(COPIA!$CA$3:$CA$400,COPIA!$CC$3:$CC$400,CF210)-SUMIFS(COPIA!$CB$3:$CB$400,COPIA!$CC$3:$CC$400,CF210),0)&lt;0,0,ROUND(SUMIFS(COPIA!$CA$3:$CA$400,COPIA!$CC$3:$CC$400,CF210)-SUMIFS(COPIA!$CB$3:$CB$400,COPIA!$CC$3:$CC$400,CF210),0))</f>
        <v>0</v>
      </c>
      <c r="CF210" s="48" t="s">
        <v>715</v>
      </c>
      <c r="CG210" s="242" t="s">
        <v>580</v>
      </c>
      <c r="CH210" s="48">
        <f t="shared" ca="1" si="489"/>
        <v>0</v>
      </c>
      <c r="CM210" s="242" t="str">
        <f t="shared" ca="1" si="444"/>
        <v/>
      </c>
      <c r="CN210" s="243">
        <f t="shared" ca="1" si="445"/>
        <v>0</v>
      </c>
      <c r="CO210" s="48" t="str">
        <f t="shared" ca="1" si="446"/>
        <v/>
      </c>
      <c r="CU210" s="48">
        <f ca="1">IF(SUMIFS(AVERE,DEN_G,AC210,AVERE,"&gt;"&amp;0)+SUMIFS(DARE,DEN_G,AC210,DARE,"&gt;"&amp;0)&gt;0,MAX($CU$2:CU209)+1,0)</f>
        <v>0</v>
      </c>
      <c r="CV210" s="48" t="str">
        <f ca="1">IF(IFERROR(INDEX(PDC,MATCH(ROWS($CV$3:CV210),$CU$3:$CU$400,0),2),"")="CONTO DI RISULTATO ECONOMICO","",IFERROR(INDEX(PDC,MATCH(ROWS($CV$3:CV210),$CU$3:$CU$400,0),2),""))</f>
        <v/>
      </c>
      <c r="CW210" s="48">
        <f ca="1">IFERROR(IF(CV210&lt;&gt;"",MAX($CW$2:CW209)+1,0),0)</f>
        <v>0</v>
      </c>
      <c r="CY210" s="48" t="s">
        <v>500</v>
      </c>
      <c r="DB210" s="48" t="str">
        <f t="shared" ref="DB210" ca="1" si="492">IF(CX209=$DF$1,"","MASTRO")</f>
        <v>MASTRO</v>
      </c>
      <c r="DF210" s="48">
        <f ca="1">IF(AND(CX210=$DF$1,CX210&lt;&gt;""),0,IF(AND(DB210&lt;&gt;"",OR(DB209&lt;&gt;"",DB211&lt;&gt;"")),MAX($DF$2:DF209)+1,0))</f>
        <v>0</v>
      </c>
      <c r="DH210" s="244" t="s">
        <v>415</v>
      </c>
      <c r="DI210" s="48" t="s">
        <v>929</v>
      </c>
      <c r="DJ210" s="48" t="s">
        <v>312</v>
      </c>
      <c r="DK210" s="48" t="s">
        <v>298</v>
      </c>
      <c r="DL210" s="48" t="s">
        <v>5</v>
      </c>
      <c r="DM210" s="48" t="s">
        <v>299</v>
      </c>
      <c r="DN210" s="48">
        <f ca="1">IF(DI210&lt;&gt;"",MAX($DN$2:DN209)+1,0)</f>
        <v>161</v>
      </c>
      <c r="DO210" s="48" t="str">
        <f t="shared" ref="DO210:DO217" ca="1" si="493">IF($BF$9=1,"ppd14","ppd")</f>
        <v>ppd</v>
      </c>
      <c r="DQ210" s="227" t="s">
        <v>153</v>
      </c>
      <c r="DR210" s="228" t="s">
        <v>878</v>
      </c>
      <c r="DW210" s="48">
        <f ca="1">IF(DR210&lt;&gt;"",MAX($DW$2:DW209)+1,0)</f>
        <v>123</v>
      </c>
      <c r="DY210" s="48" t="str">
        <f t="shared" ca="1" si="430"/>
        <v/>
      </c>
      <c r="EL210" s="48">
        <f t="shared" ca="1" si="431"/>
        <v>0</v>
      </c>
      <c r="EM210" s="48">
        <f ca="1">IF(EL210&gt;=0,0,MAX($EM$2:EM209)+1)</f>
        <v>0</v>
      </c>
      <c r="EN210" s="48" t="str">
        <f t="shared" ca="1" si="459"/>
        <v/>
      </c>
      <c r="EO210" s="48" t="str">
        <f ca="1">IFERROR(INDEX($EM$3:$EN$400,MATCH(ROWS($EO$3:EO210),$EM$3:$EM$400,0),2),"")</f>
        <v/>
      </c>
      <c r="EP210" s="48">
        <f>ROW()</f>
        <v>210</v>
      </c>
      <c r="EQ210" s="48">
        <f t="shared" ca="1" si="432"/>
        <v>0</v>
      </c>
      <c r="ER210" s="48">
        <f ca="1">IF(ISNA(EQ210)=TRUE,MAX($ER$2:ER209)+1,0)</f>
        <v>0</v>
      </c>
      <c r="ES210" s="48" t="str">
        <f t="shared" ca="1" si="460"/>
        <v/>
      </c>
      <c r="ET210" s="48" t="str">
        <f ca="1">IFERROR(INDEX($ER$3:$ES$400,MATCH(ROWS($ET$3:ET210),$ER$3:$ER$400,0),2),"")</f>
        <v/>
      </c>
      <c r="EV210" s="48">
        <f ca="1">IFERROR(INDEX(LIBRO_GIORNALE!$O$11:$P$408,MATCH(ROWS($EV$2:EV209),LIBRO_GIORNALE!$P$11:$P$408,0),1),0)</f>
        <v>0</v>
      </c>
      <c r="EW210" s="48" t="str">
        <f t="shared" ca="1" si="461"/>
        <v>0</v>
      </c>
      <c r="EX210" s="48">
        <f t="shared" ca="1" si="462"/>
        <v>0</v>
      </c>
      <c r="EY210" s="48">
        <f ca="1">IF(EX210&gt;0,MAX($EY$2:EY209)+1,0)</f>
        <v>0</v>
      </c>
      <c r="EZ210" s="48">
        <f ca="1">IFERROR(INDEX($EX$3:$EX$400,MATCH(ROWS($EZ$3:EZ210),$EY$3:$EY$400,0),1),0)</f>
        <v>0</v>
      </c>
      <c r="FA210" s="48">
        <f ca="1">IF(EZ210&gt;0,0,MAX($FA$2:FA209)+1)</f>
        <v>208</v>
      </c>
      <c r="FB210" s="48">
        <f t="shared" ca="1" si="463"/>
        <v>0</v>
      </c>
      <c r="FC210" s="48">
        <f t="shared" ca="1" si="464"/>
        <v>208</v>
      </c>
      <c r="FD210" s="48">
        <f t="shared" ca="1" si="465"/>
        <v>208</v>
      </c>
      <c r="FE210" s="48">
        <f ca="1">IF(FD210=0,0,MAX($FE$2:FE209)+1)</f>
        <v>208</v>
      </c>
      <c r="FF210" s="48">
        <f ca="1">IFERROR(INDEX($FD$3:$FE$400,MATCH(ROWS($FF$3:FF210),$FE$3:$FE$400,0),1),"")</f>
        <v>208</v>
      </c>
      <c r="FG210" s="48">
        <f t="shared" ca="1" si="380"/>
        <v>0</v>
      </c>
      <c r="FH210" s="48">
        <f t="shared" ca="1" si="466"/>
        <v>0</v>
      </c>
      <c r="FI210" s="48">
        <f ca="1">IF(FH210&lt;&gt;0,MAX($FI$2:FI209)+1,0)</f>
        <v>0</v>
      </c>
      <c r="FJ210" s="48" t="str">
        <f ca="1">IFERROR(INDEX($FH$3:$FI$400,MATCH(ROWS($FJ$3:FJ210),$FI$3:$FI$400,0),1),"")</f>
        <v/>
      </c>
      <c r="FK210" s="48">
        <f ca="1">IF(ABS(SUMIFS(DARE,DEN_G,"="&amp;FJ210,DATA,"&lt;="&amp;FINE_AC,DATA,"&gt;="&amp;INIZIO_A_PC)-SUMIFS(AVERE,DEN_G,"="&amp;FJ210,DATA,"&lt;="&amp;FINE_AC,DATA,"&gt;="&amp;INIZIO_A_PC))&gt;0,MAX($FK$2:FK209)+1,0)</f>
        <v>0</v>
      </c>
      <c r="FL210" s="48" t="str">
        <f ca="1">IF(AND(ROW()-2&lt;&gt;1,ROW()-2&lt;=$FK$1),CONCATENATE(" - ",IFERROR(INDEX($FJ$3:$FK$400,MATCH(ROWS($FL$3:FL210),$FK$3:$FK$400,0),1),"")),IFERROR(INDEX($FJ$3:$FK$400,MATCH(ROWS($FL$3:FL210),$FK$3:$FK$400,0),1),""))</f>
        <v/>
      </c>
      <c r="FM210" s="48">
        <f ca="1">IF(OR(B210="IVA ns/credito",B210="IVA NS/DEBITO",B210="IVA C/ACCONTO",B210="IMPOSTE C/ACCONTO",B210="CREDITI PER RITENUTE SUBITE",B210="CREDITI D'IMPOSTA"),MAX($FM$2:FM209)+1,0)</f>
        <v>0</v>
      </c>
      <c r="FN210" s="48" t="str">
        <f t="shared" ca="1" si="467"/>
        <v/>
      </c>
      <c r="FO210" s="48" t="str">
        <f ca="1">IFERROR(INDEX($FM$3:$FN$400,MATCH(ROWS($FO$3:FO210),$FM$3:$FM$400,0),2),"")</f>
        <v/>
      </c>
      <c r="FP210" s="48">
        <f ca="1">IF(ABS(SUMIFS(DARE,DEN_G,"="&amp;FO210,DATA,"&lt;="&amp;FINE_AC,DATA,"&gt;="&amp;INIZIO_A_PC)-SUMIFS(AVERE,DEN_G,"="&amp;FO210,DATA,"&lt;="&amp;FINE_AC,DATA,"&gt;="&amp;INIZIO_A_PC))&gt;0,MAX($FP$2:FP209)+1,0)</f>
        <v>0</v>
      </c>
      <c r="FQ210" s="48" t="str">
        <f ca="1">IF(AND(ROW()-2&lt;&gt;1,ROW()-2&lt;=$FP$1),CONCATENATE(" - ",IFERROR(INDEX($FO$3:$FP$400,MATCH(ROWS($FQ$3:FQ210),$FP$3:$FP$400,0),1),"")),IFERROR(INDEX($FO$3:$FP$400,MATCH(ROWS($FQ$3:FQ210),$FP$3:$FP$400,0),1),""))</f>
        <v/>
      </c>
    </row>
    <row r="211" spans="1:173" x14ac:dyDescent="0.3">
      <c r="A211" s="48" t="str">
        <f ca="1">IFERROR(IF($A$1=2,INDEX($DH$3:$DN$401,MATCH(ROWS(A$3:A211),$DN$3:$DN$401,0),COLUMN()),IF($A$1=1,INDEX($DQ$3:$DW$401,MATCH(ROWS(A$3:A211),$DW$3:$DW$401,0),COLUMN()),"")),"")</f>
        <v>21.06</v>
      </c>
      <c r="B211" s="48" t="str">
        <f ca="1">IFERROR(IF($A$1=2,INDEX($DH$3:$DN$401,MATCH(ROWS(B$3:B211),$DN$3:$DN$401,0),COLUMN()),IF($A$1=1,INDEX($DQ$3:$DW$400,MATCH(ROWS(B$3:B211),$DW$3:$DW$401,0),COLUMN()),"")),"")</f>
        <v>PRODOTTI FINITI C/ESISTENZE INIZIALI</v>
      </c>
      <c r="C211" s="48" t="str">
        <f ca="1">IFERROR(IF($A$1=2,INDEX($DH$3:$DN$401,MATCH(ROWS(C$3:C211),$DN$3:$DN$401,0),COLUMN()),IF($A$1=1,INDEX($DQ$3:$DW$401,MATCH(ROWS(C$3:C211),$DW$3:$DW$401,0),COLUMN()),"")),"")</f>
        <v>E</v>
      </c>
      <c r="D211" s="48" t="str">
        <f ca="1">IFERROR(IF($A$1=2,INDEX($DH$3:$DN$401,MATCH(ROWS(D$3:D211),$DN$3:$DN$401,0),COLUMN()),IF($A$1=1,INDEX($DQ$3:$DW$401,MATCH(ROWS(D$3:D211),$DW$3:$DW$401,0),COLUMN()),"")),"")</f>
        <v>D</v>
      </c>
      <c r="E211" s="48" t="str">
        <f ca="1">IFERROR(IF($A$1=2,INDEX($DH$3:$DN$401,MATCH(ROWS(E$3:E211),$DN$3:$DN$401,0),COLUMN()),IF($A$1=1,INDEX($DQ$3:$DW$401,MATCH(ROWS(E$3:E211),$DW$3:$DW$401,0),COLUMN()),"")),"")</f>
        <v>COSTI D'ESERCIZIO</v>
      </c>
      <c r="F211" s="48" t="str">
        <f ca="1">IFERROR(IF($A$1=2,INDEX($DH$3:$DN$401,MATCH(ROWS(F$3:F211),$DN$3:$DN$401,0),COLUMN()),IF($A$1=1,INDEX($DQ$3:$DX$401,MATCH(ROWS(F$3:F211),$DW$3:$DW$401,0),COLUMN()),"")),"")</f>
        <v>SE DARE</v>
      </c>
      <c r="G211" s="48" t="str">
        <f t="shared" ca="1" si="433"/>
        <v>SE</v>
      </c>
      <c r="H211" s="48" t="str">
        <f ca="1">IFERROR(IF($A$1=2,INDEX($DH$3:$DO$400,MATCH(ROWS(H$3:H211),$DN$3:$DN$400,0),COLUMN()),IF($A$1=1,INDEX($DQ$3:$DX$400,MATCH(ROWS(H$3:H211),$DW$3:$DW$400,0),COLUMN()),"")),"")</f>
        <v>ea2</v>
      </c>
      <c r="M211" s="48">
        <f ca="1">IFERROR(IF(IF(MID($A211,3,3)=".00",MID(A211,1,2),"")&lt;&gt;"",MAX($M$2:M210)+1,0),"")</f>
        <v>0</v>
      </c>
      <c r="N211" s="48" t="str">
        <f t="shared" ca="1" si="438"/>
        <v/>
      </c>
      <c r="O211" s="48" t="str">
        <f ca="1">IF(IFERROR(INDEX($N$3:$O$300,MATCH(ROWS($O$3:O211),$M$3:$M$300,0),1),"")&lt;&gt;"",CONCATENATE(INDEX($N$3:$O$300,MATCH(ROWS($O$3:O211),$M$3:$M$300,0),1),".00"),"")</f>
        <v/>
      </c>
      <c r="P211" s="48" t="str">
        <f t="shared" ca="1" si="439"/>
        <v/>
      </c>
      <c r="Q211" s="48">
        <f ca="1">IF(M211&gt;=1,0,MAX($Q$2:Q210)+1)</f>
        <v>188</v>
      </c>
      <c r="U211" s="48" t="str">
        <f ca="1">IFERROR(INDEX(PDC,MATCH(ROWS(U$3:U211),$V$3:$V$400,0),2),"")</f>
        <v>COSTI DI ETICHETTATURA</v>
      </c>
      <c r="V211" s="48">
        <f ca="1">IF(AND($T$1="VISUALIZZA TUTTI I CONTI",AA211&lt;&gt;""),MAX($V$2:V210)+1,IF(AND($U$2=2,AI211=$T$1),MAX($V$2:V210)+1,IF(AND($U$2=1,$T$1=AF211),MAX($V$2:V210)+1,0)))</f>
        <v>209</v>
      </c>
      <c r="AA211" s="48" t="str">
        <f t="shared" ca="1" si="440"/>
        <v>31.00</v>
      </c>
      <c r="AB211" s="48" t="str">
        <f ca="1">IFERROR(INDEX($A$3:$G$400,MATCH(ROWS(AB$3:AB211),$Q$3:$Q$400,0),1),"")</f>
        <v>31.11</v>
      </c>
      <c r="AC211" s="48" t="str">
        <f ca="1">IFERROR(INDEX($A$3:$G$400,MATCH(ROWS($AC$3:AC211),$Q$3:$Q$400,0),2),"")</f>
        <v>COSTI DI ETICHETTATURA</v>
      </c>
      <c r="AD211" s="48" t="str">
        <f ca="1">IFERROR(INDEX($A$3:$G$400,MATCH(ROWS(AD$3:AD211),$Q$3:$Q$400,0),3),"")</f>
        <v>E</v>
      </c>
      <c r="AE211" s="48" t="str">
        <f ca="1">IFERROR(INDEX($A$3:$G$400,MATCH(ROWS(AE$3:AE211),$Q$3:$Q$400,0),4),"")</f>
        <v>D</v>
      </c>
      <c r="AF211" s="48" t="str">
        <f ca="1">IFERROR(INDEX($A$3:$G$400,MATCH(ROWS(AF$3:AF211),$Q$3:$Q$400,0),5),"")</f>
        <v>COSTI D'ESERCIZIO</v>
      </c>
      <c r="AG211" s="48" t="str">
        <f ca="1">IFERROR(INDEX($A$3:$G$400,MATCH(ROWS(AG$3:AG211),$Q$3:$Q$400,0),6),"")</f>
        <v>SE DARE</v>
      </c>
      <c r="AH211" s="48" t="str">
        <f ca="1">IFERROR(INDEX($A$3:$G$400,MATCH(ROWS(AH$3:AH211),$Q$3:$Q$400,0),7),"")</f>
        <v>SE</v>
      </c>
      <c r="AI211" s="48" t="str">
        <f t="shared" ca="1" si="441"/>
        <v>COSTI PER SERVIZI</v>
      </c>
      <c r="AJ211" s="48" t="str">
        <f ca="1">IFERROR(INDEX($A$3:$H$400,MATCH(ROWS(AJ$3:AJ211),$Q$3:$Q$400,0),8),"")</f>
        <v>eb7</v>
      </c>
      <c r="AK211" s="48">
        <f t="shared" ca="1" si="417"/>
        <v>0</v>
      </c>
      <c r="AL211" s="48">
        <f t="shared" ca="1" si="473"/>
        <v>0</v>
      </c>
      <c r="AM211" s="48">
        <f t="shared" ca="1" si="377"/>
        <v>0</v>
      </c>
      <c r="AN211" s="48">
        <f t="shared" ca="1" si="378"/>
        <v>0</v>
      </c>
      <c r="AO211" s="48">
        <f t="shared" ca="1" si="379"/>
        <v>0</v>
      </c>
      <c r="AP211" s="48">
        <f t="shared" ca="1" si="379"/>
        <v>0</v>
      </c>
      <c r="AQ211" s="48" t="str">
        <f t="shared" ca="1" si="418"/>
        <v/>
      </c>
      <c r="AR211" s="48">
        <f t="shared" ca="1" si="419"/>
        <v>0</v>
      </c>
      <c r="AS211" s="48">
        <f t="shared" ca="1" si="420"/>
        <v>0</v>
      </c>
      <c r="AT211" s="48">
        <f t="shared" ca="1" si="442"/>
        <v>0</v>
      </c>
      <c r="AU211" s="48">
        <f t="shared" ca="1" si="443"/>
        <v>0</v>
      </c>
      <c r="AV211" s="48">
        <f ca="1">IF(OR(AT211&gt;0,AU211&gt;0),MAX($AV$2:AV210)+1,0)</f>
        <v>0</v>
      </c>
      <c r="AZ211" s="48" t="str">
        <f t="shared" ca="1" si="484"/>
        <v/>
      </c>
      <c r="BA211" s="48">
        <f t="shared" ca="1" si="480"/>
        <v>0</v>
      </c>
      <c r="BB211" s="48">
        <f t="shared" ca="1" si="481"/>
        <v>0</v>
      </c>
      <c r="BC211" s="48">
        <f t="shared" ca="1" si="482"/>
        <v>0</v>
      </c>
      <c r="BD211" s="48">
        <f t="shared" ca="1" si="383"/>
        <v>0</v>
      </c>
      <c r="BE211" s="48">
        <f t="shared" ca="1" si="384"/>
        <v>0</v>
      </c>
      <c r="BF211" s="48">
        <f t="shared" si="485"/>
        <v>11</v>
      </c>
      <c r="BG211" s="48">
        <f ca="1">IF(IF(AND(OR(INDEX(PDC,MATCH($AC211,DEN_PDC,0),6)="SP DARE",INDEX(PDC,MATCH($AC211,DEN_PDC,0),6)="SP DARE/AVERE"),SUMIFS(DARE,DEN_G,$AC211)&gt;=SUMIFS(AVERE,DEN_G,$AC211)),SUMIFS(DARE,DEN_G,$AC211)-SUMIFS(AVERE,DEN_G,$AC211),0)&gt;0,MAX($BG$2:BG210)+1,0)</f>
        <v>0</v>
      </c>
      <c r="BH211" s="48">
        <f ca="1">IF(IF(AND(OR(INDEX(PDC,MATCH($AC211,DEN_PDC,0),6)="SP AVERE",INDEX(PDC,MATCH($AC211,DEN_PDC,0),6)="SP DARE/AVERE"),SUMIFS(AVERE,DEN_G,$AC211)&gt;=SUMIFS(DARE,DEN_G,$AC211)),SUMIFS(AVERE,DEN_G,$AC211)-SUMIFS(DARE,DEN_G,$AC211),0)&gt;0,MAX(BH$2:BH210)+1,0)</f>
        <v>0</v>
      </c>
      <c r="BI211" s="48">
        <f ca="1">IF(IF(AND(OR(INDEX(PDC,MATCH($AC211,DEN_PDC,0),6)="SE DARE",INDEX(PDC,MATCH($AC211,DEN_PDC,0),6)="SE DARE/AVERE"),SUMIFS(DARE,DEN_G,$AC211)&gt;=SUMIFS(AVERE,DEN_G,$AC211)),SUMIFS(DARE,DEN_G,$AC211)-SUMIFS(AVERE,DEN_G,$AC211),0)&gt;0,MAX(BI$2:BI210)+1,0)</f>
        <v>0</v>
      </c>
      <c r="BJ211" s="48">
        <f ca="1">IF(IF(AND(OR(INDEX(PDC,MATCH($AC211,DEN_PDC,0),6)="SE AVERE",INDEX(PDC,MATCH($AC211,DEN_PDC,0),6)="SE DARE/AVERE"),SUMIFS(AVERE,DEN_G,$AC211)&gt;=SUMIFS(DARE,DEN_G,$AC211)),SUMIFS(AVERE,DEN_G,$AC211)-SUMIFS(DARE,DEN_G,$AC211),0)&gt;0,MAX(BJ$2:BJ210)+1,0)</f>
        <v>0</v>
      </c>
      <c r="BK211" s="48" t="str">
        <f ca="1">IF(AND(AND($DY$2=0,$DY$1=0),$I$1=2,ROW()&gt;$BG$1+2,ROW()&lt;=$BG$1+4),"………………..",IF(AND(OR($DY$2&gt;0,$DY$1&gt;0),$I$1=2,ROW()&gt;$BG$1+2,ROW()&lt;=$BG$1+4),"………………..",IFERROR(INDEX($AC$3:$AC$398,MATCH(ROWS(BK$3:BK211),BG$3:BG$398,0),1),"")))</f>
        <v/>
      </c>
      <c r="BL211" s="48">
        <f t="shared" ca="1" si="421"/>
        <v>0</v>
      </c>
      <c r="BM211" s="48" t="str">
        <f ca="1">IF(AND(OR($DY$2=0,$DY$1=0),$I$1=2,ROW()&gt;$BH$1+2,ROW()&lt;=$BH$1+4),"………………..",IF(AND(OR($DY$2&gt;0,$DY$1&gt;0),$I$1=2,ROW()&gt;$BH$1+2,ROW()&lt;=$BH$1+4),"………………..",IFERROR(INDEX($AC$3:$AC$400,MATCH(ROWS(BM$3:BM211),BH$3:BH$400,0),1),"")))</f>
        <v/>
      </c>
      <c r="BN211" s="48">
        <f t="shared" ca="1" si="422"/>
        <v>0</v>
      </c>
      <c r="BO211" s="48" t="str">
        <f ca="1">IF(AND(OR($DY$2=0,$DY$1=0),$I$1=2,ROW()&gt;$BI$1+2,ROW()&lt;=$BI$1+4),"………………..",IF(AND(OR($DY$2&gt;0,$DY$1&gt;0),$I$1=2,ROW()&gt;$BI$1+2,ROW()&lt;=$BI$1+4),"………………..",IFERROR(INDEX($AC$3:$AC$400,MATCH(ROWS(BO$3:BO211),BI$3:BI$400,0),1),"")))</f>
        <v/>
      </c>
      <c r="BP211" s="48">
        <f t="shared" ca="1" si="423"/>
        <v>0</v>
      </c>
      <c r="BQ211" s="48" t="str">
        <f ca="1">IF(AND(OR($DY$2=0,$DY$1=0),$I$1=2,ROW()&gt;$BJ$1+2,ROW()&lt;=$BJ$1+4),"………………..",IF(AND(OR($DY$2&gt;0,$DY$1&gt;0),$I$1=2,ROW()&gt;$BJ$1+2,ROW()&lt;=$BJ$1+4),"………………..",IFERROR(INDEX($AC$3:$AC$400,MATCH(ROWS(BQ$3:BQ211),BJ$3:BJ$400,0),1),"")))</f>
        <v/>
      </c>
      <c r="BR211" s="48">
        <f t="shared" ca="1" si="424"/>
        <v>0</v>
      </c>
      <c r="BS211" s="48">
        <f ca="1">IF(IF(AND(OR(INDEX(PDC,MATCH($AC211,DEN_PDC,0),4)="D",INDEX(PDC,MATCH($AC211,DEN_PDC,0),4)="D/A"),SUMIFS(DARE,DEN_G,$AC211)&gt;=SUMIFS(AVERE,DEN_G,$AC211)),SUMIFS(DARE,DEN_G,$AC211),IF(AND(OR(INDEX(PDC,MATCH($AC211,DEN_PDC,0),4)="A",INDEX(PDC,MATCH($AC211,DEN_PDC,0),4)="D/A"),SUMIFS(AVERE,DEN_G,$AC211)&gt;=SUMIFS(DARE,DEN_G,$AC211)),SUMIFS(AVERE,DEN_G,$AC211),))&gt;0,MAX($BS$2:BS210)+1,0)</f>
        <v>0</v>
      </c>
      <c r="BT211" s="48" t="str">
        <f ca="1">IF($CO$1=0,"",IF(AND($I$1=2,ROW()&gt;$BR$1,ROW()&lt;=$BS$1)," …………….",IF(AND($E$1=1,$BX$1=1,$I$1=2,ROW()=$BQ$1),"TOTALI",IFERROR(INDEX(PDC,MATCH(ROWS(BT$3:BT211),BS$3:BS608,0),2),""))))</f>
        <v/>
      </c>
      <c r="BU211" s="48">
        <f t="shared" ca="1" si="425"/>
        <v>0</v>
      </c>
      <c r="BV211" s="48">
        <f t="shared" ca="1" si="426"/>
        <v>0</v>
      </c>
      <c r="BW211" s="48">
        <f t="shared" ca="1" si="427"/>
        <v>0</v>
      </c>
      <c r="BX211" s="48">
        <f t="shared" ca="1" si="428"/>
        <v>0</v>
      </c>
      <c r="BY211" s="48">
        <f ca="1">IF(OR(BW211&gt;0,BX211&gt;0),MAX($BY$2:BY210)+1,0)</f>
        <v>0</v>
      </c>
      <c r="BZ211" s="48" t="str">
        <f ca="1">IFERROR(INDEX($BT$3:$BY$400,MATCH(ROWS(BZ$3:BZ211),$BY$3:$BY$400,0),1),"")</f>
        <v/>
      </c>
      <c r="CA211" s="48" t="str">
        <f ca="1">IFERROR(INDEX($BT$3:$BY$400,MATCH(ROWS(CA$3:CA211),$BY$3:$BY$400,0),4),"")</f>
        <v/>
      </c>
      <c r="CB211" s="48" t="str">
        <f ca="1">IFERROR(INDEX($BT$3:$BY$400,MATCH(ROWS(CB$3:CB211),$BY$3:$BY$400,0),5),"")</f>
        <v/>
      </c>
      <c r="CC211" s="48" t="str">
        <f t="shared" ca="1" si="429"/>
        <v/>
      </c>
      <c r="CD211" s="48">
        <f ca="1">IF(CE211&lt;&gt;0,MAX($CD$190:CD210)+1,0)</f>
        <v>0</v>
      </c>
      <c r="CE211" s="48">
        <f ca="1">IF(OR(CE212&gt;0,CE213&gt;0,CE214&gt;0,CE215&gt;0),"a",0)</f>
        <v>0</v>
      </c>
      <c r="CF211" s="48" t="s">
        <v>739</v>
      </c>
      <c r="CG211" s="242" t="s">
        <v>582</v>
      </c>
      <c r="CM211" s="242" t="str">
        <f t="shared" ca="1" si="444"/>
        <v/>
      </c>
      <c r="CN211" s="243">
        <f t="shared" ca="1" si="445"/>
        <v>0</v>
      </c>
      <c r="CO211" s="48" t="str">
        <f t="shared" ca="1" si="446"/>
        <v/>
      </c>
      <c r="CU211" s="48">
        <f ca="1">IF(SUMIFS(AVERE,DEN_G,AC211,AVERE,"&gt;"&amp;0)+SUMIFS(DARE,DEN_G,AC211,DARE,"&gt;"&amp;0)&gt;0,MAX($CU$2:CU210)+1,0)</f>
        <v>0</v>
      </c>
      <c r="CV211" s="48" t="str">
        <f ca="1">IF(IFERROR(INDEX(PDC,MATCH(ROWS($CV$3:CV211),$CU$3:$CU$400,0),2),"")="CONTO DI RISULTATO ECONOMICO","",IFERROR(INDEX(PDC,MATCH(ROWS($CV$3:CV211),$CU$3:$CU$400,0),2),""))</f>
        <v/>
      </c>
      <c r="CW211" s="48">
        <f ca="1">IFERROR(IF(CV211&lt;&gt;"",MAX($CW$2:CW210)+1,0),0)</f>
        <v>0</v>
      </c>
      <c r="CX211" s="48">
        <f ca="1">$FF$19</f>
        <v>17</v>
      </c>
      <c r="CY211" s="48" t="str">
        <f t="shared" ref="CY211:CY222" ca="1" si="494">IF(ISERROR(INDEX($CV$3:$CX$1302,MATCH(CX211,$CW$3:$CW$1302,0),1)),"MASTRO",INDEX($CV$3:$CX$1302,MATCH(CX211,$CW$3:$CW$1302,0),1))</f>
        <v>MASTRO</v>
      </c>
      <c r="DA211" s="48" t="str">
        <f>IF(CY210="MASTRO","Conto n.","")</f>
        <v>Conto n.</v>
      </c>
      <c r="DB211" s="48" t="str">
        <f ca="1">IF(CY211=0,"",INDEX(PDC,MATCH(DC211,DEN_PDC,0),1))</f>
        <v/>
      </c>
      <c r="DC211" s="48" t="str">
        <f ca="1">IF(OR(CY211=0,CY211="mastro"),"",CY211)</f>
        <v/>
      </c>
      <c r="DD211" s="48" t="str">
        <f ca="1">IF(AND($DA$2=TRUE,OR(INDEX(PDC,MATCH($DC211,DEN_PDC,0),4)="A",INDEX(PDC,MATCH($DC211,DEN_PDC,0),4)="D/A"),SUMIFS(AVERE,DEN_G,"="&amp;$DC211,DATA,"&lt;="&amp;FINE_AC,DATA,"&gt;="&amp;INIZIO_AC)&gt;SUMIFS(DARE,DEN_G,"="&amp;$DC211,DATA,"&lt;="&amp;FINE_AC,DATA,"&gt;="&amp;INIZIO_AC)),CONCATENATE("s ",FIXED(ABS(SUMIFS(AVERE,DEN_G,"="&amp;$DC211,DATA,"&lt;="&amp;FINE_AC,DATA,"&gt;="&amp;INIZIO_AC)-SUMIFS(DARE,DEN_G,"="&amp;$DC211,DATA,"&lt;="&amp;FINE_AC,DATA,"&gt;="&amp;INIZIO_AC)),2)),"")</f>
        <v/>
      </c>
      <c r="DE211" s="48" t="str">
        <f ca="1">IF(AND($DA$2=TRUE,OR(INDEX(PDC,MATCH($DC211,DEN_PDC,0),4)="D",INDEX(PDC,MATCH($DC211,DEN_PDC,0),4)="D/A"),SUMIFS(DARE,DEN_G,"="&amp;$DC211,DATA,"&lt;="&amp;FINE_AC,DATA,"&gt;="&amp;INIZIO_AC)&gt;SUMIFS(AVERE,DEN_G,"="&amp;$DC211,DATA,"&lt;="&amp;FINE_AC,DATA,"&gt;="&amp;INIZIO_AC)),CONCATENATE("s ",FIXED(ABS(SUMIFS(DARE,DEN_G,"="&amp;$DC211,DATA,"&lt;="&amp;FINE_AC,DATA,"&gt;="&amp;INIZIO_AC)-SUMIFS(AVERE,DEN_G,"="&amp;$DC211,DATA,"&lt;="&amp;FINE_AC,DATA,"&gt;="&amp;INIZIO_AC)),2)),"")</f>
        <v/>
      </c>
      <c r="DF211" s="48">
        <f ca="1">IF(AND(CX211=$DF$1,CX211&lt;&gt;""),0,IF(AND(DB211&lt;&gt;"",OR(DB210&lt;&gt;"",DB212&lt;&gt;"")),MAX($DF$2:DF210)+1,0))</f>
        <v>0</v>
      </c>
      <c r="DH211" s="244" t="s">
        <v>416</v>
      </c>
      <c r="DI211" s="48" t="s">
        <v>417</v>
      </c>
      <c r="DJ211" s="48" t="s">
        <v>312</v>
      </c>
      <c r="DK211" s="48" t="s">
        <v>298</v>
      </c>
      <c r="DL211" s="48" t="s">
        <v>5</v>
      </c>
      <c r="DM211" s="48" t="s">
        <v>299</v>
      </c>
      <c r="DN211" s="48">
        <f ca="1">IF(DI211&lt;&gt;"",MAX($DN$2:DN210)+1,0)</f>
        <v>162</v>
      </c>
      <c r="DO211" s="48" t="str">
        <f t="shared" ca="1" si="493"/>
        <v>ppd</v>
      </c>
      <c r="DQ211" s="227" t="s">
        <v>158</v>
      </c>
      <c r="DR211" s="48" t="s">
        <v>154</v>
      </c>
      <c r="DT211" s="48" t="s">
        <v>271</v>
      </c>
      <c r="DU211" s="48" t="s">
        <v>274</v>
      </c>
      <c r="DW211" s="48">
        <f ca="1">IF(DR211&lt;&gt;"",MAX($DW$2:DW210)+1,0)</f>
        <v>124</v>
      </c>
      <c r="DY211" s="48" t="str">
        <f t="shared" ca="1" si="430"/>
        <v/>
      </c>
      <c r="EL211" s="48">
        <f t="shared" ca="1" si="431"/>
        <v>0</v>
      </c>
      <c r="EM211" s="48">
        <f ca="1">IF(EL211&gt;=0,0,MAX($EM$2:EM210)+1)</f>
        <v>0</v>
      </c>
      <c r="EN211" s="48" t="str">
        <f t="shared" ca="1" si="459"/>
        <v/>
      </c>
      <c r="EO211" s="48" t="str">
        <f ca="1">IFERROR(INDEX($EM$3:$EN$400,MATCH(ROWS($EO$3:EO211),$EM$3:$EM$400,0),2),"")</f>
        <v/>
      </c>
      <c r="EP211" s="48">
        <f>ROW()</f>
        <v>211</v>
      </c>
      <c r="EQ211" s="48">
        <f t="shared" ca="1" si="432"/>
        <v>0</v>
      </c>
      <c r="ER211" s="48">
        <f ca="1">IF(ISNA(EQ211)=TRUE,MAX($ER$2:ER210)+1,0)</f>
        <v>0</v>
      </c>
      <c r="ES211" s="48" t="str">
        <f t="shared" ca="1" si="460"/>
        <v/>
      </c>
      <c r="ET211" s="48" t="str">
        <f ca="1">IFERROR(INDEX($ER$3:$ES$400,MATCH(ROWS($ET$3:ET211),$ER$3:$ER$400,0),2),"")</f>
        <v/>
      </c>
      <c r="EV211" s="48">
        <f ca="1">IFERROR(INDEX(LIBRO_GIORNALE!$O$11:$P$408,MATCH(ROWS($EV$2:EV210),LIBRO_GIORNALE!$P$11:$P$408,0),1),0)</f>
        <v>0</v>
      </c>
      <c r="EW211" s="48" t="str">
        <f t="shared" ca="1" si="461"/>
        <v>0</v>
      </c>
      <c r="EX211" s="48">
        <f t="shared" ca="1" si="462"/>
        <v>0</v>
      </c>
      <c r="EY211" s="48">
        <f ca="1">IF(EX211&gt;0,MAX($EY$2:EY210)+1,0)</f>
        <v>0</v>
      </c>
      <c r="EZ211" s="48">
        <f ca="1">IFERROR(INDEX($EX$3:$EX$400,MATCH(ROWS($EZ$3:EZ211),$EY$3:$EY$400,0),1),0)</f>
        <v>0</v>
      </c>
      <c r="FA211" s="48">
        <f ca="1">IF(EZ211&gt;0,0,MAX($FA$2:FA210)+1)</f>
        <v>209</v>
      </c>
      <c r="FB211" s="48">
        <f t="shared" ca="1" si="463"/>
        <v>0</v>
      </c>
      <c r="FC211" s="48">
        <f t="shared" ca="1" si="464"/>
        <v>209</v>
      </c>
      <c r="FD211" s="48">
        <f t="shared" ca="1" si="465"/>
        <v>209</v>
      </c>
      <c r="FE211" s="48">
        <f ca="1">IF(FD211=0,0,MAX($FE$2:FE210)+1)</f>
        <v>209</v>
      </c>
      <c r="FF211" s="48">
        <f ca="1">IFERROR(INDEX($FD$3:$FE$400,MATCH(ROWS($FF$3:FF211),$FE$3:$FE$400,0),1),"")</f>
        <v>209</v>
      </c>
      <c r="FG211" s="48">
        <f t="shared" ca="1" si="380"/>
        <v>0</v>
      </c>
      <c r="FH211" s="48">
        <f t="shared" ca="1" si="466"/>
        <v>0</v>
      </c>
      <c r="FI211" s="48">
        <f ca="1">IF(FH211&lt;&gt;0,MAX($FI$2:FI210)+1,0)</f>
        <v>0</v>
      </c>
      <c r="FJ211" s="48" t="str">
        <f ca="1">IFERROR(INDEX($FH$3:$FI$400,MATCH(ROWS($FJ$3:FJ211),$FI$3:$FI$400,0),1),"")</f>
        <v/>
      </c>
      <c r="FK211" s="48">
        <f ca="1">IF(ABS(SUMIFS(DARE,DEN_G,"="&amp;FJ211,DATA,"&lt;="&amp;FINE_AC,DATA,"&gt;="&amp;INIZIO_A_PC)-SUMIFS(AVERE,DEN_G,"="&amp;FJ211,DATA,"&lt;="&amp;FINE_AC,DATA,"&gt;="&amp;INIZIO_A_PC))&gt;0,MAX($FK$2:FK210)+1,0)</f>
        <v>0</v>
      </c>
      <c r="FL211" s="48" t="str">
        <f ca="1">IF(AND(ROW()-2&lt;&gt;1,ROW()-2&lt;=$FK$1),CONCATENATE(" - ",IFERROR(INDEX($FJ$3:$FK$400,MATCH(ROWS($FL$3:FL211),$FK$3:$FK$400,0),1),"")),IFERROR(INDEX($FJ$3:$FK$400,MATCH(ROWS($FL$3:FL211),$FK$3:$FK$400,0),1),""))</f>
        <v/>
      </c>
      <c r="FM211" s="48">
        <f ca="1">IF(OR(B211="IVA ns/credito",B211="IVA NS/DEBITO",B211="IVA C/ACCONTO",B211="IMPOSTE C/ACCONTO",B211="CREDITI PER RITENUTE SUBITE",B211="CREDITI D'IMPOSTA"),MAX($FM$2:FM210)+1,0)</f>
        <v>0</v>
      </c>
      <c r="FN211" s="48" t="str">
        <f t="shared" ca="1" si="467"/>
        <v/>
      </c>
      <c r="FO211" s="48" t="str">
        <f ca="1">IFERROR(INDEX($FM$3:$FN$400,MATCH(ROWS($FO$3:FO211),$FM$3:$FM$400,0),2),"")</f>
        <v/>
      </c>
      <c r="FP211" s="48">
        <f ca="1">IF(ABS(SUMIFS(DARE,DEN_G,"="&amp;FO211,DATA,"&lt;="&amp;FINE_AC,DATA,"&gt;="&amp;INIZIO_A_PC)-SUMIFS(AVERE,DEN_G,"="&amp;FO211,DATA,"&lt;="&amp;FINE_AC,DATA,"&gt;="&amp;INIZIO_A_PC))&gt;0,MAX($FP$2:FP210)+1,0)</f>
        <v>0</v>
      </c>
      <c r="FQ211" s="48" t="str">
        <f ca="1">IF(AND(ROW()-2&lt;&gt;1,ROW()-2&lt;=$FP$1),CONCATENATE(" - ",IFERROR(INDEX($FO$3:$FP$400,MATCH(ROWS($FQ$3:FQ211),$FP$3:$FP$400,0),1),"")),IFERROR(INDEX($FO$3:$FP$400,MATCH(ROWS($FQ$3:FQ211),$FP$3:$FP$400,0),1),""))</f>
        <v/>
      </c>
    </row>
    <row r="212" spans="1:173" x14ac:dyDescent="0.3">
      <c r="A212" s="48" t="str">
        <f ca="1">IFERROR(IF($A$1=2,INDEX($DH$3:$DN$401,MATCH(ROWS(A$3:A212),$DN$3:$DN$401,0),COLUMN()),IF($A$1=1,INDEX($DQ$3:$DW$401,MATCH(ROWS(A$3:A212),$DW$3:$DW$401,0),COLUMN()),"")),"")</f>
        <v>21.10</v>
      </c>
      <c r="B212" s="48" t="str">
        <f ca="1">IFERROR(IF($A$1=2,INDEX($DH$3:$DN$401,MATCH(ROWS(B$3:B212),$DN$3:$DN$401,0),COLUMN()),IF($A$1=1,INDEX($DQ$3:$DW$400,MATCH(ROWS(B$3:B212),$DW$3:$DW$401,0),COLUMN()),"")),"")</f>
        <v>PRODOTTI IN LAVORAZIONE C/RIMANENZE FINALI</v>
      </c>
      <c r="C212" s="48" t="str">
        <f ca="1">IFERROR(IF($A$1=2,INDEX($DH$3:$DN$401,MATCH(ROWS(C$3:C212),$DN$3:$DN$401,0),COLUMN()),IF($A$1=1,INDEX($DQ$3:$DW$401,MATCH(ROWS(C$3:C212),$DW$3:$DW$401,0),COLUMN()),"")),"")</f>
        <v>E</v>
      </c>
      <c r="D212" s="48" t="str">
        <f ca="1">IFERROR(IF($A$1=2,INDEX($DH$3:$DN$401,MATCH(ROWS(D$3:D212),$DN$3:$DN$401,0),COLUMN()),IF($A$1=1,INDEX($DQ$3:$DW$401,MATCH(ROWS(D$3:D212),$DW$3:$DW$401,0),COLUMN()),"")),"")</f>
        <v>A</v>
      </c>
      <c r="E212" s="48" t="str">
        <f ca="1">IFERROR(IF($A$1=2,INDEX($DH$3:$DN$401,MATCH(ROWS(E$3:E212),$DN$3:$DN$401,0),COLUMN()),IF($A$1=1,INDEX($DQ$3:$DW$401,MATCH(ROWS(E$3:E212),$DW$3:$DW$401,0),COLUMN()),"")),"")</f>
        <v>RETTIFICHE COSTI D'ESERCIZIO</v>
      </c>
      <c r="F212" s="48" t="str">
        <f ca="1">IFERROR(IF($A$1=2,INDEX($DH$3:$DN$401,MATCH(ROWS(F$3:F212),$DN$3:$DN$401,0),COLUMN()),IF($A$1=1,INDEX($DQ$3:$DX$401,MATCH(ROWS(F$3:F212),$DW$3:$DW$401,0),COLUMN()),"")),"")</f>
        <v>SE AVERE</v>
      </c>
      <c r="G212" s="48" t="str">
        <f t="shared" ca="1" si="433"/>
        <v>SE</v>
      </c>
      <c r="H212" s="48" t="str">
        <f ca="1">IFERROR(IF($A$1=2,INDEX($DH$3:$DO$400,MATCH(ROWS(H$3:H212),$DN$3:$DN$400,0),COLUMN()),IF($A$1=1,INDEX($DQ$3:$DX$400,MATCH(ROWS(H$3:H212),$DW$3:$DW$400,0),COLUMN()),"")),"")</f>
        <v>ea2</v>
      </c>
      <c r="M212" s="48">
        <f ca="1">IFERROR(IF(IF(MID($A212,3,3)=".00",MID(A212,1,2),"")&lt;&gt;"",MAX($M$2:M211)+1,0),"")</f>
        <v>0</v>
      </c>
      <c r="N212" s="48" t="str">
        <f t="shared" ca="1" si="438"/>
        <v/>
      </c>
      <c r="O212" s="48" t="str">
        <f ca="1">IF(IFERROR(INDEX($N$3:$O$300,MATCH(ROWS($O$3:O212),$M$3:$M$300,0),1),"")&lt;&gt;"",CONCATENATE(INDEX($N$3:$O$300,MATCH(ROWS($O$3:O212),$M$3:$M$300,0),1),".00"),"")</f>
        <v/>
      </c>
      <c r="P212" s="48" t="str">
        <f t="shared" ca="1" si="439"/>
        <v/>
      </c>
      <c r="Q212" s="48">
        <f ca="1">IF(M212&gt;=1,0,MAX($Q$2:Q211)+1)</f>
        <v>189</v>
      </c>
      <c r="U212" s="48" t="str">
        <f ca="1">IFERROR(INDEX(PDC,MATCH(ROWS(U$3:U212),$V$3:$V$400,0),2),"")</f>
        <v>LAVORAZIONI PRESSO TERZI</v>
      </c>
      <c r="V212" s="48">
        <f ca="1">IF(AND($T$1="VISUALIZZA TUTTI I CONTI",AA212&lt;&gt;""),MAX($V$2:V211)+1,IF(AND($U$2=2,AI212=$T$1),MAX($V$2:V211)+1,IF(AND($U$2=1,$T$1=AF212),MAX($V$2:V211)+1,0)))</f>
        <v>210</v>
      </c>
      <c r="AA212" s="48" t="str">
        <f t="shared" ca="1" si="440"/>
        <v>31.00</v>
      </c>
      <c r="AB212" s="48" t="str">
        <f ca="1">IFERROR(INDEX($A$3:$G$400,MATCH(ROWS(AB$3:AB212),$Q$3:$Q$400,0),1),"")</f>
        <v>31.12</v>
      </c>
      <c r="AC212" s="48" t="str">
        <f ca="1">IFERROR(INDEX($A$3:$G$400,MATCH(ROWS($AC$3:AC212),$Q$3:$Q$400,0),2),"")</f>
        <v>LAVORAZIONI PRESSO TERZI</v>
      </c>
      <c r="AD212" s="48" t="str">
        <f ca="1">IFERROR(INDEX($A$3:$G$400,MATCH(ROWS(AD$3:AD212),$Q$3:$Q$400,0),3),"")</f>
        <v>E</v>
      </c>
      <c r="AE212" s="48" t="str">
        <f ca="1">IFERROR(INDEX($A$3:$G$400,MATCH(ROWS(AE$3:AE212),$Q$3:$Q$400,0),4),"")</f>
        <v>D</v>
      </c>
      <c r="AF212" s="48" t="str">
        <f ca="1">IFERROR(INDEX($A$3:$G$400,MATCH(ROWS(AF$3:AF212),$Q$3:$Q$400,0),5),"")</f>
        <v>COSTI D'ESERCIZIO</v>
      </c>
      <c r="AG212" s="48" t="str">
        <f ca="1">IFERROR(INDEX($A$3:$G$400,MATCH(ROWS(AG$3:AG212),$Q$3:$Q$400,0),6),"")</f>
        <v>SE DARE</v>
      </c>
      <c r="AH212" s="48" t="str">
        <f ca="1">IFERROR(INDEX($A$3:$G$400,MATCH(ROWS(AH$3:AH212),$Q$3:$Q$400,0),7),"")</f>
        <v>SE</v>
      </c>
      <c r="AI212" s="48" t="str">
        <f t="shared" ca="1" si="441"/>
        <v>COSTI PER SERVIZI</v>
      </c>
      <c r="AJ212" s="48" t="str">
        <f ca="1">IFERROR(INDEX($A$3:$H$400,MATCH(ROWS(AJ$3:AJ212),$Q$3:$Q$400,0),8),"")</f>
        <v>eb7</v>
      </c>
      <c r="AK212" s="48">
        <f t="shared" ca="1" si="417"/>
        <v>0</v>
      </c>
      <c r="AL212" s="48">
        <f t="shared" ca="1" si="473"/>
        <v>0</v>
      </c>
      <c r="AM212" s="48">
        <f t="shared" ca="1" si="377"/>
        <v>0</v>
      </c>
      <c r="AN212" s="48">
        <f t="shared" ca="1" si="378"/>
        <v>0</v>
      </c>
      <c r="AO212" s="48">
        <f t="shared" ca="1" si="379"/>
        <v>0</v>
      </c>
      <c r="AP212" s="48">
        <f t="shared" ca="1" si="379"/>
        <v>0</v>
      </c>
      <c r="AQ212" s="48" t="str">
        <f t="shared" ca="1" si="418"/>
        <v/>
      </c>
      <c r="AR212" s="48">
        <f t="shared" ca="1" si="419"/>
        <v>0</v>
      </c>
      <c r="AS212" s="48">
        <f t="shared" ca="1" si="420"/>
        <v>0</v>
      </c>
      <c r="AT212" s="48">
        <f t="shared" ca="1" si="442"/>
        <v>0</v>
      </c>
      <c r="AU212" s="48">
        <f t="shared" ca="1" si="443"/>
        <v>0</v>
      </c>
      <c r="AV212" s="48">
        <f ca="1">IF(OR(AT212&gt;0,AU212&gt;0),MAX($AV$2:AV211)+1,0)</f>
        <v>0</v>
      </c>
      <c r="AZ212" s="48" t="str">
        <f t="shared" ca="1" si="484"/>
        <v/>
      </c>
      <c r="BA212" s="48">
        <f t="shared" ca="1" si="480"/>
        <v>0</v>
      </c>
      <c r="BB212" s="48">
        <f t="shared" ca="1" si="481"/>
        <v>0</v>
      </c>
      <c r="BC212" s="48">
        <f t="shared" ca="1" si="482"/>
        <v>0</v>
      </c>
      <c r="BD212" s="48">
        <f t="shared" ca="1" si="383"/>
        <v>0</v>
      </c>
      <c r="BE212" s="48">
        <f t="shared" ca="1" si="384"/>
        <v>0</v>
      </c>
      <c r="BF212" s="48">
        <f t="shared" si="485"/>
        <v>12</v>
      </c>
      <c r="BG212" s="48">
        <f ca="1">IF(IF(AND(OR(INDEX(PDC,MATCH($AC212,DEN_PDC,0),6)="SP DARE",INDEX(PDC,MATCH($AC212,DEN_PDC,0),6)="SP DARE/AVERE"),SUMIFS(DARE,DEN_G,$AC212)&gt;=SUMIFS(AVERE,DEN_G,$AC212)),SUMIFS(DARE,DEN_G,$AC212)-SUMIFS(AVERE,DEN_G,$AC212),0)&gt;0,MAX($BG$2:BG211)+1,0)</f>
        <v>0</v>
      </c>
      <c r="BH212" s="48">
        <f ca="1">IF(IF(AND(OR(INDEX(PDC,MATCH($AC212,DEN_PDC,0),6)="SP AVERE",INDEX(PDC,MATCH($AC212,DEN_PDC,0),6)="SP DARE/AVERE"),SUMIFS(AVERE,DEN_G,$AC212)&gt;=SUMIFS(DARE,DEN_G,$AC212)),SUMIFS(AVERE,DEN_G,$AC212)-SUMIFS(DARE,DEN_G,$AC212),0)&gt;0,MAX(BH$2:BH211)+1,0)</f>
        <v>0</v>
      </c>
      <c r="BI212" s="48">
        <f ca="1">IF(IF(AND(OR(INDEX(PDC,MATCH($AC212,DEN_PDC,0),6)="SE DARE",INDEX(PDC,MATCH($AC212,DEN_PDC,0),6)="SE DARE/AVERE"),SUMIFS(DARE,DEN_G,$AC212)&gt;=SUMIFS(AVERE,DEN_G,$AC212)),SUMIFS(DARE,DEN_G,$AC212)-SUMIFS(AVERE,DEN_G,$AC212),0)&gt;0,MAX(BI$2:BI211)+1,0)</f>
        <v>0</v>
      </c>
      <c r="BJ212" s="48">
        <f ca="1">IF(IF(AND(OR(INDEX(PDC,MATCH($AC212,DEN_PDC,0),6)="SE AVERE",INDEX(PDC,MATCH($AC212,DEN_PDC,0),6)="SE DARE/AVERE"),SUMIFS(AVERE,DEN_G,$AC212)&gt;=SUMIFS(DARE,DEN_G,$AC212)),SUMIFS(AVERE,DEN_G,$AC212)-SUMIFS(DARE,DEN_G,$AC212),0)&gt;0,MAX(BJ$2:BJ211)+1,0)</f>
        <v>0</v>
      </c>
      <c r="BK212" s="48" t="str">
        <f ca="1">IF(AND(AND($DY$2=0,$DY$1=0),$I$1=2,ROW()&gt;$BG$1+2,ROW()&lt;=$BG$1+4),"………………..",IF(AND(OR($DY$2&gt;0,$DY$1&gt;0),$I$1=2,ROW()&gt;$BG$1+2,ROW()&lt;=$BG$1+4),"………………..",IFERROR(INDEX($AC$3:$AC$398,MATCH(ROWS(BK$3:BK212),BG$3:BG$398,0),1),"")))</f>
        <v/>
      </c>
      <c r="BL212" s="48">
        <f t="shared" ca="1" si="421"/>
        <v>0</v>
      </c>
      <c r="BM212" s="48" t="str">
        <f ca="1">IF(AND(OR($DY$2=0,$DY$1=0),$I$1=2,ROW()&gt;$BH$1+2,ROW()&lt;=$BH$1+4),"………………..",IF(AND(OR($DY$2&gt;0,$DY$1&gt;0),$I$1=2,ROW()&gt;$BH$1+2,ROW()&lt;=$BH$1+4),"………………..",IFERROR(INDEX($AC$3:$AC$400,MATCH(ROWS(BM$3:BM212),BH$3:BH$400,0),1),"")))</f>
        <v/>
      </c>
      <c r="BN212" s="48">
        <f t="shared" ca="1" si="422"/>
        <v>0</v>
      </c>
      <c r="BO212" s="48" t="str">
        <f ca="1">IF(AND(OR($DY$2=0,$DY$1=0),$I$1=2,ROW()&gt;$BI$1+2,ROW()&lt;=$BI$1+4),"………………..",IF(AND(OR($DY$2&gt;0,$DY$1&gt;0),$I$1=2,ROW()&gt;$BI$1+2,ROW()&lt;=$BI$1+4),"………………..",IFERROR(INDEX($AC$3:$AC$400,MATCH(ROWS(BO$3:BO212),BI$3:BI$400,0),1),"")))</f>
        <v/>
      </c>
      <c r="BP212" s="48">
        <f t="shared" ca="1" si="423"/>
        <v>0</v>
      </c>
      <c r="BQ212" s="48" t="str">
        <f ca="1">IF(AND(OR($DY$2=0,$DY$1=0),$I$1=2,ROW()&gt;$BJ$1+2,ROW()&lt;=$BJ$1+4),"………………..",IF(AND(OR($DY$2&gt;0,$DY$1&gt;0),$I$1=2,ROW()&gt;$BJ$1+2,ROW()&lt;=$BJ$1+4),"………………..",IFERROR(INDEX($AC$3:$AC$400,MATCH(ROWS(BQ$3:BQ212),BJ$3:BJ$400,0),1),"")))</f>
        <v/>
      </c>
      <c r="BR212" s="48">
        <f t="shared" ca="1" si="424"/>
        <v>0</v>
      </c>
      <c r="BS212" s="48">
        <f ca="1">IF(IF(AND(OR(INDEX(PDC,MATCH($AC212,DEN_PDC,0),4)="D",INDEX(PDC,MATCH($AC212,DEN_PDC,0),4)="D/A"),SUMIFS(DARE,DEN_G,$AC212)&gt;=SUMIFS(AVERE,DEN_G,$AC212)),SUMIFS(DARE,DEN_G,$AC212),IF(AND(OR(INDEX(PDC,MATCH($AC212,DEN_PDC,0),4)="A",INDEX(PDC,MATCH($AC212,DEN_PDC,0),4)="D/A"),SUMIFS(AVERE,DEN_G,$AC212)&gt;=SUMIFS(DARE,DEN_G,$AC212)),SUMIFS(AVERE,DEN_G,$AC212),))&gt;0,MAX($BS$2:BS211)+1,0)</f>
        <v>0</v>
      </c>
      <c r="BT212" s="48" t="str">
        <f ca="1">IF($CO$1=0,"",IF(AND($I$1=2,ROW()&gt;$BR$1,ROW()&lt;=$BS$1)," …………….",IF(AND($E$1=1,$BX$1=1,$I$1=2,ROW()=$BQ$1),"TOTALI",IFERROR(INDEX(PDC,MATCH(ROWS(BT$3:BT212),BS$3:BS609,0),2),""))))</f>
        <v/>
      </c>
      <c r="BU212" s="48">
        <f t="shared" ca="1" si="425"/>
        <v>0</v>
      </c>
      <c r="BV212" s="48">
        <f t="shared" ca="1" si="426"/>
        <v>0</v>
      </c>
      <c r="BW212" s="48">
        <f t="shared" ca="1" si="427"/>
        <v>0</v>
      </c>
      <c r="BX212" s="48">
        <f t="shared" ca="1" si="428"/>
        <v>0</v>
      </c>
      <c r="BY212" s="48">
        <f ca="1">IF(OR(BW212&gt;0,BX212&gt;0),MAX($BY$2:BY211)+1,0)</f>
        <v>0</v>
      </c>
      <c r="BZ212" s="48" t="str">
        <f ca="1">IFERROR(INDEX($BT$3:$BY$400,MATCH(ROWS(BZ$3:BZ212),$BY$3:$BY$400,0),1),"")</f>
        <v/>
      </c>
      <c r="CA212" s="48" t="str">
        <f ca="1">IFERROR(INDEX($BT$3:$BY$400,MATCH(ROWS(CA$3:CA212),$BY$3:$BY$400,0),4),"")</f>
        <v/>
      </c>
      <c r="CB212" s="48" t="str">
        <f ca="1">IFERROR(INDEX($BT$3:$BY$400,MATCH(ROWS(CB$3:CB212),$BY$3:$BY$400,0),5),"")</f>
        <v/>
      </c>
      <c r="CC212" s="48" t="str">
        <f t="shared" ca="1" si="429"/>
        <v/>
      </c>
      <c r="CD212" s="48">
        <f ca="1">IF(CE212&lt;&gt;0,MAX($CD$190:CD211)+1,0)</f>
        <v>0</v>
      </c>
      <c r="CE212" s="48">
        <f ca="1">IF(ROUND(SUMIFS(COPIA!$CA$3:$CA$400,COPIA!$CC$3:$CC$400,CF212)-SUMIFS(COPIA!$CB$3:$CB$400,COPIA!$CC$3:$CC$400,CF212),0)&lt;0,0,ROUND(SUMIFS(COPIA!$CA$3:$CA$400,COPIA!$CC$3:$CC$400,CF212)-SUMIFS(COPIA!$CB$3:$CB$400,COPIA!$CC$3:$CC$400,CF212),0))</f>
        <v>0</v>
      </c>
      <c r="CF212" s="48" t="s">
        <v>716</v>
      </c>
      <c r="CG212" s="242" t="str">
        <f ca="1">IF($BF$9=2,"____a) ammortamento delle immobilizzazioni immateriali, materiali e altre svalutazioni ","____a) ammortamento delle immobilizzazioni immateriali")</f>
        <v xml:space="preserve">____a) ammortamento delle immobilizzazioni immateriali, materiali e altre svalutazioni </v>
      </c>
      <c r="CH212" s="48">
        <f t="shared" ref="CH212:CH219" ca="1" si="495">CE212</f>
        <v>0</v>
      </c>
      <c r="CM212" s="242" t="str">
        <f t="shared" ca="1" si="444"/>
        <v/>
      </c>
      <c r="CN212" s="243">
        <f t="shared" ca="1" si="445"/>
        <v>0</v>
      </c>
      <c r="CO212" s="48" t="str">
        <f t="shared" ca="1" si="446"/>
        <v/>
      </c>
      <c r="CU212" s="48">
        <f ca="1">IF(SUMIFS(AVERE,DEN_G,AC212,AVERE,"&gt;"&amp;0)+SUMIFS(DARE,DEN_G,AC212,DARE,"&gt;"&amp;0)&gt;0,MAX($CU$2:CU211)+1,0)</f>
        <v>0</v>
      </c>
      <c r="CV212" s="48" t="str">
        <f ca="1">IF(IFERROR(INDEX(PDC,MATCH(ROWS($CV$3:CV212),$CU$3:$CU$400,0),2),"")="CONTO DI RISULTATO ECONOMICO","",IFERROR(INDEX(PDC,MATCH(ROWS($CV$3:CV212),$CU$3:$CU$400,0),2),""))</f>
        <v/>
      </c>
      <c r="CW212" s="48">
        <f ca="1">IFERROR(IF(CV212&lt;&gt;"",MAX($CW$2:CW211)+1,0),0)</f>
        <v>0</v>
      </c>
      <c r="CX212" s="48">
        <f t="shared" ref="CX212:CX222" ca="1" si="496">$FF$19</f>
        <v>17</v>
      </c>
      <c r="CY212" s="48" t="str">
        <f t="shared" ca="1" si="494"/>
        <v>MASTRO</v>
      </c>
      <c r="DA212" s="48" t="str">
        <f ca="1">IF(DB211="","","Num. riga")</f>
        <v/>
      </c>
      <c r="DB212" s="48" t="str">
        <f t="shared" ref="DB212" ca="1" si="497">IF(DB211="","","Data")</f>
        <v/>
      </c>
      <c r="DC212" s="48" t="str">
        <f ca="1">IF(DB211="","","Operazioni")</f>
        <v/>
      </c>
      <c r="DD212" s="48" t="str">
        <f ca="1">IF(DB211="","","Dare        ")</f>
        <v/>
      </c>
      <c r="DE212" s="48" t="str">
        <f ca="1">IF(DB211="","","Avere        ")</f>
        <v/>
      </c>
      <c r="DF212" s="48">
        <f ca="1">IF(AND(CX212=$DF$1,CX212&lt;&gt;""),0,IF(AND(DB212&lt;&gt;"",OR(DB211&lt;&gt;"",DB213&lt;&gt;"")),MAX($DF$2:DF211)+1,0))</f>
        <v>0</v>
      </c>
      <c r="DH212" s="244" t="s">
        <v>418</v>
      </c>
      <c r="DI212" s="48" t="s">
        <v>419</v>
      </c>
      <c r="DJ212" s="48" t="s">
        <v>312</v>
      </c>
      <c r="DK212" s="48" t="s">
        <v>298</v>
      </c>
      <c r="DL212" s="48" t="s">
        <v>5</v>
      </c>
      <c r="DM212" s="48" t="s">
        <v>299</v>
      </c>
      <c r="DN212" s="48">
        <f ca="1">IF(DI212&lt;&gt;"",MAX($DN$2:DN211)+1,0)</f>
        <v>163</v>
      </c>
      <c r="DO212" s="48" t="str">
        <f t="shared" ca="1" si="493"/>
        <v>ppd</v>
      </c>
      <c r="DQ212" s="227" t="s">
        <v>159</v>
      </c>
      <c r="DR212" s="48" t="s">
        <v>155</v>
      </c>
      <c r="DT212" s="48" t="s">
        <v>271</v>
      </c>
      <c r="DU212" s="48" t="s">
        <v>274</v>
      </c>
      <c r="DW212" s="48">
        <f ca="1">IF(DR212&lt;&gt;"",MAX($DW$2:DW211)+1,0)</f>
        <v>125</v>
      </c>
      <c r="DY212" s="48" t="str">
        <f t="shared" ca="1" si="430"/>
        <v/>
      </c>
      <c r="EL212" s="48">
        <f t="shared" ca="1" si="431"/>
        <v>0</v>
      </c>
      <c r="EM212" s="48">
        <f ca="1">IF(EL212&gt;=0,0,MAX($EM$2:EM211)+1)</f>
        <v>0</v>
      </c>
      <c r="EN212" s="48" t="str">
        <f t="shared" ca="1" si="459"/>
        <v/>
      </c>
      <c r="EO212" s="48" t="str">
        <f ca="1">IFERROR(INDEX($EM$3:$EN$400,MATCH(ROWS($EO$3:EO212),$EM$3:$EM$400,0),2),"")</f>
        <v/>
      </c>
      <c r="EP212" s="48">
        <f>ROW()</f>
        <v>212</v>
      </c>
      <c r="EQ212" s="48">
        <f t="shared" ca="1" si="432"/>
        <v>0</v>
      </c>
      <c r="ER212" s="48">
        <f ca="1">IF(ISNA(EQ212)=TRUE,MAX($ER$2:ER211)+1,0)</f>
        <v>0</v>
      </c>
      <c r="ES212" s="48" t="str">
        <f t="shared" ca="1" si="460"/>
        <v/>
      </c>
      <c r="ET212" s="48" t="str">
        <f ca="1">IFERROR(INDEX($ER$3:$ES$400,MATCH(ROWS($ET$3:ET212),$ER$3:$ER$400,0),2),"")</f>
        <v/>
      </c>
      <c r="EV212" s="48">
        <f ca="1">IFERROR(INDEX(LIBRO_GIORNALE!$O$11:$P$408,MATCH(ROWS($EV$2:EV211),LIBRO_GIORNALE!$P$11:$P$408,0),1),0)</f>
        <v>0</v>
      </c>
      <c r="EW212" s="48" t="str">
        <f t="shared" ca="1" si="461"/>
        <v>0</v>
      </c>
      <c r="EX212" s="48">
        <f t="shared" ca="1" si="462"/>
        <v>0</v>
      </c>
      <c r="EY212" s="48">
        <f ca="1">IF(EX212&gt;0,MAX($EY$2:EY211)+1,0)</f>
        <v>0</v>
      </c>
      <c r="EZ212" s="48">
        <f ca="1">IFERROR(INDEX($EX$3:$EX$400,MATCH(ROWS($EZ$3:EZ212),$EY$3:$EY$400,0),1),0)</f>
        <v>0</v>
      </c>
      <c r="FA212" s="48">
        <f ca="1">IF(EZ212&gt;0,0,MAX($FA$2:FA211)+1)</f>
        <v>210</v>
      </c>
      <c r="FB212" s="48">
        <f t="shared" ca="1" si="463"/>
        <v>0</v>
      </c>
      <c r="FC212" s="48">
        <f t="shared" ca="1" si="464"/>
        <v>210</v>
      </c>
      <c r="FD212" s="48">
        <f t="shared" ca="1" si="465"/>
        <v>210</v>
      </c>
      <c r="FE212" s="48">
        <f ca="1">IF(FD212=0,0,MAX($FE$2:FE211)+1)</f>
        <v>210</v>
      </c>
      <c r="FF212" s="48">
        <f ca="1">IFERROR(INDEX($FD$3:$FE$400,MATCH(ROWS($FF$3:FF212),$FE$3:$FE$400,0),1),"")</f>
        <v>210</v>
      </c>
      <c r="FG212" s="48">
        <f t="shared" ca="1" si="380"/>
        <v>0</v>
      </c>
      <c r="FH212" s="48">
        <f t="shared" ca="1" si="466"/>
        <v>0</v>
      </c>
      <c r="FI212" s="48">
        <f ca="1">IF(FH212&lt;&gt;0,MAX($FI$2:FI211)+1,0)</f>
        <v>0</v>
      </c>
      <c r="FJ212" s="48" t="str">
        <f ca="1">IFERROR(INDEX($FH$3:$FI$400,MATCH(ROWS($FJ$3:FJ212),$FI$3:$FI$400,0),1),"")</f>
        <v/>
      </c>
      <c r="FK212" s="48">
        <f ca="1">IF(ABS(SUMIFS(DARE,DEN_G,"="&amp;FJ212,DATA,"&lt;="&amp;FINE_AC,DATA,"&gt;="&amp;INIZIO_A_PC)-SUMIFS(AVERE,DEN_G,"="&amp;FJ212,DATA,"&lt;="&amp;FINE_AC,DATA,"&gt;="&amp;INIZIO_A_PC))&gt;0,MAX($FK$2:FK211)+1,0)</f>
        <v>0</v>
      </c>
      <c r="FL212" s="48" t="str">
        <f ca="1">IF(AND(ROW()-2&lt;&gt;1,ROW()-2&lt;=$FK$1),CONCATENATE(" - ",IFERROR(INDEX($FJ$3:$FK$400,MATCH(ROWS($FL$3:FL212),$FK$3:$FK$400,0),1),"")),IFERROR(INDEX($FJ$3:$FK$400,MATCH(ROWS($FL$3:FL212),$FK$3:$FK$400,0),1),""))</f>
        <v/>
      </c>
      <c r="FM212" s="48">
        <f ca="1">IF(OR(B212="IVA ns/credito",B212="IVA NS/DEBITO",B212="IVA C/ACCONTO",B212="IMPOSTE C/ACCONTO",B212="CREDITI PER RITENUTE SUBITE",B212="CREDITI D'IMPOSTA"),MAX($FM$2:FM211)+1,0)</f>
        <v>0</v>
      </c>
      <c r="FN212" s="48" t="str">
        <f t="shared" ca="1" si="467"/>
        <v/>
      </c>
      <c r="FO212" s="48" t="str">
        <f ca="1">IFERROR(INDEX($FM$3:$FN$400,MATCH(ROWS($FO$3:FO212),$FM$3:$FM$400,0),2),"")</f>
        <v/>
      </c>
      <c r="FP212" s="48">
        <f ca="1">IF(ABS(SUMIFS(DARE,DEN_G,"="&amp;FO212,DATA,"&lt;="&amp;FINE_AC,DATA,"&gt;="&amp;INIZIO_A_PC)-SUMIFS(AVERE,DEN_G,"="&amp;FO212,DATA,"&lt;="&amp;FINE_AC,DATA,"&gt;="&amp;INIZIO_A_PC))&gt;0,MAX($FP$2:FP211)+1,0)</f>
        <v>0</v>
      </c>
      <c r="FQ212" s="48" t="str">
        <f ca="1">IF(AND(ROW()-2&lt;&gt;1,ROW()-2&lt;=$FP$1),CONCATENATE(" - ",IFERROR(INDEX($FO$3:$FP$400,MATCH(ROWS($FQ$3:FQ212),$FP$3:$FP$400,0),1),"")),IFERROR(INDEX($FO$3:$FP$400,MATCH(ROWS($FQ$3:FQ212),$FP$3:$FP$400,0),1),""))</f>
        <v/>
      </c>
    </row>
    <row r="213" spans="1:173" x14ac:dyDescent="0.3">
      <c r="A213" s="48" t="str">
        <f ca="1">IFERROR(IF($A$1=2,INDEX($DH$3:$DN$401,MATCH(ROWS(A$3:A213),$DN$3:$DN$401,0),COLUMN()),IF($A$1=1,INDEX($DQ$3:$DW$401,MATCH(ROWS(A$3:A213),$DW$3:$DW$401,0),COLUMN()),"")),"")</f>
        <v>21.11</v>
      </c>
      <c r="B213" s="48" t="str">
        <f ca="1">IFERROR(IF($A$1=2,INDEX($DH$3:$DN$401,MATCH(ROWS(B$3:B213),$DN$3:$DN$401,0),COLUMN()),IF($A$1=1,INDEX($DQ$3:$DW$400,MATCH(ROWS(B$3:B213),$DW$3:$DW$401,0),COLUMN()),"")),"")</f>
        <v>SEMILAVORATI C/RIMANENZE FINALI</v>
      </c>
      <c r="C213" s="48" t="str">
        <f ca="1">IFERROR(IF($A$1=2,INDEX($DH$3:$DN$401,MATCH(ROWS(C$3:C213),$DN$3:$DN$401,0),COLUMN()),IF($A$1=1,INDEX($DQ$3:$DW$401,MATCH(ROWS(C$3:C213),$DW$3:$DW$401,0),COLUMN()),"")),"")</f>
        <v>E</v>
      </c>
      <c r="D213" s="48" t="str">
        <f ca="1">IFERROR(IF($A$1=2,INDEX($DH$3:$DN$401,MATCH(ROWS(D$3:D213),$DN$3:$DN$401,0),COLUMN()),IF($A$1=1,INDEX($DQ$3:$DW$401,MATCH(ROWS(D$3:D213),$DW$3:$DW$401,0),COLUMN()),"")),"")</f>
        <v>A</v>
      </c>
      <c r="E213" s="48" t="str">
        <f ca="1">IFERROR(IF($A$1=2,INDEX($DH$3:$DN$401,MATCH(ROWS(E$3:E213),$DN$3:$DN$401,0),COLUMN()),IF($A$1=1,INDEX($DQ$3:$DW$401,MATCH(ROWS(E$3:E213),$DW$3:$DW$401,0),COLUMN()),"")),"")</f>
        <v>RETTIFICHE COSTI D'ESERCIZIO</v>
      </c>
      <c r="F213" s="48" t="str">
        <f ca="1">IFERROR(IF($A$1=2,INDEX($DH$3:$DN$401,MATCH(ROWS(F$3:F213),$DN$3:$DN$401,0),COLUMN()),IF($A$1=1,INDEX($DQ$3:$DX$401,MATCH(ROWS(F$3:F213),$DW$3:$DW$401,0),COLUMN()),"")),"")</f>
        <v>SE AVERE</v>
      </c>
      <c r="G213" s="48" t="str">
        <f t="shared" ca="1" si="433"/>
        <v>SE</v>
      </c>
      <c r="H213" s="48" t="str">
        <f ca="1">IFERROR(IF($A$1=2,INDEX($DH$3:$DO$400,MATCH(ROWS(H$3:H213),$DN$3:$DN$400,0),COLUMN()),IF($A$1=1,INDEX($DQ$3:$DX$400,MATCH(ROWS(H$3:H213),$DW$3:$DW$400,0),COLUMN()),"")),"")</f>
        <v>ea2</v>
      </c>
      <c r="M213" s="48">
        <f ca="1">IFERROR(IF(IF(MID($A213,3,3)=".00",MID(A213,1,2),"")&lt;&gt;"",MAX($M$2:M212)+1,0),"")</f>
        <v>0</v>
      </c>
      <c r="N213" s="48" t="str">
        <f t="shared" ca="1" si="438"/>
        <v/>
      </c>
      <c r="O213" s="48" t="str">
        <f ca="1">IF(IFERROR(INDEX($N$3:$O$300,MATCH(ROWS($O$3:O213),$M$3:$M$300,0),1),"")&lt;&gt;"",CONCATENATE(INDEX($N$3:$O$300,MATCH(ROWS($O$3:O213),$M$3:$M$300,0),1),".00"),"")</f>
        <v/>
      </c>
      <c r="P213" s="48" t="str">
        <f t="shared" ca="1" si="439"/>
        <v/>
      </c>
      <c r="Q213" s="48">
        <f ca="1">IF(M213&gt;=1,0,MAX($Q$2:Q212)+1)</f>
        <v>190</v>
      </c>
      <c r="U213" s="48" t="str">
        <f ca="1">IFERROR(INDEX(PDC,MATCH(ROWS(U$3:U213),$V$3:$V$400,0),2),"")</f>
        <v>PROVVIGIONI PASSIVE</v>
      </c>
      <c r="V213" s="48">
        <f ca="1">IF(AND($T$1="VISUALIZZA TUTTI I CONTI",AA213&lt;&gt;""),MAX($V$2:V212)+1,IF(AND($U$2=2,AI213=$T$1),MAX($V$2:V212)+1,IF(AND($U$2=1,$T$1=AF213),MAX($V$2:V212)+1,0)))</f>
        <v>211</v>
      </c>
      <c r="AA213" s="48" t="str">
        <f t="shared" ca="1" si="440"/>
        <v>31.00</v>
      </c>
      <c r="AB213" s="48" t="str">
        <f ca="1">IFERROR(INDEX($A$3:$G$400,MATCH(ROWS(AB$3:AB213),$Q$3:$Q$400,0),1),"")</f>
        <v>31.13</v>
      </c>
      <c r="AC213" s="48" t="str">
        <f ca="1">IFERROR(INDEX($A$3:$G$400,MATCH(ROWS($AC$3:AC213),$Q$3:$Q$400,0),2),"")</f>
        <v>PROVVIGIONI PASSIVE</v>
      </c>
      <c r="AD213" s="48" t="str">
        <f ca="1">IFERROR(INDEX($A$3:$G$400,MATCH(ROWS(AD$3:AD213),$Q$3:$Q$400,0),3),"")</f>
        <v>E</v>
      </c>
      <c r="AE213" s="48" t="str">
        <f ca="1">IFERROR(INDEX($A$3:$G$400,MATCH(ROWS(AE$3:AE213),$Q$3:$Q$400,0),4),"")</f>
        <v>D</v>
      </c>
      <c r="AF213" s="48" t="str">
        <f ca="1">IFERROR(INDEX($A$3:$G$400,MATCH(ROWS(AF$3:AF213),$Q$3:$Q$400,0),5),"")</f>
        <v>COSTI D'ESERCIZIO</v>
      </c>
      <c r="AG213" s="48" t="str">
        <f ca="1">IFERROR(INDEX($A$3:$G$400,MATCH(ROWS(AG$3:AG213),$Q$3:$Q$400,0),6),"")</f>
        <v>SE DARE</v>
      </c>
      <c r="AH213" s="48" t="str">
        <f ca="1">IFERROR(INDEX($A$3:$G$400,MATCH(ROWS(AH$3:AH213),$Q$3:$Q$400,0),7),"")</f>
        <v>SE</v>
      </c>
      <c r="AI213" s="48" t="str">
        <f t="shared" ca="1" si="441"/>
        <v>COSTI PER SERVIZI</v>
      </c>
      <c r="AJ213" s="48" t="str">
        <f ca="1">IFERROR(INDEX($A$3:$H$400,MATCH(ROWS(AJ$3:AJ213),$Q$3:$Q$400,0),8),"")</f>
        <v>eb7</v>
      </c>
      <c r="AK213" s="48">
        <f t="shared" ca="1" si="417"/>
        <v>0</v>
      </c>
      <c r="AL213" s="48">
        <f t="shared" ca="1" si="473"/>
        <v>0</v>
      </c>
      <c r="AM213" s="48">
        <f t="shared" ca="1" si="377"/>
        <v>0</v>
      </c>
      <c r="AN213" s="48">
        <f t="shared" ca="1" si="378"/>
        <v>0</v>
      </c>
      <c r="AO213" s="48">
        <f t="shared" ca="1" si="379"/>
        <v>0</v>
      </c>
      <c r="AP213" s="48">
        <f t="shared" ca="1" si="379"/>
        <v>0</v>
      </c>
      <c r="AQ213" s="48" t="str">
        <f t="shared" ca="1" si="418"/>
        <v/>
      </c>
      <c r="AR213" s="48">
        <f t="shared" ca="1" si="419"/>
        <v>0</v>
      </c>
      <c r="AS213" s="48">
        <f t="shared" ca="1" si="420"/>
        <v>0</v>
      </c>
      <c r="AT213" s="48">
        <f t="shared" ca="1" si="442"/>
        <v>0</v>
      </c>
      <c r="AU213" s="48">
        <f t="shared" ca="1" si="443"/>
        <v>0</v>
      </c>
      <c r="AV213" s="48">
        <f ca="1">IF(OR(AT213&gt;0,AU213&gt;0),MAX($AV$2:AV212)+1,0)</f>
        <v>0</v>
      </c>
      <c r="AZ213" s="48" t="str">
        <f t="shared" ca="1" si="484"/>
        <v/>
      </c>
      <c r="BA213" s="48">
        <f t="shared" ca="1" si="480"/>
        <v>0</v>
      </c>
      <c r="BB213" s="48">
        <f t="shared" ca="1" si="481"/>
        <v>0</v>
      </c>
      <c r="BC213" s="48">
        <f t="shared" ca="1" si="482"/>
        <v>0</v>
      </c>
      <c r="BD213" s="48">
        <f t="shared" ca="1" si="383"/>
        <v>0</v>
      </c>
      <c r="BE213" s="48">
        <f t="shared" ca="1" si="384"/>
        <v>0</v>
      </c>
      <c r="BF213" s="48">
        <f t="shared" si="485"/>
        <v>13</v>
      </c>
      <c r="BG213" s="48">
        <f ca="1">IF(IF(AND(OR(INDEX(PDC,MATCH($AC213,DEN_PDC,0),6)="SP DARE",INDEX(PDC,MATCH($AC213,DEN_PDC,0),6)="SP DARE/AVERE"),SUMIFS(DARE,DEN_G,$AC213)&gt;=SUMIFS(AVERE,DEN_G,$AC213)),SUMIFS(DARE,DEN_G,$AC213)-SUMIFS(AVERE,DEN_G,$AC213),0)&gt;0,MAX($BG$2:BG212)+1,0)</f>
        <v>0</v>
      </c>
      <c r="BH213" s="48">
        <f ca="1">IF(IF(AND(OR(INDEX(PDC,MATCH($AC213,DEN_PDC,0),6)="SP AVERE",INDEX(PDC,MATCH($AC213,DEN_PDC,0),6)="SP DARE/AVERE"),SUMIFS(AVERE,DEN_G,$AC213)&gt;=SUMIFS(DARE,DEN_G,$AC213)),SUMIFS(AVERE,DEN_G,$AC213)-SUMIFS(DARE,DEN_G,$AC213),0)&gt;0,MAX(BH$2:BH212)+1,0)</f>
        <v>0</v>
      </c>
      <c r="BI213" s="48">
        <f ca="1">IF(IF(AND(OR(INDEX(PDC,MATCH($AC213,DEN_PDC,0),6)="SE DARE",INDEX(PDC,MATCH($AC213,DEN_PDC,0),6)="SE DARE/AVERE"),SUMIFS(DARE,DEN_G,$AC213)&gt;=SUMIFS(AVERE,DEN_G,$AC213)),SUMIFS(DARE,DEN_G,$AC213)-SUMIFS(AVERE,DEN_G,$AC213),0)&gt;0,MAX(BI$2:BI212)+1,0)</f>
        <v>0</v>
      </c>
      <c r="BJ213" s="48">
        <f ca="1">IF(IF(AND(OR(INDEX(PDC,MATCH($AC213,DEN_PDC,0),6)="SE AVERE",INDEX(PDC,MATCH($AC213,DEN_PDC,0),6)="SE DARE/AVERE"),SUMIFS(AVERE,DEN_G,$AC213)&gt;=SUMIFS(DARE,DEN_G,$AC213)),SUMIFS(AVERE,DEN_G,$AC213)-SUMIFS(DARE,DEN_G,$AC213),0)&gt;0,MAX(BJ$2:BJ212)+1,0)</f>
        <v>0</v>
      </c>
      <c r="BK213" s="48" t="str">
        <f ca="1">IF(AND(AND($DY$2=0,$DY$1=0),$I$1=2,ROW()&gt;$BG$1+2,ROW()&lt;=$BG$1+4),"………………..",IF(AND(OR($DY$2&gt;0,$DY$1&gt;0),$I$1=2,ROW()&gt;$BG$1+2,ROW()&lt;=$BG$1+4),"………………..",IFERROR(INDEX($AC$3:$AC$398,MATCH(ROWS(BK$3:BK213),BG$3:BG$398,0),1),"")))</f>
        <v/>
      </c>
      <c r="BL213" s="48">
        <f t="shared" ca="1" si="421"/>
        <v>0</v>
      </c>
      <c r="BM213" s="48" t="str">
        <f ca="1">IF(AND(OR($DY$2=0,$DY$1=0),$I$1=2,ROW()&gt;$BH$1+2,ROW()&lt;=$BH$1+4),"………………..",IF(AND(OR($DY$2&gt;0,$DY$1&gt;0),$I$1=2,ROW()&gt;$BH$1+2,ROW()&lt;=$BH$1+4),"………………..",IFERROR(INDEX($AC$3:$AC$400,MATCH(ROWS(BM$3:BM213),BH$3:BH$400,0),1),"")))</f>
        <v/>
      </c>
      <c r="BN213" s="48">
        <f t="shared" ca="1" si="422"/>
        <v>0</v>
      </c>
      <c r="BO213" s="48" t="str">
        <f ca="1">IF(AND(OR($DY$2=0,$DY$1=0),$I$1=2,ROW()&gt;$BI$1+2,ROW()&lt;=$BI$1+4),"………………..",IF(AND(OR($DY$2&gt;0,$DY$1&gt;0),$I$1=2,ROW()&gt;$BI$1+2,ROW()&lt;=$BI$1+4),"………………..",IFERROR(INDEX($AC$3:$AC$400,MATCH(ROWS(BO$3:BO213),BI$3:BI$400,0),1),"")))</f>
        <v/>
      </c>
      <c r="BP213" s="48">
        <f t="shared" ca="1" si="423"/>
        <v>0</v>
      </c>
      <c r="BQ213" s="48" t="str">
        <f ca="1">IF(AND(OR($DY$2=0,$DY$1=0),$I$1=2,ROW()&gt;$BJ$1+2,ROW()&lt;=$BJ$1+4),"………………..",IF(AND(OR($DY$2&gt;0,$DY$1&gt;0),$I$1=2,ROW()&gt;$BJ$1+2,ROW()&lt;=$BJ$1+4),"………………..",IFERROR(INDEX($AC$3:$AC$400,MATCH(ROWS(BQ$3:BQ213),BJ$3:BJ$400,0),1),"")))</f>
        <v/>
      </c>
      <c r="BR213" s="48">
        <f t="shared" ca="1" si="424"/>
        <v>0</v>
      </c>
      <c r="BS213" s="48">
        <f ca="1">IF(IF(AND(OR(INDEX(PDC,MATCH($AC213,DEN_PDC,0),4)="D",INDEX(PDC,MATCH($AC213,DEN_PDC,0),4)="D/A"),SUMIFS(DARE,DEN_G,$AC213)&gt;=SUMIFS(AVERE,DEN_G,$AC213)),SUMIFS(DARE,DEN_G,$AC213),IF(AND(OR(INDEX(PDC,MATCH($AC213,DEN_PDC,0),4)="A",INDEX(PDC,MATCH($AC213,DEN_PDC,0),4)="D/A"),SUMIFS(AVERE,DEN_G,$AC213)&gt;=SUMIFS(DARE,DEN_G,$AC213)),SUMIFS(AVERE,DEN_G,$AC213),))&gt;0,MAX($BS$2:BS212)+1,0)</f>
        <v>0</v>
      </c>
      <c r="BT213" s="48" t="str">
        <f ca="1">IF($CO$1=0,"",IF(AND($I$1=2,ROW()&gt;$BR$1,ROW()&lt;=$BS$1)," …………….",IF(AND($E$1=1,$BX$1=1,$I$1=2,ROW()=$BQ$1),"TOTALI",IFERROR(INDEX(PDC,MATCH(ROWS(BT$3:BT213),BS$3:BS610,0),2),""))))</f>
        <v/>
      </c>
      <c r="BU213" s="48">
        <f t="shared" ca="1" si="425"/>
        <v>0</v>
      </c>
      <c r="BV213" s="48">
        <f t="shared" ca="1" si="426"/>
        <v>0</v>
      </c>
      <c r="BW213" s="48">
        <f t="shared" ca="1" si="427"/>
        <v>0</v>
      </c>
      <c r="BX213" s="48">
        <f t="shared" ca="1" si="428"/>
        <v>0</v>
      </c>
      <c r="BY213" s="48">
        <f ca="1">IF(OR(BW213&gt;0,BX213&gt;0),MAX($BY$2:BY212)+1,0)</f>
        <v>0</v>
      </c>
      <c r="BZ213" s="48" t="str">
        <f ca="1">IFERROR(INDEX($BT$3:$BY$400,MATCH(ROWS(BZ$3:BZ213),$BY$3:$BY$400,0),1),"")</f>
        <v/>
      </c>
      <c r="CA213" s="48" t="str">
        <f ca="1">IFERROR(INDEX($BT$3:$BY$400,MATCH(ROWS(CA$3:CA213),$BY$3:$BY$400,0),4),"")</f>
        <v/>
      </c>
      <c r="CB213" s="48" t="str">
        <f ca="1">IFERROR(INDEX($BT$3:$BY$400,MATCH(ROWS(CB$3:CB213),$BY$3:$BY$400,0),5),"")</f>
        <v/>
      </c>
      <c r="CC213" s="48" t="str">
        <f t="shared" ca="1" si="429"/>
        <v/>
      </c>
      <c r="CD213" s="48">
        <f ca="1">IF(CE213&lt;&gt;0,MAX($CD$190:CD212)+1,0)</f>
        <v>0</v>
      </c>
      <c r="CE213" s="48">
        <f ca="1">IF(ROUND(SUMIFS(COPIA!$CA$3:$CA$400,COPIA!$CC$3:$CC$400,CF213)-SUMIFS(COPIA!$CB$3:$CB$400,COPIA!$CC$3:$CC$400,CF213),0)&lt;0,0,ROUND(SUMIFS(COPIA!$CA$3:$CA$400,COPIA!$CC$3:$CC$400,CF213)-SUMIFS(COPIA!$CB$3:$CB$400,COPIA!$CC$3:$CC$400,CF213),0))</f>
        <v>0</v>
      </c>
      <c r="CF213" s="48" t="s">
        <v>717</v>
      </c>
      <c r="CG213" s="242" t="s">
        <v>849</v>
      </c>
      <c r="CH213" s="48">
        <f t="shared" ca="1" si="495"/>
        <v>0</v>
      </c>
      <c r="CM213" s="242" t="str">
        <f t="shared" ca="1" si="444"/>
        <v/>
      </c>
      <c r="CN213" s="243">
        <f t="shared" ca="1" si="445"/>
        <v>0</v>
      </c>
      <c r="CO213" s="48" t="str">
        <f t="shared" ca="1" si="446"/>
        <v/>
      </c>
      <c r="CU213" s="48">
        <f ca="1">IF(SUMIFS(AVERE,DEN_G,AC213,AVERE,"&gt;"&amp;0)+SUMIFS(DARE,DEN_G,AC213,DARE,"&gt;"&amp;0)&gt;0,MAX($CU$2:CU212)+1,0)</f>
        <v>0</v>
      </c>
      <c r="CV213" s="48" t="str">
        <f ca="1">IF(IFERROR(INDEX(PDC,MATCH(ROWS($CV$3:CV213),$CU$3:$CU$400,0),2),"")="CONTO DI RISULTATO ECONOMICO","",IFERROR(INDEX(PDC,MATCH(ROWS($CV$3:CV213),$CU$3:$CU$400,0),2),""))</f>
        <v/>
      </c>
      <c r="CW213" s="48">
        <f ca="1">IFERROR(IF(CV213&lt;&gt;"",MAX($CW$2:CW212)+1,0),0)</f>
        <v>0</v>
      </c>
      <c r="CX213" s="48">
        <f t="shared" ca="1" si="496"/>
        <v>17</v>
      </c>
      <c r="CY213" s="48" t="str">
        <f t="shared" ca="1" si="494"/>
        <v>MASTRO</v>
      </c>
      <c r="CZ213" s="48" t="e">
        <f t="shared" ref="CZ213:CZ222" ca="1" si="498">SUM(MATCH($CY213,INDIRECT(ADDRESS(SUM(CZ212)+3,54)&amp;":"&amp;ADDRESS(400,54)),0),CZ212)</f>
        <v>#N/A</v>
      </c>
      <c r="DA213" s="48" t="str">
        <f ca="1">IFERROR(INDEX(LIBRO_GIORNALE,CZ213,1),"")</f>
        <v/>
      </c>
      <c r="DB213" s="48" t="str">
        <f t="shared" ref="DB213:DB274" ca="1" si="499">IF(RIGHT(TEXT(IFERROR(INDEX(LIBRO_GIORNALE,CZ213,2),""),"gg/mm/aa"),1)="a",TEXT(IFERROR(INDEX(LIBRO_GIORNALE,CZ213,2),""),"dd/mm/yy"),TEXT(IFERROR(INDEX(LIBRO_GIORNALE,CZ213,2),""),"gg/mm/aa"))</f>
        <v/>
      </c>
      <c r="DC213" s="48" t="str">
        <f t="shared" ref="DC213:DC222" ca="1" si="500">IF(IFERROR(INDEX(LIBRO_GIORNALE,CZ213,4),"")=0,"manca la descrizione dell'operazione",IFERROR(INDEX(LIBRO_GIORNALE,CZ213,4),""))</f>
        <v/>
      </c>
      <c r="DD213" s="48" t="str">
        <f t="shared" ref="DD213:DD222" ca="1" si="501">IFERROR(IF(INDEX(LIBRO_GIORNALE,CZ213,5)&gt;0,INDEX(LIBRO_GIORNALE,CZ213,5),""),"")</f>
        <v/>
      </c>
      <c r="DE213" s="48" t="str">
        <f t="shared" ref="DE213:DE222" ca="1" si="502">IFERROR(IF(INDEX(LIBRO_GIORNALE,CZ213,6)&gt;0,INDEX(LIBRO_GIORNALE,CZ213,6),""),"")</f>
        <v/>
      </c>
      <c r="DF213" s="48">
        <f ca="1">IF(AND(CX213=$DF$1,CX213&lt;&gt;""),0,IF(AND(DB213&lt;&gt;"",OR(DB212&lt;&gt;"",DB214&lt;&gt;"")),MAX($DF$2:DF212)+1,0))</f>
        <v>0</v>
      </c>
      <c r="DH213" s="244" t="s">
        <v>496</v>
      </c>
      <c r="DJ213" s="48" t="s">
        <v>312</v>
      </c>
      <c r="DK213" s="48" t="s">
        <v>298</v>
      </c>
      <c r="DL213" s="48" t="s">
        <v>5</v>
      </c>
      <c r="DM213" s="48" t="s">
        <v>299</v>
      </c>
      <c r="DN213" s="48">
        <f>IF(DI213&lt;&gt;"",MAX($DN$2:DN212)+1,0)</f>
        <v>0</v>
      </c>
      <c r="DO213" s="48" t="str">
        <f t="shared" ca="1" si="493"/>
        <v>ppd</v>
      </c>
      <c r="DQ213" s="227" t="s">
        <v>879</v>
      </c>
      <c r="DR213" s="48" t="s">
        <v>156</v>
      </c>
      <c r="DS213" s="48" t="s">
        <v>312</v>
      </c>
      <c r="DT213" s="48" t="s">
        <v>271</v>
      </c>
      <c r="DU213" s="48" t="s">
        <v>1025</v>
      </c>
      <c r="DV213" s="48" t="s">
        <v>302</v>
      </c>
      <c r="DW213" s="48">
        <f ca="1">IF(DR213&lt;&gt;"",MAX($DW$2:DW212)+1,0)</f>
        <v>126</v>
      </c>
      <c r="DX213" s="48" t="str">
        <f ca="1">IF(AND($BF$9=1,SUMIFS(DARE,DEN_G,"="&amp;DR213,DATA,"&gt;="&amp;INIZIO_A_PC,DATA,"&lt;="&amp;FINE_AC)&gt;SUMIFS(AVERE,DEN_G,"="&amp;DR213,DATA,"&gt;="&amp;INIZIO_AC,DATA,"&lt;="&amp;FINE_AC)),"pac25b",IF(AND($BF$9=1,SUMIFS(DARE,DEN_G,"="&amp;DR213,DATA,"&lt;"&amp;INIZIO_A_PC,DATA,"&lt;="&amp;FINE_AC)&lt;SUMIFS(AVERE,DEN_G,"="&amp;DR213,DATA,"&gt;="&amp;INIZIO_AC,DATA,"&lt;="&amp;FINE_AC)),"ppd12",IF(AND($BF$9=2,SUMIFS(DARE,DEN_G,"="&amp;DR213,DATA,"&gt;="&amp;INIZIO_A_PC,DATA,"&lt;="&amp;FINE_AC)&gt;SUMIFS(AVERE,DEN_G,"="&amp;DR213,DATA,"&gt;="&amp;INIZIO_AC,DATA,"&lt;="&amp;FINE_AC)),"pac2","ppd")))</f>
        <v>ppd</v>
      </c>
      <c r="DY213" s="48" t="str">
        <f t="shared" ca="1" si="430"/>
        <v/>
      </c>
      <c r="EL213" s="48">
        <f t="shared" ca="1" si="431"/>
        <v>0</v>
      </c>
      <c r="EM213" s="48">
        <f ca="1">IF(EL213&gt;=0,0,MAX($EM$2:EM212)+1)</f>
        <v>0</v>
      </c>
      <c r="EN213" s="48" t="str">
        <f t="shared" ca="1" si="459"/>
        <v/>
      </c>
      <c r="EO213" s="48" t="str">
        <f ca="1">IFERROR(INDEX($EM$3:$EN$400,MATCH(ROWS($EO$3:EO213),$EM$3:$EM$400,0),2),"")</f>
        <v/>
      </c>
      <c r="EP213" s="48">
        <f>ROW()</f>
        <v>213</v>
      </c>
      <c r="EQ213" s="48">
        <f t="shared" ca="1" si="432"/>
        <v>0</v>
      </c>
      <c r="ER213" s="48">
        <f ca="1">IF(ISNA(EQ213)=TRUE,MAX($ER$2:ER212)+1,0)</f>
        <v>0</v>
      </c>
      <c r="ES213" s="48" t="str">
        <f t="shared" ca="1" si="460"/>
        <v/>
      </c>
      <c r="ET213" s="48" t="str">
        <f ca="1">IFERROR(INDEX($ER$3:$ES$400,MATCH(ROWS($ET$3:ET213),$ER$3:$ER$400,0),2),"")</f>
        <v/>
      </c>
      <c r="EV213" s="48">
        <f ca="1">IFERROR(INDEX(LIBRO_GIORNALE!$O$11:$P$408,MATCH(ROWS($EV$2:EV212),LIBRO_GIORNALE!$P$11:$P$408,0),1),0)</f>
        <v>0</v>
      </c>
      <c r="EW213" s="48" t="str">
        <f t="shared" ca="1" si="461"/>
        <v>0</v>
      </c>
      <c r="EX213" s="48">
        <f t="shared" ca="1" si="462"/>
        <v>0</v>
      </c>
      <c r="EY213" s="48">
        <f ca="1">IF(EX213&gt;0,MAX($EY$2:EY212)+1,0)</f>
        <v>0</v>
      </c>
      <c r="EZ213" s="48">
        <f ca="1">IFERROR(INDEX($EX$3:$EX$400,MATCH(ROWS($EZ$3:EZ213),$EY$3:$EY$400,0),1),0)</f>
        <v>0</v>
      </c>
      <c r="FA213" s="48">
        <f ca="1">IF(EZ213&gt;0,0,MAX($FA$2:FA212)+1)</f>
        <v>211</v>
      </c>
      <c r="FB213" s="48">
        <f t="shared" ca="1" si="463"/>
        <v>0</v>
      </c>
      <c r="FC213" s="48">
        <f t="shared" ca="1" si="464"/>
        <v>211</v>
      </c>
      <c r="FD213" s="48">
        <f t="shared" ca="1" si="465"/>
        <v>211</v>
      </c>
      <c r="FE213" s="48">
        <f ca="1">IF(FD213=0,0,MAX($FE$2:FE212)+1)</f>
        <v>211</v>
      </c>
      <c r="FF213" s="48">
        <f ca="1">IFERROR(INDEX($FD$3:$FE$400,MATCH(ROWS($FF$3:FF213),$FE$3:$FE$400,0),1),"")</f>
        <v>211</v>
      </c>
      <c r="FG213" s="48">
        <f t="shared" ca="1" si="380"/>
        <v>0</v>
      </c>
      <c r="FH213" s="48">
        <f t="shared" ca="1" si="466"/>
        <v>0</v>
      </c>
      <c r="FI213" s="48">
        <f ca="1">IF(FH213&lt;&gt;0,MAX($FI$2:FI212)+1,0)</f>
        <v>0</v>
      </c>
      <c r="FJ213" s="48" t="str">
        <f ca="1">IFERROR(INDEX($FH$3:$FI$400,MATCH(ROWS($FJ$3:FJ213),$FI$3:$FI$400,0),1),"")</f>
        <v/>
      </c>
      <c r="FK213" s="48">
        <f ca="1">IF(ABS(SUMIFS(DARE,DEN_G,"="&amp;FJ213,DATA,"&lt;="&amp;FINE_AC,DATA,"&gt;="&amp;INIZIO_A_PC)-SUMIFS(AVERE,DEN_G,"="&amp;FJ213,DATA,"&lt;="&amp;FINE_AC,DATA,"&gt;="&amp;INIZIO_A_PC))&gt;0,MAX($FK$2:FK212)+1,0)</f>
        <v>0</v>
      </c>
      <c r="FL213" s="48" t="str">
        <f ca="1">IF(AND(ROW()-2&lt;&gt;1,ROW()-2&lt;=$FK$1),CONCATENATE(" - ",IFERROR(INDEX($FJ$3:$FK$400,MATCH(ROWS($FL$3:FL213),$FK$3:$FK$400,0),1),"")),IFERROR(INDEX($FJ$3:$FK$400,MATCH(ROWS($FL$3:FL213),$FK$3:$FK$400,0),1),""))</f>
        <v/>
      </c>
      <c r="FM213" s="48">
        <f ca="1">IF(OR(B213="IVA ns/credito",B213="IVA NS/DEBITO",B213="IVA C/ACCONTO",B213="IMPOSTE C/ACCONTO",B213="CREDITI PER RITENUTE SUBITE",B213="CREDITI D'IMPOSTA"),MAX($FM$2:FM212)+1,0)</f>
        <v>0</v>
      </c>
      <c r="FN213" s="48" t="str">
        <f t="shared" ca="1" si="467"/>
        <v/>
      </c>
      <c r="FO213" s="48" t="str">
        <f ca="1">IFERROR(INDEX($FM$3:$FN$400,MATCH(ROWS($FO$3:FO213),$FM$3:$FM$400,0),2),"")</f>
        <v/>
      </c>
      <c r="FP213" s="48">
        <f ca="1">IF(ABS(SUMIFS(DARE,DEN_G,"="&amp;FO213,DATA,"&lt;="&amp;FINE_AC,DATA,"&gt;="&amp;INIZIO_A_PC)-SUMIFS(AVERE,DEN_G,"="&amp;FO213,DATA,"&lt;="&amp;FINE_AC,DATA,"&gt;="&amp;INIZIO_A_PC))&gt;0,MAX($FP$2:FP212)+1,0)</f>
        <v>0</v>
      </c>
      <c r="FQ213" s="48" t="str">
        <f ca="1">IF(AND(ROW()-2&lt;&gt;1,ROW()-2&lt;=$FP$1),CONCATENATE(" - ",IFERROR(INDEX($FO$3:$FP$400,MATCH(ROWS($FQ$3:FQ213),$FP$3:$FP$400,0),1),"")),IFERROR(INDEX($FO$3:$FP$400,MATCH(ROWS($FQ$3:FQ213),$FP$3:$FP$400,0),1),""))</f>
        <v/>
      </c>
    </row>
    <row r="214" spans="1:173" x14ac:dyDescent="0.3">
      <c r="A214" s="48" t="str">
        <f ca="1">IFERROR(IF($A$1=2,INDEX($DH$3:$DN$401,MATCH(ROWS(A$3:A214),$DN$3:$DN$401,0),COLUMN()),IF($A$1=1,INDEX($DQ$3:$DW$401,MATCH(ROWS(A$3:A214),$DW$3:$DW$401,0),COLUMN()),"")),"")</f>
        <v>21.12</v>
      </c>
      <c r="B214" s="48" t="str">
        <f ca="1">IFERROR(IF($A$1=2,INDEX($DH$3:$DN$401,MATCH(ROWS(B$3:B214),$DN$3:$DN$401,0),COLUMN()),IF($A$1=1,INDEX($DQ$3:$DW$400,MATCH(ROWS(B$3:B214),$DW$3:$DW$401,0),COLUMN()),"")),"")</f>
        <v>PRODOTTI FINITI C/RIMANENZE FINALI</v>
      </c>
      <c r="C214" s="48" t="str">
        <f ca="1">IFERROR(IF($A$1=2,INDEX($DH$3:$DN$401,MATCH(ROWS(C$3:C214),$DN$3:$DN$401,0),COLUMN()),IF($A$1=1,INDEX($DQ$3:$DW$401,MATCH(ROWS(C$3:C214),$DW$3:$DW$401,0),COLUMN()),"")),"")</f>
        <v>E</v>
      </c>
      <c r="D214" s="48" t="str">
        <f ca="1">IFERROR(IF($A$1=2,INDEX($DH$3:$DN$401,MATCH(ROWS(D$3:D214),$DN$3:$DN$401,0),COLUMN()),IF($A$1=1,INDEX($DQ$3:$DW$401,MATCH(ROWS(D$3:D214),$DW$3:$DW$401,0),COLUMN()),"")),"")</f>
        <v>A</v>
      </c>
      <c r="E214" s="48" t="str">
        <f ca="1">IFERROR(IF($A$1=2,INDEX($DH$3:$DN$401,MATCH(ROWS(E$3:E214),$DN$3:$DN$401,0),COLUMN()),IF($A$1=1,INDEX($DQ$3:$DW$401,MATCH(ROWS(E$3:E214),$DW$3:$DW$401,0),COLUMN()),"")),"")</f>
        <v>RETTIFICHE COSTI D'ESERCIZIO</v>
      </c>
      <c r="F214" s="48" t="str">
        <f ca="1">IFERROR(IF($A$1=2,INDEX($DH$3:$DN$401,MATCH(ROWS(F$3:F214),$DN$3:$DN$401,0),COLUMN()),IF($A$1=1,INDEX($DQ$3:$DX$401,MATCH(ROWS(F$3:F214),$DW$3:$DW$401,0),COLUMN()),"")),"")</f>
        <v>SE AVERE</v>
      </c>
      <c r="G214" s="48" t="str">
        <f t="shared" ca="1" si="433"/>
        <v>SE</v>
      </c>
      <c r="H214" s="48" t="str">
        <f ca="1">IFERROR(IF($A$1=2,INDEX($DH$3:$DO$400,MATCH(ROWS(H$3:H214),$DN$3:$DN$400,0),COLUMN()),IF($A$1=1,INDEX($DQ$3:$DX$400,MATCH(ROWS(H$3:H214),$DW$3:$DW$400,0),COLUMN()),"")),"")</f>
        <v>ea2</v>
      </c>
      <c r="M214" s="48">
        <f ca="1">IFERROR(IF(IF(MID($A214,3,3)=".00",MID(A214,1,2),"")&lt;&gt;"",MAX($M$2:M213)+1,0),"")</f>
        <v>0</v>
      </c>
      <c r="N214" s="48" t="str">
        <f t="shared" ca="1" si="438"/>
        <v/>
      </c>
      <c r="O214" s="48" t="str">
        <f ca="1">IF(IFERROR(INDEX($N$3:$O$300,MATCH(ROWS($O$3:O214),$M$3:$M$300,0),1),"")&lt;&gt;"",CONCATENATE(INDEX($N$3:$O$300,MATCH(ROWS($O$3:O214),$M$3:$M$300,0),1),".00"),"")</f>
        <v/>
      </c>
      <c r="P214" s="48" t="str">
        <f t="shared" ca="1" si="439"/>
        <v/>
      </c>
      <c r="Q214" s="48">
        <f ca="1">IF(M214&gt;=1,0,MAX($Q$2:Q213)+1)</f>
        <v>191</v>
      </c>
      <c r="U214" s="48" t="str">
        <f ca="1">IFERROR(INDEX(PDC,MATCH(ROWS(U$3:U214),$V$3:$V$400,0),2),"")</f>
        <v>COSTI DI INCASSO</v>
      </c>
      <c r="V214" s="48">
        <f ca="1">IF(AND($T$1="VISUALIZZA TUTTI I CONTI",AA214&lt;&gt;""),MAX($V$2:V213)+1,IF(AND($U$2=2,AI214=$T$1),MAX($V$2:V213)+1,IF(AND($U$2=1,$T$1=AF214),MAX($V$2:V213)+1,0)))</f>
        <v>212</v>
      </c>
      <c r="AA214" s="48" t="str">
        <f t="shared" ca="1" si="440"/>
        <v>31.00</v>
      </c>
      <c r="AB214" s="48" t="str">
        <f ca="1">IFERROR(INDEX($A$3:$G$400,MATCH(ROWS(AB$3:AB214),$Q$3:$Q$400,0),1),"")</f>
        <v>31.14</v>
      </c>
      <c r="AC214" s="48" t="str">
        <f ca="1">IFERROR(INDEX($A$3:$G$400,MATCH(ROWS($AC$3:AC214),$Q$3:$Q$400,0),2),"")</f>
        <v>COSTI DI INCASSO</v>
      </c>
      <c r="AD214" s="48" t="str">
        <f ca="1">IFERROR(INDEX($A$3:$G$400,MATCH(ROWS(AD$3:AD214),$Q$3:$Q$400,0),3),"")</f>
        <v>E</v>
      </c>
      <c r="AE214" s="48" t="str">
        <f ca="1">IFERROR(INDEX($A$3:$G$400,MATCH(ROWS(AE$3:AE214),$Q$3:$Q$400,0),4),"")</f>
        <v>D</v>
      </c>
      <c r="AF214" s="48" t="str">
        <f ca="1">IFERROR(INDEX($A$3:$G$400,MATCH(ROWS(AF$3:AF214),$Q$3:$Q$400,0),5),"")</f>
        <v>COSTI D'ESERCIZIO</v>
      </c>
      <c r="AG214" s="48" t="str">
        <f ca="1">IFERROR(INDEX($A$3:$G$400,MATCH(ROWS(AG$3:AG214),$Q$3:$Q$400,0),6),"")</f>
        <v>SE DARE</v>
      </c>
      <c r="AH214" s="48" t="str">
        <f ca="1">IFERROR(INDEX($A$3:$G$400,MATCH(ROWS(AH$3:AH214),$Q$3:$Q$400,0),7),"")</f>
        <v>SE</v>
      </c>
      <c r="AI214" s="48" t="str">
        <f t="shared" ca="1" si="441"/>
        <v>COSTI PER SERVIZI</v>
      </c>
      <c r="AJ214" s="48" t="str">
        <f ca="1">IFERROR(INDEX($A$3:$H$400,MATCH(ROWS(AJ$3:AJ214),$Q$3:$Q$400,0),8),"")</f>
        <v>eb7</v>
      </c>
      <c r="AK214" s="48">
        <f t="shared" ca="1" si="417"/>
        <v>0</v>
      </c>
      <c r="AL214" s="48">
        <f t="shared" ca="1" si="473"/>
        <v>0</v>
      </c>
      <c r="AM214" s="48">
        <f t="shared" ca="1" si="377"/>
        <v>0</v>
      </c>
      <c r="AN214" s="48">
        <f t="shared" ca="1" si="378"/>
        <v>0</v>
      </c>
      <c r="AO214" s="48">
        <f t="shared" ca="1" si="379"/>
        <v>0</v>
      </c>
      <c r="AP214" s="48">
        <f t="shared" ca="1" si="379"/>
        <v>0</v>
      </c>
      <c r="AQ214" s="48" t="str">
        <f t="shared" ca="1" si="418"/>
        <v/>
      </c>
      <c r="AR214" s="48">
        <f t="shared" ca="1" si="419"/>
        <v>0</v>
      </c>
      <c r="AS214" s="48">
        <f t="shared" ca="1" si="420"/>
        <v>0</v>
      </c>
      <c r="AT214" s="48">
        <f t="shared" ca="1" si="442"/>
        <v>0</v>
      </c>
      <c r="AU214" s="48">
        <f t="shared" ca="1" si="443"/>
        <v>0</v>
      </c>
      <c r="AV214" s="48">
        <f ca="1">IF(OR(AT214&gt;0,AU214&gt;0),MAX($AV$2:AV213)+1,0)</f>
        <v>0</v>
      </c>
      <c r="AZ214" s="48" t="str">
        <f t="shared" ca="1" si="484"/>
        <v/>
      </c>
      <c r="BA214" s="48">
        <f t="shared" ca="1" si="480"/>
        <v>0</v>
      </c>
      <c r="BB214" s="48">
        <f t="shared" ca="1" si="481"/>
        <v>0</v>
      </c>
      <c r="BC214" s="48">
        <f t="shared" ca="1" si="482"/>
        <v>0</v>
      </c>
      <c r="BD214" s="48">
        <f t="shared" ca="1" si="383"/>
        <v>0</v>
      </c>
      <c r="BE214" s="48">
        <f t="shared" ca="1" si="384"/>
        <v>0</v>
      </c>
      <c r="BF214" s="48">
        <f t="shared" si="485"/>
        <v>14</v>
      </c>
      <c r="BG214" s="48">
        <f ca="1">IF(IF(AND(OR(INDEX(PDC,MATCH($AC214,DEN_PDC,0),6)="SP DARE",INDEX(PDC,MATCH($AC214,DEN_PDC,0),6)="SP DARE/AVERE"),SUMIFS(DARE,DEN_G,$AC214)&gt;=SUMIFS(AVERE,DEN_G,$AC214)),SUMIFS(DARE,DEN_G,$AC214)-SUMIFS(AVERE,DEN_G,$AC214),0)&gt;0,MAX($BG$2:BG213)+1,0)</f>
        <v>0</v>
      </c>
      <c r="BH214" s="48">
        <f ca="1">IF(IF(AND(OR(INDEX(PDC,MATCH($AC214,DEN_PDC,0),6)="SP AVERE",INDEX(PDC,MATCH($AC214,DEN_PDC,0),6)="SP DARE/AVERE"),SUMIFS(AVERE,DEN_G,$AC214)&gt;=SUMIFS(DARE,DEN_G,$AC214)),SUMIFS(AVERE,DEN_G,$AC214)-SUMIFS(DARE,DEN_G,$AC214),0)&gt;0,MAX(BH$2:BH213)+1,0)</f>
        <v>0</v>
      </c>
      <c r="BI214" s="48">
        <f ca="1">IF(IF(AND(OR(INDEX(PDC,MATCH($AC214,DEN_PDC,0),6)="SE DARE",INDEX(PDC,MATCH($AC214,DEN_PDC,0),6)="SE DARE/AVERE"),SUMIFS(DARE,DEN_G,$AC214)&gt;=SUMIFS(AVERE,DEN_G,$AC214)),SUMIFS(DARE,DEN_G,$AC214)-SUMIFS(AVERE,DEN_G,$AC214),0)&gt;0,MAX(BI$2:BI213)+1,0)</f>
        <v>0</v>
      </c>
      <c r="BJ214" s="48">
        <f ca="1">IF(IF(AND(OR(INDEX(PDC,MATCH($AC214,DEN_PDC,0),6)="SE AVERE",INDEX(PDC,MATCH($AC214,DEN_PDC,0),6)="SE DARE/AVERE"),SUMIFS(AVERE,DEN_G,$AC214)&gt;=SUMIFS(DARE,DEN_G,$AC214)),SUMIFS(AVERE,DEN_G,$AC214)-SUMIFS(DARE,DEN_G,$AC214),0)&gt;0,MAX(BJ$2:BJ213)+1,0)</f>
        <v>0</v>
      </c>
      <c r="BK214" s="48" t="str">
        <f ca="1">IF(AND(AND($DY$2=0,$DY$1=0),$I$1=2,ROW()&gt;$BG$1+2,ROW()&lt;=$BG$1+4),"………………..",IF(AND(OR($DY$2&gt;0,$DY$1&gt;0),$I$1=2,ROW()&gt;$BG$1+2,ROW()&lt;=$BG$1+4),"………………..",IFERROR(INDEX($AC$3:$AC$398,MATCH(ROWS(BK$3:BK214),BG$3:BG$398,0),1),"")))</f>
        <v/>
      </c>
      <c r="BL214" s="48">
        <f t="shared" ca="1" si="421"/>
        <v>0</v>
      </c>
      <c r="BM214" s="48" t="str">
        <f ca="1">IF(AND(OR($DY$2=0,$DY$1=0),$I$1=2,ROW()&gt;$BH$1+2,ROW()&lt;=$BH$1+4),"………………..",IF(AND(OR($DY$2&gt;0,$DY$1&gt;0),$I$1=2,ROW()&gt;$BH$1+2,ROW()&lt;=$BH$1+4),"………………..",IFERROR(INDEX($AC$3:$AC$400,MATCH(ROWS(BM$3:BM214),BH$3:BH$400,0),1),"")))</f>
        <v/>
      </c>
      <c r="BN214" s="48">
        <f t="shared" ca="1" si="422"/>
        <v>0</v>
      </c>
      <c r="BO214" s="48" t="str">
        <f ca="1">IF(AND(OR($DY$2=0,$DY$1=0),$I$1=2,ROW()&gt;$BI$1+2,ROW()&lt;=$BI$1+4),"………………..",IF(AND(OR($DY$2&gt;0,$DY$1&gt;0),$I$1=2,ROW()&gt;$BI$1+2,ROW()&lt;=$BI$1+4),"………………..",IFERROR(INDEX($AC$3:$AC$400,MATCH(ROWS(BO$3:BO214),BI$3:BI$400,0),1),"")))</f>
        <v/>
      </c>
      <c r="BP214" s="48">
        <f t="shared" ca="1" si="423"/>
        <v>0</v>
      </c>
      <c r="BQ214" s="48" t="str">
        <f ca="1">IF(AND(OR($DY$2=0,$DY$1=0),$I$1=2,ROW()&gt;$BJ$1+2,ROW()&lt;=$BJ$1+4),"………………..",IF(AND(OR($DY$2&gt;0,$DY$1&gt;0),$I$1=2,ROW()&gt;$BJ$1+2,ROW()&lt;=$BJ$1+4),"………………..",IFERROR(INDEX($AC$3:$AC$400,MATCH(ROWS(BQ$3:BQ214),BJ$3:BJ$400,0),1),"")))</f>
        <v/>
      </c>
      <c r="BR214" s="48">
        <f t="shared" ca="1" si="424"/>
        <v>0</v>
      </c>
      <c r="BS214" s="48">
        <f ca="1">IF(IF(AND(OR(INDEX(PDC,MATCH($AC214,DEN_PDC,0),4)="D",INDEX(PDC,MATCH($AC214,DEN_PDC,0),4)="D/A"),SUMIFS(DARE,DEN_G,$AC214)&gt;=SUMIFS(AVERE,DEN_G,$AC214)),SUMIFS(DARE,DEN_G,$AC214),IF(AND(OR(INDEX(PDC,MATCH($AC214,DEN_PDC,0),4)="A",INDEX(PDC,MATCH($AC214,DEN_PDC,0),4)="D/A"),SUMIFS(AVERE,DEN_G,$AC214)&gt;=SUMIFS(DARE,DEN_G,$AC214)),SUMIFS(AVERE,DEN_G,$AC214),))&gt;0,MAX($BS$2:BS213)+1,0)</f>
        <v>0</v>
      </c>
      <c r="BT214" s="48" t="str">
        <f ca="1">IF($CO$1=0,"",IF(AND($I$1=2,ROW()&gt;$BR$1,ROW()&lt;=$BS$1)," …………….",IF(AND($E$1=1,$BX$1=1,$I$1=2,ROW()=$BQ$1),"TOTALI",IFERROR(INDEX(PDC,MATCH(ROWS(BT$3:BT214),BS$3:BS611,0),2),""))))</f>
        <v/>
      </c>
      <c r="BU214" s="48">
        <f t="shared" ca="1" si="425"/>
        <v>0</v>
      </c>
      <c r="BV214" s="48">
        <f t="shared" ca="1" si="426"/>
        <v>0</v>
      </c>
      <c r="BW214" s="48">
        <f t="shared" ca="1" si="427"/>
        <v>0</v>
      </c>
      <c r="BX214" s="48">
        <f t="shared" ca="1" si="428"/>
        <v>0</v>
      </c>
      <c r="BY214" s="48">
        <f ca="1">IF(OR(BW214&gt;0,BX214&gt;0),MAX($BY$2:BY213)+1,0)</f>
        <v>0</v>
      </c>
      <c r="BZ214" s="48" t="str">
        <f ca="1">IFERROR(INDEX($BT$3:$BY$400,MATCH(ROWS(BZ$3:BZ214),$BY$3:$BY$400,0),1),"")</f>
        <v/>
      </c>
      <c r="CA214" s="48" t="str">
        <f ca="1">IFERROR(INDEX($BT$3:$BY$400,MATCH(ROWS(CA$3:CA214),$BY$3:$BY$400,0),4),"")</f>
        <v/>
      </c>
      <c r="CB214" s="48" t="str">
        <f ca="1">IFERROR(INDEX($BT$3:$BY$400,MATCH(ROWS(CB$3:CB214),$BY$3:$BY$400,0),5),"")</f>
        <v/>
      </c>
      <c r="CC214" s="48" t="str">
        <f t="shared" ca="1" si="429"/>
        <v/>
      </c>
      <c r="CD214" s="48">
        <f ca="1">IF(CE214&lt;&gt;0,MAX($CD$190:CD213)+1,0)</f>
        <v>0</v>
      </c>
      <c r="CE214" s="48">
        <f ca="1">IF(ROUND(SUMIFS(COPIA!$CA$3:$CA$400,COPIA!$CC$3:$CC$400,CF214)-SUMIFS(COPIA!$CB$3:$CB$400,COPIA!$CC$3:$CC$400,CF214),0)&lt;0,0,ROUND(SUMIFS(COPIA!$CA$3:$CA$400,COPIA!$CC$3:$CC$400,CF214)-SUMIFS(COPIA!$CB$3:$CB$400,COPIA!$CC$3:$CC$400,CF214),0))</f>
        <v>0</v>
      </c>
      <c r="CF214" s="48" t="s">
        <v>718</v>
      </c>
      <c r="CG214" s="242" t="s">
        <v>583</v>
      </c>
      <c r="CH214" s="48">
        <f t="shared" ca="1" si="495"/>
        <v>0</v>
      </c>
      <c r="CM214" s="242" t="str">
        <f t="shared" ca="1" si="444"/>
        <v/>
      </c>
      <c r="CN214" s="243">
        <f t="shared" ca="1" si="445"/>
        <v>0</v>
      </c>
      <c r="CO214" s="48" t="str">
        <f t="shared" ca="1" si="446"/>
        <v/>
      </c>
      <c r="CU214" s="48">
        <f ca="1">IF(SUMIFS(AVERE,DEN_G,AC214,AVERE,"&gt;"&amp;0)+SUMIFS(DARE,DEN_G,AC214,DARE,"&gt;"&amp;0)&gt;0,MAX($CU$2:CU213)+1,0)</f>
        <v>0</v>
      </c>
      <c r="CV214" s="48" t="str">
        <f ca="1">IF(IFERROR(INDEX(PDC,MATCH(ROWS($CV$3:CV214),$CU$3:$CU$400,0),2),"")="CONTO DI RISULTATO ECONOMICO","",IFERROR(INDEX(PDC,MATCH(ROWS($CV$3:CV214),$CU$3:$CU$400,0),2),""))</f>
        <v/>
      </c>
      <c r="CW214" s="48">
        <f ca="1">IFERROR(IF(CV214&lt;&gt;"",MAX($CW$2:CW213)+1,0),0)</f>
        <v>0</v>
      </c>
      <c r="CX214" s="48">
        <f t="shared" ca="1" si="496"/>
        <v>17</v>
      </c>
      <c r="CY214" s="48" t="str">
        <f t="shared" ca="1" si="494"/>
        <v>MASTRO</v>
      </c>
      <c r="CZ214" s="48" t="e">
        <f t="shared" ca="1" si="498"/>
        <v>#N/A</v>
      </c>
      <c r="DA214" s="48" t="str">
        <f t="shared" ref="DA214:DA222" ca="1" si="503">IFERROR(INDEX(LIBRO_GIORNALE,CZ214,1),"")</f>
        <v/>
      </c>
      <c r="DB214" s="48" t="str">
        <f t="shared" ca="1" si="499"/>
        <v/>
      </c>
      <c r="DC214" s="48" t="str">
        <f t="shared" ca="1" si="500"/>
        <v/>
      </c>
      <c r="DD214" s="48" t="str">
        <f t="shared" ca="1" si="501"/>
        <v/>
      </c>
      <c r="DE214" s="48" t="str">
        <f t="shared" ca="1" si="502"/>
        <v/>
      </c>
      <c r="DF214" s="48">
        <f ca="1">IF(AND(CX214=$DF$1,CX214&lt;&gt;""),0,IF(AND(DB214&lt;&gt;"",OR(DB213&lt;&gt;"",DB215&lt;&gt;"")),MAX($DF$2:DF213)+1,0))</f>
        <v>0</v>
      </c>
      <c r="DH214" s="244" t="s">
        <v>420</v>
      </c>
      <c r="DI214" s="48" t="s">
        <v>421</v>
      </c>
      <c r="DJ214" s="48" t="s">
        <v>312</v>
      </c>
      <c r="DK214" s="48" t="s">
        <v>298</v>
      </c>
      <c r="DL214" s="48" t="s">
        <v>5</v>
      </c>
      <c r="DM214" s="48" t="s">
        <v>299</v>
      </c>
      <c r="DN214" s="48">
        <f ca="1">IF(DI214&lt;&gt;"",MAX($DN$2:DN213)+1,0)</f>
        <v>164</v>
      </c>
      <c r="DO214" s="48" t="str">
        <f t="shared" ca="1" si="493"/>
        <v>ppd</v>
      </c>
      <c r="DQ214" s="227" t="s">
        <v>880</v>
      </c>
      <c r="DR214" s="48" t="s">
        <v>157</v>
      </c>
      <c r="DS214" s="48" t="s">
        <v>312</v>
      </c>
      <c r="DT214" s="48" t="s">
        <v>271</v>
      </c>
      <c r="DU214" s="48" t="s">
        <v>1025</v>
      </c>
      <c r="DV214" s="48" t="s">
        <v>302</v>
      </c>
      <c r="DW214" s="48">
        <f ca="1">IF(DR214&lt;&gt;"",MAX($DW$2:DW213)+1,0)</f>
        <v>127</v>
      </c>
      <c r="DX214" s="48" t="str">
        <f ca="1">IF(AND($BF$9=1,SUMIFS(DARE,DEN_G,"="&amp;DR214,DATA,"&gt;="&amp;INIZIO_A_PC,DATA,"&lt;="&amp;FINE_AC)&gt;SUMIFS(AVERE,DEN_G,"="&amp;DR214,DATA,"&gt;="&amp;INIZIO_AC,DATA,"&lt;="&amp;FINE_AC)),"pac25q",IF(AND($BF$9=1,SUMIFS(DARE,DEN_G,"="&amp;DR214,DATA,"&lt;"&amp;INIZIO_A_PC,DATA,"&lt;="&amp;FINE_AC)&lt;SUMIFS(AVERE,DEN_G,"="&amp;DR214,DATA,"&gt;="&amp;INIZIO_AC,DATA,"&lt;="&amp;FINE_AC)),"ppd13",IF(AND($BF$9=2,SUMIFS(DARE,DEN_G,"="&amp;DR214,DATA,"&gt;="&amp;INIZIO_A_PC,DATA,"&lt;="&amp;FINE_AC)&gt;SUMIFS(AVERE,DEN_G,"="&amp;DR214,DATA,"&gt;="&amp;INIZIO_AC,DATA,"&lt;="&amp;FINE_AC)),"pac2","ppd")))</f>
        <v>ppd</v>
      </c>
      <c r="DY214" s="48" t="str">
        <f t="shared" ca="1" si="430"/>
        <v/>
      </c>
      <c r="EL214" s="48">
        <f t="shared" ca="1" si="431"/>
        <v>0</v>
      </c>
      <c r="EM214" s="48">
        <f ca="1">IF(EL214&gt;=0,0,MAX($EM$2:EM213)+1)</f>
        <v>0</v>
      </c>
      <c r="EN214" s="48" t="str">
        <f t="shared" ca="1" si="459"/>
        <v/>
      </c>
      <c r="EO214" s="48" t="str">
        <f ca="1">IFERROR(INDEX($EM$3:$EN$400,MATCH(ROWS($EO$3:EO214),$EM$3:$EM$400,0),2),"")</f>
        <v/>
      </c>
      <c r="EP214" s="48">
        <f>ROW()</f>
        <v>214</v>
      </c>
      <c r="EQ214" s="48">
        <f t="shared" ca="1" si="432"/>
        <v>0</v>
      </c>
      <c r="ER214" s="48">
        <f ca="1">IF(ISNA(EQ214)=TRUE,MAX($ER$2:ER213)+1,0)</f>
        <v>0</v>
      </c>
      <c r="ES214" s="48" t="str">
        <f t="shared" ca="1" si="460"/>
        <v/>
      </c>
      <c r="ET214" s="48" t="str">
        <f ca="1">IFERROR(INDEX($ER$3:$ES$400,MATCH(ROWS($ET$3:ET214),$ER$3:$ER$400,0),2),"")</f>
        <v/>
      </c>
      <c r="EV214" s="48">
        <f ca="1">IFERROR(INDEX(LIBRO_GIORNALE!$O$11:$P$408,MATCH(ROWS($EV$2:EV213),LIBRO_GIORNALE!$P$11:$P$408,0),1),0)</f>
        <v>0</v>
      </c>
      <c r="EW214" s="48" t="str">
        <f t="shared" ca="1" si="461"/>
        <v>0</v>
      </c>
      <c r="EX214" s="48">
        <f t="shared" ca="1" si="462"/>
        <v>0</v>
      </c>
      <c r="EY214" s="48">
        <f ca="1">IF(EX214&gt;0,MAX($EY$2:EY213)+1,0)</f>
        <v>0</v>
      </c>
      <c r="EZ214" s="48">
        <f ca="1">IFERROR(INDEX($EX$3:$EX$400,MATCH(ROWS($EZ$3:EZ214),$EY$3:$EY$400,0),1),0)</f>
        <v>0</v>
      </c>
      <c r="FA214" s="48">
        <f ca="1">IF(EZ214&gt;0,0,MAX($FA$2:FA213)+1)</f>
        <v>212</v>
      </c>
      <c r="FB214" s="48">
        <f t="shared" ca="1" si="463"/>
        <v>0</v>
      </c>
      <c r="FC214" s="48">
        <f t="shared" ca="1" si="464"/>
        <v>212</v>
      </c>
      <c r="FD214" s="48">
        <f t="shared" ca="1" si="465"/>
        <v>212</v>
      </c>
      <c r="FE214" s="48">
        <f ca="1">IF(FD214=0,0,MAX($FE$2:FE213)+1)</f>
        <v>212</v>
      </c>
      <c r="FF214" s="48">
        <f ca="1">IFERROR(INDEX($FD$3:$FE$400,MATCH(ROWS($FF$3:FF214),$FE$3:$FE$400,0),1),"")</f>
        <v>212</v>
      </c>
      <c r="FG214" s="48">
        <f t="shared" ca="1" si="380"/>
        <v>0</v>
      </c>
      <c r="FH214" s="48">
        <f t="shared" ca="1" si="466"/>
        <v>0</v>
      </c>
      <c r="FI214" s="48">
        <f ca="1">IF(FH214&lt;&gt;0,MAX($FI$2:FI213)+1,0)</f>
        <v>0</v>
      </c>
      <c r="FJ214" s="48" t="str">
        <f ca="1">IFERROR(INDEX($FH$3:$FI$400,MATCH(ROWS($FJ$3:FJ214),$FI$3:$FI$400,0),1),"")</f>
        <v/>
      </c>
      <c r="FK214" s="48">
        <f ca="1">IF(ABS(SUMIFS(DARE,DEN_G,"="&amp;FJ214,DATA,"&lt;="&amp;FINE_AC,DATA,"&gt;="&amp;INIZIO_A_PC)-SUMIFS(AVERE,DEN_G,"="&amp;FJ214,DATA,"&lt;="&amp;FINE_AC,DATA,"&gt;="&amp;INIZIO_A_PC))&gt;0,MAX($FK$2:FK213)+1,0)</f>
        <v>0</v>
      </c>
      <c r="FL214" s="48" t="str">
        <f ca="1">IF(AND(ROW()-2&lt;&gt;1,ROW()-2&lt;=$FK$1),CONCATENATE(" - ",IFERROR(INDEX($FJ$3:$FK$400,MATCH(ROWS($FL$3:FL214),$FK$3:$FK$400,0),1),"")),IFERROR(INDEX($FJ$3:$FK$400,MATCH(ROWS($FL$3:FL214),$FK$3:$FK$400,0),1),""))</f>
        <v/>
      </c>
      <c r="FM214" s="48">
        <f ca="1">IF(OR(B214="IVA ns/credito",B214="IVA NS/DEBITO",B214="IVA C/ACCONTO",B214="IMPOSTE C/ACCONTO",B214="CREDITI PER RITENUTE SUBITE",B214="CREDITI D'IMPOSTA"),MAX($FM$2:FM213)+1,0)</f>
        <v>0</v>
      </c>
      <c r="FN214" s="48" t="str">
        <f t="shared" ca="1" si="467"/>
        <v/>
      </c>
      <c r="FO214" s="48" t="str">
        <f ca="1">IFERROR(INDEX($FM$3:$FN$400,MATCH(ROWS($FO$3:FO214),$FM$3:$FM$400,0),2),"")</f>
        <v/>
      </c>
      <c r="FP214" s="48">
        <f ca="1">IF(ABS(SUMIFS(DARE,DEN_G,"="&amp;FO214,DATA,"&lt;="&amp;FINE_AC,DATA,"&gt;="&amp;INIZIO_A_PC)-SUMIFS(AVERE,DEN_G,"="&amp;FO214,DATA,"&lt;="&amp;FINE_AC,DATA,"&gt;="&amp;INIZIO_A_PC))&gt;0,MAX($FP$2:FP213)+1,0)</f>
        <v>0</v>
      </c>
      <c r="FQ214" s="48" t="str">
        <f ca="1">IF(AND(ROW()-2&lt;&gt;1,ROW()-2&lt;=$FP$1),CONCATENATE(" - ",IFERROR(INDEX($FO$3:$FP$400,MATCH(ROWS($FQ$3:FQ214),$FP$3:$FP$400,0),1),"")),IFERROR(INDEX($FO$3:$FP$400,MATCH(ROWS($FQ$3:FQ214),$FP$3:$FP$400,0),1),""))</f>
        <v/>
      </c>
    </row>
    <row r="215" spans="1:173" x14ac:dyDescent="0.3">
      <c r="A215" s="48" t="str">
        <f ca="1">IFERROR(IF($A$1=2,INDEX($DH$3:$DN$401,MATCH(ROWS(A$3:A215),$DN$3:$DN$401,0),COLUMN()),IF($A$1=1,INDEX($DQ$3:$DW$401,MATCH(ROWS(A$3:A215),$DW$3:$DW$401,0),COLUMN()),"")),"")</f>
        <v>30.00</v>
      </c>
      <c r="B215" s="48" t="str">
        <f ca="1">IFERROR(IF($A$1=2,INDEX($DH$3:$DN$401,MATCH(ROWS(B$3:B215),$DN$3:$DN$401,0),COLUMN()),IF($A$1=1,INDEX($DQ$3:$DW$400,MATCH(ROWS(B$3:B215),$DW$3:$DW$401,0),COLUMN()),"")),"")</f>
        <v>COSTI DELLE MATERIE</v>
      </c>
      <c r="C215" s="48">
        <f ca="1">IFERROR(IF($A$1=2,INDEX($DH$3:$DN$401,MATCH(ROWS(C$3:C215),$DN$3:$DN$401,0),COLUMN()),IF($A$1=1,INDEX($DQ$3:$DW$401,MATCH(ROWS(C$3:C215),$DW$3:$DW$401,0),COLUMN()),"")),"")</f>
        <v>0</v>
      </c>
      <c r="D215" s="48">
        <f ca="1">IFERROR(IF($A$1=2,INDEX($DH$3:$DN$401,MATCH(ROWS(D$3:D215),$DN$3:$DN$401,0),COLUMN()),IF($A$1=1,INDEX($DQ$3:$DW$401,MATCH(ROWS(D$3:D215),$DW$3:$DW$401,0),COLUMN()),"")),"")</f>
        <v>0</v>
      </c>
      <c r="E215" s="48">
        <f ca="1">IFERROR(IF($A$1=2,INDEX($DH$3:$DN$401,MATCH(ROWS(E$3:E215),$DN$3:$DN$401,0),COLUMN()),IF($A$1=1,INDEX($DQ$3:$DW$401,MATCH(ROWS(E$3:E215),$DW$3:$DW$401,0),COLUMN()),"")),"")</f>
        <v>0</v>
      </c>
      <c r="F215" s="48">
        <f ca="1">IFERROR(IF($A$1=2,INDEX($DH$3:$DN$401,MATCH(ROWS(F$3:F215),$DN$3:$DN$401,0),COLUMN()),IF($A$1=1,INDEX($DQ$3:$DX$401,MATCH(ROWS(F$3:F215),$DW$3:$DW$401,0),COLUMN()),"")),"")</f>
        <v>0</v>
      </c>
      <c r="G215" s="48" t="str">
        <f t="shared" ca="1" si="433"/>
        <v>0</v>
      </c>
      <c r="H215" s="48">
        <f ca="1">IFERROR(IF($A$1=2,INDEX($DH$3:$DO$400,MATCH(ROWS(H$3:H215),$DN$3:$DN$400,0),COLUMN()),IF($A$1=1,INDEX($DQ$3:$DX$400,MATCH(ROWS(H$3:H215),$DW$3:$DW$400,0),COLUMN()),"")),"")</f>
        <v>0</v>
      </c>
      <c r="M215" s="48">
        <f ca="1">IFERROR(IF(IF(MID($A215,3,3)=".00",MID(A215,1,2),"")&lt;&gt;"",MAX($M$2:M214)+1,0),"")</f>
        <v>22</v>
      </c>
      <c r="N215" s="48" t="str">
        <f t="shared" ca="1" si="438"/>
        <v>30</v>
      </c>
      <c r="O215" s="48" t="str">
        <f ca="1">IF(IFERROR(INDEX($N$3:$O$300,MATCH(ROWS($O$3:O215),$M$3:$M$300,0),1),"")&lt;&gt;"",CONCATENATE(INDEX($N$3:$O$300,MATCH(ROWS($O$3:O215),$M$3:$M$300,0),1),".00"),"")</f>
        <v/>
      </c>
      <c r="P215" s="48" t="str">
        <f t="shared" ca="1" si="439"/>
        <v/>
      </c>
      <c r="Q215" s="48">
        <f ca="1">IF(M215&gt;=1,0,MAX($Q$2:Q214)+1)</f>
        <v>0</v>
      </c>
      <c r="U215" s="48" t="str">
        <f ca="1">IFERROR(INDEX(PDC,MATCH(ROWS(U$3:U215),$V$3:$V$400,0),2),"")</f>
        <v>COMMISSIONI BANCARIE</v>
      </c>
      <c r="V215" s="48">
        <f ca="1">IF(AND($T$1="VISUALIZZA TUTTI I CONTI",AA215&lt;&gt;""),MAX($V$2:V214)+1,IF(AND($U$2=2,AI215=$T$1),MAX($V$2:V214)+1,IF(AND($U$2=1,$T$1=AF215),MAX($V$2:V214)+1,0)))</f>
        <v>213</v>
      </c>
      <c r="AA215" s="48" t="str">
        <f t="shared" ca="1" si="440"/>
        <v>31.00</v>
      </c>
      <c r="AB215" s="48" t="str">
        <f ca="1">IFERROR(INDEX($A$3:$G$400,MATCH(ROWS(AB$3:AB215),$Q$3:$Q$400,0),1),"")</f>
        <v>31.15</v>
      </c>
      <c r="AC215" s="48" t="str">
        <f ca="1">IFERROR(INDEX($A$3:$G$400,MATCH(ROWS($AC$3:AC215),$Q$3:$Q$400,0),2),"")</f>
        <v>COMMISSIONI BANCARIE</v>
      </c>
      <c r="AD215" s="48" t="str">
        <f ca="1">IFERROR(INDEX($A$3:$G$400,MATCH(ROWS(AD$3:AD215),$Q$3:$Q$400,0),3),"")</f>
        <v>E</v>
      </c>
      <c r="AE215" s="48" t="str">
        <f ca="1">IFERROR(INDEX($A$3:$G$400,MATCH(ROWS(AE$3:AE215),$Q$3:$Q$400,0),4),"")</f>
        <v>D</v>
      </c>
      <c r="AF215" s="48" t="str">
        <f ca="1">IFERROR(INDEX($A$3:$G$400,MATCH(ROWS(AF$3:AF215),$Q$3:$Q$400,0),5),"")</f>
        <v>COSTI D'ESERCIZIO</v>
      </c>
      <c r="AG215" s="48" t="str">
        <f ca="1">IFERROR(INDEX($A$3:$G$400,MATCH(ROWS(AG$3:AG215),$Q$3:$Q$400,0),6),"")</f>
        <v>SE DARE</v>
      </c>
      <c r="AH215" s="48" t="str">
        <f ca="1">IFERROR(INDEX($A$3:$G$400,MATCH(ROWS(AH$3:AH215),$Q$3:$Q$400,0),7),"")</f>
        <v>SE</v>
      </c>
      <c r="AI215" s="48" t="str">
        <f t="shared" ca="1" si="441"/>
        <v>COSTI PER SERVIZI</v>
      </c>
      <c r="AJ215" s="48" t="str">
        <f ca="1">IFERROR(INDEX($A$3:$H$400,MATCH(ROWS(AJ$3:AJ215),$Q$3:$Q$400,0),8),"")</f>
        <v>eb7</v>
      </c>
      <c r="AK215" s="48">
        <f t="shared" ca="1" si="417"/>
        <v>0</v>
      </c>
      <c r="AL215" s="48">
        <f t="shared" ca="1" si="473"/>
        <v>0</v>
      </c>
      <c r="AM215" s="48">
        <f t="shared" ca="1" si="377"/>
        <v>0</v>
      </c>
      <c r="AN215" s="48">
        <f t="shared" ca="1" si="378"/>
        <v>0</v>
      </c>
      <c r="AO215" s="48">
        <f t="shared" ca="1" si="379"/>
        <v>0</v>
      </c>
      <c r="AP215" s="48">
        <f t="shared" ca="1" si="379"/>
        <v>0</v>
      </c>
      <c r="AQ215" s="48" t="str">
        <f t="shared" ca="1" si="418"/>
        <v/>
      </c>
      <c r="AR215" s="48">
        <f t="shared" ca="1" si="419"/>
        <v>0</v>
      </c>
      <c r="AS215" s="48">
        <f t="shared" ca="1" si="420"/>
        <v>0</v>
      </c>
      <c r="AT215" s="48">
        <f t="shared" ca="1" si="442"/>
        <v>0</v>
      </c>
      <c r="AU215" s="48">
        <f t="shared" ca="1" si="443"/>
        <v>0</v>
      </c>
      <c r="AV215" s="48">
        <f ca="1">IF(OR(AT215&gt;0,AU215&gt;0),MAX($AV$2:AV214)+1,0)</f>
        <v>0</v>
      </c>
      <c r="AZ215" s="48" t="str">
        <f t="shared" ca="1" si="484"/>
        <v/>
      </c>
      <c r="BA215" s="48">
        <f t="shared" ca="1" si="480"/>
        <v>0</v>
      </c>
      <c r="BB215" s="48">
        <f t="shared" ca="1" si="481"/>
        <v>0</v>
      </c>
      <c r="BC215" s="48">
        <f t="shared" ca="1" si="482"/>
        <v>0</v>
      </c>
      <c r="BD215" s="48">
        <f t="shared" ca="1" si="383"/>
        <v>0</v>
      </c>
      <c r="BE215" s="48">
        <f t="shared" ca="1" si="384"/>
        <v>0</v>
      </c>
      <c r="BF215" s="48">
        <f t="shared" si="485"/>
        <v>15</v>
      </c>
      <c r="BG215" s="48">
        <f ca="1">IF(IF(AND(OR(INDEX(PDC,MATCH($AC215,DEN_PDC,0),6)="SP DARE",INDEX(PDC,MATCH($AC215,DEN_PDC,0),6)="SP DARE/AVERE"),SUMIFS(DARE,DEN_G,$AC215)&gt;=SUMIFS(AVERE,DEN_G,$AC215)),SUMIFS(DARE,DEN_G,$AC215)-SUMIFS(AVERE,DEN_G,$AC215),0)&gt;0,MAX($BG$2:BG214)+1,0)</f>
        <v>0</v>
      </c>
      <c r="BH215" s="48">
        <f ca="1">IF(IF(AND(OR(INDEX(PDC,MATCH($AC215,DEN_PDC,0),6)="SP AVERE",INDEX(PDC,MATCH($AC215,DEN_PDC,0),6)="SP DARE/AVERE"),SUMIFS(AVERE,DEN_G,$AC215)&gt;=SUMIFS(DARE,DEN_G,$AC215)),SUMIFS(AVERE,DEN_G,$AC215)-SUMIFS(DARE,DEN_G,$AC215),0)&gt;0,MAX(BH$2:BH214)+1,0)</f>
        <v>0</v>
      </c>
      <c r="BI215" s="48">
        <f ca="1">IF(IF(AND(OR(INDEX(PDC,MATCH($AC215,DEN_PDC,0),6)="SE DARE",INDEX(PDC,MATCH($AC215,DEN_PDC,0),6)="SE DARE/AVERE"),SUMIFS(DARE,DEN_G,$AC215)&gt;=SUMIFS(AVERE,DEN_G,$AC215)),SUMIFS(DARE,DEN_G,$AC215)-SUMIFS(AVERE,DEN_G,$AC215),0)&gt;0,MAX(BI$2:BI214)+1,0)</f>
        <v>0</v>
      </c>
      <c r="BJ215" s="48">
        <f ca="1">IF(IF(AND(OR(INDEX(PDC,MATCH($AC215,DEN_PDC,0),6)="SE AVERE",INDEX(PDC,MATCH($AC215,DEN_PDC,0),6)="SE DARE/AVERE"),SUMIFS(AVERE,DEN_G,$AC215)&gt;=SUMIFS(DARE,DEN_G,$AC215)),SUMIFS(AVERE,DEN_G,$AC215)-SUMIFS(DARE,DEN_G,$AC215),0)&gt;0,MAX(BJ$2:BJ214)+1,0)</f>
        <v>0</v>
      </c>
      <c r="BK215" s="48" t="str">
        <f ca="1">IF(AND(AND($DY$2=0,$DY$1=0),$I$1=2,ROW()&gt;$BG$1+2,ROW()&lt;=$BG$1+4),"………………..",IF(AND(OR($DY$2&gt;0,$DY$1&gt;0),$I$1=2,ROW()&gt;$BG$1+2,ROW()&lt;=$BG$1+4),"………………..",IFERROR(INDEX($AC$3:$AC$398,MATCH(ROWS(BK$3:BK215),BG$3:BG$398,0),1),"")))</f>
        <v/>
      </c>
      <c r="BL215" s="48">
        <f t="shared" ca="1" si="421"/>
        <v>0</v>
      </c>
      <c r="BM215" s="48" t="str">
        <f ca="1">IF(AND(OR($DY$2=0,$DY$1=0),$I$1=2,ROW()&gt;$BH$1+2,ROW()&lt;=$BH$1+4),"………………..",IF(AND(OR($DY$2&gt;0,$DY$1&gt;0),$I$1=2,ROW()&gt;$BH$1+2,ROW()&lt;=$BH$1+4),"………………..",IFERROR(INDEX($AC$3:$AC$400,MATCH(ROWS(BM$3:BM215),BH$3:BH$400,0),1),"")))</f>
        <v/>
      </c>
      <c r="BN215" s="48">
        <f t="shared" ca="1" si="422"/>
        <v>0</v>
      </c>
      <c r="BO215" s="48" t="str">
        <f ca="1">IF(AND(OR($DY$2=0,$DY$1=0),$I$1=2,ROW()&gt;$BI$1+2,ROW()&lt;=$BI$1+4),"………………..",IF(AND(OR($DY$2&gt;0,$DY$1&gt;0),$I$1=2,ROW()&gt;$BI$1+2,ROW()&lt;=$BI$1+4),"………………..",IFERROR(INDEX($AC$3:$AC$400,MATCH(ROWS(BO$3:BO215),BI$3:BI$400,0),1),"")))</f>
        <v/>
      </c>
      <c r="BP215" s="48">
        <f t="shared" ca="1" si="423"/>
        <v>0</v>
      </c>
      <c r="BQ215" s="48" t="str">
        <f ca="1">IF(AND(OR($DY$2=0,$DY$1=0),$I$1=2,ROW()&gt;$BJ$1+2,ROW()&lt;=$BJ$1+4),"………………..",IF(AND(OR($DY$2&gt;0,$DY$1&gt;0),$I$1=2,ROW()&gt;$BJ$1+2,ROW()&lt;=$BJ$1+4),"………………..",IFERROR(INDEX($AC$3:$AC$400,MATCH(ROWS(BQ$3:BQ215),BJ$3:BJ$400,0),1),"")))</f>
        <v/>
      </c>
      <c r="BR215" s="48">
        <f t="shared" ca="1" si="424"/>
        <v>0</v>
      </c>
      <c r="BS215" s="48">
        <f ca="1">IF(IF(AND(OR(INDEX(PDC,MATCH($AC215,DEN_PDC,0),4)="D",INDEX(PDC,MATCH($AC215,DEN_PDC,0),4)="D/A"),SUMIFS(DARE,DEN_G,$AC215)&gt;=SUMIFS(AVERE,DEN_G,$AC215)),SUMIFS(DARE,DEN_G,$AC215),IF(AND(OR(INDEX(PDC,MATCH($AC215,DEN_PDC,0),4)="A",INDEX(PDC,MATCH($AC215,DEN_PDC,0),4)="D/A"),SUMIFS(AVERE,DEN_G,$AC215)&gt;=SUMIFS(DARE,DEN_G,$AC215)),SUMIFS(AVERE,DEN_G,$AC215),))&gt;0,MAX($BS$2:BS214)+1,0)</f>
        <v>0</v>
      </c>
      <c r="BT215" s="48" t="str">
        <f ca="1">IF($CO$1=0,"",IF(AND($I$1=2,ROW()&gt;$BR$1,ROW()&lt;=$BS$1)," …………….",IF(AND($E$1=1,$BX$1=1,$I$1=2,ROW()=$BQ$1),"TOTALI",IFERROR(INDEX(PDC,MATCH(ROWS(BT$3:BT215),BS$3:BS612,0),2),""))))</f>
        <v/>
      </c>
      <c r="BU215" s="48">
        <f t="shared" ca="1" si="425"/>
        <v>0</v>
      </c>
      <c r="BV215" s="48">
        <f t="shared" ca="1" si="426"/>
        <v>0</v>
      </c>
      <c r="BW215" s="48">
        <f t="shared" ca="1" si="427"/>
        <v>0</v>
      </c>
      <c r="BX215" s="48">
        <f t="shared" ca="1" si="428"/>
        <v>0</v>
      </c>
      <c r="BY215" s="48">
        <f ca="1">IF(OR(BW215&gt;0,BX215&gt;0),MAX($BY$2:BY214)+1,0)</f>
        <v>0</v>
      </c>
      <c r="BZ215" s="48" t="str">
        <f ca="1">IFERROR(INDEX($BT$3:$BY$400,MATCH(ROWS(BZ$3:BZ215),$BY$3:$BY$400,0),1),"")</f>
        <v/>
      </c>
      <c r="CA215" s="48" t="str">
        <f ca="1">IFERROR(INDEX($BT$3:$BY$400,MATCH(ROWS(CA$3:CA215),$BY$3:$BY$400,0),4),"")</f>
        <v/>
      </c>
      <c r="CB215" s="48" t="str">
        <f ca="1">IFERROR(INDEX($BT$3:$BY$400,MATCH(ROWS(CB$3:CB215),$BY$3:$BY$400,0),5),"")</f>
        <v/>
      </c>
      <c r="CC215" s="48" t="str">
        <f t="shared" ca="1" si="429"/>
        <v/>
      </c>
      <c r="CD215" s="48">
        <f ca="1">IF(CE215&lt;&gt;0,MAX($CD$190:CD214)+1,0)</f>
        <v>0</v>
      </c>
      <c r="CE215" s="48">
        <f ca="1">IF(ROUND(SUMIFS(COPIA!$CA$3:$CA$400,COPIA!$CC$3:$CC$400,CF215)-SUMIFS(COPIA!$CB$3:$CB$400,COPIA!$CC$3:$CC$400,CF215),0)&lt;0,0,ROUND(SUMIFS(COPIA!$CA$3:$CA$400,COPIA!$CC$3:$CC$400,CF215)-SUMIFS(COPIA!$CB$3:$CB$400,COPIA!$CC$3:$CC$400,CF215),0))</f>
        <v>0</v>
      </c>
      <c r="CF215" s="48" t="s">
        <v>749</v>
      </c>
      <c r="CG215" s="242" t="s">
        <v>584</v>
      </c>
      <c r="CH215" s="48">
        <f t="shared" ca="1" si="495"/>
        <v>0</v>
      </c>
      <c r="CM215" s="242" t="str">
        <f t="shared" ca="1" si="444"/>
        <v/>
      </c>
      <c r="CN215" s="243">
        <f t="shared" ca="1" si="445"/>
        <v>0</v>
      </c>
      <c r="CO215" s="48" t="str">
        <f t="shared" ca="1" si="446"/>
        <v/>
      </c>
      <c r="CU215" s="48">
        <f ca="1">IF(SUMIFS(AVERE,DEN_G,AC215,AVERE,"&gt;"&amp;0)+SUMIFS(DARE,DEN_G,AC215,DARE,"&gt;"&amp;0)&gt;0,MAX($CU$2:CU214)+1,0)</f>
        <v>0</v>
      </c>
      <c r="CV215" s="48" t="str">
        <f ca="1">IF(IFERROR(INDEX(PDC,MATCH(ROWS($CV$3:CV215),$CU$3:$CU$400,0),2),"")="CONTO DI RISULTATO ECONOMICO","",IFERROR(INDEX(PDC,MATCH(ROWS($CV$3:CV215),$CU$3:$CU$400,0),2),""))</f>
        <v/>
      </c>
      <c r="CW215" s="48">
        <f ca="1">IFERROR(IF(CV215&lt;&gt;"",MAX($CW$2:CW214)+1,0),0)</f>
        <v>0</v>
      </c>
      <c r="CX215" s="48">
        <f t="shared" ca="1" si="496"/>
        <v>17</v>
      </c>
      <c r="CY215" s="48" t="str">
        <f t="shared" ca="1" si="494"/>
        <v>MASTRO</v>
      </c>
      <c r="CZ215" s="48" t="e">
        <f t="shared" ca="1" si="498"/>
        <v>#N/A</v>
      </c>
      <c r="DA215" s="48" t="str">
        <f t="shared" ca="1" si="503"/>
        <v/>
      </c>
      <c r="DB215" s="48" t="str">
        <f t="shared" ca="1" si="499"/>
        <v/>
      </c>
      <c r="DC215" s="48" t="str">
        <f t="shared" ca="1" si="500"/>
        <v/>
      </c>
      <c r="DD215" s="48" t="str">
        <f t="shared" ca="1" si="501"/>
        <v/>
      </c>
      <c r="DE215" s="48" t="str">
        <f t="shared" ca="1" si="502"/>
        <v/>
      </c>
      <c r="DF215" s="48">
        <f ca="1">IF(AND(CX215=$DF$1,CX215&lt;&gt;""),0,IF(AND(DB215&lt;&gt;"",OR(DB214&lt;&gt;"",DB216&lt;&gt;"")),MAX($DF$2:DF214)+1,0))</f>
        <v>0</v>
      </c>
      <c r="DH215" s="244" t="s">
        <v>930</v>
      </c>
      <c r="DI215" s="48" t="s">
        <v>931</v>
      </c>
      <c r="DJ215" s="48" t="s">
        <v>312</v>
      </c>
      <c r="DK215" s="48" t="s">
        <v>298</v>
      </c>
      <c r="DL215" s="48" t="s">
        <v>5</v>
      </c>
      <c r="DM215" s="48" t="s">
        <v>299</v>
      </c>
      <c r="DN215" s="48">
        <f ca="1">IF(DI215&lt;&gt;"",MAX($DN$2:DN214)+1,0)</f>
        <v>165</v>
      </c>
      <c r="DO215" s="48" t="str">
        <f t="shared" ca="1" si="493"/>
        <v>ppd</v>
      </c>
      <c r="DQ215" s="227" t="s">
        <v>881</v>
      </c>
      <c r="DR215" s="48" t="str">
        <f ca="1">IF(INDIRECT(ADDRESS(8,11,,,"PIANO_DEI_CONTI"))="","BANCA X C/C",UPPER(INDIRECT(ADDRESS(8,11,,,"PIANO_DEI_CONTI"))))</f>
        <v>BANCA X C/C</v>
      </c>
      <c r="DS215" s="48" t="s">
        <v>312</v>
      </c>
      <c r="DT215" s="48" t="s">
        <v>271</v>
      </c>
      <c r="DU215" s="48" t="s">
        <v>1025</v>
      </c>
      <c r="DV215" s="48" t="s">
        <v>302</v>
      </c>
      <c r="DW215" s="48">
        <f ca="1">IF(DR215&lt;&gt;"",MAX($DW$2:DW214)+1,0)</f>
        <v>128</v>
      </c>
      <c r="DX215" s="48" t="str">
        <f ca="1">IF(AND($BF$9=1,SUMIFS(DARE,DEN_G,"="&amp;DR215,DATA,"&gt;="&amp;INIZIO_A_PC,DATA,"&lt;="&amp;FINE_AC)&gt;SUMIFS(AVERE,DEN_G,"="&amp;DR215,DATA,"&gt;="&amp;INIZIO_AC,DATA,"&lt;="&amp;FINE_AC)),"pac41",IF(AND($BF$9=1,SUMIFS(DARE,DEN_G,"="&amp;DR215,DATA,"&lt;"&amp;INIZIO_A_PC,DATA,"&lt;="&amp;FINE_AC)&lt;SUMIFS(AVERE,DEN_G,"="&amp;DR215,DATA,"&gt;="&amp;INIZIO_AC,DATA,"&lt;="&amp;FINE_AC)),"ppd4",IF(AND($BF$9=2,SUMIFS(DARE,DEN_G,"="&amp;DR215,DATA,"&gt;="&amp;INIZIO_A_PC,DATA,"&lt;="&amp;FINE_AC)&gt;SUMIFS(AVERE,DEN_G,"="&amp;DR215,DATA,"&gt;="&amp;INIZIO_AC,DATA,"&lt;="&amp;FINE_AC)),"pac4","ppd")))</f>
        <v>ppd</v>
      </c>
      <c r="DY215" s="48" t="str">
        <f t="shared" ca="1" si="430"/>
        <v/>
      </c>
      <c r="EL215" s="48">
        <f t="shared" ca="1" si="431"/>
        <v>0</v>
      </c>
      <c r="EM215" s="48">
        <f ca="1">IF(EL215&gt;=0,0,MAX($EM$2:EM214)+1)</f>
        <v>0</v>
      </c>
      <c r="EN215" s="48" t="str">
        <f t="shared" ca="1" si="459"/>
        <v/>
      </c>
      <c r="EO215" s="48" t="str">
        <f ca="1">IFERROR(INDEX($EM$3:$EN$400,MATCH(ROWS($EO$3:EO215),$EM$3:$EM$400,0),2),"")</f>
        <v/>
      </c>
      <c r="EP215" s="48">
        <f>ROW()</f>
        <v>215</v>
      </c>
      <c r="EQ215" s="48">
        <f t="shared" ca="1" si="432"/>
        <v>0</v>
      </c>
      <c r="ER215" s="48">
        <f ca="1">IF(ISNA(EQ215)=TRUE,MAX($ER$2:ER214)+1,0)</f>
        <v>0</v>
      </c>
      <c r="ES215" s="48" t="str">
        <f t="shared" ca="1" si="460"/>
        <v/>
      </c>
      <c r="ET215" s="48" t="str">
        <f ca="1">IFERROR(INDEX($ER$3:$ES$400,MATCH(ROWS($ET$3:ET215),$ER$3:$ER$400,0),2),"")</f>
        <v/>
      </c>
      <c r="EV215" s="48">
        <f ca="1">IFERROR(INDEX(LIBRO_GIORNALE!$O$11:$P$408,MATCH(ROWS($EV$2:EV214),LIBRO_GIORNALE!$P$11:$P$408,0),1),0)</f>
        <v>0</v>
      </c>
      <c r="EW215" s="48" t="str">
        <f t="shared" ca="1" si="461"/>
        <v>0</v>
      </c>
      <c r="EX215" s="48">
        <f t="shared" ca="1" si="462"/>
        <v>0</v>
      </c>
      <c r="EY215" s="48">
        <f ca="1">IF(EX215&gt;0,MAX($EY$2:EY214)+1,0)</f>
        <v>0</v>
      </c>
      <c r="EZ215" s="48">
        <f ca="1">IFERROR(INDEX($EX$3:$EX$400,MATCH(ROWS($EZ$3:EZ215),$EY$3:$EY$400,0),1),0)</f>
        <v>0</v>
      </c>
      <c r="FA215" s="48">
        <f ca="1">IF(EZ215&gt;0,0,MAX($FA$2:FA214)+1)</f>
        <v>213</v>
      </c>
      <c r="FB215" s="48">
        <f t="shared" ca="1" si="463"/>
        <v>0</v>
      </c>
      <c r="FC215" s="48">
        <f t="shared" ca="1" si="464"/>
        <v>213</v>
      </c>
      <c r="FD215" s="48">
        <f t="shared" ca="1" si="465"/>
        <v>213</v>
      </c>
      <c r="FE215" s="48">
        <f ca="1">IF(FD215=0,0,MAX($FE$2:FE214)+1)</f>
        <v>213</v>
      </c>
      <c r="FF215" s="48">
        <f ca="1">IFERROR(INDEX($FD$3:$FE$400,MATCH(ROWS($FF$3:FF215),$FE$3:$FE$400,0),1),"")</f>
        <v>213</v>
      </c>
      <c r="FG215" s="48">
        <f t="shared" ca="1" si="380"/>
        <v>0</v>
      </c>
      <c r="FH215" s="48">
        <f t="shared" ca="1" si="466"/>
        <v>0</v>
      </c>
      <c r="FI215" s="48">
        <f ca="1">IF(FH215&lt;&gt;0,MAX($FI$2:FI214)+1,0)</f>
        <v>0</v>
      </c>
      <c r="FJ215" s="48" t="str">
        <f ca="1">IFERROR(INDEX($FH$3:$FI$400,MATCH(ROWS($FJ$3:FJ215),$FI$3:$FI$400,0),1),"")</f>
        <v/>
      </c>
      <c r="FK215" s="48">
        <f ca="1">IF(ABS(SUMIFS(DARE,DEN_G,"="&amp;FJ215,DATA,"&lt;="&amp;FINE_AC,DATA,"&gt;="&amp;INIZIO_A_PC)-SUMIFS(AVERE,DEN_G,"="&amp;FJ215,DATA,"&lt;="&amp;FINE_AC,DATA,"&gt;="&amp;INIZIO_A_PC))&gt;0,MAX($FK$2:FK214)+1,0)</f>
        <v>0</v>
      </c>
      <c r="FL215" s="48" t="str">
        <f ca="1">IF(AND(ROW()-2&lt;&gt;1,ROW()-2&lt;=$FK$1),CONCATENATE(" - ",IFERROR(INDEX($FJ$3:$FK$400,MATCH(ROWS($FL$3:FL215),$FK$3:$FK$400,0),1),"")),IFERROR(INDEX($FJ$3:$FK$400,MATCH(ROWS($FL$3:FL215),$FK$3:$FK$400,0),1),""))</f>
        <v/>
      </c>
      <c r="FM215" s="48">
        <f ca="1">IF(OR(B215="IVA ns/credito",B215="IVA NS/DEBITO",B215="IVA C/ACCONTO",B215="IMPOSTE C/ACCONTO",B215="CREDITI PER RITENUTE SUBITE",B215="CREDITI D'IMPOSTA"),MAX($FM$2:FM214)+1,0)</f>
        <v>0</v>
      </c>
      <c r="FN215" s="48" t="str">
        <f t="shared" ca="1" si="467"/>
        <v/>
      </c>
      <c r="FO215" s="48" t="str">
        <f ca="1">IFERROR(INDEX($FM$3:$FN$400,MATCH(ROWS($FO$3:FO215),$FM$3:$FM$400,0),2),"")</f>
        <v/>
      </c>
      <c r="FP215" s="48">
        <f ca="1">IF(ABS(SUMIFS(DARE,DEN_G,"="&amp;FO215,DATA,"&lt;="&amp;FINE_AC,DATA,"&gt;="&amp;INIZIO_A_PC)-SUMIFS(AVERE,DEN_G,"="&amp;FO215,DATA,"&lt;="&amp;FINE_AC,DATA,"&gt;="&amp;INIZIO_A_PC))&gt;0,MAX($FP$2:FP214)+1,0)</f>
        <v>0</v>
      </c>
      <c r="FQ215" s="48" t="str">
        <f ca="1">IF(AND(ROW()-2&lt;&gt;1,ROW()-2&lt;=$FP$1),CONCATENATE(" - ",IFERROR(INDEX($FO$3:$FP$400,MATCH(ROWS($FQ$3:FQ215),$FP$3:$FP$400,0),1),"")),IFERROR(INDEX($FO$3:$FP$400,MATCH(ROWS($FQ$3:FQ215),$FP$3:$FP$400,0),1),""))</f>
        <v/>
      </c>
    </row>
    <row r="216" spans="1:173" x14ac:dyDescent="0.3">
      <c r="A216" s="48" t="str">
        <f ca="1">IFERROR(IF($A$1=2,INDEX($DH$3:$DN$401,MATCH(ROWS(A$3:A216),$DN$3:$DN$401,0),COLUMN()),IF($A$1=1,INDEX($DQ$3:$DW$401,MATCH(ROWS(A$3:A216),$DW$3:$DW$401,0),COLUMN()),"")),"")</f>
        <v>30.01</v>
      </c>
      <c r="B216" s="48" t="str">
        <f ca="1">IFERROR(IF($A$1=2,INDEX($DH$3:$DN$401,MATCH(ROWS(B$3:B216),$DN$3:$DN$401,0),COLUMN()),IF($A$1=1,INDEX($DQ$3:$DW$400,MATCH(ROWS(B$3:B216),$DW$3:$DW$401,0),COLUMN()),"")),"")</f>
        <v>MATERIE PRIME C/ACQUISTI</v>
      </c>
      <c r="C216" s="48" t="str">
        <f ca="1">IFERROR(IF($A$1=2,INDEX($DH$3:$DN$401,MATCH(ROWS(C$3:C216),$DN$3:$DN$401,0),COLUMN()),IF($A$1=1,INDEX($DQ$3:$DW$401,MATCH(ROWS(C$3:C216),$DW$3:$DW$401,0),COLUMN()),"")),"")</f>
        <v>E</v>
      </c>
      <c r="D216" s="48" t="str">
        <f ca="1">IFERROR(IF($A$1=2,INDEX($DH$3:$DN$401,MATCH(ROWS(D$3:D216),$DN$3:$DN$401,0),COLUMN()),IF($A$1=1,INDEX($DQ$3:$DW$401,MATCH(ROWS(D$3:D216),$DW$3:$DW$401,0),COLUMN()),"")),"")</f>
        <v>D</v>
      </c>
      <c r="E216" s="48" t="str">
        <f ca="1">IFERROR(IF($A$1=2,INDEX($DH$3:$DN$401,MATCH(ROWS(E$3:E216),$DN$3:$DN$401,0),COLUMN()),IF($A$1=1,INDEX($DQ$3:$DW$401,MATCH(ROWS(E$3:E216),$DW$3:$DW$401,0),COLUMN()),"")),"")</f>
        <v>COSTI D'ESERCIZIO</v>
      </c>
      <c r="F216" s="48" t="str">
        <f ca="1">IFERROR(IF($A$1=2,INDEX($DH$3:$DN$401,MATCH(ROWS(F$3:F216),$DN$3:$DN$401,0),COLUMN()),IF($A$1=1,INDEX($DQ$3:$DX$401,MATCH(ROWS(F$3:F216),$DW$3:$DW$401,0),COLUMN()),"")),"")</f>
        <v>SE DARE</v>
      </c>
      <c r="G216" s="48" t="str">
        <f t="shared" ca="1" si="433"/>
        <v>SE</v>
      </c>
      <c r="H216" s="48" t="str">
        <f ca="1">IFERROR(IF($A$1=2,INDEX($DH$3:$DO$400,MATCH(ROWS(H$3:H216),$DN$3:$DN$400,0),COLUMN()),IF($A$1=1,INDEX($DQ$3:$DX$400,MATCH(ROWS(H$3:H216),$DW$3:$DW$400,0),COLUMN()),"")),"")</f>
        <v>eb6</v>
      </c>
      <c r="M216" s="48">
        <f ca="1">IFERROR(IF(IF(MID($A216,3,3)=".00",MID(A216,1,2),"")&lt;&gt;"",MAX($M$2:M215)+1,0),"")</f>
        <v>0</v>
      </c>
      <c r="N216" s="48" t="str">
        <f t="shared" ca="1" si="438"/>
        <v/>
      </c>
      <c r="O216" s="48" t="str">
        <f ca="1">IF(IFERROR(INDEX($N$3:$O$300,MATCH(ROWS($O$3:O216),$M$3:$M$300,0),1),"")&lt;&gt;"",CONCATENATE(INDEX($N$3:$O$300,MATCH(ROWS($O$3:O216),$M$3:$M$300,0),1),".00"),"")</f>
        <v/>
      </c>
      <c r="P216" s="48" t="str">
        <f t="shared" ca="1" si="439"/>
        <v/>
      </c>
      <c r="Q216" s="48">
        <f ca="1">IF(M216&gt;=1,0,MAX($Q$2:Q215)+1)</f>
        <v>192</v>
      </c>
      <c r="U216" s="48" t="str">
        <f ca="1">IFERROR(INDEX(PDC,MATCH(ROWS(U$3:U216),$V$3:$V$400,0),2),"")</f>
        <v>COSTI DI TENUTA C/C</v>
      </c>
      <c r="V216" s="48">
        <f ca="1">IF(AND($T$1="VISUALIZZA TUTTI I CONTI",AA216&lt;&gt;""),MAX($V$2:V215)+1,IF(AND($U$2=2,AI216=$T$1),MAX($V$2:V215)+1,IF(AND($U$2=1,$T$1=AF216),MAX($V$2:V215)+1,0)))</f>
        <v>214</v>
      </c>
      <c r="AA216" s="48" t="str">
        <f t="shared" ca="1" si="440"/>
        <v>31.00</v>
      </c>
      <c r="AB216" s="48" t="str">
        <f ca="1">IFERROR(INDEX($A$3:$G$400,MATCH(ROWS(AB$3:AB216),$Q$3:$Q$400,0),1),"")</f>
        <v>31.16</v>
      </c>
      <c r="AC216" s="48" t="str">
        <f ca="1">IFERROR(INDEX($A$3:$G$400,MATCH(ROWS($AC$3:AC216),$Q$3:$Q$400,0),2),"")</f>
        <v>COSTI DI TENUTA C/C</v>
      </c>
      <c r="AD216" s="48" t="str">
        <f ca="1">IFERROR(INDEX($A$3:$G$400,MATCH(ROWS(AD$3:AD216),$Q$3:$Q$400,0),3),"")</f>
        <v>E</v>
      </c>
      <c r="AE216" s="48" t="str">
        <f ca="1">IFERROR(INDEX($A$3:$G$400,MATCH(ROWS(AE$3:AE216),$Q$3:$Q$400,0),4),"")</f>
        <v>D</v>
      </c>
      <c r="AF216" s="48" t="str">
        <f ca="1">IFERROR(INDEX($A$3:$G$400,MATCH(ROWS(AF$3:AF216),$Q$3:$Q$400,0),5),"")</f>
        <v>COSTI D'ESERCIZIO</v>
      </c>
      <c r="AG216" s="48" t="str">
        <f ca="1">IFERROR(INDEX($A$3:$G$400,MATCH(ROWS(AG$3:AG216),$Q$3:$Q$400,0),6),"")</f>
        <v>SE DARE</v>
      </c>
      <c r="AH216" s="48" t="str">
        <f ca="1">IFERROR(INDEX($A$3:$G$400,MATCH(ROWS(AH$3:AH216),$Q$3:$Q$400,0),7),"")</f>
        <v>SE</v>
      </c>
      <c r="AI216" s="48" t="str">
        <f t="shared" ca="1" si="441"/>
        <v>COSTI PER SERVIZI</v>
      </c>
      <c r="AJ216" s="48" t="str">
        <f ca="1">IFERROR(INDEX($A$3:$H$400,MATCH(ROWS(AJ$3:AJ216),$Q$3:$Q$400,0),8),"")</f>
        <v>eb7</v>
      </c>
      <c r="AK216" s="48">
        <f t="shared" ca="1" si="417"/>
        <v>0</v>
      </c>
      <c r="AL216" s="48">
        <f t="shared" ca="1" si="473"/>
        <v>0</v>
      </c>
      <c r="AM216" s="48">
        <f t="shared" ca="1" si="377"/>
        <v>0</v>
      </c>
      <c r="AN216" s="48">
        <f t="shared" ca="1" si="378"/>
        <v>0</v>
      </c>
      <c r="AO216" s="48">
        <f t="shared" ca="1" si="379"/>
        <v>0</v>
      </c>
      <c r="AP216" s="48">
        <f t="shared" ca="1" si="379"/>
        <v>0</v>
      </c>
      <c r="AQ216" s="48" t="str">
        <f t="shared" ca="1" si="418"/>
        <v/>
      </c>
      <c r="AR216" s="48">
        <f t="shared" ca="1" si="419"/>
        <v>0</v>
      </c>
      <c r="AS216" s="48">
        <f t="shared" ca="1" si="420"/>
        <v>0</v>
      </c>
      <c r="AT216" s="48">
        <f t="shared" ca="1" si="442"/>
        <v>0</v>
      </c>
      <c r="AU216" s="48">
        <f t="shared" ca="1" si="443"/>
        <v>0</v>
      </c>
      <c r="AV216" s="48">
        <f ca="1">IF(OR(AT216&gt;0,AU216&gt;0),MAX($AV$2:AV215)+1,0)</f>
        <v>0</v>
      </c>
      <c r="AZ216" s="48" t="str">
        <f t="shared" ca="1" si="484"/>
        <v/>
      </c>
      <c r="BA216" s="48">
        <f t="shared" ca="1" si="480"/>
        <v>0</v>
      </c>
      <c r="BB216" s="48">
        <f t="shared" ca="1" si="481"/>
        <v>0</v>
      </c>
      <c r="BC216" s="48">
        <f t="shared" ca="1" si="482"/>
        <v>0</v>
      </c>
      <c r="BD216" s="48">
        <f t="shared" ca="1" si="383"/>
        <v>0</v>
      </c>
      <c r="BE216" s="48">
        <f t="shared" ca="1" si="384"/>
        <v>0</v>
      </c>
      <c r="BF216" s="48">
        <f t="shared" si="485"/>
        <v>16</v>
      </c>
      <c r="BG216" s="48">
        <f ca="1">IF(IF(AND(OR(INDEX(PDC,MATCH($AC216,DEN_PDC,0),6)="SP DARE",INDEX(PDC,MATCH($AC216,DEN_PDC,0),6)="SP DARE/AVERE"),SUMIFS(DARE,DEN_G,$AC216)&gt;=SUMIFS(AVERE,DEN_G,$AC216)),SUMIFS(DARE,DEN_G,$AC216)-SUMIFS(AVERE,DEN_G,$AC216),0)&gt;0,MAX($BG$2:BG215)+1,0)</f>
        <v>0</v>
      </c>
      <c r="BH216" s="48">
        <f ca="1">IF(IF(AND(OR(INDEX(PDC,MATCH($AC216,DEN_PDC,0),6)="SP AVERE",INDEX(PDC,MATCH($AC216,DEN_PDC,0),6)="SP DARE/AVERE"),SUMIFS(AVERE,DEN_G,$AC216)&gt;=SUMIFS(DARE,DEN_G,$AC216)),SUMIFS(AVERE,DEN_G,$AC216)-SUMIFS(DARE,DEN_G,$AC216),0)&gt;0,MAX(BH$2:BH215)+1,0)</f>
        <v>0</v>
      </c>
      <c r="BI216" s="48">
        <f ca="1">IF(IF(AND(OR(INDEX(PDC,MATCH($AC216,DEN_PDC,0),6)="SE DARE",INDEX(PDC,MATCH($AC216,DEN_PDC,0),6)="SE DARE/AVERE"),SUMIFS(DARE,DEN_G,$AC216)&gt;=SUMIFS(AVERE,DEN_G,$AC216)),SUMIFS(DARE,DEN_G,$AC216)-SUMIFS(AVERE,DEN_G,$AC216),0)&gt;0,MAX(BI$2:BI215)+1,0)</f>
        <v>0</v>
      </c>
      <c r="BJ216" s="48">
        <f ca="1">IF(IF(AND(OR(INDEX(PDC,MATCH($AC216,DEN_PDC,0),6)="SE AVERE",INDEX(PDC,MATCH($AC216,DEN_PDC,0),6)="SE DARE/AVERE"),SUMIFS(AVERE,DEN_G,$AC216)&gt;=SUMIFS(DARE,DEN_G,$AC216)),SUMIFS(AVERE,DEN_G,$AC216)-SUMIFS(DARE,DEN_G,$AC216),0)&gt;0,MAX(BJ$2:BJ215)+1,0)</f>
        <v>0</v>
      </c>
      <c r="BK216" s="48" t="str">
        <f ca="1">IF(AND(AND($DY$2=0,$DY$1=0),$I$1=2,ROW()&gt;$BG$1+2,ROW()&lt;=$BG$1+4),"………………..",IF(AND(OR($DY$2&gt;0,$DY$1&gt;0),$I$1=2,ROW()&gt;$BG$1+2,ROW()&lt;=$BG$1+4),"………………..",IFERROR(INDEX($AC$3:$AC$398,MATCH(ROWS(BK$3:BK216),BG$3:BG$398,0),1),"")))</f>
        <v/>
      </c>
      <c r="BL216" s="48">
        <f t="shared" ca="1" si="421"/>
        <v>0</v>
      </c>
      <c r="BM216" s="48" t="str">
        <f ca="1">IF(AND(OR($DY$2=0,$DY$1=0),$I$1=2,ROW()&gt;$BH$1+2,ROW()&lt;=$BH$1+4),"………………..",IF(AND(OR($DY$2&gt;0,$DY$1&gt;0),$I$1=2,ROW()&gt;$BH$1+2,ROW()&lt;=$BH$1+4),"………………..",IFERROR(INDEX($AC$3:$AC$400,MATCH(ROWS(BM$3:BM216),BH$3:BH$400,0),1),"")))</f>
        <v/>
      </c>
      <c r="BN216" s="48">
        <f t="shared" ca="1" si="422"/>
        <v>0</v>
      </c>
      <c r="BO216" s="48" t="str">
        <f ca="1">IF(AND(OR($DY$2=0,$DY$1=0),$I$1=2,ROW()&gt;$BI$1+2,ROW()&lt;=$BI$1+4),"………………..",IF(AND(OR($DY$2&gt;0,$DY$1&gt;0),$I$1=2,ROW()&gt;$BI$1+2,ROW()&lt;=$BI$1+4),"………………..",IFERROR(INDEX($AC$3:$AC$400,MATCH(ROWS(BO$3:BO216),BI$3:BI$400,0),1),"")))</f>
        <v/>
      </c>
      <c r="BP216" s="48">
        <f t="shared" ca="1" si="423"/>
        <v>0</v>
      </c>
      <c r="BQ216" s="48" t="str">
        <f ca="1">IF(AND(OR($DY$2=0,$DY$1=0),$I$1=2,ROW()&gt;$BJ$1+2,ROW()&lt;=$BJ$1+4),"………………..",IF(AND(OR($DY$2&gt;0,$DY$1&gt;0),$I$1=2,ROW()&gt;$BJ$1+2,ROW()&lt;=$BJ$1+4),"………………..",IFERROR(INDEX($AC$3:$AC$400,MATCH(ROWS(BQ$3:BQ216),BJ$3:BJ$400,0),1),"")))</f>
        <v/>
      </c>
      <c r="BR216" s="48">
        <f t="shared" ca="1" si="424"/>
        <v>0</v>
      </c>
      <c r="BS216" s="48">
        <f ca="1">IF(IF(AND(OR(INDEX(PDC,MATCH($AC216,DEN_PDC,0),4)="D",INDEX(PDC,MATCH($AC216,DEN_PDC,0),4)="D/A"),SUMIFS(DARE,DEN_G,$AC216)&gt;=SUMIFS(AVERE,DEN_G,$AC216)),SUMIFS(DARE,DEN_G,$AC216),IF(AND(OR(INDEX(PDC,MATCH($AC216,DEN_PDC,0),4)="A",INDEX(PDC,MATCH($AC216,DEN_PDC,0),4)="D/A"),SUMIFS(AVERE,DEN_G,$AC216)&gt;=SUMIFS(DARE,DEN_G,$AC216)),SUMIFS(AVERE,DEN_G,$AC216),))&gt;0,MAX($BS$2:BS215)+1,0)</f>
        <v>0</v>
      </c>
      <c r="BT216" s="48" t="str">
        <f ca="1">IF($CO$1=0,"",IF(AND($I$1=2,ROW()&gt;$BR$1,ROW()&lt;=$BS$1)," …………….",IF(AND($E$1=1,$BX$1=1,$I$1=2,ROW()=$BQ$1),"TOTALI",IFERROR(INDEX(PDC,MATCH(ROWS(BT$3:BT216),BS$3:BS613,0),2),""))))</f>
        <v/>
      </c>
      <c r="BU216" s="48">
        <f t="shared" ca="1" si="425"/>
        <v>0</v>
      </c>
      <c r="BV216" s="48">
        <f t="shared" ca="1" si="426"/>
        <v>0</v>
      </c>
      <c r="BW216" s="48">
        <f t="shared" ca="1" si="427"/>
        <v>0</v>
      </c>
      <c r="BX216" s="48">
        <f t="shared" ca="1" si="428"/>
        <v>0</v>
      </c>
      <c r="BY216" s="48">
        <f ca="1">IF(OR(BW216&gt;0,BX216&gt;0),MAX($BY$2:BY215)+1,0)</f>
        <v>0</v>
      </c>
      <c r="BZ216" s="48" t="str">
        <f ca="1">IFERROR(INDEX($BT$3:$BY$400,MATCH(ROWS(BZ$3:BZ216),$BY$3:$BY$400,0),1),"")</f>
        <v/>
      </c>
      <c r="CA216" s="48" t="str">
        <f ca="1">IFERROR(INDEX($BT$3:$BY$400,MATCH(ROWS(CA$3:CA216),$BY$3:$BY$400,0),4),"")</f>
        <v/>
      </c>
      <c r="CB216" s="48" t="str">
        <f ca="1">IFERROR(INDEX($BT$3:$BY$400,MATCH(ROWS(CB$3:CB216),$BY$3:$BY$400,0),5),"")</f>
        <v/>
      </c>
      <c r="CC216" s="48" t="str">
        <f t="shared" ca="1" si="429"/>
        <v/>
      </c>
      <c r="CD216" s="48">
        <f ca="1">IF(CE216&lt;&gt;0,MAX($CD$190:CD215)+1,0)</f>
        <v>0</v>
      </c>
      <c r="CE216" s="48">
        <f ca="1">ROUND(SUMIFS(COPIA!$CA$3:$CA$400,COPIA!$CC$3:$CC$400,CF216)-SUMIFS(COPIA!$CB$3:$CB$400,COPIA!$CC$3:$CC$400,CF216),0)</f>
        <v>0</v>
      </c>
      <c r="CF216" s="48" t="s">
        <v>719</v>
      </c>
      <c r="CG216" s="242" t="s">
        <v>968</v>
      </c>
      <c r="CH216" s="48">
        <f t="shared" ca="1" si="495"/>
        <v>0</v>
      </c>
      <c r="CM216" s="242" t="str">
        <f t="shared" ca="1" si="444"/>
        <v/>
      </c>
      <c r="CN216" s="243">
        <f t="shared" ca="1" si="445"/>
        <v>0</v>
      </c>
      <c r="CO216" s="48" t="str">
        <f t="shared" ca="1" si="446"/>
        <v/>
      </c>
      <c r="CU216" s="48">
        <f ca="1">IF(SUMIFS(AVERE,DEN_G,AC216,AVERE,"&gt;"&amp;0)+SUMIFS(DARE,DEN_G,AC216,DARE,"&gt;"&amp;0)&gt;0,MAX($CU$2:CU215)+1,0)</f>
        <v>0</v>
      </c>
      <c r="CV216" s="48" t="str">
        <f ca="1">IF(IFERROR(INDEX(PDC,MATCH(ROWS($CV$3:CV216),$CU$3:$CU$400,0),2),"")="CONTO DI RISULTATO ECONOMICO","",IFERROR(INDEX(PDC,MATCH(ROWS($CV$3:CV216),$CU$3:$CU$400,0),2),""))</f>
        <v/>
      </c>
      <c r="CW216" s="48">
        <f ca="1">IFERROR(IF(CV216&lt;&gt;"",MAX($CW$2:CW215)+1,0),0)</f>
        <v>0</v>
      </c>
      <c r="CX216" s="48">
        <f t="shared" ca="1" si="496"/>
        <v>17</v>
      </c>
      <c r="CY216" s="48" t="str">
        <f t="shared" ca="1" si="494"/>
        <v>MASTRO</v>
      </c>
      <c r="CZ216" s="48" t="e">
        <f t="shared" ca="1" si="498"/>
        <v>#N/A</v>
      </c>
      <c r="DA216" s="48" t="str">
        <f t="shared" ca="1" si="503"/>
        <v/>
      </c>
      <c r="DB216" s="48" t="str">
        <f t="shared" ca="1" si="499"/>
        <v/>
      </c>
      <c r="DC216" s="48" t="str">
        <f t="shared" ca="1" si="500"/>
        <v/>
      </c>
      <c r="DD216" s="48" t="str">
        <f t="shared" ca="1" si="501"/>
        <v/>
      </c>
      <c r="DE216" s="48" t="str">
        <f t="shared" ca="1" si="502"/>
        <v/>
      </c>
      <c r="DF216" s="48">
        <f ca="1">IF(AND(CX216=$DF$1,CX216&lt;&gt;""),0,IF(AND(DB216&lt;&gt;"",OR(DB215&lt;&gt;"",DB217&lt;&gt;"")),MAX($DF$2:DF215)+1,0))</f>
        <v>0</v>
      </c>
      <c r="DH216" s="244" t="s">
        <v>1023</v>
      </c>
      <c r="DJ216" s="48" t="s">
        <v>312</v>
      </c>
      <c r="DK216" s="48" t="s">
        <v>298</v>
      </c>
      <c r="DL216" s="48" t="s">
        <v>5</v>
      </c>
      <c r="DM216" s="48" t="s">
        <v>299</v>
      </c>
      <c r="DN216" s="48">
        <f>IF(DI216&lt;&gt;"",MAX($DN$2:DN215)+1,0)</f>
        <v>0</v>
      </c>
      <c r="DO216" s="48" t="str">
        <f t="shared" ca="1" si="493"/>
        <v>ppd</v>
      </c>
      <c r="DQ216" s="227" t="s">
        <v>882</v>
      </c>
      <c r="DR216" s="48" t="str">
        <f ca="1">IF(INDIRECT(ADDRESS(9,11,,,"PIANO_DEI_CONTI"))="","BANCA Y C/C",UPPER(INDIRECT(ADDRESS(9,11,,,"PIANO_DEI_CONTI"))))</f>
        <v>BANCA Y C/C</v>
      </c>
      <c r="DS216" s="48" t="s">
        <v>312</v>
      </c>
      <c r="DT216" s="48" t="s">
        <v>271</v>
      </c>
      <c r="DU216" s="48" t="s">
        <v>1025</v>
      </c>
      <c r="DV216" s="48" t="s">
        <v>302</v>
      </c>
      <c r="DW216" s="48">
        <f ca="1">IF(DR216&lt;&gt;"",MAX($DW$2:DW215)+1,0)</f>
        <v>129</v>
      </c>
      <c r="DX216" s="48" t="str">
        <f ca="1">IF(AND($BF$9=1,SUMIFS(DARE,DEN_G,"="&amp;DR216,DATA,"&gt;="&amp;INIZIO_A_PC,DATA,"&lt;="&amp;FINE_AC)&gt;SUMIFS(AVERE,DEN_G,"="&amp;DR216,DATA,"&gt;="&amp;INIZIO_AC,DATA,"&lt;="&amp;FINE_AC)),"pac41",IF(AND($BF$9=1,SUMIFS(DARE,DEN_G,"="&amp;DR216,DATA,"&lt;"&amp;INIZIO_A_PC,DATA,"&lt;="&amp;FINE_AC)&lt;SUMIFS(AVERE,DEN_G,"="&amp;DR216,DATA,"&gt;="&amp;INIZIO_AC,DATA,"&lt;="&amp;FINE_AC)),"ppd4",IF(AND($BF$9=2,SUMIFS(DARE,DEN_G,"="&amp;DR216,DATA,"&gt;="&amp;INIZIO_A_PC,DATA,"&lt;="&amp;FINE_AC)&gt;SUMIFS(AVERE,DEN_G,"="&amp;DR216,DATA,"&gt;="&amp;INIZIO_AC,DATA,"&lt;="&amp;FINE_AC)),"pac4","ppd")))</f>
        <v>ppd</v>
      </c>
      <c r="DY216" s="48" t="str">
        <f t="shared" ca="1" si="430"/>
        <v/>
      </c>
      <c r="EL216" s="48">
        <f t="shared" ca="1" si="431"/>
        <v>0</v>
      </c>
      <c r="EM216" s="48">
        <f ca="1">IF(EL216&gt;=0,0,MAX($EM$2:EM215)+1)</f>
        <v>0</v>
      </c>
      <c r="EN216" s="48" t="str">
        <f t="shared" ca="1" si="459"/>
        <v/>
      </c>
      <c r="EO216" s="48" t="str">
        <f ca="1">IFERROR(INDEX($EM$3:$EN$400,MATCH(ROWS($EO$3:EO216),$EM$3:$EM$400,0),2),"")</f>
        <v/>
      </c>
      <c r="EP216" s="48">
        <f>ROW()</f>
        <v>216</v>
      </c>
      <c r="EQ216" s="48">
        <f t="shared" ca="1" si="432"/>
        <v>0</v>
      </c>
      <c r="ER216" s="48">
        <f ca="1">IF(ISNA(EQ216)=TRUE,MAX($ER$2:ER215)+1,0)</f>
        <v>0</v>
      </c>
      <c r="ES216" s="48" t="str">
        <f t="shared" ca="1" si="460"/>
        <v/>
      </c>
      <c r="ET216" s="48" t="str">
        <f ca="1">IFERROR(INDEX($ER$3:$ES$400,MATCH(ROWS($ET$3:ET216),$ER$3:$ER$400,0),2),"")</f>
        <v/>
      </c>
      <c r="EV216" s="48">
        <f ca="1">IFERROR(INDEX(LIBRO_GIORNALE!$O$11:$P$408,MATCH(ROWS($EV$2:EV215),LIBRO_GIORNALE!$P$11:$P$408,0),1),0)</f>
        <v>0</v>
      </c>
      <c r="EW216" s="48" t="str">
        <f t="shared" ca="1" si="461"/>
        <v>0</v>
      </c>
      <c r="EX216" s="48">
        <f t="shared" ca="1" si="462"/>
        <v>0</v>
      </c>
      <c r="EY216" s="48">
        <f ca="1">IF(EX216&gt;0,MAX($EY$2:EY215)+1,0)</f>
        <v>0</v>
      </c>
      <c r="EZ216" s="48">
        <f ca="1">IFERROR(INDEX($EX$3:$EX$400,MATCH(ROWS($EZ$3:EZ216),$EY$3:$EY$400,0),1),0)</f>
        <v>0</v>
      </c>
      <c r="FA216" s="48">
        <f ca="1">IF(EZ216&gt;0,0,MAX($FA$2:FA215)+1)</f>
        <v>214</v>
      </c>
      <c r="FB216" s="48">
        <f t="shared" ca="1" si="463"/>
        <v>0</v>
      </c>
      <c r="FC216" s="48">
        <f t="shared" ca="1" si="464"/>
        <v>214</v>
      </c>
      <c r="FD216" s="48">
        <f t="shared" ca="1" si="465"/>
        <v>214</v>
      </c>
      <c r="FE216" s="48">
        <f ca="1">IF(FD216=0,0,MAX($FE$2:FE215)+1)</f>
        <v>214</v>
      </c>
      <c r="FF216" s="48">
        <f ca="1">IFERROR(INDEX($FD$3:$FE$400,MATCH(ROWS($FF$3:FF216),$FE$3:$FE$400,0),1),"")</f>
        <v>214</v>
      </c>
      <c r="FG216" s="48">
        <f t="shared" ca="1" si="380"/>
        <v>0</v>
      </c>
      <c r="FH216" s="48">
        <f t="shared" ca="1" si="466"/>
        <v>0</v>
      </c>
      <c r="FI216" s="48">
        <f ca="1">IF(FH216&lt;&gt;0,MAX($FI$2:FI215)+1,0)</f>
        <v>0</v>
      </c>
      <c r="FJ216" s="48" t="str">
        <f ca="1">IFERROR(INDEX($FH$3:$FI$400,MATCH(ROWS($FJ$3:FJ216),$FI$3:$FI$400,0),1),"")</f>
        <v/>
      </c>
      <c r="FK216" s="48">
        <f ca="1">IF(ABS(SUMIFS(DARE,DEN_G,"="&amp;FJ216,DATA,"&lt;="&amp;FINE_AC,DATA,"&gt;="&amp;INIZIO_A_PC)-SUMIFS(AVERE,DEN_G,"="&amp;FJ216,DATA,"&lt;="&amp;FINE_AC,DATA,"&gt;="&amp;INIZIO_A_PC))&gt;0,MAX($FK$2:FK215)+1,0)</f>
        <v>0</v>
      </c>
      <c r="FL216" s="48" t="str">
        <f ca="1">IF(AND(ROW()-2&lt;&gt;1,ROW()-2&lt;=$FK$1),CONCATENATE(" - ",IFERROR(INDEX($FJ$3:$FK$400,MATCH(ROWS($FL$3:FL216),$FK$3:$FK$400,0),1),"")),IFERROR(INDEX($FJ$3:$FK$400,MATCH(ROWS($FL$3:FL216),$FK$3:$FK$400,0),1),""))</f>
        <v/>
      </c>
      <c r="FM216" s="48">
        <f ca="1">IF(OR(B216="IVA ns/credito",B216="IVA NS/DEBITO",B216="IVA C/ACCONTO",B216="IMPOSTE C/ACCONTO",B216="CREDITI PER RITENUTE SUBITE",B216="CREDITI D'IMPOSTA"),MAX($FM$2:FM215)+1,0)</f>
        <v>0</v>
      </c>
      <c r="FN216" s="48" t="str">
        <f t="shared" ca="1" si="467"/>
        <v/>
      </c>
      <c r="FO216" s="48" t="str">
        <f ca="1">IFERROR(INDEX($FM$3:$FN$400,MATCH(ROWS($FO$3:FO216),$FM$3:$FM$400,0),2),"")</f>
        <v/>
      </c>
      <c r="FP216" s="48">
        <f ca="1">IF(ABS(SUMIFS(DARE,DEN_G,"="&amp;FO216,DATA,"&lt;="&amp;FINE_AC,DATA,"&gt;="&amp;INIZIO_A_PC)-SUMIFS(AVERE,DEN_G,"="&amp;FO216,DATA,"&lt;="&amp;FINE_AC,DATA,"&gt;="&amp;INIZIO_A_PC))&gt;0,MAX($FP$2:FP215)+1,0)</f>
        <v>0</v>
      </c>
      <c r="FQ216" s="48" t="str">
        <f ca="1">IF(AND(ROW()-2&lt;&gt;1,ROW()-2&lt;=$FP$1),CONCATENATE(" - ",IFERROR(INDEX($FO$3:$FP$400,MATCH(ROWS($FQ$3:FQ216),$FP$3:$FP$400,0),1),"")),IFERROR(INDEX($FO$3:$FP$400,MATCH(ROWS($FQ$3:FQ216),$FP$3:$FP$400,0),1),""))</f>
        <v/>
      </c>
    </row>
    <row r="217" spans="1:173" x14ac:dyDescent="0.3">
      <c r="A217" s="48" t="str">
        <f ca="1">IFERROR(IF($A$1=2,INDEX($DH$3:$DN$401,MATCH(ROWS(A$3:A217),$DN$3:$DN$401,0),COLUMN()),IF($A$1=1,INDEX($DQ$3:$DW$401,MATCH(ROWS(A$3:A217),$DW$3:$DW$401,0),COLUMN()),"")),"")</f>
        <v>30.02</v>
      </c>
      <c r="B217" s="48" t="str">
        <f ca="1">IFERROR(IF($A$1=2,INDEX($DH$3:$DN$401,MATCH(ROWS(B$3:B217),$DN$3:$DN$401,0),COLUMN()),IF($A$1=1,INDEX($DQ$3:$DW$400,MATCH(ROWS(B$3:B217),$DW$3:$DW$401,0),COLUMN()),"")),"")</f>
        <v>MATERIE SUSSIDIARIE C/ACQUISTI</v>
      </c>
      <c r="C217" s="48" t="str">
        <f ca="1">IFERROR(IF($A$1=2,INDEX($DH$3:$DN$401,MATCH(ROWS(C$3:C217),$DN$3:$DN$401,0),COLUMN()),IF($A$1=1,INDEX($DQ$3:$DW$401,MATCH(ROWS(C$3:C217),$DW$3:$DW$401,0),COLUMN()),"")),"")</f>
        <v>E</v>
      </c>
      <c r="D217" s="48" t="str">
        <f ca="1">IFERROR(IF($A$1=2,INDEX($DH$3:$DN$401,MATCH(ROWS(D$3:D217),$DN$3:$DN$401,0),COLUMN()),IF($A$1=1,INDEX($DQ$3:$DW$401,MATCH(ROWS(D$3:D217),$DW$3:$DW$401,0),COLUMN()),"")),"")</f>
        <v>D</v>
      </c>
      <c r="E217" s="48" t="str">
        <f ca="1">IFERROR(IF($A$1=2,INDEX($DH$3:$DN$401,MATCH(ROWS(E$3:E217),$DN$3:$DN$401,0),COLUMN()),IF($A$1=1,INDEX($DQ$3:$DW$401,MATCH(ROWS(E$3:E217),$DW$3:$DW$401,0),COLUMN()),"")),"")</f>
        <v>COSTI D'ESERCIZIO</v>
      </c>
      <c r="F217" s="48" t="str">
        <f ca="1">IFERROR(IF($A$1=2,INDEX($DH$3:$DN$401,MATCH(ROWS(F$3:F217),$DN$3:$DN$401,0),COLUMN()),IF($A$1=1,INDEX($DQ$3:$DX$401,MATCH(ROWS(F$3:F217),$DW$3:$DW$401,0),COLUMN()),"")),"")</f>
        <v>SE DARE</v>
      </c>
      <c r="G217" s="48" t="str">
        <f t="shared" ca="1" si="433"/>
        <v>SE</v>
      </c>
      <c r="H217" s="48" t="str">
        <f ca="1">IFERROR(IF($A$1=2,INDEX($DH$3:$DO$400,MATCH(ROWS(H$3:H217),$DN$3:$DN$400,0),COLUMN()),IF($A$1=1,INDEX($DQ$3:$DX$400,MATCH(ROWS(H$3:H217),$DW$3:$DW$400,0),COLUMN()),"")),"")</f>
        <v>eb6</v>
      </c>
      <c r="M217" s="48">
        <f ca="1">IFERROR(IF(IF(MID($A217,3,3)=".00",MID(A217,1,2),"")&lt;&gt;"",MAX($M$2:M216)+1,0),"")</f>
        <v>0</v>
      </c>
      <c r="N217" s="48" t="str">
        <f t="shared" ca="1" si="438"/>
        <v/>
      </c>
      <c r="O217" s="48" t="str">
        <f ca="1">IF(IFERROR(INDEX($N$3:$O$300,MATCH(ROWS($O$3:O217),$M$3:$M$300,0),1),"")&lt;&gt;"",CONCATENATE(INDEX($N$3:$O$300,MATCH(ROWS($O$3:O217),$M$3:$M$300,0),1),".00"),"")</f>
        <v/>
      </c>
      <c r="P217" s="48" t="str">
        <f t="shared" ca="1" si="439"/>
        <v/>
      </c>
      <c r="Q217" s="48">
        <f ca="1">IF(M217&gt;=1,0,MAX($Q$2:Q216)+1)</f>
        <v>193</v>
      </c>
      <c r="U217" s="48" t="str">
        <f ca="1">IFERROR(INDEX(PDC,MATCH(ROWS(U$3:U217),$V$3:$V$400,0),2),"")</f>
        <v>ONERI DI FACTORING</v>
      </c>
      <c r="V217" s="48">
        <f ca="1">IF(AND($T$1="VISUALIZZA TUTTI I CONTI",AA217&lt;&gt;""),MAX($V$2:V216)+1,IF(AND($U$2=2,AI217=$T$1),MAX($V$2:V216)+1,IF(AND($U$2=1,$T$1=AF217),MAX($V$2:V216)+1,0)))</f>
        <v>215</v>
      </c>
      <c r="AA217" s="48" t="str">
        <f t="shared" ca="1" si="440"/>
        <v>31.00</v>
      </c>
      <c r="AB217" s="48" t="str">
        <f ca="1">IFERROR(INDEX($A$3:$G$400,MATCH(ROWS(AB$3:AB217),$Q$3:$Q$400,0),1),"")</f>
        <v>31.17</v>
      </c>
      <c r="AC217" s="48" t="str">
        <f ca="1">IFERROR(INDEX($A$3:$G$400,MATCH(ROWS($AC$3:AC217),$Q$3:$Q$400,0),2),"")</f>
        <v>ONERI DI FACTORING</v>
      </c>
      <c r="AD217" s="48" t="str">
        <f ca="1">IFERROR(INDEX($A$3:$G$400,MATCH(ROWS(AD$3:AD217),$Q$3:$Q$400,0),3),"")</f>
        <v>E</v>
      </c>
      <c r="AE217" s="48" t="str">
        <f ca="1">IFERROR(INDEX($A$3:$G$400,MATCH(ROWS(AE$3:AE217),$Q$3:$Q$400,0),4),"")</f>
        <v>D</v>
      </c>
      <c r="AF217" s="48" t="str">
        <f ca="1">IFERROR(INDEX($A$3:$G$400,MATCH(ROWS(AF$3:AF217),$Q$3:$Q$400,0),5),"")</f>
        <v>COSTI D'ESERCIZIO</v>
      </c>
      <c r="AG217" s="48" t="str">
        <f ca="1">IFERROR(INDEX($A$3:$G$400,MATCH(ROWS(AG$3:AG217),$Q$3:$Q$400,0),6),"")</f>
        <v>SE DARE</v>
      </c>
      <c r="AH217" s="48" t="str">
        <f ca="1">IFERROR(INDEX($A$3:$G$400,MATCH(ROWS(AH$3:AH217),$Q$3:$Q$400,0),7),"")</f>
        <v>SE</v>
      </c>
      <c r="AI217" s="48" t="str">
        <f t="shared" ca="1" si="441"/>
        <v>COSTI PER SERVIZI</v>
      </c>
      <c r="AJ217" s="48" t="str">
        <f ca="1">IFERROR(INDEX($A$3:$H$400,MATCH(ROWS(AJ$3:AJ217),$Q$3:$Q$400,0),8),"")</f>
        <v>eb7</v>
      </c>
      <c r="AK217" s="48">
        <f t="shared" ca="1" si="417"/>
        <v>0</v>
      </c>
      <c r="AL217" s="48">
        <f t="shared" ca="1" si="473"/>
        <v>0</v>
      </c>
      <c r="AM217" s="48">
        <f t="shared" ca="1" si="377"/>
        <v>0</v>
      </c>
      <c r="AN217" s="48">
        <f t="shared" ca="1" si="378"/>
        <v>0</v>
      </c>
      <c r="AO217" s="48">
        <f t="shared" ca="1" si="379"/>
        <v>0</v>
      </c>
      <c r="AP217" s="48">
        <f t="shared" ca="1" si="379"/>
        <v>0</v>
      </c>
      <c r="AQ217" s="48" t="str">
        <f t="shared" ca="1" si="418"/>
        <v/>
      </c>
      <c r="AR217" s="48">
        <f t="shared" ca="1" si="419"/>
        <v>0</v>
      </c>
      <c r="AS217" s="48">
        <f t="shared" ca="1" si="420"/>
        <v>0</v>
      </c>
      <c r="AT217" s="48">
        <f t="shared" ca="1" si="442"/>
        <v>0</v>
      </c>
      <c r="AU217" s="48">
        <f t="shared" ca="1" si="443"/>
        <v>0</v>
      </c>
      <c r="AV217" s="48">
        <f ca="1">IF(OR(AT217&gt;0,AU217&gt;0),MAX($AV$2:AV216)+1,0)</f>
        <v>0</v>
      </c>
      <c r="AZ217" s="48" t="str">
        <f t="shared" ca="1" si="484"/>
        <v/>
      </c>
      <c r="BA217" s="48">
        <f t="shared" ca="1" si="480"/>
        <v>0</v>
      </c>
      <c r="BB217" s="48">
        <f t="shared" ca="1" si="481"/>
        <v>0</v>
      </c>
      <c r="BC217" s="48">
        <f t="shared" ca="1" si="482"/>
        <v>0</v>
      </c>
      <c r="BD217" s="48">
        <f t="shared" ca="1" si="383"/>
        <v>0</v>
      </c>
      <c r="BE217" s="48">
        <f t="shared" ca="1" si="384"/>
        <v>0</v>
      </c>
      <c r="BF217" s="48">
        <f t="shared" si="485"/>
        <v>17</v>
      </c>
      <c r="BG217" s="48">
        <f ca="1">IF(IF(AND(OR(INDEX(PDC,MATCH($AC217,DEN_PDC,0),6)="SP DARE",INDEX(PDC,MATCH($AC217,DEN_PDC,0),6)="SP DARE/AVERE"),SUMIFS(DARE,DEN_G,$AC217)&gt;=SUMIFS(AVERE,DEN_G,$AC217)),SUMIFS(DARE,DEN_G,$AC217)-SUMIFS(AVERE,DEN_G,$AC217),0)&gt;0,MAX($BG$2:BG216)+1,0)</f>
        <v>0</v>
      </c>
      <c r="BH217" s="48">
        <f ca="1">IF(IF(AND(OR(INDEX(PDC,MATCH($AC217,DEN_PDC,0),6)="SP AVERE",INDEX(PDC,MATCH($AC217,DEN_PDC,0),6)="SP DARE/AVERE"),SUMIFS(AVERE,DEN_G,$AC217)&gt;=SUMIFS(DARE,DEN_G,$AC217)),SUMIFS(AVERE,DEN_G,$AC217)-SUMIFS(DARE,DEN_G,$AC217),0)&gt;0,MAX(BH$2:BH216)+1,0)</f>
        <v>0</v>
      </c>
      <c r="BI217" s="48">
        <f ca="1">IF(IF(AND(OR(INDEX(PDC,MATCH($AC217,DEN_PDC,0),6)="SE DARE",INDEX(PDC,MATCH($AC217,DEN_PDC,0),6)="SE DARE/AVERE"),SUMIFS(DARE,DEN_G,$AC217)&gt;=SUMIFS(AVERE,DEN_G,$AC217)),SUMIFS(DARE,DEN_G,$AC217)-SUMIFS(AVERE,DEN_G,$AC217),0)&gt;0,MAX(BI$2:BI216)+1,0)</f>
        <v>0</v>
      </c>
      <c r="BJ217" s="48">
        <f ca="1">IF(IF(AND(OR(INDEX(PDC,MATCH($AC217,DEN_PDC,0),6)="SE AVERE",INDEX(PDC,MATCH($AC217,DEN_PDC,0),6)="SE DARE/AVERE"),SUMIFS(AVERE,DEN_G,$AC217)&gt;=SUMIFS(DARE,DEN_G,$AC217)),SUMIFS(AVERE,DEN_G,$AC217)-SUMIFS(DARE,DEN_G,$AC217),0)&gt;0,MAX(BJ$2:BJ216)+1,0)</f>
        <v>0</v>
      </c>
      <c r="BK217" s="48" t="str">
        <f ca="1">IF(AND(AND($DY$2=0,$DY$1=0),$I$1=2,ROW()&gt;$BG$1+2,ROW()&lt;=$BG$1+4),"………………..",IF(AND(OR($DY$2&gt;0,$DY$1&gt;0),$I$1=2,ROW()&gt;$BG$1+2,ROW()&lt;=$BG$1+4),"………………..",IFERROR(INDEX($AC$3:$AC$398,MATCH(ROWS(BK$3:BK217),BG$3:BG$398,0),1),"")))</f>
        <v/>
      </c>
      <c r="BL217" s="48">
        <f t="shared" ca="1" si="421"/>
        <v>0</v>
      </c>
      <c r="BM217" s="48" t="str">
        <f ca="1">IF(AND(OR($DY$2=0,$DY$1=0),$I$1=2,ROW()&gt;$BH$1+2,ROW()&lt;=$BH$1+4),"………………..",IF(AND(OR($DY$2&gt;0,$DY$1&gt;0),$I$1=2,ROW()&gt;$BH$1+2,ROW()&lt;=$BH$1+4),"………………..",IFERROR(INDEX($AC$3:$AC$400,MATCH(ROWS(BM$3:BM217),BH$3:BH$400,0),1),"")))</f>
        <v/>
      </c>
      <c r="BN217" s="48">
        <f t="shared" ca="1" si="422"/>
        <v>0</v>
      </c>
      <c r="BO217" s="48" t="str">
        <f ca="1">IF(AND(OR($DY$2=0,$DY$1=0),$I$1=2,ROW()&gt;$BI$1+2,ROW()&lt;=$BI$1+4),"………………..",IF(AND(OR($DY$2&gt;0,$DY$1&gt;0),$I$1=2,ROW()&gt;$BI$1+2,ROW()&lt;=$BI$1+4),"………………..",IFERROR(INDEX($AC$3:$AC$400,MATCH(ROWS(BO$3:BO217),BI$3:BI$400,0),1),"")))</f>
        <v/>
      </c>
      <c r="BP217" s="48">
        <f t="shared" ca="1" si="423"/>
        <v>0</v>
      </c>
      <c r="BQ217" s="48" t="str">
        <f ca="1">IF(AND(OR($DY$2=0,$DY$1=0),$I$1=2,ROW()&gt;$BJ$1+2,ROW()&lt;=$BJ$1+4),"………………..",IF(AND(OR($DY$2&gt;0,$DY$1&gt;0),$I$1=2,ROW()&gt;$BJ$1+2,ROW()&lt;=$BJ$1+4),"………………..",IFERROR(INDEX($AC$3:$AC$400,MATCH(ROWS(BQ$3:BQ217),BJ$3:BJ$400,0),1),"")))</f>
        <v/>
      </c>
      <c r="BR217" s="48">
        <f t="shared" ca="1" si="424"/>
        <v>0</v>
      </c>
      <c r="BS217" s="48">
        <f ca="1">IF(IF(AND(OR(INDEX(PDC,MATCH($AC217,DEN_PDC,0),4)="D",INDEX(PDC,MATCH($AC217,DEN_PDC,0),4)="D/A"),SUMIFS(DARE,DEN_G,$AC217)&gt;=SUMIFS(AVERE,DEN_G,$AC217)),SUMIFS(DARE,DEN_G,$AC217),IF(AND(OR(INDEX(PDC,MATCH($AC217,DEN_PDC,0),4)="A",INDEX(PDC,MATCH($AC217,DEN_PDC,0),4)="D/A"),SUMIFS(AVERE,DEN_G,$AC217)&gt;=SUMIFS(DARE,DEN_G,$AC217)),SUMIFS(AVERE,DEN_G,$AC217),))&gt;0,MAX($BS$2:BS216)+1,0)</f>
        <v>0</v>
      </c>
      <c r="BT217" s="48" t="str">
        <f ca="1">IF($CO$1=0,"",IF(AND($I$1=2,ROW()&gt;$BR$1,ROW()&lt;=$BS$1)," …………….",IF(AND($E$1=1,$BX$1=1,$I$1=2,ROW()=$BQ$1),"TOTALI",IFERROR(INDEX(PDC,MATCH(ROWS(BT$3:BT217),BS$3:BS614,0),2),""))))</f>
        <v/>
      </c>
      <c r="BU217" s="48">
        <f t="shared" ca="1" si="425"/>
        <v>0</v>
      </c>
      <c r="BV217" s="48">
        <f t="shared" ca="1" si="426"/>
        <v>0</v>
      </c>
      <c r="BW217" s="48">
        <f t="shared" ca="1" si="427"/>
        <v>0</v>
      </c>
      <c r="BX217" s="48">
        <f t="shared" ca="1" si="428"/>
        <v>0</v>
      </c>
      <c r="BY217" s="48">
        <f ca="1">IF(OR(BW217&gt;0,BX217&gt;0),MAX($BY$2:BY216)+1,0)</f>
        <v>0</v>
      </c>
      <c r="BZ217" s="48" t="str">
        <f ca="1">IFERROR(INDEX($BT$3:$BY$400,MATCH(ROWS(BZ$3:BZ217),$BY$3:$BY$400,0),1),"")</f>
        <v/>
      </c>
      <c r="CA217" s="48" t="str">
        <f ca="1">IFERROR(INDEX($BT$3:$BY$400,MATCH(ROWS(CA$3:CA217),$BY$3:$BY$400,0),4),"")</f>
        <v/>
      </c>
      <c r="CB217" s="48" t="str">
        <f ca="1">IFERROR(INDEX($BT$3:$BY$400,MATCH(ROWS(CB$3:CB217),$BY$3:$BY$400,0),5),"")</f>
        <v/>
      </c>
      <c r="CC217" s="48" t="str">
        <f t="shared" ca="1" si="429"/>
        <v/>
      </c>
      <c r="CD217" s="48">
        <f ca="1">IF(CE217&lt;&gt;0,MAX($CD$190:CD216)+1,0)</f>
        <v>0</v>
      </c>
      <c r="CE217" s="48">
        <f ca="1">IF(ROUND(SUMIFS(COPIA!$CA$3:$CA$400,COPIA!$CC$3:$CC$400,CF217)-SUMIFS(COPIA!$CB$3:$CB$400,COPIA!$CC$3:$CC$400,CF217),0)&lt;0,0,ROUND(SUMIFS(COPIA!$CA$3:$CA$400,COPIA!$CC$3:$CC$400,CF217)-SUMIFS(COPIA!$CB$3:$CB$400,COPIA!$CC$3:$CC$400,CF217),0))</f>
        <v>0</v>
      </c>
      <c r="CF217" s="48" t="s">
        <v>720</v>
      </c>
      <c r="CG217" s="242" t="s">
        <v>585</v>
      </c>
      <c r="CH217" s="48">
        <f t="shared" ca="1" si="495"/>
        <v>0</v>
      </c>
      <c r="CM217" s="242" t="str">
        <f t="shared" ca="1" si="444"/>
        <v/>
      </c>
      <c r="CN217" s="243">
        <f t="shared" ca="1" si="445"/>
        <v>0</v>
      </c>
      <c r="CO217" s="48" t="str">
        <f t="shared" ca="1" si="446"/>
        <v/>
      </c>
      <c r="CU217" s="48">
        <f ca="1">IF(SUMIFS(AVERE,DEN_G,AC217,AVERE,"&gt;"&amp;0)+SUMIFS(DARE,DEN_G,AC217,DARE,"&gt;"&amp;0)&gt;0,MAX($CU$2:CU216)+1,0)</f>
        <v>0</v>
      </c>
      <c r="CV217" s="48" t="str">
        <f ca="1">IF(IFERROR(INDEX(PDC,MATCH(ROWS($CV$3:CV217),$CU$3:$CU$400,0),2),"")="CONTO DI RISULTATO ECONOMICO","",IFERROR(INDEX(PDC,MATCH(ROWS($CV$3:CV217),$CU$3:$CU$400,0),2),""))</f>
        <v/>
      </c>
      <c r="CW217" s="48">
        <f ca="1">IFERROR(IF(CV217&lt;&gt;"",MAX($CW$2:CW216)+1,0),0)</f>
        <v>0</v>
      </c>
      <c r="CX217" s="48">
        <f t="shared" ca="1" si="496"/>
        <v>17</v>
      </c>
      <c r="CY217" s="48" t="str">
        <f t="shared" ca="1" si="494"/>
        <v>MASTRO</v>
      </c>
      <c r="CZ217" s="48" t="e">
        <f t="shared" ca="1" si="498"/>
        <v>#N/A</v>
      </c>
      <c r="DA217" s="48" t="str">
        <f t="shared" ca="1" si="503"/>
        <v/>
      </c>
      <c r="DB217" s="48" t="str">
        <f t="shared" ca="1" si="499"/>
        <v/>
      </c>
      <c r="DC217" s="48" t="str">
        <f t="shared" ca="1" si="500"/>
        <v/>
      </c>
      <c r="DD217" s="48" t="str">
        <f t="shared" ca="1" si="501"/>
        <v/>
      </c>
      <c r="DE217" s="48" t="str">
        <f t="shared" ca="1" si="502"/>
        <v/>
      </c>
      <c r="DF217" s="48">
        <f ca="1">IF(AND(CX217=$DF$1,CX217&lt;&gt;""),0,IF(AND(DB217&lt;&gt;"",OR(DB216&lt;&gt;"",DB218&lt;&gt;"")),MAX($DF$2:DF216)+1,0))</f>
        <v>0</v>
      </c>
      <c r="DH217" s="244" t="s">
        <v>1024</v>
      </c>
      <c r="DJ217" s="48" t="s">
        <v>312</v>
      </c>
      <c r="DK217" s="48" t="s">
        <v>298</v>
      </c>
      <c r="DL217" s="48" t="s">
        <v>5</v>
      </c>
      <c r="DM217" s="48" t="s">
        <v>299</v>
      </c>
      <c r="DN217" s="48">
        <f>IF(DI217&lt;&gt;"",MAX($DN$2:DN216)+1,0)</f>
        <v>0</v>
      </c>
      <c r="DO217" s="48" t="str">
        <f t="shared" ca="1" si="493"/>
        <v>ppd</v>
      </c>
      <c r="DQ217" s="227" t="s">
        <v>1026</v>
      </c>
      <c r="DR217" s="48" t="str">
        <f ca="1">IF(INDIRECT(ADDRESS(10,11,,,"PIANO_DEI_CONTI"))="","BANCA Z C/C",UPPER(INDIRECT(ADDRESS(10,11,,,"PIANO_DEI_CONTI"))))</f>
        <v>BANCA Z C/C</v>
      </c>
      <c r="DS217" s="48" t="s">
        <v>312</v>
      </c>
      <c r="DT217" s="48" t="s">
        <v>271</v>
      </c>
      <c r="DU217" s="48" t="s">
        <v>1025</v>
      </c>
      <c r="DV217" s="48" t="s">
        <v>302</v>
      </c>
      <c r="DW217" s="48">
        <f ca="1">IF(DR217&lt;&gt;"",MAX($DW$2:DW216)+1,0)</f>
        <v>130</v>
      </c>
      <c r="DX217" s="48" t="str">
        <f ca="1">IF(AND($BF$9=1,SUMIFS(DARE,DEN_G,"="&amp;DR217,DATA,"&gt;="&amp;INIZIO_A_PC,DATA,"&lt;="&amp;FINE_AC)&gt;SUMIFS(AVERE,DEN_G,"="&amp;DR217,DATA,"&gt;="&amp;INIZIO_AC,DATA,"&lt;="&amp;FINE_AC)),"pac41",IF(AND($BF$9=1,SUMIFS(DARE,DEN_G,"="&amp;DR217,DATA,"&lt;"&amp;INIZIO_A_PC,DATA,"&lt;="&amp;FINE_AC)&lt;SUMIFS(AVERE,DEN_G,"="&amp;DR217,DATA,"&gt;="&amp;INIZIO_AC,DATA,"&lt;="&amp;FINE_AC)),"ppd4",IF(AND($BF$9=2,SUMIFS(DARE,DEN_G,"="&amp;DR217,DATA,"&gt;="&amp;INIZIO_A_PC,DATA,"&lt;="&amp;FINE_AC)&gt;SUMIFS(AVERE,DEN_G,"="&amp;DR217,DATA,"&gt;="&amp;INIZIO_AC,DATA,"&lt;="&amp;FINE_AC)),"pac4","ppd")))</f>
        <v>ppd</v>
      </c>
      <c r="DY217" s="48" t="str">
        <f t="shared" ca="1" si="430"/>
        <v/>
      </c>
      <c r="EL217" s="48">
        <f t="shared" ca="1" si="431"/>
        <v>0</v>
      </c>
      <c r="EM217" s="48">
        <f ca="1">IF(EL217&gt;=0,0,MAX($EM$2:EM216)+1)</f>
        <v>0</v>
      </c>
      <c r="EN217" s="48" t="str">
        <f t="shared" ca="1" si="459"/>
        <v/>
      </c>
      <c r="EO217" s="48" t="str">
        <f ca="1">IFERROR(INDEX($EM$3:$EN$400,MATCH(ROWS($EO$3:EO217),$EM$3:$EM$400,0),2),"")</f>
        <v/>
      </c>
      <c r="EP217" s="48">
        <f>ROW()</f>
        <v>217</v>
      </c>
      <c r="EQ217" s="48">
        <f t="shared" ca="1" si="432"/>
        <v>0</v>
      </c>
      <c r="ER217" s="48">
        <f ca="1">IF(ISNA(EQ217)=TRUE,MAX($ER$2:ER216)+1,0)</f>
        <v>0</v>
      </c>
      <c r="ES217" s="48" t="str">
        <f t="shared" ca="1" si="460"/>
        <v/>
      </c>
      <c r="ET217" s="48" t="str">
        <f ca="1">IFERROR(INDEX($ER$3:$ES$400,MATCH(ROWS($ET$3:ET217),$ER$3:$ER$400,0),2),"")</f>
        <v/>
      </c>
      <c r="EV217" s="48">
        <f ca="1">IFERROR(INDEX(LIBRO_GIORNALE!$O$11:$P$408,MATCH(ROWS($EV$2:EV216),LIBRO_GIORNALE!$P$11:$P$408,0),1),0)</f>
        <v>0</v>
      </c>
      <c r="EW217" s="48" t="str">
        <f t="shared" ca="1" si="461"/>
        <v>0</v>
      </c>
      <c r="EX217" s="48">
        <f t="shared" ca="1" si="462"/>
        <v>0</v>
      </c>
      <c r="EY217" s="48">
        <f ca="1">IF(EX217&gt;0,MAX($EY$2:EY216)+1,0)</f>
        <v>0</v>
      </c>
      <c r="EZ217" s="48">
        <f ca="1">IFERROR(INDEX($EX$3:$EX$400,MATCH(ROWS($EZ$3:EZ217),$EY$3:$EY$400,0),1),0)</f>
        <v>0</v>
      </c>
      <c r="FA217" s="48">
        <f ca="1">IF(EZ217&gt;0,0,MAX($FA$2:FA216)+1)</f>
        <v>215</v>
      </c>
      <c r="FB217" s="48">
        <f t="shared" ca="1" si="463"/>
        <v>0</v>
      </c>
      <c r="FC217" s="48">
        <f t="shared" ca="1" si="464"/>
        <v>215</v>
      </c>
      <c r="FD217" s="48">
        <f t="shared" ca="1" si="465"/>
        <v>215</v>
      </c>
      <c r="FE217" s="48">
        <f ca="1">IF(FD217=0,0,MAX($FE$2:FE216)+1)</f>
        <v>215</v>
      </c>
      <c r="FF217" s="48">
        <f ca="1">IFERROR(INDEX($FD$3:$FE$400,MATCH(ROWS($FF$3:FF217),$FE$3:$FE$400,0),1),"")</f>
        <v>215</v>
      </c>
      <c r="FG217" s="48">
        <f t="shared" ca="1" si="380"/>
        <v>0</v>
      </c>
      <c r="FH217" s="48">
        <f t="shared" ca="1" si="466"/>
        <v>0</v>
      </c>
      <c r="FI217" s="48">
        <f ca="1">IF(FH217&lt;&gt;0,MAX($FI$2:FI216)+1,0)</f>
        <v>0</v>
      </c>
      <c r="FJ217" s="48" t="str">
        <f ca="1">IFERROR(INDEX($FH$3:$FI$400,MATCH(ROWS($FJ$3:FJ217),$FI$3:$FI$400,0),1),"")</f>
        <v/>
      </c>
      <c r="FK217" s="48">
        <f ca="1">IF(ABS(SUMIFS(DARE,DEN_G,"="&amp;FJ217,DATA,"&lt;="&amp;FINE_AC,DATA,"&gt;="&amp;INIZIO_A_PC)-SUMIFS(AVERE,DEN_G,"="&amp;FJ217,DATA,"&lt;="&amp;FINE_AC,DATA,"&gt;="&amp;INIZIO_A_PC))&gt;0,MAX($FK$2:FK216)+1,0)</f>
        <v>0</v>
      </c>
      <c r="FL217" s="48" t="str">
        <f ca="1">IF(AND(ROW()-2&lt;&gt;1,ROW()-2&lt;=$FK$1),CONCATENATE(" - ",IFERROR(INDEX($FJ$3:$FK$400,MATCH(ROWS($FL$3:FL217),$FK$3:$FK$400,0),1),"")),IFERROR(INDEX($FJ$3:$FK$400,MATCH(ROWS($FL$3:FL217),$FK$3:$FK$400,0),1),""))</f>
        <v/>
      </c>
      <c r="FM217" s="48">
        <f ca="1">IF(OR(B217="IVA ns/credito",B217="IVA NS/DEBITO",B217="IVA C/ACCONTO",B217="IMPOSTE C/ACCONTO",B217="CREDITI PER RITENUTE SUBITE",B217="CREDITI D'IMPOSTA"),MAX($FM$2:FM216)+1,0)</f>
        <v>0</v>
      </c>
      <c r="FN217" s="48" t="str">
        <f t="shared" ca="1" si="467"/>
        <v/>
      </c>
      <c r="FO217" s="48" t="str">
        <f ca="1">IFERROR(INDEX($FM$3:$FN$400,MATCH(ROWS($FO$3:FO217),$FM$3:$FM$400,0),2),"")</f>
        <v/>
      </c>
      <c r="FP217" s="48">
        <f ca="1">IF(ABS(SUMIFS(DARE,DEN_G,"="&amp;FO217,DATA,"&lt;="&amp;FINE_AC,DATA,"&gt;="&amp;INIZIO_A_PC)-SUMIFS(AVERE,DEN_G,"="&amp;FO217,DATA,"&lt;="&amp;FINE_AC,DATA,"&gt;="&amp;INIZIO_A_PC))&gt;0,MAX($FP$2:FP216)+1,0)</f>
        <v>0</v>
      </c>
      <c r="FQ217" s="48" t="str">
        <f ca="1">IF(AND(ROW()-2&lt;&gt;1,ROW()-2&lt;=$FP$1),CONCATENATE(" - ",IFERROR(INDEX($FO$3:$FP$400,MATCH(ROWS($FQ$3:FQ217),$FP$3:$FP$400,0),1),"")),IFERROR(INDEX($FO$3:$FP$400,MATCH(ROWS($FQ$3:FQ217),$FP$3:$FP$400,0),1),""))</f>
        <v/>
      </c>
    </row>
    <row r="218" spans="1:173" x14ac:dyDescent="0.3">
      <c r="A218" s="48" t="str">
        <f ca="1">IFERROR(IF($A$1=2,INDEX($DH$3:$DN$401,MATCH(ROWS(A$3:A218),$DN$3:$DN$401,0),COLUMN()),IF($A$1=1,INDEX($DQ$3:$DW$401,MATCH(ROWS(A$3:A218),$DW$3:$DW$401,0),COLUMN()),"")),"")</f>
        <v>30.03</v>
      </c>
      <c r="B218" s="48" t="str">
        <f ca="1">IFERROR(IF($A$1=2,INDEX($DH$3:$DN$401,MATCH(ROWS(B$3:B218),$DN$3:$DN$401,0),COLUMN()),IF($A$1=1,INDEX($DQ$3:$DW$400,MATCH(ROWS(B$3:B218),$DW$3:$DW$401,0),COLUMN()),"")),"")</f>
        <v>MATERIE DI CONSUMO C/ACQUISTI</v>
      </c>
      <c r="C218" s="48" t="str">
        <f ca="1">IFERROR(IF($A$1=2,INDEX($DH$3:$DN$401,MATCH(ROWS(C$3:C218),$DN$3:$DN$401,0),COLUMN()),IF($A$1=1,INDEX($DQ$3:$DW$401,MATCH(ROWS(C$3:C218),$DW$3:$DW$401,0),COLUMN()),"")),"")</f>
        <v>E</v>
      </c>
      <c r="D218" s="48" t="str">
        <f ca="1">IFERROR(IF($A$1=2,INDEX($DH$3:$DN$401,MATCH(ROWS(D$3:D218),$DN$3:$DN$401,0),COLUMN()),IF($A$1=1,INDEX($DQ$3:$DW$401,MATCH(ROWS(D$3:D218),$DW$3:$DW$401,0),COLUMN()),"")),"")</f>
        <v>D</v>
      </c>
      <c r="E218" s="48" t="str">
        <f ca="1">IFERROR(IF($A$1=2,INDEX($DH$3:$DN$401,MATCH(ROWS(E$3:E218),$DN$3:$DN$401,0),COLUMN()),IF($A$1=1,INDEX($DQ$3:$DW$401,MATCH(ROWS(E$3:E218),$DW$3:$DW$401,0),COLUMN()),"")),"")</f>
        <v>COSTI D'ESERCIZIO</v>
      </c>
      <c r="F218" s="48" t="str">
        <f ca="1">IFERROR(IF($A$1=2,INDEX($DH$3:$DN$401,MATCH(ROWS(F$3:F218),$DN$3:$DN$401,0),COLUMN()),IF($A$1=1,INDEX($DQ$3:$DX$401,MATCH(ROWS(F$3:F218),$DW$3:$DW$401,0),COLUMN()),"")),"")</f>
        <v>SE DARE</v>
      </c>
      <c r="G218" s="48" t="str">
        <f t="shared" ca="1" si="433"/>
        <v>SE</v>
      </c>
      <c r="H218" s="48" t="str">
        <f ca="1">IFERROR(IF($A$1=2,INDEX($DH$3:$DO$400,MATCH(ROWS(H$3:H218),$DN$3:$DN$400,0),COLUMN()),IF($A$1=1,INDEX($DQ$3:$DX$400,MATCH(ROWS(H$3:H218),$DW$3:$DW$400,0),COLUMN()),"")),"")</f>
        <v>eb6</v>
      </c>
      <c r="M218" s="48">
        <f ca="1">IFERROR(IF(IF(MID($A218,3,3)=".00",MID(A218,1,2),"")&lt;&gt;"",MAX($M$2:M217)+1,0),"")</f>
        <v>0</v>
      </c>
      <c r="N218" s="48" t="str">
        <f t="shared" ca="1" si="438"/>
        <v/>
      </c>
      <c r="O218" s="48" t="str">
        <f ca="1">IF(IFERROR(INDEX($N$3:$O$300,MATCH(ROWS($O$3:O218),$M$3:$M$300,0),1),"")&lt;&gt;"",CONCATENATE(INDEX($N$3:$O$300,MATCH(ROWS($O$3:O218),$M$3:$M$300,0),1),".00"),"")</f>
        <v/>
      </c>
      <c r="P218" s="48" t="str">
        <f t="shared" ca="1" si="439"/>
        <v/>
      </c>
      <c r="Q218" s="48">
        <f ca="1">IF(M218&gt;=1,0,MAX($Q$2:Q217)+1)</f>
        <v>194</v>
      </c>
      <c r="U218" s="48" t="str">
        <f ca="1">IFERROR(INDEX(PDC,MATCH(ROWS(U$3:U218),$V$3:$V$400,0),2),"")</f>
        <v>COMPETENZE AMMINISTRATORI</v>
      </c>
      <c r="V218" s="48">
        <f ca="1">IF(AND($T$1="VISUALIZZA TUTTI I CONTI",AA218&lt;&gt;""),MAX($V$2:V217)+1,IF(AND($U$2=2,AI218=$T$1),MAX($V$2:V217)+1,IF(AND($U$2=1,$T$1=AF218),MAX($V$2:V217)+1,0)))</f>
        <v>216</v>
      </c>
      <c r="AA218" s="48" t="str">
        <f t="shared" ca="1" si="440"/>
        <v>31.00</v>
      </c>
      <c r="AB218" s="48" t="str">
        <f ca="1">IFERROR(INDEX($A$3:$G$400,MATCH(ROWS(AB$3:AB218),$Q$3:$Q$400,0),1),"")</f>
        <v>31.70</v>
      </c>
      <c r="AC218" s="48" t="str">
        <f ca="1">IFERROR(INDEX($A$3:$G$400,MATCH(ROWS($AC$3:AC218),$Q$3:$Q$400,0),2),"")</f>
        <v>COMPETENZE AMMINISTRATORI</v>
      </c>
      <c r="AD218" s="48" t="str">
        <f ca="1">IFERROR(INDEX($A$3:$G$400,MATCH(ROWS(AD$3:AD218),$Q$3:$Q$400,0),3),"")</f>
        <v>E</v>
      </c>
      <c r="AE218" s="48" t="str">
        <f ca="1">IFERROR(INDEX($A$3:$G$400,MATCH(ROWS(AE$3:AE218),$Q$3:$Q$400,0),4),"")</f>
        <v>D</v>
      </c>
      <c r="AF218" s="48" t="str">
        <f ca="1">IFERROR(INDEX($A$3:$G$400,MATCH(ROWS(AF$3:AF218),$Q$3:$Q$400,0),5),"")</f>
        <v>COSTI D'ESERCIZIO</v>
      </c>
      <c r="AG218" s="48" t="str">
        <f ca="1">IFERROR(INDEX($A$3:$G$400,MATCH(ROWS(AG$3:AG218),$Q$3:$Q$400,0),6),"")</f>
        <v>SE DARE</v>
      </c>
      <c r="AH218" s="48" t="str">
        <f ca="1">IFERROR(INDEX($A$3:$G$400,MATCH(ROWS(AH$3:AH218),$Q$3:$Q$400,0),7),"")</f>
        <v>SE</v>
      </c>
      <c r="AI218" s="48" t="str">
        <f t="shared" ca="1" si="441"/>
        <v>COSTI PER SERVIZI</v>
      </c>
      <c r="AJ218" s="48" t="str">
        <f ca="1">IFERROR(INDEX($A$3:$H$400,MATCH(ROWS(AJ$3:AJ218),$Q$3:$Q$400,0),8),"")</f>
        <v>eb7</v>
      </c>
      <c r="AK218" s="48">
        <f t="shared" ca="1" si="417"/>
        <v>0</v>
      </c>
      <c r="AL218" s="48">
        <f t="shared" ca="1" si="473"/>
        <v>0</v>
      </c>
      <c r="AM218" s="48">
        <f t="shared" ca="1" si="377"/>
        <v>0</v>
      </c>
      <c r="AN218" s="48">
        <f t="shared" ca="1" si="378"/>
        <v>0</v>
      </c>
      <c r="AO218" s="48">
        <f t="shared" ca="1" si="379"/>
        <v>0</v>
      </c>
      <c r="AP218" s="48">
        <f t="shared" ca="1" si="379"/>
        <v>0</v>
      </c>
      <c r="AQ218" s="48" t="str">
        <f t="shared" ca="1" si="418"/>
        <v/>
      </c>
      <c r="AR218" s="48">
        <f t="shared" ca="1" si="419"/>
        <v>0</v>
      </c>
      <c r="AS218" s="48">
        <f t="shared" ca="1" si="420"/>
        <v>0</v>
      </c>
      <c r="AT218" s="48">
        <f t="shared" ca="1" si="442"/>
        <v>0</v>
      </c>
      <c r="AU218" s="48">
        <f t="shared" ca="1" si="443"/>
        <v>0</v>
      </c>
      <c r="AV218" s="48">
        <f ca="1">IF(OR(AT218&gt;0,AU218&gt;0),MAX($AV$2:AV217)+1,0)</f>
        <v>0</v>
      </c>
      <c r="AZ218" s="48" t="str">
        <f t="shared" ca="1" si="484"/>
        <v/>
      </c>
      <c r="BA218" s="48">
        <f t="shared" ca="1" si="480"/>
        <v>0</v>
      </c>
      <c r="BB218" s="48">
        <f t="shared" ca="1" si="481"/>
        <v>0</v>
      </c>
      <c r="BC218" s="48">
        <f t="shared" ca="1" si="482"/>
        <v>0</v>
      </c>
      <c r="BD218" s="48">
        <f t="shared" ca="1" si="383"/>
        <v>0</v>
      </c>
      <c r="BE218" s="48">
        <f t="shared" ca="1" si="384"/>
        <v>0</v>
      </c>
      <c r="BF218" s="48">
        <f t="shared" si="485"/>
        <v>18</v>
      </c>
      <c r="BG218" s="48">
        <f ca="1">IF(IF(AND(OR(INDEX(PDC,MATCH($AC218,DEN_PDC,0),6)="SP DARE",INDEX(PDC,MATCH($AC218,DEN_PDC,0),6)="SP DARE/AVERE"),SUMIFS(DARE,DEN_G,$AC218)&gt;=SUMIFS(AVERE,DEN_G,$AC218)),SUMIFS(DARE,DEN_G,$AC218)-SUMIFS(AVERE,DEN_G,$AC218),0)&gt;0,MAX($BG$2:BG217)+1,0)</f>
        <v>0</v>
      </c>
      <c r="BH218" s="48">
        <f ca="1">IF(IF(AND(OR(INDEX(PDC,MATCH($AC218,DEN_PDC,0),6)="SP AVERE",INDEX(PDC,MATCH($AC218,DEN_PDC,0),6)="SP DARE/AVERE"),SUMIFS(AVERE,DEN_G,$AC218)&gt;=SUMIFS(DARE,DEN_G,$AC218)),SUMIFS(AVERE,DEN_G,$AC218)-SUMIFS(DARE,DEN_G,$AC218),0)&gt;0,MAX(BH$2:BH217)+1,0)</f>
        <v>0</v>
      </c>
      <c r="BI218" s="48">
        <f ca="1">IF(IF(AND(OR(INDEX(PDC,MATCH($AC218,DEN_PDC,0),6)="SE DARE",INDEX(PDC,MATCH($AC218,DEN_PDC,0),6)="SE DARE/AVERE"),SUMIFS(DARE,DEN_G,$AC218)&gt;=SUMIFS(AVERE,DEN_G,$AC218)),SUMIFS(DARE,DEN_G,$AC218)-SUMIFS(AVERE,DEN_G,$AC218),0)&gt;0,MAX(BI$2:BI217)+1,0)</f>
        <v>0</v>
      </c>
      <c r="BJ218" s="48">
        <f ca="1">IF(IF(AND(OR(INDEX(PDC,MATCH($AC218,DEN_PDC,0),6)="SE AVERE",INDEX(PDC,MATCH($AC218,DEN_PDC,0),6)="SE DARE/AVERE"),SUMIFS(AVERE,DEN_G,$AC218)&gt;=SUMIFS(DARE,DEN_G,$AC218)),SUMIFS(AVERE,DEN_G,$AC218)-SUMIFS(DARE,DEN_G,$AC218),0)&gt;0,MAX(BJ$2:BJ217)+1,0)</f>
        <v>0</v>
      </c>
      <c r="BK218" s="48" t="str">
        <f ca="1">IF(AND(AND($DY$2=0,$DY$1=0),$I$1=2,ROW()&gt;$BG$1+2,ROW()&lt;=$BG$1+4),"………………..",IF(AND(OR($DY$2&gt;0,$DY$1&gt;0),$I$1=2,ROW()&gt;$BG$1+2,ROW()&lt;=$BG$1+4),"………………..",IFERROR(INDEX($AC$3:$AC$398,MATCH(ROWS(BK$3:BK218),BG$3:BG$398,0),1),"")))</f>
        <v/>
      </c>
      <c r="BL218" s="48">
        <f t="shared" ca="1" si="421"/>
        <v>0</v>
      </c>
      <c r="BM218" s="48" t="str">
        <f ca="1">IF(AND(OR($DY$2=0,$DY$1=0),$I$1=2,ROW()&gt;$BH$1+2,ROW()&lt;=$BH$1+4),"………………..",IF(AND(OR($DY$2&gt;0,$DY$1&gt;0),$I$1=2,ROW()&gt;$BH$1+2,ROW()&lt;=$BH$1+4),"………………..",IFERROR(INDEX($AC$3:$AC$400,MATCH(ROWS(BM$3:BM218),BH$3:BH$400,0),1),"")))</f>
        <v/>
      </c>
      <c r="BN218" s="48">
        <f t="shared" ca="1" si="422"/>
        <v>0</v>
      </c>
      <c r="BO218" s="48" t="str">
        <f ca="1">IF(AND(OR($DY$2=0,$DY$1=0),$I$1=2,ROW()&gt;$BI$1+2,ROW()&lt;=$BI$1+4),"………………..",IF(AND(OR($DY$2&gt;0,$DY$1&gt;0),$I$1=2,ROW()&gt;$BI$1+2,ROW()&lt;=$BI$1+4),"………………..",IFERROR(INDEX($AC$3:$AC$400,MATCH(ROWS(BO$3:BO218),BI$3:BI$400,0),1),"")))</f>
        <v/>
      </c>
      <c r="BP218" s="48">
        <f t="shared" ca="1" si="423"/>
        <v>0</v>
      </c>
      <c r="BQ218" s="48" t="str">
        <f ca="1">IF(AND(OR($DY$2=0,$DY$1=0),$I$1=2,ROW()&gt;$BJ$1+2,ROW()&lt;=$BJ$1+4),"………………..",IF(AND(OR($DY$2&gt;0,$DY$1&gt;0),$I$1=2,ROW()&gt;$BJ$1+2,ROW()&lt;=$BJ$1+4),"………………..",IFERROR(INDEX($AC$3:$AC$400,MATCH(ROWS(BQ$3:BQ218),BJ$3:BJ$400,0),1),"")))</f>
        <v/>
      </c>
      <c r="BR218" s="48">
        <f t="shared" ca="1" si="424"/>
        <v>0</v>
      </c>
      <c r="BS218" s="48">
        <f ca="1">IF(IF(AND(OR(INDEX(PDC,MATCH($AC218,DEN_PDC,0),4)="D",INDEX(PDC,MATCH($AC218,DEN_PDC,0),4)="D/A"),SUMIFS(DARE,DEN_G,$AC218)&gt;=SUMIFS(AVERE,DEN_G,$AC218)),SUMIFS(DARE,DEN_G,$AC218),IF(AND(OR(INDEX(PDC,MATCH($AC218,DEN_PDC,0),4)="A",INDEX(PDC,MATCH($AC218,DEN_PDC,0),4)="D/A"),SUMIFS(AVERE,DEN_G,$AC218)&gt;=SUMIFS(DARE,DEN_G,$AC218)),SUMIFS(AVERE,DEN_G,$AC218),))&gt;0,MAX($BS$2:BS217)+1,0)</f>
        <v>0</v>
      </c>
      <c r="BT218" s="48" t="str">
        <f ca="1">IF($CO$1=0,"",IF(AND($I$1=2,ROW()&gt;$BR$1,ROW()&lt;=$BS$1)," …………….",IF(AND($E$1=1,$BX$1=1,$I$1=2,ROW()=$BQ$1),"TOTALI",IFERROR(INDEX(PDC,MATCH(ROWS(BT$3:BT218),BS$3:BS615,0),2),""))))</f>
        <v/>
      </c>
      <c r="BU218" s="48">
        <f t="shared" ca="1" si="425"/>
        <v>0</v>
      </c>
      <c r="BV218" s="48">
        <f t="shared" ca="1" si="426"/>
        <v>0</v>
      </c>
      <c r="BW218" s="48">
        <f t="shared" ca="1" si="427"/>
        <v>0</v>
      </c>
      <c r="BX218" s="48">
        <f t="shared" ca="1" si="428"/>
        <v>0</v>
      </c>
      <c r="BY218" s="48">
        <f ca="1">IF(OR(BW218&gt;0,BX218&gt;0),MAX($BY$2:BY217)+1,0)</f>
        <v>0</v>
      </c>
      <c r="BZ218" s="48" t="str">
        <f ca="1">IFERROR(INDEX($BT$3:$BY$400,MATCH(ROWS(BZ$3:BZ218),$BY$3:$BY$400,0),1),"")</f>
        <v/>
      </c>
      <c r="CA218" s="48" t="str">
        <f ca="1">IFERROR(INDEX($BT$3:$BY$400,MATCH(ROWS(CA$3:CA218),$BY$3:$BY$400,0),4),"")</f>
        <v/>
      </c>
      <c r="CB218" s="48" t="str">
        <f ca="1">IFERROR(INDEX($BT$3:$BY$400,MATCH(ROWS(CB$3:CB218),$BY$3:$BY$400,0),5),"")</f>
        <v/>
      </c>
      <c r="CC218" s="48" t="str">
        <f t="shared" ca="1" si="429"/>
        <v/>
      </c>
      <c r="CD218" s="48">
        <f ca="1">IF(CE218&lt;&gt;0,MAX($CD$190:CD217)+1,0)</f>
        <v>0</v>
      </c>
      <c r="CE218" s="48">
        <f ca="1">IF(ROUND(SUMIFS(COPIA!$CA$3:$CA$400,COPIA!$CC$3:$CC$400,CF218)-SUMIFS(COPIA!$CB$3:$CB$400,COPIA!$CC$3:$CC$400,CF218),0)&lt;0,0,ROUND(SUMIFS(COPIA!$CA$3:$CA$400,COPIA!$CC$3:$CC$400,CF218)-SUMIFS(COPIA!$CB$3:$CB$400,COPIA!$CC$3:$CC$400,CF218),0))</f>
        <v>0</v>
      </c>
      <c r="CF218" s="48" t="s">
        <v>721</v>
      </c>
      <c r="CG218" s="242" t="s">
        <v>586</v>
      </c>
      <c r="CH218" s="48">
        <f t="shared" ca="1" si="495"/>
        <v>0</v>
      </c>
      <c r="CM218" s="242" t="str">
        <f t="shared" ca="1" si="444"/>
        <v/>
      </c>
      <c r="CN218" s="243">
        <f t="shared" ca="1" si="445"/>
        <v>0</v>
      </c>
      <c r="CO218" s="48" t="str">
        <f t="shared" ca="1" si="446"/>
        <v/>
      </c>
      <c r="CU218" s="48">
        <f ca="1">IF(SUMIFS(AVERE,DEN_G,AC218,AVERE,"&gt;"&amp;0)+SUMIFS(DARE,DEN_G,AC218,DARE,"&gt;"&amp;0)&gt;0,MAX($CU$2:CU217)+1,0)</f>
        <v>0</v>
      </c>
      <c r="CV218" s="48" t="str">
        <f ca="1">IF(IFERROR(INDEX(PDC,MATCH(ROWS($CV$3:CV218),$CU$3:$CU$400,0),2),"")="CONTO DI RISULTATO ECONOMICO","",IFERROR(INDEX(PDC,MATCH(ROWS($CV$3:CV218),$CU$3:$CU$400,0),2),""))</f>
        <v/>
      </c>
      <c r="CW218" s="48">
        <f ca="1">IFERROR(IF(CV218&lt;&gt;"",MAX($CW$2:CW217)+1,0),0)</f>
        <v>0</v>
      </c>
      <c r="CX218" s="48">
        <f t="shared" ca="1" si="496"/>
        <v>17</v>
      </c>
      <c r="CY218" s="48" t="str">
        <f t="shared" ca="1" si="494"/>
        <v>MASTRO</v>
      </c>
      <c r="CZ218" s="48" t="e">
        <f t="shared" ca="1" si="498"/>
        <v>#N/A</v>
      </c>
      <c r="DA218" s="48" t="str">
        <f t="shared" ca="1" si="503"/>
        <v/>
      </c>
      <c r="DB218" s="48" t="str">
        <f t="shared" ca="1" si="499"/>
        <v/>
      </c>
      <c r="DC218" s="48" t="str">
        <f t="shared" ca="1" si="500"/>
        <v/>
      </c>
      <c r="DD218" s="48" t="str">
        <f t="shared" ca="1" si="501"/>
        <v/>
      </c>
      <c r="DE218" s="48" t="str">
        <f t="shared" ca="1" si="502"/>
        <v/>
      </c>
      <c r="DF218" s="48">
        <f ca="1">IF(AND(CX218=$DF$1,CX218&lt;&gt;""),0,IF(AND(DB218&lt;&gt;"",OR(DB217&lt;&gt;"",DB219&lt;&gt;"")),MAX($DF$2:DF217)+1,0))</f>
        <v>0</v>
      </c>
      <c r="DH218" s="244" t="s">
        <v>148</v>
      </c>
      <c r="DI218" s="228" t="s">
        <v>147</v>
      </c>
      <c r="DN218" s="48">
        <f ca="1">IF(DI218&lt;&gt;"",MAX($DN$2:DN217)+1,0)</f>
        <v>166</v>
      </c>
      <c r="DW218" s="48">
        <f>IF(DR218&lt;&gt;"",MAX($DW$2:DW217)+1,0)</f>
        <v>0</v>
      </c>
      <c r="DY218" s="48" t="str">
        <f t="shared" ca="1" si="430"/>
        <v/>
      </c>
      <c r="EL218" s="48">
        <f t="shared" ca="1" si="431"/>
        <v>0</v>
      </c>
      <c r="EM218" s="48">
        <f ca="1">IF(EL218&gt;=0,0,MAX($EM$2:EM217)+1)</f>
        <v>0</v>
      </c>
      <c r="EN218" s="48" t="str">
        <f t="shared" ca="1" si="459"/>
        <v/>
      </c>
      <c r="EO218" s="48" t="str">
        <f ca="1">IFERROR(INDEX($EM$3:$EN$400,MATCH(ROWS($EO$3:EO218),$EM$3:$EM$400,0),2),"")</f>
        <v/>
      </c>
      <c r="EP218" s="48">
        <f>ROW()</f>
        <v>218</v>
      </c>
      <c r="EQ218" s="48">
        <f t="shared" ca="1" si="432"/>
        <v>0</v>
      </c>
      <c r="ER218" s="48">
        <f ca="1">IF(ISNA(EQ218)=TRUE,MAX($ER$2:ER217)+1,0)</f>
        <v>0</v>
      </c>
      <c r="ES218" s="48" t="str">
        <f t="shared" ca="1" si="460"/>
        <v/>
      </c>
      <c r="ET218" s="48" t="str">
        <f ca="1">IFERROR(INDEX($ER$3:$ES$400,MATCH(ROWS($ET$3:ET218),$ER$3:$ER$400,0),2),"")</f>
        <v/>
      </c>
      <c r="EV218" s="48">
        <f ca="1">IFERROR(INDEX(LIBRO_GIORNALE!$O$11:$P$408,MATCH(ROWS($EV$2:EV217),LIBRO_GIORNALE!$P$11:$P$408,0),1),0)</f>
        <v>0</v>
      </c>
      <c r="EW218" s="48" t="str">
        <f t="shared" ca="1" si="461"/>
        <v>0</v>
      </c>
      <c r="EX218" s="48">
        <f t="shared" ca="1" si="462"/>
        <v>0</v>
      </c>
      <c r="EY218" s="48">
        <f ca="1">IF(EX218&gt;0,MAX($EY$2:EY217)+1,0)</f>
        <v>0</v>
      </c>
      <c r="EZ218" s="48">
        <f ca="1">IFERROR(INDEX($EX$3:$EX$400,MATCH(ROWS($EZ$3:EZ218),$EY$3:$EY$400,0),1),0)</f>
        <v>0</v>
      </c>
      <c r="FA218" s="48">
        <f ca="1">IF(EZ218&gt;0,0,MAX($FA$2:FA217)+1)</f>
        <v>216</v>
      </c>
      <c r="FB218" s="48">
        <f t="shared" ca="1" si="463"/>
        <v>0</v>
      </c>
      <c r="FC218" s="48">
        <f t="shared" ca="1" si="464"/>
        <v>216</v>
      </c>
      <c r="FD218" s="48">
        <f t="shared" ca="1" si="465"/>
        <v>216</v>
      </c>
      <c r="FE218" s="48">
        <f ca="1">IF(FD218=0,0,MAX($FE$2:FE217)+1)</f>
        <v>216</v>
      </c>
      <c r="FF218" s="48">
        <f ca="1">IFERROR(INDEX($FD$3:$FE$400,MATCH(ROWS($FF$3:FF218),$FE$3:$FE$400,0),1),"")</f>
        <v>216</v>
      </c>
      <c r="FG218" s="48">
        <f t="shared" ca="1" si="380"/>
        <v>0</v>
      </c>
      <c r="FH218" s="48">
        <f t="shared" ca="1" si="466"/>
        <v>0</v>
      </c>
      <c r="FI218" s="48">
        <f ca="1">IF(FH218&lt;&gt;0,MAX($FI$2:FI217)+1,0)</f>
        <v>0</v>
      </c>
      <c r="FJ218" s="48" t="str">
        <f ca="1">IFERROR(INDEX($FH$3:$FI$400,MATCH(ROWS($FJ$3:FJ218),$FI$3:$FI$400,0),1),"")</f>
        <v/>
      </c>
      <c r="FK218" s="48">
        <f ca="1">IF(ABS(SUMIFS(DARE,DEN_G,"="&amp;FJ218,DATA,"&lt;="&amp;FINE_AC,DATA,"&gt;="&amp;INIZIO_A_PC)-SUMIFS(AVERE,DEN_G,"="&amp;FJ218,DATA,"&lt;="&amp;FINE_AC,DATA,"&gt;="&amp;INIZIO_A_PC))&gt;0,MAX($FK$2:FK217)+1,0)</f>
        <v>0</v>
      </c>
      <c r="FL218" s="48" t="str">
        <f ca="1">IF(AND(ROW()-2&lt;&gt;1,ROW()-2&lt;=$FK$1),CONCATENATE(" - ",IFERROR(INDEX($FJ$3:$FK$400,MATCH(ROWS($FL$3:FL218),$FK$3:$FK$400,0),1),"")),IFERROR(INDEX($FJ$3:$FK$400,MATCH(ROWS($FL$3:FL218),$FK$3:$FK$400,0),1),""))</f>
        <v/>
      </c>
      <c r="FM218" s="48">
        <f ca="1">IF(OR(B218="IVA ns/credito",B218="IVA NS/DEBITO",B218="IVA C/ACCONTO",B218="IMPOSTE C/ACCONTO",B218="CREDITI PER RITENUTE SUBITE",B218="CREDITI D'IMPOSTA"),MAX($FM$2:FM217)+1,0)</f>
        <v>0</v>
      </c>
      <c r="FN218" s="48" t="str">
        <f t="shared" ca="1" si="467"/>
        <v/>
      </c>
      <c r="FO218" s="48" t="str">
        <f ca="1">IFERROR(INDEX($FM$3:$FN$400,MATCH(ROWS($FO$3:FO218),$FM$3:$FM$400,0),2),"")</f>
        <v/>
      </c>
      <c r="FP218" s="48">
        <f ca="1">IF(ABS(SUMIFS(DARE,DEN_G,"="&amp;FO218,DATA,"&lt;="&amp;FINE_AC,DATA,"&gt;="&amp;INIZIO_A_PC)-SUMIFS(AVERE,DEN_G,"="&amp;FO218,DATA,"&lt;="&amp;FINE_AC,DATA,"&gt;="&amp;INIZIO_A_PC))&gt;0,MAX($FP$2:FP217)+1,0)</f>
        <v>0</v>
      </c>
      <c r="FQ218" s="48" t="str">
        <f ca="1">IF(AND(ROW()-2&lt;&gt;1,ROW()-2&lt;=$FP$1),CONCATENATE(" - ",IFERROR(INDEX($FO$3:$FP$400,MATCH(ROWS($FQ$3:FQ218),$FP$3:$FP$400,0),1),"")),IFERROR(INDEX($FO$3:$FP$400,MATCH(ROWS($FQ$3:FQ218),$FP$3:$FP$400,0),1),""))</f>
        <v/>
      </c>
    </row>
    <row r="219" spans="1:173" x14ac:dyDescent="0.3">
      <c r="A219" s="48" t="str">
        <f ca="1">IFERROR(IF($A$1=2,INDEX($DH$3:$DN$401,MATCH(ROWS(A$3:A219),$DN$3:$DN$401,0),COLUMN()),IF($A$1=1,INDEX($DQ$3:$DW$401,MATCH(ROWS(A$3:A219),$DW$3:$DW$401,0),COLUMN()),"")),"")</f>
        <v>30.04</v>
      </c>
      <c r="B219" s="48" t="str">
        <f ca="1">IFERROR(IF($A$1=2,INDEX($DH$3:$DN$401,MATCH(ROWS(B$3:B219),$DN$3:$DN$401,0),COLUMN()),IF($A$1=1,INDEX($DQ$3:$DW$400,MATCH(ROWS(B$3:B219),$DW$3:$DW$401,0),COLUMN()),"")),"")</f>
        <v>MATERIE C/APPORTI</v>
      </c>
      <c r="C219" s="48" t="str">
        <f ca="1">IFERROR(IF($A$1=2,INDEX($DH$3:$DN$401,MATCH(ROWS(C$3:C219),$DN$3:$DN$401,0),COLUMN()),IF($A$1=1,INDEX($DQ$3:$DW$401,MATCH(ROWS(C$3:C219),$DW$3:$DW$401,0),COLUMN()),"")),"")</f>
        <v>E</v>
      </c>
      <c r="D219" s="48" t="str">
        <f ca="1">IFERROR(IF($A$1=2,INDEX($DH$3:$DN$401,MATCH(ROWS(D$3:D219),$DN$3:$DN$401,0),COLUMN()),IF($A$1=1,INDEX($DQ$3:$DW$401,MATCH(ROWS(D$3:D219),$DW$3:$DW$401,0),COLUMN()),"")),"")</f>
        <v>D</v>
      </c>
      <c r="E219" s="48" t="str">
        <f ca="1">IFERROR(IF($A$1=2,INDEX($DH$3:$DN$401,MATCH(ROWS(E$3:E219),$DN$3:$DN$401,0),COLUMN()),IF($A$1=1,INDEX($DQ$3:$DW$401,MATCH(ROWS(E$3:E219),$DW$3:$DW$401,0),COLUMN()),"")),"")</f>
        <v>COSTI D'ESERCIZIO</v>
      </c>
      <c r="F219" s="48" t="str">
        <f ca="1">IFERROR(IF($A$1=2,INDEX($DH$3:$DN$401,MATCH(ROWS(F$3:F219),$DN$3:$DN$401,0),COLUMN()),IF($A$1=1,INDEX($DQ$3:$DX$401,MATCH(ROWS(F$3:F219),$DW$3:$DW$401,0),COLUMN()),"")),"")</f>
        <v>SE DARE</v>
      </c>
      <c r="G219" s="48" t="str">
        <f t="shared" ca="1" si="433"/>
        <v>SE</v>
      </c>
      <c r="H219" s="48" t="str">
        <f ca="1">IFERROR(IF($A$1=2,INDEX($DH$3:$DO$400,MATCH(ROWS(H$3:H219),$DN$3:$DN$400,0),COLUMN()),IF($A$1=1,INDEX($DQ$3:$DX$400,MATCH(ROWS(H$3:H219),$DW$3:$DW$400,0),COLUMN()),"")),"")</f>
        <v>eb6</v>
      </c>
      <c r="M219" s="48">
        <f ca="1">IFERROR(IF(IF(MID($A219,3,3)=".00",MID(A219,1,2),"")&lt;&gt;"",MAX($M$2:M218)+1,0),"")</f>
        <v>0</v>
      </c>
      <c r="N219" s="48" t="str">
        <f t="shared" ca="1" si="438"/>
        <v/>
      </c>
      <c r="O219" s="48" t="str">
        <f ca="1">IF(IFERROR(INDEX($N$3:$O$300,MATCH(ROWS($O$3:O219),$M$3:$M$300,0),1),"")&lt;&gt;"",CONCATENATE(INDEX($N$3:$O$300,MATCH(ROWS($O$3:O219),$M$3:$M$300,0),1),".00"),"")</f>
        <v/>
      </c>
      <c r="P219" s="48" t="str">
        <f t="shared" ca="1" si="439"/>
        <v/>
      </c>
      <c r="Q219" s="48">
        <f ca="1">IF(M219&gt;=1,0,MAX($Q$2:Q218)+1)</f>
        <v>195</v>
      </c>
      <c r="U219" s="48" t="str">
        <f ca="1">IFERROR(INDEX(PDC,MATCH(ROWS(U$3:U219),$V$3:$V$400,0),2),"")</f>
        <v>COMPETENZE SINDACI</v>
      </c>
      <c r="V219" s="48">
        <f ca="1">IF(AND($T$1="VISUALIZZA TUTTI I CONTI",AA219&lt;&gt;""),MAX($V$2:V218)+1,IF(AND($U$2=2,AI219=$T$1),MAX($V$2:V218)+1,IF(AND($U$2=1,$T$1=AF219),MAX($V$2:V218)+1,0)))</f>
        <v>217</v>
      </c>
      <c r="AA219" s="48" t="str">
        <f t="shared" ca="1" si="440"/>
        <v>31.00</v>
      </c>
      <c r="AB219" s="48" t="str">
        <f ca="1">IFERROR(INDEX($A$3:$G$400,MATCH(ROWS(AB$3:AB219),$Q$3:$Q$400,0),1),"")</f>
        <v>31.71</v>
      </c>
      <c r="AC219" s="48" t="str">
        <f ca="1">IFERROR(INDEX($A$3:$G$400,MATCH(ROWS($AC$3:AC219),$Q$3:$Q$400,0),2),"")</f>
        <v>COMPETENZE SINDACI</v>
      </c>
      <c r="AD219" s="48" t="str">
        <f ca="1">IFERROR(INDEX($A$3:$G$400,MATCH(ROWS(AD$3:AD219),$Q$3:$Q$400,0),3),"")</f>
        <v>E</v>
      </c>
      <c r="AE219" s="48" t="str">
        <f ca="1">IFERROR(INDEX($A$3:$G$400,MATCH(ROWS(AE$3:AE219),$Q$3:$Q$400,0),4),"")</f>
        <v>D</v>
      </c>
      <c r="AF219" s="48" t="str">
        <f ca="1">IFERROR(INDEX($A$3:$G$400,MATCH(ROWS(AF$3:AF219),$Q$3:$Q$400,0),5),"")</f>
        <v>COSTI D'ESERCIZIO</v>
      </c>
      <c r="AG219" s="48" t="str">
        <f ca="1">IFERROR(INDEX($A$3:$G$400,MATCH(ROWS(AG$3:AG219),$Q$3:$Q$400,0),6),"")</f>
        <v>SE DARE</v>
      </c>
      <c r="AH219" s="48" t="str">
        <f ca="1">IFERROR(INDEX($A$3:$G$400,MATCH(ROWS(AH$3:AH219),$Q$3:$Q$400,0),7),"")</f>
        <v>SE</v>
      </c>
      <c r="AI219" s="48" t="str">
        <f t="shared" ca="1" si="441"/>
        <v>COSTI PER SERVIZI</v>
      </c>
      <c r="AJ219" s="48" t="str">
        <f ca="1">IFERROR(INDEX($A$3:$H$400,MATCH(ROWS(AJ$3:AJ219),$Q$3:$Q$400,0),8),"")</f>
        <v>eb7</v>
      </c>
      <c r="AK219" s="48">
        <f t="shared" ca="1" si="417"/>
        <v>0</v>
      </c>
      <c r="AL219" s="48">
        <f t="shared" ca="1" si="473"/>
        <v>0</v>
      </c>
      <c r="AM219" s="48">
        <f t="shared" ca="1" si="377"/>
        <v>0</v>
      </c>
      <c r="AN219" s="48">
        <f t="shared" ca="1" si="378"/>
        <v>0</v>
      </c>
      <c r="AO219" s="48">
        <f t="shared" ca="1" si="379"/>
        <v>0</v>
      </c>
      <c r="AP219" s="48">
        <f t="shared" ca="1" si="379"/>
        <v>0</v>
      </c>
      <c r="AQ219" s="48" t="str">
        <f t="shared" ca="1" si="418"/>
        <v/>
      </c>
      <c r="AR219" s="48">
        <f t="shared" ca="1" si="419"/>
        <v>0</v>
      </c>
      <c r="AS219" s="48">
        <f t="shared" ca="1" si="420"/>
        <v>0</v>
      </c>
      <c r="AT219" s="48">
        <f t="shared" ca="1" si="442"/>
        <v>0</v>
      </c>
      <c r="AU219" s="48">
        <f t="shared" ca="1" si="443"/>
        <v>0</v>
      </c>
      <c r="AV219" s="48">
        <f ca="1">IF(OR(AT219&gt;0,AU219&gt;0),MAX($AV$2:AV218)+1,0)</f>
        <v>0</v>
      </c>
      <c r="AZ219" s="48" t="str">
        <f t="shared" ca="1" si="484"/>
        <v/>
      </c>
      <c r="BA219" s="48">
        <f t="shared" ca="1" si="480"/>
        <v>0</v>
      </c>
      <c r="BB219" s="48">
        <f t="shared" ca="1" si="481"/>
        <v>0</v>
      </c>
      <c r="BC219" s="48">
        <f t="shared" ca="1" si="482"/>
        <v>0</v>
      </c>
      <c r="BD219" s="48">
        <f t="shared" ca="1" si="383"/>
        <v>0</v>
      </c>
      <c r="BE219" s="48">
        <f t="shared" ca="1" si="384"/>
        <v>0</v>
      </c>
      <c r="BF219" s="48">
        <f t="shared" si="485"/>
        <v>19</v>
      </c>
      <c r="BG219" s="48">
        <f ca="1">IF(IF(AND(OR(INDEX(PDC,MATCH($AC219,DEN_PDC,0),6)="SP DARE",INDEX(PDC,MATCH($AC219,DEN_PDC,0),6)="SP DARE/AVERE"),SUMIFS(DARE,DEN_G,$AC219)&gt;=SUMIFS(AVERE,DEN_G,$AC219)),SUMIFS(DARE,DEN_G,$AC219)-SUMIFS(AVERE,DEN_G,$AC219),0)&gt;0,MAX($BG$2:BG218)+1,0)</f>
        <v>0</v>
      </c>
      <c r="BH219" s="48">
        <f ca="1">IF(IF(AND(OR(INDEX(PDC,MATCH($AC219,DEN_PDC,0),6)="SP AVERE",INDEX(PDC,MATCH($AC219,DEN_PDC,0),6)="SP DARE/AVERE"),SUMIFS(AVERE,DEN_G,$AC219)&gt;=SUMIFS(DARE,DEN_G,$AC219)),SUMIFS(AVERE,DEN_G,$AC219)-SUMIFS(DARE,DEN_G,$AC219),0)&gt;0,MAX(BH$2:BH218)+1,0)</f>
        <v>0</v>
      </c>
      <c r="BI219" s="48">
        <f ca="1">IF(IF(AND(OR(INDEX(PDC,MATCH($AC219,DEN_PDC,0),6)="SE DARE",INDEX(PDC,MATCH($AC219,DEN_PDC,0),6)="SE DARE/AVERE"),SUMIFS(DARE,DEN_G,$AC219)&gt;=SUMIFS(AVERE,DEN_G,$AC219)),SUMIFS(DARE,DEN_G,$AC219)-SUMIFS(AVERE,DEN_G,$AC219),0)&gt;0,MAX(BI$2:BI218)+1,0)</f>
        <v>0</v>
      </c>
      <c r="BJ219" s="48">
        <f ca="1">IF(IF(AND(OR(INDEX(PDC,MATCH($AC219,DEN_PDC,0),6)="SE AVERE",INDEX(PDC,MATCH($AC219,DEN_PDC,0),6)="SE DARE/AVERE"),SUMIFS(AVERE,DEN_G,$AC219)&gt;=SUMIFS(DARE,DEN_G,$AC219)),SUMIFS(AVERE,DEN_G,$AC219)-SUMIFS(DARE,DEN_G,$AC219),0)&gt;0,MAX(BJ$2:BJ218)+1,0)</f>
        <v>0</v>
      </c>
      <c r="BK219" s="48" t="str">
        <f ca="1">IF(AND(AND($DY$2=0,$DY$1=0),$I$1=2,ROW()&gt;$BG$1+2,ROW()&lt;=$BG$1+4),"………………..",IF(AND(OR($DY$2&gt;0,$DY$1&gt;0),$I$1=2,ROW()&gt;$BG$1+2,ROW()&lt;=$BG$1+4),"………………..",IFERROR(INDEX($AC$3:$AC$398,MATCH(ROWS(BK$3:BK219),BG$3:BG$398,0),1),"")))</f>
        <v/>
      </c>
      <c r="BL219" s="48">
        <f t="shared" ca="1" si="421"/>
        <v>0</v>
      </c>
      <c r="BM219" s="48" t="str">
        <f ca="1">IF(AND(OR($DY$2=0,$DY$1=0),$I$1=2,ROW()&gt;$BH$1+2,ROW()&lt;=$BH$1+4),"………………..",IF(AND(OR($DY$2&gt;0,$DY$1&gt;0),$I$1=2,ROW()&gt;$BH$1+2,ROW()&lt;=$BH$1+4),"………………..",IFERROR(INDEX($AC$3:$AC$400,MATCH(ROWS(BM$3:BM219),BH$3:BH$400,0),1),"")))</f>
        <v/>
      </c>
      <c r="BN219" s="48">
        <f t="shared" ca="1" si="422"/>
        <v>0</v>
      </c>
      <c r="BO219" s="48" t="str">
        <f ca="1">IF(AND(OR($DY$2=0,$DY$1=0),$I$1=2,ROW()&gt;$BI$1+2,ROW()&lt;=$BI$1+4),"………………..",IF(AND(OR($DY$2&gt;0,$DY$1&gt;0),$I$1=2,ROW()&gt;$BI$1+2,ROW()&lt;=$BI$1+4),"………………..",IFERROR(INDEX($AC$3:$AC$400,MATCH(ROWS(BO$3:BO219),BI$3:BI$400,0),1),"")))</f>
        <v/>
      </c>
      <c r="BP219" s="48">
        <f t="shared" ca="1" si="423"/>
        <v>0</v>
      </c>
      <c r="BQ219" s="48" t="str">
        <f ca="1">IF(AND(OR($DY$2=0,$DY$1=0),$I$1=2,ROW()&gt;$BJ$1+2,ROW()&lt;=$BJ$1+4),"………………..",IF(AND(OR($DY$2&gt;0,$DY$1&gt;0),$I$1=2,ROW()&gt;$BJ$1+2,ROW()&lt;=$BJ$1+4),"………………..",IFERROR(INDEX($AC$3:$AC$400,MATCH(ROWS(BQ$3:BQ219),BJ$3:BJ$400,0),1),"")))</f>
        <v/>
      </c>
      <c r="BR219" s="48">
        <f t="shared" ca="1" si="424"/>
        <v>0</v>
      </c>
      <c r="BS219" s="48">
        <f ca="1">IF(IF(AND(OR(INDEX(PDC,MATCH($AC219,DEN_PDC,0),4)="D",INDEX(PDC,MATCH($AC219,DEN_PDC,0),4)="D/A"),SUMIFS(DARE,DEN_G,$AC219)&gt;=SUMIFS(AVERE,DEN_G,$AC219)),SUMIFS(DARE,DEN_G,$AC219),IF(AND(OR(INDEX(PDC,MATCH($AC219,DEN_PDC,0),4)="A",INDEX(PDC,MATCH($AC219,DEN_PDC,0),4)="D/A"),SUMIFS(AVERE,DEN_G,$AC219)&gt;=SUMIFS(DARE,DEN_G,$AC219)),SUMIFS(AVERE,DEN_G,$AC219),))&gt;0,MAX($BS$2:BS218)+1,0)</f>
        <v>0</v>
      </c>
      <c r="BT219" s="48" t="str">
        <f ca="1">IF($CO$1=0,"",IF(AND($I$1=2,ROW()&gt;$BR$1,ROW()&lt;=$BS$1)," …………….",IF(AND($E$1=1,$BX$1=1,$I$1=2,ROW()=$BQ$1),"TOTALI",IFERROR(INDEX(PDC,MATCH(ROWS(BT$3:BT219),BS$3:BS616,0),2),""))))</f>
        <v/>
      </c>
      <c r="BU219" s="48">
        <f t="shared" ca="1" si="425"/>
        <v>0</v>
      </c>
      <c r="BV219" s="48">
        <f t="shared" ca="1" si="426"/>
        <v>0</v>
      </c>
      <c r="BW219" s="48">
        <f t="shared" ca="1" si="427"/>
        <v>0</v>
      </c>
      <c r="BX219" s="48">
        <f t="shared" ca="1" si="428"/>
        <v>0</v>
      </c>
      <c r="BY219" s="48">
        <f ca="1">IF(OR(BW219&gt;0,BX219&gt;0),MAX($BY$2:BY218)+1,0)</f>
        <v>0</v>
      </c>
      <c r="BZ219" s="48" t="str">
        <f ca="1">IFERROR(INDEX($BT$3:$BY$400,MATCH(ROWS(BZ$3:BZ219),$BY$3:$BY$400,0),1),"")</f>
        <v/>
      </c>
      <c r="CA219" s="48" t="str">
        <f ca="1">IFERROR(INDEX($BT$3:$BY$400,MATCH(ROWS(CA$3:CA219),$BY$3:$BY$400,0),4),"")</f>
        <v/>
      </c>
      <c r="CB219" s="48" t="str">
        <f ca="1">IFERROR(INDEX($BT$3:$BY$400,MATCH(ROWS(CB$3:CB219),$BY$3:$BY$400,0),5),"")</f>
        <v/>
      </c>
      <c r="CC219" s="48" t="str">
        <f t="shared" ca="1" si="429"/>
        <v/>
      </c>
      <c r="CD219" s="48">
        <f ca="1">IF(CE219&lt;&gt;0,MAX($CD$190:CD218)+1,0)</f>
        <v>0</v>
      </c>
      <c r="CE219" s="48">
        <f ca="1">IF(ROUND(SUMIFS(COPIA!$CA$3:$CA$400,COPIA!$CC$3:$CC$400,CF219)-SUMIFS(COPIA!$CB$3:$CB$400,COPIA!$CC$3:$CC$400,CF219),0)&lt;0,0,ROUND(SUMIFS(COPIA!$CA$3:$CA$400,COPIA!$CC$3:$CC$400,CF219)-SUMIFS(COPIA!$CB$3:$CB$400,COPIA!$CC$3:$CC$400,CF219),0))</f>
        <v>0</v>
      </c>
      <c r="CF219" s="48" t="s">
        <v>722</v>
      </c>
      <c r="CG219" s="242" t="s">
        <v>587</v>
      </c>
      <c r="CH219" s="48">
        <f t="shared" ca="1" si="495"/>
        <v>0</v>
      </c>
      <c r="CM219" s="242" t="str">
        <f t="shared" ca="1" si="444"/>
        <v/>
      </c>
      <c r="CN219" s="243">
        <f t="shared" ca="1" si="445"/>
        <v>0</v>
      </c>
      <c r="CO219" s="48" t="str">
        <f t="shared" ca="1" si="446"/>
        <v/>
      </c>
      <c r="CU219" s="48">
        <f ca="1">IF(SUMIFS(AVERE,DEN_G,AC219,AVERE,"&gt;"&amp;0)+SUMIFS(DARE,DEN_G,AC219,DARE,"&gt;"&amp;0)&gt;0,MAX($CU$2:CU218)+1,0)</f>
        <v>0</v>
      </c>
      <c r="CV219" s="48" t="str">
        <f ca="1">IF(IFERROR(INDEX(PDC,MATCH(ROWS($CV$3:CV219),$CU$3:$CU$400,0),2),"")="CONTO DI RISULTATO ECONOMICO","",IFERROR(INDEX(PDC,MATCH(ROWS($CV$3:CV219),$CU$3:$CU$400,0),2),""))</f>
        <v/>
      </c>
      <c r="CW219" s="48">
        <f ca="1">IFERROR(IF(CV219&lt;&gt;"",MAX($CW$2:CW218)+1,0),0)</f>
        <v>0</v>
      </c>
      <c r="CX219" s="48">
        <f t="shared" ca="1" si="496"/>
        <v>17</v>
      </c>
      <c r="CY219" s="48" t="str">
        <f t="shared" ca="1" si="494"/>
        <v>MASTRO</v>
      </c>
      <c r="CZ219" s="48" t="e">
        <f t="shared" ca="1" si="498"/>
        <v>#N/A</v>
      </c>
      <c r="DA219" s="48" t="str">
        <f t="shared" ca="1" si="503"/>
        <v/>
      </c>
      <c r="DB219" s="48" t="str">
        <f t="shared" ca="1" si="499"/>
        <v/>
      </c>
      <c r="DC219" s="48" t="str">
        <f t="shared" ca="1" si="500"/>
        <v/>
      </c>
      <c r="DD219" s="48" t="str">
        <f t="shared" ca="1" si="501"/>
        <v/>
      </c>
      <c r="DE219" s="48" t="str">
        <f t="shared" ca="1" si="502"/>
        <v/>
      </c>
      <c r="DF219" s="48">
        <f ca="1">IF(AND(CX219=$DF$1,CX219&lt;&gt;""),0,IF(AND(DB219&lt;&gt;"",OR(DB218&lt;&gt;"",DB220&lt;&gt;"")),MAX($DF$2:DF218)+1,0))</f>
        <v>0</v>
      </c>
      <c r="DH219" s="244" t="s">
        <v>151</v>
      </c>
      <c r="DI219" s="48" t="s">
        <v>149</v>
      </c>
      <c r="DJ219" s="48" t="s">
        <v>312</v>
      </c>
      <c r="DK219" s="48" t="s">
        <v>298</v>
      </c>
      <c r="DL219" s="48" t="s">
        <v>272</v>
      </c>
      <c r="DM219" s="48" t="s">
        <v>299</v>
      </c>
      <c r="DN219" s="48">
        <f ca="1">IF(DI219&lt;&gt;"",MAX($DN$2:DN218)+1,0)</f>
        <v>167</v>
      </c>
      <c r="DO219" s="48" t="str">
        <f ca="1">IF($BF$9=1,"ppe",IF(AND($BF$9=2,$DJ$1=FALSE),"ppe","ppd"))</f>
        <v>ppe</v>
      </c>
      <c r="DW219" s="48">
        <f>IF(DR219&lt;&gt;"",MAX($DW$2:DW218)+1,0)</f>
        <v>0</v>
      </c>
      <c r="DY219" s="48" t="str">
        <f t="shared" ca="1" si="430"/>
        <v/>
      </c>
      <c r="EL219" s="48">
        <f t="shared" ca="1" si="431"/>
        <v>0</v>
      </c>
      <c r="EM219" s="48">
        <f ca="1">IF(EL219&gt;=0,0,MAX($EM$2:EM218)+1)</f>
        <v>0</v>
      </c>
      <c r="EN219" s="48" t="str">
        <f t="shared" ca="1" si="459"/>
        <v/>
      </c>
      <c r="EO219" s="48" t="str">
        <f ca="1">IFERROR(INDEX($EM$3:$EN$400,MATCH(ROWS($EO$3:EO219),$EM$3:$EM$400,0),2),"")</f>
        <v/>
      </c>
      <c r="EP219" s="48">
        <f>ROW()</f>
        <v>219</v>
      </c>
      <c r="EQ219" s="48">
        <f t="shared" ca="1" si="432"/>
        <v>0</v>
      </c>
      <c r="ER219" s="48">
        <f ca="1">IF(ISNA(EQ219)=TRUE,MAX($ER$2:ER218)+1,0)</f>
        <v>0</v>
      </c>
      <c r="ES219" s="48" t="str">
        <f t="shared" ca="1" si="460"/>
        <v/>
      </c>
      <c r="ET219" s="48" t="str">
        <f ca="1">IFERROR(INDEX($ER$3:$ES$400,MATCH(ROWS($ET$3:ET219),$ER$3:$ER$400,0),2),"")</f>
        <v/>
      </c>
      <c r="EV219" s="48">
        <f ca="1">IFERROR(INDEX(LIBRO_GIORNALE!$O$11:$P$408,MATCH(ROWS($EV$2:EV218),LIBRO_GIORNALE!$P$11:$P$408,0),1),0)</f>
        <v>0</v>
      </c>
      <c r="EW219" s="48" t="str">
        <f t="shared" ca="1" si="461"/>
        <v>0</v>
      </c>
      <c r="EX219" s="48">
        <f t="shared" ca="1" si="462"/>
        <v>0</v>
      </c>
      <c r="EY219" s="48">
        <f ca="1">IF(EX219&gt;0,MAX($EY$2:EY218)+1,0)</f>
        <v>0</v>
      </c>
      <c r="EZ219" s="48">
        <f ca="1">IFERROR(INDEX($EX$3:$EX$400,MATCH(ROWS($EZ$3:EZ219),$EY$3:$EY$400,0),1),0)</f>
        <v>0</v>
      </c>
      <c r="FA219" s="48">
        <f ca="1">IF(EZ219&gt;0,0,MAX($FA$2:FA218)+1)</f>
        <v>217</v>
      </c>
      <c r="FB219" s="48">
        <f t="shared" ca="1" si="463"/>
        <v>0</v>
      </c>
      <c r="FC219" s="48">
        <f t="shared" ca="1" si="464"/>
        <v>217</v>
      </c>
      <c r="FD219" s="48">
        <f t="shared" ca="1" si="465"/>
        <v>217</v>
      </c>
      <c r="FE219" s="48">
        <f ca="1">IF(FD219=0,0,MAX($FE$2:FE218)+1)</f>
        <v>217</v>
      </c>
      <c r="FF219" s="48">
        <f ca="1">IFERROR(INDEX($FD$3:$FE$400,MATCH(ROWS($FF$3:FF219),$FE$3:$FE$400,0),1),"")</f>
        <v>217</v>
      </c>
      <c r="FG219" s="48">
        <f t="shared" ca="1" si="380"/>
        <v>0</v>
      </c>
      <c r="FH219" s="48">
        <f t="shared" ca="1" si="466"/>
        <v>0</v>
      </c>
      <c r="FI219" s="48">
        <f ca="1">IF(FH219&lt;&gt;0,MAX($FI$2:FI218)+1,0)</f>
        <v>0</v>
      </c>
      <c r="FJ219" s="48" t="str">
        <f ca="1">IFERROR(INDEX($FH$3:$FI$400,MATCH(ROWS($FJ$3:FJ219),$FI$3:$FI$400,0),1),"")</f>
        <v/>
      </c>
      <c r="FK219" s="48">
        <f ca="1">IF(ABS(SUMIFS(DARE,DEN_G,"="&amp;FJ219,DATA,"&lt;="&amp;FINE_AC,DATA,"&gt;="&amp;INIZIO_A_PC)-SUMIFS(AVERE,DEN_G,"="&amp;FJ219,DATA,"&lt;="&amp;FINE_AC,DATA,"&gt;="&amp;INIZIO_A_PC))&gt;0,MAX($FK$2:FK218)+1,0)</f>
        <v>0</v>
      </c>
      <c r="FL219" s="48" t="str">
        <f ca="1">IF(AND(ROW()-2&lt;&gt;1,ROW()-2&lt;=$FK$1),CONCATENATE(" - ",IFERROR(INDEX($FJ$3:$FK$400,MATCH(ROWS($FL$3:FL219),$FK$3:$FK$400,0),1),"")),IFERROR(INDEX($FJ$3:$FK$400,MATCH(ROWS($FL$3:FL219),$FK$3:$FK$400,0),1),""))</f>
        <v/>
      </c>
      <c r="FM219" s="48">
        <f ca="1">IF(OR(B219="IVA ns/credito",B219="IVA NS/DEBITO",B219="IVA C/ACCONTO",B219="IMPOSTE C/ACCONTO",B219="CREDITI PER RITENUTE SUBITE",B219="CREDITI D'IMPOSTA"),MAX($FM$2:FM218)+1,0)</f>
        <v>0</v>
      </c>
      <c r="FN219" s="48" t="str">
        <f t="shared" ca="1" si="467"/>
        <v/>
      </c>
      <c r="FO219" s="48" t="str">
        <f ca="1">IFERROR(INDEX($FM$3:$FN$400,MATCH(ROWS($FO$3:FO219),$FM$3:$FM$400,0),2),"")</f>
        <v/>
      </c>
      <c r="FP219" s="48">
        <f ca="1">IF(ABS(SUMIFS(DARE,DEN_G,"="&amp;FO219,DATA,"&lt;="&amp;FINE_AC,DATA,"&gt;="&amp;INIZIO_A_PC)-SUMIFS(AVERE,DEN_G,"="&amp;FO219,DATA,"&lt;="&amp;FINE_AC,DATA,"&gt;="&amp;INIZIO_A_PC))&gt;0,MAX($FP$2:FP218)+1,0)</f>
        <v>0</v>
      </c>
      <c r="FQ219" s="48" t="str">
        <f ca="1">IF(AND(ROW()-2&lt;&gt;1,ROW()-2&lt;=$FP$1),CONCATENATE(" - ",IFERROR(INDEX($FO$3:$FP$400,MATCH(ROWS($FQ$3:FQ219),$FP$3:$FP$400,0),1),"")),IFERROR(INDEX($FO$3:$FP$400,MATCH(ROWS($FQ$3:FQ219),$FP$3:$FP$400,0),1),""))</f>
        <v/>
      </c>
    </row>
    <row r="220" spans="1:173" x14ac:dyDescent="0.3">
      <c r="A220" s="48" t="str">
        <f ca="1">IFERROR(IF($A$1=2,INDEX($DH$3:$DN$401,MATCH(ROWS(A$3:A220),$DN$3:$DN$401,0),COLUMN()),IF($A$1=1,INDEX($DQ$3:$DW$401,MATCH(ROWS(A$3:A220),$DW$3:$DW$401,0),COLUMN()),"")),"")</f>
        <v>30.10</v>
      </c>
      <c r="B220" s="48" t="str">
        <f ca="1">IFERROR(IF($A$1=2,INDEX($DH$3:$DN$401,MATCH(ROWS(B$3:B220),$DN$3:$DN$401,0),COLUMN()),IF($A$1=1,INDEX($DQ$3:$DW$400,MATCH(ROWS(B$3:B220),$DW$3:$DW$401,0),COLUMN()),"")),"")</f>
        <v>RESI SU ACQUISTI</v>
      </c>
      <c r="C220" s="48" t="str">
        <f ca="1">IFERROR(IF($A$1=2,INDEX($DH$3:$DN$401,MATCH(ROWS(C$3:C220),$DN$3:$DN$401,0),COLUMN()),IF($A$1=1,INDEX($DQ$3:$DW$401,MATCH(ROWS(C$3:C220),$DW$3:$DW$401,0),COLUMN()),"")),"")</f>
        <v>E</v>
      </c>
      <c r="D220" s="48" t="str">
        <f ca="1">IFERROR(IF($A$1=2,INDEX($DH$3:$DN$401,MATCH(ROWS(D$3:D220),$DN$3:$DN$401,0),COLUMN()),IF($A$1=1,INDEX($DQ$3:$DW$401,MATCH(ROWS(D$3:D220),$DW$3:$DW$401,0),COLUMN()),"")),"")</f>
        <v>A</v>
      </c>
      <c r="E220" s="48" t="str">
        <f ca="1">IFERROR(IF($A$1=2,INDEX($DH$3:$DN$401,MATCH(ROWS(E$3:E220),$DN$3:$DN$401,0),COLUMN()),IF($A$1=1,INDEX($DQ$3:$DW$401,MATCH(ROWS(E$3:E220),$DW$3:$DW$401,0),COLUMN()),"")),"")</f>
        <v>RETTIFICHE COSTI D'ESERCIZIO</v>
      </c>
      <c r="F220" s="48" t="str">
        <f ca="1">IFERROR(IF($A$1=2,INDEX($DH$3:$DN$401,MATCH(ROWS(F$3:F220),$DN$3:$DN$401,0),COLUMN()),IF($A$1=1,INDEX($DQ$3:$DX$401,MATCH(ROWS(F$3:F220),$DW$3:$DW$401,0),COLUMN()),"")),"")</f>
        <v>SE AVERE</v>
      </c>
      <c r="G220" s="48" t="str">
        <f t="shared" ca="1" si="433"/>
        <v>SE</v>
      </c>
      <c r="H220" s="48" t="str">
        <f ca="1">IFERROR(IF($A$1=2,INDEX($DH$3:$DO$400,MATCH(ROWS(H$3:H220),$DN$3:$DN$400,0),COLUMN()),IF($A$1=1,INDEX($DQ$3:$DX$400,MATCH(ROWS(H$3:H220),$DW$3:$DW$400,0),COLUMN()),"")),"")</f>
        <v>eb6</v>
      </c>
      <c r="M220" s="48">
        <f ca="1">IFERROR(IF(IF(MID($A220,3,3)=".00",MID(A220,1,2),"")&lt;&gt;"",MAX($M$2:M219)+1,0),"")</f>
        <v>0</v>
      </c>
      <c r="N220" s="48" t="str">
        <f t="shared" ca="1" si="438"/>
        <v/>
      </c>
      <c r="O220" s="48" t="str">
        <f ca="1">IF(IFERROR(INDEX($N$3:$O$300,MATCH(ROWS($O$3:O220),$M$3:$M$300,0),1),"")&lt;&gt;"",CONCATENATE(INDEX($N$3:$O$300,MATCH(ROWS($O$3:O220),$M$3:$M$300,0),1),".00"),"")</f>
        <v/>
      </c>
      <c r="P220" s="48" t="str">
        <f t="shared" ca="1" si="439"/>
        <v/>
      </c>
      <c r="Q220" s="48">
        <f ca="1">IF(M220&gt;=1,0,MAX($Q$2:Q219)+1)</f>
        <v>196</v>
      </c>
      <c r="U220" s="48" t="str">
        <f ca="1">IFERROR(INDEX(PDC,MATCH(ROWS(U$3:U220),$V$3:$V$400,0),2),"")</f>
        <v>COSTI PER SERVIZI</v>
      </c>
      <c r="V220" s="48">
        <f ca="1">IF(AND($T$1="VISUALIZZA TUTTI I CONTI",AA220&lt;&gt;""),MAX($V$2:V219)+1,IF(AND($U$2=2,AI220=$T$1),MAX($V$2:V219)+1,IF(AND($U$2=1,$T$1=AF220),MAX($V$2:V219)+1,0)))</f>
        <v>218</v>
      </c>
      <c r="AA220" s="48" t="str">
        <f t="shared" ca="1" si="440"/>
        <v>31.00</v>
      </c>
      <c r="AB220" s="48" t="str">
        <f ca="1">IFERROR(INDEX($A$3:$G$400,MATCH(ROWS(AB$3:AB220),$Q$3:$Q$400,0),1),"")</f>
        <v>31.99</v>
      </c>
      <c r="AC220" s="48" t="str">
        <f ca="1">IFERROR(INDEX($A$3:$G$400,MATCH(ROWS($AC$3:AC220),$Q$3:$Q$400,0),2),"")</f>
        <v>COSTI PER SERVIZI</v>
      </c>
      <c r="AD220" s="48" t="str">
        <f ca="1">IFERROR(INDEX($A$3:$G$400,MATCH(ROWS(AD$3:AD220),$Q$3:$Q$400,0),3),"")</f>
        <v>E</v>
      </c>
      <c r="AE220" s="48" t="str">
        <f ca="1">IFERROR(INDEX($A$3:$G$400,MATCH(ROWS(AE$3:AE220),$Q$3:$Q$400,0),4),"")</f>
        <v>D</v>
      </c>
      <c r="AF220" s="48" t="str">
        <f ca="1">IFERROR(INDEX($A$3:$G$400,MATCH(ROWS(AF$3:AF220),$Q$3:$Q$400,0),5),"")</f>
        <v>COSTI D'ESERCIZIO</v>
      </c>
      <c r="AG220" s="48" t="str">
        <f ca="1">IFERROR(INDEX($A$3:$G$400,MATCH(ROWS(AG$3:AG220),$Q$3:$Q$400,0),6),"")</f>
        <v>SE DARE</v>
      </c>
      <c r="AH220" s="48" t="str">
        <f ca="1">IFERROR(INDEX($A$3:$G$400,MATCH(ROWS(AH$3:AH220),$Q$3:$Q$400,0),7),"")</f>
        <v>SE</v>
      </c>
      <c r="AI220" s="48" t="str">
        <f t="shared" ca="1" si="441"/>
        <v>COSTI PER SERVIZI</v>
      </c>
      <c r="AJ220" s="48" t="str">
        <f ca="1">IFERROR(INDEX($A$3:$H$400,MATCH(ROWS(AJ$3:AJ220),$Q$3:$Q$400,0),8),"")</f>
        <v>eb7</v>
      </c>
      <c r="AK220" s="48">
        <f t="shared" ca="1" si="417"/>
        <v>0</v>
      </c>
      <c r="AL220" s="48">
        <f t="shared" ca="1" si="473"/>
        <v>0</v>
      </c>
      <c r="AM220" s="48">
        <f t="shared" ca="1" si="377"/>
        <v>0</v>
      </c>
      <c r="AN220" s="48">
        <f t="shared" ca="1" si="378"/>
        <v>0</v>
      </c>
      <c r="AO220" s="48">
        <f t="shared" ca="1" si="379"/>
        <v>0</v>
      </c>
      <c r="AP220" s="48">
        <f t="shared" ca="1" si="379"/>
        <v>0</v>
      </c>
      <c r="AQ220" s="48" t="str">
        <f t="shared" ca="1" si="418"/>
        <v/>
      </c>
      <c r="AR220" s="48">
        <f t="shared" ca="1" si="419"/>
        <v>0</v>
      </c>
      <c r="AS220" s="48">
        <f t="shared" ca="1" si="420"/>
        <v>0</v>
      </c>
      <c r="AT220" s="48">
        <f t="shared" ca="1" si="442"/>
        <v>0</v>
      </c>
      <c r="AU220" s="48">
        <f t="shared" ca="1" si="443"/>
        <v>0</v>
      </c>
      <c r="AV220" s="48">
        <f ca="1">IF(OR(AT220&gt;0,AU220&gt;0),MAX($AV$2:AV219)+1,0)</f>
        <v>0</v>
      </c>
      <c r="AZ220" s="48" t="str">
        <f t="shared" ca="1" si="484"/>
        <v/>
      </c>
      <c r="BA220" s="48">
        <f t="shared" ca="1" si="480"/>
        <v>0</v>
      </c>
      <c r="BB220" s="48">
        <f t="shared" ca="1" si="481"/>
        <v>0</v>
      </c>
      <c r="BC220" s="48">
        <f t="shared" ca="1" si="482"/>
        <v>0</v>
      </c>
      <c r="BD220" s="48">
        <f t="shared" ca="1" si="383"/>
        <v>0</v>
      </c>
      <c r="BE220" s="48">
        <f t="shared" ca="1" si="384"/>
        <v>0</v>
      </c>
      <c r="BF220" s="48">
        <f t="shared" si="485"/>
        <v>20</v>
      </c>
      <c r="BG220" s="48">
        <f ca="1">IF(IF(AND(OR(INDEX(PDC,MATCH($AC220,DEN_PDC,0),6)="SP DARE",INDEX(PDC,MATCH($AC220,DEN_PDC,0),6)="SP DARE/AVERE"),SUMIFS(DARE,DEN_G,$AC220)&gt;=SUMIFS(AVERE,DEN_G,$AC220)),SUMIFS(DARE,DEN_G,$AC220)-SUMIFS(AVERE,DEN_G,$AC220),0)&gt;0,MAX($BG$2:BG219)+1,0)</f>
        <v>0</v>
      </c>
      <c r="BH220" s="48">
        <f ca="1">IF(IF(AND(OR(INDEX(PDC,MATCH($AC220,DEN_PDC,0),6)="SP AVERE",INDEX(PDC,MATCH($AC220,DEN_PDC,0),6)="SP DARE/AVERE"),SUMIFS(AVERE,DEN_G,$AC220)&gt;=SUMIFS(DARE,DEN_G,$AC220)),SUMIFS(AVERE,DEN_G,$AC220)-SUMIFS(DARE,DEN_G,$AC220),0)&gt;0,MAX(BH$2:BH219)+1,0)</f>
        <v>0</v>
      </c>
      <c r="BI220" s="48">
        <f ca="1">IF(IF(AND(OR(INDEX(PDC,MATCH($AC220,DEN_PDC,0),6)="SE DARE",INDEX(PDC,MATCH($AC220,DEN_PDC,0),6)="SE DARE/AVERE"),SUMIFS(DARE,DEN_G,$AC220)&gt;=SUMIFS(AVERE,DEN_G,$AC220)),SUMIFS(DARE,DEN_G,$AC220)-SUMIFS(AVERE,DEN_G,$AC220),0)&gt;0,MAX(BI$2:BI219)+1,0)</f>
        <v>0</v>
      </c>
      <c r="BJ220" s="48">
        <f ca="1">IF(IF(AND(OR(INDEX(PDC,MATCH($AC220,DEN_PDC,0),6)="SE AVERE",INDEX(PDC,MATCH($AC220,DEN_PDC,0),6)="SE DARE/AVERE"),SUMIFS(AVERE,DEN_G,$AC220)&gt;=SUMIFS(DARE,DEN_G,$AC220)),SUMIFS(AVERE,DEN_G,$AC220)-SUMIFS(DARE,DEN_G,$AC220),0)&gt;0,MAX(BJ$2:BJ219)+1,0)</f>
        <v>0</v>
      </c>
      <c r="BK220" s="48" t="str">
        <f ca="1">IF(AND(AND($DY$2=0,$DY$1=0),$I$1=2,ROW()&gt;$BG$1+2,ROW()&lt;=$BG$1+4),"………………..",IF(AND(OR($DY$2&gt;0,$DY$1&gt;0),$I$1=2,ROW()&gt;$BG$1+2,ROW()&lt;=$BG$1+4),"………………..",IFERROR(INDEX($AC$3:$AC$398,MATCH(ROWS(BK$3:BK220),BG$3:BG$398,0),1),"")))</f>
        <v/>
      </c>
      <c r="BL220" s="48">
        <f t="shared" ca="1" si="421"/>
        <v>0</v>
      </c>
      <c r="BM220" s="48" t="str">
        <f ca="1">IF(AND(OR($DY$2=0,$DY$1=0),$I$1=2,ROW()&gt;$BH$1+2,ROW()&lt;=$BH$1+4),"………………..",IF(AND(OR($DY$2&gt;0,$DY$1&gt;0),$I$1=2,ROW()&gt;$BH$1+2,ROW()&lt;=$BH$1+4),"………………..",IFERROR(INDEX($AC$3:$AC$400,MATCH(ROWS(BM$3:BM220),BH$3:BH$400,0),1),"")))</f>
        <v/>
      </c>
      <c r="BN220" s="48">
        <f t="shared" ca="1" si="422"/>
        <v>0</v>
      </c>
      <c r="BO220" s="48" t="str">
        <f ca="1">IF(AND(OR($DY$2=0,$DY$1=0),$I$1=2,ROW()&gt;$BI$1+2,ROW()&lt;=$BI$1+4),"………………..",IF(AND(OR($DY$2&gt;0,$DY$1&gt;0),$I$1=2,ROW()&gt;$BI$1+2,ROW()&lt;=$BI$1+4),"………………..",IFERROR(INDEX($AC$3:$AC$400,MATCH(ROWS(BO$3:BO220),BI$3:BI$400,0),1),"")))</f>
        <v/>
      </c>
      <c r="BP220" s="48">
        <f t="shared" ca="1" si="423"/>
        <v>0</v>
      </c>
      <c r="BQ220" s="48" t="str">
        <f ca="1">IF(AND(OR($DY$2=0,$DY$1=0),$I$1=2,ROW()&gt;$BJ$1+2,ROW()&lt;=$BJ$1+4),"………………..",IF(AND(OR($DY$2&gt;0,$DY$1&gt;0),$I$1=2,ROW()&gt;$BJ$1+2,ROW()&lt;=$BJ$1+4),"………………..",IFERROR(INDEX($AC$3:$AC$400,MATCH(ROWS(BQ$3:BQ220),BJ$3:BJ$400,0),1),"")))</f>
        <v/>
      </c>
      <c r="BR220" s="48">
        <f t="shared" ca="1" si="424"/>
        <v>0</v>
      </c>
      <c r="BS220" s="48">
        <f ca="1">IF(IF(AND(OR(INDEX(PDC,MATCH($AC220,DEN_PDC,0),4)="D",INDEX(PDC,MATCH($AC220,DEN_PDC,0),4)="D/A"),SUMIFS(DARE,DEN_G,$AC220)&gt;=SUMIFS(AVERE,DEN_G,$AC220)),SUMIFS(DARE,DEN_G,$AC220),IF(AND(OR(INDEX(PDC,MATCH($AC220,DEN_PDC,0),4)="A",INDEX(PDC,MATCH($AC220,DEN_PDC,0),4)="D/A"),SUMIFS(AVERE,DEN_G,$AC220)&gt;=SUMIFS(DARE,DEN_G,$AC220)),SUMIFS(AVERE,DEN_G,$AC220),))&gt;0,MAX($BS$2:BS219)+1,0)</f>
        <v>0</v>
      </c>
      <c r="BT220" s="48" t="str">
        <f ca="1">IF($CO$1=0,"",IF(AND($I$1=2,ROW()&gt;$BR$1,ROW()&lt;=$BS$1)," …………….",IF(AND($E$1=1,$BX$1=1,$I$1=2,ROW()=$BQ$1),"TOTALI",IFERROR(INDEX(PDC,MATCH(ROWS(BT$3:BT220),BS$3:BS617,0),2),""))))</f>
        <v/>
      </c>
      <c r="BU220" s="48">
        <f t="shared" ca="1" si="425"/>
        <v>0</v>
      </c>
      <c r="BV220" s="48">
        <f t="shared" ca="1" si="426"/>
        <v>0</v>
      </c>
      <c r="BW220" s="48">
        <f t="shared" ca="1" si="427"/>
        <v>0</v>
      </c>
      <c r="BX220" s="48">
        <f t="shared" ca="1" si="428"/>
        <v>0</v>
      </c>
      <c r="BY220" s="48">
        <f ca="1">IF(OR(BW220&gt;0,BX220&gt;0),MAX($BY$2:BY219)+1,0)</f>
        <v>0</v>
      </c>
      <c r="BZ220" s="48" t="str">
        <f ca="1">IFERROR(INDEX($BT$3:$BY$400,MATCH(ROWS(BZ$3:BZ220),$BY$3:$BY$400,0),1),"")</f>
        <v/>
      </c>
      <c r="CA220" s="48" t="str">
        <f ca="1">IFERROR(INDEX($BT$3:$BY$400,MATCH(ROWS(CA$3:CA220),$BY$3:$BY$400,0),4),"")</f>
        <v/>
      </c>
      <c r="CB220" s="48" t="str">
        <f ca="1">IFERROR(INDEX($BT$3:$BY$400,MATCH(ROWS(CB$3:CB220),$BY$3:$BY$400,0),5),"")</f>
        <v/>
      </c>
      <c r="CC220" s="48" t="str">
        <f t="shared" ca="1" si="429"/>
        <v/>
      </c>
      <c r="CD220" s="48">
        <f ca="1">IF(EU3&gt;0,0,IF(CH220&lt;&gt;0,MAX($CD$190:CD219)+1,0))</f>
        <v>0</v>
      </c>
      <c r="CG220" s="242" t="s">
        <v>811</v>
      </c>
      <c r="CH220" s="48">
        <f ca="1">IF($CH$247=$CE$247,0,IF(AND($CH$247&lt;0,$CH$247&lt;$CE$247),ABS($CH$247)-ABS(CE247),IF(AND($CH$247&gt;0,CH247&lt;$CE$247),$CE$247-$CH$247,0)))</f>
        <v>0</v>
      </c>
      <c r="CM220" s="242" t="str">
        <f t="shared" ca="1" si="444"/>
        <v/>
      </c>
      <c r="CN220" s="243">
        <f t="shared" ca="1" si="445"/>
        <v>0</v>
      </c>
      <c r="CO220" s="48" t="str">
        <f t="shared" ca="1" si="446"/>
        <v/>
      </c>
      <c r="CU220" s="48">
        <f ca="1">IF(SUMIFS(AVERE,DEN_G,AC220,AVERE,"&gt;"&amp;0)+SUMIFS(DARE,DEN_G,AC220,DARE,"&gt;"&amp;0)&gt;0,MAX($CU$2:CU219)+1,0)</f>
        <v>0</v>
      </c>
      <c r="CV220" s="48" t="str">
        <f ca="1">IF(IFERROR(INDEX(PDC,MATCH(ROWS($CV$3:CV220),$CU$3:$CU$400,0),2),"")="CONTO DI RISULTATO ECONOMICO","",IFERROR(INDEX(PDC,MATCH(ROWS($CV$3:CV220),$CU$3:$CU$400,0),2),""))</f>
        <v/>
      </c>
      <c r="CW220" s="48">
        <f ca="1">IFERROR(IF(CV220&lt;&gt;"",MAX($CW$2:CW219)+1,0),0)</f>
        <v>0</v>
      </c>
      <c r="CX220" s="48">
        <f t="shared" ca="1" si="496"/>
        <v>17</v>
      </c>
      <c r="CY220" s="48" t="str">
        <f t="shared" ca="1" si="494"/>
        <v>MASTRO</v>
      </c>
      <c r="CZ220" s="48" t="e">
        <f t="shared" ca="1" si="498"/>
        <v>#N/A</v>
      </c>
      <c r="DA220" s="48" t="str">
        <f t="shared" ca="1" si="503"/>
        <v/>
      </c>
      <c r="DB220" s="48" t="str">
        <f t="shared" ca="1" si="499"/>
        <v/>
      </c>
      <c r="DC220" s="48" t="str">
        <f t="shared" ca="1" si="500"/>
        <v/>
      </c>
      <c r="DD220" s="48" t="str">
        <f t="shared" ca="1" si="501"/>
        <v/>
      </c>
      <c r="DE220" s="48" t="str">
        <f t="shared" ca="1" si="502"/>
        <v/>
      </c>
      <c r="DF220" s="48">
        <f ca="1">IF(AND(CX220=$DF$1,CX220&lt;&gt;""),0,IF(AND(DB220&lt;&gt;"",OR(DB219&lt;&gt;"",DB221&lt;&gt;"")),MAX($DF$2:DF219)+1,0))</f>
        <v>0</v>
      </c>
      <c r="DH220" s="244" t="s">
        <v>152</v>
      </c>
      <c r="DI220" s="48" t="s">
        <v>150</v>
      </c>
      <c r="DJ220" s="48" t="s">
        <v>311</v>
      </c>
      <c r="DK220" s="48" t="s">
        <v>298</v>
      </c>
      <c r="DL220" s="48" t="s">
        <v>273</v>
      </c>
      <c r="DM220" s="48" t="s">
        <v>299</v>
      </c>
      <c r="DN220" s="48">
        <f ca="1">IF(DI220&lt;&gt;"",MAX($DN$2:DN219)+1,0)</f>
        <v>168</v>
      </c>
      <c r="DO220" s="48" t="str">
        <f ca="1">IF($BF$9=1,"ppe",IF(AND($BF$9=2,$DJ$1=FALSE),"ppe","ppd"))</f>
        <v>ppe</v>
      </c>
      <c r="DQ220" s="227" t="s">
        <v>160</v>
      </c>
      <c r="DR220" s="228" t="s">
        <v>287</v>
      </c>
      <c r="DW220" s="48">
        <f ca="1">IF(DR220&lt;&gt;"",MAX($DW$2:DW219)+1,0)</f>
        <v>131</v>
      </c>
      <c r="DY220" s="48" t="str">
        <f t="shared" ca="1" si="430"/>
        <v/>
      </c>
      <c r="EL220" s="48">
        <f t="shared" ca="1" si="431"/>
        <v>0</v>
      </c>
      <c r="EM220" s="48">
        <f ca="1">IF(EL220&gt;=0,0,MAX($EM$2:EM219)+1)</f>
        <v>0</v>
      </c>
      <c r="EN220" s="48" t="str">
        <f t="shared" ca="1" si="459"/>
        <v/>
      </c>
      <c r="EO220" s="48" t="str">
        <f ca="1">IFERROR(INDEX($EM$3:$EN$400,MATCH(ROWS($EO$3:EO220),$EM$3:$EM$400,0),2),"")</f>
        <v/>
      </c>
      <c r="EP220" s="48">
        <f>ROW()</f>
        <v>220</v>
      </c>
      <c r="EQ220" s="48">
        <f t="shared" ca="1" si="432"/>
        <v>0</v>
      </c>
      <c r="ER220" s="48">
        <f ca="1">IF(ISNA(EQ220)=TRUE,MAX($ER$2:ER219)+1,0)</f>
        <v>0</v>
      </c>
      <c r="ES220" s="48" t="str">
        <f t="shared" ca="1" si="460"/>
        <v/>
      </c>
      <c r="ET220" s="48" t="str">
        <f ca="1">IFERROR(INDEX($ER$3:$ES$400,MATCH(ROWS($ET$3:ET220),$ER$3:$ER$400,0),2),"")</f>
        <v/>
      </c>
      <c r="EV220" s="48">
        <f ca="1">IFERROR(INDEX(LIBRO_GIORNALE!$O$11:$P$408,MATCH(ROWS($EV$2:EV219),LIBRO_GIORNALE!$P$11:$P$408,0),1),0)</f>
        <v>0</v>
      </c>
      <c r="EW220" s="48" t="str">
        <f t="shared" ca="1" si="461"/>
        <v>0</v>
      </c>
      <c r="EX220" s="48">
        <f t="shared" ca="1" si="462"/>
        <v>0</v>
      </c>
      <c r="EY220" s="48">
        <f ca="1">IF(EX220&gt;0,MAX($EY$2:EY219)+1,0)</f>
        <v>0</v>
      </c>
      <c r="EZ220" s="48">
        <f ca="1">IFERROR(INDEX($EX$3:$EX$400,MATCH(ROWS($EZ$3:EZ220),$EY$3:$EY$400,0),1),0)</f>
        <v>0</v>
      </c>
      <c r="FA220" s="48">
        <f ca="1">IF(EZ220&gt;0,0,MAX($FA$2:FA219)+1)</f>
        <v>218</v>
      </c>
      <c r="FB220" s="48">
        <f t="shared" ca="1" si="463"/>
        <v>0</v>
      </c>
      <c r="FC220" s="48">
        <f t="shared" ca="1" si="464"/>
        <v>218</v>
      </c>
      <c r="FD220" s="48">
        <f t="shared" ca="1" si="465"/>
        <v>218</v>
      </c>
      <c r="FE220" s="48">
        <f ca="1">IF(FD220=0,0,MAX($FE$2:FE219)+1)</f>
        <v>218</v>
      </c>
      <c r="FF220" s="48">
        <f ca="1">IFERROR(INDEX($FD$3:$FE$400,MATCH(ROWS($FF$3:FF220),$FE$3:$FE$400,0),1),"")</f>
        <v>218</v>
      </c>
      <c r="FG220" s="48">
        <f t="shared" ca="1" si="380"/>
        <v>0</v>
      </c>
      <c r="FH220" s="48">
        <f t="shared" ca="1" si="466"/>
        <v>0</v>
      </c>
      <c r="FI220" s="48">
        <f ca="1">IF(FH220&lt;&gt;0,MAX($FI$2:FI219)+1,0)</f>
        <v>0</v>
      </c>
      <c r="FJ220" s="48" t="str">
        <f ca="1">IFERROR(INDEX($FH$3:$FI$400,MATCH(ROWS($FJ$3:FJ220),$FI$3:$FI$400,0),1),"")</f>
        <v/>
      </c>
      <c r="FK220" s="48">
        <f ca="1">IF(ABS(SUMIFS(DARE,DEN_G,"="&amp;FJ220,DATA,"&lt;="&amp;FINE_AC,DATA,"&gt;="&amp;INIZIO_A_PC)-SUMIFS(AVERE,DEN_G,"="&amp;FJ220,DATA,"&lt;="&amp;FINE_AC,DATA,"&gt;="&amp;INIZIO_A_PC))&gt;0,MAX($FK$2:FK219)+1,0)</f>
        <v>0</v>
      </c>
      <c r="FL220" s="48" t="str">
        <f ca="1">IF(AND(ROW()-2&lt;&gt;1,ROW()-2&lt;=$FK$1),CONCATENATE(" - ",IFERROR(INDEX($FJ$3:$FK$400,MATCH(ROWS($FL$3:FL220),$FK$3:$FK$400,0),1),"")),IFERROR(INDEX($FJ$3:$FK$400,MATCH(ROWS($FL$3:FL220),$FK$3:$FK$400,0),1),""))</f>
        <v/>
      </c>
      <c r="FM220" s="48">
        <f ca="1">IF(OR(B220="IVA ns/credito",B220="IVA NS/DEBITO",B220="IVA C/ACCONTO",B220="IMPOSTE C/ACCONTO",B220="CREDITI PER RITENUTE SUBITE",B220="CREDITI D'IMPOSTA"),MAX($FM$2:FM219)+1,0)</f>
        <v>0</v>
      </c>
      <c r="FN220" s="48" t="str">
        <f t="shared" ca="1" si="467"/>
        <v/>
      </c>
      <c r="FO220" s="48" t="str">
        <f ca="1">IFERROR(INDEX($FM$3:$FN$400,MATCH(ROWS($FO$3:FO220),$FM$3:$FM$400,0),2),"")</f>
        <v/>
      </c>
      <c r="FP220" s="48">
        <f ca="1">IF(ABS(SUMIFS(DARE,DEN_G,"="&amp;FO220,DATA,"&lt;="&amp;FINE_AC,DATA,"&gt;="&amp;INIZIO_A_PC)-SUMIFS(AVERE,DEN_G,"="&amp;FO220,DATA,"&lt;="&amp;FINE_AC,DATA,"&gt;="&amp;INIZIO_A_PC))&gt;0,MAX($FP$2:FP219)+1,0)</f>
        <v>0</v>
      </c>
      <c r="FQ220" s="48" t="str">
        <f ca="1">IF(AND(ROW()-2&lt;&gt;1,ROW()-2&lt;=$FP$1),CONCATENATE(" - ",IFERROR(INDEX($FO$3:$FP$400,MATCH(ROWS($FQ$3:FQ220),$FP$3:$FP$400,0),1),"")),IFERROR(INDEX($FO$3:$FP$400,MATCH(ROWS($FQ$3:FQ220),$FP$3:$FP$400,0),1),""))</f>
        <v/>
      </c>
    </row>
    <row r="221" spans="1:173" x14ac:dyDescent="0.3">
      <c r="A221" s="48" t="str">
        <f ca="1">IFERROR(IF($A$1=2,INDEX($DH$3:$DN$401,MATCH(ROWS(A$3:A221),$DN$3:$DN$401,0),COLUMN()),IF($A$1=1,INDEX($DQ$3:$DW$401,MATCH(ROWS(A$3:A221),$DW$3:$DW$401,0),COLUMN()),"")),"")</f>
        <v>30.11</v>
      </c>
      <c r="B221" s="48" t="str">
        <f ca="1">IFERROR(IF($A$1=2,INDEX($DH$3:$DN$401,MATCH(ROWS(B$3:B221),$DN$3:$DN$401,0),COLUMN()),IF($A$1=1,INDEX($DQ$3:$DW$400,MATCH(ROWS(B$3:B221),$DW$3:$DW$401,0),COLUMN()),"")),"")</f>
        <v>RIBASSI E ABBUONI ATTIVI</v>
      </c>
      <c r="C221" s="48" t="str">
        <f ca="1">IFERROR(IF($A$1=2,INDEX($DH$3:$DN$401,MATCH(ROWS(C$3:C221),$DN$3:$DN$401,0),COLUMN()),IF($A$1=1,INDEX($DQ$3:$DW$401,MATCH(ROWS(C$3:C221),$DW$3:$DW$401,0),COLUMN()),"")),"")</f>
        <v>E</v>
      </c>
      <c r="D221" s="48" t="str">
        <f ca="1">IFERROR(IF($A$1=2,INDEX($DH$3:$DN$401,MATCH(ROWS(D$3:D221),$DN$3:$DN$401,0),COLUMN()),IF($A$1=1,INDEX($DQ$3:$DW$401,MATCH(ROWS(D$3:D221),$DW$3:$DW$401,0),COLUMN()),"")),"")</f>
        <v>A</v>
      </c>
      <c r="E221" s="48" t="str">
        <f ca="1">IFERROR(IF($A$1=2,INDEX($DH$3:$DN$401,MATCH(ROWS(E$3:E221),$DN$3:$DN$401,0),COLUMN()),IF($A$1=1,INDEX($DQ$3:$DW$401,MATCH(ROWS(E$3:E221),$DW$3:$DW$401,0),COLUMN()),"")),"")</f>
        <v>RETTIFICHE COSTI D'ESERCIZIO</v>
      </c>
      <c r="F221" s="48" t="str">
        <f ca="1">IFERROR(IF($A$1=2,INDEX($DH$3:$DN$401,MATCH(ROWS(F$3:F221),$DN$3:$DN$401,0),COLUMN()),IF($A$1=1,INDEX($DQ$3:$DX$401,MATCH(ROWS(F$3:F221),$DW$3:$DW$401,0),COLUMN()),"")),"")</f>
        <v>SE AVERE</v>
      </c>
      <c r="G221" s="48" t="str">
        <f t="shared" ca="1" si="433"/>
        <v>SE</v>
      </c>
      <c r="H221" s="48" t="str">
        <f ca="1">IFERROR(IF($A$1=2,INDEX($DH$3:$DO$400,MATCH(ROWS(H$3:H221),$DN$3:$DN$400,0),COLUMN()),IF($A$1=1,INDEX($DQ$3:$DX$400,MATCH(ROWS(H$3:H221),$DW$3:$DW$400,0),COLUMN()),"")),"")</f>
        <v>eb6</v>
      </c>
      <c r="M221" s="48">
        <f ca="1">IFERROR(IF(IF(MID($A221,3,3)=".00",MID(A221,1,2),"")&lt;&gt;"",MAX($M$2:M220)+1,0),"")</f>
        <v>0</v>
      </c>
      <c r="N221" s="48" t="str">
        <f t="shared" ca="1" si="438"/>
        <v/>
      </c>
      <c r="O221" s="48" t="str">
        <f ca="1">IF(IFERROR(INDEX($N$3:$O$300,MATCH(ROWS($O$3:O221),$M$3:$M$300,0),1),"")&lt;&gt;"",CONCATENATE(INDEX($N$3:$O$300,MATCH(ROWS($O$3:O221),$M$3:$M$300,0),1),".00"),"")</f>
        <v/>
      </c>
      <c r="P221" s="48" t="str">
        <f t="shared" ca="1" si="439"/>
        <v/>
      </c>
      <c r="Q221" s="48">
        <f ca="1">IF(M221&gt;=1,0,MAX($Q$2:Q220)+1)</f>
        <v>197</v>
      </c>
      <c r="U221" s="48" t="str">
        <f ca="1">IFERROR(INDEX(PDC,MATCH(ROWS(U$3:U221),$V$3:$V$400,0),2),"")</f>
        <v>FITTI PASSIVI</v>
      </c>
      <c r="V221" s="48">
        <f ca="1">IF(AND($T$1="VISUALIZZA TUTTI I CONTI",AA221&lt;&gt;""),MAX($V$2:V220)+1,IF(AND($U$2=2,AI221=$T$1),MAX($V$2:V220)+1,IF(AND($U$2=1,$T$1=AF221),MAX($V$2:V220)+1,0)))</f>
        <v>219</v>
      </c>
      <c r="AA221" s="48" t="str">
        <f t="shared" ca="1" si="440"/>
        <v>32.00</v>
      </c>
      <c r="AB221" s="48" t="str">
        <f ca="1">IFERROR(INDEX($A$3:$G$400,MATCH(ROWS(AB$3:AB221),$Q$3:$Q$400,0),1),"")</f>
        <v>32.01</v>
      </c>
      <c r="AC221" s="48" t="str">
        <f ca="1">IFERROR(INDEX($A$3:$G$400,MATCH(ROWS($AC$3:AC221),$Q$3:$Q$400,0),2),"")</f>
        <v>FITTI PASSIVI</v>
      </c>
      <c r="AD221" s="48" t="str">
        <f ca="1">IFERROR(INDEX($A$3:$G$400,MATCH(ROWS(AD$3:AD221),$Q$3:$Q$400,0),3),"")</f>
        <v>E</v>
      </c>
      <c r="AE221" s="48" t="str">
        <f ca="1">IFERROR(INDEX($A$3:$G$400,MATCH(ROWS(AE$3:AE221),$Q$3:$Q$400,0),4),"")</f>
        <v>D</v>
      </c>
      <c r="AF221" s="48" t="str">
        <f ca="1">IFERROR(INDEX($A$3:$G$400,MATCH(ROWS(AF$3:AF221),$Q$3:$Q$400,0),5),"")</f>
        <v>COSTI D'ESERCIZIO</v>
      </c>
      <c r="AG221" s="48" t="str">
        <f ca="1">IFERROR(INDEX($A$3:$G$400,MATCH(ROWS(AG$3:AG221),$Q$3:$Q$400,0),6),"")</f>
        <v>SE DARE</v>
      </c>
      <c r="AH221" s="48" t="str">
        <f ca="1">IFERROR(INDEX($A$3:$G$400,MATCH(ROWS(AH$3:AH221),$Q$3:$Q$400,0),7),"")</f>
        <v>SE</v>
      </c>
      <c r="AI221" s="48" t="str">
        <f t="shared" ca="1" si="441"/>
        <v>COSTI PER GODIMENTO BENI DI TERZI</v>
      </c>
      <c r="AJ221" s="48" t="str">
        <f ca="1">IFERROR(INDEX($A$3:$H$400,MATCH(ROWS(AJ$3:AJ221),$Q$3:$Q$400,0),8),"")</f>
        <v>eb8</v>
      </c>
      <c r="AK221" s="48">
        <f t="shared" ca="1" si="417"/>
        <v>0</v>
      </c>
      <c r="AL221" s="48">
        <f t="shared" ca="1" si="473"/>
        <v>0</v>
      </c>
      <c r="AM221" s="48">
        <f t="shared" ca="1" si="377"/>
        <v>0</v>
      </c>
      <c r="AN221" s="48">
        <f t="shared" ca="1" si="378"/>
        <v>0</v>
      </c>
      <c r="AO221" s="48">
        <f t="shared" ca="1" si="379"/>
        <v>0</v>
      </c>
      <c r="AP221" s="48">
        <f t="shared" ca="1" si="379"/>
        <v>0</v>
      </c>
      <c r="AQ221" s="48" t="str">
        <f t="shared" ca="1" si="418"/>
        <v/>
      </c>
      <c r="AR221" s="48">
        <f t="shared" ca="1" si="419"/>
        <v>0</v>
      </c>
      <c r="AS221" s="48">
        <f t="shared" ca="1" si="420"/>
        <v>0</v>
      </c>
      <c r="AT221" s="48">
        <f t="shared" ca="1" si="442"/>
        <v>0</v>
      </c>
      <c r="AU221" s="48">
        <f t="shared" ca="1" si="443"/>
        <v>0</v>
      </c>
      <c r="AV221" s="48">
        <f ca="1">IF(OR(AT221&gt;0,AU221&gt;0),MAX($AV$2:AV220)+1,0)</f>
        <v>0</v>
      </c>
      <c r="AZ221" s="48" t="str">
        <f t="shared" ca="1" si="484"/>
        <v/>
      </c>
      <c r="BA221" s="48">
        <f t="shared" ca="1" si="480"/>
        <v>0</v>
      </c>
      <c r="BB221" s="48">
        <f t="shared" ca="1" si="481"/>
        <v>0</v>
      </c>
      <c r="BC221" s="48">
        <f t="shared" ca="1" si="482"/>
        <v>0</v>
      </c>
      <c r="BD221" s="48">
        <f t="shared" ca="1" si="383"/>
        <v>0</v>
      </c>
      <c r="BE221" s="48">
        <f t="shared" ca="1" si="384"/>
        <v>0</v>
      </c>
      <c r="BF221" s="48">
        <f t="shared" si="485"/>
        <v>21</v>
      </c>
      <c r="BG221" s="48">
        <f ca="1">IF(IF(AND(OR(INDEX(PDC,MATCH($AC221,DEN_PDC,0),6)="SP DARE",INDEX(PDC,MATCH($AC221,DEN_PDC,0),6)="SP DARE/AVERE"),SUMIFS(DARE,DEN_G,$AC221)&gt;=SUMIFS(AVERE,DEN_G,$AC221)),SUMIFS(DARE,DEN_G,$AC221)-SUMIFS(AVERE,DEN_G,$AC221),0)&gt;0,MAX($BG$2:BG220)+1,0)</f>
        <v>0</v>
      </c>
      <c r="BH221" s="48">
        <f ca="1">IF(IF(AND(OR(INDEX(PDC,MATCH($AC221,DEN_PDC,0),6)="SP AVERE",INDEX(PDC,MATCH($AC221,DEN_PDC,0),6)="SP DARE/AVERE"),SUMIFS(AVERE,DEN_G,$AC221)&gt;=SUMIFS(DARE,DEN_G,$AC221)),SUMIFS(AVERE,DEN_G,$AC221)-SUMIFS(DARE,DEN_G,$AC221),0)&gt;0,MAX(BH$2:BH220)+1,0)</f>
        <v>0</v>
      </c>
      <c r="BI221" s="48">
        <f ca="1">IF(IF(AND(OR(INDEX(PDC,MATCH($AC221,DEN_PDC,0),6)="SE DARE",INDEX(PDC,MATCH($AC221,DEN_PDC,0),6)="SE DARE/AVERE"),SUMIFS(DARE,DEN_G,$AC221)&gt;=SUMIFS(AVERE,DEN_G,$AC221)),SUMIFS(DARE,DEN_G,$AC221)-SUMIFS(AVERE,DEN_G,$AC221),0)&gt;0,MAX(BI$2:BI220)+1,0)</f>
        <v>0</v>
      </c>
      <c r="BJ221" s="48">
        <f ca="1">IF(IF(AND(OR(INDEX(PDC,MATCH($AC221,DEN_PDC,0),6)="SE AVERE",INDEX(PDC,MATCH($AC221,DEN_PDC,0),6)="SE DARE/AVERE"),SUMIFS(AVERE,DEN_G,$AC221)&gt;=SUMIFS(DARE,DEN_G,$AC221)),SUMIFS(AVERE,DEN_G,$AC221)-SUMIFS(DARE,DEN_G,$AC221),0)&gt;0,MAX(BJ$2:BJ220)+1,0)</f>
        <v>0</v>
      </c>
      <c r="BK221" s="48" t="str">
        <f ca="1">IF(AND(AND($DY$2=0,$DY$1=0),$I$1=2,ROW()&gt;$BG$1+2,ROW()&lt;=$BG$1+4),"………………..",IF(AND(OR($DY$2&gt;0,$DY$1&gt;0),$I$1=2,ROW()&gt;$BG$1+2,ROW()&lt;=$BG$1+4),"………………..",IFERROR(INDEX($AC$3:$AC$398,MATCH(ROWS(BK$3:BK221),BG$3:BG$398,0),1),"")))</f>
        <v/>
      </c>
      <c r="BL221" s="48">
        <f t="shared" ca="1" si="421"/>
        <v>0</v>
      </c>
      <c r="BM221" s="48" t="str">
        <f ca="1">IF(AND(OR($DY$2=0,$DY$1=0),$I$1=2,ROW()&gt;$BH$1+2,ROW()&lt;=$BH$1+4),"………………..",IF(AND(OR($DY$2&gt;0,$DY$1&gt;0),$I$1=2,ROW()&gt;$BH$1+2,ROW()&lt;=$BH$1+4),"………………..",IFERROR(INDEX($AC$3:$AC$400,MATCH(ROWS(BM$3:BM221),BH$3:BH$400,0),1),"")))</f>
        <v/>
      </c>
      <c r="BN221" s="48">
        <f t="shared" ca="1" si="422"/>
        <v>0</v>
      </c>
      <c r="BO221" s="48" t="str">
        <f ca="1">IF(AND(OR($DY$2=0,$DY$1=0),$I$1=2,ROW()&gt;$BI$1+2,ROW()&lt;=$BI$1+4),"………………..",IF(AND(OR($DY$2&gt;0,$DY$1&gt;0),$I$1=2,ROW()&gt;$BI$1+2,ROW()&lt;=$BI$1+4),"………………..",IFERROR(INDEX($AC$3:$AC$400,MATCH(ROWS(BO$3:BO221),BI$3:BI$400,0),1),"")))</f>
        <v/>
      </c>
      <c r="BP221" s="48">
        <f t="shared" ca="1" si="423"/>
        <v>0</v>
      </c>
      <c r="BQ221" s="48" t="str">
        <f ca="1">IF(AND(OR($DY$2=0,$DY$1=0),$I$1=2,ROW()&gt;$BJ$1+2,ROW()&lt;=$BJ$1+4),"………………..",IF(AND(OR($DY$2&gt;0,$DY$1&gt;0),$I$1=2,ROW()&gt;$BJ$1+2,ROW()&lt;=$BJ$1+4),"………………..",IFERROR(INDEX($AC$3:$AC$400,MATCH(ROWS(BQ$3:BQ221),BJ$3:BJ$400,0),1),"")))</f>
        <v/>
      </c>
      <c r="BR221" s="48">
        <f t="shared" ca="1" si="424"/>
        <v>0</v>
      </c>
      <c r="BS221" s="48">
        <f ca="1">IF(IF(AND(OR(INDEX(PDC,MATCH($AC221,DEN_PDC,0),4)="D",INDEX(PDC,MATCH($AC221,DEN_PDC,0),4)="D/A"),SUMIFS(DARE,DEN_G,$AC221)&gt;=SUMIFS(AVERE,DEN_G,$AC221)),SUMIFS(DARE,DEN_G,$AC221),IF(AND(OR(INDEX(PDC,MATCH($AC221,DEN_PDC,0),4)="A",INDEX(PDC,MATCH($AC221,DEN_PDC,0),4)="D/A"),SUMIFS(AVERE,DEN_G,$AC221)&gt;=SUMIFS(DARE,DEN_G,$AC221)),SUMIFS(AVERE,DEN_G,$AC221),))&gt;0,MAX($BS$2:BS220)+1,0)</f>
        <v>0</v>
      </c>
      <c r="BT221" s="48" t="str">
        <f ca="1">IF($CO$1=0,"",IF(AND($I$1=2,ROW()&gt;$BR$1,ROW()&lt;=$BS$1)," …………….",IF(AND($E$1=1,$BX$1=1,$I$1=2,ROW()=$BQ$1),"TOTALI",IFERROR(INDEX(PDC,MATCH(ROWS(BT$3:BT221),BS$3:BS618,0),2),""))))</f>
        <v/>
      </c>
      <c r="BU221" s="48">
        <f t="shared" ca="1" si="425"/>
        <v>0</v>
      </c>
      <c r="BV221" s="48">
        <f t="shared" ca="1" si="426"/>
        <v>0</v>
      </c>
      <c r="BW221" s="48">
        <f t="shared" ca="1" si="427"/>
        <v>0</v>
      </c>
      <c r="BX221" s="48">
        <f t="shared" ca="1" si="428"/>
        <v>0</v>
      </c>
      <c r="BY221" s="48">
        <f ca="1">IF(OR(BW221&gt;0,BX221&gt;0),MAX($BY$2:BY220)+1,0)</f>
        <v>0</v>
      </c>
      <c r="BZ221" s="48" t="str">
        <f ca="1">IFERROR(INDEX($BT$3:$BY$400,MATCH(ROWS(BZ$3:BZ221),$BY$3:$BY$400,0),1),"")</f>
        <v/>
      </c>
      <c r="CA221" s="48" t="str">
        <f ca="1">IFERROR(INDEX($BT$3:$BY$400,MATCH(ROWS(CA$3:CA221),$BY$3:$BY$400,0),4),"")</f>
        <v/>
      </c>
      <c r="CB221" s="48" t="str">
        <f ca="1">IFERROR(INDEX($BT$3:$BY$400,MATCH(ROWS(CB$3:CB221),$BY$3:$BY$400,0),5),"")</f>
        <v/>
      </c>
      <c r="CC221" s="48" t="str">
        <f t="shared" ca="1" si="429"/>
        <v/>
      </c>
      <c r="CD221" s="48">
        <f ca="1">IF(AND(CF1=TRUE,CE221&lt;&gt;0),MAX($CD$190:CD220)+1,0)</f>
        <v>0</v>
      </c>
      <c r="CE221" s="48">
        <f ca="1">IF($I$1=1,SUM(CE202:CE220),IF(AND(I1=2,SUM(CE202:CE220)&lt;&gt;0),"_ _ _",0))</f>
        <v>0</v>
      </c>
      <c r="CG221" s="242" t="s">
        <v>784</v>
      </c>
      <c r="CH221" s="48">
        <f ca="1">IF($I$1=1,CE221+CH220,CE221)</f>
        <v>0</v>
      </c>
      <c r="CM221" s="242" t="str">
        <f t="shared" ca="1" si="444"/>
        <v/>
      </c>
      <c r="CN221" s="243">
        <f t="shared" ca="1" si="445"/>
        <v>0</v>
      </c>
      <c r="CO221" s="48" t="str">
        <f t="shared" ca="1" si="446"/>
        <v/>
      </c>
      <c r="CU221" s="48">
        <f ca="1">IF(SUMIFS(AVERE,DEN_G,AC221,AVERE,"&gt;"&amp;0)+SUMIFS(DARE,DEN_G,AC221,DARE,"&gt;"&amp;0)&gt;0,MAX($CU$2:CU220)+1,0)</f>
        <v>0</v>
      </c>
      <c r="CV221" s="48" t="str">
        <f ca="1">IF(IFERROR(INDEX(PDC,MATCH(ROWS($CV$3:CV221),$CU$3:$CU$400,0),2),"")="CONTO DI RISULTATO ECONOMICO","",IFERROR(INDEX(PDC,MATCH(ROWS($CV$3:CV221),$CU$3:$CU$400,0),2),""))</f>
        <v/>
      </c>
      <c r="CW221" s="48">
        <f ca="1">IFERROR(IF(CV221&lt;&gt;"",MAX($CW$2:CW220)+1,0),0)</f>
        <v>0</v>
      </c>
      <c r="CX221" s="48">
        <f t="shared" ca="1" si="496"/>
        <v>17</v>
      </c>
      <c r="CY221" s="48" t="str">
        <f t="shared" ca="1" si="494"/>
        <v>MASTRO</v>
      </c>
      <c r="CZ221" s="48" t="e">
        <f t="shared" ca="1" si="498"/>
        <v>#N/A</v>
      </c>
      <c r="DA221" s="48" t="str">
        <f t="shared" ca="1" si="503"/>
        <v/>
      </c>
      <c r="DB221" s="48" t="str">
        <f t="shared" ca="1" si="499"/>
        <v/>
      </c>
      <c r="DC221" s="48" t="str">
        <f t="shared" ca="1" si="500"/>
        <v/>
      </c>
      <c r="DD221" s="48" t="str">
        <f t="shared" ca="1" si="501"/>
        <v/>
      </c>
      <c r="DE221" s="48" t="str">
        <f t="shared" ca="1" si="502"/>
        <v/>
      </c>
      <c r="DF221" s="48">
        <f ca="1">IF(AND(CX221=$DF$1,CX221&lt;&gt;""),0,IF(AND(DB221&lt;&gt;"",OR(DB220&lt;&gt;"",DB222&lt;&gt;"")),MAX($DF$2:DF220)+1,0))</f>
        <v>0</v>
      </c>
      <c r="DH221" s="244" t="s">
        <v>153</v>
      </c>
      <c r="DI221" s="228" t="s">
        <v>878</v>
      </c>
      <c r="DN221" s="48">
        <f ca="1">IF(DI221&lt;&gt;"",MAX($DN$2:DN220)+1,0)</f>
        <v>169</v>
      </c>
      <c r="DQ221" s="227" t="s">
        <v>167</v>
      </c>
      <c r="DR221" s="48" t="s">
        <v>161</v>
      </c>
      <c r="DT221" s="48" t="s">
        <v>275</v>
      </c>
      <c r="DU221" s="48" t="s">
        <v>480</v>
      </c>
      <c r="DV221" s="48" t="s">
        <v>812</v>
      </c>
      <c r="DW221" s="48">
        <f ca="1">IF(DR221&lt;&gt;"",MAX($DW$2:DW220)+1,0)</f>
        <v>132</v>
      </c>
      <c r="DY221" s="48" t="str">
        <f t="shared" ca="1" si="430"/>
        <v/>
      </c>
      <c r="EL221" s="48">
        <f t="shared" ca="1" si="431"/>
        <v>0</v>
      </c>
      <c r="EM221" s="48">
        <f ca="1">IF(EL221&gt;=0,0,MAX($EM$2:EM220)+1)</f>
        <v>0</v>
      </c>
      <c r="EN221" s="48" t="str">
        <f t="shared" ca="1" si="459"/>
        <v/>
      </c>
      <c r="EO221" s="48" t="str">
        <f ca="1">IFERROR(INDEX($EM$3:$EN$400,MATCH(ROWS($EO$3:EO221),$EM$3:$EM$400,0),2),"")</f>
        <v/>
      </c>
      <c r="EP221" s="48">
        <f>ROW()</f>
        <v>221</v>
      </c>
      <c r="EQ221" s="48">
        <f t="shared" ca="1" si="432"/>
        <v>0</v>
      </c>
      <c r="ER221" s="48">
        <f ca="1">IF(ISNA(EQ221)=TRUE,MAX($ER$2:ER220)+1,0)</f>
        <v>0</v>
      </c>
      <c r="ES221" s="48" t="str">
        <f t="shared" ca="1" si="460"/>
        <v/>
      </c>
      <c r="ET221" s="48" t="str">
        <f ca="1">IFERROR(INDEX($ER$3:$ES$400,MATCH(ROWS($ET$3:ET221),$ER$3:$ER$400,0),2),"")</f>
        <v/>
      </c>
      <c r="EV221" s="48">
        <f ca="1">IFERROR(INDEX(LIBRO_GIORNALE!$O$11:$P$408,MATCH(ROWS($EV$2:EV220),LIBRO_GIORNALE!$P$11:$P$408,0),1),0)</f>
        <v>0</v>
      </c>
      <c r="EW221" s="48" t="str">
        <f t="shared" ca="1" si="461"/>
        <v>0</v>
      </c>
      <c r="EX221" s="48">
        <f t="shared" ca="1" si="462"/>
        <v>0</v>
      </c>
      <c r="EY221" s="48">
        <f ca="1">IF(EX221&gt;0,MAX($EY$2:EY220)+1,0)</f>
        <v>0</v>
      </c>
      <c r="EZ221" s="48">
        <f ca="1">IFERROR(INDEX($EX$3:$EX$400,MATCH(ROWS($EZ$3:EZ221),$EY$3:$EY$400,0),1),0)</f>
        <v>0</v>
      </c>
      <c r="FA221" s="48">
        <f ca="1">IF(EZ221&gt;0,0,MAX($FA$2:FA220)+1)</f>
        <v>219</v>
      </c>
      <c r="FB221" s="48">
        <f t="shared" ca="1" si="463"/>
        <v>0</v>
      </c>
      <c r="FC221" s="48">
        <f t="shared" ca="1" si="464"/>
        <v>219</v>
      </c>
      <c r="FD221" s="48">
        <f t="shared" ca="1" si="465"/>
        <v>219</v>
      </c>
      <c r="FE221" s="48">
        <f ca="1">IF(FD221=0,0,MAX($FE$2:FE220)+1)</f>
        <v>219</v>
      </c>
      <c r="FF221" s="48">
        <f ca="1">IFERROR(INDEX($FD$3:$FE$400,MATCH(ROWS($FF$3:FF221),$FE$3:$FE$400,0),1),"")</f>
        <v>219</v>
      </c>
      <c r="FG221" s="48">
        <f t="shared" ca="1" si="380"/>
        <v>0</v>
      </c>
      <c r="FH221" s="48">
        <f t="shared" ca="1" si="466"/>
        <v>0</v>
      </c>
      <c r="FI221" s="48">
        <f ca="1">IF(FH221&lt;&gt;0,MAX($FI$2:FI220)+1,0)</f>
        <v>0</v>
      </c>
      <c r="FJ221" s="48" t="str">
        <f ca="1">IFERROR(INDEX($FH$3:$FI$400,MATCH(ROWS($FJ$3:FJ221),$FI$3:$FI$400,0),1),"")</f>
        <v/>
      </c>
      <c r="FK221" s="48">
        <f ca="1">IF(ABS(SUMIFS(DARE,DEN_G,"="&amp;FJ221,DATA,"&lt;="&amp;FINE_AC,DATA,"&gt;="&amp;INIZIO_A_PC)-SUMIFS(AVERE,DEN_G,"="&amp;FJ221,DATA,"&lt;="&amp;FINE_AC,DATA,"&gt;="&amp;INIZIO_A_PC))&gt;0,MAX($FK$2:FK220)+1,0)</f>
        <v>0</v>
      </c>
      <c r="FL221" s="48" t="str">
        <f ca="1">IF(AND(ROW()-2&lt;&gt;1,ROW()-2&lt;=$FK$1),CONCATENATE(" - ",IFERROR(INDEX($FJ$3:$FK$400,MATCH(ROWS($FL$3:FL221),$FK$3:$FK$400,0),1),"")),IFERROR(INDEX($FJ$3:$FK$400,MATCH(ROWS($FL$3:FL221),$FK$3:$FK$400,0),1),""))</f>
        <v/>
      </c>
      <c r="FM221" s="48">
        <f ca="1">IF(OR(B221="IVA ns/credito",B221="IVA NS/DEBITO",B221="IVA C/ACCONTO",B221="IMPOSTE C/ACCONTO",B221="CREDITI PER RITENUTE SUBITE",B221="CREDITI D'IMPOSTA"),MAX($FM$2:FM220)+1,0)</f>
        <v>0</v>
      </c>
      <c r="FN221" s="48" t="str">
        <f t="shared" ca="1" si="467"/>
        <v/>
      </c>
      <c r="FO221" s="48" t="str">
        <f ca="1">IFERROR(INDEX($FM$3:$FN$400,MATCH(ROWS($FO$3:FO221),$FM$3:$FM$400,0),2),"")</f>
        <v/>
      </c>
      <c r="FP221" s="48">
        <f ca="1">IF(ABS(SUMIFS(DARE,DEN_G,"="&amp;FO221,DATA,"&lt;="&amp;FINE_AC,DATA,"&gt;="&amp;INIZIO_A_PC)-SUMIFS(AVERE,DEN_G,"="&amp;FO221,DATA,"&lt;="&amp;FINE_AC,DATA,"&gt;="&amp;INIZIO_A_PC))&gt;0,MAX($FP$2:FP220)+1,0)</f>
        <v>0</v>
      </c>
      <c r="FQ221" s="48" t="str">
        <f ca="1">IF(AND(ROW()-2&lt;&gt;1,ROW()-2&lt;=$FP$1),CONCATENATE(" - ",IFERROR(INDEX($FO$3:$FP$400,MATCH(ROWS($FQ$3:FQ221),$FP$3:$FP$400,0),1),"")),IFERROR(INDEX($FO$3:$FP$400,MATCH(ROWS($FQ$3:FQ221),$FP$3:$FP$400,0),1),""))</f>
        <v/>
      </c>
    </row>
    <row r="222" spans="1:173" x14ac:dyDescent="0.3">
      <c r="A222" s="48" t="str">
        <f ca="1">IFERROR(IF($A$1=2,INDEX($DH$3:$DN$401,MATCH(ROWS(A$3:A222),$DN$3:$DN$401,0),COLUMN()),IF($A$1=1,INDEX($DQ$3:$DW$401,MATCH(ROWS(A$3:A222),$DW$3:$DW$401,0),COLUMN()),"")),"")</f>
        <v>30.12</v>
      </c>
      <c r="B222" s="48" t="str">
        <f ca="1">IFERROR(IF($A$1=2,INDEX($DH$3:$DN$401,MATCH(ROWS(B$3:B222),$DN$3:$DN$401,0),COLUMN()),IF($A$1=1,INDEX($DQ$3:$DW$400,MATCH(ROWS(B$3:B222),$DW$3:$DW$401,0),COLUMN()),"")),"")</f>
        <v>PREMI SU ACQUISTI</v>
      </c>
      <c r="C222" s="48" t="str">
        <f ca="1">IFERROR(IF($A$1=2,INDEX($DH$3:$DN$401,MATCH(ROWS(C$3:C222),$DN$3:$DN$401,0),COLUMN()),IF($A$1=1,INDEX($DQ$3:$DW$401,MATCH(ROWS(C$3:C222),$DW$3:$DW$401,0),COLUMN()),"")),"")</f>
        <v>E</v>
      </c>
      <c r="D222" s="48" t="str">
        <f ca="1">IFERROR(IF($A$1=2,INDEX($DH$3:$DN$401,MATCH(ROWS(D$3:D222),$DN$3:$DN$401,0),COLUMN()),IF($A$1=1,INDEX($DQ$3:$DW$401,MATCH(ROWS(D$3:D222),$DW$3:$DW$401,0),COLUMN()),"")),"")</f>
        <v>A</v>
      </c>
      <c r="E222" s="48" t="str">
        <f ca="1">IFERROR(IF($A$1=2,INDEX($DH$3:$DN$401,MATCH(ROWS(E$3:E222),$DN$3:$DN$401,0),COLUMN()),IF($A$1=1,INDEX($DQ$3:$DW$401,MATCH(ROWS(E$3:E222),$DW$3:$DW$401,0),COLUMN()),"")),"")</f>
        <v>RETTIFICHE COSTI D'ESERCIZIO</v>
      </c>
      <c r="F222" s="48" t="str">
        <f ca="1">IFERROR(IF($A$1=2,INDEX($DH$3:$DN$401,MATCH(ROWS(F$3:F222),$DN$3:$DN$401,0),COLUMN()),IF($A$1=1,INDEX($DQ$3:$DX$401,MATCH(ROWS(F$3:F222),$DW$3:$DW$401,0),COLUMN()),"")),"")</f>
        <v>SE AVERE</v>
      </c>
      <c r="G222" s="48" t="str">
        <f t="shared" ca="1" si="433"/>
        <v>SE</v>
      </c>
      <c r="H222" s="48" t="str">
        <f ca="1">IFERROR(IF($A$1=2,INDEX($DH$3:$DO$400,MATCH(ROWS(H$3:H222),$DN$3:$DN$400,0),COLUMN()),IF($A$1=1,INDEX($DQ$3:$DX$400,MATCH(ROWS(H$3:H222),$DW$3:$DW$400,0),COLUMN()),"")),"")</f>
        <v>eb6</v>
      </c>
      <c r="M222" s="48">
        <f ca="1">IFERROR(IF(IF(MID($A222,3,3)=".00",MID(A222,1,2),"")&lt;&gt;"",MAX($M$2:M221)+1,0),"")</f>
        <v>0</v>
      </c>
      <c r="N222" s="48" t="str">
        <f t="shared" ca="1" si="438"/>
        <v/>
      </c>
      <c r="O222" s="48" t="str">
        <f ca="1">IF(IFERROR(INDEX($N$3:$O$300,MATCH(ROWS($O$3:O222),$M$3:$M$300,0),1),"")&lt;&gt;"",CONCATENATE(INDEX($N$3:$O$300,MATCH(ROWS($O$3:O222),$M$3:$M$300,0),1),".00"),"")</f>
        <v/>
      </c>
      <c r="P222" s="48" t="str">
        <f t="shared" ca="1" si="439"/>
        <v/>
      </c>
      <c r="Q222" s="48">
        <f ca="1">IF(M222&gt;=1,0,MAX($Q$2:Q221)+1)</f>
        <v>198</v>
      </c>
      <c r="U222" s="48" t="str">
        <f ca="1">IFERROR(INDEX(PDC,MATCH(ROWS(U$3:U222),$V$3:$V$400,0),2),"")</f>
        <v>CANONI DI LEASING</v>
      </c>
      <c r="V222" s="48">
        <f ca="1">IF(AND($T$1="VISUALIZZA TUTTI I CONTI",AA222&lt;&gt;""),MAX($V$2:V221)+1,IF(AND($U$2=2,AI222=$T$1),MAX($V$2:V221)+1,IF(AND($U$2=1,$T$1=AF222),MAX($V$2:V221)+1,0)))</f>
        <v>220</v>
      </c>
      <c r="AA222" s="48" t="str">
        <f t="shared" ca="1" si="440"/>
        <v>32.00</v>
      </c>
      <c r="AB222" s="48" t="str">
        <f ca="1">IFERROR(INDEX($A$3:$G$400,MATCH(ROWS(AB$3:AB222),$Q$3:$Q$400,0),1),"")</f>
        <v>32.02</v>
      </c>
      <c r="AC222" s="48" t="str">
        <f ca="1">IFERROR(INDEX($A$3:$G$400,MATCH(ROWS($AC$3:AC222),$Q$3:$Q$400,0),2),"")</f>
        <v>CANONI DI LEASING</v>
      </c>
      <c r="AD222" s="48" t="str">
        <f ca="1">IFERROR(INDEX($A$3:$G$400,MATCH(ROWS(AD$3:AD222),$Q$3:$Q$400,0),3),"")</f>
        <v>E</v>
      </c>
      <c r="AE222" s="48" t="str">
        <f ca="1">IFERROR(INDEX($A$3:$G$400,MATCH(ROWS(AE$3:AE222),$Q$3:$Q$400,0),4),"")</f>
        <v>D</v>
      </c>
      <c r="AF222" s="48" t="str">
        <f ca="1">IFERROR(INDEX($A$3:$G$400,MATCH(ROWS(AF$3:AF222),$Q$3:$Q$400,0),5),"")</f>
        <v>COSTI D'ESERCIZIO</v>
      </c>
      <c r="AG222" s="48" t="str">
        <f ca="1">IFERROR(INDEX($A$3:$G$400,MATCH(ROWS(AG$3:AG222),$Q$3:$Q$400,0),6),"")</f>
        <v>SE DARE</v>
      </c>
      <c r="AH222" s="48" t="str">
        <f ca="1">IFERROR(INDEX($A$3:$G$400,MATCH(ROWS(AH$3:AH222),$Q$3:$Q$400,0),7),"")</f>
        <v>SE</v>
      </c>
      <c r="AI222" s="48" t="str">
        <f t="shared" ca="1" si="441"/>
        <v>COSTI PER GODIMENTO BENI DI TERZI</v>
      </c>
      <c r="AJ222" s="48" t="str">
        <f ca="1">IFERROR(INDEX($A$3:$H$400,MATCH(ROWS(AJ$3:AJ222),$Q$3:$Q$400,0),8),"")</f>
        <v>eb8</v>
      </c>
      <c r="AK222" s="48">
        <f t="shared" ca="1" si="417"/>
        <v>0</v>
      </c>
      <c r="AL222" s="48">
        <f t="shared" ca="1" si="473"/>
        <v>0</v>
      </c>
      <c r="AM222" s="48">
        <f t="shared" ca="1" si="377"/>
        <v>0</v>
      </c>
      <c r="AN222" s="48">
        <f t="shared" ca="1" si="378"/>
        <v>0</v>
      </c>
      <c r="AO222" s="48">
        <f t="shared" ca="1" si="379"/>
        <v>0</v>
      </c>
      <c r="AP222" s="48">
        <f t="shared" ca="1" si="379"/>
        <v>0</v>
      </c>
      <c r="AQ222" s="48" t="str">
        <f t="shared" ca="1" si="418"/>
        <v/>
      </c>
      <c r="AR222" s="48">
        <f t="shared" ca="1" si="419"/>
        <v>0</v>
      </c>
      <c r="AS222" s="48">
        <f t="shared" ca="1" si="420"/>
        <v>0</v>
      </c>
      <c r="AT222" s="48">
        <f t="shared" ca="1" si="442"/>
        <v>0</v>
      </c>
      <c r="AU222" s="48">
        <f t="shared" ca="1" si="443"/>
        <v>0</v>
      </c>
      <c r="AV222" s="48">
        <f ca="1">IF(OR(AT222&gt;0,AU222&gt;0),MAX($AV$2:AV221)+1,0)</f>
        <v>0</v>
      </c>
      <c r="AZ222" s="48" t="str">
        <f t="shared" ca="1" si="484"/>
        <v/>
      </c>
      <c r="BA222" s="48">
        <f t="shared" ca="1" si="480"/>
        <v>0</v>
      </c>
      <c r="BB222" s="48">
        <f t="shared" ca="1" si="481"/>
        <v>0</v>
      </c>
      <c r="BC222" s="48">
        <f t="shared" ca="1" si="482"/>
        <v>0</v>
      </c>
      <c r="BD222" s="48">
        <f t="shared" ca="1" si="383"/>
        <v>0</v>
      </c>
      <c r="BE222" s="48">
        <f t="shared" ca="1" si="384"/>
        <v>0</v>
      </c>
      <c r="BF222" s="48">
        <f t="shared" si="485"/>
        <v>22</v>
      </c>
      <c r="BG222" s="48">
        <f ca="1">IF(IF(AND(OR(INDEX(PDC,MATCH($AC222,DEN_PDC,0),6)="SP DARE",INDEX(PDC,MATCH($AC222,DEN_PDC,0),6)="SP DARE/AVERE"),SUMIFS(DARE,DEN_G,$AC222)&gt;=SUMIFS(AVERE,DEN_G,$AC222)),SUMIFS(DARE,DEN_G,$AC222)-SUMIFS(AVERE,DEN_G,$AC222),0)&gt;0,MAX($BG$2:BG221)+1,0)</f>
        <v>0</v>
      </c>
      <c r="BH222" s="48">
        <f ca="1">IF(IF(AND(OR(INDEX(PDC,MATCH($AC222,DEN_PDC,0),6)="SP AVERE",INDEX(PDC,MATCH($AC222,DEN_PDC,0),6)="SP DARE/AVERE"),SUMIFS(AVERE,DEN_G,$AC222)&gt;=SUMIFS(DARE,DEN_G,$AC222)),SUMIFS(AVERE,DEN_G,$AC222)-SUMIFS(DARE,DEN_G,$AC222),0)&gt;0,MAX(BH$2:BH221)+1,0)</f>
        <v>0</v>
      </c>
      <c r="BI222" s="48">
        <f ca="1">IF(IF(AND(OR(INDEX(PDC,MATCH($AC222,DEN_PDC,0),6)="SE DARE",INDEX(PDC,MATCH($AC222,DEN_PDC,0),6)="SE DARE/AVERE"),SUMIFS(DARE,DEN_G,$AC222)&gt;=SUMIFS(AVERE,DEN_G,$AC222)),SUMIFS(DARE,DEN_G,$AC222)-SUMIFS(AVERE,DEN_G,$AC222),0)&gt;0,MAX(BI$2:BI221)+1,0)</f>
        <v>0</v>
      </c>
      <c r="BJ222" s="48">
        <f ca="1">IF(IF(AND(OR(INDEX(PDC,MATCH($AC222,DEN_PDC,0),6)="SE AVERE",INDEX(PDC,MATCH($AC222,DEN_PDC,0),6)="SE DARE/AVERE"),SUMIFS(AVERE,DEN_G,$AC222)&gt;=SUMIFS(DARE,DEN_G,$AC222)),SUMIFS(AVERE,DEN_G,$AC222)-SUMIFS(DARE,DEN_G,$AC222),0)&gt;0,MAX(BJ$2:BJ221)+1,0)</f>
        <v>0</v>
      </c>
      <c r="BK222" s="48" t="str">
        <f ca="1">IF(AND(AND($DY$2=0,$DY$1=0),$I$1=2,ROW()&gt;$BG$1+2,ROW()&lt;=$BG$1+4),"………………..",IF(AND(OR($DY$2&gt;0,$DY$1&gt;0),$I$1=2,ROW()&gt;$BG$1+2,ROW()&lt;=$BG$1+4),"………………..",IFERROR(INDEX($AC$3:$AC$398,MATCH(ROWS(BK$3:BK222),BG$3:BG$398,0),1),"")))</f>
        <v/>
      </c>
      <c r="BL222" s="48">
        <f t="shared" ca="1" si="421"/>
        <v>0</v>
      </c>
      <c r="BM222" s="48" t="str">
        <f ca="1">IF(AND(OR($DY$2=0,$DY$1=0),$I$1=2,ROW()&gt;$BH$1+2,ROW()&lt;=$BH$1+4),"………………..",IF(AND(OR($DY$2&gt;0,$DY$1&gt;0),$I$1=2,ROW()&gt;$BH$1+2,ROW()&lt;=$BH$1+4),"………………..",IFERROR(INDEX($AC$3:$AC$400,MATCH(ROWS(BM$3:BM222),BH$3:BH$400,0),1),"")))</f>
        <v/>
      </c>
      <c r="BN222" s="48">
        <f t="shared" ca="1" si="422"/>
        <v>0</v>
      </c>
      <c r="BO222" s="48" t="str">
        <f ca="1">IF(AND(OR($DY$2=0,$DY$1=0),$I$1=2,ROW()&gt;$BI$1+2,ROW()&lt;=$BI$1+4),"………………..",IF(AND(OR($DY$2&gt;0,$DY$1&gt;0),$I$1=2,ROW()&gt;$BI$1+2,ROW()&lt;=$BI$1+4),"………………..",IFERROR(INDEX($AC$3:$AC$400,MATCH(ROWS(BO$3:BO222),BI$3:BI$400,0),1),"")))</f>
        <v/>
      </c>
      <c r="BP222" s="48">
        <f t="shared" ca="1" si="423"/>
        <v>0</v>
      </c>
      <c r="BQ222" s="48" t="str">
        <f ca="1">IF(AND(OR($DY$2=0,$DY$1=0),$I$1=2,ROW()&gt;$BJ$1+2,ROW()&lt;=$BJ$1+4),"………………..",IF(AND(OR($DY$2&gt;0,$DY$1&gt;0),$I$1=2,ROW()&gt;$BJ$1+2,ROW()&lt;=$BJ$1+4),"………………..",IFERROR(INDEX($AC$3:$AC$400,MATCH(ROWS(BQ$3:BQ222),BJ$3:BJ$400,0),1),"")))</f>
        <v/>
      </c>
      <c r="BR222" s="48">
        <f t="shared" ca="1" si="424"/>
        <v>0</v>
      </c>
      <c r="BS222" s="48">
        <f ca="1">IF(IF(AND(OR(INDEX(PDC,MATCH($AC222,DEN_PDC,0),4)="D",INDEX(PDC,MATCH($AC222,DEN_PDC,0),4)="D/A"),SUMIFS(DARE,DEN_G,$AC222)&gt;=SUMIFS(AVERE,DEN_G,$AC222)),SUMIFS(DARE,DEN_G,$AC222),IF(AND(OR(INDEX(PDC,MATCH($AC222,DEN_PDC,0),4)="A",INDEX(PDC,MATCH($AC222,DEN_PDC,0),4)="D/A"),SUMIFS(AVERE,DEN_G,$AC222)&gt;=SUMIFS(DARE,DEN_G,$AC222)),SUMIFS(AVERE,DEN_G,$AC222),))&gt;0,MAX($BS$2:BS221)+1,0)</f>
        <v>0</v>
      </c>
      <c r="BT222" s="48" t="str">
        <f ca="1">IF($CO$1=0,"",IF(AND($I$1=2,ROW()&gt;$BR$1,ROW()&lt;=$BS$1)," …………….",IF(AND($E$1=1,$BX$1=1,$I$1=2,ROW()=$BQ$1),"TOTALI",IFERROR(INDEX(PDC,MATCH(ROWS(BT$3:BT222),BS$3:BS619,0),2),""))))</f>
        <v/>
      </c>
      <c r="BU222" s="48">
        <f t="shared" ca="1" si="425"/>
        <v>0</v>
      </c>
      <c r="BV222" s="48">
        <f t="shared" ca="1" si="426"/>
        <v>0</v>
      </c>
      <c r="BW222" s="48">
        <f t="shared" ca="1" si="427"/>
        <v>0</v>
      </c>
      <c r="BX222" s="48">
        <f t="shared" ca="1" si="428"/>
        <v>0</v>
      </c>
      <c r="BY222" s="48">
        <f ca="1">IF(OR(BW222&gt;0,BX222&gt;0),MAX($BY$2:BY221)+1,0)</f>
        <v>0</v>
      </c>
      <c r="BZ222" s="48" t="str">
        <f ca="1">IFERROR(INDEX($BT$3:$BY$400,MATCH(ROWS(BZ$3:BZ222),$BY$3:$BY$400,0),1),"")</f>
        <v/>
      </c>
      <c r="CA222" s="48" t="str">
        <f ca="1">IFERROR(INDEX($BT$3:$BY$400,MATCH(ROWS(CA$3:CA222),$BY$3:$BY$400,0),4),"")</f>
        <v/>
      </c>
      <c r="CB222" s="48" t="str">
        <f ca="1">IFERROR(INDEX($BT$3:$BY$400,MATCH(ROWS(CB$3:CB222),$BY$3:$BY$400,0),5),"")</f>
        <v/>
      </c>
      <c r="CC222" s="48" t="str">
        <f t="shared" ca="1" si="429"/>
        <v/>
      </c>
      <c r="CD222" s="48">
        <f ca="1">IF(CE222&lt;&gt;0,MAX($CD$190:CD221)+1,0)</f>
        <v>0</v>
      </c>
      <c r="CE222" s="48">
        <f ca="1">IF(AND($AY$1=0,$F$1=1),CE200-CE221,IF(AND($I$1=2,CE247&lt;&gt;0,OR(CE221&lt;&gt;0,CE200&lt;&gt;0)),"_ _ _",0))</f>
        <v>0</v>
      </c>
      <c r="CG222" s="242" t="s">
        <v>766</v>
      </c>
      <c r="CH222" s="48">
        <f ca="1">IF($I$1=1,CH200-CH221,CE222)</f>
        <v>0</v>
      </c>
      <c r="CM222" s="242" t="str">
        <f t="shared" ca="1" si="444"/>
        <v/>
      </c>
      <c r="CN222" s="243">
        <f t="shared" ca="1" si="445"/>
        <v>0</v>
      </c>
      <c r="CO222" s="48" t="str">
        <f t="shared" ca="1" si="446"/>
        <v/>
      </c>
      <c r="CU222" s="48">
        <f ca="1">IF(SUMIFS(AVERE,DEN_G,AC222,AVERE,"&gt;"&amp;0)+SUMIFS(DARE,DEN_G,AC222,DARE,"&gt;"&amp;0)&gt;0,MAX($CU$2:CU221)+1,0)</f>
        <v>0</v>
      </c>
      <c r="CV222" s="48" t="str">
        <f ca="1">IF(IFERROR(INDEX(PDC,MATCH(ROWS($CV$3:CV222),$CU$3:$CU$400,0),2),"")="CONTO DI RISULTATO ECONOMICO","",IFERROR(INDEX(PDC,MATCH(ROWS($CV$3:CV222),$CU$3:$CU$400,0),2),""))</f>
        <v/>
      </c>
      <c r="CW222" s="48">
        <f ca="1">IFERROR(IF(CV222&lt;&gt;"",MAX($CW$2:CW221)+1,0),0)</f>
        <v>0</v>
      </c>
      <c r="CX222" s="48">
        <f t="shared" ca="1" si="496"/>
        <v>17</v>
      </c>
      <c r="CY222" s="48" t="str">
        <f t="shared" ca="1" si="494"/>
        <v>MASTRO</v>
      </c>
      <c r="CZ222" s="48" t="e">
        <f t="shared" ca="1" si="498"/>
        <v>#N/A</v>
      </c>
      <c r="DA222" s="48" t="str">
        <f t="shared" ca="1" si="503"/>
        <v/>
      </c>
      <c r="DB222" s="48" t="str">
        <f t="shared" ca="1" si="499"/>
        <v/>
      </c>
      <c r="DC222" s="48" t="str">
        <f t="shared" ca="1" si="500"/>
        <v/>
      </c>
      <c r="DD222" s="48" t="str">
        <f t="shared" ca="1" si="501"/>
        <v/>
      </c>
      <c r="DE222" s="48" t="str">
        <f t="shared" ca="1" si="502"/>
        <v/>
      </c>
      <c r="DF222" s="48">
        <f ca="1">IF(AND(CX222=$DF$1,CX222&lt;&gt;""),0,IF(AND(DB222&lt;&gt;"",OR(DB221&lt;&gt;"",DB223&lt;&gt;"")),MAX($DF$2:DF221)+1,0))</f>
        <v>0</v>
      </c>
      <c r="DH222" s="244" t="s">
        <v>158</v>
      </c>
      <c r="DI222" s="48" t="s">
        <v>154</v>
      </c>
      <c r="DK222" s="48" t="s">
        <v>271</v>
      </c>
      <c r="DL222" s="48" t="s">
        <v>274</v>
      </c>
      <c r="DN222" s="48">
        <f ca="1">IF(DI222&lt;&gt;"",MAX($DN$2:DN221)+1,0)</f>
        <v>170</v>
      </c>
      <c r="DQ222" s="227" t="s">
        <v>168</v>
      </c>
      <c r="DR222" s="48" t="s">
        <v>162</v>
      </c>
      <c r="DT222" s="48" t="s">
        <v>298</v>
      </c>
      <c r="DU222" s="48" t="s">
        <v>480</v>
      </c>
      <c r="DV222" s="48" t="s">
        <v>812</v>
      </c>
      <c r="DW222" s="48">
        <f ca="1">IF(DR222&lt;&gt;"",MAX($DW$2:DW221)+1,0)</f>
        <v>133</v>
      </c>
      <c r="DY222" s="48" t="str">
        <f t="shared" ca="1" si="430"/>
        <v/>
      </c>
      <c r="EL222" s="48">
        <f t="shared" ca="1" si="431"/>
        <v>0</v>
      </c>
      <c r="EM222" s="48">
        <f ca="1">IF(EL222&gt;=0,0,MAX($EM$2:EM221)+1)</f>
        <v>0</v>
      </c>
      <c r="EN222" s="48" t="str">
        <f t="shared" ca="1" si="459"/>
        <v/>
      </c>
      <c r="EO222" s="48" t="str">
        <f ca="1">IFERROR(INDEX($EM$3:$EN$400,MATCH(ROWS($EO$3:EO222),$EM$3:$EM$400,0),2),"")</f>
        <v/>
      </c>
      <c r="EP222" s="48">
        <f>ROW()</f>
        <v>222</v>
      </c>
      <c r="EQ222" s="48">
        <f t="shared" ca="1" si="432"/>
        <v>0</v>
      </c>
      <c r="ER222" s="48">
        <f ca="1">IF(ISNA(EQ222)=TRUE,MAX($ER$2:ER221)+1,0)</f>
        <v>0</v>
      </c>
      <c r="ES222" s="48" t="str">
        <f t="shared" ca="1" si="460"/>
        <v/>
      </c>
      <c r="ET222" s="48" t="str">
        <f ca="1">IFERROR(INDEX($ER$3:$ES$400,MATCH(ROWS($ET$3:ET222),$ER$3:$ER$400,0),2),"")</f>
        <v/>
      </c>
      <c r="EV222" s="48">
        <f ca="1">IFERROR(INDEX(LIBRO_GIORNALE!$O$11:$P$408,MATCH(ROWS($EV$2:EV221),LIBRO_GIORNALE!$P$11:$P$408,0),1),0)</f>
        <v>0</v>
      </c>
      <c r="EW222" s="48" t="str">
        <f t="shared" ca="1" si="461"/>
        <v>0</v>
      </c>
      <c r="EX222" s="48">
        <f t="shared" ca="1" si="462"/>
        <v>0</v>
      </c>
      <c r="EY222" s="48">
        <f ca="1">IF(EX222&gt;0,MAX($EY$2:EY221)+1,0)</f>
        <v>0</v>
      </c>
      <c r="EZ222" s="48">
        <f ca="1">IFERROR(INDEX($EX$3:$EX$400,MATCH(ROWS($EZ$3:EZ222),$EY$3:$EY$400,0),1),0)</f>
        <v>0</v>
      </c>
      <c r="FA222" s="48">
        <f ca="1">IF(EZ222&gt;0,0,MAX($FA$2:FA221)+1)</f>
        <v>220</v>
      </c>
      <c r="FB222" s="48">
        <f t="shared" ca="1" si="463"/>
        <v>0</v>
      </c>
      <c r="FC222" s="48">
        <f t="shared" ca="1" si="464"/>
        <v>220</v>
      </c>
      <c r="FD222" s="48">
        <f t="shared" ca="1" si="465"/>
        <v>220</v>
      </c>
      <c r="FE222" s="48">
        <f ca="1">IF(FD222=0,0,MAX($FE$2:FE221)+1)</f>
        <v>220</v>
      </c>
      <c r="FF222" s="48">
        <f ca="1">IFERROR(INDEX($FD$3:$FE$400,MATCH(ROWS($FF$3:FF222),$FE$3:$FE$400,0),1),"")</f>
        <v>220</v>
      </c>
      <c r="FG222" s="48">
        <f t="shared" ca="1" si="380"/>
        <v>0</v>
      </c>
      <c r="FH222" s="48">
        <f t="shared" ca="1" si="466"/>
        <v>0</v>
      </c>
      <c r="FI222" s="48">
        <f ca="1">IF(FH222&lt;&gt;0,MAX($FI$2:FI221)+1,0)</f>
        <v>0</v>
      </c>
      <c r="FJ222" s="48" t="str">
        <f ca="1">IFERROR(INDEX($FH$3:$FI$400,MATCH(ROWS($FJ$3:FJ222),$FI$3:$FI$400,0),1),"")</f>
        <v/>
      </c>
      <c r="FK222" s="48">
        <f ca="1">IF(ABS(SUMIFS(DARE,DEN_G,"="&amp;FJ222,DATA,"&lt;="&amp;FINE_AC,DATA,"&gt;="&amp;INIZIO_A_PC)-SUMIFS(AVERE,DEN_G,"="&amp;FJ222,DATA,"&lt;="&amp;FINE_AC,DATA,"&gt;="&amp;INIZIO_A_PC))&gt;0,MAX($FK$2:FK221)+1,0)</f>
        <v>0</v>
      </c>
      <c r="FL222" s="48" t="str">
        <f ca="1">IF(AND(ROW()-2&lt;&gt;1,ROW()-2&lt;=$FK$1),CONCATENATE(" - ",IFERROR(INDEX($FJ$3:$FK$400,MATCH(ROWS($FL$3:FL222),$FK$3:$FK$400,0),1),"")),IFERROR(INDEX($FJ$3:$FK$400,MATCH(ROWS($FL$3:FL222),$FK$3:$FK$400,0),1),""))</f>
        <v/>
      </c>
      <c r="FM222" s="48">
        <f ca="1">IF(OR(B222="IVA ns/credito",B222="IVA NS/DEBITO",B222="IVA C/ACCONTO",B222="IMPOSTE C/ACCONTO",B222="CREDITI PER RITENUTE SUBITE",B222="CREDITI D'IMPOSTA"),MAX($FM$2:FM221)+1,0)</f>
        <v>0</v>
      </c>
      <c r="FN222" s="48" t="str">
        <f t="shared" ca="1" si="467"/>
        <v/>
      </c>
      <c r="FO222" s="48" t="str">
        <f ca="1">IFERROR(INDEX($FM$3:$FN$400,MATCH(ROWS($FO$3:FO222),$FM$3:$FM$400,0),2),"")</f>
        <v/>
      </c>
      <c r="FP222" s="48">
        <f ca="1">IF(ABS(SUMIFS(DARE,DEN_G,"="&amp;FO222,DATA,"&lt;="&amp;FINE_AC,DATA,"&gt;="&amp;INIZIO_A_PC)-SUMIFS(AVERE,DEN_G,"="&amp;FO222,DATA,"&lt;="&amp;FINE_AC,DATA,"&gt;="&amp;INIZIO_A_PC))&gt;0,MAX($FP$2:FP221)+1,0)</f>
        <v>0</v>
      </c>
      <c r="FQ222" s="48" t="str">
        <f ca="1">IF(AND(ROW()-2&lt;&gt;1,ROW()-2&lt;=$FP$1),CONCATENATE(" - ",IFERROR(INDEX($FO$3:$FP$400,MATCH(ROWS($FQ$3:FQ222),$FP$3:$FP$400,0),1),"")),IFERROR(INDEX($FO$3:$FP$400,MATCH(ROWS($FQ$3:FQ222),$FP$3:$FP$400,0),1),""))</f>
        <v/>
      </c>
    </row>
    <row r="223" spans="1:173" x14ac:dyDescent="0.3">
      <c r="A223" s="48" t="str">
        <f ca="1">IFERROR(IF($A$1=2,INDEX($DH$3:$DN$401,MATCH(ROWS(A$3:A223),$DN$3:$DN$401,0),COLUMN()),IF($A$1=1,INDEX($DQ$3:$DW$401,MATCH(ROWS(A$3:A223),$DW$3:$DW$401,0),COLUMN()),"")),"")</f>
        <v>31.00</v>
      </c>
      <c r="B223" s="48" t="str">
        <f ca="1">IFERROR(IF($A$1=2,INDEX($DH$3:$DN$401,MATCH(ROWS(B$3:B223),$DN$3:$DN$401,0),COLUMN()),IF($A$1=1,INDEX($DQ$3:$DW$400,MATCH(ROWS(B$3:B223),$DW$3:$DW$401,0),COLUMN()),"")),"")</f>
        <v>COSTI PER SERVIZI</v>
      </c>
      <c r="C223" s="48">
        <f ca="1">IFERROR(IF($A$1=2,INDEX($DH$3:$DN$401,MATCH(ROWS(C$3:C223),$DN$3:$DN$401,0),COLUMN()),IF($A$1=1,INDEX($DQ$3:$DW$401,MATCH(ROWS(C$3:C223),$DW$3:$DW$401,0),COLUMN()),"")),"")</f>
        <v>0</v>
      </c>
      <c r="D223" s="48">
        <f ca="1">IFERROR(IF($A$1=2,INDEX($DH$3:$DN$401,MATCH(ROWS(D$3:D223),$DN$3:$DN$401,0),COLUMN()),IF($A$1=1,INDEX($DQ$3:$DW$401,MATCH(ROWS(D$3:D223),$DW$3:$DW$401,0),COLUMN()),"")),"")</f>
        <v>0</v>
      </c>
      <c r="E223" s="48">
        <f ca="1">IFERROR(IF($A$1=2,INDEX($DH$3:$DN$401,MATCH(ROWS(E$3:E223),$DN$3:$DN$401,0),COLUMN()),IF($A$1=1,INDEX($DQ$3:$DW$401,MATCH(ROWS(E$3:E223),$DW$3:$DW$401,0),COLUMN()),"")),"")</f>
        <v>0</v>
      </c>
      <c r="F223" s="48">
        <f ca="1">IFERROR(IF($A$1=2,INDEX($DH$3:$DN$401,MATCH(ROWS(F$3:F223),$DN$3:$DN$401,0),COLUMN()),IF($A$1=1,INDEX($DQ$3:$DX$401,MATCH(ROWS(F$3:F223),$DW$3:$DW$401,0),COLUMN()),"")),"")</f>
        <v>0</v>
      </c>
      <c r="G223" s="48" t="str">
        <f t="shared" ca="1" si="433"/>
        <v>0</v>
      </c>
      <c r="H223" s="48">
        <f ca="1">IFERROR(IF($A$1=2,INDEX($DH$3:$DO$400,MATCH(ROWS(H$3:H223),$DN$3:$DN$400,0),COLUMN()),IF($A$1=1,INDEX($DQ$3:$DX$400,MATCH(ROWS(H$3:H223),$DW$3:$DW$400,0),COLUMN()),"")),"")</f>
        <v>0</v>
      </c>
      <c r="M223" s="48">
        <f ca="1">IFERROR(IF(IF(MID($A223,3,3)=".00",MID(A223,1,2),"")&lt;&gt;"",MAX($M$2:M222)+1,0),"")</f>
        <v>23</v>
      </c>
      <c r="N223" s="48" t="str">
        <f t="shared" ca="1" si="438"/>
        <v>31</v>
      </c>
      <c r="O223" s="48" t="str">
        <f ca="1">IF(IFERROR(INDEX($N$3:$O$300,MATCH(ROWS($O$3:O223),$M$3:$M$300,0),1),"")&lt;&gt;"",CONCATENATE(INDEX($N$3:$O$300,MATCH(ROWS($O$3:O223),$M$3:$M$300,0),1),".00"),"")</f>
        <v/>
      </c>
      <c r="P223" s="48" t="str">
        <f t="shared" ca="1" si="439"/>
        <v/>
      </c>
      <c r="Q223" s="48">
        <f ca="1">IF(M223&gt;=1,0,MAX($Q$2:Q222)+1)</f>
        <v>0</v>
      </c>
      <c r="U223" s="48" t="str">
        <f ca="1">IFERROR(INDEX(PDC,MATCH(ROWS(U$3:U223),$V$3:$V$400,0),2),"")</f>
        <v>SALARI E STIPENDI</v>
      </c>
      <c r="V223" s="48">
        <f ca="1">IF(AND($T$1="VISUALIZZA TUTTI I CONTI",AA223&lt;&gt;""),MAX($V$2:V222)+1,IF(AND($U$2=2,AI223=$T$1),MAX($V$2:V222)+1,IF(AND($U$2=1,$T$1=AF223),MAX($V$2:V222)+1,0)))</f>
        <v>221</v>
      </c>
      <c r="AA223" s="48" t="str">
        <f t="shared" ca="1" si="440"/>
        <v>33.00</v>
      </c>
      <c r="AB223" s="48" t="str">
        <f ca="1">IFERROR(INDEX($A$3:$G$400,MATCH(ROWS(AB$3:AB223),$Q$3:$Q$400,0),1),"")</f>
        <v>33.01</v>
      </c>
      <c r="AC223" s="48" t="str">
        <f ca="1">IFERROR(INDEX($A$3:$G$400,MATCH(ROWS($AC$3:AC223),$Q$3:$Q$400,0),2),"")</f>
        <v>SALARI E STIPENDI</v>
      </c>
      <c r="AD223" s="48" t="str">
        <f ca="1">IFERROR(INDEX($A$3:$G$400,MATCH(ROWS(AD$3:AD223),$Q$3:$Q$400,0),3),"")</f>
        <v>E</v>
      </c>
      <c r="AE223" s="48" t="str">
        <f ca="1">IFERROR(INDEX($A$3:$G$400,MATCH(ROWS(AE$3:AE223),$Q$3:$Q$400,0),4),"")</f>
        <v>D</v>
      </c>
      <c r="AF223" s="48" t="str">
        <f ca="1">IFERROR(INDEX($A$3:$G$400,MATCH(ROWS(AF$3:AF223),$Q$3:$Q$400,0),5),"")</f>
        <v>COSTI D'ESERCIZIO</v>
      </c>
      <c r="AG223" s="48" t="str">
        <f ca="1">IFERROR(INDEX($A$3:$G$400,MATCH(ROWS(AG$3:AG223),$Q$3:$Q$400,0),6),"")</f>
        <v>SE DARE</v>
      </c>
      <c r="AH223" s="48" t="str">
        <f ca="1">IFERROR(INDEX($A$3:$G$400,MATCH(ROWS(AH$3:AH223),$Q$3:$Q$400,0),7),"")</f>
        <v>SE</v>
      </c>
      <c r="AI223" s="48" t="str">
        <f t="shared" ca="1" si="441"/>
        <v>COSTI PER IL PERSONALE</v>
      </c>
      <c r="AJ223" s="48" t="str">
        <f ca="1">IFERROR(INDEX($A$3:$H$400,MATCH(ROWS(AJ$3:AJ223),$Q$3:$Q$400,0),8),"")</f>
        <v>eb9a</v>
      </c>
      <c r="AK223" s="48">
        <f t="shared" ca="1" si="417"/>
        <v>0</v>
      </c>
      <c r="AL223" s="48">
        <f t="shared" ca="1" si="473"/>
        <v>0</v>
      </c>
      <c r="AM223" s="48">
        <f t="shared" ca="1" si="377"/>
        <v>0</v>
      </c>
      <c r="AN223" s="48">
        <f t="shared" ca="1" si="378"/>
        <v>0</v>
      </c>
      <c r="AO223" s="48">
        <f t="shared" ca="1" si="379"/>
        <v>0</v>
      </c>
      <c r="AP223" s="48">
        <f t="shared" ca="1" si="379"/>
        <v>0</v>
      </c>
      <c r="AQ223" s="48" t="str">
        <f t="shared" ca="1" si="418"/>
        <v/>
      </c>
      <c r="AR223" s="48">
        <f t="shared" ca="1" si="419"/>
        <v>0</v>
      </c>
      <c r="AS223" s="48">
        <f t="shared" ca="1" si="420"/>
        <v>0</v>
      </c>
      <c r="AT223" s="48">
        <f t="shared" ca="1" si="442"/>
        <v>0</v>
      </c>
      <c r="AU223" s="48">
        <f t="shared" ca="1" si="443"/>
        <v>0</v>
      </c>
      <c r="AV223" s="48">
        <f ca="1">IF(OR(AT223&gt;0,AU223&gt;0),MAX($AV$2:AV222)+1,0)</f>
        <v>0</v>
      </c>
      <c r="AZ223" s="48" t="str">
        <f t="shared" ca="1" si="484"/>
        <v/>
      </c>
      <c r="BA223" s="48">
        <f t="shared" ca="1" si="480"/>
        <v>0</v>
      </c>
      <c r="BB223" s="48">
        <f t="shared" ca="1" si="481"/>
        <v>0</v>
      </c>
      <c r="BC223" s="48">
        <f t="shared" ca="1" si="482"/>
        <v>0</v>
      </c>
      <c r="BD223" s="48">
        <f t="shared" ca="1" si="383"/>
        <v>0</v>
      </c>
      <c r="BE223" s="48">
        <f t="shared" ca="1" si="384"/>
        <v>0</v>
      </c>
      <c r="BF223" s="48">
        <f t="shared" si="485"/>
        <v>23</v>
      </c>
      <c r="BG223" s="48">
        <f ca="1">IF(IF(AND(OR(INDEX(PDC,MATCH($AC223,DEN_PDC,0),6)="SP DARE",INDEX(PDC,MATCH($AC223,DEN_PDC,0),6)="SP DARE/AVERE"),SUMIFS(DARE,DEN_G,$AC223)&gt;=SUMIFS(AVERE,DEN_G,$AC223)),SUMIFS(DARE,DEN_G,$AC223)-SUMIFS(AVERE,DEN_G,$AC223),0)&gt;0,MAX($BG$2:BG222)+1,0)</f>
        <v>0</v>
      </c>
      <c r="BH223" s="48">
        <f ca="1">IF(IF(AND(OR(INDEX(PDC,MATCH($AC223,DEN_PDC,0),6)="SP AVERE",INDEX(PDC,MATCH($AC223,DEN_PDC,0),6)="SP DARE/AVERE"),SUMIFS(AVERE,DEN_G,$AC223)&gt;=SUMIFS(DARE,DEN_G,$AC223)),SUMIFS(AVERE,DEN_G,$AC223)-SUMIFS(DARE,DEN_G,$AC223),0)&gt;0,MAX(BH$2:BH222)+1,0)</f>
        <v>0</v>
      </c>
      <c r="BI223" s="48">
        <f ca="1">IF(IF(AND(OR(INDEX(PDC,MATCH($AC223,DEN_PDC,0),6)="SE DARE",INDEX(PDC,MATCH($AC223,DEN_PDC,0),6)="SE DARE/AVERE"),SUMIFS(DARE,DEN_G,$AC223)&gt;=SUMIFS(AVERE,DEN_G,$AC223)),SUMIFS(DARE,DEN_G,$AC223)-SUMIFS(AVERE,DEN_G,$AC223),0)&gt;0,MAX(BI$2:BI222)+1,0)</f>
        <v>0</v>
      </c>
      <c r="BJ223" s="48">
        <f ca="1">IF(IF(AND(OR(INDEX(PDC,MATCH($AC223,DEN_PDC,0),6)="SE AVERE",INDEX(PDC,MATCH($AC223,DEN_PDC,0),6)="SE DARE/AVERE"),SUMIFS(AVERE,DEN_G,$AC223)&gt;=SUMIFS(DARE,DEN_G,$AC223)),SUMIFS(AVERE,DEN_G,$AC223)-SUMIFS(DARE,DEN_G,$AC223),0)&gt;0,MAX(BJ$2:BJ222)+1,0)</f>
        <v>0</v>
      </c>
      <c r="BK223" s="48" t="str">
        <f ca="1">IF(AND(AND($DY$2=0,$DY$1=0),$I$1=2,ROW()&gt;$BG$1+2,ROW()&lt;=$BG$1+4),"………………..",IF(AND(OR($DY$2&gt;0,$DY$1&gt;0),$I$1=2,ROW()&gt;$BG$1+2,ROW()&lt;=$BG$1+4),"………………..",IFERROR(INDEX($AC$3:$AC$398,MATCH(ROWS(BK$3:BK223),BG$3:BG$398,0),1),"")))</f>
        <v/>
      </c>
      <c r="BL223" s="48">
        <f t="shared" ca="1" si="421"/>
        <v>0</v>
      </c>
      <c r="BM223" s="48" t="str">
        <f ca="1">IF(AND(OR($DY$2=0,$DY$1=0),$I$1=2,ROW()&gt;$BH$1+2,ROW()&lt;=$BH$1+4),"………………..",IF(AND(OR($DY$2&gt;0,$DY$1&gt;0),$I$1=2,ROW()&gt;$BH$1+2,ROW()&lt;=$BH$1+4),"………………..",IFERROR(INDEX($AC$3:$AC$400,MATCH(ROWS(BM$3:BM223),BH$3:BH$400,0),1),"")))</f>
        <v/>
      </c>
      <c r="BN223" s="48">
        <f t="shared" ca="1" si="422"/>
        <v>0</v>
      </c>
      <c r="BO223" s="48" t="str">
        <f ca="1">IF(AND(OR($DY$2=0,$DY$1=0),$I$1=2,ROW()&gt;$BI$1+2,ROW()&lt;=$BI$1+4),"………………..",IF(AND(OR($DY$2&gt;0,$DY$1&gt;0),$I$1=2,ROW()&gt;$BI$1+2,ROW()&lt;=$BI$1+4),"………………..",IFERROR(INDEX($AC$3:$AC$400,MATCH(ROWS(BO$3:BO223),BI$3:BI$400,0),1),"")))</f>
        <v/>
      </c>
      <c r="BP223" s="48">
        <f t="shared" ca="1" si="423"/>
        <v>0</v>
      </c>
      <c r="BQ223" s="48" t="str">
        <f ca="1">IF(AND(OR($DY$2=0,$DY$1=0),$I$1=2,ROW()&gt;$BJ$1+2,ROW()&lt;=$BJ$1+4),"………………..",IF(AND(OR($DY$2&gt;0,$DY$1&gt;0),$I$1=2,ROW()&gt;$BJ$1+2,ROW()&lt;=$BJ$1+4),"………………..",IFERROR(INDEX($AC$3:$AC$400,MATCH(ROWS(BQ$3:BQ223),BJ$3:BJ$400,0),1),"")))</f>
        <v/>
      </c>
      <c r="BR223" s="48">
        <f t="shared" ca="1" si="424"/>
        <v>0</v>
      </c>
      <c r="BS223" s="48">
        <f ca="1">IF(IF(AND(OR(INDEX(PDC,MATCH($AC223,DEN_PDC,0),4)="D",INDEX(PDC,MATCH($AC223,DEN_PDC,0),4)="D/A"),SUMIFS(DARE,DEN_G,$AC223)&gt;=SUMIFS(AVERE,DEN_G,$AC223)),SUMIFS(DARE,DEN_G,$AC223),IF(AND(OR(INDEX(PDC,MATCH($AC223,DEN_PDC,0),4)="A",INDEX(PDC,MATCH($AC223,DEN_PDC,0),4)="D/A"),SUMIFS(AVERE,DEN_G,$AC223)&gt;=SUMIFS(DARE,DEN_G,$AC223)),SUMIFS(AVERE,DEN_G,$AC223),))&gt;0,MAX($BS$2:BS222)+1,0)</f>
        <v>0</v>
      </c>
      <c r="BT223" s="48" t="str">
        <f ca="1">IF($CO$1=0,"",IF(AND($I$1=2,ROW()&gt;$BR$1,ROW()&lt;=$BS$1)," …………….",IF(AND($E$1=1,$BX$1=1,$I$1=2,ROW()=$BQ$1),"TOTALI",IFERROR(INDEX(PDC,MATCH(ROWS(BT$3:BT223),BS$3:BS620,0),2),""))))</f>
        <v/>
      </c>
      <c r="BU223" s="48">
        <f t="shared" ca="1" si="425"/>
        <v>0</v>
      </c>
      <c r="BV223" s="48">
        <f t="shared" ca="1" si="426"/>
        <v>0</v>
      </c>
      <c r="BW223" s="48">
        <f t="shared" ca="1" si="427"/>
        <v>0</v>
      </c>
      <c r="BX223" s="48">
        <f t="shared" ca="1" si="428"/>
        <v>0</v>
      </c>
      <c r="BY223" s="48">
        <f ca="1">IF(OR(BW223&gt;0,BX223&gt;0),MAX($BY$2:BY222)+1,0)</f>
        <v>0</v>
      </c>
      <c r="BZ223" s="48" t="str">
        <f ca="1">IFERROR(INDEX($BT$3:$BY$400,MATCH(ROWS(BZ$3:BZ223),$BY$3:$BY$400,0),1),"")</f>
        <v/>
      </c>
      <c r="CA223" s="48" t="str">
        <f ca="1">IFERROR(INDEX($BT$3:$BY$400,MATCH(ROWS(CA$3:CA223),$BY$3:$BY$400,0),4),"")</f>
        <v/>
      </c>
      <c r="CB223" s="48" t="str">
        <f ca="1">IFERROR(INDEX($BT$3:$BY$400,MATCH(ROWS(CB$3:CB223),$BY$3:$BY$400,0),5),"")</f>
        <v/>
      </c>
      <c r="CC223" s="48" t="str">
        <f t="shared" ca="1" si="429"/>
        <v/>
      </c>
      <c r="CD223" s="48">
        <f ca="1">IF(CE223&gt;0,MAX($CD$190:CD222)+1,0)</f>
        <v>0</v>
      </c>
      <c r="CE223" s="48">
        <f ca="1">IF(OR(CE221&lt;&gt;0,CE200&lt;&gt;0,CE244&lt;&gt;0,CE232&lt;&gt;0),"A",0)</f>
        <v>0</v>
      </c>
      <c r="CG223" s="242" t="s">
        <v>776</v>
      </c>
      <c r="CM223" s="242" t="str">
        <f t="shared" ca="1" si="444"/>
        <v/>
      </c>
      <c r="CN223" s="243">
        <f t="shared" ca="1" si="445"/>
        <v>0</v>
      </c>
      <c r="CO223" s="48" t="str">
        <f t="shared" ca="1" si="446"/>
        <v/>
      </c>
      <c r="CU223" s="48">
        <f ca="1">IF(SUMIFS(AVERE,DEN_G,AC223,AVERE,"&gt;"&amp;0)+SUMIFS(DARE,DEN_G,AC223,DARE,"&gt;"&amp;0)&gt;0,MAX($CU$2:CU222)+1,0)</f>
        <v>0</v>
      </c>
      <c r="CV223" s="48" t="str">
        <f ca="1">IF(IFERROR(INDEX(PDC,MATCH(ROWS($CV$3:CV223),$CU$3:$CU$400,0),2),"")="CONTO DI RISULTATO ECONOMICO","",IFERROR(INDEX(PDC,MATCH(ROWS($CV$3:CV223),$CU$3:$CU$400,0),2),""))</f>
        <v/>
      </c>
      <c r="CW223" s="48">
        <f ca="1">IFERROR(IF(CV223&lt;&gt;"",MAX($CW$2:CW222)+1,0),0)</f>
        <v>0</v>
      </c>
      <c r="CY223" s="48" t="s">
        <v>500</v>
      </c>
      <c r="DB223" s="48" t="str">
        <f t="shared" ref="DB223" ca="1" si="504">IF(CX222=$DF$1,"","MASTRO")</f>
        <v>MASTRO</v>
      </c>
      <c r="DF223" s="48">
        <f ca="1">IF(AND(CX223=$DF$1,CX223&lt;&gt;""),0,IF(AND(DB223&lt;&gt;"",OR(DB222&lt;&gt;"",DB224&lt;&gt;"")),MAX($DF$2:DF222)+1,0))</f>
        <v>0</v>
      </c>
      <c r="DH223" s="244" t="s">
        <v>159</v>
      </c>
      <c r="DI223" s="48" t="s">
        <v>155</v>
      </c>
      <c r="DK223" s="48" t="s">
        <v>271</v>
      </c>
      <c r="DL223" s="48" t="s">
        <v>274</v>
      </c>
      <c r="DN223" s="48">
        <f ca="1">IF(DI223&lt;&gt;"",MAX($DN$2:DN222)+1,0)</f>
        <v>171</v>
      </c>
      <c r="DQ223" s="227" t="s">
        <v>169</v>
      </c>
      <c r="DR223" s="48" t="s">
        <v>163</v>
      </c>
      <c r="DT223" s="48" t="s">
        <v>275</v>
      </c>
      <c r="DU223" s="48" t="s">
        <v>480</v>
      </c>
      <c r="DV223" s="48" t="s">
        <v>812</v>
      </c>
      <c r="DW223" s="48">
        <f ca="1">IF(DR223&lt;&gt;"",MAX($DW$2:DW222)+1,0)</f>
        <v>134</v>
      </c>
      <c r="DY223" s="48" t="str">
        <f t="shared" ca="1" si="430"/>
        <v/>
      </c>
      <c r="EL223" s="48">
        <f t="shared" ca="1" si="431"/>
        <v>0</v>
      </c>
      <c r="EM223" s="48">
        <f ca="1">IF(EL223&gt;=0,0,MAX($EM$2:EM222)+1)</f>
        <v>0</v>
      </c>
      <c r="EN223" s="48" t="str">
        <f t="shared" ca="1" si="459"/>
        <v/>
      </c>
      <c r="EO223" s="48" t="str">
        <f ca="1">IFERROR(INDEX($EM$3:$EN$400,MATCH(ROWS($EO$3:EO223),$EM$3:$EM$400,0),2),"")</f>
        <v/>
      </c>
      <c r="EP223" s="48">
        <f>ROW()</f>
        <v>223</v>
      </c>
      <c r="EQ223" s="48">
        <f t="shared" ca="1" si="432"/>
        <v>0</v>
      </c>
      <c r="ER223" s="48">
        <f ca="1">IF(ISNA(EQ223)=TRUE,MAX($ER$2:ER222)+1,0)</f>
        <v>0</v>
      </c>
      <c r="ES223" s="48" t="str">
        <f t="shared" ca="1" si="460"/>
        <v/>
      </c>
      <c r="ET223" s="48" t="str">
        <f ca="1">IFERROR(INDEX($ER$3:$ES$400,MATCH(ROWS($ET$3:ET223),$ER$3:$ER$400,0),2),"")</f>
        <v/>
      </c>
      <c r="EV223" s="48">
        <f ca="1">IFERROR(INDEX(LIBRO_GIORNALE!$O$11:$P$408,MATCH(ROWS($EV$2:EV222),LIBRO_GIORNALE!$P$11:$P$408,0),1),0)</f>
        <v>0</v>
      </c>
      <c r="EW223" s="48" t="str">
        <f t="shared" ca="1" si="461"/>
        <v>0</v>
      </c>
      <c r="EX223" s="48">
        <f t="shared" ca="1" si="462"/>
        <v>0</v>
      </c>
      <c r="EY223" s="48">
        <f ca="1">IF(EX223&gt;0,MAX($EY$2:EY222)+1,0)</f>
        <v>0</v>
      </c>
      <c r="EZ223" s="48">
        <f ca="1">IFERROR(INDEX($EX$3:$EX$400,MATCH(ROWS($EZ$3:EZ223),$EY$3:$EY$400,0),1),0)</f>
        <v>0</v>
      </c>
      <c r="FA223" s="48">
        <f ca="1">IF(EZ223&gt;0,0,MAX($FA$2:FA222)+1)</f>
        <v>221</v>
      </c>
      <c r="FB223" s="48">
        <f t="shared" ca="1" si="463"/>
        <v>0</v>
      </c>
      <c r="FC223" s="48">
        <f t="shared" ca="1" si="464"/>
        <v>221</v>
      </c>
      <c r="FD223" s="48">
        <f t="shared" ca="1" si="465"/>
        <v>221</v>
      </c>
      <c r="FE223" s="48">
        <f ca="1">IF(FD223=0,0,MAX($FE$2:FE222)+1)</f>
        <v>221</v>
      </c>
      <c r="FF223" s="48">
        <f ca="1">IFERROR(INDEX($FD$3:$FE$400,MATCH(ROWS($FF$3:FF223),$FE$3:$FE$400,0),1),"")</f>
        <v>221</v>
      </c>
      <c r="FG223" s="48">
        <f t="shared" ca="1" si="380"/>
        <v>0</v>
      </c>
      <c r="FH223" s="48">
        <f t="shared" ca="1" si="466"/>
        <v>0</v>
      </c>
      <c r="FI223" s="48">
        <f ca="1">IF(FH223&lt;&gt;0,MAX($FI$2:FI222)+1,0)</f>
        <v>0</v>
      </c>
      <c r="FJ223" s="48" t="str">
        <f ca="1">IFERROR(INDEX($FH$3:$FI$400,MATCH(ROWS($FJ$3:FJ223),$FI$3:$FI$400,0),1),"")</f>
        <v/>
      </c>
      <c r="FK223" s="48">
        <f ca="1">IF(ABS(SUMIFS(DARE,DEN_G,"="&amp;FJ223,DATA,"&lt;="&amp;FINE_AC,DATA,"&gt;="&amp;INIZIO_A_PC)-SUMIFS(AVERE,DEN_G,"="&amp;FJ223,DATA,"&lt;="&amp;FINE_AC,DATA,"&gt;="&amp;INIZIO_A_PC))&gt;0,MAX($FK$2:FK222)+1,0)</f>
        <v>0</v>
      </c>
      <c r="FL223" s="48" t="str">
        <f ca="1">IF(AND(ROW()-2&lt;&gt;1,ROW()-2&lt;=$FK$1),CONCATENATE(" - ",IFERROR(INDEX($FJ$3:$FK$400,MATCH(ROWS($FL$3:FL223),$FK$3:$FK$400,0),1),"")),IFERROR(INDEX($FJ$3:$FK$400,MATCH(ROWS($FL$3:FL223),$FK$3:$FK$400,0),1),""))</f>
        <v/>
      </c>
      <c r="FM223" s="48">
        <f ca="1">IF(OR(B223="IVA ns/credito",B223="IVA NS/DEBITO",B223="IVA C/ACCONTO",B223="IMPOSTE C/ACCONTO",B223="CREDITI PER RITENUTE SUBITE",B223="CREDITI D'IMPOSTA"),MAX($FM$2:FM222)+1,0)</f>
        <v>0</v>
      </c>
      <c r="FN223" s="48" t="str">
        <f t="shared" ca="1" si="467"/>
        <v/>
      </c>
      <c r="FO223" s="48" t="str">
        <f ca="1">IFERROR(INDEX($FM$3:$FN$400,MATCH(ROWS($FO$3:FO223),$FM$3:$FM$400,0),2),"")</f>
        <v/>
      </c>
      <c r="FP223" s="48">
        <f ca="1">IF(ABS(SUMIFS(DARE,DEN_G,"="&amp;FO223,DATA,"&lt;="&amp;FINE_AC,DATA,"&gt;="&amp;INIZIO_A_PC)-SUMIFS(AVERE,DEN_G,"="&amp;FO223,DATA,"&lt;="&amp;FINE_AC,DATA,"&gt;="&amp;INIZIO_A_PC))&gt;0,MAX($FP$2:FP222)+1,0)</f>
        <v>0</v>
      </c>
      <c r="FQ223" s="48" t="str">
        <f ca="1">IF(AND(ROW()-2&lt;&gt;1,ROW()-2&lt;=$FP$1),CONCATENATE(" - ",IFERROR(INDEX($FO$3:$FP$400,MATCH(ROWS($FQ$3:FQ223),$FP$3:$FP$400,0),1),"")),IFERROR(INDEX($FO$3:$FP$400,MATCH(ROWS($FQ$3:FQ223),$FP$3:$FP$400,0),1),""))</f>
        <v/>
      </c>
    </row>
    <row r="224" spans="1:173" x14ac:dyDescent="0.3">
      <c r="A224" s="48" t="str">
        <f ca="1">IFERROR(IF($A$1=2,INDEX($DH$3:$DN$401,MATCH(ROWS(A$3:A224),$DN$3:$DN$401,0),COLUMN()),IF($A$1=1,INDEX($DQ$3:$DW$401,MATCH(ROWS(A$3:A224),$DW$3:$DW$401,0),COLUMN()),"")),"")</f>
        <v>31.01</v>
      </c>
      <c r="B224" s="48" t="str">
        <f ca="1">IFERROR(IF($A$1=2,INDEX($DH$3:$DN$401,MATCH(ROWS(B$3:B224),$DN$3:$DN$401,0),COLUMN()),IF($A$1=1,INDEX($DQ$3:$DW$400,MATCH(ROWS(B$3:B224),$DW$3:$DW$401,0),COLUMN()),"")),"")</f>
        <v>COSTI DI TRASPORTO</v>
      </c>
      <c r="C224" s="48" t="str">
        <f ca="1">IFERROR(IF($A$1=2,INDEX($DH$3:$DN$401,MATCH(ROWS(C$3:C224),$DN$3:$DN$401,0),COLUMN()),IF($A$1=1,INDEX($DQ$3:$DW$401,MATCH(ROWS(C$3:C224),$DW$3:$DW$401,0),COLUMN()),"")),"")</f>
        <v>E</v>
      </c>
      <c r="D224" s="48" t="str">
        <f ca="1">IFERROR(IF($A$1=2,INDEX($DH$3:$DN$401,MATCH(ROWS(D$3:D224),$DN$3:$DN$401,0),COLUMN()),IF($A$1=1,INDEX($DQ$3:$DW$401,MATCH(ROWS(D$3:D224),$DW$3:$DW$401,0),COLUMN()),"")),"")</f>
        <v>D</v>
      </c>
      <c r="E224" s="48" t="str">
        <f ca="1">IFERROR(IF($A$1=2,INDEX($DH$3:$DN$401,MATCH(ROWS(E$3:E224),$DN$3:$DN$401,0),COLUMN()),IF($A$1=1,INDEX($DQ$3:$DW$401,MATCH(ROWS(E$3:E224),$DW$3:$DW$401,0),COLUMN()),"")),"")</f>
        <v>COSTI D'ESERCIZIO</v>
      </c>
      <c r="F224" s="48" t="str">
        <f ca="1">IFERROR(IF($A$1=2,INDEX($DH$3:$DN$401,MATCH(ROWS(F$3:F224),$DN$3:$DN$401,0),COLUMN()),IF($A$1=1,INDEX($DQ$3:$DX$401,MATCH(ROWS(F$3:F224),$DW$3:$DW$401,0),COLUMN()),"")),"")</f>
        <v>SE DARE</v>
      </c>
      <c r="G224" s="48" t="str">
        <f t="shared" ca="1" si="433"/>
        <v>SE</v>
      </c>
      <c r="H224" s="48" t="str">
        <f ca="1">IFERROR(IF($A$1=2,INDEX($DH$3:$DO$400,MATCH(ROWS(H$3:H224),$DN$3:$DN$400,0),COLUMN()),IF($A$1=1,INDEX($DQ$3:$DX$400,MATCH(ROWS(H$3:H224),$DW$3:$DW$400,0),COLUMN()),"")),"")</f>
        <v>eb7</v>
      </c>
      <c r="M224" s="48">
        <f ca="1">IFERROR(IF(IF(MID($A224,3,3)=".00",MID(A224,1,2),"")&lt;&gt;"",MAX($M$2:M223)+1,0),"")</f>
        <v>0</v>
      </c>
      <c r="N224" s="48" t="str">
        <f t="shared" ca="1" si="438"/>
        <v/>
      </c>
      <c r="O224" s="48" t="str">
        <f ca="1">IF(IFERROR(INDEX($N$3:$O$300,MATCH(ROWS($O$3:O224),$M$3:$M$300,0),1),"")&lt;&gt;"",CONCATENATE(INDEX($N$3:$O$300,MATCH(ROWS($O$3:O224),$M$3:$M$300,0),1),".00"),"")</f>
        <v/>
      </c>
      <c r="P224" s="48" t="str">
        <f t="shared" ca="1" si="439"/>
        <v/>
      </c>
      <c r="Q224" s="48">
        <f ca="1">IF(M224&gt;=1,0,MAX($Q$2:Q223)+1)</f>
        <v>199</v>
      </c>
      <c r="U224" s="48" t="str">
        <f ca="1">IFERROR(INDEX(PDC,MATCH(ROWS(U$3:U224),$V$3:$V$400,0),2),"")</f>
        <v>ONERI SOCIALI</v>
      </c>
      <c r="V224" s="48">
        <f ca="1">IF(AND($T$1="VISUALIZZA TUTTI I CONTI",AA224&lt;&gt;""),MAX($V$2:V223)+1,IF(AND($U$2=2,AI224=$T$1),MAX($V$2:V223)+1,IF(AND($U$2=1,$T$1=AF224),MAX($V$2:V223)+1,0)))</f>
        <v>222</v>
      </c>
      <c r="AA224" s="48" t="str">
        <f t="shared" ca="1" si="440"/>
        <v>33.00</v>
      </c>
      <c r="AB224" s="48" t="str">
        <f ca="1">IFERROR(INDEX($A$3:$G$400,MATCH(ROWS(AB$3:AB224),$Q$3:$Q$400,0),1),"")</f>
        <v>33.02</v>
      </c>
      <c r="AC224" s="48" t="str">
        <f ca="1">IFERROR(INDEX($A$3:$G$400,MATCH(ROWS($AC$3:AC224),$Q$3:$Q$400,0),2),"")</f>
        <v>ONERI SOCIALI</v>
      </c>
      <c r="AD224" s="48" t="str">
        <f ca="1">IFERROR(INDEX($A$3:$G$400,MATCH(ROWS(AD$3:AD224),$Q$3:$Q$400,0),3),"")</f>
        <v>E</v>
      </c>
      <c r="AE224" s="48" t="str">
        <f ca="1">IFERROR(INDEX($A$3:$G$400,MATCH(ROWS(AE$3:AE224),$Q$3:$Q$400,0),4),"")</f>
        <v>D</v>
      </c>
      <c r="AF224" s="48" t="str">
        <f ca="1">IFERROR(INDEX($A$3:$G$400,MATCH(ROWS(AF$3:AF224),$Q$3:$Q$400,0),5),"")</f>
        <v>COSTI D'ESERCIZIO</v>
      </c>
      <c r="AG224" s="48" t="str">
        <f ca="1">IFERROR(INDEX($A$3:$G$400,MATCH(ROWS(AG$3:AG224),$Q$3:$Q$400,0),6),"")</f>
        <v>SE DARE</v>
      </c>
      <c r="AH224" s="48" t="str">
        <f ca="1">IFERROR(INDEX($A$3:$G$400,MATCH(ROWS(AH$3:AH224),$Q$3:$Q$400,0),7),"")</f>
        <v>SE</v>
      </c>
      <c r="AI224" s="48" t="str">
        <f t="shared" ca="1" si="441"/>
        <v>COSTI PER IL PERSONALE</v>
      </c>
      <c r="AJ224" s="48" t="str">
        <f ca="1">IFERROR(INDEX($A$3:$H$400,MATCH(ROWS(AJ$3:AJ224),$Q$3:$Q$400,0),8),"")</f>
        <v>eb9b</v>
      </c>
      <c r="AK224" s="48">
        <f t="shared" ca="1" si="417"/>
        <v>0</v>
      </c>
      <c r="AL224" s="48">
        <f t="shared" ca="1" si="473"/>
        <v>0</v>
      </c>
      <c r="AM224" s="48">
        <f t="shared" ca="1" si="377"/>
        <v>0</v>
      </c>
      <c r="AN224" s="48">
        <f t="shared" ca="1" si="378"/>
        <v>0</v>
      </c>
      <c r="AO224" s="48">
        <f t="shared" ca="1" si="379"/>
        <v>0</v>
      </c>
      <c r="AP224" s="48">
        <f t="shared" ca="1" si="379"/>
        <v>0</v>
      </c>
      <c r="AQ224" s="48" t="str">
        <f t="shared" ca="1" si="418"/>
        <v/>
      </c>
      <c r="AR224" s="48">
        <f t="shared" ca="1" si="419"/>
        <v>0</v>
      </c>
      <c r="AS224" s="48">
        <f t="shared" ca="1" si="420"/>
        <v>0</v>
      </c>
      <c r="AT224" s="48">
        <f t="shared" ca="1" si="442"/>
        <v>0</v>
      </c>
      <c r="AU224" s="48">
        <f t="shared" ca="1" si="443"/>
        <v>0</v>
      </c>
      <c r="AV224" s="48">
        <f ca="1">IF(OR(AT224&gt;0,AU224&gt;0),MAX($AV$2:AV223)+1,0)</f>
        <v>0</v>
      </c>
      <c r="AZ224" s="48" t="str">
        <f t="shared" ca="1" si="484"/>
        <v/>
      </c>
      <c r="BA224" s="48">
        <f t="shared" ca="1" si="480"/>
        <v>0</v>
      </c>
      <c r="BB224" s="48">
        <f t="shared" ca="1" si="481"/>
        <v>0</v>
      </c>
      <c r="BC224" s="48">
        <f t="shared" ca="1" si="482"/>
        <v>0</v>
      </c>
      <c r="BD224" s="48">
        <f t="shared" ca="1" si="383"/>
        <v>0</v>
      </c>
      <c r="BE224" s="48">
        <f t="shared" ca="1" si="384"/>
        <v>0</v>
      </c>
      <c r="BF224" s="48">
        <f t="shared" si="485"/>
        <v>24</v>
      </c>
      <c r="BG224" s="48">
        <f ca="1">IF(IF(AND(OR(INDEX(PDC,MATCH($AC224,DEN_PDC,0),6)="SP DARE",INDEX(PDC,MATCH($AC224,DEN_PDC,0),6)="SP DARE/AVERE"),SUMIFS(DARE,DEN_G,$AC224)&gt;=SUMIFS(AVERE,DEN_G,$AC224)),SUMIFS(DARE,DEN_G,$AC224)-SUMIFS(AVERE,DEN_G,$AC224),0)&gt;0,MAX($BG$2:BG223)+1,0)</f>
        <v>0</v>
      </c>
      <c r="BH224" s="48">
        <f ca="1">IF(IF(AND(OR(INDEX(PDC,MATCH($AC224,DEN_PDC,0),6)="SP AVERE",INDEX(PDC,MATCH($AC224,DEN_PDC,0),6)="SP DARE/AVERE"),SUMIFS(AVERE,DEN_G,$AC224)&gt;=SUMIFS(DARE,DEN_G,$AC224)),SUMIFS(AVERE,DEN_G,$AC224)-SUMIFS(DARE,DEN_G,$AC224),0)&gt;0,MAX(BH$2:BH223)+1,0)</f>
        <v>0</v>
      </c>
      <c r="BI224" s="48">
        <f ca="1">IF(IF(AND(OR(INDEX(PDC,MATCH($AC224,DEN_PDC,0),6)="SE DARE",INDEX(PDC,MATCH($AC224,DEN_PDC,0),6)="SE DARE/AVERE"),SUMIFS(DARE,DEN_G,$AC224)&gt;=SUMIFS(AVERE,DEN_G,$AC224)),SUMIFS(DARE,DEN_G,$AC224)-SUMIFS(AVERE,DEN_G,$AC224),0)&gt;0,MAX(BI$2:BI223)+1,0)</f>
        <v>0</v>
      </c>
      <c r="BJ224" s="48">
        <f ca="1">IF(IF(AND(OR(INDEX(PDC,MATCH($AC224,DEN_PDC,0),6)="SE AVERE",INDEX(PDC,MATCH($AC224,DEN_PDC,0),6)="SE DARE/AVERE"),SUMIFS(AVERE,DEN_G,$AC224)&gt;=SUMIFS(DARE,DEN_G,$AC224)),SUMIFS(AVERE,DEN_G,$AC224)-SUMIFS(DARE,DEN_G,$AC224),0)&gt;0,MAX(BJ$2:BJ223)+1,0)</f>
        <v>0</v>
      </c>
      <c r="BK224" s="48" t="str">
        <f ca="1">IF(AND(AND($DY$2=0,$DY$1=0),$I$1=2,ROW()&gt;$BG$1+2,ROW()&lt;=$BG$1+4),"………………..",IF(AND(OR($DY$2&gt;0,$DY$1&gt;0),$I$1=2,ROW()&gt;$BG$1+2,ROW()&lt;=$BG$1+4),"………………..",IFERROR(INDEX($AC$3:$AC$398,MATCH(ROWS(BK$3:BK224),BG$3:BG$398,0),1),"")))</f>
        <v/>
      </c>
      <c r="BL224" s="48">
        <f t="shared" ca="1" si="421"/>
        <v>0</v>
      </c>
      <c r="BM224" s="48" t="str">
        <f ca="1">IF(AND(OR($DY$2=0,$DY$1=0),$I$1=2,ROW()&gt;$BH$1+2,ROW()&lt;=$BH$1+4),"………………..",IF(AND(OR($DY$2&gt;0,$DY$1&gt;0),$I$1=2,ROW()&gt;$BH$1+2,ROW()&lt;=$BH$1+4),"………………..",IFERROR(INDEX($AC$3:$AC$400,MATCH(ROWS(BM$3:BM224),BH$3:BH$400,0),1),"")))</f>
        <v/>
      </c>
      <c r="BN224" s="48">
        <f t="shared" ca="1" si="422"/>
        <v>0</v>
      </c>
      <c r="BO224" s="48" t="str">
        <f ca="1">IF(AND(OR($DY$2=0,$DY$1=0),$I$1=2,ROW()&gt;$BI$1+2,ROW()&lt;=$BI$1+4),"………………..",IF(AND(OR($DY$2&gt;0,$DY$1&gt;0),$I$1=2,ROW()&gt;$BI$1+2,ROW()&lt;=$BI$1+4),"………………..",IFERROR(INDEX($AC$3:$AC$400,MATCH(ROWS(BO$3:BO224),BI$3:BI$400,0),1),"")))</f>
        <v/>
      </c>
      <c r="BP224" s="48">
        <f t="shared" ca="1" si="423"/>
        <v>0</v>
      </c>
      <c r="BQ224" s="48" t="str">
        <f ca="1">IF(AND(OR($DY$2=0,$DY$1=0),$I$1=2,ROW()&gt;$BJ$1+2,ROW()&lt;=$BJ$1+4),"………………..",IF(AND(OR($DY$2&gt;0,$DY$1&gt;0),$I$1=2,ROW()&gt;$BJ$1+2,ROW()&lt;=$BJ$1+4),"………………..",IFERROR(INDEX($AC$3:$AC$400,MATCH(ROWS(BQ$3:BQ224),BJ$3:BJ$400,0),1),"")))</f>
        <v/>
      </c>
      <c r="BR224" s="48">
        <f t="shared" ca="1" si="424"/>
        <v>0</v>
      </c>
      <c r="BS224" s="48">
        <f ca="1">IF(IF(AND(OR(INDEX(PDC,MATCH($AC224,DEN_PDC,0),4)="D",INDEX(PDC,MATCH($AC224,DEN_PDC,0),4)="D/A"),SUMIFS(DARE,DEN_G,$AC224)&gt;=SUMIFS(AVERE,DEN_G,$AC224)),SUMIFS(DARE,DEN_G,$AC224),IF(AND(OR(INDEX(PDC,MATCH($AC224,DEN_PDC,0),4)="A",INDEX(PDC,MATCH($AC224,DEN_PDC,0),4)="D/A"),SUMIFS(AVERE,DEN_G,$AC224)&gt;=SUMIFS(DARE,DEN_G,$AC224)),SUMIFS(AVERE,DEN_G,$AC224),))&gt;0,MAX($BS$2:BS223)+1,0)</f>
        <v>0</v>
      </c>
      <c r="BT224" s="48" t="str">
        <f ca="1">IF($CO$1=0,"",IF(AND($I$1=2,ROW()&gt;$BR$1,ROW()&lt;=$BS$1)," …………….",IF(AND($E$1=1,$BX$1=1,$I$1=2,ROW()=$BQ$1),"TOTALI",IFERROR(INDEX(PDC,MATCH(ROWS(BT$3:BT224),BS$3:BS621,0),2),""))))</f>
        <v/>
      </c>
      <c r="BU224" s="48">
        <f t="shared" ca="1" si="425"/>
        <v>0</v>
      </c>
      <c r="BV224" s="48">
        <f t="shared" ca="1" si="426"/>
        <v>0</v>
      </c>
      <c r="BW224" s="48">
        <f t="shared" ca="1" si="427"/>
        <v>0</v>
      </c>
      <c r="BX224" s="48">
        <f t="shared" ca="1" si="428"/>
        <v>0</v>
      </c>
      <c r="BY224" s="48">
        <f ca="1">IF(OR(BW224&gt;0,BX224&gt;0),MAX($BY$2:BY223)+1,0)</f>
        <v>0</v>
      </c>
      <c r="BZ224" s="48" t="str">
        <f ca="1">IFERROR(INDEX($BT$3:$BY$400,MATCH(ROWS(BZ$3:BZ224),$BY$3:$BY$400,0),1),"")</f>
        <v/>
      </c>
      <c r="CA224" s="48" t="str">
        <f ca="1">IFERROR(INDEX($BT$3:$BY$400,MATCH(ROWS(CA$3:CA224),$BY$3:$BY$400,0),4),"")</f>
        <v/>
      </c>
      <c r="CB224" s="48" t="str">
        <f ca="1">IFERROR(INDEX($BT$3:$BY$400,MATCH(ROWS(CB$3:CB224),$BY$3:$BY$400,0),5),"")</f>
        <v/>
      </c>
      <c r="CC224" s="48" t="str">
        <f t="shared" ca="1" si="429"/>
        <v/>
      </c>
      <c r="CD224" s="48">
        <f ca="1">IF(CE224&lt;&gt;0,MAX($CD$190:CD223)+1,0)</f>
        <v>0</v>
      </c>
      <c r="CE224" s="48">
        <f ca="1">IF(ROUND(SUMIFS(COPIA!$CB$3:$CB$400,COPIA!$CC$3:$CC$400,CF224)-SUMIFS(COPIA!$CA$3:$CA$400,COPIA!$CC$3:$CC$400,CF224),0)&lt;0,0,ROUND(SUMIFS(COPIA!$CB$3:$CB$400,COPIA!$CC$3:$CC$400,CF224)-SUMIFS(COPIA!$CA$3:$CA$400,COPIA!$CC$3:$CC$400,CF224),0))</f>
        <v>0</v>
      </c>
      <c r="CF224" s="48" t="s">
        <v>723</v>
      </c>
      <c r="CG224" s="242" t="s">
        <v>588</v>
      </c>
      <c r="CH224" s="48">
        <f t="shared" ref="CH224" ca="1" si="505">CE224</f>
        <v>0</v>
      </c>
      <c r="CM224" s="242" t="str">
        <f t="shared" ca="1" si="444"/>
        <v/>
      </c>
      <c r="CN224" s="243">
        <f t="shared" ca="1" si="445"/>
        <v>0</v>
      </c>
      <c r="CO224" s="48" t="str">
        <f t="shared" ca="1" si="446"/>
        <v/>
      </c>
      <c r="CU224" s="48">
        <f ca="1">IF(SUMIFS(AVERE,DEN_G,AC224,AVERE,"&gt;"&amp;0)+SUMIFS(DARE,DEN_G,AC224,DARE,"&gt;"&amp;0)&gt;0,MAX($CU$2:CU223)+1,0)</f>
        <v>0</v>
      </c>
      <c r="CV224" s="48" t="str">
        <f ca="1">IF(IFERROR(INDEX(PDC,MATCH(ROWS($CV$3:CV224),$CU$3:$CU$400,0),2),"")="CONTO DI RISULTATO ECONOMICO","",IFERROR(INDEX(PDC,MATCH(ROWS($CV$3:CV224),$CU$3:$CU$400,0),2),""))</f>
        <v/>
      </c>
      <c r="CW224" s="48">
        <f ca="1">IFERROR(IF(CV224&lt;&gt;"",MAX($CW$2:CW223)+1,0),0)</f>
        <v>0</v>
      </c>
      <c r="CX224" s="48">
        <f ca="1">$FF$20</f>
        <v>18</v>
      </c>
      <c r="CY224" s="48" t="str">
        <f t="shared" ref="CY224:CY235" ca="1" si="506">IF(ISERROR(INDEX($CV$3:$CX$1302,MATCH(CX224,$CW$3:$CW$1302,0),1)),"MASTRO",INDEX($CV$3:$CX$1302,MATCH(CX224,$CW$3:$CW$1302,0),1))</f>
        <v>MASTRO</v>
      </c>
      <c r="DA224" s="48" t="str">
        <f>IF(CY223="MASTRO","Conto n.","")</f>
        <v>Conto n.</v>
      </c>
      <c r="DB224" s="48" t="str">
        <f ca="1">IF(CY224=0,"",INDEX(PDC,MATCH(DC224,DEN_PDC,0),1))</f>
        <v/>
      </c>
      <c r="DC224" s="48" t="str">
        <f ca="1">IF(OR(CY224=0,CY224="mastro"),"",CY224)</f>
        <v/>
      </c>
      <c r="DD224" s="48" t="str">
        <f ca="1">IF(AND($DA$2=TRUE,OR(INDEX(PDC,MATCH($DC224,DEN_PDC,0),4)="A",INDEX(PDC,MATCH($DC224,DEN_PDC,0),4)="D/A"),SUMIFS(AVERE,DEN_G,"="&amp;$DC224,DATA,"&lt;="&amp;FINE_AC,DATA,"&gt;="&amp;INIZIO_AC)&gt;SUMIFS(DARE,DEN_G,"="&amp;$DC224,DATA,"&lt;="&amp;FINE_AC,DATA,"&gt;="&amp;INIZIO_AC)),CONCATENATE("s ",FIXED(ABS(SUMIFS(AVERE,DEN_G,"="&amp;$DC224,DATA,"&lt;="&amp;FINE_AC,DATA,"&gt;="&amp;INIZIO_AC)-SUMIFS(DARE,DEN_G,"="&amp;$DC224,DATA,"&lt;="&amp;FINE_AC,DATA,"&gt;="&amp;INIZIO_AC)),2)),"")</f>
        <v/>
      </c>
      <c r="DE224" s="48" t="str">
        <f ca="1">IF(AND($DA$2=TRUE,OR(INDEX(PDC,MATCH($DC224,DEN_PDC,0),4)="D",INDEX(PDC,MATCH($DC224,DEN_PDC,0),4)="D/A"),SUMIFS(DARE,DEN_G,"="&amp;$DC224,DATA,"&lt;="&amp;FINE_AC,DATA,"&gt;="&amp;INIZIO_AC)&gt;SUMIFS(AVERE,DEN_G,"="&amp;$DC224,DATA,"&lt;="&amp;FINE_AC,DATA,"&gt;="&amp;INIZIO_AC)),CONCATENATE("s ",FIXED(ABS(SUMIFS(DARE,DEN_G,"="&amp;$DC224,DATA,"&lt;="&amp;FINE_AC,DATA,"&gt;="&amp;INIZIO_AC)-SUMIFS(AVERE,DEN_G,"="&amp;$DC224,DATA,"&lt;="&amp;FINE_AC,DATA,"&gt;="&amp;INIZIO_AC)),2)),"")</f>
        <v/>
      </c>
      <c r="DF224" s="48">
        <f ca="1">IF(AND(CX224=$DF$1,CX224&lt;&gt;""),0,IF(AND(DB224&lt;&gt;"",OR(DB223&lt;&gt;"",DB225&lt;&gt;"")),MAX($DF$2:DF223)+1,0))</f>
        <v>0</v>
      </c>
      <c r="DH224" s="244" t="s">
        <v>879</v>
      </c>
      <c r="DI224" s="48" t="s">
        <v>156</v>
      </c>
      <c r="DJ224" s="48" t="s">
        <v>312</v>
      </c>
      <c r="DK224" s="48" t="s">
        <v>271</v>
      </c>
      <c r="DL224" s="48" t="s">
        <v>1025</v>
      </c>
      <c r="DM224" s="48" t="s">
        <v>302</v>
      </c>
      <c r="DN224" s="48">
        <f ca="1">IF(DI224&lt;&gt;"",MAX($DN$2:DN223)+1,0)</f>
        <v>172</v>
      </c>
      <c r="DO224" s="48" t="str">
        <f ca="1">IF(AND($BF$9=1,SUMIFS(DARE,DEN_G,"="&amp;DI224,DATA,"&gt;="&amp;INIZIO_A_PC,DATA,"&lt;="&amp;FINE_AC)&gt;SUMIFS(AVERE,DEN_G,"="&amp;DI224,DATA,"&gt;="&amp;INIZIO_AC,DATA,"&lt;="&amp;FINE_AC)),"pac25b",IF(AND($BF$9=1,SUMIFS(DARE,DEN_G,"="&amp;DI224,DATA,"&gt;="&amp;INIZIO_A_PC,DATA,"&lt;="&amp;FINE_AC)&lt;SUMIFS(AVERE,DEN_G,"="&amp;DI224,DATA,"&gt;="&amp;INIZIO_AC,DATA,"&lt;="&amp;FINE_AC)),"ppd12",IF(AND($BF$9=2,SUMIFS(DARE,DEN_G,"="&amp;DI224,DATA,"&gt;="&amp;INIZIO_A_PC,DATA,"&lt;="&amp;FINE_AC)&gt;SUMIFS(AVERE,DEN_G,"="&amp;DI224,DATA,"&gt;="&amp;INIZIO_AC,DATA,"&lt;="&amp;FINE_AC)),"pac2","ppd")))</f>
        <v>ppd</v>
      </c>
      <c r="DQ224" s="227" t="s">
        <v>170</v>
      </c>
      <c r="DR224" s="48" t="s">
        <v>164</v>
      </c>
      <c r="DT224" s="48" t="s">
        <v>298</v>
      </c>
      <c r="DU224" s="48" t="s">
        <v>480</v>
      </c>
      <c r="DV224" s="48" t="s">
        <v>812</v>
      </c>
      <c r="DW224" s="48">
        <f ca="1">IF(DR224&lt;&gt;"",MAX($DW$2:DW223)+1,0)</f>
        <v>135</v>
      </c>
      <c r="DY224" s="48" t="str">
        <f t="shared" ca="1" si="430"/>
        <v/>
      </c>
      <c r="EL224" s="48">
        <f t="shared" ca="1" si="431"/>
        <v>0</v>
      </c>
      <c r="EM224" s="48">
        <f ca="1">IF(EL224&gt;=0,0,MAX($EM$2:EM223)+1)</f>
        <v>0</v>
      </c>
      <c r="EN224" s="48" t="str">
        <f t="shared" ca="1" si="459"/>
        <v/>
      </c>
      <c r="EO224" s="48" t="str">
        <f ca="1">IFERROR(INDEX($EM$3:$EN$400,MATCH(ROWS($EO$3:EO224),$EM$3:$EM$400,0),2),"")</f>
        <v/>
      </c>
      <c r="EP224" s="48">
        <f>ROW()</f>
        <v>224</v>
      </c>
      <c r="EQ224" s="48">
        <f t="shared" ca="1" si="432"/>
        <v>0</v>
      </c>
      <c r="ER224" s="48">
        <f ca="1">IF(ISNA(EQ224)=TRUE,MAX($ER$2:ER223)+1,0)</f>
        <v>0</v>
      </c>
      <c r="ES224" s="48" t="str">
        <f t="shared" ca="1" si="460"/>
        <v/>
      </c>
      <c r="ET224" s="48" t="str">
        <f ca="1">IFERROR(INDEX($ER$3:$ES$400,MATCH(ROWS($ET$3:ET224),$ER$3:$ER$400,0),2),"")</f>
        <v/>
      </c>
      <c r="EV224" s="48">
        <f ca="1">IFERROR(INDEX(LIBRO_GIORNALE!$O$11:$P$408,MATCH(ROWS($EV$2:EV223),LIBRO_GIORNALE!$P$11:$P$408,0),1),0)</f>
        <v>0</v>
      </c>
      <c r="EW224" s="48" t="str">
        <f t="shared" ca="1" si="461"/>
        <v>0</v>
      </c>
      <c r="EX224" s="48">
        <f t="shared" ca="1" si="462"/>
        <v>0</v>
      </c>
      <c r="EY224" s="48">
        <f ca="1">IF(EX224&gt;0,MAX($EY$2:EY223)+1,0)</f>
        <v>0</v>
      </c>
      <c r="EZ224" s="48">
        <f ca="1">IFERROR(INDEX($EX$3:$EX$400,MATCH(ROWS($EZ$3:EZ224),$EY$3:$EY$400,0),1),0)</f>
        <v>0</v>
      </c>
      <c r="FA224" s="48">
        <f ca="1">IF(EZ224&gt;0,0,MAX($FA$2:FA223)+1)</f>
        <v>222</v>
      </c>
      <c r="FB224" s="48">
        <f t="shared" ca="1" si="463"/>
        <v>0</v>
      </c>
      <c r="FC224" s="48">
        <f t="shared" ca="1" si="464"/>
        <v>222</v>
      </c>
      <c r="FD224" s="48">
        <f t="shared" ca="1" si="465"/>
        <v>222</v>
      </c>
      <c r="FE224" s="48">
        <f ca="1">IF(FD224=0,0,MAX($FE$2:FE223)+1)</f>
        <v>222</v>
      </c>
      <c r="FF224" s="48">
        <f ca="1">IFERROR(INDEX($FD$3:$FE$400,MATCH(ROWS($FF$3:FF224),$FE$3:$FE$400,0),1),"")</f>
        <v>222</v>
      </c>
      <c r="FG224" s="48">
        <f t="shared" ca="1" si="380"/>
        <v>0</v>
      </c>
      <c r="FH224" s="48">
        <f t="shared" ca="1" si="466"/>
        <v>0</v>
      </c>
      <c r="FI224" s="48">
        <f ca="1">IF(FH224&lt;&gt;0,MAX($FI$2:FI223)+1,0)</f>
        <v>0</v>
      </c>
      <c r="FJ224" s="48" t="str">
        <f ca="1">IFERROR(INDEX($FH$3:$FI$400,MATCH(ROWS($FJ$3:FJ224),$FI$3:$FI$400,0),1),"")</f>
        <v/>
      </c>
      <c r="FK224" s="48">
        <f ca="1">IF(ABS(SUMIFS(DARE,DEN_G,"="&amp;FJ224,DATA,"&lt;="&amp;FINE_AC,DATA,"&gt;="&amp;INIZIO_A_PC)-SUMIFS(AVERE,DEN_G,"="&amp;FJ224,DATA,"&lt;="&amp;FINE_AC,DATA,"&gt;="&amp;INIZIO_A_PC))&gt;0,MAX($FK$2:FK223)+1,0)</f>
        <v>0</v>
      </c>
      <c r="FL224" s="48" t="str">
        <f ca="1">IF(AND(ROW()-2&lt;&gt;1,ROW()-2&lt;=$FK$1),CONCATENATE(" - ",IFERROR(INDEX($FJ$3:$FK$400,MATCH(ROWS($FL$3:FL224),$FK$3:$FK$400,0),1),"")),IFERROR(INDEX($FJ$3:$FK$400,MATCH(ROWS($FL$3:FL224),$FK$3:$FK$400,0),1),""))</f>
        <v/>
      </c>
      <c r="FM224" s="48">
        <f ca="1">IF(OR(B224="IVA ns/credito",B224="IVA NS/DEBITO",B224="IVA C/ACCONTO",B224="IMPOSTE C/ACCONTO",B224="CREDITI PER RITENUTE SUBITE",B224="CREDITI D'IMPOSTA"),MAX($FM$2:FM223)+1,0)</f>
        <v>0</v>
      </c>
      <c r="FN224" s="48" t="str">
        <f t="shared" ca="1" si="467"/>
        <v/>
      </c>
      <c r="FO224" s="48" t="str">
        <f ca="1">IFERROR(INDEX($FM$3:$FN$400,MATCH(ROWS($FO$3:FO224),$FM$3:$FM$400,0),2),"")</f>
        <v/>
      </c>
      <c r="FP224" s="48">
        <f ca="1">IF(ABS(SUMIFS(DARE,DEN_G,"="&amp;FO224,DATA,"&lt;="&amp;FINE_AC,DATA,"&gt;="&amp;INIZIO_A_PC)-SUMIFS(AVERE,DEN_G,"="&amp;FO224,DATA,"&lt;="&amp;FINE_AC,DATA,"&gt;="&amp;INIZIO_A_PC))&gt;0,MAX($FP$2:FP223)+1,0)</f>
        <v>0</v>
      </c>
      <c r="FQ224" s="48" t="str">
        <f ca="1">IF(AND(ROW()-2&lt;&gt;1,ROW()-2&lt;=$FP$1),CONCATENATE(" - ",IFERROR(INDEX($FO$3:$FP$400,MATCH(ROWS($FQ$3:FQ224),$FP$3:$FP$400,0),1),"")),IFERROR(INDEX($FO$3:$FP$400,MATCH(ROWS($FQ$3:FQ224),$FP$3:$FP$400,0),1),""))</f>
        <v/>
      </c>
    </row>
    <row r="225" spans="1:173" x14ac:dyDescent="0.3">
      <c r="A225" s="48" t="str">
        <f ca="1">IFERROR(IF($A$1=2,INDEX($DH$3:$DN$401,MATCH(ROWS(A$3:A225),$DN$3:$DN$401,0),COLUMN()),IF($A$1=1,INDEX($DQ$3:$DW$401,MATCH(ROWS(A$3:A225),$DW$3:$DW$401,0),COLUMN()),"")),"")</f>
        <v>31.02</v>
      </c>
      <c r="B225" s="48" t="str">
        <f ca="1">IFERROR(IF($A$1=2,INDEX($DH$3:$DN$401,MATCH(ROWS(B$3:B225),$DN$3:$DN$401,0),COLUMN()),IF($A$1=1,INDEX($DQ$3:$DW$400,MATCH(ROWS(B$3:B225),$DW$3:$DW$401,0),COLUMN()),"")),"")</f>
        <v>COSTI PER ENERGIA</v>
      </c>
      <c r="C225" s="48" t="str">
        <f ca="1">IFERROR(IF($A$1=2,INDEX($DH$3:$DN$401,MATCH(ROWS(C$3:C225),$DN$3:$DN$401,0),COLUMN()),IF($A$1=1,INDEX($DQ$3:$DW$401,MATCH(ROWS(C$3:C225),$DW$3:$DW$401,0),COLUMN()),"")),"")</f>
        <v>E</v>
      </c>
      <c r="D225" s="48" t="str">
        <f ca="1">IFERROR(IF($A$1=2,INDEX($DH$3:$DN$401,MATCH(ROWS(D$3:D225),$DN$3:$DN$401,0),COLUMN()),IF($A$1=1,INDEX($DQ$3:$DW$401,MATCH(ROWS(D$3:D225),$DW$3:$DW$401,0),COLUMN()),"")),"")</f>
        <v>D</v>
      </c>
      <c r="E225" s="48" t="str">
        <f ca="1">IFERROR(IF($A$1=2,INDEX($DH$3:$DN$401,MATCH(ROWS(E$3:E225),$DN$3:$DN$401,0),COLUMN()),IF($A$1=1,INDEX($DQ$3:$DW$401,MATCH(ROWS(E$3:E225),$DW$3:$DW$401,0),COLUMN()),"")),"")</f>
        <v>COSTI D'ESERCIZIO</v>
      </c>
      <c r="F225" s="48" t="str">
        <f ca="1">IFERROR(IF($A$1=2,INDEX($DH$3:$DN$401,MATCH(ROWS(F$3:F225),$DN$3:$DN$401,0),COLUMN()),IF($A$1=1,INDEX($DQ$3:$DX$401,MATCH(ROWS(F$3:F225),$DW$3:$DW$401,0),COLUMN()),"")),"")</f>
        <v>SE DARE</v>
      </c>
      <c r="G225" s="48" t="str">
        <f t="shared" ca="1" si="433"/>
        <v>SE</v>
      </c>
      <c r="H225" s="48" t="str">
        <f ca="1">IFERROR(IF($A$1=2,INDEX($DH$3:$DO$400,MATCH(ROWS(H$3:H225),$DN$3:$DN$400,0),COLUMN()),IF($A$1=1,INDEX($DQ$3:$DX$400,MATCH(ROWS(H$3:H225),$DW$3:$DW$400,0),COLUMN()),"")),"")</f>
        <v>eb7</v>
      </c>
      <c r="M225" s="48">
        <f ca="1">IFERROR(IF(IF(MID($A225,3,3)=".00",MID(A225,1,2),"")&lt;&gt;"",MAX($M$2:M224)+1,0),"")</f>
        <v>0</v>
      </c>
      <c r="N225" s="48" t="str">
        <f t="shared" ca="1" si="438"/>
        <v/>
      </c>
      <c r="O225" s="48" t="str">
        <f ca="1">IF(IFERROR(INDEX($N$3:$O$300,MATCH(ROWS($O$3:O225),$M$3:$M$300,0),1),"")&lt;&gt;"",CONCATENATE(INDEX($N$3:$O$300,MATCH(ROWS($O$3:O225),$M$3:$M$300,0),1),".00"),"")</f>
        <v/>
      </c>
      <c r="P225" s="48" t="str">
        <f t="shared" ca="1" si="439"/>
        <v/>
      </c>
      <c r="Q225" s="48">
        <f ca="1">IF(M225&gt;=1,0,MAX($Q$2:Q224)+1)</f>
        <v>200</v>
      </c>
      <c r="U225" s="48" t="str">
        <f ca="1">IFERROR(INDEX(PDC,MATCH(ROWS(U$3:U225),$V$3:$V$400,0),2),"")</f>
        <v>TFR</v>
      </c>
      <c r="V225" s="48">
        <f ca="1">IF(AND($T$1="VISUALIZZA TUTTI I CONTI",AA225&lt;&gt;""),MAX($V$2:V224)+1,IF(AND($U$2=2,AI225=$T$1),MAX($V$2:V224)+1,IF(AND($U$2=1,$T$1=AF225),MAX($V$2:V224)+1,0)))</f>
        <v>223</v>
      </c>
      <c r="AA225" s="48" t="str">
        <f t="shared" ca="1" si="440"/>
        <v>33.00</v>
      </c>
      <c r="AB225" s="48" t="str">
        <f ca="1">IFERROR(INDEX($A$3:$G$400,MATCH(ROWS(AB$3:AB225),$Q$3:$Q$400,0),1),"")</f>
        <v>33.03</v>
      </c>
      <c r="AC225" s="48" t="str">
        <f ca="1">IFERROR(INDEX($A$3:$G$400,MATCH(ROWS($AC$3:AC225),$Q$3:$Q$400,0),2),"")</f>
        <v>TFR</v>
      </c>
      <c r="AD225" s="48" t="str">
        <f ca="1">IFERROR(INDEX($A$3:$G$400,MATCH(ROWS(AD$3:AD225),$Q$3:$Q$400,0),3),"")</f>
        <v>E</v>
      </c>
      <c r="AE225" s="48" t="str">
        <f ca="1">IFERROR(INDEX($A$3:$G$400,MATCH(ROWS(AE$3:AE225),$Q$3:$Q$400,0),4),"")</f>
        <v>D</v>
      </c>
      <c r="AF225" s="48" t="str">
        <f ca="1">IFERROR(INDEX($A$3:$G$400,MATCH(ROWS(AF$3:AF225),$Q$3:$Q$400,0),5),"")</f>
        <v>COSTI D'ESERCIZIO</v>
      </c>
      <c r="AG225" s="48" t="str">
        <f ca="1">IFERROR(INDEX($A$3:$G$400,MATCH(ROWS(AG$3:AG225),$Q$3:$Q$400,0),6),"")</f>
        <v>SE DARE</v>
      </c>
      <c r="AH225" s="48" t="str">
        <f ca="1">IFERROR(INDEX($A$3:$G$400,MATCH(ROWS(AH$3:AH225),$Q$3:$Q$400,0),7),"")</f>
        <v>SE</v>
      </c>
      <c r="AI225" s="48" t="str">
        <f t="shared" ca="1" si="441"/>
        <v>COSTI PER IL PERSONALE</v>
      </c>
      <c r="AJ225" s="48" t="str">
        <f ca="1">IFERROR(INDEX($A$3:$H$400,MATCH(ROWS(AJ$3:AJ225),$Q$3:$Q$400,0),8),"")</f>
        <v>eb9c</v>
      </c>
      <c r="AK225" s="48">
        <f t="shared" ca="1" si="417"/>
        <v>0</v>
      </c>
      <c r="AL225" s="48">
        <f t="shared" ca="1" si="473"/>
        <v>0</v>
      </c>
      <c r="AM225" s="48">
        <f t="shared" ca="1" si="377"/>
        <v>0</v>
      </c>
      <c r="AN225" s="48">
        <f t="shared" ca="1" si="378"/>
        <v>0</v>
      </c>
      <c r="AO225" s="48">
        <f t="shared" ca="1" si="379"/>
        <v>0</v>
      </c>
      <c r="AP225" s="48">
        <f t="shared" ca="1" si="379"/>
        <v>0</v>
      </c>
      <c r="AQ225" s="48" t="str">
        <f t="shared" ca="1" si="418"/>
        <v/>
      </c>
      <c r="AR225" s="48">
        <f t="shared" ca="1" si="419"/>
        <v>0</v>
      </c>
      <c r="AS225" s="48">
        <f t="shared" ca="1" si="420"/>
        <v>0</v>
      </c>
      <c r="AT225" s="48">
        <f t="shared" ca="1" si="442"/>
        <v>0</v>
      </c>
      <c r="AU225" s="48">
        <f t="shared" ca="1" si="443"/>
        <v>0</v>
      </c>
      <c r="AV225" s="48">
        <f ca="1">IF(OR(AT225&gt;0,AU225&gt;0),MAX($AV$2:AV224)+1,0)</f>
        <v>0</v>
      </c>
      <c r="AZ225" s="48" t="str">
        <f t="shared" ca="1" si="484"/>
        <v/>
      </c>
      <c r="BA225" s="48">
        <f t="shared" ca="1" si="480"/>
        <v>0</v>
      </c>
      <c r="BB225" s="48">
        <f t="shared" ca="1" si="481"/>
        <v>0</v>
      </c>
      <c r="BC225" s="48">
        <f t="shared" ca="1" si="482"/>
        <v>0</v>
      </c>
      <c r="BD225" s="48">
        <f t="shared" ca="1" si="383"/>
        <v>0</v>
      </c>
      <c r="BE225" s="48">
        <f t="shared" ca="1" si="384"/>
        <v>0</v>
      </c>
      <c r="BF225" s="48">
        <f t="shared" si="485"/>
        <v>25</v>
      </c>
      <c r="BG225" s="48">
        <f ca="1">IF(IF(AND(OR(INDEX(PDC,MATCH($AC225,DEN_PDC,0),6)="SP DARE",INDEX(PDC,MATCH($AC225,DEN_PDC,0),6)="SP DARE/AVERE"),SUMIFS(DARE,DEN_G,$AC225)&gt;=SUMIFS(AVERE,DEN_G,$AC225)),SUMIFS(DARE,DEN_G,$AC225)-SUMIFS(AVERE,DEN_G,$AC225),0)&gt;0,MAX($BG$2:BG224)+1,0)</f>
        <v>0</v>
      </c>
      <c r="BH225" s="48">
        <f ca="1">IF(IF(AND(OR(INDEX(PDC,MATCH($AC225,DEN_PDC,0),6)="SP AVERE",INDEX(PDC,MATCH($AC225,DEN_PDC,0),6)="SP DARE/AVERE"),SUMIFS(AVERE,DEN_G,$AC225)&gt;=SUMIFS(DARE,DEN_G,$AC225)),SUMIFS(AVERE,DEN_G,$AC225)-SUMIFS(DARE,DEN_G,$AC225),0)&gt;0,MAX(BH$2:BH224)+1,0)</f>
        <v>0</v>
      </c>
      <c r="BI225" s="48">
        <f ca="1">IF(IF(AND(OR(INDEX(PDC,MATCH($AC225,DEN_PDC,0),6)="SE DARE",INDEX(PDC,MATCH($AC225,DEN_PDC,0),6)="SE DARE/AVERE"),SUMIFS(DARE,DEN_G,$AC225)&gt;=SUMIFS(AVERE,DEN_G,$AC225)),SUMIFS(DARE,DEN_G,$AC225)-SUMIFS(AVERE,DEN_G,$AC225),0)&gt;0,MAX(BI$2:BI224)+1,0)</f>
        <v>0</v>
      </c>
      <c r="BJ225" s="48">
        <f ca="1">IF(IF(AND(OR(INDEX(PDC,MATCH($AC225,DEN_PDC,0),6)="SE AVERE",INDEX(PDC,MATCH($AC225,DEN_PDC,0),6)="SE DARE/AVERE"),SUMIFS(AVERE,DEN_G,$AC225)&gt;=SUMIFS(DARE,DEN_G,$AC225)),SUMIFS(AVERE,DEN_G,$AC225)-SUMIFS(DARE,DEN_G,$AC225),0)&gt;0,MAX(BJ$2:BJ224)+1,0)</f>
        <v>0</v>
      </c>
      <c r="BK225" s="48" t="str">
        <f ca="1">IF(AND(AND($DY$2=0,$DY$1=0),$I$1=2,ROW()&gt;$BG$1+2,ROW()&lt;=$BG$1+4),"………………..",IF(AND(OR($DY$2&gt;0,$DY$1&gt;0),$I$1=2,ROW()&gt;$BG$1+2,ROW()&lt;=$BG$1+4),"………………..",IFERROR(INDEX($AC$3:$AC$398,MATCH(ROWS(BK$3:BK225),BG$3:BG$398,0),1),"")))</f>
        <v/>
      </c>
      <c r="BL225" s="48">
        <f t="shared" ca="1" si="421"/>
        <v>0</v>
      </c>
      <c r="BM225" s="48" t="str">
        <f ca="1">IF(AND(OR($DY$2=0,$DY$1=0),$I$1=2,ROW()&gt;$BH$1+2,ROW()&lt;=$BH$1+4),"………………..",IF(AND(OR($DY$2&gt;0,$DY$1&gt;0),$I$1=2,ROW()&gt;$BH$1+2,ROW()&lt;=$BH$1+4),"………………..",IFERROR(INDEX($AC$3:$AC$400,MATCH(ROWS(BM$3:BM225),BH$3:BH$400,0),1),"")))</f>
        <v/>
      </c>
      <c r="BN225" s="48">
        <f t="shared" ca="1" si="422"/>
        <v>0</v>
      </c>
      <c r="BO225" s="48" t="str">
        <f ca="1">IF(AND(OR($DY$2=0,$DY$1=0),$I$1=2,ROW()&gt;$BI$1+2,ROW()&lt;=$BI$1+4),"………………..",IF(AND(OR($DY$2&gt;0,$DY$1&gt;0),$I$1=2,ROW()&gt;$BI$1+2,ROW()&lt;=$BI$1+4),"………………..",IFERROR(INDEX($AC$3:$AC$400,MATCH(ROWS(BO$3:BO225),BI$3:BI$400,0),1),"")))</f>
        <v/>
      </c>
      <c r="BP225" s="48">
        <f t="shared" ca="1" si="423"/>
        <v>0</v>
      </c>
      <c r="BQ225" s="48" t="str">
        <f ca="1">IF(AND(OR($DY$2=0,$DY$1=0),$I$1=2,ROW()&gt;$BJ$1+2,ROW()&lt;=$BJ$1+4),"………………..",IF(AND(OR($DY$2&gt;0,$DY$1&gt;0),$I$1=2,ROW()&gt;$BJ$1+2,ROW()&lt;=$BJ$1+4),"………………..",IFERROR(INDEX($AC$3:$AC$400,MATCH(ROWS(BQ$3:BQ225),BJ$3:BJ$400,0),1),"")))</f>
        <v/>
      </c>
      <c r="BR225" s="48">
        <f t="shared" ca="1" si="424"/>
        <v>0</v>
      </c>
      <c r="BS225" s="48">
        <f ca="1">IF(IF(AND(OR(INDEX(PDC,MATCH($AC225,DEN_PDC,0),4)="D",INDEX(PDC,MATCH($AC225,DEN_PDC,0),4)="D/A"),SUMIFS(DARE,DEN_G,$AC225)&gt;=SUMIFS(AVERE,DEN_G,$AC225)),SUMIFS(DARE,DEN_G,$AC225),IF(AND(OR(INDEX(PDC,MATCH($AC225,DEN_PDC,0),4)="A",INDEX(PDC,MATCH($AC225,DEN_PDC,0),4)="D/A"),SUMIFS(AVERE,DEN_G,$AC225)&gt;=SUMIFS(DARE,DEN_G,$AC225)),SUMIFS(AVERE,DEN_G,$AC225),))&gt;0,MAX($BS$2:BS224)+1,0)</f>
        <v>0</v>
      </c>
      <c r="BT225" s="48" t="str">
        <f ca="1">IF($CO$1=0,"",IF(AND($I$1=2,ROW()&gt;$BR$1,ROW()&lt;=$BS$1)," …………….",IF(AND($E$1=1,$BX$1=1,$I$1=2,ROW()=$BQ$1),"TOTALI",IFERROR(INDEX(PDC,MATCH(ROWS(BT$3:BT225),BS$3:BS622,0),2),""))))</f>
        <v/>
      </c>
      <c r="BU225" s="48">
        <f t="shared" ca="1" si="425"/>
        <v>0</v>
      </c>
      <c r="BV225" s="48">
        <f t="shared" ca="1" si="426"/>
        <v>0</v>
      </c>
      <c r="BW225" s="48">
        <f t="shared" ca="1" si="427"/>
        <v>0</v>
      </c>
      <c r="BX225" s="48">
        <f t="shared" ca="1" si="428"/>
        <v>0</v>
      </c>
      <c r="BY225" s="48">
        <f ca="1">IF(OR(BW225&gt;0,BX225&gt;0),MAX($BY$2:BY224)+1,0)</f>
        <v>0</v>
      </c>
      <c r="BZ225" s="48" t="str">
        <f ca="1">IFERROR(INDEX($BT$3:$BY$400,MATCH(ROWS(BZ$3:BZ225),$BY$3:$BY$400,0),1),"")</f>
        <v/>
      </c>
      <c r="CA225" s="48" t="str">
        <f ca="1">IFERROR(INDEX($BT$3:$BY$400,MATCH(ROWS(CA$3:CA225),$BY$3:$BY$400,0),4),"")</f>
        <v/>
      </c>
      <c r="CB225" s="48" t="str">
        <f ca="1">IFERROR(INDEX($BT$3:$BY$400,MATCH(ROWS(CB$3:CB225),$BY$3:$BY$400,0),5),"")</f>
        <v/>
      </c>
      <c r="CC225" s="48" t="str">
        <f t="shared" ca="1" si="429"/>
        <v/>
      </c>
      <c r="CD225" s="48">
        <f ca="1">IF(CE225&lt;&gt;0,MAX($CD$190:CD224)+1,0)</f>
        <v>0</v>
      </c>
      <c r="CE225" s="48">
        <f ca="1">IF(SUM(CE226:CE229)&gt;0,"A",0)</f>
        <v>0</v>
      </c>
      <c r="CG225" s="242" t="s">
        <v>589</v>
      </c>
      <c r="CM225" s="242" t="str">
        <f t="shared" ca="1" si="444"/>
        <v/>
      </c>
      <c r="CN225" s="243">
        <f t="shared" ca="1" si="445"/>
        <v>0</v>
      </c>
      <c r="CO225" s="48" t="str">
        <f t="shared" ca="1" si="446"/>
        <v/>
      </c>
      <c r="CU225" s="48">
        <f ca="1">IF(SUMIFS(AVERE,DEN_G,AC225,AVERE,"&gt;"&amp;0)+SUMIFS(DARE,DEN_G,AC225,DARE,"&gt;"&amp;0)&gt;0,MAX($CU$2:CU224)+1,0)</f>
        <v>0</v>
      </c>
      <c r="CV225" s="48" t="str">
        <f ca="1">IF(IFERROR(INDEX(PDC,MATCH(ROWS($CV$3:CV225),$CU$3:$CU$400,0),2),"")="CONTO DI RISULTATO ECONOMICO","",IFERROR(INDEX(PDC,MATCH(ROWS($CV$3:CV225),$CU$3:$CU$400,0),2),""))</f>
        <v/>
      </c>
      <c r="CW225" s="48">
        <f ca="1">IFERROR(IF(CV225&lt;&gt;"",MAX($CW$2:CW224)+1,0),0)</f>
        <v>0</v>
      </c>
      <c r="CX225" s="48">
        <f t="shared" ref="CX225:CX235" ca="1" si="507">$FF$20</f>
        <v>18</v>
      </c>
      <c r="CY225" s="48" t="str">
        <f t="shared" ca="1" si="506"/>
        <v>MASTRO</v>
      </c>
      <c r="DA225" s="48" t="str">
        <f ca="1">IF(DB224="","","Num. riga")</f>
        <v/>
      </c>
      <c r="DB225" s="48" t="str">
        <f t="shared" ref="DB225" ca="1" si="508">IF(DB224="","","Data")</f>
        <v/>
      </c>
      <c r="DC225" s="48" t="str">
        <f ca="1">IF(DB224="","","Operazioni")</f>
        <v/>
      </c>
      <c r="DD225" s="48" t="str">
        <f ca="1">IF(DB224="","","Dare        ")</f>
        <v/>
      </c>
      <c r="DE225" s="48" t="str">
        <f ca="1">IF(DB224="","","Avere        ")</f>
        <v/>
      </c>
      <c r="DF225" s="48">
        <f ca="1">IF(AND(CX225=$DF$1,CX225&lt;&gt;""),0,IF(AND(DB225&lt;&gt;"",OR(DB224&lt;&gt;"",DB226&lt;&gt;"")),MAX($DF$2:DF224)+1,0))</f>
        <v>0</v>
      </c>
      <c r="DH225" s="244" t="s">
        <v>880</v>
      </c>
      <c r="DI225" s="48" t="s">
        <v>157</v>
      </c>
      <c r="DJ225" s="48" t="s">
        <v>312</v>
      </c>
      <c r="DK225" s="48" t="s">
        <v>271</v>
      </c>
      <c r="DL225" s="48" t="s">
        <v>1025</v>
      </c>
      <c r="DM225" s="48" t="s">
        <v>302</v>
      </c>
      <c r="DN225" s="48">
        <f ca="1">IF(DI225&lt;&gt;"",MAX($DN$2:DN224)+1,0)</f>
        <v>173</v>
      </c>
      <c r="DO225" s="48" t="str">
        <f ca="1">IF(AND($BF$9=1,SUMIFS(DARE,DEN_G,"="&amp;DI225,DATA,"&gt;="&amp;INIZIO_A_PC,DATA,"&lt;="&amp;FINE_AC)&gt;SUMIFS(AVERE,DEN_G,"="&amp;DI225,DATA,"&gt;="&amp;INIZIO_AC,DATA,"&lt;="&amp;FINE_AC)),"pac25q",IF(AND($BF$9=1,SUMIFS(DARE,DEN_G,"="&amp;DI225,DATA,"&gt;="&amp;INIZIO_A_PC,DATA,"&lt;="&amp;FINE_AC)&lt;SUMIFS(AVERE,DEN_G,"="&amp;DI225,DATA,"&gt;="&amp;INIZIO_AC,DATA,"&lt;="&amp;FINE_AC)),"ppd13",IF(AND($BF$9=2,SUMIFS(DARE,DEN_G,"="&amp;DI225,DATA,"&gt;="&amp;INIZIO_A_PC,DATA,"&lt;="&amp;FINE_AC)&gt;SUMIFS(AVERE,DEN_G,"="&amp;DI225,DATA,"&gt;="&amp;INIZIO_AC,DATA,"&lt;="&amp;FINE_AC)),"pac2","ppd")))</f>
        <v>ppd</v>
      </c>
      <c r="DQ225" s="227" t="s">
        <v>171</v>
      </c>
      <c r="DR225" s="48" t="s">
        <v>165</v>
      </c>
      <c r="DT225" s="48" t="s">
        <v>275</v>
      </c>
      <c r="DU225" s="48" t="s">
        <v>480</v>
      </c>
      <c r="DV225" s="48" t="s">
        <v>812</v>
      </c>
      <c r="DW225" s="48">
        <f ca="1">IF(DR225&lt;&gt;"",MAX($DW$2:DW224)+1,0)</f>
        <v>136</v>
      </c>
      <c r="DY225" s="48" t="str">
        <f t="shared" ca="1" si="430"/>
        <v/>
      </c>
      <c r="EL225" s="48">
        <f t="shared" ca="1" si="431"/>
        <v>0</v>
      </c>
      <c r="EM225" s="48">
        <f ca="1">IF(EL225&gt;=0,0,MAX($EM$2:EM224)+1)</f>
        <v>0</v>
      </c>
      <c r="EN225" s="48" t="str">
        <f t="shared" ca="1" si="459"/>
        <v/>
      </c>
      <c r="EO225" s="48" t="str">
        <f ca="1">IFERROR(INDEX($EM$3:$EN$400,MATCH(ROWS($EO$3:EO225),$EM$3:$EM$400,0),2),"")</f>
        <v/>
      </c>
      <c r="EP225" s="48">
        <f>ROW()</f>
        <v>225</v>
      </c>
      <c r="EQ225" s="48">
        <f t="shared" ca="1" si="432"/>
        <v>0</v>
      </c>
      <c r="ER225" s="48">
        <f ca="1">IF(ISNA(EQ225)=TRUE,MAX($ER$2:ER224)+1,0)</f>
        <v>0</v>
      </c>
      <c r="ES225" s="48" t="str">
        <f t="shared" ca="1" si="460"/>
        <v/>
      </c>
      <c r="ET225" s="48" t="str">
        <f ca="1">IFERROR(INDEX($ER$3:$ES$400,MATCH(ROWS($ET$3:ET225),$ER$3:$ER$400,0),2),"")</f>
        <v/>
      </c>
      <c r="EV225" s="48">
        <f ca="1">IFERROR(INDEX(LIBRO_GIORNALE!$O$11:$P$408,MATCH(ROWS($EV$2:EV224),LIBRO_GIORNALE!$P$11:$P$408,0),1),0)</f>
        <v>0</v>
      </c>
      <c r="EW225" s="48" t="str">
        <f t="shared" ca="1" si="461"/>
        <v>0</v>
      </c>
      <c r="EX225" s="48">
        <f t="shared" ca="1" si="462"/>
        <v>0</v>
      </c>
      <c r="EY225" s="48">
        <f ca="1">IF(EX225&gt;0,MAX($EY$2:EY224)+1,0)</f>
        <v>0</v>
      </c>
      <c r="EZ225" s="48">
        <f ca="1">IFERROR(INDEX($EX$3:$EX$400,MATCH(ROWS($EZ$3:EZ225),$EY$3:$EY$400,0),1),0)</f>
        <v>0</v>
      </c>
      <c r="FA225" s="48">
        <f ca="1">IF(EZ225&gt;0,0,MAX($FA$2:FA224)+1)</f>
        <v>223</v>
      </c>
      <c r="FB225" s="48">
        <f t="shared" ca="1" si="463"/>
        <v>0</v>
      </c>
      <c r="FC225" s="48">
        <f t="shared" ca="1" si="464"/>
        <v>223</v>
      </c>
      <c r="FD225" s="48">
        <f t="shared" ca="1" si="465"/>
        <v>223</v>
      </c>
      <c r="FE225" s="48">
        <f ca="1">IF(FD225=0,0,MAX($FE$2:FE224)+1)</f>
        <v>223</v>
      </c>
      <c r="FF225" s="48">
        <f ca="1">IFERROR(INDEX($FD$3:$FE$400,MATCH(ROWS($FF$3:FF225),$FE$3:$FE$400,0),1),"")</f>
        <v>223</v>
      </c>
      <c r="FG225" s="48">
        <f t="shared" ca="1" si="380"/>
        <v>0</v>
      </c>
      <c r="FH225" s="48">
        <f t="shared" ca="1" si="466"/>
        <v>0</v>
      </c>
      <c r="FI225" s="48">
        <f ca="1">IF(FH225&lt;&gt;0,MAX($FI$2:FI224)+1,0)</f>
        <v>0</v>
      </c>
      <c r="FJ225" s="48" t="str">
        <f ca="1">IFERROR(INDEX($FH$3:$FI$400,MATCH(ROWS($FJ$3:FJ225),$FI$3:$FI$400,0),1),"")</f>
        <v/>
      </c>
      <c r="FK225" s="48">
        <f ca="1">IF(ABS(SUMIFS(DARE,DEN_G,"="&amp;FJ225,DATA,"&lt;="&amp;FINE_AC,DATA,"&gt;="&amp;INIZIO_A_PC)-SUMIFS(AVERE,DEN_G,"="&amp;FJ225,DATA,"&lt;="&amp;FINE_AC,DATA,"&gt;="&amp;INIZIO_A_PC))&gt;0,MAX($FK$2:FK224)+1,0)</f>
        <v>0</v>
      </c>
      <c r="FL225" s="48" t="str">
        <f ca="1">IF(AND(ROW()-2&lt;&gt;1,ROW()-2&lt;=$FK$1),CONCATENATE(" - ",IFERROR(INDEX($FJ$3:$FK$400,MATCH(ROWS($FL$3:FL225),$FK$3:$FK$400,0),1),"")),IFERROR(INDEX($FJ$3:$FK$400,MATCH(ROWS($FL$3:FL225),$FK$3:$FK$400,0),1),""))</f>
        <v/>
      </c>
      <c r="FM225" s="48">
        <f ca="1">IF(OR(B225="IVA ns/credito",B225="IVA NS/DEBITO",B225="IVA C/ACCONTO",B225="IMPOSTE C/ACCONTO",B225="CREDITI PER RITENUTE SUBITE",B225="CREDITI D'IMPOSTA"),MAX($FM$2:FM224)+1,0)</f>
        <v>0</v>
      </c>
      <c r="FN225" s="48" t="str">
        <f t="shared" ca="1" si="467"/>
        <v/>
      </c>
      <c r="FO225" s="48" t="str">
        <f ca="1">IFERROR(INDEX($FM$3:$FN$400,MATCH(ROWS($FO$3:FO225),$FM$3:$FM$400,0),2),"")</f>
        <v/>
      </c>
      <c r="FP225" s="48">
        <f ca="1">IF(ABS(SUMIFS(DARE,DEN_G,"="&amp;FO225,DATA,"&lt;="&amp;FINE_AC,DATA,"&gt;="&amp;INIZIO_A_PC)-SUMIFS(AVERE,DEN_G,"="&amp;FO225,DATA,"&lt;="&amp;FINE_AC,DATA,"&gt;="&amp;INIZIO_A_PC))&gt;0,MAX($FP$2:FP224)+1,0)</f>
        <v>0</v>
      </c>
      <c r="FQ225" s="48" t="str">
        <f ca="1">IF(AND(ROW()-2&lt;&gt;1,ROW()-2&lt;=$FP$1),CONCATENATE(" - ",IFERROR(INDEX($FO$3:$FP$400,MATCH(ROWS($FQ$3:FQ225),$FP$3:$FP$400,0),1),"")),IFERROR(INDEX($FO$3:$FP$400,MATCH(ROWS($FQ$3:FQ225),$FP$3:$FP$400,0),1),""))</f>
        <v/>
      </c>
    </row>
    <row r="226" spans="1:173" x14ac:dyDescent="0.3">
      <c r="A226" s="48" t="str">
        <f ca="1">IFERROR(IF($A$1=2,INDEX($DH$3:$DN$401,MATCH(ROWS(A$3:A226),$DN$3:$DN$401,0),COLUMN()),IF($A$1=1,INDEX($DQ$3:$DW$401,MATCH(ROWS(A$3:A226),$DW$3:$DW$401,0),COLUMN()),"")),"")</f>
        <v>31.03</v>
      </c>
      <c r="B226" s="48" t="str">
        <f ca="1">IFERROR(IF($A$1=2,INDEX($DH$3:$DN$401,MATCH(ROWS(B$3:B226),$DN$3:$DN$401,0),COLUMN()),IF($A$1=1,INDEX($DQ$3:$DW$400,MATCH(ROWS(B$3:B226),$DW$3:$DW$401,0),COLUMN()),"")),"")</f>
        <v>PUBBLICITÀ</v>
      </c>
      <c r="C226" s="48" t="str">
        <f ca="1">IFERROR(IF($A$1=2,INDEX($DH$3:$DN$401,MATCH(ROWS(C$3:C226),$DN$3:$DN$401,0),COLUMN()),IF($A$1=1,INDEX($DQ$3:$DW$401,MATCH(ROWS(C$3:C226),$DW$3:$DW$401,0),COLUMN()),"")),"")</f>
        <v>E</v>
      </c>
      <c r="D226" s="48" t="str">
        <f ca="1">IFERROR(IF($A$1=2,INDEX($DH$3:$DN$401,MATCH(ROWS(D$3:D226),$DN$3:$DN$401,0),COLUMN()),IF($A$1=1,INDEX($DQ$3:$DW$401,MATCH(ROWS(D$3:D226),$DW$3:$DW$401,0),COLUMN()),"")),"")</f>
        <v>D</v>
      </c>
      <c r="E226" s="48" t="str">
        <f ca="1">IFERROR(IF($A$1=2,INDEX($DH$3:$DN$401,MATCH(ROWS(E$3:E226),$DN$3:$DN$401,0),COLUMN()),IF($A$1=1,INDEX($DQ$3:$DW$401,MATCH(ROWS(E$3:E226),$DW$3:$DW$401,0),COLUMN()),"")),"")</f>
        <v>COSTI D'ESERCIZIO</v>
      </c>
      <c r="F226" s="48" t="str">
        <f ca="1">IFERROR(IF($A$1=2,INDEX($DH$3:$DN$401,MATCH(ROWS(F$3:F226),$DN$3:$DN$401,0),COLUMN()),IF($A$1=1,INDEX($DQ$3:$DX$401,MATCH(ROWS(F$3:F226),$DW$3:$DW$401,0),COLUMN()),"")),"")</f>
        <v>SE DARE</v>
      </c>
      <c r="G226" s="48" t="str">
        <f t="shared" ca="1" si="433"/>
        <v>SE</v>
      </c>
      <c r="H226" s="48" t="str">
        <f ca="1">IFERROR(IF($A$1=2,INDEX($DH$3:$DO$400,MATCH(ROWS(H$3:H226),$DN$3:$DN$400,0),COLUMN()),IF($A$1=1,INDEX($DQ$3:$DX$400,MATCH(ROWS(H$3:H226),$DW$3:$DW$400,0),COLUMN()),"")),"")</f>
        <v>eb7</v>
      </c>
      <c r="M226" s="48">
        <f ca="1">IFERROR(IF(IF(MID($A226,3,3)=".00",MID(A226,1,2),"")&lt;&gt;"",MAX($M$2:M225)+1,0),"")</f>
        <v>0</v>
      </c>
      <c r="N226" s="48" t="str">
        <f t="shared" ca="1" si="438"/>
        <v/>
      </c>
      <c r="O226" s="48" t="str">
        <f ca="1">IF(IFERROR(INDEX($N$3:$O$300,MATCH(ROWS($O$3:O226),$M$3:$M$300,0),1),"")&lt;&gt;"",CONCATENATE(INDEX($N$3:$O$300,MATCH(ROWS($O$3:O226),$M$3:$M$300,0),1),".00"),"")</f>
        <v/>
      </c>
      <c r="P226" s="48" t="str">
        <f t="shared" ca="1" si="439"/>
        <v/>
      </c>
      <c r="Q226" s="48">
        <f ca="1">IF(M226&gt;=1,0,MAX($Q$2:Q225)+1)</f>
        <v>201</v>
      </c>
      <c r="U226" s="48" t="str">
        <f ca="1">IFERROR(INDEX(PDC,MATCH(ROWS(U$3:U226),$V$3:$V$400,0),2),"")</f>
        <v>ALTRI COSTI PER IL PERSONALE</v>
      </c>
      <c r="V226" s="48">
        <f ca="1">IF(AND($T$1="VISUALIZZA TUTTI I CONTI",AA226&lt;&gt;""),MAX($V$2:V225)+1,IF(AND($U$2=2,AI226=$T$1),MAX($V$2:V225)+1,IF(AND($U$2=1,$T$1=AF226),MAX($V$2:V225)+1,0)))</f>
        <v>224</v>
      </c>
      <c r="AA226" s="48" t="str">
        <f t="shared" ca="1" si="440"/>
        <v>33.00</v>
      </c>
      <c r="AB226" s="48" t="str">
        <f ca="1">IFERROR(INDEX($A$3:$G$400,MATCH(ROWS(AB$3:AB226),$Q$3:$Q$400,0),1),"")</f>
        <v>33.04</v>
      </c>
      <c r="AC226" s="48" t="str">
        <f ca="1">IFERROR(INDEX($A$3:$G$400,MATCH(ROWS($AC$3:AC226),$Q$3:$Q$400,0),2),"")</f>
        <v>ALTRI COSTI PER IL PERSONALE</v>
      </c>
      <c r="AD226" s="48" t="str">
        <f ca="1">IFERROR(INDEX($A$3:$G$400,MATCH(ROWS(AD$3:AD226),$Q$3:$Q$400,0),3),"")</f>
        <v>E</v>
      </c>
      <c r="AE226" s="48" t="str">
        <f ca="1">IFERROR(INDEX($A$3:$G$400,MATCH(ROWS(AE$3:AE226),$Q$3:$Q$400,0),4),"")</f>
        <v>D</v>
      </c>
      <c r="AF226" s="48" t="str">
        <f ca="1">IFERROR(INDEX($A$3:$G$400,MATCH(ROWS(AF$3:AF226),$Q$3:$Q$400,0),5),"")</f>
        <v>COSTI D'ESERCIZIO</v>
      </c>
      <c r="AG226" s="48" t="str">
        <f ca="1">IFERROR(INDEX($A$3:$G$400,MATCH(ROWS(AG$3:AG226),$Q$3:$Q$400,0),6),"")</f>
        <v>SE DARE</v>
      </c>
      <c r="AH226" s="48" t="str">
        <f ca="1">IFERROR(INDEX($A$3:$G$400,MATCH(ROWS(AH$3:AH226),$Q$3:$Q$400,0),7),"")</f>
        <v>SE</v>
      </c>
      <c r="AI226" s="48" t="str">
        <f t="shared" ca="1" si="441"/>
        <v>COSTI PER IL PERSONALE</v>
      </c>
      <c r="AJ226" s="48" t="str">
        <f ca="1">IFERROR(INDEX($A$3:$H$400,MATCH(ROWS(AJ$3:AJ226),$Q$3:$Q$400,0),8),"")</f>
        <v>eb9e</v>
      </c>
      <c r="AK226" s="48">
        <f t="shared" ca="1" si="417"/>
        <v>0</v>
      </c>
      <c r="AL226" s="48">
        <f t="shared" ca="1" si="473"/>
        <v>0</v>
      </c>
      <c r="AM226" s="48">
        <f t="shared" ca="1" si="377"/>
        <v>0</v>
      </c>
      <c r="AN226" s="48">
        <f t="shared" ca="1" si="378"/>
        <v>0</v>
      </c>
      <c r="AO226" s="48">
        <f t="shared" ca="1" si="379"/>
        <v>0</v>
      </c>
      <c r="AP226" s="48">
        <f t="shared" ca="1" si="379"/>
        <v>0</v>
      </c>
      <c r="AQ226" s="48" t="str">
        <f t="shared" ca="1" si="418"/>
        <v/>
      </c>
      <c r="AR226" s="48">
        <f t="shared" ca="1" si="419"/>
        <v>0</v>
      </c>
      <c r="AS226" s="48">
        <f t="shared" ca="1" si="420"/>
        <v>0</v>
      </c>
      <c r="AT226" s="48">
        <f t="shared" ca="1" si="442"/>
        <v>0</v>
      </c>
      <c r="AU226" s="48">
        <f t="shared" ca="1" si="443"/>
        <v>0</v>
      </c>
      <c r="AV226" s="48">
        <f ca="1">IF(OR(AT226&gt;0,AU226&gt;0),MAX($AV$2:AV225)+1,0)</f>
        <v>0</v>
      </c>
      <c r="AZ226" s="48" t="str">
        <f t="shared" ca="1" si="484"/>
        <v/>
      </c>
      <c r="BA226" s="48">
        <f t="shared" ca="1" si="480"/>
        <v>0</v>
      </c>
      <c r="BB226" s="48">
        <f t="shared" ca="1" si="481"/>
        <v>0</v>
      </c>
      <c r="BC226" s="48">
        <f t="shared" ca="1" si="482"/>
        <v>0</v>
      </c>
      <c r="BD226" s="48">
        <f t="shared" ca="1" si="383"/>
        <v>0</v>
      </c>
      <c r="BE226" s="48">
        <f t="shared" ca="1" si="384"/>
        <v>0</v>
      </c>
      <c r="BF226" s="48">
        <f t="shared" si="485"/>
        <v>26</v>
      </c>
      <c r="BG226" s="48">
        <f ca="1">IF(IF(AND(OR(INDEX(PDC,MATCH($AC226,DEN_PDC,0),6)="SP DARE",INDEX(PDC,MATCH($AC226,DEN_PDC,0),6)="SP DARE/AVERE"),SUMIFS(DARE,DEN_G,$AC226)&gt;=SUMIFS(AVERE,DEN_G,$AC226)),SUMIFS(DARE,DEN_G,$AC226)-SUMIFS(AVERE,DEN_G,$AC226),0)&gt;0,MAX($BG$2:BG225)+1,0)</f>
        <v>0</v>
      </c>
      <c r="BH226" s="48">
        <f ca="1">IF(IF(AND(OR(INDEX(PDC,MATCH($AC226,DEN_PDC,0),6)="SP AVERE",INDEX(PDC,MATCH($AC226,DEN_PDC,0),6)="SP DARE/AVERE"),SUMIFS(AVERE,DEN_G,$AC226)&gt;=SUMIFS(DARE,DEN_G,$AC226)),SUMIFS(AVERE,DEN_G,$AC226)-SUMIFS(DARE,DEN_G,$AC226),0)&gt;0,MAX(BH$2:BH225)+1,0)</f>
        <v>0</v>
      </c>
      <c r="BI226" s="48">
        <f ca="1">IF(IF(AND(OR(INDEX(PDC,MATCH($AC226,DEN_PDC,0),6)="SE DARE",INDEX(PDC,MATCH($AC226,DEN_PDC,0),6)="SE DARE/AVERE"),SUMIFS(DARE,DEN_G,$AC226)&gt;=SUMIFS(AVERE,DEN_G,$AC226)),SUMIFS(DARE,DEN_G,$AC226)-SUMIFS(AVERE,DEN_G,$AC226),0)&gt;0,MAX(BI$2:BI225)+1,0)</f>
        <v>0</v>
      </c>
      <c r="BJ226" s="48">
        <f ca="1">IF(IF(AND(OR(INDEX(PDC,MATCH($AC226,DEN_PDC,0),6)="SE AVERE",INDEX(PDC,MATCH($AC226,DEN_PDC,0),6)="SE DARE/AVERE"),SUMIFS(AVERE,DEN_G,$AC226)&gt;=SUMIFS(DARE,DEN_G,$AC226)),SUMIFS(AVERE,DEN_G,$AC226)-SUMIFS(DARE,DEN_G,$AC226),0)&gt;0,MAX(BJ$2:BJ225)+1,0)</f>
        <v>0</v>
      </c>
      <c r="BK226" s="48" t="str">
        <f ca="1">IF(AND(AND($DY$2=0,$DY$1=0),$I$1=2,ROW()&gt;$BG$1+2,ROW()&lt;=$BG$1+4),"………………..",IF(AND(OR($DY$2&gt;0,$DY$1&gt;0),$I$1=2,ROW()&gt;$BG$1+2,ROW()&lt;=$BG$1+4),"………………..",IFERROR(INDEX($AC$3:$AC$398,MATCH(ROWS(BK$3:BK226),BG$3:BG$398,0),1),"")))</f>
        <v/>
      </c>
      <c r="BL226" s="48">
        <f t="shared" ca="1" si="421"/>
        <v>0</v>
      </c>
      <c r="BM226" s="48" t="str">
        <f ca="1">IF(AND(OR($DY$2=0,$DY$1=0),$I$1=2,ROW()&gt;$BH$1+2,ROW()&lt;=$BH$1+4),"………………..",IF(AND(OR($DY$2&gt;0,$DY$1&gt;0),$I$1=2,ROW()&gt;$BH$1+2,ROW()&lt;=$BH$1+4),"………………..",IFERROR(INDEX($AC$3:$AC$400,MATCH(ROWS(BM$3:BM226),BH$3:BH$400,0),1),"")))</f>
        <v/>
      </c>
      <c r="BN226" s="48">
        <f t="shared" ca="1" si="422"/>
        <v>0</v>
      </c>
      <c r="BO226" s="48" t="str">
        <f ca="1">IF(AND(OR($DY$2=0,$DY$1=0),$I$1=2,ROW()&gt;$BI$1+2,ROW()&lt;=$BI$1+4),"………………..",IF(AND(OR($DY$2&gt;0,$DY$1&gt;0),$I$1=2,ROW()&gt;$BI$1+2,ROW()&lt;=$BI$1+4),"………………..",IFERROR(INDEX($AC$3:$AC$400,MATCH(ROWS(BO$3:BO226),BI$3:BI$400,0),1),"")))</f>
        <v/>
      </c>
      <c r="BP226" s="48">
        <f t="shared" ca="1" si="423"/>
        <v>0</v>
      </c>
      <c r="BQ226" s="48" t="str">
        <f ca="1">IF(AND(OR($DY$2=0,$DY$1=0),$I$1=2,ROW()&gt;$BJ$1+2,ROW()&lt;=$BJ$1+4),"………………..",IF(AND(OR($DY$2&gt;0,$DY$1&gt;0),$I$1=2,ROW()&gt;$BJ$1+2,ROW()&lt;=$BJ$1+4),"………………..",IFERROR(INDEX($AC$3:$AC$400,MATCH(ROWS(BQ$3:BQ226),BJ$3:BJ$400,0),1),"")))</f>
        <v/>
      </c>
      <c r="BR226" s="48">
        <f t="shared" ca="1" si="424"/>
        <v>0</v>
      </c>
      <c r="BS226" s="48">
        <f ca="1">IF(IF(AND(OR(INDEX(PDC,MATCH($AC226,DEN_PDC,0),4)="D",INDEX(PDC,MATCH($AC226,DEN_PDC,0),4)="D/A"),SUMIFS(DARE,DEN_G,$AC226)&gt;=SUMIFS(AVERE,DEN_G,$AC226)),SUMIFS(DARE,DEN_G,$AC226),IF(AND(OR(INDEX(PDC,MATCH($AC226,DEN_PDC,0),4)="A",INDEX(PDC,MATCH($AC226,DEN_PDC,0),4)="D/A"),SUMIFS(AVERE,DEN_G,$AC226)&gt;=SUMIFS(DARE,DEN_G,$AC226)),SUMIFS(AVERE,DEN_G,$AC226),))&gt;0,MAX($BS$2:BS225)+1,0)</f>
        <v>0</v>
      </c>
      <c r="BT226" s="48" t="str">
        <f ca="1">IF($CO$1=0,"",IF(AND($I$1=2,ROW()&gt;$BR$1,ROW()&lt;=$BS$1)," …………….",IF(AND($E$1=1,$BX$1=1,$I$1=2,ROW()=$BQ$1),"TOTALI",IFERROR(INDEX(PDC,MATCH(ROWS(BT$3:BT226),BS$3:BS623,0),2),""))))</f>
        <v/>
      </c>
      <c r="BU226" s="48">
        <f t="shared" ca="1" si="425"/>
        <v>0</v>
      </c>
      <c r="BV226" s="48">
        <f t="shared" ca="1" si="426"/>
        <v>0</v>
      </c>
      <c r="BW226" s="48">
        <f t="shared" ca="1" si="427"/>
        <v>0</v>
      </c>
      <c r="BX226" s="48">
        <f t="shared" ca="1" si="428"/>
        <v>0</v>
      </c>
      <c r="BY226" s="48">
        <f ca="1">IF(OR(BW226&gt;0,BX226&gt;0),MAX($BY$2:BY225)+1,0)</f>
        <v>0</v>
      </c>
      <c r="BZ226" s="48" t="str">
        <f ca="1">IFERROR(INDEX($BT$3:$BY$400,MATCH(ROWS(BZ$3:BZ226),$BY$3:$BY$400,0),1),"")</f>
        <v/>
      </c>
      <c r="CA226" s="48" t="str">
        <f ca="1">IFERROR(INDEX($BT$3:$BY$400,MATCH(ROWS(CA$3:CA226),$BY$3:$BY$400,0),4),"")</f>
        <v/>
      </c>
      <c r="CB226" s="48" t="str">
        <f ca="1">IFERROR(INDEX($BT$3:$BY$400,MATCH(ROWS(CB$3:CB226),$BY$3:$BY$400,0),5),"")</f>
        <v/>
      </c>
      <c r="CC226" s="48" t="str">
        <f t="shared" ca="1" si="429"/>
        <v/>
      </c>
      <c r="CD226" s="48">
        <f ca="1">IF(CE226&lt;&gt;0,MAX($CD$190:CD225)+1,0)</f>
        <v>0</v>
      </c>
      <c r="CE226" s="48">
        <f ca="1">IF(ROUND(SUMIFS(COPIA!$CB$3:$CB$400,COPIA!$CC$3:$CC$400,CF226)-SUMIFS(COPIA!$CA$3:$CA$400,COPIA!$CC$3:$CC$400,CF226),0)&lt;0,0,ROUND(SUMIFS(COPIA!$CB$3:$CB$400,COPIA!$CC$3:$CC$400,CF226)-SUMIFS(COPIA!$CA$3:$CA$400,COPIA!$CC$3:$CC$400,CF226),0))</f>
        <v>0</v>
      </c>
      <c r="CF226" s="48" t="s">
        <v>724</v>
      </c>
      <c r="CG226" s="242" t="s">
        <v>590</v>
      </c>
      <c r="CH226" s="48">
        <f t="shared" ref="CH226:CH232" ca="1" si="509">CE226</f>
        <v>0</v>
      </c>
      <c r="CM226" s="242" t="str">
        <f t="shared" ca="1" si="444"/>
        <v/>
      </c>
      <c r="CN226" s="243">
        <f t="shared" ca="1" si="445"/>
        <v>0</v>
      </c>
      <c r="CO226" s="48" t="str">
        <f t="shared" ca="1" si="446"/>
        <v/>
      </c>
      <c r="CU226" s="48">
        <f ca="1">IF(SUMIFS(AVERE,DEN_G,AC226,AVERE,"&gt;"&amp;0)+SUMIFS(DARE,DEN_G,AC226,DARE,"&gt;"&amp;0)&gt;0,MAX($CU$2:CU225)+1,0)</f>
        <v>0</v>
      </c>
      <c r="CV226" s="48" t="str">
        <f ca="1">IF(IFERROR(INDEX(PDC,MATCH(ROWS($CV$3:CV226),$CU$3:$CU$400,0),2),"")="CONTO DI RISULTATO ECONOMICO","",IFERROR(INDEX(PDC,MATCH(ROWS($CV$3:CV226),$CU$3:$CU$400,0),2),""))</f>
        <v/>
      </c>
      <c r="CW226" s="48">
        <f ca="1">IFERROR(IF(CV226&lt;&gt;"",MAX($CW$2:CW225)+1,0),0)</f>
        <v>0</v>
      </c>
      <c r="CX226" s="48">
        <f t="shared" ca="1" si="507"/>
        <v>18</v>
      </c>
      <c r="CY226" s="48" t="str">
        <f t="shared" ca="1" si="506"/>
        <v>MASTRO</v>
      </c>
      <c r="CZ226" s="48" t="e">
        <f t="shared" ref="CZ226:CZ235" ca="1" si="510">SUM(MATCH($CY226,INDIRECT(ADDRESS(SUM(CZ225)+3,54)&amp;":"&amp;ADDRESS(400,54)),0),CZ225)</f>
        <v>#N/A</v>
      </c>
      <c r="DA226" s="48" t="str">
        <f ca="1">IFERROR(INDEX(LIBRO_GIORNALE,CZ226,1),"")</f>
        <v/>
      </c>
      <c r="DB226" s="48" t="str">
        <f t="shared" ca="1" si="499"/>
        <v/>
      </c>
      <c r="DC226" s="48" t="str">
        <f t="shared" ref="DC226:DC235" ca="1" si="511">IF(IFERROR(INDEX(LIBRO_GIORNALE,CZ226,4),"")=0,"manca la descrizione dell'operazione",IFERROR(INDEX(LIBRO_GIORNALE,CZ226,4),""))</f>
        <v/>
      </c>
      <c r="DD226" s="48" t="str">
        <f t="shared" ref="DD226:DD235" ca="1" si="512">IFERROR(IF(INDEX(LIBRO_GIORNALE,CZ226,5)&gt;0,INDEX(LIBRO_GIORNALE,CZ226,5),""),"")</f>
        <v/>
      </c>
      <c r="DE226" s="48" t="str">
        <f t="shared" ref="DE226:DE235" ca="1" si="513">IFERROR(IF(INDEX(LIBRO_GIORNALE,CZ226,6)&gt;0,INDEX(LIBRO_GIORNALE,CZ226,6),""),"")</f>
        <v/>
      </c>
      <c r="DF226" s="48">
        <f ca="1">IF(AND(CX226=$DF$1,CX226&lt;&gt;""),0,IF(AND(DB226&lt;&gt;"",OR(DB225&lt;&gt;"",DB227&lt;&gt;"")),MAX($DF$2:DF225)+1,0))</f>
        <v>0</v>
      </c>
      <c r="DH226" s="244" t="s">
        <v>881</v>
      </c>
      <c r="DI226" s="48" t="str">
        <f ca="1">IF(INDIRECT(ADDRESS(8,11,,,"PIANO_DEI_CONTI"))="","BANCA X C/C",UPPER(INDIRECT(ADDRESS(8,11,,,"PIANO_DEI_CONTI"))))</f>
        <v>BANCA X C/C</v>
      </c>
      <c r="DJ226" s="48" t="s">
        <v>312</v>
      </c>
      <c r="DK226" s="48" t="s">
        <v>271</v>
      </c>
      <c r="DL226" s="48" t="s">
        <v>1025</v>
      </c>
      <c r="DM226" s="48" t="s">
        <v>302</v>
      </c>
      <c r="DN226" s="48">
        <f ca="1">IF(DI226&lt;&gt;"",MAX($DN$2:DN225)+1,0)</f>
        <v>174</v>
      </c>
      <c r="DO226" s="48" t="str">
        <f ca="1">IF(AND($BF$9=1,SUMIFS(DARE,DEN_G,"="&amp;DI226,DATA,"&gt;="&amp;INIZIO_A_PC,DATA,"&lt;="&amp;FINE_AC)&gt;SUMIFS(AVERE,DEN_G,"="&amp;DI226,DATA,"&gt;="&amp;INIZIO_A_PC,DATA,"&lt;="&amp;FINE_AC)),"pac41",IF(AND($BF$9=1,SUMIFS(DARE,DEN_G,"="&amp;DI226,DATA,"&gt;="&amp;INIZIO_A_PC,DATA,"&lt;="&amp;FINE_AC)&lt;SUMIFS(AVERE,DEN_G,"="&amp;DI226,DATA,"&gt;="&amp;INIZIO_A_PC,DATA,"&lt;="&amp;FINE_AC)),"ppd4",IF(AND($BF$9=2,SUMIFS(DARE,DEN_G,"="&amp;DI226,DATA,"&gt;="&amp;INIZIO_A_PC,DATA,"&lt;="&amp;FINE_AC)&gt;SUMIFS(AVERE,DEN_G,"="&amp;DI226,DATA,"&gt;="&amp;INIZIO_A_PC,DATA,"&lt;="&amp;FINE_AC)),"pac4","ppd")))</f>
        <v>ppd</v>
      </c>
      <c r="DQ226" s="227" t="s">
        <v>172</v>
      </c>
      <c r="DR226" s="48" t="s">
        <v>166</v>
      </c>
      <c r="DT226" s="48" t="s">
        <v>298</v>
      </c>
      <c r="DU226" s="48" t="s">
        <v>480</v>
      </c>
      <c r="DV226" s="48" t="s">
        <v>812</v>
      </c>
      <c r="DW226" s="48">
        <f ca="1">IF(DR226&lt;&gt;"",MAX($DW$2:DW225)+1,0)</f>
        <v>137</v>
      </c>
      <c r="DY226" s="48" t="str">
        <f t="shared" ca="1" si="430"/>
        <v/>
      </c>
      <c r="EL226" s="48">
        <f t="shared" ca="1" si="431"/>
        <v>0</v>
      </c>
      <c r="EM226" s="48">
        <f ca="1">IF(EL226&gt;=0,0,MAX($EM$2:EM225)+1)</f>
        <v>0</v>
      </c>
      <c r="EN226" s="48" t="str">
        <f t="shared" ca="1" si="459"/>
        <v/>
      </c>
      <c r="EO226" s="48" t="str">
        <f ca="1">IFERROR(INDEX($EM$3:$EN$400,MATCH(ROWS($EO$3:EO226),$EM$3:$EM$400,0),2),"")</f>
        <v/>
      </c>
      <c r="EP226" s="48">
        <f>ROW()</f>
        <v>226</v>
      </c>
      <c r="EQ226" s="48">
        <f t="shared" ca="1" si="432"/>
        <v>0</v>
      </c>
      <c r="ER226" s="48">
        <f ca="1">IF(ISNA(EQ226)=TRUE,MAX($ER$2:ER225)+1,0)</f>
        <v>0</v>
      </c>
      <c r="ES226" s="48" t="str">
        <f t="shared" ca="1" si="460"/>
        <v/>
      </c>
      <c r="ET226" s="48" t="str">
        <f ca="1">IFERROR(INDEX($ER$3:$ES$400,MATCH(ROWS($ET$3:ET226),$ER$3:$ER$400,0),2),"")</f>
        <v/>
      </c>
      <c r="EV226" s="48">
        <f ca="1">IFERROR(INDEX(LIBRO_GIORNALE!$O$11:$P$408,MATCH(ROWS($EV$2:EV225),LIBRO_GIORNALE!$P$11:$P$408,0),1),0)</f>
        <v>0</v>
      </c>
      <c r="EW226" s="48" t="str">
        <f t="shared" ca="1" si="461"/>
        <v>0</v>
      </c>
      <c r="EX226" s="48">
        <f t="shared" ca="1" si="462"/>
        <v>0</v>
      </c>
      <c r="EY226" s="48">
        <f ca="1">IF(EX226&gt;0,MAX($EY$2:EY225)+1,0)</f>
        <v>0</v>
      </c>
      <c r="EZ226" s="48">
        <f ca="1">IFERROR(INDEX($EX$3:$EX$400,MATCH(ROWS($EZ$3:EZ226),$EY$3:$EY$400,0),1),0)</f>
        <v>0</v>
      </c>
      <c r="FA226" s="48">
        <f ca="1">IF(EZ226&gt;0,0,MAX($FA$2:FA225)+1)</f>
        <v>224</v>
      </c>
      <c r="FB226" s="48">
        <f t="shared" ca="1" si="463"/>
        <v>0</v>
      </c>
      <c r="FC226" s="48">
        <f t="shared" ca="1" si="464"/>
        <v>224</v>
      </c>
      <c r="FD226" s="48">
        <f t="shared" ca="1" si="465"/>
        <v>224</v>
      </c>
      <c r="FE226" s="48">
        <f ca="1">IF(FD226=0,0,MAX($FE$2:FE225)+1)</f>
        <v>224</v>
      </c>
      <c r="FF226" s="48">
        <f ca="1">IFERROR(INDEX($FD$3:$FE$400,MATCH(ROWS($FF$3:FF226),$FE$3:$FE$400,0),1),"")</f>
        <v>224</v>
      </c>
      <c r="FG226" s="48">
        <f t="shared" ca="1" si="380"/>
        <v>0</v>
      </c>
      <c r="FH226" s="48">
        <f t="shared" ca="1" si="466"/>
        <v>0</v>
      </c>
      <c r="FI226" s="48">
        <f ca="1">IF(FH226&lt;&gt;0,MAX($FI$2:FI225)+1,0)</f>
        <v>0</v>
      </c>
      <c r="FJ226" s="48" t="str">
        <f ca="1">IFERROR(INDEX($FH$3:$FI$400,MATCH(ROWS($FJ$3:FJ226),$FI$3:$FI$400,0),1),"")</f>
        <v/>
      </c>
      <c r="FK226" s="48">
        <f ca="1">IF(ABS(SUMIFS(DARE,DEN_G,"="&amp;FJ226,DATA,"&lt;="&amp;FINE_AC,DATA,"&gt;="&amp;INIZIO_A_PC)-SUMIFS(AVERE,DEN_G,"="&amp;FJ226,DATA,"&lt;="&amp;FINE_AC,DATA,"&gt;="&amp;INIZIO_A_PC))&gt;0,MAX($FK$2:FK225)+1,0)</f>
        <v>0</v>
      </c>
      <c r="FL226" s="48" t="str">
        <f ca="1">IF(AND(ROW()-2&lt;&gt;1,ROW()-2&lt;=$FK$1),CONCATENATE(" - ",IFERROR(INDEX($FJ$3:$FK$400,MATCH(ROWS($FL$3:FL226),$FK$3:$FK$400,0),1),"")),IFERROR(INDEX($FJ$3:$FK$400,MATCH(ROWS($FL$3:FL226),$FK$3:$FK$400,0),1),""))</f>
        <v/>
      </c>
      <c r="FM226" s="48">
        <f ca="1">IF(OR(B226="IVA ns/credito",B226="IVA NS/DEBITO",B226="IVA C/ACCONTO",B226="IMPOSTE C/ACCONTO",B226="CREDITI PER RITENUTE SUBITE",B226="CREDITI D'IMPOSTA"),MAX($FM$2:FM225)+1,0)</f>
        <v>0</v>
      </c>
      <c r="FN226" s="48" t="str">
        <f t="shared" ca="1" si="467"/>
        <v/>
      </c>
      <c r="FO226" s="48" t="str">
        <f ca="1">IFERROR(INDEX($FM$3:$FN$400,MATCH(ROWS($FO$3:FO226),$FM$3:$FM$400,0),2),"")</f>
        <v/>
      </c>
      <c r="FP226" s="48">
        <f ca="1">IF(ABS(SUMIFS(DARE,DEN_G,"="&amp;FO226,DATA,"&lt;="&amp;FINE_AC,DATA,"&gt;="&amp;INIZIO_A_PC)-SUMIFS(AVERE,DEN_G,"="&amp;FO226,DATA,"&lt;="&amp;FINE_AC,DATA,"&gt;="&amp;INIZIO_A_PC))&gt;0,MAX($FP$2:FP225)+1,0)</f>
        <v>0</v>
      </c>
      <c r="FQ226" s="48" t="str">
        <f ca="1">IF(AND(ROW()-2&lt;&gt;1,ROW()-2&lt;=$FP$1),CONCATENATE(" - ",IFERROR(INDEX($FO$3:$FP$400,MATCH(ROWS($FQ$3:FQ226),$FP$3:$FP$400,0),1),"")),IFERROR(INDEX($FO$3:$FP$400,MATCH(ROWS($FQ$3:FQ226),$FP$3:$FP$400,0),1),""))</f>
        <v/>
      </c>
    </row>
    <row r="227" spans="1:173" x14ac:dyDescent="0.3">
      <c r="A227" s="48" t="str">
        <f ca="1">IFERROR(IF($A$1=2,INDEX($DH$3:$DN$401,MATCH(ROWS(A$3:A227),$DN$3:$DN$401,0),COLUMN()),IF($A$1=1,INDEX($DQ$3:$DW$401,MATCH(ROWS(A$3:A227),$DW$3:$DW$401,0),COLUMN()),"")),"")</f>
        <v>31.04</v>
      </c>
      <c r="B227" s="48" t="str">
        <f ca="1">IFERROR(IF($A$1=2,INDEX($DH$3:$DN$401,MATCH(ROWS(B$3:B227),$DN$3:$DN$401,0),COLUMN()),IF($A$1=1,INDEX($DQ$3:$DW$400,MATCH(ROWS(B$3:B227),$DW$3:$DW$401,0),COLUMN()),"")),"")</f>
        <v>CONSULENZE</v>
      </c>
      <c r="C227" s="48" t="str">
        <f ca="1">IFERROR(IF($A$1=2,INDEX($DH$3:$DN$401,MATCH(ROWS(C$3:C227),$DN$3:$DN$401,0),COLUMN()),IF($A$1=1,INDEX($DQ$3:$DW$401,MATCH(ROWS(C$3:C227),$DW$3:$DW$401,0),COLUMN()),"")),"")</f>
        <v>E</v>
      </c>
      <c r="D227" s="48" t="str">
        <f ca="1">IFERROR(IF($A$1=2,INDEX($DH$3:$DN$401,MATCH(ROWS(D$3:D227),$DN$3:$DN$401,0),COLUMN()),IF($A$1=1,INDEX($DQ$3:$DW$401,MATCH(ROWS(D$3:D227),$DW$3:$DW$401,0),COLUMN()),"")),"")</f>
        <v>D</v>
      </c>
      <c r="E227" s="48" t="str">
        <f ca="1">IFERROR(IF($A$1=2,INDEX($DH$3:$DN$401,MATCH(ROWS(E$3:E227),$DN$3:$DN$401,0),COLUMN()),IF($A$1=1,INDEX($DQ$3:$DW$401,MATCH(ROWS(E$3:E227),$DW$3:$DW$401,0),COLUMN()),"")),"")</f>
        <v>COSTI D'ESERCIZIO</v>
      </c>
      <c r="F227" s="48" t="str">
        <f ca="1">IFERROR(IF($A$1=2,INDEX($DH$3:$DN$401,MATCH(ROWS(F$3:F227),$DN$3:$DN$401,0),COLUMN()),IF($A$1=1,INDEX($DQ$3:$DX$401,MATCH(ROWS(F$3:F227),$DW$3:$DW$401,0),COLUMN()),"")),"")</f>
        <v>SE DARE</v>
      </c>
      <c r="G227" s="48" t="str">
        <f t="shared" ca="1" si="433"/>
        <v>SE</v>
      </c>
      <c r="H227" s="48" t="str">
        <f ca="1">IFERROR(IF($A$1=2,INDEX($DH$3:$DO$400,MATCH(ROWS(H$3:H227),$DN$3:$DN$400,0),COLUMN()),IF($A$1=1,INDEX($DQ$3:$DX$400,MATCH(ROWS(H$3:H227),$DW$3:$DW$400,0),COLUMN()),"")),"")</f>
        <v>eb7</v>
      </c>
      <c r="M227" s="48">
        <f ca="1">IFERROR(IF(IF(MID($A227,3,3)=".00",MID(A227,1,2),"")&lt;&gt;"",MAX($M$2:M226)+1,0),"")</f>
        <v>0</v>
      </c>
      <c r="N227" s="48" t="str">
        <f t="shared" ca="1" si="438"/>
        <v/>
      </c>
      <c r="O227" s="48" t="str">
        <f ca="1">IF(IFERROR(INDEX($N$3:$O$300,MATCH(ROWS($O$3:O227),$M$3:$M$300,0),1),"")&lt;&gt;"",CONCATENATE(INDEX($N$3:$O$300,MATCH(ROWS($O$3:O227),$M$3:$M$300,0),1),".00"),"")</f>
        <v/>
      </c>
      <c r="P227" s="48" t="str">
        <f t="shared" ca="1" si="439"/>
        <v/>
      </c>
      <c r="Q227" s="48">
        <f ca="1">IF(M227&gt;=1,0,MAX($Q$2:Q226)+1)</f>
        <v>202</v>
      </c>
      <c r="U227" s="48" t="str">
        <f ca="1">IFERROR(INDEX(PDC,MATCH(ROWS(U$3:U227),$V$3:$V$400,0),2),"")</f>
        <v>AMMORTAMENTO COSTI DI IMPIANTO</v>
      </c>
      <c r="V227" s="48">
        <f ca="1">IF(AND($T$1="VISUALIZZA TUTTI I CONTI",AA227&lt;&gt;""),MAX($V$2:V226)+1,IF(AND($U$2=2,AI227=$T$1),MAX($V$2:V226)+1,IF(AND($U$2=1,$T$1=AF227),MAX($V$2:V226)+1,0)))</f>
        <v>225</v>
      </c>
      <c r="AA227" s="48" t="str">
        <f t="shared" ca="1" si="440"/>
        <v>34.00</v>
      </c>
      <c r="AB227" s="48" t="str">
        <f ca="1">IFERROR(INDEX($A$3:$G$400,MATCH(ROWS(AB$3:AB227),$Q$3:$Q$400,0),1),"")</f>
        <v>34.01</v>
      </c>
      <c r="AC227" s="48" t="str">
        <f ca="1">IFERROR(INDEX($A$3:$G$400,MATCH(ROWS($AC$3:AC227),$Q$3:$Q$400,0),2),"")</f>
        <v>AMMORTAMENTO COSTI DI IMPIANTO</v>
      </c>
      <c r="AD227" s="48" t="str">
        <f ca="1">IFERROR(INDEX($A$3:$G$400,MATCH(ROWS(AD$3:AD227),$Q$3:$Q$400,0),3),"")</f>
        <v>E</v>
      </c>
      <c r="AE227" s="48" t="str">
        <f ca="1">IFERROR(INDEX($A$3:$G$400,MATCH(ROWS(AE$3:AE227),$Q$3:$Q$400,0),4),"")</f>
        <v>D</v>
      </c>
      <c r="AF227" s="48" t="str">
        <f ca="1">IFERROR(INDEX($A$3:$G$400,MATCH(ROWS(AF$3:AF227),$Q$3:$Q$400,0),5),"")</f>
        <v>COSTI D'ESERCIZIO</v>
      </c>
      <c r="AG227" s="48" t="str">
        <f ca="1">IFERROR(INDEX($A$3:$G$400,MATCH(ROWS(AG$3:AG227),$Q$3:$Q$400,0),6),"")</f>
        <v>SE DARE</v>
      </c>
      <c r="AH227" s="48" t="str">
        <f ca="1">IFERROR(INDEX($A$3:$G$400,MATCH(ROWS(AH$3:AH227),$Q$3:$Q$400,0),7),"")</f>
        <v>SE</v>
      </c>
      <c r="AI227" s="48" t="str">
        <f t="shared" ca="1" si="441"/>
        <v>AMMORTAMENTI IMMOBILIZZAZIONI IMMATERIALI</v>
      </c>
      <c r="AJ227" s="48" t="str">
        <f ca="1">IFERROR(INDEX($A$3:$H$400,MATCH(ROWS(AJ$3:AJ227),$Q$3:$Q$400,0),8),"")</f>
        <v>eb10a</v>
      </c>
      <c r="AK227" s="48">
        <f t="shared" ca="1" si="417"/>
        <v>0</v>
      </c>
      <c r="AL227" s="48">
        <f t="shared" ca="1" si="473"/>
        <v>0</v>
      </c>
      <c r="AM227" s="48">
        <f t="shared" ca="1" si="377"/>
        <v>0</v>
      </c>
      <c r="AN227" s="48">
        <f t="shared" ca="1" si="378"/>
        <v>0</v>
      </c>
      <c r="AO227" s="48">
        <f t="shared" ca="1" si="379"/>
        <v>0</v>
      </c>
      <c r="AP227" s="48">
        <f t="shared" ca="1" si="379"/>
        <v>0</v>
      </c>
      <c r="AQ227" s="48" t="str">
        <f t="shared" ca="1" si="418"/>
        <v/>
      </c>
      <c r="AR227" s="48">
        <f t="shared" ca="1" si="419"/>
        <v>0</v>
      </c>
      <c r="AS227" s="48">
        <f t="shared" ca="1" si="420"/>
        <v>0</v>
      </c>
      <c r="AT227" s="48">
        <f t="shared" ca="1" si="442"/>
        <v>0</v>
      </c>
      <c r="AU227" s="48">
        <f t="shared" ca="1" si="443"/>
        <v>0</v>
      </c>
      <c r="AV227" s="48">
        <f ca="1">IF(OR(AT227&gt;0,AU227&gt;0),MAX($AV$2:AV226)+1,0)</f>
        <v>0</v>
      </c>
      <c r="AZ227" s="48" t="str">
        <f t="shared" ca="1" si="484"/>
        <v/>
      </c>
      <c r="BA227" s="48">
        <f t="shared" ca="1" si="480"/>
        <v>0</v>
      </c>
      <c r="BB227" s="48">
        <f t="shared" ca="1" si="481"/>
        <v>0</v>
      </c>
      <c r="BC227" s="48">
        <f t="shared" ca="1" si="482"/>
        <v>0</v>
      </c>
      <c r="BD227" s="48">
        <f t="shared" ca="1" si="383"/>
        <v>0</v>
      </c>
      <c r="BE227" s="48">
        <f t="shared" ca="1" si="384"/>
        <v>0</v>
      </c>
      <c r="BF227" s="48">
        <f t="shared" si="485"/>
        <v>27</v>
      </c>
      <c r="BG227" s="48">
        <f ca="1">IF(IF(AND(OR(INDEX(PDC,MATCH($AC227,DEN_PDC,0),6)="SP DARE",INDEX(PDC,MATCH($AC227,DEN_PDC,0),6)="SP DARE/AVERE"),SUMIFS(DARE,DEN_G,$AC227)&gt;=SUMIFS(AVERE,DEN_G,$AC227)),SUMIFS(DARE,DEN_G,$AC227)-SUMIFS(AVERE,DEN_G,$AC227),0)&gt;0,MAX($BG$2:BG226)+1,0)</f>
        <v>0</v>
      </c>
      <c r="BH227" s="48">
        <f ca="1">IF(IF(AND(OR(INDEX(PDC,MATCH($AC227,DEN_PDC,0),6)="SP AVERE",INDEX(PDC,MATCH($AC227,DEN_PDC,0),6)="SP DARE/AVERE"),SUMIFS(AVERE,DEN_G,$AC227)&gt;=SUMIFS(DARE,DEN_G,$AC227)),SUMIFS(AVERE,DEN_G,$AC227)-SUMIFS(DARE,DEN_G,$AC227),0)&gt;0,MAX(BH$2:BH226)+1,0)</f>
        <v>0</v>
      </c>
      <c r="BI227" s="48">
        <f ca="1">IF(IF(AND(OR(INDEX(PDC,MATCH($AC227,DEN_PDC,0),6)="SE DARE",INDEX(PDC,MATCH($AC227,DEN_PDC,0),6)="SE DARE/AVERE"),SUMIFS(DARE,DEN_G,$AC227)&gt;=SUMIFS(AVERE,DEN_G,$AC227)),SUMIFS(DARE,DEN_G,$AC227)-SUMIFS(AVERE,DEN_G,$AC227),0)&gt;0,MAX(BI$2:BI226)+1,0)</f>
        <v>0</v>
      </c>
      <c r="BJ227" s="48">
        <f ca="1">IF(IF(AND(OR(INDEX(PDC,MATCH($AC227,DEN_PDC,0),6)="SE AVERE",INDEX(PDC,MATCH($AC227,DEN_PDC,0),6)="SE DARE/AVERE"),SUMIFS(AVERE,DEN_G,$AC227)&gt;=SUMIFS(DARE,DEN_G,$AC227)),SUMIFS(AVERE,DEN_G,$AC227)-SUMIFS(DARE,DEN_G,$AC227),0)&gt;0,MAX(BJ$2:BJ226)+1,0)</f>
        <v>0</v>
      </c>
      <c r="BK227" s="48" t="str">
        <f ca="1">IF(AND(AND($DY$2=0,$DY$1=0),$I$1=2,ROW()&gt;$BG$1+2,ROW()&lt;=$BG$1+4),"………………..",IF(AND(OR($DY$2&gt;0,$DY$1&gt;0),$I$1=2,ROW()&gt;$BG$1+2,ROW()&lt;=$BG$1+4),"………………..",IFERROR(INDEX($AC$3:$AC$398,MATCH(ROWS(BK$3:BK227),BG$3:BG$398,0),1),"")))</f>
        <v/>
      </c>
      <c r="BL227" s="48">
        <f t="shared" ca="1" si="421"/>
        <v>0</v>
      </c>
      <c r="BM227" s="48" t="str">
        <f ca="1">IF(AND(OR($DY$2=0,$DY$1=0),$I$1=2,ROW()&gt;$BH$1+2,ROW()&lt;=$BH$1+4),"………………..",IF(AND(OR($DY$2&gt;0,$DY$1&gt;0),$I$1=2,ROW()&gt;$BH$1+2,ROW()&lt;=$BH$1+4),"………………..",IFERROR(INDEX($AC$3:$AC$400,MATCH(ROWS(BM$3:BM227),BH$3:BH$400,0),1),"")))</f>
        <v/>
      </c>
      <c r="BN227" s="48">
        <f t="shared" ca="1" si="422"/>
        <v>0</v>
      </c>
      <c r="BO227" s="48" t="str">
        <f ca="1">IF(AND(OR($DY$2=0,$DY$1=0),$I$1=2,ROW()&gt;$BI$1+2,ROW()&lt;=$BI$1+4),"………………..",IF(AND(OR($DY$2&gt;0,$DY$1&gt;0),$I$1=2,ROW()&gt;$BI$1+2,ROW()&lt;=$BI$1+4),"………………..",IFERROR(INDEX($AC$3:$AC$400,MATCH(ROWS(BO$3:BO227),BI$3:BI$400,0),1),"")))</f>
        <v/>
      </c>
      <c r="BP227" s="48">
        <f t="shared" ca="1" si="423"/>
        <v>0</v>
      </c>
      <c r="BQ227" s="48" t="str">
        <f ca="1">IF(AND(OR($DY$2=0,$DY$1=0),$I$1=2,ROW()&gt;$BJ$1+2,ROW()&lt;=$BJ$1+4),"………………..",IF(AND(OR($DY$2&gt;0,$DY$1&gt;0),$I$1=2,ROW()&gt;$BJ$1+2,ROW()&lt;=$BJ$1+4),"………………..",IFERROR(INDEX($AC$3:$AC$400,MATCH(ROWS(BQ$3:BQ227),BJ$3:BJ$400,0),1),"")))</f>
        <v/>
      </c>
      <c r="BR227" s="48">
        <f t="shared" ca="1" si="424"/>
        <v>0</v>
      </c>
      <c r="BS227" s="48">
        <f ca="1">IF(IF(AND(OR(INDEX(PDC,MATCH($AC227,DEN_PDC,0),4)="D",INDEX(PDC,MATCH($AC227,DEN_PDC,0),4)="D/A"),SUMIFS(DARE,DEN_G,$AC227)&gt;=SUMIFS(AVERE,DEN_G,$AC227)),SUMIFS(DARE,DEN_G,$AC227),IF(AND(OR(INDEX(PDC,MATCH($AC227,DEN_PDC,0),4)="A",INDEX(PDC,MATCH($AC227,DEN_PDC,0),4)="D/A"),SUMIFS(AVERE,DEN_G,$AC227)&gt;=SUMIFS(DARE,DEN_G,$AC227)),SUMIFS(AVERE,DEN_G,$AC227),))&gt;0,MAX($BS$2:BS226)+1,0)</f>
        <v>0</v>
      </c>
      <c r="BT227" s="48" t="str">
        <f ca="1">IF($CO$1=0,"",IF(AND($I$1=2,ROW()&gt;$BR$1,ROW()&lt;=$BS$1)," …………….",IF(AND($E$1=1,$BX$1=1,$I$1=2,ROW()=$BQ$1),"TOTALI",IFERROR(INDEX(PDC,MATCH(ROWS(BT$3:BT227),BS$3:BS624,0),2),""))))</f>
        <v/>
      </c>
      <c r="BU227" s="48">
        <f t="shared" ca="1" si="425"/>
        <v>0</v>
      </c>
      <c r="BV227" s="48">
        <f t="shared" ca="1" si="426"/>
        <v>0</v>
      </c>
      <c r="BW227" s="48">
        <f t="shared" ca="1" si="427"/>
        <v>0</v>
      </c>
      <c r="BX227" s="48">
        <f t="shared" ca="1" si="428"/>
        <v>0</v>
      </c>
      <c r="BY227" s="48">
        <f ca="1">IF(OR(BW227&gt;0,BX227&gt;0),MAX($BY$2:BY226)+1,0)</f>
        <v>0</v>
      </c>
      <c r="BZ227" s="48" t="str">
        <f ca="1">IFERROR(INDEX($BT$3:$BY$400,MATCH(ROWS(BZ$3:BZ227),$BY$3:$BY$400,0),1),"")</f>
        <v/>
      </c>
      <c r="CA227" s="48" t="str">
        <f ca="1">IFERROR(INDEX($BT$3:$BY$400,MATCH(ROWS(CA$3:CA227),$BY$3:$BY$400,0),4),"")</f>
        <v/>
      </c>
      <c r="CB227" s="48" t="str">
        <f ca="1">IFERROR(INDEX($BT$3:$BY$400,MATCH(ROWS(CB$3:CB227),$BY$3:$BY$400,0),5),"")</f>
        <v/>
      </c>
      <c r="CC227" s="48" t="str">
        <f t="shared" ca="1" si="429"/>
        <v/>
      </c>
      <c r="CD227" s="48">
        <f ca="1">IF(CE227&lt;&gt;0,MAX($CD$190:CD226)+1,0)</f>
        <v>0</v>
      </c>
      <c r="CE227" s="48">
        <f ca="1">IF(ROUND(SUMIFS(COPIA!$CB$3:$CB$400,COPIA!$CC$3:$CC$400,CF227)-SUMIFS(COPIA!$CA$3:$CA$400,COPIA!$CC$3:$CC$400,CF227),0)&lt;0,0,ROUND(SUMIFS(COPIA!$CB$3:$CB$400,COPIA!$CC$3:$CC$400,CF227)-SUMIFS(COPIA!$CA$3:$CA$400,COPIA!$CC$3:$CC$400,CF227),0))</f>
        <v>0</v>
      </c>
      <c r="CF227" s="48" t="s">
        <v>727</v>
      </c>
      <c r="CG227" s="242" t="str">
        <f ca="1">IF($BF$9=2,"____b) da titoli iscritti nelle immobilizzazioni e nell'attivo circolante che non costituiscono partecipazioni","____b) da titoli iscritti nelle immobilizzazioni che non costituiscono partecipazioni")</f>
        <v>____b) da titoli iscritti nelle immobilizzazioni e nell'attivo circolante che non costituiscono partecipazioni</v>
      </c>
      <c r="CH227" s="48">
        <f t="shared" ca="1" si="509"/>
        <v>0</v>
      </c>
      <c r="CM227" s="242" t="str">
        <f t="shared" ca="1" si="444"/>
        <v/>
      </c>
      <c r="CN227" s="243">
        <f t="shared" ca="1" si="445"/>
        <v>0</v>
      </c>
      <c r="CO227" s="48" t="str">
        <f t="shared" ca="1" si="446"/>
        <v/>
      </c>
      <c r="CU227" s="48">
        <f ca="1">IF(SUMIFS(AVERE,DEN_G,AC227,AVERE,"&gt;"&amp;0)+SUMIFS(DARE,DEN_G,AC227,DARE,"&gt;"&amp;0)&gt;0,MAX($CU$2:CU226)+1,0)</f>
        <v>0</v>
      </c>
      <c r="CV227" s="48" t="str">
        <f ca="1">IF(IFERROR(INDEX(PDC,MATCH(ROWS($CV$3:CV227),$CU$3:$CU$400,0),2),"")="CONTO DI RISULTATO ECONOMICO","",IFERROR(INDEX(PDC,MATCH(ROWS($CV$3:CV227),$CU$3:$CU$400,0),2),""))</f>
        <v/>
      </c>
      <c r="CW227" s="48">
        <f ca="1">IFERROR(IF(CV227&lt;&gt;"",MAX($CW$2:CW226)+1,0),0)</f>
        <v>0</v>
      </c>
      <c r="CX227" s="48">
        <f t="shared" ca="1" si="507"/>
        <v>18</v>
      </c>
      <c r="CY227" s="48" t="str">
        <f t="shared" ca="1" si="506"/>
        <v>MASTRO</v>
      </c>
      <c r="CZ227" s="48" t="e">
        <f t="shared" ca="1" si="510"/>
        <v>#N/A</v>
      </c>
      <c r="DA227" s="48" t="str">
        <f t="shared" ref="DA227:DA235" ca="1" si="514">IFERROR(INDEX(LIBRO_GIORNALE,CZ227,1),"")</f>
        <v/>
      </c>
      <c r="DB227" s="48" t="str">
        <f t="shared" ca="1" si="499"/>
        <v/>
      </c>
      <c r="DC227" s="48" t="str">
        <f t="shared" ca="1" si="511"/>
        <v/>
      </c>
      <c r="DD227" s="48" t="str">
        <f t="shared" ca="1" si="512"/>
        <v/>
      </c>
      <c r="DE227" s="48" t="str">
        <f t="shared" ca="1" si="513"/>
        <v/>
      </c>
      <c r="DF227" s="48">
        <f ca="1">IF(AND(CX227=$DF$1,CX227&lt;&gt;""),0,IF(AND(DB227&lt;&gt;"",OR(DB226&lt;&gt;"",DB228&lt;&gt;"")),MAX($DF$2:DF226)+1,0))</f>
        <v>0</v>
      </c>
      <c r="DH227" s="244" t="s">
        <v>882</v>
      </c>
      <c r="DI227" s="48" t="str">
        <f ca="1">IF(INDIRECT(ADDRESS(9,11,,,"PIANO_DEI_CONTI"))="","BANCA Y C/C",UPPER(INDIRECT(ADDRESS(9,11,,,"PIANO_DEI_CONTI"))))</f>
        <v>BANCA Y C/C</v>
      </c>
      <c r="DJ227" s="48" t="s">
        <v>312</v>
      </c>
      <c r="DK227" s="48" t="s">
        <v>271</v>
      </c>
      <c r="DL227" s="48" t="s">
        <v>1025</v>
      </c>
      <c r="DM227" s="48" t="s">
        <v>302</v>
      </c>
      <c r="DN227" s="48">
        <f ca="1">IF(DI227&lt;&gt;"",MAX($DN$2:DN226)+1,0)</f>
        <v>175</v>
      </c>
      <c r="DO227" s="48" t="str">
        <f ca="1">IF(AND($BF$9=1,SUMIFS(DARE,DEN_G,"="&amp;DI227,DATA,"&gt;="&amp;INIZIO_A_PC,DATA,"&lt;="&amp;FINE_AC)&gt;SUMIFS(AVERE,DEN_G,"="&amp;DI227,DATA,"&gt;="&amp;INIZIO_A_PC,DATA,"&lt;="&amp;FINE_AC)),"pac41",IF(AND($BF$9=1,SUMIFS(DARE,DEN_G,"="&amp;DI227,DATA,"&gt;="&amp;INIZIO_A_PC,DATA,"&lt;="&amp;FINE_AC)&lt;SUMIFS(AVERE,DEN_G,"="&amp;DI227,DATA,"&gt;="&amp;INIZIO_A_PC,DATA,"&lt;="&amp;FINE_AC)),"ppd4",IF(AND($BF$9=2,SUMIFS(DARE,DEN_G,"="&amp;DI227,DATA,"&gt;="&amp;INIZIO_A_PC,DATA,"&lt;="&amp;FINE_AC)&gt;SUMIFS(AVERE,DEN_G,"="&amp;DI227,DATA,"&gt;="&amp;INIZIO_A_PC,DATA,"&lt;="&amp;FINE_AC)),"pac4","ppd")))</f>
        <v>ppd</v>
      </c>
      <c r="DW227" s="48">
        <f>IF(DR227&lt;&gt;"",MAX($DW$2:DW226)+1,0)</f>
        <v>0</v>
      </c>
      <c r="DY227" s="48" t="str">
        <f t="shared" ca="1" si="430"/>
        <v/>
      </c>
      <c r="EL227" s="48">
        <f t="shared" ca="1" si="431"/>
        <v>0</v>
      </c>
      <c r="EM227" s="48">
        <f ca="1">IF(EL227&gt;=0,0,MAX($EM$2:EM226)+1)</f>
        <v>0</v>
      </c>
      <c r="EN227" s="48" t="str">
        <f t="shared" ca="1" si="459"/>
        <v/>
      </c>
      <c r="EO227" s="48" t="str">
        <f ca="1">IFERROR(INDEX($EM$3:$EN$400,MATCH(ROWS($EO$3:EO227),$EM$3:$EM$400,0),2),"")</f>
        <v/>
      </c>
      <c r="EP227" s="48">
        <f>ROW()</f>
        <v>227</v>
      </c>
      <c r="EQ227" s="48">
        <f t="shared" ca="1" si="432"/>
        <v>0</v>
      </c>
      <c r="ER227" s="48">
        <f ca="1">IF(ISNA(EQ227)=TRUE,MAX($ER$2:ER226)+1,0)</f>
        <v>0</v>
      </c>
      <c r="ES227" s="48" t="str">
        <f t="shared" ca="1" si="460"/>
        <v/>
      </c>
      <c r="ET227" s="48" t="str">
        <f ca="1">IFERROR(INDEX($ER$3:$ES$400,MATCH(ROWS($ET$3:ET227),$ER$3:$ER$400,0),2),"")</f>
        <v/>
      </c>
      <c r="EV227" s="48">
        <f ca="1">IFERROR(INDEX(LIBRO_GIORNALE!$O$11:$P$408,MATCH(ROWS($EV$2:EV226),LIBRO_GIORNALE!$P$11:$P$408,0),1),0)</f>
        <v>0</v>
      </c>
      <c r="EW227" s="48" t="str">
        <f t="shared" ca="1" si="461"/>
        <v>0</v>
      </c>
      <c r="EX227" s="48">
        <f t="shared" ca="1" si="462"/>
        <v>0</v>
      </c>
      <c r="EY227" s="48">
        <f ca="1">IF(EX227&gt;0,MAX($EY$2:EY226)+1,0)</f>
        <v>0</v>
      </c>
      <c r="EZ227" s="48">
        <f ca="1">IFERROR(INDEX($EX$3:$EX$400,MATCH(ROWS($EZ$3:EZ227),$EY$3:$EY$400,0),1),0)</f>
        <v>0</v>
      </c>
      <c r="FA227" s="48">
        <f ca="1">IF(EZ227&gt;0,0,MAX($FA$2:FA226)+1)</f>
        <v>225</v>
      </c>
      <c r="FB227" s="48">
        <f t="shared" ca="1" si="463"/>
        <v>0</v>
      </c>
      <c r="FC227" s="48">
        <f t="shared" ca="1" si="464"/>
        <v>225</v>
      </c>
      <c r="FD227" s="48">
        <f t="shared" ca="1" si="465"/>
        <v>225</v>
      </c>
      <c r="FE227" s="48">
        <f ca="1">IF(FD227=0,0,MAX($FE$2:FE226)+1)</f>
        <v>225</v>
      </c>
      <c r="FF227" s="48">
        <f ca="1">IFERROR(INDEX($FD$3:$FE$400,MATCH(ROWS($FF$3:FF227),$FE$3:$FE$400,0),1),"")</f>
        <v>225</v>
      </c>
      <c r="FG227" s="48">
        <f t="shared" ca="1" si="380"/>
        <v>0</v>
      </c>
      <c r="FH227" s="48">
        <f t="shared" ca="1" si="466"/>
        <v>0</v>
      </c>
      <c r="FI227" s="48">
        <f ca="1">IF(FH227&lt;&gt;0,MAX($FI$2:FI226)+1,0)</f>
        <v>0</v>
      </c>
      <c r="FJ227" s="48" t="str">
        <f ca="1">IFERROR(INDEX($FH$3:$FI$400,MATCH(ROWS($FJ$3:FJ227),$FI$3:$FI$400,0),1),"")</f>
        <v/>
      </c>
      <c r="FK227" s="48">
        <f ca="1">IF(ABS(SUMIFS(DARE,DEN_G,"="&amp;FJ227,DATA,"&lt;="&amp;FINE_AC,DATA,"&gt;="&amp;INIZIO_A_PC)-SUMIFS(AVERE,DEN_G,"="&amp;FJ227,DATA,"&lt;="&amp;FINE_AC,DATA,"&gt;="&amp;INIZIO_A_PC))&gt;0,MAX($FK$2:FK226)+1,0)</f>
        <v>0</v>
      </c>
      <c r="FL227" s="48" t="str">
        <f ca="1">IF(AND(ROW()-2&lt;&gt;1,ROW()-2&lt;=$FK$1),CONCATENATE(" - ",IFERROR(INDEX($FJ$3:$FK$400,MATCH(ROWS($FL$3:FL227),$FK$3:$FK$400,0),1),"")),IFERROR(INDEX($FJ$3:$FK$400,MATCH(ROWS($FL$3:FL227),$FK$3:$FK$400,0),1),""))</f>
        <v/>
      </c>
      <c r="FM227" s="48">
        <f ca="1">IF(OR(B227="IVA ns/credito",B227="IVA NS/DEBITO",B227="IVA C/ACCONTO",B227="IMPOSTE C/ACCONTO",B227="CREDITI PER RITENUTE SUBITE",B227="CREDITI D'IMPOSTA"),MAX($FM$2:FM226)+1,0)</f>
        <v>0</v>
      </c>
      <c r="FN227" s="48" t="str">
        <f t="shared" ca="1" si="467"/>
        <v/>
      </c>
      <c r="FO227" s="48" t="str">
        <f ca="1">IFERROR(INDEX($FM$3:$FN$400,MATCH(ROWS($FO$3:FO227),$FM$3:$FM$400,0),2),"")</f>
        <v/>
      </c>
      <c r="FP227" s="48">
        <f ca="1">IF(ABS(SUMIFS(DARE,DEN_G,"="&amp;FO227,DATA,"&lt;="&amp;FINE_AC,DATA,"&gt;="&amp;INIZIO_A_PC)-SUMIFS(AVERE,DEN_G,"="&amp;FO227,DATA,"&lt;="&amp;FINE_AC,DATA,"&gt;="&amp;INIZIO_A_PC))&gt;0,MAX($FP$2:FP226)+1,0)</f>
        <v>0</v>
      </c>
      <c r="FQ227" s="48" t="str">
        <f ca="1">IF(AND(ROW()-2&lt;&gt;1,ROW()-2&lt;=$FP$1),CONCATENATE(" - ",IFERROR(INDEX($FO$3:$FP$400,MATCH(ROWS($FQ$3:FQ227),$FP$3:$FP$400,0),1),"")),IFERROR(INDEX($FO$3:$FP$400,MATCH(ROWS($FQ$3:FQ227),$FP$3:$FP$400,0),1),""))</f>
        <v/>
      </c>
    </row>
    <row r="228" spans="1:173" x14ac:dyDescent="0.3">
      <c r="A228" s="48" t="str">
        <f ca="1">IFERROR(IF($A$1=2,INDEX($DH$3:$DN$401,MATCH(ROWS(A$3:A228),$DN$3:$DN$401,0),COLUMN()),IF($A$1=1,INDEX($DQ$3:$DW$401,MATCH(ROWS(A$3:A228),$DW$3:$DW$401,0),COLUMN()),"")),"")</f>
        <v>31.05</v>
      </c>
      <c r="B228" s="48" t="str">
        <f ca="1">IFERROR(IF($A$1=2,INDEX($DH$3:$DN$401,MATCH(ROWS(B$3:B228),$DN$3:$DN$401,0),COLUMN()),IF($A$1=1,INDEX($DQ$3:$DW$400,MATCH(ROWS(B$3:B228),$DW$3:$DW$401,0),COLUMN()),"")),"")</f>
        <v>COSTI TELEFONICI</v>
      </c>
      <c r="C228" s="48" t="str">
        <f ca="1">IFERROR(IF($A$1=2,INDEX($DH$3:$DN$401,MATCH(ROWS(C$3:C228),$DN$3:$DN$401,0),COLUMN()),IF($A$1=1,INDEX($DQ$3:$DW$401,MATCH(ROWS(C$3:C228),$DW$3:$DW$401,0),COLUMN()),"")),"")</f>
        <v>E</v>
      </c>
      <c r="D228" s="48" t="str">
        <f ca="1">IFERROR(IF($A$1=2,INDEX($DH$3:$DN$401,MATCH(ROWS(D$3:D228),$DN$3:$DN$401,0),COLUMN()),IF($A$1=1,INDEX($DQ$3:$DW$401,MATCH(ROWS(D$3:D228),$DW$3:$DW$401,0),COLUMN()),"")),"")</f>
        <v>D</v>
      </c>
      <c r="E228" s="48" t="str">
        <f ca="1">IFERROR(IF($A$1=2,INDEX($DH$3:$DN$401,MATCH(ROWS(E$3:E228),$DN$3:$DN$401,0),COLUMN()),IF($A$1=1,INDEX($DQ$3:$DW$401,MATCH(ROWS(E$3:E228),$DW$3:$DW$401,0),COLUMN()),"")),"")</f>
        <v>COSTI D'ESERCIZIO</v>
      </c>
      <c r="F228" s="48" t="str">
        <f ca="1">IFERROR(IF($A$1=2,INDEX($DH$3:$DN$401,MATCH(ROWS(F$3:F228),$DN$3:$DN$401,0),COLUMN()),IF($A$1=1,INDEX($DQ$3:$DX$401,MATCH(ROWS(F$3:F228),$DW$3:$DW$401,0),COLUMN()),"")),"")</f>
        <v>SE DARE</v>
      </c>
      <c r="G228" s="48" t="str">
        <f t="shared" ca="1" si="433"/>
        <v>SE</v>
      </c>
      <c r="H228" s="48" t="str">
        <f ca="1">IFERROR(IF($A$1=2,INDEX($DH$3:$DO$400,MATCH(ROWS(H$3:H228),$DN$3:$DN$400,0),COLUMN()),IF($A$1=1,INDEX($DQ$3:$DX$400,MATCH(ROWS(H$3:H228),$DW$3:$DW$400,0),COLUMN()),"")),"")</f>
        <v>eb7</v>
      </c>
      <c r="M228" s="48">
        <f ca="1">IFERROR(IF(IF(MID($A228,3,3)=".00",MID(A228,1,2),"")&lt;&gt;"",MAX($M$2:M227)+1,0),"")</f>
        <v>0</v>
      </c>
      <c r="N228" s="48" t="str">
        <f t="shared" ca="1" si="438"/>
        <v/>
      </c>
      <c r="O228" s="48" t="str">
        <f ca="1">IF(IFERROR(INDEX($N$3:$O$300,MATCH(ROWS($O$3:O228),$M$3:$M$300,0),1),"")&lt;&gt;"",CONCATENATE(INDEX($N$3:$O$300,MATCH(ROWS($O$3:O228),$M$3:$M$300,0),1),".00"),"")</f>
        <v/>
      </c>
      <c r="P228" s="48" t="str">
        <f t="shared" ca="1" si="439"/>
        <v/>
      </c>
      <c r="Q228" s="48">
        <f ca="1">IF(M228&gt;=1,0,MAX($Q$2:Q227)+1)</f>
        <v>203</v>
      </c>
      <c r="U228" s="48" t="str">
        <f ca="1">IFERROR(INDEX(PDC,MATCH(ROWS(U$3:U228),$V$3:$V$400,0),2),"")</f>
        <v>AMMORTAMENTO COSTI DI AMPLIAMENTO</v>
      </c>
      <c r="V228" s="48">
        <f ca="1">IF(AND($T$1="VISUALIZZA TUTTI I CONTI",AA228&lt;&gt;""),MAX($V$2:V227)+1,IF(AND($U$2=2,AI228=$T$1),MAX($V$2:V227)+1,IF(AND($U$2=1,$T$1=AF228),MAX($V$2:V227)+1,0)))</f>
        <v>226</v>
      </c>
      <c r="AA228" s="48" t="str">
        <f t="shared" ca="1" si="440"/>
        <v>34.00</v>
      </c>
      <c r="AB228" s="48" t="str">
        <f ca="1">IFERROR(INDEX($A$3:$G$400,MATCH(ROWS(AB$3:AB228),$Q$3:$Q$400,0),1),"")</f>
        <v>34.02</v>
      </c>
      <c r="AC228" s="48" t="str">
        <f ca="1">IFERROR(INDEX($A$3:$G$400,MATCH(ROWS($AC$3:AC228),$Q$3:$Q$400,0),2),"")</f>
        <v>AMMORTAMENTO COSTI DI AMPLIAMENTO</v>
      </c>
      <c r="AD228" s="48" t="str">
        <f ca="1">IFERROR(INDEX($A$3:$G$400,MATCH(ROWS(AD$3:AD228),$Q$3:$Q$400,0),3),"")</f>
        <v>E</v>
      </c>
      <c r="AE228" s="48" t="str">
        <f ca="1">IFERROR(INDEX($A$3:$G$400,MATCH(ROWS(AE$3:AE228),$Q$3:$Q$400,0),4),"")</f>
        <v>D</v>
      </c>
      <c r="AF228" s="48" t="str">
        <f ca="1">IFERROR(INDEX($A$3:$G$400,MATCH(ROWS(AF$3:AF228),$Q$3:$Q$400,0),5),"")</f>
        <v>COSTI D'ESERCIZIO</v>
      </c>
      <c r="AG228" s="48" t="str">
        <f ca="1">IFERROR(INDEX($A$3:$G$400,MATCH(ROWS(AG$3:AG228),$Q$3:$Q$400,0),6),"")</f>
        <v>SE DARE</v>
      </c>
      <c r="AH228" s="48" t="str">
        <f ca="1">IFERROR(INDEX($A$3:$G$400,MATCH(ROWS(AH$3:AH228),$Q$3:$Q$400,0),7),"")</f>
        <v>SE</v>
      </c>
      <c r="AI228" s="48" t="str">
        <f t="shared" ca="1" si="441"/>
        <v>AMMORTAMENTI IMMOBILIZZAZIONI IMMATERIALI</v>
      </c>
      <c r="AJ228" s="48" t="str">
        <f ca="1">IFERROR(INDEX($A$3:$H$400,MATCH(ROWS(AJ$3:AJ228),$Q$3:$Q$400,0),8),"")</f>
        <v>eb10a</v>
      </c>
      <c r="AK228" s="48">
        <f t="shared" ca="1" si="417"/>
        <v>0</v>
      </c>
      <c r="AL228" s="48">
        <f t="shared" ca="1" si="473"/>
        <v>0</v>
      </c>
      <c r="AM228" s="48">
        <f t="shared" ca="1" si="377"/>
        <v>0</v>
      </c>
      <c r="AN228" s="48">
        <f t="shared" ca="1" si="378"/>
        <v>0</v>
      </c>
      <c r="AO228" s="48">
        <f t="shared" ca="1" si="379"/>
        <v>0</v>
      </c>
      <c r="AP228" s="48">
        <f t="shared" ca="1" si="379"/>
        <v>0</v>
      </c>
      <c r="AQ228" s="48" t="str">
        <f t="shared" ca="1" si="418"/>
        <v/>
      </c>
      <c r="AR228" s="48">
        <f t="shared" ca="1" si="419"/>
        <v>0</v>
      </c>
      <c r="AS228" s="48">
        <f t="shared" ca="1" si="420"/>
        <v>0</v>
      </c>
      <c r="AT228" s="48">
        <f t="shared" ca="1" si="442"/>
        <v>0</v>
      </c>
      <c r="AU228" s="48">
        <f t="shared" ca="1" si="443"/>
        <v>0</v>
      </c>
      <c r="AV228" s="48">
        <f ca="1">IF(OR(AT228&gt;0,AU228&gt;0),MAX($AV$2:AV227)+1,0)</f>
        <v>0</v>
      </c>
      <c r="AZ228" s="48" t="str">
        <f t="shared" ca="1" si="484"/>
        <v/>
      </c>
      <c r="BA228" s="48">
        <f t="shared" ca="1" si="480"/>
        <v>0</v>
      </c>
      <c r="BB228" s="48">
        <f t="shared" ca="1" si="481"/>
        <v>0</v>
      </c>
      <c r="BC228" s="48">
        <f t="shared" ca="1" si="482"/>
        <v>0</v>
      </c>
      <c r="BD228" s="48">
        <f t="shared" ca="1" si="383"/>
        <v>0</v>
      </c>
      <c r="BE228" s="48">
        <f t="shared" ca="1" si="384"/>
        <v>0</v>
      </c>
      <c r="BF228" s="48">
        <f t="shared" si="485"/>
        <v>28</v>
      </c>
      <c r="BG228" s="48">
        <f ca="1">IF(IF(AND(OR(INDEX(PDC,MATCH($AC228,DEN_PDC,0),6)="SP DARE",INDEX(PDC,MATCH($AC228,DEN_PDC,0),6)="SP DARE/AVERE"),SUMIFS(DARE,DEN_G,$AC228)&gt;=SUMIFS(AVERE,DEN_G,$AC228)),SUMIFS(DARE,DEN_G,$AC228)-SUMIFS(AVERE,DEN_G,$AC228),0)&gt;0,MAX($BG$2:BG227)+1,0)</f>
        <v>0</v>
      </c>
      <c r="BH228" s="48">
        <f ca="1">IF(IF(AND(OR(INDEX(PDC,MATCH($AC228,DEN_PDC,0),6)="SP AVERE",INDEX(PDC,MATCH($AC228,DEN_PDC,0),6)="SP DARE/AVERE"),SUMIFS(AVERE,DEN_G,$AC228)&gt;=SUMIFS(DARE,DEN_G,$AC228)),SUMIFS(AVERE,DEN_G,$AC228)-SUMIFS(DARE,DEN_G,$AC228),0)&gt;0,MAX(BH$2:BH227)+1,0)</f>
        <v>0</v>
      </c>
      <c r="BI228" s="48">
        <f ca="1">IF(IF(AND(OR(INDEX(PDC,MATCH($AC228,DEN_PDC,0),6)="SE DARE",INDEX(PDC,MATCH($AC228,DEN_PDC,0),6)="SE DARE/AVERE"),SUMIFS(DARE,DEN_G,$AC228)&gt;=SUMIFS(AVERE,DEN_G,$AC228)),SUMIFS(DARE,DEN_G,$AC228)-SUMIFS(AVERE,DEN_G,$AC228),0)&gt;0,MAX(BI$2:BI227)+1,0)</f>
        <v>0</v>
      </c>
      <c r="BJ228" s="48">
        <f ca="1">IF(IF(AND(OR(INDEX(PDC,MATCH($AC228,DEN_PDC,0),6)="SE AVERE",INDEX(PDC,MATCH($AC228,DEN_PDC,0),6)="SE DARE/AVERE"),SUMIFS(AVERE,DEN_G,$AC228)&gt;=SUMIFS(DARE,DEN_G,$AC228)),SUMIFS(AVERE,DEN_G,$AC228)-SUMIFS(DARE,DEN_G,$AC228),0)&gt;0,MAX(BJ$2:BJ227)+1,0)</f>
        <v>0</v>
      </c>
      <c r="BK228" s="48" t="str">
        <f ca="1">IF(AND(AND($DY$2=0,$DY$1=0),$I$1=2,ROW()&gt;$BG$1+2,ROW()&lt;=$BG$1+4),"………………..",IF(AND(OR($DY$2&gt;0,$DY$1&gt;0),$I$1=2,ROW()&gt;$BG$1+2,ROW()&lt;=$BG$1+4),"………………..",IFERROR(INDEX($AC$3:$AC$398,MATCH(ROWS(BK$3:BK228),BG$3:BG$398,0),1),"")))</f>
        <v/>
      </c>
      <c r="BL228" s="48">
        <f t="shared" ca="1" si="421"/>
        <v>0</v>
      </c>
      <c r="BM228" s="48" t="str">
        <f ca="1">IF(AND(OR($DY$2=0,$DY$1=0),$I$1=2,ROW()&gt;$BH$1+2,ROW()&lt;=$BH$1+4),"………………..",IF(AND(OR($DY$2&gt;0,$DY$1&gt;0),$I$1=2,ROW()&gt;$BH$1+2,ROW()&lt;=$BH$1+4),"………………..",IFERROR(INDEX($AC$3:$AC$400,MATCH(ROWS(BM$3:BM228),BH$3:BH$400,0),1),"")))</f>
        <v/>
      </c>
      <c r="BN228" s="48">
        <f t="shared" ca="1" si="422"/>
        <v>0</v>
      </c>
      <c r="BO228" s="48" t="str">
        <f ca="1">IF(AND(OR($DY$2=0,$DY$1=0),$I$1=2,ROW()&gt;$BI$1+2,ROW()&lt;=$BI$1+4),"………………..",IF(AND(OR($DY$2&gt;0,$DY$1&gt;0),$I$1=2,ROW()&gt;$BI$1+2,ROW()&lt;=$BI$1+4),"………………..",IFERROR(INDEX($AC$3:$AC$400,MATCH(ROWS(BO$3:BO228),BI$3:BI$400,0),1),"")))</f>
        <v/>
      </c>
      <c r="BP228" s="48">
        <f t="shared" ca="1" si="423"/>
        <v>0</v>
      </c>
      <c r="BQ228" s="48" t="str">
        <f ca="1">IF(AND(OR($DY$2=0,$DY$1=0),$I$1=2,ROW()&gt;$BJ$1+2,ROW()&lt;=$BJ$1+4),"………………..",IF(AND(OR($DY$2&gt;0,$DY$1&gt;0),$I$1=2,ROW()&gt;$BJ$1+2,ROW()&lt;=$BJ$1+4),"………………..",IFERROR(INDEX($AC$3:$AC$400,MATCH(ROWS(BQ$3:BQ228),BJ$3:BJ$400,0),1),"")))</f>
        <v/>
      </c>
      <c r="BR228" s="48">
        <f t="shared" ca="1" si="424"/>
        <v>0</v>
      </c>
      <c r="BS228" s="48">
        <f ca="1">IF(IF(AND(OR(INDEX(PDC,MATCH($AC228,DEN_PDC,0),4)="D",INDEX(PDC,MATCH($AC228,DEN_PDC,0),4)="D/A"),SUMIFS(DARE,DEN_G,$AC228)&gt;=SUMIFS(AVERE,DEN_G,$AC228)),SUMIFS(DARE,DEN_G,$AC228),IF(AND(OR(INDEX(PDC,MATCH($AC228,DEN_PDC,0),4)="A",INDEX(PDC,MATCH($AC228,DEN_PDC,0),4)="D/A"),SUMIFS(AVERE,DEN_G,$AC228)&gt;=SUMIFS(DARE,DEN_G,$AC228)),SUMIFS(AVERE,DEN_G,$AC228),))&gt;0,MAX($BS$2:BS227)+1,0)</f>
        <v>0</v>
      </c>
      <c r="BT228" s="48" t="str">
        <f ca="1">IF($CO$1=0,"",IF(AND($I$1=2,ROW()&gt;$BR$1,ROW()&lt;=$BS$1)," …………….",IF(AND($E$1=1,$BX$1=1,$I$1=2,ROW()=$BQ$1),"TOTALI",IFERROR(INDEX(PDC,MATCH(ROWS(BT$3:BT228),BS$3:BS625,0),2),""))))</f>
        <v/>
      </c>
      <c r="BU228" s="48">
        <f t="shared" ca="1" si="425"/>
        <v>0</v>
      </c>
      <c r="BV228" s="48">
        <f t="shared" ca="1" si="426"/>
        <v>0</v>
      </c>
      <c r="BW228" s="48">
        <f t="shared" ca="1" si="427"/>
        <v>0</v>
      </c>
      <c r="BX228" s="48">
        <f t="shared" ca="1" si="428"/>
        <v>0</v>
      </c>
      <c r="BY228" s="48">
        <f ca="1">IF(OR(BW228&gt;0,BX228&gt;0),MAX($BY$2:BY227)+1,0)</f>
        <v>0</v>
      </c>
      <c r="BZ228" s="48" t="str">
        <f ca="1">IFERROR(INDEX($BT$3:$BY$400,MATCH(ROWS(BZ$3:BZ228),$BY$3:$BY$400,0),1),"")</f>
        <v/>
      </c>
      <c r="CA228" s="48" t="str">
        <f ca="1">IFERROR(INDEX($BT$3:$BY$400,MATCH(ROWS(CA$3:CA228),$BY$3:$BY$400,0),4),"")</f>
        <v/>
      </c>
      <c r="CB228" s="48" t="str">
        <f ca="1">IFERROR(INDEX($BT$3:$BY$400,MATCH(ROWS(CB$3:CB228),$BY$3:$BY$400,0),5),"")</f>
        <v/>
      </c>
      <c r="CC228" s="48" t="str">
        <f t="shared" ca="1" si="429"/>
        <v/>
      </c>
      <c r="CD228" s="48">
        <f ca="1">IF(CE228&lt;&gt;0,MAX($CD$190:CD227)+1,0)</f>
        <v>0</v>
      </c>
      <c r="CE228" s="48">
        <f ca="1">IF(ROUND(SUMIFS(COPIA!$CB$3:$CB$400,COPIA!$CC$3:$CC$400,CF228)-SUMIFS(COPIA!$CA$3:$CA$400,COPIA!$CC$3:$CC$400,CF228),0)&lt;0,0,ROUND(SUMIFS(COPIA!$CB$3:$CB$400,COPIA!$CC$3:$CC$400,CF228)-SUMIFS(COPIA!$CA$3:$CA$400,COPIA!$CC$3:$CC$400,CF228),0))</f>
        <v>0</v>
      </c>
      <c r="CF228" s="48" t="s">
        <v>725</v>
      </c>
      <c r="CG228" s="242" t="s">
        <v>591</v>
      </c>
      <c r="CH228" s="48">
        <f t="shared" ca="1" si="509"/>
        <v>0</v>
      </c>
      <c r="CM228" s="242" t="str">
        <f t="shared" ca="1" si="444"/>
        <v/>
      </c>
      <c r="CN228" s="243">
        <f t="shared" ca="1" si="445"/>
        <v>0</v>
      </c>
      <c r="CO228" s="48" t="str">
        <f t="shared" ca="1" si="446"/>
        <v/>
      </c>
      <c r="CU228" s="48">
        <f ca="1">IF(SUMIFS(AVERE,DEN_G,AC228,AVERE,"&gt;"&amp;0)+SUMIFS(DARE,DEN_G,AC228,DARE,"&gt;"&amp;0)&gt;0,MAX($CU$2:CU227)+1,0)</f>
        <v>0</v>
      </c>
      <c r="CV228" s="48" t="str">
        <f ca="1">IF(IFERROR(INDEX(PDC,MATCH(ROWS($CV$3:CV228),$CU$3:$CU$400,0),2),"")="CONTO DI RISULTATO ECONOMICO","",IFERROR(INDEX(PDC,MATCH(ROWS($CV$3:CV228),$CU$3:$CU$400,0),2),""))</f>
        <v/>
      </c>
      <c r="CW228" s="48">
        <f ca="1">IFERROR(IF(CV228&lt;&gt;"",MAX($CW$2:CW227)+1,0),0)</f>
        <v>0</v>
      </c>
      <c r="CX228" s="48">
        <f t="shared" ca="1" si="507"/>
        <v>18</v>
      </c>
      <c r="CY228" s="48" t="str">
        <f t="shared" ca="1" si="506"/>
        <v>MASTRO</v>
      </c>
      <c r="CZ228" s="48" t="e">
        <f t="shared" ca="1" si="510"/>
        <v>#N/A</v>
      </c>
      <c r="DA228" s="48" t="str">
        <f t="shared" ca="1" si="514"/>
        <v/>
      </c>
      <c r="DB228" s="48" t="str">
        <f t="shared" ca="1" si="499"/>
        <v/>
      </c>
      <c r="DC228" s="48" t="str">
        <f t="shared" ca="1" si="511"/>
        <v/>
      </c>
      <c r="DD228" s="48" t="str">
        <f t="shared" ca="1" si="512"/>
        <v/>
      </c>
      <c r="DE228" s="48" t="str">
        <f t="shared" ca="1" si="513"/>
        <v/>
      </c>
      <c r="DF228" s="48">
        <f ca="1">IF(AND(CX228=$DF$1,CX228&lt;&gt;""),0,IF(AND(DB228&lt;&gt;"",OR(DB227&lt;&gt;"",DB229&lt;&gt;"")),MAX($DF$2:DF227)+1,0))</f>
        <v>0</v>
      </c>
      <c r="DH228" s="244" t="s">
        <v>1026</v>
      </c>
      <c r="DI228" s="48" t="str">
        <f ca="1">IF(INDIRECT(ADDRESS(10,11,,,"PIANO_DEI_CONTI"))="","BANCA Z C/C",UPPER(INDIRECT(ADDRESS(10,11,,,"PIANO_DEI_CONTI"))))</f>
        <v>BANCA Z C/C</v>
      </c>
      <c r="DJ228" s="48" t="s">
        <v>312</v>
      </c>
      <c r="DK228" s="48" t="s">
        <v>271</v>
      </c>
      <c r="DL228" s="48" t="s">
        <v>1025</v>
      </c>
      <c r="DM228" s="48" t="s">
        <v>302</v>
      </c>
      <c r="DN228" s="48">
        <f ca="1">IF(DI228&lt;&gt;"",MAX($DN$2:DN227)+1,0)</f>
        <v>176</v>
      </c>
      <c r="DO228" s="48" t="str">
        <f ca="1">IF(AND($BF$9=1,SUMIFS(DARE,DEN_G,"="&amp;DI228,DATA,"&gt;="&amp;INIZIO_A_PC,DATA,"&lt;="&amp;FINE_AC)&gt;SUMIFS(AVERE,DEN_G,"="&amp;DI228,DATA,"&gt;="&amp;INIZIO_A_PC,DATA,"&lt;="&amp;FINE_AC)),"pac41",IF(AND($BF$9=1,SUMIFS(DARE,DEN_G,"="&amp;DI228,DATA,"&gt;="&amp;INIZIO_A_PC,DATA,"&lt;="&amp;FINE_AC)&lt;SUMIFS(AVERE,DEN_G,"="&amp;DI228,DATA,"&gt;="&amp;INIZIO_A_PC,DATA,"&lt;="&amp;FINE_AC)),"ppd4",IF(AND($BF$9=2,SUMIFS(DARE,DEN_G,"="&amp;DI228,DATA,"&gt;="&amp;INIZIO_A_PC,DATA,"&lt;="&amp;FINE_AC)&gt;SUMIFS(AVERE,DEN_G,"="&amp;DI228,DATA,"&gt;="&amp;INIZIO_A_PC,DATA,"&lt;="&amp;FINE_AC)),"pac4","ppd")))</f>
        <v>ppd</v>
      </c>
      <c r="DW228" s="48">
        <f>IF(DR228&lt;&gt;"",MAX($DW$2:DW227)+1,0)</f>
        <v>0</v>
      </c>
      <c r="DY228" s="48" t="str">
        <f t="shared" ca="1" si="430"/>
        <v/>
      </c>
      <c r="EL228" s="48">
        <f t="shared" ca="1" si="431"/>
        <v>0</v>
      </c>
      <c r="EM228" s="48">
        <f ca="1">IF(EL228&gt;=0,0,MAX($EM$2:EM227)+1)</f>
        <v>0</v>
      </c>
      <c r="EN228" s="48" t="str">
        <f t="shared" ca="1" si="459"/>
        <v/>
      </c>
      <c r="EO228" s="48" t="str">
        <f ca="1">IFERROR(INDEX($EM$3:$EN$400,MATCH(ROWS($EO$3:EO228),$EM$3:$EM$400,0),2),"")</f>
        <v/>
      </c>
      <c r="EP228" s="48">
        <f>ROW()</f>
        <v>228</v>
      </c>
      <c r="EQ228" s="48">
        <f t="shared" ca="1" si="432"/>
        <v>0</v>
      </c>
      <c r="ER228" s="48">
        <f ca="1">IF(ISNA(EQ228)=TRUE,MAX($ER$2:ER227)+1,0)</f>
        <v>0</v>
      </c>
      <c r="ES228" s="48" t="str">
        <f t="shared" ca="1" si="460"/>
        <v/>
      </c>
      <c r="ET228" s="48" t="str">
        <f ca="1">IFERROR(INDEX($ER$3:$ES$400,MATCH(ROWS($ET$3:ET228),$ER$3:$ER$400,0),2),"")</f>
        <v/>
      </c>
      <c r="EV228" s="48">
        <f ca="1">IFERROR(INDEX(LIBRO_GIORNALE!$O$11:$P$408,MATCH(ROWS($EV$2:EV227),LIBRO_GIORNALE!$P$11:$P$408,0),1),0)</f>
        <v>0</v>
      </c>
      <c r="EW228" s="48" t="str">
        <f t="shared" ca="1" si="461"/>
        <v>0</v>
      </c>
      <c r="EX228" s="48">
        <f t="shared" ca="1" si="462"/>
        <v>0</v>
      </c>
      <c r="EY228" s="48">
        <f ca="1">IF(EX228&gt;0,MAX($EY$2:EY227)+1,0)</f>
        <v>0</v>
      </c>
      <c r="EZ228" s="48">
        <f ca="1">IFERROR(INDEX($EX$3:$EX$400,MATCH(ROWS($EZ$3:EZ228),$EY$3:$EY$400,0),1),0)</f>
        <v>0</v>
      </c>
      <c r="FA228" s="48">
        <f ca="1">IF(EZ228&gt;0,0,MAX($FA$2:FA227)+1)</f>
        <v>226</v>
      </c>
      <c r="FB228" s="48">
        <f t="shared" ca="1" si="463"/>
        <v>0</v>
      </c>
      <c r="FC228" s="48">
        <f t="shared" ca="1" si="464"/>
        <v>226</v>
      </c>
      <c r="FD228" s="48">
        <f t="shared" ca="1" si="465"/>
        <v>226</v>
      </c>
      <c r="FE228" s="48">
        <f ca="1">IF(FD228=0,0,MAX($FE$2:FE227)+1)</f>
        <v>226</v>
      </c>
      <c r="FF228" s="48">
        <f ca="1">IFERROR(INDEX($FD$3:$FE$400,MATCH(ROWS($FF$3:FF228),$FE$3:$FE$400,0),1),"")</f>
        <v>226</v>
      </c>
      <c r="FG228" s="48">
        <f t="shared" ca="1" si="380"/>
        <v>0</v>
      </c>
      <c r="FH228" s="48">
        <f t="shared" ca="1" si="466"/>
        <v>0</v>
      </c>
      <c r="FI228" s="48">
        <f ca="1">IF(FH228&lt;&gt;0,MAX($FI$2:FI227)+1,0)</f>
        <v>0</v>
      </c>
      <c r="FJ228" s="48" t="str">
        <f ca="1">IFERROR(INDEX($FH$3:$FI$400,MATCH(ROWS($FJ$3:FJ228),$FI$3:$FI$400,0),1),"")</f>
        <v/>
      </c>
      <c r="FK228" s="48">
        <f ca="1">IF(ABS(SUMIFS(DARE,DEN_G,"="&amp;FJ228,DATA,"&lt;="&amp;FINE_AC,DATA,"&gt;="&amp;INIZIO_A_PC)-SUMIFS(AVERE,DEN_G,"="&amp;FJ228,DATA,"&lt;="&amp;FINE_AC,DATA,"&gt;="&amp;INIZIO_A_PC))&gt;0,MAX($FK$2:FK227)+1,0)</f>
        <v>0</v>
      </c>
      <c r="FL228" s="48" t="str">
        <f ca="1">IF(AND(ROW()-2&lt;&gt;1,ROW()-2&lt;=$FK$1),CONCATENATE(" - ",IFERROR(INDEX($FJ$3:$FK$400,MATCH(ROWS($FL$3:FL228),$FK$3:$FK$400,0),1),"")),IFERROR(INDEX($FJ$3:$FK$400,MATCH(ROWS($FL$3:FL228),$FK$3:$FK$400,0),1),""))</f>
        <v/>
      </c>
      <c r="FM228" s="48">
        <f ca="1">IF(OR(B228="IVA ns/credito",B228="IVA NS/DEBITO",B228="IVA C/ACCONTO",B228="IMPOSTE C/ACCONTO",B228="CREDITI PER RITENUTE SUBITE",B228="CREDITI D'IMPOSTA"),MAX($FM$2:FM227)+1,0)</f>
        <v>0</v>
      </c>
      <c r="FN228" s="48" t="str">
        <f t="shared" ca="1" si="467"/>
        <v/>
      </c>
      <c r="FO228" s="48" t="str">
        <f ca="1">IFERROR(INDEX($FM$3:$FN$400,MATCH(ROWS($FO$3:FO228),$FM$3:$FM$400,0),2),"")</f>
        <v/>
      </c>
      <c r="FP228" s="48">
        <f ca="1">IF(ABS(SUMIFS(DARE,DEN_G,"="&amp;FO228,DATA,"&lt;="&amp;FINE_AC,DATA,"&gt;="&amp;INIZIO_A_PC)-SUMIFS(AVERE,DEN_G,"="&amp;FO228,DATA,"&lt;="&amp;FINE_AC,DATA,"&gt;="&amp;INIZIO_A_PC))&gt;0,MAX($FP$2:FP227)+1,0)</f>
        <v>0</v>
      </c>
      <c r="FQ228" s="48" t="str">
        <f ca="1">IF(AND(ROW()-2&lt;&gt;1,ROW()-2&lt;=$FP$1),CONCATENATE(" - ",IFERROR(INDEX($FO$3:$FP$400,MATCH(ROWS($FQ$3:FQ228),$FP$3:$FP$400,0),1),"")),IFERROR(INDEX($FO$3:$FP$400,MATCH(ROWS($FQ$3:FQ228),$FP$3:$FP$400,0),1),""))</f>
        <v/>
      </c>
    </row>
    <row r="229" spans="1:173" x14ac:dyDescent="0.3">
      <c r="A229" s="48" t="str">
        <f ca="1">IFERROR(IF($A$1=2,INDEX($DH$3:$DN$401,MATCH(ROWS(A$3:A229),$DN$3:$DN$401,0),COLUMN()),IF($A$1=1,INDEX($DQ$3:$DW$401,MATCH(ROWS(A$3:A229),$DW$3:$DW$401,0),COLUMN()),"")),"")</f>
        <v>31.06</v>
      </c>
      <c r="B229" s="48" t="str">
        <f ca="1">IFERROR(IF($A$1=2,INDEX($DH$3:$DN$401,MATCH(ROWS(B$3:B229),$DN$3:$DN$401,0),COLUMN()),IF($A$1=1,INDEX($DQ$3:$DW$400,MATCH(ROWS(B$3:B229),$DW$3:$DW$401,0),COLUMN()),"")),"")</f>
        <v>COSTI DI VIGILANZA</v>
      </c>
      <c r="C229" s="48" t="str">
        <f ca="1">IFERROR(IF($A$1=2,INDEX($DH$3:$DN$401,MATCH(ROWS(C$3:C229),$DN$3:$DN$401,0),COLUMN()),IF($A$1=1,INDEX($DQ$3:$DW$401,MATCH(ROWS(C$3:C229),$DW$3:$DW$401,0),COLUMN()),"")),"")</f>
        <v>E</v>
      </c>
      <c r="D229" s="48" t="str">
        <f ca="1">IFERROR(IF($A$1=2,INDEX($DH$3:$DN$401,MATCH(ROWS(D$3:D229),$DN$3:$DN$401,0),COLUMN()),IF($A$1=1,INDEX($DQ$3:$DW$401,MATCH(ROWS(D$3:D229),$DW$3:$DW$401,0),COLUMN()),"")),"")</f>
        <v>D</v>
      </c>
      <c r="E229" s="48" t="str">
        <f ca="1">IFERROR(IF($A$1=2,INDEX($DH$3:$DN$401,MATCH(ROWS(E$3:E229),$DN$3:$DN$401,0),COLUMN()),IF($A$1=1,INDEX($DQ$3:$DW$401,MATCH(ROWS(E$3:E229),$DW$3:$DW$401,0),COLUMN()),"")),"")</f>
        <v>COSTI D'ESERCIZIO</v>
      </c>
      <c r="F229" s="48" t="str">
        <f ca="1">IFERROR(IF($A$1=2,INDEX($DH$3:$DN$401,MATCH(ROWS(F$3:F229),$DN$3:$DN$401,0),COLUMN()),IF($A$1=1,INDEX($DQ$3:$DX$401,MATCH(ROWS(F$3:F229),$DW$3:$DW$401,0),COLUMN()),"")),"")</f>
        <v>SE DARE</v>
      </c>
      <c r="G229" s="48" t="str">
        <f t="shared" ca="1" si="433"/>
        <v>SE</v>
      </c>
      <c r="H229" s="48" t="str">
        <f ca="1">IFERROR(IF($A$1=2,INDEX($DH$3:$DO$400,MATCH(ROWS(H$3:H229),$DN$3:$DN$400,0),COLUMN()),IF($A$1=1,INDEX($DQ$3:$DX$400,MATCH(ROWS(H$3:H229),$DW$3:$DW$400,0),COLUMN()),"")),"")</f>
        <v>eb7</v>
      </c>
      <c r="M229" s="48">
        <f ca="1">IFERROR(IF(IF(MID($A229,3,3)=".00",MID(A229,1,2),"")&lt;&gt;"",MAX($M$2:M228)+1,0),"")</f>
        <v>0</v>
      </c>
      <c r="N229" s="48" t="str">
        <f t="shared" ca="1" si="438"/>
        <v/>
      </c>
      <c r="O229" s="48" t="str">
        <f ca="1">IF(IFERROR(INDEX($N$3:$O$300,MATCH(ROWS($O$3:O229),$M$3:$M$300,0),1),"")&lt;&gt;"",CONCATENATE(INDEX($N$3:$O$300,MATCH(ROWS($O$3:O229),$M$3:$M$300,0),1),".00"),"")</f>
        <v/>
      </c>
      <c r="P229" s="48" t="str">
        <f t="shared" ca="1" si="439"/>
        <v/>
      </c>
      <c r="Q229" s="48">
        <f ca="1">IF(M229&gt;=1,0,MAX($Q$2:Q228)+1)</f>
        <v>204</v>
      </c>
      <c r="U229" s="48" t="str">
        <f ca="1">IFERROR(INDEX(PDC,MATCH(ROWS(U$3:U229),$V$3:$V$400,0),2),"")</f>
        <v>AMMORTAMENTO COSTI DI SVILUPPO</v>
      </c>
      <c r="V229" s="48">
        <f ca="1">IF(AND($T$1="VISUALIZZA TUTTI I CONTI",AA229&lt;&gt;""),MAX($V$2:V228)+1,IF(AND($U$2=2,AI229=$T$1),MAX($V$2:V228)+1,IF(AND($U$2=1,$T$1=AF229),MAX($V$2:V228)+1,0)))</f>
        <v>227</v>
      </c>
      <c r="AA229" s="48" t="str">
        <f t="shared" ca="1" si="440"/>
        <v>34.00</v>
      </c>
      <c r="AB229" s="48" t="str">
        <f ca="1">IFERROR(INDEX($A$3:$G$400,MATCH(ROWS(AB$3:AB229),$Q$3:$Q$400,0),1),"")</f>
        <v>34.03</v>
      </c>
      <c r="AC229" s="48" t="str">
        <f ca="1">IFERROR(INDEX($A$3:$G$400,MATCH(ROWS($AC$3:AC229),$Q$3:$Q$400,0),2),"")</f>
        <v>AMMORTAMENTO COSTI DI SVILUPPO</v>
      </c>
      <c r="AD229" s="48" t="str">
        <f ca="1">IFERROR(INDEX($A$3:$G$400,MATCH(ROWS(AD$3:AD229),$Q$3:$Q$400,0),3),"")</f>
        <v>E</v>
      </c>
      <c r="AE229" s="48" t="str">
        <f ca="1">IFERROR(INDEX($A$3:$G$400,MATCH(ROWS(AE$3:AE229),$Q$3:$Q$400,0),4),"")</f>
        <v>D</v>
      </c>
      <c r="AF229" s="48" t="str">
        <f ca="1">IFERROR(INDEX($A$3:$G$400,MATCH(ROWS(AF$3:AF229),$Q$3:$Q$400,0),5),"")</f>
        <v>COSTI D'ESERCIZIO</v>
      </c>
      <c r="AG229" s="48" t="str">
        <f ca="1">IFERROR(INDEX($A$3:$G$400,MATCH(ROWS(AG$3:AG229),$Q$3:$Q$400,0),6),"")</f>
        <v>SE DARE</v>
      </c>
      <c r="AH229" s="48" t="str">
        <f ca="1">IFERROR(INDEX($A$3:$G$400,MATCH(ROWS(AH$3:AH229),$Q$3:$Q$400,0),7),"")</f>
        <v>SE</v>
      </c>
      <c r="AI229" s="48" t="str">
        <f t="shared" ca="1" si="441"/>
        <v>AMMORTAMENTI IMMOBILIZZAZIONI IMMATERIALI</v>
      </c>
      <c r="AJ229" s="48" t="str">
        <f ca="1">IFERROR(INDEX($A$3:$H$400,MATCH(ROWS(AJ$3:AJ229),$Q$3:$Q$400,0),8),"")</f>
        <v>eb10a</v>
      </c>
      <c r="AK229" s="48">
        <f t="shared" ca="1" si="417"/>
        <v>0</v>
      </c>
      <c r="AL229" s="48">
        <f t="shared" ca="1" si="473"/>
        <v>0</v>
      </c>
      <c r="AM229" s="48">
        <f t="shared" ca="1" si="377"/>
        <v>0</v>
      </c>
      <c r="AN229" s="48">
        <f t="shared" ca="1" si="378"/>
        <v>0</v>
      </c>
      <c r="AO229" s="48">
        <f t="shared" ca="1" si="379"/>
        <v>0</v>
      </c>
      <c r="AP229" s="48">
        <f t="shared" ca="1" si="379"/>
        <v>0</v>
      </c>
      <c r="AQ229" s="48" t="str">
        <f t="shared" ca="1" si="418"/>
        <v/>
      </c>
      <c r="AR229" s="48">
        <f t="shared" ca="1" si="419"/>
        <v>0</v>
      </c>
      <c r="AS229" s="48">
        <f t="shared" ca="1" si="420"/>
        <v>0</v>
      </c>
      <c r="AT229" s="48">
        <f t="shared" ca="1" si="442"/>
        <v>0</v>
      </c>
      <c r="AU229" s="48">
        <f t="shared" ca="1" si="443"/>
        <v>0</v>
      </c>
      <c r="AV229" s="48">
        <f ca="1">IF(OR(AT229&gt;0,AU229&gt;0),MAX($AV$2:AV228)+1,0)</f>
        <v>0</v>
      </c>
      <c r="AZ229" s="48" t="str">
        <f t="shared" ca="1" si="484"/>
        <v/>
      </c>
      <c r="BA229" s="48">
        <f t="shared" ca="1" si="480"/>
        <v>0</v>
      </c>
      <c r="BB229" s="48">
        <f t="shared" ca="1" si="481"/>
        <v>0</v>
      </c>
      <c r="BC229" s="48">
        <f t="shared" ca="1" si="482"/>
        <v>0</v>
      </c>
      <c r="BD229" s="48">
        <f t="shared" ca="1" si="383"/>
        <v>0</v>
      </c>
      <c r="BE229" s="48">
        <f t="shared" ca="1" si="384"/>
        <v>0</v>
      </c>
      <c r="BF229" s="48">
        <f t="shared" si="485"/>
        <v>29</v>
      </c>
      <c r="BG229" s="48">
        <f ca="1">IF(IF(AND(OR(INDEX(PDC,MATCH($AC229,DEN_PDC,0),6)="SP DARE",INDEX(PDC,MATCH($AC229,DEN_PDC,0),6)="SP DARE/AVERE"),SUMIFS(DARE,DEN_G,$AC229)&gt;=SUMIFS(AVERE,DEN_G,$AC229)),SUMIFS(DARE,DEN_G,$AC229)-SUMIFS(AVERE,DEN_G,$AC229),0)&gt;0,MAX($BG$2:BG228)+1,0)</f>
        <v>0</v>
      </c>
      <c r="BH229" s="48">
        <f ca="1">IF(IF(AND(OR(INDEX(PDC,MATCH($AC229,DEN_PDC,0),6)="SP AVERE",INDEX(PDC,MATCH($AC229,DEN_PDC,0),6)="SP DARE/AVERE"),SUMIFS(AVERE,DEN_G,$AC229)&gt;=SUMIFS(DARE,DEN_G,$AC229)),SUMIFS(AVERE,DEN_G,$AC229)-SUMIFS(DARE,DEN_G,$AC229),0)&gt;0,MAX(BH$2:BH228)+1,0)</f>
        <v>0</v>
      </c>
      <c r="BI229" s="48">
        <f ca="1">IF(IF(AND(OR(INDEX(PDC,MATCH($AC229,DEN_PDC,0),6)="SE DARE",INDEX(PDC,MATCH($AC229,DEN_PDC,0),6)="SE DARE/AVERE"),SUMIFS(DARE,DEN_G,$AC229)&gt;=SUMIFS(AVERE,DEN_G,$AC229)),SUMIFS(DARE,DEN_G,$AC229)-SUMIFS(AVERE,DEN_G,$AC229),0)&gt;0,MAX(BI$2:BI228)+1,0)</f>
        <v>0</v>
      </c>
      <c r="BJ229" s="48">
        <f ca="1">IF(IF(AND(OR(INDEX(PDC,MATCH($AC229,DEN_PDC,0),6)="SE AVERE",INDEX(PDC,MATCH($AC229,DEN_PDC,0),6)="SE DARE/AVERE"),SUMIFS(AVERE,DEN_G,$AC229)&gt;=SUMIFS(DARE,DEN_G,$AC229)),SUMIFS(AVERE,DEN_G,$AC229)-SUMIFS(DARE,DEN_G,$AC229),0)&gt;0,MAX(BJ$2:BJ228)+1,0)</f>
        <v>0</v>
      </c>
      <c r="BK229" s="48" t="str">
        <f ca="1">IF(AND(AND($DY$2=0,$DY$1=0),$I$1=2,ROW()&gt;$BG$1+2,ROW()&lt;=$BG$1+4),"………………..",IF(AND(OR($DY$2&gt;0,$DY$1&gt;0),$I$1=2,ROW()&gt;$BG$1+2,ROW()&lt;=$BG$1+4),"………………..",IFERROR(INDEX($AC$3:$AC$398,MATCH(ROWS(BK$3:BK229),BG$3:BG$398,0),1),"")))</f>
        <v/>
      </c>
      <c r="BL229" s="48">
        <f t="shared" ca="1" si="421"/>
        <v>0</v>
      </c>
      <c r="BM229" s="48" t="str">
        <f ca="1">IF(AND(OR($DY$2=0,$DY$1=0),$I$1=2,ROW()&gt;$BH$1+2,ROW()&lt;=$BH$1+4),"………………..",IF(AND(OR($DY$2&gt;0,$DY$1&gt;0),$I$1=2,ROW()&gt;$BH$1+2,ROW()&lt;=$BH$1+4),"………………..",IFERROR(INDEX($AC$3:$AC$400,MATCH(ROWS(BM$3:BM229),BH$3:BH$400,0),1),"")))</f>
        <v/>
      </c>
      <c r="BN229" s="48">
        <f t="shared" ca="1" si="422"/>
        <v>0</v>
      </c>
      <c r="BO229" s="48" t="str">
        <f ca="1">IF(AND(OR($DY$2=0,$DY$1=0),$I$1=2,ROW()&gt;$BI$1+2,ROW()&lt;=$BI$1+4),"………………..",IF(AND(OR($DY$2&gt;0,$DY$1&gt;0),$I$1=2,ROW()&gt;$BI$1+2,ROW()&lt;=$BI$1+4),"………………..",IFERROR(INDEX($AC$3:$AC$400,MATCH(ROWS(BO$3:BO229),BI$3:BI$400,0),1),"")))</f>
        <v/>
      </c>
      <c r="BP229" s="48">
        <f t="shared" ca="1" si="423"/>
        <v>0</v>
      </c>
      <c r="BQ229" s="48" t="str">
        <f ca="1">IF(AND(OR($DY$2=0,$DY$1=0),$I$1=2,ROW()&gt;$BJ$1+2,ROW()&lt;=$BJ$1+4),"………………..",IF(AND(OR($DY$2&gt;0,$DY$1&gt;0),$I$1=2,ROW()&gt;$BJ$1+2,ROW()&lt;=$BJ$1+4),"………………..",IFERROR(INDEX($AC$3:$AC$400,MATCH(ROWS(BQ$3:BQ229),BJ$3:BJ$400,0),1),"")))</f>
        <v/>
      </c>
      <c r="BR229" s="48">
        <f t="shared" ca="1" si="424"/>
        <v>0</v>
      </c>
      <c r="BS229" s="48">
        <f ca="1">IF(IF(AND(OR(INDEX(PDC,MATCH($AC229,DEN_PDC,0),4)="D",INDEX(PDC,MATCH($AC229,DEN_PDC,0),4)="D/A"),SUMIFS(DARE,DEN_G,$AC229)&gt;=SUMIFS(AVERE,DEN_G,$AC229)),SUMIFS(DARE,DEN_G,$AC229),IF(AND(OR(INDEX(PDC,MATCH($AC229,DEN_PDC,0),4)="A",INDEX(PDC,MATCH($AC229,DEN_PDC,0),4)="D/A"),SUMIFS(AVERE,DEN_G,$AC229)&gt;=SUMIFS(DARE,DEN_G,$AC229)),SUMIFS(AVERE,DEN_G,$AC229),))&gt;0,MAX($BS$2:BS228)+1,0)</f>
        <v>0</v>
      </c>
      <c r="BT229" s="48" t="str">
        <f ca="1">IF($CO$1=0,"",IF(AND($I$1=2,ROW()&gt;$BR$1,ROW()&lt;=$BS$1)," …………….",IF(AND($E$1=1,$BX$1=1,$I$1=2,ROW()=$BQ$1),"TOTALI",IFERROR(INDEX(PDC,MATCH(ROWS(BT$3:BT229),BS$3:BS626,0),2),""))))</f>
        <v/>
      </c>
      <c r="BU229" s="48">
        <f t="shared" ca="1" si="425"/>
        <v>0</v>
      </c>
      <c r="BV229" s="48">
        <f t="shared" ca="1" si="426"/>
        <v>0</v>
      </c>
      <c r="BW229" s="48">
        <f t="shared" ca="1" si="427"/>
        <v>0</v>
      </c>
      <c r="BX229" s="48">
        <f t="shared" ca="1" si="428"/>
        <v>0</v>
      </c>
      <c r="BY229" s="48">
        <f ca="1">IF(OR(BW229&gt;0,BX229&gt;0),MAX($BY$2:BY228)+1,0)</f>
        <v>0</v>
      </c>
      <c r="BZ229" s="48" t="str">
        <f ca="1">IFERROR(INDEX($BT$3:$BY$400,MATCH(ROWS(BZ$3:BZ229),$BY$3:$BY$400,0),1),"")</f>
        <v/>
      </c>
      <c r="CA229" s="48" t="str">
        <f ca="1">IFERROR(INDEX($BT$3:$BY$400,MATCH(ROWS(CA$3:CA229),$BY$3:$BY$400,0),4),"")</f>
        <v/>
      </c>
      <c r="CB229" s="48" t="str">
        <f ca="1">IFERROR(INDEX($BT$3:$BY$400,MATCH(ROWS(CB$3:CB229),$BY$3:$BY$400,0),5),"")</f>
        <v/>
      </c>
      <c r="CC229" s="48" t="str">
        <f t="shared" ca="1" si="429"/>
        <v/>
      </c>
      <c r="CD229" s="48">
        <f ca="1">IF(CE229&lt;&gt;0,MAX($CD$190:CD228)+1,0)</f>
        <v>0</v>
      </c>
      <c r="CE229" s="48">
        <f ca="1">IF(ROUND(SUMIFS(COPIA!$CB$3:$CB$400,COPIA!$CC$3:$CC$400,CF229)-SUMIFS(COPIA!$CA$3:$CA$400,COPIA!$CC$3:$CC$400,CF229),0)&lt;0,0,ROUND(SUMIFS(COPIA!$CB$3:$CB$400,COPIA!$CC$3:$CC$400,CF229)-SUMIFS(COPIA!$CA$3:$CA$400,COPIA!$CC$3:$CC$400,CF229),0))</f>
        <v>0</v>
      </c>
      <c r="CF229" s="48" t="s">
        <v>726</v>
      </c>
      <c r="CG229" s="242" t="s">
        <v>592</v>
      </c>
      <c r="CH229" s="48">
        <f t="shared" ca="1" si="509"/>
        <v>0</v>
      </c>
      <c r="CM229" s="242" t="str">
        <f t="shared" ca="1" si="444"/>
        <v/>
      </c>
      <c r="CN229" s="243">
        <f t="shared" ca="1" si="445"/>
        <v>0</v>
      </c>
      <c r="CO229" s="48" t="str">
        <f t="shared" ca="1" si="446"/>
        <v/>
      </c>
      <c r="CU229" s="48">
        <f ca="1">IF(SUMIFS(AVERE,DEN_G,AC229,AVERE,"&gt;"&amp;0)+SUMIFS(DARE,DEN_G,AC229,DARE,"&gt;"&amp;0)&gt;0,MAX($CU$2:CU228)+1,0)</f>
        <v>0</v>
      </c>
      <c r="CV229" s="48" t="str">
        <f ca="1">IF(IFERROR(INDEX(PDC,MATCH(ROWS($CV$3:CV229),$CU$3:$CU$400,0),2),"")="CONTO DI RISULTATO ECONOMICO","",IFERROR(INDEX(PDC,MATCH(ROWS($CV$3:CV229),$CU$3:$CU$400,0),2),""))</f>
        <v/>
      </c>
      <c r="CW229" s="48">
        <f ca="1">IFERROR(IF(CV229&lt;&gt;"",MAX($CW$2:CW228)+1,0),0)</f>
        <v>0</v>
      </c>
      <c r="CX229" s="48">
        <f t="shared" ca="1" si="507"/>
        <v>18</v>
      </c>
      <c r="CY229" s="48" t="str">
        <f t="shared" ca="1" si="506"/>
        <v>MASTRO</v>
      </c>
      <c r="CZ229" s="48" t="e">
        <f t="shared" ca="1" si="510"/>
        <v>#N/A</v>
      </c>
      <c r="DA229" s="48" t="str">
        <f t="shared" ca="1" si="514"/>
        <v/>
      </c>
      <c r="DB229" s="48" t="str">
        <f t="shared" ca="1" si="499"/>
        <v/>
      </c>
      <c r="DC229" s="48" t="str">
        <f t="shared" ca="1" si="511"/>
        <v/>
      </c>
      <c r="DD229" s="48" t="str">
        <f t="shared" ca="1" si="512"/>
        <v/>
      </c>
      <c r="DE229" s="48" t="str">
        <f t="shared" ca="1" si="513"/>
        <v/>
      </c>
      <c r="DF229" s="48">
        <f ca="1">IF(AND(CX229=$DF$1,CX229&lt;&gt;""),0,IF(AND(DB229&lt;&gt;"",OR(DB228&lt;&gt;"",DB230&lt;&gt;"")),MAX($DF$2:DF228)+1,0))</f>
        <v>0</v>
      </c>
      <c r="DH229" s="244" t="s">
        <v>1097</v>
      </c>
      <c r="DI229" s="48" t="s">
        <v>422</v>
      </c>
      <c r="DJ229" s="48" t="s">
        <v>312</v>
      </c>
      <c r="DK229" s="48" t="s">
        <v>271</v>
      </c>
      <c r="DL229" s="48" t="s">
        <v>1025</v>
      </c>
      <c r="DM229" s="48" t="s">
        <v>302</v>
      </c>
      <c r="DN229" s="48">
        <f ca="1">IF(DI229&lt;&gt;"",MAX($DN$2:DN228)+1,0)</f>
        <v>177</v>
      </c>
      <c r="DO229" s="48" t="str">
        <f ca="1">IF(AND($BF$9=1,SUMIFS(DARE,DEN_G,"="&amp;DI229,DATA,"&gt;="&amp;INIZIO_A_PC,DATA,"&lt;="&amp;FINE_AC)&gt;SUMIFS(AVERE,DEN_G,"="&amp;DI229,DATA,"&gt;="&amp;INIZIO_A_PC,DATA,"&lt;="&amp;FINE_AC)),"pac41",IF(AND($BF$9=1,SUMIFS(DARE,DEN_G,"="&amp;DI229,DATA,"&gt;="&amp;INIZIO_A_PC,DATA,"&lt;="&amp;FINE_AC)&lt;SUMIFS(AVERE,DEN_G,"="&amp;DI229,DATA,"&gt;="&amp;INIZIO_A_PC,DATA,"&lt;="&amp;FINE_AC)),"ppd4",IF(AND($BF$9=2,SUMIFS(DARE,DEN_G,"="&amp;DI229,DATA,"&gt;="&amp;INIZIO_A_PC,DATA,"&lt;="&amp;FINE_AC)&gt;SUMIFS(AVERE,DEN_G,"="&amp;DI229,DATA,"&gt;="&amp;INIZIO_A_PC,DATA,"&lt;="&amp;FINE_AC)),"pac4","ppd")))</f>
        <v>ppd</v>
      </c>
      <c r="DW229" s="48">
        <f>IF(DR229&lt;&gt;"",MAX($DW$2:DW228)+1,0)</f>
        <v>0</v>
      </c>
      <c r="DY229" s="48" t="str">
        <f t="shared" ca="1" si="430"/>
        <v/>
      </c>
      <c r="EL229" s="48">
        <f t="shared" ca="1" si="431"/>
        <v>0</v>
      </c>
      <c r="EM229" s="48">
        <f ca="1">IF(EL229&gt;=0,0,MAX($EM$2:EM228)+1)</f>
        <v>0</v>
      </c>
      <c r="EN229" s="48" t="str">
        <f t="shared" ca="1" si="459"/>
        <v/>
      </c>
      <c r="EO229" s="48" t="str">
        <f ca="1">IFERROR(INDEX($EM$3:$EN$400,MATCH(ROWS($EO$3:EO229),$EM$3:$EM$400,0),2),"")</f>
        <v/>
      </c>
      <c r="EP229" s="48">
        <f>ROW()</f>
        <v>229</v>
      </c>
      <c r="EQ229" s="48">
        <f t="shared" ca="1" si="432"/>
        <v>0</v>
      </c>
      <c r="ER229" s="48">
        <f ca="1">IF(ISNA(EQ229)=TRUE,MAX($ER$2:ER228)+1,0)</f>
        <v>0</v>
      </c>
      <c r="ES229" s="48" t="str">
        <f t="shared" ca="1" si="460"/>
        <v/>
      </c>
      <c r="ET229" s="48" t="str">
        <f ca="1">IFERROR(INDEX($ER$3:$ES$400,MATCH(ROWS($ET$3:ET229),$ER$3:$ER$400,0),2),"")</f>
        <v/>
      </c>
      <c r="EV229" s="48">
        <f ca="1">IFERROR(INDEX(LIBRO_GIORNALE!$O$11:$P$408,MATCH(ROWS($EV$2:EV228),LIBRO_GIORNALE!$P$11:$P$408,0),1),0)</f>
        <v>0</v>
      </c>
      <c r="EW229" s="48" t="str">
        <f t="shared" ca="1" si="461"/>
        <v>0</v>
      </c>
      <c r="EX229" s="48">
        <f t="shared" ca="1" si="462"/>
        <v>0</v>
      </c>
      <c r="EY229" s="48">
        <f ca="1">IF(EX229&gt;0,MAX($EY$2:EY228)+1,0)</f>
        <v>0</v>
      </c>
      <c r="EZ229" s="48">
        <f ca="1">IFERROR(INDEX($EX$3:$EX$400,MATCH(ROWS($EZ$3:EZ229),$EY$3:$EY$400,0),1),0)</f>
        <v>0</v>
      </c>
      <c r="FA229" s="48">
        <f ca="1">IF(EZ229&gt;0,0,MAX($FA$2:FA228)+1)</f>
        <v>227</v>
      </c>
      <c r="FB229" s="48">
        <f t="shared" ca="1" si="463"/>
        <v>0</v>
      </c>
      <c r="FC229" s="48">
        <f t="shared" ca="1" si="464"/>
        <v>227</v>
      </c>
      <c r="FD229" s="48">
        <f t="shared" ca="1" si="465"/>
        <v>227</v>
      </c>
      <c r="FE229" s="48">
        <f ca="1">IF(FD229=0,0,MAX($FE$2:FE228)+1)</f>
        <v>227</v>
      </c>
      <c r="FF229" s="48">
        <f ca="1">IFERROR(INDEX($FD$3:$FE$400,MATCH(ROWS($FF$3:FF229),$FE$3:$FE$400,0),1),"")</f>
        <v>227</v>
      </c>
      <c r="FG229" s="48">
        <f t="shared" ca="1" si="380"/>
        <v>0</v>
      </c>
      <c r="FH229" s="48">
        <f t="shared" ca="1" si="466"/>
        <v>0</v>
      </c>
      <c r="FI229" s="48">
        <f ca="1">IF(FH229&lt;&gt;0,MAX($FI$2:FI228)+1,0)</f>
        <v>0</v>
      </c>
      <c r="FJ229" s="48" t="str">
        <f ca="1">IFERROR(INDEX($FH$3:$FI$400,MATCH(ROWS($FJ$3:FJ229),$FI$3:$FI$400,0),1),"")</f>
        <v/>
      </c>
      <c r="FK229" s="48">
        <f ca="1">IF(ABS(SUMIFS(DARE,DEN_G,"="&amp;FJ229,DATA,"&lt;="&amp;FINE_AC,DATA,"&gt;="&amp;INIZIO_A_PC)-SUMIFS(AVERE,DEN_G,"="&amp;FJ229,DATA,"&lt;="&amp;FINE_AC,DATA,"&gt;="&amp;INIZIO_A_PC))&gt;0,MAX($FK$2:FK228)+1,0)</f>
        <v>0</v>
      </c>
      <c r="FL229" s="48" t="str">
        <f ca="1">IF(AND(ROW()-2&lt;&gt;1,ROW()-2&lt;=$FK$1),CONCATENATE(" - ",IFERROR(INDEX($FJ$3:$FK$400,MATCH(ROWS($FL$3:FL229),$FK$3:$FK$400,0),1),"")),IFERROR(INDEX($FJ$3:$FK$400,MATCH(ROWS($FL$3:FL229),$FK$3:$FK$400,0),1),""))</f>
        <v/>
      </c>
      <c r="FM229" s="48">
        <f ca="1">IF(OR(B229="IVA ns/credito",B229="IVA NS/DEBITO",B229="IVA C/ACCONTO",B229="IMPOSTE C/ACCONTO",B229="CREDITI PER RITENUTE SUBITE",B229="CREDITI D'IMPOSTA"),MAX($FM$2:FM228)+1,0)</f>
        <v>0</v>
      </c>
      <c r="FN229" s="48" t="str">
        <f t="shared" ca="1" si="467"/>
        <v/>
      </c>
      <c r="FO229" s="48" t="str">
        <f ca="1">IFERROR(INDEX($FM$3:$FN$400,MATCH(ROWS($FO$3:FO229),$FM$3:$FM$400,0),2),"")</f>
        <v/>
      </c>
      <c r="FP229" s="48">
        <f ca="1">IF(ABS(SUMIFS(DARE,DEN_G,"="&amp;FO229,DATA,"&lt;="&amp;FINE_AC,DATA,"&gt;="&amp;INIZIO_A_PC)-SUMIFS(AVERE,DEN_G,"="&amp;FO229,DATA,"&lt;="&amp;FINE_AC,DATA,"&gt;="&amp;INIZIO_A_PC))&gt;0,MAX($FP$2:FP228)+1,0)</f>
        <v>0</v>
      </c>
      <c r="FQ229" s="48" t="str">
        <f ca="1">IF(AND(ROW()-2&lt;&gt;1,ROW()-2&lt;=$FP$1),CONCATENATE(" - ",IFERROR(INDEX($FO$3:$FP$400,MATCH(ROWS($FQ$3:FQ229),$FP$3:$FP$400,0),1),"")),IFERROR(INDEX($FO$3:$FP$400,MATCH(ROWS($FQ$3:FQ229),$FP$3:$FP$400,0),1),""))</f>
        <v/>
      </c>
    </row>
    <row r="230" spans="1:173" x14ac:dyDescent="0.3">
      <c r="A230" s="48" t="str">
        <f ca="1">IFERROR(IF($A$1=2,INDEX($DH$3:$DN$401,MATCH(ROWS(A$3:A230),$DN$3:$DN$401,0),COLUMN()),IF($A$1=1,INDEX($DQ$3:$DW$401,MATCH(ROWS(A$3:A230),$DW$3:$DW$401,0),COLUMN()),"")),"")</f>
        <v>31.07</v>
      </c>
      <c r="B230" s="48" t="str">
        <f ca="1">IFERROR(IF($A$1=2,INDEX($DH$3:$DN$401,MATCH(ROWS(B$3:B230),$DN$3:$DN$401,0),COLUMN()),IF($A$1=1,INDEX($DQ$3:$DW$400,MATCH(ROWS(B$3:B230),$DW$3:$DW$401,0),COLUMN()),"")),"")</f>
        <v>COSTI POSTALI</v>
      </c>
      <c r="C230" s="48" t="str">
        <f ca="1">IFERROR(IF($A$1=2,INDEX($DH$3:$DN$401,MATCH(ROWS(C$3:C230),$DN$3:$DN$401,0),COLUMN()),IF($A$1=1,INDEX($DQ$3:$DW$401,MATCH(ROWS(C$3:C230),$DW$3:$DW$401,0),COLUMN()),"")),"")</f>
        <v>E</v>
      </c>
      <c r="D230" s="48" t="str">
        <f ca="1">IFERROR(IF($A$1=2,INDEX($DH$3:$DN$401,MATCH(ROWS(D$3:D230),$DN$3:$DN$401,0),COLUMN()),IF($A$1=1,INDEX($DQ$3:$DW$401,MATCH(ROWS(D$3:D230),$DW$3:$DW$401,0),COLUMN()),"")),"")</f>
        <v>D</v>
      </c>
      <c r="E230" s="48" t="str">
        <f ca="1">IFERROR(IF($A$1=2,INDEX($DH$3:$DN$401,MATCH(ROWS(E$3:E230),$DN$3:$DN$401,0),COLUMN()),IF($A$1=1,INDEX($DQ$3:$DW$401,MATCH(ROWS(E$3:E230),$DW$3:$DW$401,0),COLUMN()),"")),"")</f>
        <v>COSTI D'ESERCIZIO</v>
      </c>
      <c r="F230" s="48" t="str">
        <f ca="1">IFERROR(IF($A$1=2,INDEX($DH$3:$DN$401,MATCH(ROWS(F$3:F230),$DN$3:$DN$401,0),COLUMN()),IF($A$1=1,INDEX($DQ$3:$DX$401,MATCH(ROWS(F$3:F230),$DW$3:$DW$401,0),COLUMN()),"")),"")</f>
        <v>SE DARE</v>
      </c>
      <c r="G230" s="48" t="str">
        <f t="shared" ca="1" si="433"/>
        <v>SE</v>
      </c>
      <c r="H230" s="48" t="str">
        <f ca="1">IFERROR(IF($A$1=2,INDEX($DH$3:$DO$400,MATCH(ROWS(H$3:H230),$DN$3:$DN$400,0),COLUMN()),IF($A$1=1,INDEX($DQ$3:$DX$400,MATCH(ROWS(H$3:H230),$DW$3:$DW$400,0),COLUMN()),"")),"")</f>
        <v>eb7</v>
      </c>
      <c r="M230" s="48">
        <f ca="1">IFERROR(IF(IF(MID($A230,3,3)=".00",MID(A230,1,2),"")&lt;&gt;"",MAX($M$2:M229)+1,0),"")</f>
        <v>0</v>
      </c>
      <c r="N230" s="48" t="str">
        <f t="shared" ca="1" si="438"/>
        <v/>
      </c>
      <c r="O230" s="48" t="str">
        <f ca="1">IF(IFERROR(INDEX($N$3:$O$300,MATCH(ROWS($O$3:O230),$M$3:$M$300,0),1),"")&lt;&gt;"",CONCATENATE(INDEX($N$3:$O$300,MATCH(ROWS($O$3:O230),$M$3:$M$300,0),1),".00"),"")</f>
        <v/>
      </c>
      <c r="P230" s="48" t="str">
        <f t="shared" ca="1" si="439"/>
        <v/>
      </c>
      <c r="Q230" s="48">
        <f ca="1">IF(M230&gt;=1,0,MAX($Q$2:Q229)+1)</f>
        <v>205</v>
      </c>
      <c r="U230" s="48" t="str">
        <f ca="1">IFERROR(INDEX(PDC,MATCH(ROWS(U$3:U230),$V$3:$V$400,0),2),"")</f>
        <v>AMMORTAMENTO BREVETTI</v>
      </c>
      <c r="V230" s="48">
        <f ca="1">IF(AND($T$1="VISUALIZZA TUTTI I CONTI",AA230&lt;&gt;""),MAX($V$2:V229)+1,IF(AND($U$2=2,AI230=$T$1),MAX($V$2:V229)+1,IF(AND($U$2=1,$T$1=AF230),MAX($V$2:V229)+1,0)))</f>
        <v>228</v>
      </c>
      <c r="AA230" s="48" t="str">
        <f t="shared" ca="1" si="440"/>
        <v>34.00</v>
      </c>
      <c r="AB230" s="48" t="str">
        <f ca="1">IFERROR(INDEX($A$3:$G$400,MATCH(ROWS(AB$3:AB230),$Q$3:$Q$400,0),1),"")</f>
        <v>34.04</v>
      </c>
      <c r="AC230" s="48" t="str">
        <f ca="1">IFERROR(INDEX($A$3:$G$400,MATCH(ROWS($AC$3:AC230),$Q$3:$Q$400,0),2),"")</f>
        <v>AMMORTAMENTO BREVETTI</v>
      </c>
      <c r="AD230" s="48" t="str">
        <f ca="1">IFERROR(INDEX($A$3:$G$400,MATCH(ROWS(AD$3:AD230),$Q$3:$Q$400,0),3),"")</f>
        <v>E</v>
      </c>
      <c r="AE230" s="48" t="str">
        <f ca="1">IFERROR(INDEX($A$3:$G$400,MATCH(ROWS(AE$3:AE230),$Q$3:$Q$400,0),4),"")</f>
        <v>D</v>
      </c>
      <c r="AF230" s="48" t="str">
        <f ca="1">IFERROR(INDEX($A$3:$G$400,MATCH(ROWS(AF$3:AF230),$Q$3:$Q$400,0),5),"")</f>
        <v>COSTI D'ESERCIZIO</v>
      </c>
      <c r="AG230" s="48" t="str">
        <f ca="1">IFERROR(INDEX($A$3:$G$400,MATCH(ROWS(AG$3:AG230),$Q$3:$Q$400,0),6),"")</f>
        <v>SE DARE</v>
      </c>
      <c r="AH230" s="48" t="str">
        <f ca="1">IFERROR(INDEX($A$3:$G$400,MATCH(ROWS(AH$3:AH230),$Q$3:$Q$400,0),7),"")</f>
        <v>SE</v>
      </c>
      <c r="AI230" s="48" t="str">
        <f t="shared" ca="1" si="441"/>
        <v>AMMORTAMENTI IMMOBILIZZAZIONI IMMATERIALI</v>
      </c>
      <c r="AJ230" s="48" t="str">
        <f ca="1">IFERROR(INDEX($A$3:$H$400,MATCH(ROWS(AJ$3:AJ230),$Q$3:$Q$400,0),8),"")</f>
        <v>eb10a</v>
      </c>
      <c r="AK230" s="48">
        <f t="shared" ca="1" si="417"/>
        <v>0</v>
      </c>
      <c r="AL230" s="48">
        <f t="shared" ca="1" si="473"/>
        <v>0</v>
      </c>
      <c r="AM230" s="48">
        <f t="shared" ca="1" si="377"/>
        <v>0</v>
      </c>
      <c r="AN230" s="48">
        <f t="shared" ca="1" si="378"/>
        <v>0</v>
      </c>
      <c r="AO230" s="48">
        <f t="shared" ca="1" si="379"/>
        <v>0</v>
      </c>
      <c r="AP230" s="48">
        <f t="shared" ca="1" si="379"/>
        <v>0</v>
      </c>
      <c r="AQ230" s="48" t="str">
        <f t="shared" ca="1" si="418"/>
        <v/>
      </c>
      <c r="AR230" s="48">
        <f t="shared" ca="1" si="419"/>
        <v>0</v>
      </c>
      <c r="AS230" s="48">
        <f t="shared" ca="1" si="420"/>
        <v>0</v>
      </c>
      <c r="AT230" s="48">
        <f t="shared" ca="1" si="442"/>
        <v>0</v>
      </c>
      <c r="AU230" s="48">
        <f t="shared" ca="1" si="443"/>
        <v>0</v>
      </c>
      <c r="AV230" s="48">
        <f ca="1">IF(OR(AT230&gt;0,AU230&gt;0),MAX($AV$2:AV229)+1,0)</f>
        <v>0</v>
      </c>
      <c r="AZ230" s="48" t="str">
        <f t="shared" ca="1" si="484"/>
        <v/>
      </c>
      <c r="BA230" s="48">
        <f t="shared" ca="1" si="480"/>
        <v>0</v>
      </c>
      <c r="BB230" s="48">
        <f t="shared" ca="1" si="481"/>
        <v>0</v>
      </c>
      <c r="BC230" s="48">
        <f t="shared" ca="1" si="482"/>
        <v>0</v>
      </c>
      <c r="BD230" s="48">
        <f t="shared" ca="1" si="383"/>
        <v>0</v>
      </c>
      <c r="BE230" s="48">
        <f t="shared" ca="1" si="384"/>
        <v>0</v>
      </c>
      <c r="BF230" s="48">
        <f t="shared" si="485"/>
        <v>30</v>
      </c>
      <c r="BG230" s="48">
        <f ca="1">IF(IF(AND(OR(INDEX(PDC,MATCH($AC230,DEN_PDC,0),6)="SP DARE",INDEX(PDC,MATCH($AC230,DEN_PDC,0),6)="SP DARE/AVERE"),SUMIFS(DARE,DEN_G,$AC230)&gt;=SUMIFS(AVERE,DEN_G,$AC230)),SUMIFS(DARE,DEN_G,$AC230)-SUMIFS(AVERE,DEN_G,$AC230),0)&gt;0,MAX($BG$2:BG229)+1,0)</f>
        <v>0</v>
      </c>
      <c r="BH230" s="48">
        <f ca="1">IF(IF(AND(OR(INDEX(PDC,MATCH($AC230,DEN_PDC,0),6)="SP AVERE",INDEX(PDC,MATCH($AC230,DEN_PDC,0),6)="SP DARE/AVERE"),SUMIFS(AVERE,DEN_G,$AC230)&gt;=SUMIFS(DARE,DEN_G,$AC230)),SUMIFS(AVERE,DEN_G,$AC230)-SUMIFS(DARE,DEN_G,$AC230),0)&gt;0,MAX(BH$2:BH229)+1,0)</f>
        <v>0</v>
      </c>
      <c r="BI230" s="48">
        <f ca="1">IF(IF(AND(OR(INDEX(PDC,MATCH($AC230,DEN_PDC,0),6)="SE DARE",INDEX(PDC,MATCH($AC230,DEN_PDC,0),6)="SE DARE/AVERE"),SUMIFS(DARE,DEN_G,$AC230)&gt;=SUMIFS(AVERE,DEN_G,$AC230)),SUMIFS(DARE,DEN_G,$AC230)-SUMIFS(AVERE,DEN_G,$AC230),0)&gt;0,MAX(BI$2:BI229)+1,0)</f>
        <v>0</v>
      </c>
      <c r="BJ230" s="48">
        <f ca="1">IF(IF(AND(OR(INDEX(PDC,MATCH($AC230,DEN_PDC,0),6)="SE AVERE",INDEX(PDC,MATCH($AC230,DEN_PDC,0),6)="SE DARE/AVERE"),SUMIFS(AVERE,DEN_G,$AC230)&gt;=SUMIFS(DARE,DEN_G,$AC230)),SUMIFS(AVERE,DEN_G,$AC230)-SUMIFS(DARE,DEN_G,$AC230),0)&gt;0,MAX(BJ$2:BJ229)+1,0)</f>
        <v>0</v>
      </c>
      <c r="BK230" s="48" t="str">
        <f ca="1">IF(AND(AND($DY$2=0,$DY$1=0),$I$1=2,ROW()&gt;$BG$1+2,ROW()&lt;=$BG$1+4),"………………..",IF(AND(OR($DY$2&gt;0,$DY$1&gt;0),$I$1=2,ROW()&gt;$BG$1+2,ROW()&lt;=$BG$1+4),"………………..",IFERROR(INDEX($AC$3:$AC$398,MATCH(ROWS(BK$3:BK230),BG$3:BG$398,0),1),"")))</f>
        <v/>
      </c>
      <c r="BL230" s="48">
        <f t="shared" ca="1" si="421"/>
        <v>0</v>
      </c>
      <c r="BM230" s="48" t="str">
        <f ca="1">IF(AND(OR($DY$2=0,$DY$1=0),$I$1=2,ROW()&gt;$BH$1+2,ROW()&lt;=$BH$1+4),"………………..",IF(AND(OR($DY$2&gt;0,$DY$1&gt;0),$I$1=2,ROW()&gt;$BH$1+2,ROW()&lt;=$BH$1+4),"………………..",IFERROR(INDEX($AC$3:$AC$400,MATCH(ROWS(BM$3:BM230),BH$3:BH$400,0),1),"")))</f>
        <v/>
      </c>
      <c r="BN230" s="48">
        <f t="shared" ca="1" si="422"/>
        <v>0</v>
      </c>
      <c r="BO230" s="48" t="str">
        <f ca="1">IF(AND(OR($DY$2=0,$DY$1=0),$I$1=2,ROW()&gt;$BI$1+2,ROW()&lt;=$BI$1+4),"………………..",IF(AND(OR($DY$2&gt;0,$DY$1&gt;0),$I$1=2,ROW()&gt;$BI$1+2,ROW()&lt;=$BI$1+4),"………………..",IFERROR(INDEX($AC$3:$AC$400,MATCH(ROWS(BO$3:BO230),BI$3:BI$400,0),1),"")))</f>
        <v/>
      </c>
      <c r="BP230" s="48">
        <f t="shared" ca="1" si="423"/>
        <v>0</v>
      </c>
      <c r="BQ230" s="48" t="str">
        <f ca="1">IF(AND(OR($DY$2=0,$DY$1=0),$I$1=2,ROW()&gt;$BJ$1+2,ROW()&lt;=$BJ$1+4),"………………..",IF(AND(OR($DY$2&gt;0,$DY$1&gt;0),$I$1=2,ROW()&gt;$BJ$1+2,ROW()&lt;=$BJ$1+4),"………………..",IFERROR(INDEX($AC$3:$AC$400,MATCH(ROWS(BQ$3:BQ230),BJ$3:BJ$400,0),1),"")))</f>
        <v/>
      </c>
      <c r="BR230" s="48">
        <f t="shared" ca="1" si="424"/>
        <v>0</v>
      </c>
      <c r="BS230" s="48">
        <f ca="1">IF(IF(AND(OR(INDEX(PDC,MATCH($AC230,DEN_PDC,0),4)="D",INDEX(PDC,MATCH($AC230,DEN_PDC,0),4)="D/A"),SUMIFS(DARE,DEN_G,$AC230)&gt;=SUMIFS(AVERE,DEN_G,$AC230)),SUMIFS(DARE,DEN_G,$AC230),IF(AND(OR(INDEX(PDC,MATCH($AC230,DEN_PDC,0),4)="A",INDEX(PDC,MATCH($AC230,DEN_PDC,0),4)="D/A"),SUMIFS(AVERE,DEN_G,$AC230)&gt;=SUMIFS(DARE,DEN_G,$AC230)),SUMIFS(AVERE,DEN_G,$AC230),))&gt;0,MAX($BS$2:BS229)+1,0)</f>
        <v>0</v>
      </c>
      <c r="BT230" s="48" t="str">
        <f ca="1">IF($CO$1=0,"",IF(AND($I$1=2,ROW()&gt;$BR$1,ROW()&lt;=$BS$1)," …………….",IF(AND($E$1=1,$BX$1=1,$I$1=2,ROW()=$BQ$1),"TOTALI",IFERROR(INDEX(PDC,MATCH(ROWS(BT$3:BT230),BS$3:BS627,0),2),""))))</f>
        <v/>
      </c>
      <c r="BU230" s="48">
        <f t="shared" ca="1" si="425"/>
        <v>0</v>
      </c>
      <c r="BV230" s="48">
        <f t="shared" ca="1" si="426"/>
        <v>0</v>
      </c>
      <c r="BW230" s="48">
        <f t="shared" ca="1" si="427"/>
        <v>0</v>
      </c>
      <c r="BX230" s="48">
        <f t="shared" ca="1" si="428"/>
        <v>0</v>
      </c>
      <c r="BY230" s="48">
        <f ca="1">IF(OR(BW230&gt;0,BX230&gt;0),MAX($BY$2:BY229)+1,0)</f>
        <v>0</v>
      </c>
      <c r="BZ230" s="48" t="str">
        <f ca="1">IFERROR(INDEX($BT$3:$BY$400,MATCH(ROWS(BZ$3:BZ230),$BY$3:$BY$400,0),1),"")</f>
        <v/>
      </c>
      <c r="CA230" s="48" t="str">
        <f ca="1">IFERROR(INDEX($BT$3:$BY$400,MATCH(ROWS(CA$3:CA230),$BY$3:$BY$400,0),4),"")</f>
        <v/>
      </c>
      <c r="CB230" s="48" t="str">
        <f ca="1">IFERROR(INDEX($BT$3:$BY$400,MATCH(ROWS(CB$3:CB230),$BY$3:$BY$400,0),5),"")</f>
        <v/>
      </c>
      <c r="CC230" s="48" t="str">
        <f t="shared" ca="1" si="429"/>
        <v/>
      </c>
      <c r="CD230" s="48">
        <f ca="1">IF(CE230&lt;&gt;0,MAX($CD$190:CD229)+1,0)</f>
        <v>0</v>
      </c>
      <c r="CE230" s="48">
        <f ca="1">ROUND(SUMIFS(COPIA!$CB$3:$CB$400,COPIA!$CC$3:$CC$400,CF230)-SUMIFS(COPIA!$CA$3:$CA$400,COPIA!$CC$3:$CC$400,CF230),0)</f>
        <v>0</v>
      </c>
      <c r="CF230" s="48" t="s">
        <v>728</v>
      </c>
      <c r="CG230" s="242" t="s">
        <v>593</v>
      </c>
      <c r="CH230" s="48">
        <f t="shared" ca="1" si="509"/>
        <v>0</v>
      </c>
      <c r="CM230" s="242" t="str">
        <f t="shared" ca="1" si="444"/>
        <v/>
      </c>
      <c r="CN230" s="243">
        <f t="shared" ca="1" si="445"/>
        <v>0</v>
      </c>
      <c r="CO230" s="48" t="str">
        <f t="shared" ca="1" si="446"/>
        <v/>
      </c>
      <c r="CU230" s="48">
        <f ca="1">IF(SUMIFS(AVERE,DEN_G,AC230,AVERE,"&gt;"&amp;0)+SUMIFS(DARE,DEN_G,AC230,DARE,"&gt;"&amp;0)&gt;0,MAX($CU$2:CU229)+1,0)</f>
        <v>0</v>
      </c>
      <c r="CV230" s="48" t="str">
        <f ca="1">IF(IFERROR(INDEX(PDC,MATCH(ROWS($CV$3:CV230),$CU$3:$CU$400,0),2),"")="CONTO DI RISULTATO ECONOMICO","",IFERROR(INDEX(PDC,MATCH(ROWS($CV$3:CV230),$CU$3:$CU$400,0),2),""))</f>
        <v/>
      </c>
      <c r="CW230" s="48">
        <f ca="1">IFERROR(IF(CV230&lt;&gt;"",MAX($CW$2:CW229)+1,0),0)</f>
        <v>0</v>
      </c>
      <c r="CX230" s="48">
        <f t="shared" ca="1" si="507"/>
        <v>18</v>
      </c>
      <c r="CY230" s="48" t="str">
        <f t="shared" ca="1" si="506"/>
        <v>MASTRO</v>
      </c>
      <c r="CZ230" s="48" t="e">
        <f t="shared" ca="1" si="510"/>
        <v>#N/A</v>
      </c>
      <c r="DA230" s="48" t="str">
        <f t="shared" ca="1" si="514"/>
        <v/>
      </c>
      <c r="DB230" s="48" t="str">
        <f t="shared" ca="1" si="499"/>
        <v/>
      </c>
      <c r="DC230" s="48" t="str">
        <f t="shared" ca="1" si="511"/>
        <v/>
      </c>
      <c r="DD230" s="48" t="str">
        <f t="shared" ca="1" si="512"/>
        <v/>
      </c>
      <c r="DE230" s="48" t="str">
        <f t="shared" ca="1" si="513"/>
        <v/>
      </c>
      <c r="DF230" s="48">
        <f ca="1">IF(AND(CX230=$DF$1,CX230&lt;&gt;""),0,IF(AND(DB230&lt;&gt;"",OR(DB229&lt;&gt;"",DB231&lt;&gt;"")),MAX($DF$2:DF229)+1,0))</f>
        <v>0</v>
      </c>
      <c r="DH230" s="244" t="s">
        <v>160</v>
      </c>
      <c r="DI230" s="228" t="s">
        <v>287</v>
      </c>
      <c r="DN230" s="48">
        <f ca="1">IF(DI230&lt;&gt;"",MAX($DN$2:DN229)+1,0)</f>
        <v>178</v>
      </c>
      <c r="DW230" s="48">
        <f>IF(DR230&lt;&gt;"",MAX($DW$2:DW229)+1,0)</f>
        <v>0</v>
      </c>
      <c r="DY230" s="48" t="str">
        <f t="shared" ca="1" si="430"/>
        <v/>
      </c>
      <c r="EL230" s="48">
        <f t="shared" ca="1" si="431"/>
        <v>0</v>
      </c>
      <c r="EM230" s="48">
        <f ca="1">IF(EL230&gt;=0,0,MAX($EM$2:EM229)+1)</f>
        <v>0</v>
      </c>
      <c r="EN230" s="48" t="str">
        <f t="shared" ca="1" si="459"/>
        <v/>
      </c>
      <c r="EO230" s="48" t="str">
        <f ca="1">IFERROR(INDEX($EM$3:$EN$400,MATCH(ROWS($EO$3:EO230),$EM$3:$EM$400,0),2),"")</f>
        <v/>
      </c>
      <c r="EP230" s="48">
        <f>ROW()</f>
        <v>230</v>
      </c>
      <c r="EQ230" s="48">
        <f t="shared" ca="1" si="432"/>
        <v>0</v>
      </c>
      <c r="ER230" s="48">
        <f ca="1">IF(ISNA(EQ230)=TRUE,MAX($ER$2:ER229)+1,0)</f>
        <v>0</v>
      </c>
      <c r="ES230" s="48" t="str">
        <f t="shared" ca="1" si="460"/>
        <v/>
      </c>
      <c r="ET230" s="48" t="str">
        <f ca="1">IFERROR(INDEX($ER$3:$ES$400,MATCH(ROWS($ET$3:ET230),$ER$3:$ER$400,0),2),"")</f>
        <v/>
      </c>
      <c r="EV230" s="48">
        <f ca="1">IFERROR(INDEX(LIBRO_GIORNALE!$O$11:$P$408,MATCH(ROWS($EV$2:EV229),LIBRO_GIORNALE!$P$11:$P$408,0),1),0)</f>
        <v>0</v>
      </c>
      <c r="EW230" s="48" t="str">
        <f t="shared" ca="1" si="461"/>
        <v>0</v>
      </c>
      <c r="EX230" s="48">
        <f t="shared" ca="1" si="462"/>
        <v>0</v>
      </c>
      <c r="EY230" s="48">
        <f ca="1">IF(EX230&gt;0,MAX($EY$2:EY229)+1,0)</f>
        <v>0</v>
      </c>
      <c r="EZ230" s="48">
        <f ca="1">IFERROR(INDEX($EX$3:$EX$400,MATCH(ROWS($EZ$3:EZ230),$EY$3:$EY$400,0),1),0)</f>
        <v>0</v>
      </c>
      <c r="FA230" s="48">
        <f ca="1">IF(EZ230&gt;0,0,MAX($FA$2:FA229)+1)</f>
        <v>228</v>
      </c>
      <c r="FB230" s="48">
        <f t="shared" ca="1" si="463"/>
        <v>0</v>
      </c>
      <c r="FC230" s="48">
        <f t="shared" ca="1" si="464"/>
        <v>228</v>
      </c>
      <c r="FD230" s="48">
        <f t="shared" ca="1" si="465"/>
        <v>228</v>
      </c>
      <c r="FE230" s="48">
        <f ca="1">IF(FD230=0,0,MAX($FE$2:FE229)+1)</f>
        <v>228</v>
      </c>
      <c r="FF230" s="48">
        <f ca="1">IFERROR(INDEX($FD$3:$FE$400,MATCH(ROWS($FF$3:FF230),$FE$3:$FE$400,0),1),"")</f>
        <v>228</v>
      </c>
      <c r="FG230" s="48">
        <f t="shared" ca="1" si="380"/>
        <v>0</v>
      </c>
      <c r="FH230" s="48">
        <f t="shared" ca="1" si="466"/>
        <v>0</v>
      </c>
      <c r="FI230" s="48">
        <f ca="1">IF(FH230&lt;&gt;0,MAX($FI$2:FI229)+1,0)</f>
        <v>0</v>
      </c>
      <c r="FJ230" s="48" t="str">
        <f ca="1">IFERROR(INDEX($FH$3:$FI$400,MATCH(ROWS($FJ$3:FJ230),$FI$3:$FI$400,0),1),"")</f>
        <v/>
      </c>
      <c r="FK230" s="48">
        <f ca="1">IF(ABS(SUMIFS(DARE,DEN_G,"="&amp;FJ230,DATA,"&lt;="&amp;FINE_AC,DATA,"&gt;="&amp;INIZIO_A_PC)-SUMIFS(AVERE,DEN_G,"="&amp;FJ230,DATA,"&lt;="&amp;FINE_AC,DATA,"&gt;="&amp;INIZIO_A_PC))&gt;0,MAX($FK$2:FK229)+1,0)</f>
        <v>0</v>
      </c>
      <c r="FL230" s="48" t="str">
        <f ca="1">IF(AND(ROW()-2&lt;&gt;1,ROW()-2&lt;=$FK$1),CONCATENATE(" - ",IFERROR(INDEX($FJ$3:$FK$400,MATCH(ROWS($FL$3:FL230),$FK$3:$FK$400,0),1),"")),IFERROR(INDEX($FJ$3:$FK$400,MATCH(ROWS($FL$3:FL230),$FK$3:$FK$400,0),1),""))</f>
        <v/>
      </c>
      <c r="FM230" s="48">
        <f ca="1">IF(OR(B230="IVA ns/credito",B230="IVA NS/DEBITO",B230="IVA C/ACCONTO",B230="IMPOSTE C/ACCONTO",B230="CREDITI PER RITENUTE SUBITE",B230="CREDITI D'IMPOSTA"),MAX($FM$2:FM229)+1,0)</f>
        <v>0</v>
      </c>
      <c r="FN230" s="48" t="str">
        <f t="shared" ca="1" si="467"/>
        <v/>
      </c>
      <c r="FO230" s="48" t="str">
        <f ca="1">IFERROR(INDEX($FM$3:$FN$400,MATCH(ROWS($FO$3:FO230),$FM$3:$FM$400,0),2),"")</f>
        <v/>
      </c>
      <c r="FP230" s="48">
        <f ca="1">IF(ABS(SUMIFS(DARE,DEN_G,"="&amp;FO230,DATA,"&lt;="&amp;FINE_AC,DATA,"&gt;="&amp;INIZIO_A_PC)-SUMIFS(AVERE,DEN_G,"="&amp;FO230,DATA,"&lt;="&amp;FINE_AC,DATA,"&gt;="&amp;INIZIO_A_PC))&gt;0,MAX($FP$2:FP229)+1,0)</f>
        <v>0</v>
      </c>
      <c r="FQ230" s="48" t="str">
        <f ca="1">IF(AND(ROW()-2&lt;&gt;1,ROW()-2&lt;=$FP$1),CONCATENATE(" - ",IFERROR(INDEX($FO$3:$FP$400,MATCH(ROWS($FQ$3:FQ230),$FP$3:$FP$400,0),1),"")),IFERROR(INDEX($FO$3:$FP$400,MATCH(ROWS($FQ$3:FQ230),$FP$3:$FP$400,0),1),""))</f>
        <v/>
      </c>
    </row>
    <row r="231" spans="1:173" x14ac:dyDescent="0.3">
      <c r="A231" s="48" t="str">
        <f ca="1">IFERROR(IF($A$1=2,INDEX($DH$3:$DN$401,MATCH(ROWS(A$3:A231),$DN$3:$DN$401,0),COLUMN()),IF($A$1=1,INDEX($DQ$3:$DW$401,MATCH(ROWS(A$3:A231),$DW$3:$DW$401,0),COLUMN()),"")),"")</f>
        <v>31.08</v>
      </c>
      <c r="B231" s="48" t="str">
        <f ca="1">IFERROR(IF($A$1=2,INDEX($DH$3:$DN$401,MATCH(ROWS(B$3:B231),$DN$3:$DN$401,0),COLUMN()),IF($A$1=1,INDEX($DQ$3:$DW$400,MATCH(ROWS(B$3:B231),$DW$3:$DW$401,0),COLUMN()),"")),"")</f>
        <v>ASSICURAZIONI</v>
      </c>
      <c r="C231" s="48" t="str">
        <f ca="1">IFERROR(IF($A$1=2,INDEX($DH$3:$DN$401,MATCH(ROWS(C$3:C231),$DN$3:$DN$401,0),COLUMN()),IF($A$1=1,INDEX($DQ$3:$DW$401,MATCH(ROWS(C$3:C231),$DW$3:$DW$401,0),COLUMN()),"")),"")</f>
        <v>E</v>
      </c>
      <c r="D231" s="48" t="str">
        <f ca="1">IFERROR(IF($A$1=2,INDEX($DH$3:$DN$401,MATCH(ROWS(D$3:D231),$DN$3:$DN$401,0),COLUMN()),IF($A$1=1,INDEX($DQ$3:$DW$401,MATCH(ROWS(D$3:D231),$DW$3:$DW$401,0),COLUMN()),"")),"")</f>
        <v>D</v>
      </c>
      <c r="E231" s="48" t="str">
        <f ca="1">IFERROR(IF($A$1=2,INDEX($DH$3:$DN$401,MATCH(ROWS(E$3:E231),$DN$3:$DN$401,0),COLUMN()),IF($A$1=1,INDEX($DQ$3:$DW$401,MATCH(ROWS(E$3:E231),$DW$3:$DW$401,0),COLUMN()),"")),"")</f>
        <v>COSTI D'ESERCIZIO</v>
      </c>
      <c r="F231" s="48" t="str">
        <f ca="1">IFERROR(IF($A$1=2,INDEX($DH$3:$DN$401,MATCH(ROWS(F$3:F231),$DN$3:$DN$401,0),COLUMN()),IF($A$1=1,INDEX($DQ$3:$DX$401,MATCH(ROWS(F$3:F231),$DW$3:$DW$401,0),COLUMN()),"")),"")</f>
        <v>SE DARE</v>
      </c>
      <c r="G231" s="48" t="str">
        <f t="shared" ca="1" si="433"/>
        <v>SE</v>
      </c>
      <c r="H231" s="48" t="str">
        <f ca="1">IFERROR(IF($A$1=2,INDEX($DH$3:$DO$400,MATCH(ROWS(H$3:H231),$DN$3:$DN$400,0),COLUMN()),IF($A$1=1,INDEX($DQ$3:$DX$400,MATCH(ROWS(H$3:H231),$DW$3:$DW$400,0),COLUMN()),"")),"")</f>
        <v>eb7</v>
      </c>
      <c r="M231" s="48">
        <f ca="1">IFERROR(IF(IF(MID($A231,3,3)=".00",MID(A231,1,2),"")&lt;&gt;"",MAX($M$2:M230)+1,0),"")</f>
        <v>0</v>
      </c>
      <c r="N231" s="48" t="str">
        <f t="shared" ca="1" si="438"/>
        <v/>
      </c>
      <c r="O231" s="48" t="str">
        <f ca="1">IF(IFERROR(INDEX($N$3:$O$300,MATCH(ROWS($O$3:O231),$M$3:$M$300,0),1),"")&lt;&gt;"",CONCATENATE(INDEX($N$3:$O$300,MATCH(ROWS($O$3:O231),$M$3:$M$300,0),1),".00"),"")</f>
        <v/>
      </c>
      <c r="P231" s="48" t="str">
        <f t="shared" ca="1" si="439"/>
        <v/>
      </c>
      <c r="Q231" s="48">
        <f ca="1">IF(M231&gt;=1,0,MAX($Q$2:Q230)+1)</f>
        <v>206</v>
      </c>
      <c r="U231" s="48" t="str">
        <f ca="1">IFERROR(INDEX(PDC,MATCH(ROWS(U$3:U231),$V$3:$V$400,0),2),"")</f>
        <v>AMMORTAMENTO SOFTWARE</v>
      </c>
      <c r="V231" s="48">
        <f ca="1">IF(AND($T$1="VISUALIZZA TUTTI I CONTI",AA231&lt;&gt;""),MAX($V$2:V230)+1,IF(AND($U$2=2,AI231=$T$1),MAX($V$2:V230)+1,IF(AND($U$2=1,$T$1=AF231),MAX($V$2:V230)+1,0)))</f>
        <v>229</v>
      </c>
      <c r="AA231" s="48" t="str">
        <f t="shared" ca="1" si="440"/>
        <v>34.00</v>
      </c>
      <c r="AB231" s="48" t="str">
        <f ca="1">IFERROR(INDEX($A$3:$G$400,MATCH(ROWS(AB$3:AB231),$Q$3:$Q$400,0),1),"")</f>
        <v>34.05</v>
      </c>
      <c r="AC231" s="48" t="str">
        <f ca="1">IFERROR(INDEX($A$3:$G$400,MATCH(ROWS($AC$3:AC231),$Q$3:$Q$400,0),2),"")</f>
        <v>AMMORTAMENTO SOFTWARE</v>
      </c>
      <c r="AD231" s="48" t="str">
        <f ca="1">IFERROR(INDEX($A$3:$G$400,MATCH(ROWS(AD$3:AD231),$Q$3:$Q$400,0),3),"")</f>
        <v>E</v>
      </c>
      <c r="AE231" s="48" t="str">
        <f ca="1">IFERROR(INDEX($A$3:$G$400,MATCH(ROWS(AE$3:AE231),$Q$3:$Q$400,0),4),"")</f>
        <v>D</v>
      </c>
      <c r="AF231" s="48" t="str">
        <f ca="1">IFERROR(INDEX($A$3:$G$400,MATCH(ROWS(AF$3:AF231),$Q$3:$Q$400,0),5),"")</f>
        <v>COSTI D'ESERCIZIO</v>
      </c>
      <c r="AG231" s="48" t="str">
        <f ca="1">IFERROR(INDEX($A$3:$G$400,MATCH(ROWS(AG$3:AG231),$Q$3:$Q$400,0),6),"")</f>
        <v>SE DARE</v>
      </c>
      <c r="AH231" s="48" t="str">
        <f ca="1">IFERROR(INDEX($A$3:$G$400,MATCH(ROWS(AH$3:AH231),$Q$3:$Q$400,0),7),"")</f>
        <v>SE</v>
      </c>
      <c r="AI231" s="48" t="str">
        <f t="shared" ca="1" si="441"/>
        <v>AMMORTAMENTI IMMOBILIZZAZIONI IMMATERIALI</v>
      </c>
      <c r="AJ231" s="48" t="str">
        <f ca="1">IFERROR(INDEX($A$3:$H$400,MATCH(ROWS(AJ$3:AJ231),$Q$3:$Q$400,0),8),"")</f>
        <v>eb10a</v>
      </c>
      <c r="AK231" s="48">
        <f t="shared" ca="1" si="417"/>
        <v>0</v>
      </c>
      <c r="AL231" s="48">
        <f t="shared" ref="AL231:AL262" ca="1" si="515">IF(AND(AO231&gt;0,AP231&gt;0),0,IF(INDIRECT(ADDRESS(ROW()-92,COLUMN()-34,,,"LIBRO_GIORNALE"))&lt;INIZIO_A_PC,0,INDIRECT(ADDRESS(ROW()-92,COLUMN()-34,,,"LIBRO_GIORNALE"))))</f>
        <v>0</v>
      </c>
      <c r="AM231" s="48">
        <f t="shared" ca="1" si="377"/>
        <v>0</v>
      </c>
      <c r="AN231" s="48">
        <f t="shared" ca="1" si="378"/>
        <v>0</v>
      </c>
      <c r="AO231" s="48">
        <f t="shared" ca="1" si="379"/>
        <v>0</v>
      </c>
      <c r="AP231" s="48">
        <f t="shared" ca="1" si="379"/>
        <v>0</v>
      </c>
      <c r="AZ231" s="48" t="str">
        <f t="shared" ca="1" si="484"/>
        <v/>
      </c>
      <c r="BA231" s="48">
        <f t="shared" ca="1" si="480"/>
        <v>0</v>
      </c>
      <c r="BB231" s="48">
        <f t="shared" ca="1" si="481"/>
        <v>0</v>
      </c>
      <c r="BC231" s="48">
        <f t="shared" ca="1" si="482"/>
        <v>0</v>
      </c>
      <c r="BD231" s="48">
        <f t="shared" ca="1" si="383"/>
        <v>0</v>
      </c>
      <c r="BE231" s="48">
        <f t="shared" ca="1" si="384"/>
        <v>0</v>
      </c>
      <c r="BF231" s="48">
        <f t="shared" si="485"/>
        <v>31</v>
      </c>
      <c r="BG231" s="48">
        <f ca="1">IF(IF(AND(OR(INDEX(PDC,MATCH($AC231,DEN_PDC,0),6)="SP DARE",INDEX(PDC,MATCH($AC231,DEN_PDC,0),6)="SP DARE/AVERE"),SUMIFS(DARE,DEN_G,$AC231)&gt;=SUMIFS(AVERE,DEN_G,$AC231)),SUMIFS(DARE,DEN_G,$AC231)-SUMIFS(AVERE,DEN_G,$AC231),0)&gt;0,MAX($BG$2:BG230)+1,0)</f>
        <v>0</v>
      </c>
      <c r="BH231" s="48">
        <f ca="1">IF(IF(AND(OR(INDEX(PDC,MATCH($AC231,DEN_PDC,0),6)="SP AVERE",INDEX(PDC,MATCH($AC231,DEN_PDC,0),6)="SP DARE/AVERE"),SUMIFS(AVERE,DEN_G,$AC231)&gt;=SUMIFS(DARE,DEN_G,$AC231)),SUMIFS(AVERE,DEN_G,$AC231)-SUMIFS(DARE,DEN_G,$AC231),0)&gt;0,MAX(BH$2:BH230)+1,0)</f>
        <v>0</v>
      </c>
      <c r="BI231" s="48">
        <f ca="1">IF(IF(AND(OR(INDEX(PDC,MATCH($AC231,DEN_PDC,0),6)="SE DARE",INDEX(PDC,MATCH($AC231,DEN_PDC,0),6)="SE DARE/AVERE"),SUMIFS(DARE,DEN_G,$AC231)&gt;=SUMIFS(AVERE,DEN_G,$AC231)),SUMIFS(DARE,DEN_G,$AC231)-SUMIFS(AVERE,DEN_G,$AC231),0)&gt;0,MAX(BI$2:BI230)+1,0)</f>
        <v>0</v>
      </c>
      <c r="BJ231" s="48">
        <f ca="1">IF(IF(AND(OR(INDEX(PDC,MATCH($AC231,DEN_PDC,0),6)="SE AVERE",INDEX(PDC,MATCH($AC231,DEN_PDC,0),6)="SE DARE/AVERE"),SUMIFS(AVERE,DEN_G,$AC231)&gt;=SUMIFS(DARE,DEN_G,$AC231)),SUMIFS(AVERE,DEN_G,$AC231)-SUMIFS(DARE,DEN_G,$AC231),0)&gt;0,MAX(BJ$2:BJ230)+1,0)</f>
        <v>0</v>
      </c>
      <c r="BK231" s="48" t="str">
        <f ca="1">IF(AND(AND($DY$2=0,$DY$1=0),$I$1=2,ROW()&gt;$BG$1+2,ROW()&lt;=$BG$1+4),"………………..",IF(AND(OR($DY$2&gt;0,$DY$1&gt;0),$I$1=2,ROW()&gt;$BG$1+2,ROW()&lt;=$BG$1+4),"………………..",IFERROR(INDEX($AC$3:$AC$398,MATCH(ROWS(BK$3:BK231),BG$3:BG$398,0),1),"")))</f>
        <v/>
      </c>
      <c r="BL231" s="48">
        <f t="shared" ca="1" si="421"/>
        <v>0</v>
      </c>
      <c r="BM231" s="48" t="str">
        <f ca="1">IF(AND(OR($DY$2=0,$DY$1=0),$I$1=2,ROW()&gt;$BH$1+2,ROW()&lt;=$BH$1+4),"………………..",IF(AND(OR($DY$2&gt;0,$DY$1&gt;0),$I$1=2,ROW()&gt;$BH$1+2,ROW()&lt;=$BH$1+4),"………………..",IFERROR(INDEX($AC$3:$AC$400,MATCH(ROWS(BM$3:BM231),BH$3:BH$400,0),1),"")))</f>
        <v/>
      </c>
      <c r="BN231" s="48">
        <f t="shared" ca="1" si="422"/>
        <v>0</v>
      </c>
      <c r="BO231" s="48" t="str">
        <f ca="1">IF(AND(OR($DY$2=0,$DY$1=0),$I$1=2,ROW()&gt;$BI$1+2,ROW()&lt;=$BI$1+4),"………………..",IF(AND(OR($DY$2&gt;0,$DY$1&gt;0),$I$1=2,ROW()&gt;$BI$1+2,ROW()&lt;=$BI$1+4),"………………..",IFERROR(INDEX($AC$3:$AC$400,MATCH(ROWS(BO$3:BO231),BI$3:BI$400,0),1),"")))</f>
        <v/>
      </c>
      <c r="BP231" s="48">
        <f t="shared" ca="1" si="423"/>
        <v>0</v>
      </c>
      <c r="BQ231" s="48" t="str">
        <f ca="1">IF(AND(OR($DY$2=0,$DY$1=0),$I$1=2,ROW()&gt;$BJ$1+2,ROW()&lt;=$BJ$1+4),"………………..",IF(AND(OR($DY$2&gt;0,$DY$1&gt;0),$I$1=2,ROW()&gt;$BJ$1+2,ROW()&lt;=$BJ$1+4),"………………..",IFERROR(INDEX($AC$3:$AC$400,MATCH(ROWS(BQ$3:BQ231),BJ$3:BJ$400,0),1),"")))</f>
        <v/>
      </c>
      <c r="BR231" s="48">
        <f t="shared" ca="1" si="424"/>
        <v>0</v>
      </c>
      <c r="BS231" s="48">
        <f ca="1">IF(IF(AND(OR(INDEX(PDC,MATCH($AC231,DEN_PDC,0),4)="D",INDEX(PDC,MATCH($AC231,DEN_PDC,0),4)="D/A"),SUMIFS(DARE,DEN_G,$AC231)&gt;=SUMIFS(AVERE,DEN_G,$AC231)),SUMIFS(DARE,DEN_G,$AC231),IF(AND(OR(INDEX(PDC,MATCH($AC231,DEN_PDC,0),4)="A",INDEX(PDC,MATCH($AC231,DEN_PDC,0),4)="D/A"),SUMIFS(AVERE,DEN_G,$AC231)&gt;=SUMIFS(DARE,DEN_G,$AC231)),SUMIFS(AVERE,DEN_G,$AC231),))&gt;0,MAX($BS$2:BS230)+1,0)</f>
        <v>0</v>
      </c>
      <c r="BT231" s="48" t="str">
        <f ca="1">IF($CO$1=0,"",IF(AND($I$1=2,ROW()&gt;$BR$1,ROW()&lt;=$BS$1)," …………….",IF(AND($E$1=1,$BX$1=1,$I$1=2,ROW()=$BQ$1),"TOTALI",IFERROR(INDEX(PDC,MATCH(ROWS(BT$3:BT231),BS$3:BS628,0),2),""))))</f>
        <v/>
      </c>
      <c r="BU231" s="48">
        <f t="shared" ca="1" si="425"/>
        <v>0</v>
      </c>
      <c r="BV231" s="48">
        <f t="shared" ca="1" si="426"/>
        <v>0</v>
      </c>
      <c r="BW231" s="48">
        <f t="shared" ca="1" si="427"/>
        <v>0</v>
      </c>
      <c r="BX231" s="48">
        <f t="shared" ca="1" si="428"/>
        <v>0</v>
      </c>
      <c r="BY231" s="48">
        <f ca="1">IF(OR(BW231&gt;0,BX231&gt;0),MAX($BY$2:BY230)+1,0)</f>
        <v>0</v>
      </c>
      <c r="BZ231" s="48" t="str">
        <f ca="1">IFERROR(INDEX($BT$3:$BY$400,MATCH(ROWS(BZ$3:BZ231),$BY$3:$BY$400,0),1),"")</f>
        <v/>
      </c>
      <c r="CA231" s="48" t="str">
        <f ca="1">IFERROR(INDEX($BT$3:$BY$400,MATCH(ROWS(CA$3:CA231),$BY$3:$BY$400,0),4),"")</f>
        <v/>
      </c>
      <c r="CB231" s="48" t="str">
        <f ca="1">IFERROR(INDEX($BT$3:$BY$400,MATCH(ROWS(CB$3:CB231),$BY$3:$BY$400,0),5),"")</f>
        <v/>
      </c>
      <c r="CC231" s="48" t="str">
        <f t="shared" ca="1" si="429"/>
        <v/>
      </c>
      <c r="CD231" s="48">
        <f ca="1">IF(CE231&lt;&gt;0,MAX($CD$190:CD230)+1,0)</f>
        <v>0</v>
      </c>
      <c r="CE231" s="48">
        <f ca="1">ROUND(SUMIFS(COPIA!$CB$3:$CB$400,COPIA!$CC$3:$CC$400,CF231)-SUMIFS(COPIA!$CA$3:$CA$400,COPIA!$CC$3:$CC$400,CF231),0)</f>
        <v>0</v>
      </c>
      <c r="CF231" s="48" t="s">
        <v>750</v>
      </c>
      <c r="CG231" s="242" t="s">
        <v>594</v>
      </c>
      <c r="CH231" s="48">
        <f t="shared" ca="1" si="509"/>
        <v>0</v>
      </c>
      <c r="CM231" s="242" t="str">
        <f t="shared" ca="1" si="444"/>
        <v/>
      </c>
      <c r="CN231" s="243">
        <f t="shared" ca="1" si="445"/>
        <v>0</v>
      </c>
      <c r="CO231" s="48" t="str">
        <f t="shared" ca="1" si="446"/>
        <v/>
      </c>
      <c r="CU231" s="48">
        <f ca="1">IF(SUMIFS(AVERE,DEN_G,AC231,AVERE,"&gt;"&amp;0)+SUMIFS(DARE,DEN_G,AC231,DARE,"&gt;"&amp;0)&gt;0,MAX($CU$2:CU230)+1,0)</f>
        <v>0</v>
      </c>
      <c r="CV231" s="48" t="str">
        <f ca="1">IF(IFERROR(INDEX(PDC,MATCH(ROWS($CV$3:CV231),$CU$3:$CU$400,0),2),"")="CONTO DI RISULTATO ECONOMICO","",IFERROR(INDEX(PDC,MATCH(ROWS($CV$3:CV231),$CU$3:$CU$400,0),2),""))</f>
        <v/>
      </c>
      <c r="CW231" s="48">
        <f ca="1">IFERROR(IF(CV231&lt;&gt;"",MAX($CW$2:CW230)+1,0),0)</f>
        <v>0</v>
      </c>
      <c r="CX231" s="48">
        <f t="shared" ca="1" si="507"/>
        <v>18</v>
      </c>
      <c r="CY231" s="48" t="str">
        <f t="shared" ca="1" si="506"/>
        <v>MASTRO</v>
      </c>
      <c r="CZ231" s="48" t="e">
        <f t="shared" ca="1" si="510"/>
        <v>#N/A</v>
      </c>
      <c r="DA231" s="48" t="str">
        <f t="shared" ca="1" si="514"/>
        <v/>
      </c>
      <c r="DB231" s="48" t="str">
        <f t="shared" ca="1" si="499"/>
        <v/>
      </c>
      <c r="DC231" s="48" t="str">
        <f t="shared" ca="1" si="511"/>
        <v/>
      </c>
      <c r="DD231" s="48" t="str">
        <f t="shared" ca="1" si="512"/>
        <v/>
      </c>
      <c r="DE231" s="48" t="str">
        <f t="shared" ca="1" si="513"/>
        <v/>
      </c>
      <c r="DF231" s="48">
        <f ca="1">IF(AND(CX231=$DF$1,CX231&lt;&gt;""),0,IF(AND(DB231&lt;&gt;"",OR(DB230&lt;&gt;"",DB232&lt;&gt;"")),MAX($DF$2:DF230)+1,0))</f>
        <v>0</v>
      </c>
      <c r="DH231" s="244" t="s">
        <v>167</v>
      </c>
      <c r="DI231" s="48" t="s">
        <v>161</v>
      </c>
      <c r="DK231" s="48" t="s">
        <v>275</v>
      </c>
      <c r="DL231" s="48" t="s">
        <v>480</v>
      </c>
      <c r="DM231" s="48" t="s">
        <v>812</v>
      </c>
      <c r="DN231" s="48">
        <f ca="1">IF(DI231&lt;&gt;"",MAX($DN$2:DN230)+1,0)</f>
        <v>179</v>
      </c>
      <c r="DW231" s="48">
        <f>IF(DR231&lt;&gt;"",MAX($DW$2:DW230)+1,0)</f>
        <v>0</v>
      </c>
      <c r="DY231" s="48" t="str">
        <f t="shared" ca="1" si="430"/>
        <v/>
      </c>
      <c r="EL231" s="48">
        <f t="shared" ca="1" si="431"/>
        <v>0</v>
      </c>
      <c r="EM231" s="48">
        <f ca="1">IF(EL231&gt;=0,0,MAX($EM$2:EM230)+1)</f>
        <v>0</v>
      </c>
      <c r="EN231" s="48" t="str">
        <f t="shared" ca="1" si="459"/>
        <v/>
      </c>
      <c r="EO231" s="48" t="str">
        <f ca="1">IFERROR(INDEX($EM$3:$EN$400,MATCH(ROWS($EO$3:EO231),$EM$3:$EM$400,0),2),"")</f>
        <v/>
      </c>
      <c r="EP231" s="48">
        <f>ROW()</f>
        <v>231</v>
      </c>
      <c r="EQ231" s="48">
        <f t="shared" ca="1" si="432"/>
        <v>0</v>
      </c>
      <c r="ER231" s="48">
        <f ca="1">IF(ISNA(EQ231)=TRUE,MAX($ER$2:ER230)+1,0)</f>
        <v>0</v>
      </c>
      <c r="ES231" s="48" t="str">
        <f t="shared" ca="1" si="460"/>
        <v/>
      </c>
      <c r="ET231" s="48" t="str">
        <f ca="1">IFERROR(INDEX($ER$3:$ES$400,MATCH(ROWS($ET$3:ET231),$ER$3:$ER$400,0),2),"")</f>
        <v/>
      </c>
      <c r="EV231" s="48">
        <f ca="1">IFERROR(INDEX(LIBRO_GIORNALE!$O$11:$P$408,MATCH(ROWS($EV$2:EV230),LIBRO_GIORNALE!$P$11:$P$408,0),1),0)</f>
        <v>0</v>
      </c>
      <c r="EW231" s="48" t="str">
        <f t="shared" ca="1" si="461"/>
        <v>0</v>
      </c>
      <c r="EX231" s="48">
        <f t="shared" ca="1" si="462"/>
        <v>0</v>
      </c>
      <c r="EY231" s="48">
        <f ca="1">IF(EX231&gt;0,MAX($EY$2:EY230)+1,0)</f>
        <v>0</v>
      </c>
      <c r="EZ231" s="48">
        <f ca="1">IFERROR(INDEX($EX$3:$EX$400,MATCH(ROWS($EZ$3:EZ231),$EY$3:$EY$400,0),1),0)</f>
        <v>0</v>
      </c>
      <c r="FA231" s="48">
        <f ca="1">IF(EZ231&gt;0,0,MAX($FA$2:FA230)+1)</f>
        <v>229</v>
      </c>
      <c r="FB231" s="48">
        <f t="shared" ca="1" si="463"/>
        <v>0</v>
      </c>
      <c r="FC231" s="48">
        <f t="shared" ca="1" si="464"/>
        <v>229</v>
      </c>
      <c r="FD231" s="48">
        <f t="shared" ca="1" si="465"/>
        <v>229</v>
      </c>
      <c r="FE231" s="48">
        <f ca="1">IF(FD231=0,0,MAX($FE$2:FE230)+1)</f>
        <v>229</v>
      </c>
      <c r="FF231" s="48">
        <f ca="1">IFERROR(INDEX($FD$3:$FE$400,MATCH(ROWS($FF$3:FF231),$FE$3:$FE$400,0),1),"")</f>
        <v>229</v>
      </c>
      <c r="FG231" s="48">
        <f t="shared" ca="1" si="380"/>
        <v>0</v>
      </c>
      <c r="FH231" s="48">
        <f t="shared" ca="1" si="466"/>
        <v>0</v>
      </c>
      <c r="FI231" s="48">
        <f ca="1">IF(FH231&lt;&gt;0,MAX($FI$2:FI230)+1,0)</f>
        <v>0</v>
      </c>
      <c r="FJ231" s="48" t="str">
        <f ca="1">IFERROR(INDEX($FH$3:$FI$400,MATCH(ROWS($FJ$3:FJ231),$FI$3:$FI$400,0),1),"")</f>
        <v/>
      </c>
      <c r="FK231" s="48">
        <f ca="1">IF(ABS(SUMIFS(DARE,DEN_G,"="&amp;FJ231,DATA,"&lt;="&amp;FINE_AC,DATA,"&gt;="&amp;INIZIO_A_PC)-SUMIFS(AVERE,DEN_G,"="&amp;FJ231,DATA,"&lt;="&amp;FINE_AC,DATA,"&gt;="&amp;INIZIO_A_PC))&gt;0,MAX($FK$2:FK230)+1,0)</f>
        <v>0</v>
      </c>
      <c r="FL231" s="48" t="str">
        <f ca="1">IF(AND(ROW()-2&lt;&gt;1,ROW()-2&lt;=$FK$1),CONCATENATE(" - ",IFERROR(INDEX($FJ$3:$FK$400,MATCH(ROWS($FL$3:FL231),$FK$3:$FK$400,0),1),"")),IFERROR(INDEX($FJ$3:$FK$400,MATCH(ROWS($FL$3:FL231),$FK$3:$FK$400,0),1),""))</f>
        <v/>
      </c>
      <c r="FM231" s="48">
        <f ca="1">IF(OR(B231="IVA ns/credito",B231="IVA NS/DEBITO",B231="IVA C/ACCONTO",B231="IMPOSTE C/ACCONTO",B231="CREDITI PER RITENUTE SUBITE",B231="CREDITI D'IMPOSTA"),MAX($FM$2:FM230)+1,0)</f>
        <v>0</v>
      </c>
      <c r="FN231" s="48" t="str">
        <f t="shared" ca="1" si="467"/>
        <v/>
      </c>
      <c r="FO231" s="48" t="str">
        <f ca="1">IFERROR(INDEX($FM$3:$FN$400,MATCH(ROWS($FO$3:FO231),$FM$3:$FM$400,0),2),"")</f>
        <v/>
      </c>
      <c r="FP231" s="48">
        <f ca="1">IF(ABS(SUMIFS(DARE,DEN_G,"="&amp;FO231,DATA,"&lt;="&amp;FINE_AC,DATA,"&gt;="&amp;INIZIO_A_PC)-SUMIFS(AVERE,DEN_G,"="&amp;FO231,DATA,"&lt;="&amp;FINE_AC,DATA,"&gt;="&amp;INIZIO_A_PC))&gt;0,MAX($FP$2:FP230)+1,0)</f>
        <v>0</v>
      </c>
      <c r="FQ231" s="48" t="str">
        <f ca="1">IF(AND(ROW()-2&lt;&gt;1,ROW()-2&lt;=$FP$1),CONCATENATE(" - ",IFERROR(INDEX($FO$3:$FP$400,MATCH(ROWS($FQ$3:FQ231),$FP$3:$FP$400,0),1),"")),IFERROR(INDEX($FO$3:$FP$400,MATCH(ROWS($FQ$3:FQ231),$FP$3:$FP$400,0),1),""))</f>
        <v/>
      </c>
    </row>
    <row r="232" spans="1:173" x14ac:dyDescent="0.3">
      <c r="A232" s="48" t="str">
        <f ca="1">IFERROR(IF($A$1=2,INDEX($DH$3:$DN$401,MATCH(ROWS(A$3:A232),$DN$3:$DN$401,0),COLUMN()),IF($A$1=1,INDEX($DQ$3:$DW$401,MATCH(ROWS(A$3:A232),$DW$3:$DW$401,0),COLUMN()),"")),"")</f>
        <v>31.09</v>
      </c>
      <c r="B232" s="48" t="str">
        <f ca="1">IFERROR(IF($A$1=2,INDEX($DH$3:$DN$401,MATCH(ROWS(B$3:B232),$DN$3:$DN$401,0),COLUMN()),IF($A$1=1,INDEX($DQ$3:$DW$400,MATCH(ROWS(B$3:B232),$DW$3:$DW$401,0),COLUMN()),"")),"")</f>
        <v>COSTI PER I LOCALI</v>
      </c>
      <c r="C232" s="48" t="str">
        <f ca="1">IFERROR(IF($A$1=2,INDEX($DH$3:$DN$401,MATCH(ROWS(C$3:C232),$DN$3:$DN$401,0),COLUMN()),IF($A$1=1,INDEX($DQ$3:$DW$401,MATCH(ROWS(C$3:C232),$DW$3:$DW$401,0),COLUMN()),"")),"")</f>
        <v>E</v>
      </c>
      <c r="D232" s="48" t="str">
        <f ca="1">IFERROR(IF($A$1=2,INDEX($DH$3:$DN$401,MATCH(ROWS(D$3:D232),$DN$3:$DN$401,0),COLUMN()),IF($A$1=1,INDEX($DQ$3:$DW$401,MATCH(ROWS(D$3:D232),$DW$3:$DW$401,0),COLUMN()),"")),"")</f>
        <v>D</v>
      </c>
      <c r="E232" s="48" t="str">
        <f ca="1">IFERROR(IF($A$1=2,INDEX($DH$3:$DN$401,MATCH(ROWS(E$3:E232),$DN$3:$DN$401,0),COLUMN()),IF($A$1=1,INDEX($DQ$3:$DW$401,MATCH(ROWS(E$3:E232),$DW$3:$DW$401,0),COLUMN()),"")),"")</f>
        <v>COSTI D'ESERCIZIO</v>
      </c>
      <c r="F232" s="48" t="str">
        <f ca="1">IFERROR(IF($A$1=2,INDEX($DH$3:$DN$401,MATCH(ROWS(F$3:F232),$DN$3:$DN$401,0),COLUMN()),IF($A$1=1,INDEX($DQ$3:$DX$401,MATCH(ROWS(F$3:F232),$DW$3:$DW$401,0),COLUMN()),"")),"")</f>
        <v>SE DARE</v>
      </c>
      <c r="G232" s="48" t="str">
        <f t="shared" ca="1" si="433"/>
        <v>SE</v>
      </c>
      <c r="H232" s="48" t="str">
        <f ca="1">IFERROR(IF($A$1=2,INDEX($DH$3:$DO$400,MATCH(ROWS(H$3:H232),$DN$3:$DN$400,0),COLUMN()),IF($A$1=1,INDEX($DQ$3:$DX$400,MATCH(ROWS(H$3:H232),$DW$3:$DW$400,0),COLUMN()),"")),"")</f>
        <v>eb7</v>
      </c>
      <c r="M232" s="48">
        <f ca="1">IFERROR(IF(IF(MID($A232,3,3)=".00",MID(A232,1,2),"")&lt;&gt;"",MAX($M$2:M231)+1,0),"")</f>
        <v>0</v>
      </c>
      <c r="N232" s="48" t="str">
        <f t="shared" ca="1" si="438"/>
        <v/>
      </c>
      <c r="O232" s="48" t="str">
        <f ca="1">IF(IFERROR(INDEX($N$3:$O$300,MATCH(ROWS($O$3:O232),$M$3:$M$300,0),1),"")&lt;&gt;"",CONCATENATE(INDEX($N$3:$O$300,MATCH(ROWS($O$3:O232),$M$3:$M$300,0),1),".00"),"")</f>
        <v/>
      </c>
      <c r="P232" s="48" t="str">
        <f t="shared" ca="1" si="439"/>
        <v/>
      </c>
      <c r="Q232" s="48">
        <f ca="1">IF(M232&gt;=1,0,MAX($Q$2:Q231)+1)</f>
        <v>207</v>
      </c>
      <c r="U232" s="48" t="str">
        <f ca="1">IFERROR(INDEX(PDC,MATCH(ROWS(U$3:U232),$V$3:$V$400,0),2),"")</f>
        <v>AMMORTAMENTO AVVIAMENTO</v>
      </c>
      <c r="V232" s="48">
        <f ca="1">IF(AND($T$1="VISUALIZZA TUTTI I CONTI",AA232&lt;&gt;""),MAX($V$2:V231)+1,IF(AND($U$2=2,AI232=$T$1),MAX($V$2:V231)+1,IF(AND($U$2=1,$T$1=AF232),MAX($V$2:V231)+1,0)))</f>
        <v>230</v>
      </c>
      <c r="AA232" s="48" t="str">
        <f t="shared" ca="1" si="440"/>
        <v>34.00</v>
      </c>
      <c r="AB232" s="48" t="str">
        <f ca="1">IFERROR(INDEX($A$3:$G$400,MATCH(ROWS(AB$3:AB232),$Q$3:$Q$400,0),1),"")</f>
        <v>34.06</v>
      </c>
      <c r="AC232" s="48" t="str">
        <f ca="1">IFERROR(INDEX($A$3:$G$400,MATCH(ROWS($AC$3:AC232),$Q$3:$Q$400,0),2),"")</f>
        <v>AMMORTAMENTO AVVIAMENTO</v>
      </c>
      <c r="AD232" s="48" t="str">
        <f ca="1">IFERROR(INDEX($A$3:$G$400,MATCH(ROWS(AD$3:AD232),$Q$3:$Q$400,0),3),"")</f>
        <v>E</v>
      </c>
      <c r="AE232" s="48" t="str">
        <f ca="1">IFERROR(INDEX($A$3:$G$400,MATCH(ROWS(AE$3:AE232),$Q$3:$Q$400,0),4),"")</f>
        <v>D</v>
      </c>
      <c r="AF232" s="48" t="str">
        <f ca="1">IFERROR(INDEX($A$3:$G$400,MATCH(ROWS(AF$3:AF232),$Q$3:$Q$400,0),5),"")</f>
        <v>COSTI D'ESERCIZIO</v>
      </c>
      <c r="AG232" s="48" t="str">
        <f ca="1">IFERROR(INDEX($A$3:$G$400,MATCH(ROWS(AG$3:AG232),$Q$3:$Q$400,0),6),"")</f>
        <v>SE DARE</v>
      </c>
      <c r="AH232" s="48" t="str">
        <f ca="1">IFERROR(INDEX($A$3:$G$400,MATCH(ROWS(AH$3:AH232),$Q$3:$Q$400,0),7),"")</f>
        <v>SE</v>
      </c>
      <c r="AI232" s="48" t="str">
        <f t="shared" ca="1" si="441"/>
        <v>AMMORTAMENTI IMMOBILIZZAZIONI IMMATERIALI</v>
      </c>
      <c r="AJ232" s="48" t="str">
        <f ca="1">IFERROR(INDEX($A$3:$H$400,MATCH(ROWS(AJ$3:AJ232),$Q$3:$Q$400,0),8),"")</f>
        <v>eb10a</v>
      </c>
      <c r="AK232" s="48">
        <f t="shared" ca="1" si="417"/>
        <v>0</v>
      </c>
      <c r="AL232" s="48">
        <f t="shared" ca="1" si="515"/>
        <v>0</v>
      </c>
      <c r="AM232" s="48">
        <f t="shared" ref="AM232:AM295" ca="1" si="516">IF(AL232=0,0,IF(AND(AO232&gt;0,AP232&gt;0),0,IF(OR(INDIRECT(ADDRESS(ROW()-92,COLUMN()-34,,,"LIBRO_GIORNALE"))="CONTO DI RISULTATO ECONOMICO",AND(INDIRECT(ADDRESS(ROW()-92,COLUMN()-34,,,"LIBRO_GIORNALE"))="UTILE D'ESERCIZIO",$I$1=1,AP232&gt;0),AND(INDIRECT(ADDRESS(ROW()-92,COLUMN()-34,,,"LIBRO_GIORNALE"))="PERDITA D'ESERCIZIO",$I$1=1,AO232&gt;0)),0,INDIRECT(ADDRESS(ROW()-92,COLUMN()-34,,,"LIBRO_GIORNALE")))))</f>
        <v>0</v>
      </c>
      <c r="AN232" s="48">
        <f t="shared" ref="AN232:AN295" ca="1" si="517">IF(AND(AM232="Utile d'esercizio",AP232&gt;0),"apertura del conto",IF(AND(AM232="Perdita d'esercizio",AO232&gt;0),"apertura del conto",INDIRECT(ADDRESS(ROW()-92,COLUMN()-34,,,"LIBRO_GIORNALE"))))</f>
        <v>0</v>
      </c>
      <c r="AO232" s="48">
        <f t="shared" ref="AO232:AP295" ca="1" si="518">IFERROR(IF(OR(INDIRECT(ADDRESS(ROW()-92,4,,,"LIBRO_GIORNALE"))="",INDIRECT(ADDRESS(ROW()-92,5,,,"LIBRO_GIORNALE"))=""),0,ROUND(INDIRECT(ADDRESS(ROW()-92,COLUMN()-34,,,"LIBRO_GIORNALE")),2)),0)</f>
        <v>0</v>
      </c>
      <c r="AP232" s="48">
        <f t="shared" ca="1" si="518"/>
        <v>0</v>
      </c>
      <c r="AZ232" s="48" t="str">
        <f t="shared" ca="1" si="484"/>
        <v/>
      </c>
      <c r="BA232" s="48">
        <f t="shared" ca="1" si="480"/>
        <v>0</v>
      </c>
      <c r="BB232" s="48">
        <f t="shared" ca="1" si="481"/>
        <v>0</v>
      </c>
      <c r="BC232" s="48">
        <f t="shared" ca="1" si="482"/>
        <v>0</v>
      </c>
      <c r="BD232" s="48">
        <f t="shared" ca="1" si="383"/>
        <v>0</v>
      </c>
      <c r="BE232" s="48">
        <f t="shared" ca="1" si="384"/>
        <v>0</v>
      </c>
      <c r="BF232" s="48">
        <f t="shared" si="485"/>
        <v>32</v>
      </c>
      <c r="BG232" s="48">
        <f ca="1">IF(IF(AND(OR(INDEX(PDC,MATCH($AC232,DEN_PDC,0),6)="SP DARE",INDEX(PDC,MATCH($AC232,DEN_PDC,0),6)="SP DARE/AVERE"),SUMIFS(DARE,DEN_G,$AC232)&gt;=SUMIFS(AVERE,DEN_G,$AC232)),SUMIFS(DARE,DEN_G,$AC232)-SUMIFS(AVERE,DEN_G,$AC232),0)&gt;0,MAX($BG$2:BG231)+1,0)</f>
        <v>0</v>
      </c>
      <c r="BH232" s="48">
        <f ca="1">IF(IF(AND(OR(INDEX(PDC,MATCH($AC232,DEN_PDC,0),6)="SP AVERE",INDEX(PDC,MATCH($AC232,DEN_PDC,0),6)="SP DARE/AVERE"),SUMIFS(AVERE,DEN_G,$AC232)&gt;=SUMIFS(DARE,DEN_G,$AC232)),SUMIFS(AVERE,DEN_G,$AC232)-SUMIFS(DARE,DEN_G,$AC232),0)&gt;0,MAX(BH$2:BH231)+1,0)</f>
        <v>0</v>
      </c>
      <c r="BI232" s="48">
        <f ca="1">IF(IF(AND(OR(INDEX(PDC,MATCH($AC232,DEN_PDC,0),6)="SE DARE",INDEX(PDC,MATCH($AC232,DEN_PDC,0),6)="SE DARE/AVERE"),SUMIFS(DARE,DEN_G,$AC232)&gt;=SUMIFS(AVERE,DEN_G,$AC232)),SUMIFS(DARE,DEN_G,$AC232)-SUMIFS(AVERE,DEN_G,$AC232),0)&gt;0,MAX(BI$2:BI231)+1,0)</f>
        <v>0</v>
      </c>
      <c r="BJ232" s="48">
        <f ca="1">IF(IF(AND(OR(INDEX(PDC,MATCH($AC232,DEN_PDC,0),6)="SE AVERE",INDEX(PDC,MATCH($AC232,DEN_PDC,0),6)="SE DARE/AVERE"),SUMIFS(AVERE,DEN_G,$AC232)&gt;=SUMIFS(DARE,DEN_G,$AC232)),SUMIFS(AVERE,DEN_G,$AC232)-SUMIFS(DARE,DEN_G,$AC232),0)&gt;0,MAX(BJ$2:BJ231)+1,0)</f>
        <v>0</v>
      </c>
      <c r="BK232" s="48" t="str">
        <f ca="1">IF(AND(AND($DY$2=0,$DY$1=0),$I$1=2,ROW()&gt;$BG$1+2,ROW()&lt;=$BG$1+4),"………………..",IF(AND(OR($DY$2&gt;0,$DY$1&gt;0),$I$1=2,ROW()&gt;$BG$1+2,ROW()&lt;=$BG$1+4),"………………..",IFERROR(INDEX($AC$3:$AC$398,MATCH(ROWS(BK$3:BK232),BG$3:BG$398,0),1),"")))</f>
        <v/>
      </c>
      <c r="BL232" s="48">
        <f t="shared" ca="1" si="421"/>
        <v>0</v>
      </c>
      <c r="BM232" s="48" t="str">
        <f ca="1">IF(AND(OR($DY$2=0,$DY$1=0),$I$1=2,ROW()&gt;$BH$1+2,ROW()&lt;=$BH$1+4),"………………..",IF(AND(OR($DY$2&gt;0,$DY$1&gt;0),$I$1=2,ROW()&gt;$BH$1+2,ROW()&lt;=$BH$1+4),"………………..",IFERROR(INDEX($AC$3:$AC$400,MATCH(ROWS(BM$3:BM232),BH$3:BH$400,0),1),"")))</f>
        <v/>
      </c>
      <c r="BN232" s="48">
        <f t="shared" ca="1" si="422"/>
        <v>0</v>
      </c>
      <c r="BO232" s="48" t="str">
        <f ca="1">IF(AND(OR($DY$2=0,$DY$1=0),$I$1=2,ROW()&gt;$BI$1+2,ROW()&lt;=$BI$1+4),"………………..",IF(AND(OR($DY$2&gt;0,$DY$1&gt;0),$I$1=2,ROW()&gt;$BI$1+2,ROW()&lt;=$BI$1+4),"………………..",IFERROR(INDEX($AC$3:$AC$400,MATCH(ROWS(BO$3:BO232),BI$3:BI$400,0),1),"")))</f>
        <v/>
      </c>
      <c r="BP232" s="48">
        <f t="shared" ca="1" si="423"/>
        <v>0</v>
      </c>
      <c r="BQ232" s="48" t="str">
        <f ca="1">IF(AND(OR($DY$2=0,$DY$1=0),$I$1=2,ROW()&gt;$BJ$1+2,ROW()&lt;=$BJ$1+4),"………………..",IF(AND(OR($DY$2&gt;0,$DY$1&gt;0),$I$1=2,ROW()&gt;$BJ$1+2,ROW()&lt;=$BJ$1+4),"………………..",IFERROR(INDEX($AC$3:$AC$400,MATCH(ROWS(BQ$3:BQ232),BJ$3:BJ$400,0),1),"")))</f>
        <v/>
      </c>
      <c r="BR232" s="48">
        <f t="shared" ca="1" si="424"/>
        <v>0</v>
      </c>
      <c r="BS232" s="48">
        <f ca="1">IF(IF(AND(OR(INDEX(PDC,MATCH($AC232,DEN_PDC,0),4)="D",INDEX(PDC,MATCH($AC232,DEN_PDC,0),4)="D/A"),SUMIFS(DARE,DEN_G,$AC232)&gt;=SUMIFS(AVERE,DEN_G,$AC232)),SUMIFS(DARE,DEN_G,$AC232),IF(AND(OR(INDEX(PDC,MATCH($AC232,DEN_PDC,0),4)="A",INDEX(PDC,MATCH($AC232,DEN_PDC,0),4)="D/A"),SUMIFS(AVERE,DEN_G,$AC232)&gt;=SUMIFS(DARE,DEN_G,$AC232)),SUMIFS(AVERE,DEN_G,$AC232),))&gt;0,MAX($BS$2:BS231)+1,0)</f>
        <v>0</v>
      </c>
      <c r="BT232" s="48" t="str">
        <f ca="1">IF($CO$1=0,"",IF(AND($I$1=2,ROW()&gt;$BR$1,ROW()&lt;=$BS$1)," …………….",IF(AND($E$1=1,$BX$1=1,$I$1=2,ROW()=$BQ$1),"TOTALI",IFERROR(INDEX(PDC,MATCH(ROWS(BT$3:BT232),BS$3:BS629,0),2),""))))</f>
        <v/>
      </c>
      <c r="BU232" s="48">
        <f t="shared" ca="1" si="425"/>
        <v>0</v>
      </c>
      <c r="BV232" s="48">
        <f t="shared" ca="1" si="426"/>
        <v>0</v>
      </c>
      <c r="BW232" s="48">
        <f t="shared" ca="1" si="427"/>
        <v>0</v>
      </c>
      <c r="BX232" s="48">
        <f t="shared" ca="1" si="428"/>
        <v>0</v>
      </c>
      <c r="BY232" s="48">
        <f ca="1">IF(OR(BW232&gt;0,BX232&gt;0),MAX($BY$2:BY231)+1,0)</f>
        <v>0</v>
      </c>
      <c r="BZ232" s="48" t="str">
        <f ca="1">IFERROR(INDEX($BT$3:$BY$400,MATCH(ROWS(BZ$3:BZ232),$BY$3:$BY$400,0),1),"")</f>
        <v/>
      </c>
      <c r="CA232" s="48" t="str">
        <f ca="1">IFERROR(INDEX($BT$3:$BY$400,MATCH(ROWS(CA$3:CA232),$BY$3:$BY$400,0),4),"")</f>
        <v/>
      </c>
      <c r="CB232" s="48" t="str">
        <f ca="1">IFERROR(INDEX($BT$3:$BY$400,MATCH(ROWS(CB$3:CB232),$BY$3:$BY$400,0),5),"")</f>
        <v/>
      </c>
      <c r="CC232" s="48" t="str">
        <f t="shared" ca="1" si="429"/>
        <v/>
      </c>
      <c r="CD232" s="48">
        <f ca="1">IF(CE232&lt;&gt;0,MAX($CD$190:CD231)+1,0)</f>
        <v>0</v>
      </c>
      <c r="CE232" s="48">
        <f ca="1">IF($I$1=1,SUM(CE224:CE231),IF(AND($I$1=2,SUM(CE224:CE231)&lt;&gt;0),"_ _ _",0))</f>
        <v>0</v>
      </c>
      <c r="CG232" s="242" t="s">
        <v>785</v>
      </c>
      <c r="CH232" s="48">
        <f t="shared" ca="1" si="509"/>
        <v>0</v>
      </c>
      <c r="CM232" s="242" t="str">
        <f t="shared" ca="1" si="444"/>
        <v/>
      </c>
      <c r="CN232" s="243">
        <f t="shared" ca="1" si="445"/>
        <v>0</v>
      </c>
      <c r="CO232" s="48" t="str">
        <f t="shared" ca="1" si="446"/>
        <v/>
      </c>
      <c r="CU232" s="48">
        <f ca="1">IF(SUMIFS(AVERE,DEN_G,AC232,AVERE,"&gt;"&amp;0)+SUMIFS(DARE,DEN_G,AC232,DARE,"&gt;"&amp;0)&gt;0,MAX($CU$2:CU231)+1,0)</f>
        <v>0</v>
      </c>
      <c r="CV232" s="48" t="str">
        <f ca="1">IF(IFERROR(INDEX(PDC,MATCH(ROWS($CV$3:CV232),$CU$3:$CU$400,0),2),"")="CONTO DI RISULTATO ECONOMICO","",IFERROR(INDEX(PDC,MATCH(ROWS($CV$3:CV232),$CU$3:$CU$400,0),2),""))</f>
        <v/>
      </c>
      <c r="CW232" s="48">
        <f ca="1">IFERROR(IF(CV232&lt;&gt;"",MAX($CW$2:CW231)+1,0),0)</f>
        <v>0</v>
      </c>
      <c r="CX232" s="48">
        <f t="shared" ca="1" si="507"/>
        <v>18</v>
      </c>
      <c r="CY232" s="48" t="str">
        <f t="shared" ca="1" si="506"/>
        <v>MASTRO</v>
      </c>
      <c r="CZ232" s="48" t="e">
        <f t="shared" ca="1" si="510"/>
        <v>#N/A</v>
      </c>
      <c r="DA232" s="48" t="str">
        <f t="shared" ca="1" si="514"/>
        <v/>
      </c>
      <c r="DB232" s="48" t="str">
        <f t="shared" ca="1" si="499"/>
        <v/>
      </c>
      <c r="DC232" s="48" t="str">
        <f t="shared" ca="1" si="511"/>
        <v/>
      </c>
      <c r="DD232" s="48" t="str">
        <f t="shared" ca="1" si="512"/>
        <v/>
      </c>
      <c r="DE232" s="48" t="str">
        <f t="shared" ca="1" si="513"/>
        <v/>
      </c>
      <c r="DF232" s="48">
        <f ca="1">IF(AND(CX232=$DF$1,CX232&lt;&gt;""),0,IF(AND(DB232&lt;&gt;"",OR(DB231&lt;&gt;"",DB233&lt;&gt;"")),MAX($DF$2:DF231)+1,0))</f>
        <v>0</v>
      </c>
      <c r="DH232" s="244" t="s">
        <v>168</v>
      </c>
      <c r="DI232" s="48" t="s">
        <v>162</v>
      </c>
      <c r="DK232" s="48" t="s">
        <v>298</v>
      </c>
      <c r="DL232" s="48" t="s">
        <v>480</v>
      </c>
      <c r="DM232" s="48" t="s">
        <v>812</v>
      </c>
      <c r="DN232" s="48">
        <f ca="1">IF(DI232&lt;&gt;"",MAX($DN$2:DN231)+1,0)</f>
        <v>180</v>
      </c>
      <c r="DW232" s="48">
        <f>IF(DR232&lt;&gt;"",MAX($DW$2:DW231)+1,0)</f>
        <v>0</v>
      </c>
      <c r="DY232" s="48" t="str">
        <f t="shared" ca="1" si="430"/>
        <v/>
      </c>
      <c r="EL232" s="48">
        <f t="shared" ca="1" si="431"/>
        <v>0</v>
      </c>
      <c r="EM232" s="48">
        <f ca="1">IF(EL232&gt;=0,0,MAX($EM$2:EM231)+1)</f>
        <v>0</v>
      </c>
      <c r="EN232" s="48" t="str">
        <f t="shared" ca="1" si="459"/>
        <v/>
      </c>
      <c r="EO232" s="48" t="str">
        <f ca="1">IFERROR(INDEX($EM$3:$EN$400,MATCH(ROWS($EO$3:EO232),$EM$3:$EM$400,0),2),"")</f>
        <v/>
      </c>
      <c r="EP232" s="48">
        <f>ROW()</f>
        <v>232</v>
      </c>
      <c r="EQ232" s="48">
        <f t="shared" ca="1" si="432"/>
        <v>0</v>
      </c>
      <c r="ER232" s="48">
        <f ca="1">IF(ISNA(EQ232)=TRUE,MAX($ER$2:ER231)+1,0)</f>
        <v>0</v>
      </c>
      <c r="ES232" s="48" t="str">
        <f t="shared" ca="1" si="460"/>
        <v/>
      </c>
      <c r="ET232" s="48" t="str">
        <f ca="1">IFERROR(INDEX($ER$3:$ES$400,MATCH(ROWS($ET$3:ET232),$ER$3:$ER$400,0),2),"")</f>
        <v/>
      </c>
      <c r="EV232" s="48">
        <f ca="1">IFERROR(INDEX(LIBRO_GIORNALE!$O$11:$P$408,MATCH(ROWS($EV$2:EV231),LIBRO_GIORNALE!$P$11:$P$408,0),1),0)</f>
        <v>0</v>
      </c>
      <c r="EW232" s="48" t="str">
        <f t="shared" ca="1" si="461"/>
        <v>0</v>
      </c>
      <c r="EX232" s="48">
        <f t="shared" ca="1" si="462"/>
        <v>0</v>
      </c>
      <c r="EY232" s="48">
        <f ca="1">IF(EX232&gt;0,MAX($EY$2:EY231)+1,0)</f>
        <v>0</v>
      </c>
      <c r="EZ232" s="48">
        <f ca="1">IFERROR(INDEX($EX$3:$EX$400,MATCH(ROWS($EZ$3:EZ232),$EY$3:$EY$400,0),1),0)</f>
        <v>0</v>
      </c>
      <c r="FA232" s="48">
        <f ca="1">IF(EZ232&gt;0,0,MAX($FA$2:FA231)+1)</f>
        <v>230</v>
      </c>
      <c r="FB232" s="48">
        <f t="shared" ca="1" si="463"/>
        <v>0</v>
      </c>
      <c r="FC232" s="48">
        <f t="shared" ca="1" si="464"/>
        <v>230</v>
      </c>
      <c r="FD232" s="48">
        <f t="shared" ca="1" si="465"/>
        <v>230</v>
      </c>
      <c r="FE232" s="48">
        <f ca="1">IF(FD232=0,0,MAX($FE$2:FE231)+1)</f>
        <v>230</v>
      </c>
      <c r="FF232" s="48">
        <f ca="1">IFERROR(INDEX($FD$3:$FE$400,MATCH(ROWS($FF$3:FF232),$FE$3:$FE$400,0),1),"")</f>
        <v>230</v>
      </c>
      <c r="FG232" s="48">
        <f t="shared" ref="FG232:FG295" ca="1" si="519">IF(AND(AL232&gt;0,AL232&gt;AL233,AL233&lt;&gt;0),1,0)</f>
        <v>0</v>
      </c>
      <c r="FH232" s="48">
        <f t="shared" ca="1" si="466"/>
        <v>0</v>
      </c>
      <c r="FI232" s="48">
        <f ca="1">IF(FH232&lt;&gt;0,MAX($FI$2:FI231)+1,0)</f>
        <v>0</v>
      </c>
      <c r="FJ232" s="48" t="str">
        <f ca="1">IFERROR(INDEX($FH$3:$FI$400,MATCH(ROWS($FJ$3:FJ232),$FI$3:$FI$400,0),1),"")</f>
        <v/>
      </c>
      <c r="FK232" s="48">
        <f ca="1">IF(ABS(SUMIFS(DARE,DEN_G,"="&amp;FJ232,DATA,"&lt;="&amp;FINE_AC,DATA,"&gt;="&amp;INIZIO_A_PC)-SUMIFS(AVERE,DEN_G,"="&amp;FJ232,DATA,"&lt;="&amp;FINE_AC,DATA,"&gt;="&amp;INIZIO_A_PC))&gt;0,MAX($FK$2:FK231)+1,0)</f>
        <v>0</v>
      </c>
      <c r="FL232" s="48" t="str">
        <f ca="1">IF(AND(ROW()-2&lt;&gt;1,ROW()-2&lt;=$FK$1),CONCATENATE(" - ",IFERROR(INDEX($FJ$3:$FK$400,MATCH(ROWS($FL$3:FL232),$FK$3:$FK$400,0),1),"")),IFERROR(INDEX($FJ$3:$FK$400,MATCH(ROWS($FL$3:FL232),$FK$3:$FK$400,0),1),""))</f>
        <v/>
      </c>
      <c r="FM232" s="48">
        <f ca="1">IF(OR(B232="IVA ns/credito",B232="IVA NS/DEBITO",B232="IVA C/ACCONTO",B232="IMPOSTE C/ACCONTO",B232="CREDITI PER RITENUTE SUBITE",B232="CREDITI D'IMPOSTA"),MAX($FM$2:FM231)+1,0)</f>
        <v>0</v>
      </c>
      <c r="FN232" s="48" t="str">
        <f t="shared" ca="1" si="467"/>
        <v/>
      </c>
      <c r="FO232" s="48" t="str">
        <f ca="1">IFERROR(INDEX($FM$3:$FN$400,MATCH(ROWS($FO$3:FO232),$FM$3:$FM$400,0),2),"")</f>
        <v/>
      </c>
      <c r="FP232" s="48">
        <f ca="1">IF(ABS(SUMIFS(DARE,DEN_G,"="&amp;FO232,DATA,"&lt;="&amp;FINE_AC,DATA,"&gt;="&amp;INIZIO_A_PC)-SUMIFS(AVERE,DEN_G,"="&amp;FO232,DATA,"&lt;="&amp;FINE_AC,DATA,"&gt;="&amp;INIZIO_A_PC))&gt;0,MAX($FP$2:FP231)+1,0)</f>
        <v>0</v>
      </c>
      <c r="FQ232" s="48" t="str">
        <f ca="1">IF(AND(ROW()-2&lt;&gt;1,ROW()-2&lt;=$FP$1),CONCATENATE(" - ",IFERROR(INDEX($FO$3:$FP$400,MATCH(ROWS($FQ$3:FQ232),$FP$3:$FP$400,0),1),"")),IFERROR(INDEX($FO$3:$FP$400,MATCH(ROWS($FQ$3:FQ232),$FP$3:$FP$400,0),1),""))</f>
        <v/>
      </c>
    </row>
    <row r="233" spans="1:173" x14ac:dyDescent="0.3">
      <c r="A233" s="48" t="str">
        <f ca="1">IFERROR(IF($A$1=2,INDEX($DH$3:$DN$401,MATCH(ROWS(A$3:A233),$DN$3:$DN$401,0),COLUMN()),IF($A$1=1,INDEX($DQ$3:$DW$401,MATCH(ROWS(A$3:A233),$DW$3:$DW$401,0),COLUMN()),"")),"")</f>
        <v>31.10</v>
      </c>
      <c r="B233" s="48" t="str">
        <f ca="1">IFERROR(IF($A$1=2,INDEX($DH$3:$DN$401,MATCH(ROWS(B$3:B233),$DN$3:$DN$401,0),COLUMN()),IF($A$1=1,INDEX($DQ$3:$DW$400,MATCH(ROWS(B$3:B233),$DW$3:$DW$401,0),COLUMN()),"")),"")</f>
        <v>MANUTENZIONI E RIPARAZIONI</v>
      </c>
      <c r="C233" s="48" t="str">
        <f ca="1">IFERROR(IF($A$1=2,INDEX($DH$3:$DN$401,MATCH(ROWS(C$3:C233),$DN$3:$DN$401,0),COLUMN()),IF($A$1=1,INDEX($DQ$3:$DW$401,MATCH(ROWS(C$3:C233),$DW$3:$DW$401,0),COLUMN()),"")),"")</f>
        <v>E</v>
      </c>
      <c r="D233" s="48" t="str">
        <f ca="1">IFERROR(IF($A$1=2,INDEX($DH$3:$DN$401,MATCH(ROWS(D$3:D233),$DN$3:$DN$401,0),COLUMN()),IF($A$1=1,INDEX($DQ$3:$DW$401,MATCH(ROWS(D$3:D233),$DW$3:$DW$401,0),COLUMN()),"")),"")</f>
        <v>D</v>
      </c>
      <c r="E233" s="48" t="str">
        <f ca="1">IFERROR(IF($A$1=2,INDEX($DH$3:$DN$401,MATCH(ROWS(E$3:E233),$DN$3:$DN$401,0),COLUMN()),IF($A$1=1,INDEX($DQ$3:$DW$401,MATCH(ROWS(E$3:E233),$DW$3:$DW$401,0),COLUMN()),"")),"")</f>
        <v>COSTI D'ESERCIZIO</v>
      </c>
      <c r="F233" s="48" t="str">
        <f ca="1">IFERROR(IF($A$1=2,INDEX($DH$3:$DN$401,MATCH(ROWS(F$3:F233),$DN$3:$DN$401,0),COLUMN()),IF($A$1=1,INDEX($DQ$3:$DX$401,MATCH(ROWS(F$3:F233),$DW$3:$DW$401,0),COLUMN()),"")),"")</f>
        <v>SE DARE</v>
      </c>
      <c r="G233" s="48" t="str">
        <f t="shared" ca="1" si="433"/>
        <v>SE</v>
      </c>
      <c r="H233" s="48" t="str">
        <f ca="1">IFERROR(IF($A$1=2,INDEX($DH$3:$DO$400,MATCH(ROWS(H$3:H233),$DN$3:$DN$400,0),COLUMN()),IF($A$1=1,INDEX($DQ$3:$DX$400,MATCH(ROWS(H$3:H233),$DW$3:$DW$400,0),COLUMN()),"")),"")</f>
        <v>eb7</v>
      </c>
      <c r="M233" s="48">
        <f ca="1">IFERROR(IF(IF(MID($A233,3,3)=".00",MID(A233,1,2),"")&lt;&gt;"",MAX($M$2:M232)+1,0),"")</f>
        <v>0</v>
      </c>
      <c r="N233" s="48" t="str">
        <f t="shared" ca="1" si="438"/>
        <v/>
      </c>
      <c r="O233" s="48" t="str">
        <f ca="1">IF(IFERROR(INDEX($N$3:$O$300,MATCH(ROWS($O$3:O233),$M$3:$M$300,0),1),"")&lt;&gt;"",CONCATENATE(INDEX($N$3:$O$300,MATCH(ROWS($O$3:O233),$M$3:$M$300,0),1),".00"),"")</f>
        <v/>
      </c>
      <c r="P233" s="48" t="str">
        <f t="shared" ca="1" si="439"/>
        <v/>
      </c>
      <c r="Q233" s="48">
        <f ca="1">IF(M233&gt;=1,0,MAX($Q$2:Q232)+1)</f>
        <v>208</v>
      </c>
      <c r="U233" s="48" t="str">
        <f ca="1">IFERROR(INDEX(PDC,MATCH(ROWS(U$3:U233),$V$3:$V$400,0),2),"")</f>
        <v>AMMORTAMENTO FABBRICATI</v>
      </c>
      <c r="V233" s="48">
        <f ca="1">IF(AND($T$1="VISUALIZZA TUTTI I CONTI",AA233&lt;&gt;""),MAX($V$2:V232)+1,IF(AND($U$2=2,AI233=$T$1),MAX($V$2:V232)+1,IF(AND($U$2=1,$T$1=AF233),MAX($V$2:V232)+1,0)))</f>
        <v>231</v>
      </c>
      <c r="AA233" s="48" t="str">
        <f t="shared" ca="1" si="440"/>
        <v>35.00</v>
      </c>
      <c r="AB233" s="48" t="str">
        <f ca="1">IFERROR(INDEX($A$3:$G$400,MATCH(ROWS(AB$3:AB233),$Q$3:$Q$400,0),1),"")</f>
        <v>35.01</v>
      </c>
      <c r="AC233" s="48" t="str">
        <f ca="1">IFERROR(INDEX($A$3:$G$400,MATCH(ROWS($AC$3:AC233),$Q$3:$Q$400,0),2),"")</f>
        <v>AMMORTAMENTO FABBRICATI</v>
      </c>
      <c r="AD233" s="48" t="str">
        <f ca="1">IFERROR(INDEX($A$3:$G$400,MATCH(ROWS(AD$3:AD233),$Q$3:$Q$400,0),3),"")</f>
        <v>E</v>
      </c>
      <c r="AE233" s="48" t="str">
        <f ca="1">IFERROR(INDEX($A$3:$G$400,MATCH(ROWS(AE$3:AE233),$Q$3:$Q$400,0),4),"")</f>
        <v>D</v>
      </c>
      <c r="AF233" s="48" t="str">
        <f ca="1">IFERROR(INDEX($A$3:$G$400,MATCH(ROWS(AF$3:AF233),$Q$3:$Q$400,0),5),"")</f>
        <v>COSTI D'ESERCIZIO</v>
      </c>
      <c r="AG233" s="48" t="str">
        <f ca="1">IFERROR(INDEX($A$3:$G$400,MATCH(ROWS(AG$3:AG233),$Q$3:$Q$400,0),6),"")</f>
        <v>SE DARE</v>
      </c>
      <c r="AH233" s="48" t="str">
        <f ca="1">IFERROR(INDEX($A$3:$G$400,MATCH(ROWS(AH$3:AH233),$Q$3:$Q$400,0),7),"")</f>
        <v>SE</v>
      </c>
      <c r="AI233" s="48" t="str">
        <f t="shared" ca="1" si="441"/>
        <v>AMMORTAMENTI IMMOBILIZZAZIONI MATERIALI</v>
      </c>
      <c r="AJ233" s="48" t="str">
        <f ca="1">IFERROR(INDEX($A$3:$H$400,MATCH(ROWS(AJ$3:AJ233),$Q$3:$Q$400,0),8),"")</f>
        <v>eb10a</v>
      </c>
      <c r="AK233" s="48">
        <f t="shared" ca="1" si="417"/>
        <v>0</v>
      </c>
      <c r="AL233" s="48">
        <f t="shared" ca="1" si="515"/>
        <v>0</v>
      </c>
      <c r="AM233" s="48">
        <f t="shared" ca="1" si="516"/>
        <v>0</v>
      </c>
      <c r="AN233" s="48">
        <f t="shared" ca="1" si="517"/>
        <v>0</v>
      </c>
      <c r="AO233" s="48">
        <f t="shared" ca="1" si="518"/>
        <v>0</v>
      </c>
      <c r="AP233" s="48">
        <f t="shared" ca="1" si="518"/>
        <v>0</v>
      </c>
      <c r="AZ233" s="48" t="str">
        <f t="shared" ca="1" si="484"/>
        <v/>
      </c>
      <c r="BA233" s="48">
        <f t="shared" ref="BA233:BA296" ca="1" si="520">IF(AND(BF233&lt;$BF$2,AL135&gt;=INIZIO_AC,AL135&gt;=INIZIO_A_PC,AL135&lt;=FINE_AC),AL135,0)</f>
        <v>0</v>
      </c>
      <c r="BB233" s="48">
        <f t="shared" ca="1" si="481"/>
        <v>0</v>
      </c>
      <c r="BC233" s="48">
        <f t="shared" ca="1" si="482"/>
        <v>0</v>
      </c>
      <c r="BD233" s="48">
        <f t="shared" ca="1" si="383"/>
        <v>0</v>
      </c>
      <c r="BE233" s="48">
        <f t="shared" ca="1" si="384"/>
        <v>0</v>
      </c>
      <c r="BF233" s="48">
        <f t="shared" si="485"/>
        <v>33</v>
      </c>
      <c r="BG233" s="48">
        <f ca="1">IF(IF(AND(OR(INDEX(PDC,MATCH($AC233,DEN_PDC,0),6)="SP DARE",INDEX(PDC,MATCH($AC233,DEN_PDC,0),6)="SP DARE/AVERE"),SUMIFS(DARE,DEN_G,$AC233)&gt;=SUMIFS(AVERE,DEN_G,$AC233)),SUMIFS(DARE,DEN_G,$AC233)-SUMIFS(AVERE,DEN_G,$AC233),0)&gt;0,MAX($BG$2:BG232)+1,0)</f>
        <v>0</v>
      </c>
      <c r="BH233" s="48">
        <f ca="1">IF(IF(AND(OR(INDEX(PDC,MATCH($AC233,DEN_PDC,0),6)="SP AVERE",INDEX(PDC,MATCH($AC233,DEN_PDC,0),6)="SP DARE/AVERE"),SUMIFS(AVERE,DEN_G,$AC233)&gt;=SUMIFS(DARE,DEN_G,$AC233)),SUMIFS(AVERE,DEN_G,$AC233)-SUMIFS(DARE,DEN_G,$AC233),0)&gt;0,MAX(BH$2:BH232)+1,0)</f>
        <v>0</v>
      </c>
      <c r="BI233" s="48">
        <f ca="1">IF(IF(AND(OR(INDEX(PDC,MATCH($AC233,DEN_PDC,0),6)="SE DARE",INDEX(PDC,MATCH($AC233,DEN_PDC,0),6)="SE DARE/AVERE"),SUMIFS(DARE,DEN_G,$AC233)&gt;=SUMIFS(AVERE,DEN_G,$AC233)),SUMIFS(DARE,DEN_G,$AC233)-SUMIFS(AVERE,DEN_G,$AC233),0)&gt;0,MAX(BI$2:BI232)+1,0)</f>
        <v>0</v>
      </c>
      <c r="BJ233" s="48">
        <f ca="1">IF(IF(AND(OR(INDEX(PDC,MATCH($AC233,DEN_PDC,0),6)="SE AVERE",INDEX(PDC,MATCH($AC233,DEN_PDC,0),6)="SE DARE/AVERE"),SUMIFS(AVERE,DEN_G,$AC233)&gt;=SUMIFS(DARE,DEN_G,$AC233)),SUMIFS(AVERE,DEN_G,$AC233)-SUMIFS(DARE,DEN_G,$AC233),0)&gt;0,MAX(BJ$2:BJ232)+1,0)</f>
        <v>0</v>
      </c>
      <c r="BK233" s="48" t="str">
        <f ca="1">IF(AND(AND($DY$2=0,$DY$1=0),$I$1=2,ROW()&gt;$BG$1+2,ROW()&lt;=$BG$1+4),"………………..",IF(AND(OR($DY$2&gt;0,$DY$1&gt;0),$I$1=2,ROW()&gt;$BG$1+2,ROW()&lt;=$BG$1+4),"………………..",IFERROR(INDEX($AC$3:$AC$398,MATCH(ROWS(BK$3:BK233),BG$3:BG$398,0),1),"")))</f>
        <v/>
      </c>
      <c r="BL233" s="48">
        <f t="shared" ca="1" si="421"/>
        <v>0</v>
      </c>
      <c r="BM233" s="48" t="str">
        <f ca="1">IF(AND(OR($DY$2=0,$DY$1=0),$I$1=2,ROW()&gt;$BH$1+2,ROW()&lt;=$BH$1+4),"………………..",IF(AND(OR($DY$2&gt;0,$DY$1&gt;0),$I$1=2,ROW()&gt;$BH$1+2,ROW()&lt;=$BH$1+4),"………………..",IFERROR(INDEX($AC$3:$AC$400,MATCH(ROWS(BM$3:BM233),BH$3:BH$400,0),1),"")))</f>
        <v/>
      </c>
      <c r="BN233" s="48">
        <f t="shared" ca="1" si="422"/>
        <v>0</v>
      </c>
      <c r="BO233" s="48" t="str">
        <f ca="1">IF(AND(OR($DY$2=0,$DY$1=0),$I$1=2,ROW()&gt;$BI$1+2,ROW()&lt;=$BI$1+4),"………………..",IF(AND(OR($DY$2&gt;0,$DY$1&gt;0),$I$1=2,ROW()&gt;$BI$1+2,ROW()&lt;=$BI$1+4),"………………..",IFERROR(INDEX($AC$3:$AC$400,MATCH(ROWS(BO$3:BO233),BI$3:BI$400,0),1),"")))</f>
        <v/>
      </c>
      <c r="BP233" s="48">
        <f t="shared" ca="1" si="423"/>
        <v>0</v>
      </c>
      <c r="BQ233" s="48" t="str">
        <f ca="1">IF(AND(OR($DY$2=0,$DY$1=0),$I$1=2,ROW()&gt;$BJ$1+2,ROW()&lt;=$BJ$1+4),"………………..",IF(AND(OR($DY$2&gt;0,$DY$1&gt;0),$I$1=2,ROW()&gt;$BJ$1+2,ROW()&lt;=$BJ$1+4),"………………..",IFERROR(INDEX($AC$3:$AC$400,MATCH(ROWS(BQ$3:BQ233),BJ$3:BJ$400,0),1),"")))</f>
        <v/>
      </c>
      <c r="BR233" s="48">
        <f t="shared" ca="1" si="424"/>
        <v>0</v>
      </c>
      <c r="BS233" s="48">
        <f ca="1">IF(IF(AND(OR(INDEX(PDC,MATCH($AC233,DEN_PDC,0),4)="D",INDEX(PDC,MATCH($AC233,DEN_PDC,0),4)="D/A"),SUMIFS(DARE,DEN_G,$AC233)&gt;=SUMIFS(AVERE,DEN_G,$AC233)),SUMIFS(DARE,DEN_G,$AC233),IF(AND(OR(INDEX(PDC,MATCH($AC233,DEN_PDC,0),4)="A",INDEX(PDC,MATCH($AC233,DEN_PDC,0),4)="D/A"),SUMIFS(AVERE,DEN_G,$AC233)&gt;=SUMIFS(DARE,DEN_G,$AC233)),SUMIFS(AVERE,DEN_G,$AC233),))&gt;0,MAX($BS$2:BS232)+1,0)</f>
        <v>0</v>
      </c>
      <c r="BT233" s="48" t="str">
        <f ca="1">IF($CO$1=0,"",IF(AND($I$1=2,ROW()&gt;$BR$1,ROW()&lt;=$BS$1)," …………….",IF(AND($E$1=1,$BX$1=1,$I$1=2,ROW()=$BQ$1),"TOTALI",IFERROR(INDEX(PDC,MATCH(ROWS(BT$3:BT233),BS$3:BS630,0),2),""))))</f>
        <v/>
      </c>
      <c r="BU233" s="48">
        <f t="shared" ca="1" si="425"/>
        <v>0</v>
      </c>
      <c r="BV233" s="48">
        <f t="shared" ca="1" si="426"/>
        <v>0</v>
      </c>
      <c r="BW233" s="48">
        <f t="shared" ca="1" si="427"/>
        <v>0</v>
      </c>
      <c r="BX233" s="48">
        <f t="shared" ca="1" si="428"/>
        <v>0</v>
      </c>
      <c r="BY233" s="48">
        <f ca="1">IF(OR(BW233&gt;0,BX233&gt;0),MAX($BY$2:BY232)+1,0)</f>
        <v>0</v>
      </c>
      <c r="BZ233" s="48" t="str">
        <f ca="1">IFERROR(INDEX($BT$3:$BY$400,MATCH(ROWS(BZ$3:BZ233),$BY$3:$BY$400,0),1),"")</f>
        <v/>
      </c>
      <c r="CA233" s="48" t="str">
        <f ca="1">IFERROR(INDEX($BT$3:$BY$400,MATCH(ROWS(CA$3:CA233),$BY$3:$BY$400,0),4),"")</f>
        <v/>
      </c>
      <c r="CB233" s="48" t="str">
        <f ca="1">IFERROR(INDEX($BT$3:$BY$400,MATCH(ROWS(CB$3:CB233),$BY$3:$BY$400,0),5),"")</f>
        <v/>
      </c>
      <c r="CC233" s="48" t="str">
        <f t="shared" ca="1" si="429"/>
        <v/>
      </c>
      <c r="CD233" s="48">
        <f ca="1">IF(CE233&lt;&gt;0,MAX($CD$190:CD232)+1,0)</f>
        <v>0</v>
      </c>
      <c r="CE233" s="48">
        <f ca="1">IF(OR(CE232&lt;&gt;0,CE221&lt;&gt;0,CE200&lt;&gt;0,SUM(CE235:CE238)&gt;0,SUM(CE240:CE243)&lt;0),"a",0)</f>
        <v>0</v>
      </c>
      <c r="CG233" s="242" t="s">
        <v>844</v>
      </c>
      <c r="CM233" s="242" t="str">
        <f t="shared" ca="1" si="444"/>
        <v/>
      </c>
      <c r="CN233" s="243">
        <f t="shared" ca="1" si="445"/>
        <v>0</v>
      </c>
      <c r="CO233" s="48" t="str">
        <f t="shared" ca="1" si="446"/>
        <v/>
      </c>
      <c r="CU233" s="48">
        <f ca="1">IF(SUMIFS(AVERE,DEN_G,AC233,AVERE,"&gt;"&amp;0)+SUMIFS(DARE,DEN_G,AC233,DARE,"&gt;"&amp;0)&gt;0,MAX($CU$2:CU232)+1,0)</f>
        <v>0</v>
      </c>
      <c r="CV233" s="48" t="str">
        <f ca="1">IF(IFERROR(INDEX(PDC,MATCH(ROWS($CV$3:CV233),$CU$3:$CU$400,0),2),"")="CONTO DI RISULTATO ECONOMICO","",IFERROR(INDEX(PDC,MATCH(ROWS($CV$3:CV233),$CU$3:$CU$400,0),2),""))</f>
        <v/>
      </c>
      <c r="CW233" s="48">
        <f ca="1">IFERROR(IF(CV233&lt;&gt;"",MAX($CW$2:CW232)+1,0),0)</f>
        <v>0</v>
      </c>
      <c r="CX233" s="48">
        <f t="shared" ca="1" si="507"/>
        <v>18</v>
      </c>
      <c r="CY233" s="48" t="str">
        <f t="shared" ca="1" si="506"/>
        <v>MASTRO</v>
      </c>
      <c r="CZ233" s="48" t="e">
        <f t="shared" ca="1" si="510"/>
        <v>#N/A</v>
      </c>
      <c r="DA233" s="48" t="str">
        <f t="shared" ca="1" si="514"/>
        <v/>
      </c>
      <c r="DB233" s="48" t="str">
        <f t="shared" ca="1" si="499"/>
        <v/>
      </c>
      <c r="DC233" s="48" t="str">
        <f t="shared" ca="1" si="511"/>
        <v/>
      </c>
      <c r="DD233" s="48" t="str">
        <f t="shared" ca="1" si="512"/>
        <v/>
      </c>
      <c r="DE233" s="48" t="str">
        <f t="shared" ca="1" si="513"/>
        <v/>
      </c>
      <c r="DF233" s="48">
        <f ca="1">IF(AND(CX233=$DF$1,CX233&lt;&gt;""),0,IF(AND(DB233&lt;&gt;"",OR(DB232&lt;&gt;"",DB234&lt;&gt;"")),MAX($DF$2:DF232)+1,0))</f>
        <v>0</v>
      </c>
      <c r="DH233" s="244"/>
      <c r="DK233" s="48" t="s">
        <v>275</v>
      </c>
      <c r="DL233" s="48" t="s">
        <v>480</v>
      </c>
      <c r="DM233" s="48" t="s">
        <v>812</v>
      </c>
      <c r="DN233" s="48">
        <f>IF(DI233&lt;&gt;"",MAX($DN$2:DN232)+1,0)</f>
        <v>0</v>
      </c>
      <c r="DW233" s="48">
        <f>IF(DR233&lt;&gt;"",MAX($DW$2:DW232)+1,0)</f>
        <v>0</v>
      </c>
      <c r="DY233" s="48" t="str">
        <f t="shared" ca="1" si="430"/>
        <v/>
      </c>
      <c r="EL233" s="48">
        <f t="shared" ca="1" si="431"/>
        <v>0</v>
      </c>
      <c r="EM233" s="48">
        <f ca="1">IF(EL233&gt;=0,0,MAX($EM$2:EM232)+1)</f>
        <v>0</v>
      </c>
      <c r="EN233" s="48" t="str">
        <f t="shared" ca="1" si="459"/>
        <v/>
      </c>
      <c r="EO233" s="48" t="str">
        <f ca="1">IFERROR(INDEX($EM$3:$EN$400,MATCH(ROWS($EO$3:EO233),$EM$3:$EM$400,0),2),"")</f>
        <v/>
      </c>
      <c r="EP233" s="48">
        <f>ROW()</f>
        <v>233</v>
      </c>
      <c r="EQ233" s="48">
        <f t="shared" ca="1" si="432"/>
        <v>0</v>
      </c>
      <c r="ER233" s="48">
        <f ca="1">IF(ISNA(EQ233)=TRUE,MAX($ER$2:ER232)+1,0)</f>
        <v>0</v>
      </c>
      <c r="ES233" s="48" t="str">
        <f t="shared" ca="1" si="460"/>
        <v/>
      </c>
      <c r="ET233" s="48" t="str">
        <f ca="1">IFERROR(INDEX($ER$3:$ES$400,MATCH(ROWS($ET$3:ET233),$ER$3:$ER$400,0),2),"")</f>
        <v/>
      </c>
      <c r="EV233" s="48">
        <f ca="1">IFERROR(INDEX(LIBRO_GIORNALE!$O$11:$P$408,MATCH(ROWS($EV$2:EV232),LIBRO_GIORNALE!$P$11:$P$408,0),1),0)</f>
        <v>0</v>
      </c>
      <c r="EW233" s="48" t="str">
        <f t="shared" ca="1" si="461"/>
        <v>0</v>
      </c>
      <c r="EX233" s="48">
        <f t="shared" ca="1" si="462"/>
        <v>0</v>
      </c>
      <c r="EY233" s="48">
        <f ca="1">IF(EX233&gt;0,MAX($EY$2:EY232)+1,0)</f>
        <v>0</v>
      </c>
      <c r="EZ233" s="48">
        <f ca="1">IFERROR(INDEX($EX$3:$EX$400,MATCH(ROWS($EZ$3:EZ233),$EY$3:$EY$400,0),1),0)</f>
        <v>0</v>
      </c>
      <c r="FA233" s="48">
        <f ca="1">IF(EZ233&gt;0,0,MAX($FA$2:FA232)+1)</f>
        <v>231</v>
      </c>
      <c r="FB233" s="48">
        <f t="shared" ca="1" si="463"/>
        <v>0</v>
      </c>
      <c r="FC233" s="48">
        <f t="shared" ca="1" si="464"/>
        <v>231</v>
      </c>
      <c r="FD233" s="48">
        <f t="shared" ca="1" si="465"/>
        <v>231</v>
      </c>
      <c r="FE233" s="48">
        <f ca="1">IF(FD233=0,0,MAX($FE$2:FE232)+1)</f>
        <v>231</v>
      </c>
      <c r="FF233" s="48">
        <f ca="1">IFERROR(INDEX($FD$3:$FE$400,MATCH(ROWS($FF$3:FF233),$FE$3:$FE$400,0),1),"")</f>
        <v>231</v>
      </c>
      <c r="FG233" s="48">
        <f t="shared" ca="1" si="519"/>
        <v>0</v>
      </c>
      <c r="FH233" s="48">
        <f t="shared" ca="1" si="466"/>
        <v>0</v>
      </c>
      <c r="FI233" s="48">
        <f ca="1">IF(FH233&lt;&gt;0,MAX($FI$2:FI232)+1,0)</f>
        <v>0</v>
      </c>
      <c r="FJ233" s="48" t="str">
        <f ca="1">IFERROR(INDEX($FH$3:$FI$400,MATCH(ROWS($FJ$3:FJ233),$FI$3:$FI$400,0),1),"")</f>
        <v/>
      </c>
      <c r="FK233" s="48">
        <f ca="1">IF(ABS(SUMIFS(DARE,DEN_G,"="&amp;FJ233,DATA,"&lt;="&amp;FINE_AC,DATA,"&gt;="&amp;INIZIO_A_PC)-SUMIFS(AVERE,DEN_G,"="&amp;FJ233,DATA,"&lt;="&amp;FINE_AC,DATA,"&gt;="&amp;INIZIO_A_PC))&gt;0,MAX($FK$2:FK232)+1,0)</f>
        <v>0</v>
      </c>
      <c r="FL233" s="48" t="str">
        <f ca="1">IF(AND(ROW()-2&lt;&gt;1,ROW()-2&lt;=$FK$1),CONCATENATE(" - ",IFERROR(INDEX($FJ$3:$FK$400,MATCH(ROWS($FL$3:FL233),$FK$3:$FK$400,0),1),"")),IFERROR(INDEX($FJ$3:$FK$400,MATCH(ROWS($FL$3:FL233),$FK$3:$FK$400,0),1),""))</f>
        <v/>
      </c>
      <c r="FM233" s="48">
        <f ca="1">IF(OR(B233="IVA ns/credito",B233="IVA NS/DEBITO",B233="IVA C/ACCONTO",B233="IMPOSTE C/ACCONTO",B233="CREDITI PER RITENUTE SUBITE",B233="CREDITI D'IMPOSTA"),MAX($FM$2:FM232)+1,0)</f>
        <v>0</v>
      </c>
      <c r="FN233" s="48" t="str">
        <f t="shared" ca="1" si="467"/>
        <v/>
      </c>
      <c r="FO233" s="48" t="str">
        <f ca="1">IFERROR(INDEX($FM$3:$FN$400,MATCH(ROWS($FO$3:FO233),$FM$3:$FM$400,0),2),"")</f>
        <v/>
      </c>
      <c r="FP233" s="48">
        <f ca="1">IF(ABS(SUMIFS(DARE,DEN_G,"="&amp;FO233,DATA,"&lt;="&amp;FINE_AC,DATA,"&gt;="&amp;INIZIO_A_PC)-SUMIFS(AVERE,DEN_G,"="&amp;FO233,DATA,"&lt;="&amp;FINE_AC,DATA,"&gt;="&amp;INIZIO_A_PC))&gt;0,MAX($FP$2:FP232)+1,0)</f>
        <v>0</v>
      </c>
      <c r="FQ233" s="48" t="str">
        <f ca="1">IF(AND(ROW()-2&lt;&gt;1,ROW()-2&lt;=$FP$1),CONCATENATE(" - ",IFERROR(INDEX($FO$3:$FP$400,MATCH(ROWS($FQ$3:FQ233),$FP$3:$FP$400,0),1),"")),IFERROR(INDEX($FO$3:$FP$400,MATCH(ROWS($FQ$3:FQ233),$FP$3:$FP$400,0),1),""))</f>
        <v/>
      </c>
    </row>
    <row r="234" spans="1:173" x14ac:dyDescent="0.3">
      <c r="A234" s="48" t="str">
        <f ca="1">IFERROR(IF($A$1=2,INDEX($DH$3:$DN$401,MATCH(ROWS(A$3:A234),$DN$3:$DN$401,0),COLUMN()),IF($A$1=1,INDEX($DQ$3:$DW$401,MATCH(ROWS(A$3:A234),$DW$3:$DW$401,0),COLUMN()),"")),"")</f>
        <v>31.11</v>
      </c>
      <c r="B234" s="48" t="str">
        <f ca="1">IFERROR(IF($A$1=2,INDEX($DH$3:$DN$401,MATCH(ROWS(B$3:B234),$DN$3:$DN$401,0),COLUMN()),IF($A$1=1,INDEX($DQ$3:$DW$400,MATCH(ROWS(B$3:B234),$DW$3:$DW$401,0),COLUMN()),"")),"")</f>
        <v>COSTI DI ETICHETTATURA</v>
      </c>
      <c r="C234" s="48" t="str">
        <f ca="1">IFERROR(IF($A$1=2,INDEX($DH$3:$DN$401,MATCH(ROWS(C$3:C234),$DN$3:$DN$401,0),COLUMN()),IF($A$1=1,INDEX($DQ$3:$DW$401,MATCH(ROWS(C$3:C234),$DW$3:$DW$401,0),COLUMN()),"")),"")</f>
        <v>E</v>
      </c>
      <c r="D234" s="48" t="str">
        <f ca="1">IFERROR(IF($A$1=2,INDEX($DH$3:$DN$401,MATCH(ROWS(D$3:D234),$DN$3:$DN$401,0),COLUMN()),IF($A$1=1,INDEX($DQ$3:$DW$401,MATCH(ROWS(D$3:D234),$DW$3:$DW$401,0),COLUMN()),"")),"")</f>
        <v>D</v>
      </c>
      <c r="E234" s="48" t="str">
        <f ca="1">IFERROR(IF($A$1=2,INDEX($DH$3:$DN$401,MATCH(ROWS(E$3:E234),$DN$3:$DN$401,0),COLUMN()),IF($A$1=1,INDEX($DQ$3:$DW$401,MATCH(ROWS(E$3:E234),$DW$3:$DW$401,0),COLUMN()),"")),"")</f>
        <v>COSTI D'ESERCIZIO</v>
      </c>
      <c r="F234" s="48" t="str">
        <f ca="1">IFERROR(IF($A$1=2,INDEX($DH$3:$DN$401,MATCH(ROWS(F$3:F234),$DN$3:$DN$401,0),COLUMN()),IF($A$1=1,INDEX($DQ$3:$DX$401,MATCH(ROWS(F$3:F234),$DW$3:$DW$401,0),COLUMN()),"")),"")</f>
        <v>SE DARE</v>
      </c>
      <c r="G234" s="48" t="str">
        <f t="shared" ca="1" si="433"/>
        <v>SE</v>
      </c>
      <c r="H234" s="48" t="str">
        <f ca="1">IFERROR(IF($A$1=2,INDEX($DH$3:$DO$400,MATCH(ROWS(H$3:H234),$DN$3:$DN$400,0),COLUMN()),IF($A$1=1,INDEX($DQ$3:$DX$400,MATCH(ROWS(H$3:H234),$DW$3:$DW$400,0),COLUMN()),"")),"")</f>
        <v>eb7</v>
      </c>
      <c r="M234" s="48">
        <f ca="1">IFERROR(IF(IF(MID($A234,3,3)=".00",MID(A234,1,2),"")&lt;&gt;"",MAX($M$2:M233)+1,0),"")</f>
        <v>0</v>
      </c>
      <c r="N234" s="48" t="str">
        <f t="shared" ca="1" si="438"/>
        <v/>
      </c>
      <c r="O234" s="48" t="str">
        <f ca="1">IF(IFERROR(INDEX($N$3:$O$300,MATCH(ROWS($O$3:O234),$M$3:$M$300,0),1),"")&lt;&gt;"",CONCATENATE(INDEX($N$3:$O$300,MATCH(ROWS($O$3:O234),$M$3:$M$300,0),1),".00"),"")</f>
        <v/>
      </c>
      <c r="P234" s="48" t="str">
        <f t="shared" ca="1" si="439"/>
        <v/>
      </c>
      <c r="Q234" s="48">
        <f ca="1">IF(M234&gt;=1,0,MAX($Q$2:Q233)+1)</f>
        <v>209</v>
      </c>
      <c r="U234" s="48" t="str">
        <f ca="1">IFERROR(INDEX(PDC,MATCH(ROWS(U$3:U234),$V$3:$V$400,0),2),"")</f>
        <v>AMMORTAMENTO IMPIANTI E MACCHINARI</v>
      </c>
      <c r="V234" s="48">
        <f ca="1">IF(AND($T$1="VISUALIZZA TUTTI I CONTI",AA234&lt;&gt;""),MAX($V$2:V233)+1,IF(AND($U$2=2,AI234=$T$1),MAX($V$2:V233)+1,IF(AND($U$2=1,$T$1=AF234),MAX($V$2:V233)+1,0)))</f>
        <v>232</v>
      </c>
      <c r="AA234" s="48" t="str">
        <f t="shared" ca="1" si="440"/>
        <v>35.00</v>
      </c>
      <c r="AB234" s="48" t="str">
        <f ca="1">IFERROR(INDEX($A$3:$G$400,MATCH(ROWS(AB$3:AB234),$Q$3:$Q$400,0),1),"")</f>
        <v>35.02</v>
      </c>
      <c r="AC234" s="48" t="str">
        <f ca="1">IFERROR(INDEX($A$3:$G$400,MATCH(ROWS($AC$3:AC234),$Q$3:$Q$400,0),2),"")</f>
        <v>AMMORTAMENTO IMPIANTI E MACCHINARI</v>
      </c>
      <c r="AD234" s="48" t="str">
        <f ca="1">IFERROR(INDEX($A$3:$G$400,MATCH(ROWS(AD$3:AD234),$Q$3:$Q$400,0),3),"")</f>
        <v>E</v>
      </c>
      <c r="AE234" s="48" t="str">
        <f ca="1">IFERROR(INDEX($A$3:$G$400,MATCH(ROWS(AE$3:AE234),$Q$3:$Q$400,0),4),"")</f>
        <v>D</v>
      </c>
      <c r="AF234" s="48" t="str">
        <f ca="1">IFERROR(INDEX($A$3:$G$400,MATCH(ROWS(AF$3:AF234),$Q$3:$Q$400,0),5),"")</f>
        <v>COSTI D'ESERCIZIO</v>
      </c>
      <c r="AG234" s="48" t="str">
        <f ca="1">IFERROR(INDEX($A$3:$G$400,MATCH(ROWS(AG$3:AG234),$Q$3:$Q$400,0),6),"")</f>
        <v>SE DARE</v>
      </c>
      <c r="AH234" s="48" t="str">
        <f ca="1">IFERROR(INDEX($A$3:$G$400,MATCH(ROWS(AH$3:AH234),$Q$3:$Q$400,0),7),"")</f>
        <v>SE</v>
      </c>
      <c r="AI234" s="48" t="str">
        <f t="shared" ca="1" si="441"/>
        <v>AMMORTAMENTI IMMOBILIZZAZIONI MATERIALI</v>
      </c>
      <c r="AJ234" s="48" t="str">
        <f ca="1">IFERROR(INDEX($A$3:$H$400,MATCH(ROWS(AJ$3:AJ234),$Q$3:$Q$400,0),8),"")</f>
        <v>eb10a</v>
      </c>
      <c r="AK234" s="48">
        <f t="shared" ca="1" si="417"/>
        <v>0</v>
      </c>
      <c r="AL234" s="48">
        <f t="shared" ca="1" si="515"/>
        <v>0</v>
      </c>
      <c r="AM234" s="48">
        <f t="shared" ca="1" si="516"/>
        <v>0</v>
      </c>
      <c r="AN234" s="48">
        <f t="shared" ca="1" si="517"/>
        <v>0</v>
      </c>
      <c r="AO234" s="48">
        <f t="shared" ca="1" si="518"/>
        <v>0</v>
      </c>
      <c r="AP234" s="48">
        <f t="shared" ca="1" si="518"/>
        <v>0</v>
      </c>
      <c r="AZ234" s="48" t="str">
        <f t="shared" ca="1" si="484"/>
        <v/>
      </c>
      <c r="BA234" s="48">
        <f t="shared" ca="1" si="520"/>
        <v>0</v>
      </c>
      <c r="BB234" s="48">
        <f t="shared" ref="BB234:BB297" ca="1" si="521">IF($BA234=0,0,IF(AND(BE234&gt;0,AM136="UTILE D'ESERCIZIO"),CONCATENATE("[",AM136),IF(AND(BD234&gt;0,AM136="PERDITA D'ESERCIZIO"),CONCATENATE("[",AM136),AM136)))</f>
        <v>0</v>
      </c>
      <c r="BC234" s="48">
        <f t="shared" ref="BC234:BC297" ca="1" si="522">IF($BA234=0,0,AN136)</f>
        <v>0</v>
      </c>
      <c r="BD234" s="48">
        <f t="shared" ref="BD234:BD297" ca="1" si="523">IF($BA234=0,0,AO136)</f>
        <v>0</v>
      </c>
      <c r="BE234" s="48">
        <f t="shared" ref="BE234:BE297" ca="1" si="524">IF($BA234=0,0,AP136)</f>
        <v>0</v>
      </c>
      <c r="BF234" s="48">
        <f t="shared" si="485"/>
        <v>34</v>
      </c>
      <c r="BG234" s="48">
        <f ca="1">IF(IF(AND(OR(INDEX(PDC,MATCH($AC234,DEN_PDC,0),6)="SP DARE",INDEX(PDC,MATCH($AC234,DEN_PDC,0),6)="SP DARE/AVERE"),SUMIFS(DARE,DEN_G,$AC234)&gt;=SUMIFS(AVERE,DEN_G,$AC234)),SUMIFS(DARE,DEN_G,$AC234)-SUMIFS(AVERE,DEN_G,$AC234),0)&gt;0,MAX($BG$2:BG233)+1,0)</f>
        <v>0</v>
      </c>
      <c r="BH234" s="48">
        <f ca="1">IF(IF(AND(OR(INDEX(PDC,MATCH($AC234,DEN_PDC,0),6)="SP AVERE",INDEX(PDC,MATCH($AC234,DEN_PDC,0),6)="SP DARE/AVERE"),SUMIFS(AVERE,DEN_G,$AC234)&gt;=SUMIFS(DARE,DEN_G,$AC234)),SUMIFS(AVERE,DEN_G,$AC234)-SUMIFS(DARE,DEN_G,$AC234),0)&gt;0,MAX(BH$2:BH233)+1,0)</f>
        <v>0</v>
      </c>
      <c r="BI234" s="48">
        <f ca="1">IF(IF(AND(OR(INDEX(PDC,MATCH($AC234,DEN_PDC,0),6)="SE DARE",INDEX(PDC,MATCH($AC234,DEN_PDC,0),6)="SE DARE/AVERE"),SUMIFS(DARE,DEN_G,$AC234)&gt;=SUMIFS(AVERE,DEN_G,$AC234)),SUMIFS(DARE,DEN_G,$AC234)-SUMIFS(AVERE,DEN_G,$AC234),0)&gt;0,MAX(BI$2:BI233)+1,0)</f>
        <v>0</v>
      </c>
      <c r="BJ234" s="48">
        <f ca="1">IF(IF(AND(OR(INDEX(PDC,MATCH($AC234,DEN_PDC,0),6)="SE AVERE",INDEX(PDC,MATCH($AC234,DEN_PDC,0),6)="SE DARE/AVERE"),SUMIFS(AVERE,DEN_G,$AC234)&gt;=SUMIFS(DARE,DEN_G,$AC234)),SUMIFS(AVERE,DEN_G,$AC234)-SUMIFS(DARE,DEN_G,$AC234),0)&gt;0,MAX(BJ$2:BJ233)+1,0)</f>
        <v>0</v>
      </c>
      <c r="BK234" s="48" t="str">
        <f ca="1">IF(AND(AND($DY$2=0,$DY$1=0),$I$1=2,ROW()&gt;$BG$1+2,ROW()&lt;=$BG$1+4),"………………..",IF(AND(OR($DY$2&gt;0,$DY$1&gt;0),$I$1=2,ROW()&gt;$BG$1+2,ROW()&lt;=$BG$1+4),"………………..",IFERROR(INDEX($AC$3:$AC$398,MATCH(ROWS(BK$3:BK234),BG$3:BG$398,0),1),"")))</f>
        <v/>
      </c>
      <c r="BL234" s="48">
        <f t="shared" ca="1" si="421"/>
        <v>0</v>
      </c>
      <c r="BM234" s="48" t="str">
        <f ca="1">IF(AND(OR($DY$2=0,$DY$1=0),$I$1=2,ROW()&gt;$BH$1+2,ROW()&lt;=$BH$1+4),"………………..",IF(AND(OR($DY$2&gt;0,$DY$1&gt;0),$I$1=2,ROW()&gt;$BH$1+2,ROW()&lt;=$BH$1+4),"………………..",IFERROR(INDEX($AC$3:$AC$400,MATCH(ROWS(BM$3:BM234),BH$3:BH$400,0),1),"")))</f>
        <v/>
      </c>
      <c r="BN234" s="48">
        <f t="shared" ca="1" si="422"/>
        <v>0</v>
      </c>
      <c r="BO234" s="48" t="str">
        <f ca="1">IF(AND(OR($DY$2=0,$DY$1=0),$I$1=2,ROW()&gt;$BI$1+2,ROW()&lt;=$BI$1+4),"………………..",IF(AND(OR($DY$2&gt;0,$DY$1&gt;0),$I$1=2,ROW()&gt;$BI$1+2,ROW()&lt;=$BI$1+4),"………………..",IFERROR(INDEX($AC$3:$AC$400,MATCH(ROWS(BO$3:BO234),BI$3:BI$400,0),1),"")))</f>
        <v/>
      </c>
      <c r="BP234" s="48">
        <f t="shared" ca="1" si="423"/>
        <v>0</v>
      </c>
      <c r="BQ234" s="48" t="str">
        <f ca="1">IF(AND(OR($DY$2=0,$DY$1=0),$I$1=2,ROW()&gt;$BJ$1+2,ROW()&lt;=$BJ$1+4),"………………..",IF(AND(OR($DY$2&gt;0,$DY$1&gt;0),$I$1=2,ROW()&gt;$BJ$1+2,ROW()&lt;=$BJ$1+4),"………………..",IFERROR(INDEX($AC$3:$AC$400,MATCH(ROWS(BQ$3:BQ234),BJ$3:BJ$400,0),1),"")))</f>
        <v/>
      </c>
      <c r="BR234" s="48">
        <f t="shared" ca="1" si="424"/>
        <v>0</v>
      </c>
      <c r="BS234" s="48">
        <f ca="1">IF(IF(AND(OR(INDEX(PDC,MATCH($AC234,DEN_PDC,0),4)="D",INDEX(PDC,MATCH($AC234,DEN_PDC,0),4)="D/A"),SUMIFS(DARE,DEN_G,$AC234)&gt;=SUMIFS(AVERE,DEN_G,$AC234)),SUMIFS(DARE,DEN_G,$AC234),IF(AND(OR(INDEX(PDC,MATCH($AC234,DEN_PDC,0),4)="A",INDEX(PDC,MATCH($AC234,DEN_PDC,0),4)="D/A"),SUMIFS(AVERE,DEN_G,$AC234)&gt;=SUMIFS(DARE,DEN_G,$AC234)),SUMIFS(AVERE,DEN_G,$AC234),))&gt;0,MAX($BS$2:BS233)+1,0)</f>
        <v>0</v>
      </c>
      <c r="BT234" s="48" t="str">
        <f ca="1">IF($CO$1=0,"",IF(AND($I$1=2,ROW()&gt;$BR$1,ROW()&lt;=$BS$1)," …………….",IF(AND($E$1=1,$BX$1=1,$I$1=2,ROW()=$BQ$1),"TOTALI",IFERROR(INDEX(PDC,MATCH(ROWS(BT$3:BT234),BS$3:BS631,0),2),""))))</f>
        <v/>
      </c>
      <c r="BU234" s="48">
        <f t="shared" ca="1" si="425"/>
        <v>0</v>
      </c>
      <c r="BV234" s="48">
        <f t="shared" ca="1" si="426"/>
        <v>0</v>
      </c>
      <c r="BW234" s="48">
        <f t="shared" ca="1" si="427"/>
        <v>0</v>
      </c>
      <c r="BX234" s="48">
        <f t="shared" ca="1" si="428"/>
        <v>0</v>
      </c>
      <c r="BY234" s="48">
        <f ca="1">IF(OR(BW234&gt;0,BX234&gt;0),MAX($BY$2:BY233)+1,0)</f>
        <v>0</v>
      </c>
      <c r="BZ234" s="48" t="str">
        <f ca="1">IFERROR(INDEX($BT$3:$BY$400,MATCH(ROWS(BZ$3:BZ234),$BY$3:$BY$400,0),1),"")</f>
        <v/>
      </c>
      <c r="CA234" s="48" t="str">
        <f ca="1">IFERROR(INDEX($BT$3:$BY$400,MATCH(ROWS(CA$3:CA234),$BY$3:$BY$400,0),4),"")</f>
        <v/>
      </c>
      <c r="CB234" s="48" t="str">
        <f ca="1">IFERROR(INDEX($BT$3:$BY$400,MATCH(ROWS(CB$3:CB234),$BY$3:$BY$400,0),5),"")</f>
        <v/>
      </c>
      <c r="CC234" s="48" t="str">
        <f t="shared" ca="1" si="429"/>
        <v/>
      </c>
      <c r="CD234" s="48">
        <f ca="1">IF(CE234&lt;&gt;0,MAX($CD$190:CD233)+1,0)</f>
        <v>0</v>
      </c>
      <c r="CE234" s="48">
        <f ca="1">IF(SUM(CE235:CE238)&gt;0,"a",0)</f>
        <v>0</v>
      </c>
      <c r="CG234" s="242" t="s">
        <v>595</v>
      </c>
      <c r="CM234" s="242" t="str">
        <f t="shared" ca="1" si="444"/>
        <v/>
      </c>
      <c r="CN234" s="243">
        <f t="shared" ca="1" si="445"/>
        <v>0</v>
      </c>
      <c r="CO234" s="48" t="str">
        <f t="shared" ca="1" si="446"/>
        <v/>
      </c>
      <c r="CU234" s="48">
        <f ca="1">IF(SUMIFS(AVERE,DEN_G,AC234,AVERE,"&gt;"&amp;0)+SUMIFS(DARE,DEN_G,AC234,DARE,"&gt;"&amp;0)&gt;0,MAX($CU$2:CU233)+1,0)</f>
        <v>0</v>
      </c>
      <c r="CV234" s="48" t="str">
        <f ca="1">IF(IFERROR(INDEX(PDC,MATCH(ROWS($CV$3:CV234),$CU$3:$CU$400,0),2),"")="CONTO DI RISULTATO ECONOMICO","",IFERROR(INDEX(PDC,MATCH(ROWS($CV$3:CV234),$CU$3:$CU$400,0),2),""))</f>
        <v/>
      </c>
      <c r="CW234" s="48">
        <f ca="1">IFERROR(IF(CV234&lt;&gt;"",MAX($CW$2:CW233)+1,0),0)</f>
        <v>0</v>
      </c>
      <c r="CX234" s="48">
        <f t="shared" ca="1" si="507"/>
        <v>18</v>
      </c>
      <c r="CY234" s="48" t="str">
        <f t="shared" ca="1" si="506"/>
        <v>MASTRO</v>
      </c>
      <c r="CZ234" s="48" t="e">
        <f t="shared" ca="1" si="510"/>
        <v>#N/A</v>
      </c>
      <c r="DA234" s="48" t="str">
        <f t="shared" ca="1" si="514"/>
        <v/>
      </c>
      <c r="DB234" s="48" t="str">
        <f t="shared" ca="1" si="499"/>
        <v/>
      </c>
      <c r="DC234" s="48" t="str">
        <f t="shared" ca="1" si="511"/>
        <v/>
      </c>
      <c r="DD234" s="48" t="str">
        <f t="shared" ca="1" si="512"/>
        <v/>
      </c>
      <c r="DE234" s="48" t="str">
        <f t="shared" ca="1" si="513"/>
        <v/>
      </c>
      <c r="DF234" s="48">
        <f ca="1">IF(AND(CX234=$DF$1,CX234&lt;&gt;""),0,IF(AND(DB234&lt;&gt;"",OR(DB233&lt;&gt;"",DB235&lt;&gt;"")),MAX($DF$2:DF233)+1,0))</f>
        <v>0</v>
      </c>
      <c r="DH234" s="244"/>
      <c r="DK234" s="48" t="s">
        <v>298</v>
      </c>
      <c r="DL234" s="48" t="s">
        <v>480</v>
      </c>
      <c r="DM234" s="48" t="s">
        <v>812</v>
      </c>
      <c r="DN234" s="48">
        <f>IF(DI234&lt;&gt;"",MAX($DN$2:DN233)+1,0)</f>
        <v>0</v>
      </c>
      <c r="DW234" s="48">
        <f>IF(DR234&lt;&gt;"",MAX($DW$2:DW233)+1,0)</f>
        <v>0</v>
      </c>
      <c r="DY234" s="48" t="str">
        <f t="shared" ca="1" si="430"/>
        <v/>
      </c>
      <c r="EL234" s="48">
        <f t="shared" ca="1" si="431"/>
        <v>0</v>
      </c>
      <c r="EM234" s="48">
        <f ca="1">IF(EL234&gt;=0,0,MAX($EM$2:EM233)+1)</f>
        <v>0</v>
      </c>
      <c r="EN234" s="48" t="str">
        <f t="shared" ca="1" si="459"/>
        <v/>
      </c>
      <c r="EO234" s="48" t="str">
        <f ca="1">IFERROR(INDEX($EM$3:$EN$400,MATCH(ROWS($EO$3:EO234),$EM$3:$EM$400,0),2),"")</f>
        <v/>
      </c>
      <c r="EP234" s="48">
        <f>ROW()</f>
        <v>234</v>
      </c>
      <c r="EQ234" s="48">
        <f t="shared" ca="1" si="432"/>
        <v>0</v>
      </c>
      <c r="ER234" s="48">
        <f ca="1">IF(ISNA(EQ234)=TRUE,MAX($ER$2:ER233)+1,0)</f>
        <v>0</v>
      </c>
      <c r="ES234" s="48" t="str">
        <f t="shared" ca="1" si="460"/>
        <v/>
      </c>
      <c r="ET234" s="48" t="str">
        <f ca="1">IFERROR(INDEX($ER$3:$ES$400,MATCH(ROWS($ET$3:ET234),$ER$3:$ER$400,0),2),"")</f>
        <v/>
      </c>
      <c r="EV234" s="48">
        <f ca="1">IFERROR(INDEX(LIBRO_GIORNALE!$O$11:$P$408,MATCH(ROWS($EV$2:EV233),LIBRO_GIORNALE!$P$11:$P$408,0),1),0)</f>
        <v>0</v>
      </c>
      <c r="EW234" s="48" t="str">
        <f t="shared" ca="1" si="461"/>
        <v>0</v>
      </c>
      <c r="EX234" s="48">
        <f t="shared" ca="1" si="462"/>
        <v>0</v>
      </c>
      <c r="EY234" s="48">
        <f ca="1">IF(EX234&gt;0,MAX($EY$2:EY233)+1,0)</f>
        <v>0</v>
      </c>
      <c r="EZ234" s="48">
        <f ca="1">IFERROR(INDEX($EX$3:$EX$400,MATCH(ROWS($EZ$3:EZ234),$EY$3:$EY$400,0),1),0)</f>
        <v>0</v>
      </c>
      <c r="FA234" s="48">
        <f ca="1">IF(EZ234&gt;0,0,MAX($FA$2:FA233)+1)</f>
        <v>232</v>
      </c>
      <c r="FB234" s="48">
        <f t="shared" ca="1" si="463"/>
        <v>0</v>
      </c>
      <c r="FC234" s="48">
        <f t="shared" ca="1" si="464"/>
        <v>232</v>
      </c>
      <c r="FD234" s="48">
        <f t="shared" ca="1" si="465"/>
        <v>232</v>
      </c>
      <c r="FE234" s="48">
        <f ca="1">IF(FD234=0,0,MAX($FE$2:FE233)+1)</f>
        <v>232</v>
      </c>
      <c r="FF234" s="48">
        <f ca="1">IFERROR(INDEX($FD$3:$FE$400,MATCH(ROWS($FF$3:FF234),$FE$3:$FE$400,0),1),"")</f>
        <v>232</v>
      </c>
      <c r="FG234" s="48">
        <f t="shared" ca="1" si="519"/>
        <v>0</v>
      </c>
      <c r="FH234" s="48">
        <f t="shared" ca="1" si="466"/>
        <v>0</v>
      </c>
      <c r="FI234" s="48">
        <f ca="1">IF(FH234&lt;&gt;0,MAX($FI$2:FI233)+1,0)</f>
        <v>0</v>
      </c>
      <c r="FJ234" s="48" t="str">
        <f ca="1">IFERROR(INDEX($FH$3:$FI$400,MATCH(ROWS($FJ$3:FJ234),$FI$3:$FI$400,0),1),"")</f>
        <v/>
      </c>
      <c r="FK234" s="48">
        <f ca="1">IF(ABS(SUMIFS(DARE,DEN_G,"="&amp;FJ234,DATA,"&lt;="&amp;FINE_AC,DATA,"&gt;="&amp;INIZIO_A_PC)-SUMIFS(AVERE,DEN_G,"="&amp;FJ234,DATA,"&lt;="&amp;FINE_AC,DATA,"&gt;="&amp;INIZIO_A_PC))&gt;0,MAX($FK$2:FK233)+1,0)</f>
        <v>0</v>
      </c>
      <c r="FL234" s="48" t="str">
        <f ca="1">IF(AND(ROW()-2&lt;&gt;1,ROW()-2&lt;=$FK$1),CONCATENATE(" - ",IFERROR(INDEX($FJ$3:$FK$400,MATCH(ROWS($FL$3:FL234),$FK$3:$FK$400,0),1),"")),IFERROR(INDEX($FJ$3:$FK$400,MATCH(ROWS($FL$3:FL234),$FK$3:$FK$400,0),1),""))</f>
        <v/>
      </c>
      <c r="FM234" s="48">
        <f ca="1">IF(OR(B234="IVA ns/credito",B234="IVA NS/DEBITO",B234="IVA C/ACCONTO",B234="IMPOSTE C/ACCONTO",B234="CREDITI PER RITENUTE SUBITE",B234="CREDITI D'IMPOSTA"),MAX($FM$2:FM233)+1,0)</f>
        <v>0</v>
      </c>
      <c r="FN234" s="48" t="str">
        <f t="shared" ca="1" si="467"/>
        <v/>
      </c>
      <c r="FO234" s="48" t="str">
        <f ca="1">IFERROR(INDEX($FM$3:$FN$400,MATCH(ROWS($FO$3:FO234),$FM$3:$FM$400,0),2),"")</f>
        <v/>
      </c>
      <c r="FP234" s="48">
        <f ca="1">IF(ABS(SUMIFS(DARE,DEN_G,"="&amp;FO234,DATA,"&lt;="&amp;FINE_AC,DATA,"&gt;="&amp;INIZIO_A_PC)-SUMIFS(AVERE,DEN_G,"="&amp;FO234,DATA,"&lt;="&amp;FINE_AC,DATA,"&gt;="&amp;INIZIO_A_PC))&gt;0,MAX($FP$2:FP233)+1,0)</f>
        <v>0</v>
      </c>
      <c r="FQ234" s="48" t="str">
        <f ca="1">IF(AND(ROW()-2&lt;&gt;1,ROW()-2&lt;=$FP$1),CONCATENATE(" - ",IFERROR(INDEX($FO$3:$FP$400,MATCH(ROWS($FQ$3:FQ234),$FP$3:$FP$400,0),1),"")),IFERROR(INDEX($FO$3:$FP$400,MATCH(ROWS($FQ$3:FQ234),$FP$3:$FP$400,0),1),""))</f>
        <v/>
      </c>
    </row>
    <row r="235" spans="1:173" x14ac:dyDescent="0.3">
      <c r="A235" s="48" t="str">
        <f ca="1">IFERROR(IF($A$1=2,INDEX($DH$3:$DN$401,MATCH(ROWS(A$3:A235),$DN$3:$DN$401,0),COLUMN()),IF($A$1=1,INDEX($DQ$3:$DW$401,MATCH(ROWS(A$3:A235),$DW$3:$DW$401,0),COLUMN()),"")),"")</f>
        <v>31.12</v>
      </c>
      <c r="B235" s="48" t="str">
        <f ca="1">IFERROR(IF($A$1=2,INDEX($DH$3:$DN$401,MATCH(ROWS(B$3:B235),$DN$3:$DN$401,0),COLUMN()),IF($A$1=1,INDEX($DQ$3:$DW$400,MATCH(ROWS(B$3:B235),$DW$3:$DW$401,0),COLUMN()),"")),"")</f>
        <v>LAVORAZIONI PRESSO TERZI</v>
      </c>
      <c r="C235" s="48" t="str">
        <f ca="1">IFERROR(IF($A$1=2,INDEX($DH$3:$DN$401,MATCH(ROWS(C$3:C235),$DN$3:$DN$401,0),COLUMN()),IF($A$1=1,INDEX($DQ$3:$DW$401,MATCH(ROWS(C$3:C235),$DW$3:$DW$401,0),COLUMN()),"")),"")</f>
        <v>E</v>
      </c>
      <c r="D235" s="48" t="str">
        <f ca="1">IFERROR(IF($A$1=2,INDEX($DH$3:$DN$401,MATCH(ROWS(D$3:D235),$DN$3:$DN$401,0),COLUMN()),IF($A$1=1,INDEX($DQ$3:$DW$401,MATCH(ROWS(D$3:D235),$DW$3:$DW$401,0),COLUMN()),"")),"")</f>
        <v>D</v>
      </c>
      <c r="E235" s="48" t="str">
        <f ca="1">IFERROR(IF($A$1=2,INDEX($DH$3:$DN$401,MATCH(ROWS(E$3:E235),$DN$3:$DN$401,0),COLUMN()),IF($A$1=1,INDEX($DQ$3:$DW$401,MATCH(ROWS(E$3:E235),$DW$3:$DW$401,0),COLUMN()),"")),"")</f>
        <v>COSTI D'ESERCIZIO</v>
      </c>
      <c r="F235" s="48" t="str">
        <f ca="1">IFERROR(IF($A$1=2,INDEX($DH$3:$DN$401,MATCH(ROWS(F$3:F235),$DN$3:$DN$401,0),COLUMN()),IF($A$1=1,INDEX($DQ$3:$DX$401,MATCH(ROWS(F$3:F235),$DW$3:$DW$401,0),COLUMN()),"")),"")</f>
        <v>SE DARE</v>
      </c>
      <c r="G235" s="48" t="str">
        <f t="shared" ca="1" si="433"/>
        <v>SE</v>
      </c>
      <c r="H235" s="48" t="str">
        <f ca="1">IFERROR(IF($A$1=2,INDEX($DH$3:$DO$400,MATCH(ROWS(H$3:H235),$DN$3:$DN$400,0),COLUMN()),IF($A$1=1,INDEX($DQ$3:$DX$400,MATCH(ROWS(H$3:H235),$DW$3:$DW$400,0),COLUMN()),"")),"")</f>
        <v>eb7</v>
      </c>
      <c r="M235" s="48">
        <f ca="1">IFERROR(IF(IF(MID($A235,3,3)=".00",MID(A235,1,2),"")&lt;&gt;"",MAX($M$2:M234)+1,0),"")</f>
        <v>0</v>
      </c>
      <c r="N235" s="48" t="str">
        <f t="shared" ca="1" si="438"/>
        <v/>
      </c>
      <c r="O235" s="48" t="str">
        <f ca="1">IF(IFERROR(INDEX($N$3:$O$300,MATCH(ROWS($O$3:O235),$M$3:$M$300,0),1),"")&lt;&gt;"",CONCATENATE(INDEX($N$3:$O$300,MATCH(ROWS($O$3:O235),$M$3:$M$300,0),1),".00"),"")</f>
        <v/>
      </c>
      <c r="P235" s="48" t="str">
        <f t="shared" ca="1" si="439"/>
        <v/>
      </c>
      <c r="Q235" s="48">
        <f ca="1">IF(M235&gt;=1,0,MAX($Q$2:Q234)+1)</f>
        <v>210</v>
      </c>
      <c r="U235" s="48" t="str">
        <f ca="1">IFERROR(INDEX(PDC,MATCH(ROWS(U$3:U235),$V$3:$V$400,0),2),"")</f>
        <v>AMMORTAMENTO ATTREZZATURE INDUSTRIALI</v>
      </c>
      <c r="V235" s="48">
        <f ca="1">IF(AND($T$1="VISUALIZZA TUTTI I CONTI",AA235&lt;&gt;""),MAX($V$2:V234)+1,IF(AND($U$2=2,AI235=$T$1),MAX($V$2:V234)+1,IF(AND($U$2=1,$T$1=AF235),MAX($V$2:V234)+1,0)))</f>
        <v>233</v>
      </c>
      <c r="AA235" s="48" t="str">
        <f t="shared" ca="1" si="440"/>
        <v>35.00</v>
      </c>
      <c r="AB235" s="48" t="str">
        <f ca="1">IFERROR(INDEX($A$3:$G$400,MATCH(ROWS(AB$3:AB235),$Q$3:$Q$400,0),1),"")</f>
        <v>35.03</v>
      </c>
      <c r="AC235" s="48" t="str">
        <f ca="1">IFERROR(INDEX($A$3:$G$400,MATCH(ROWS($AC$3:AC235),$Q$3:$Q$400,0),2),"")</f>
        <v>AMMORTAMENTO ATTREZZATURE INDUSTRIALI</v>
      </c>
      <c r="AD235" s="48" t="str">
        <f ca="1">IFERROR(INDEX($A$3:$G$400,MATCH(ROWS(AD$3:AD235),$Q$3:$Q$400,0),3),"")</f>
        <v>E</v>
      </c>
      <c r="AE235" s="48" t="str">
        <f ca="1">IFERROR(INDEX($A$3:$G$400,MATCH(ROWS(AE$3:AE235),$Q$3:$Q$400,0),4),"")</f>
        <v>D</v>
      </c>
      <c r="AF235" s="48" t="str">
        <f ca="1">IFERROR(INDEX($A$3:$G$400,MATCH(ROWS(AF$3:AF235),$Q$3:$Q$400,0),5),"")</f>
        <v>COSTI D'ESERCIZIO</v>
      </c>
      <c r="AG235" s="48" t="str">
        <f ca="1">IFERROR(INDEX($A$3:$G$400,MATCH(ROWS(AG$3:AG235),$Q$3:$Q$400,0),6),"")</f>
        <v>SE DARE</v>
      </c>
      <c r="AH235" s="48" t="str">
        <f ca="1">IFERROR(INDEX($A$3:$G$400,MATCH(ROWS(AH$3:AH235),$Q$3:$Q$400,0),7),"")</f>
        <v>SE</v>
      </c>
      <c r="AI235" s="48" t="str">
        <f t="shared" ca="1" si="441"/>
        <v>AMMORTAMENTI IMMOBILIZZAZIONI MATERIALI</v>
      </c>
      <c r="AJ235" s="48" t="str">
        <f ca="1">IFERROR(INDEX($A$3:$H$400,MATCH(ROWS(AJ$3:AJ235),$Q$3:$Q$400,0),8),"")</f>
        <v>eb10a</v>
      </c>
      <c r="AK235" s="48">
        <f t="shared" ca="1" si="417"/>
        <v>0</v>
      </c>
      <c r="AL235" s="48">
        <f t="shared" ca="1" si="515"/>
        <v>0</v>
      </c>
      <c r="AM235" s="48">
        <f t="shared" ca="1" si="516"/>
        <v>0</v>
      </c>
      <c r="AN235" s="48">
        <f t="shared" ca="1" si="517"/>
        <v>0</v>
      </c>
      <c r="AO235" s="48">
        <f t="shared" ca="1" si="518"/>
        <v>0</v>
      </c>
      <c r="AP235" s="48">
        <f t="shared" ca="1" si="518"/>
        <v>0</v>
      </c>
      <c r="AZ235" s="48" t="str">
        <f t="shared" ca="1" si="484"/>
        <v/>
      </c>
      <c r="BA235" s="48">
        <f t="shared" ca="1" si="520"/>
        <v>0</v>
      </c>
      <c r="BB235" s="48">
        <f t="shared" ca="1" si="521"/>
        <v>0</v>
      </c>
      <c r="BC235" s="48">
        <f t="shared" ca="1" si="522"/>
        <v>0</v>
      </c>
      <c r="BD235" s="48">
        <f t="shared" ca="1" si="523"/>
        <v>0</v>
      </c>
      <c r="BE235" s="48">
        <f t="shared" ca="1" si="524"/>
        <v>0</v>
      </c>
      <c r="BF235" s="48">
        <f t="shared" si="485"/>
        <v>35</v>
      </c>
      <c r="BG235" s="48">
        <f ca="1">IF(IF(AND(OR(INDEX(PDC,MATCH($AC235,DEN_PDC,0),6)="SP DARE",INDEX(PDC,MATCH($AC235,DEN_PDC,0),6)="SP DARE/AVERE"),SUMIFS(DARE,DEN_G,$AC235)&gt;=SUMIFS(AVERE,DEN_G,$AC235)),SUMIFS(DARE,DEN_G,$AC235)-SUMIFS(AVERE,DEN_G,$AC235),0)&gt;0,MAX($BG$2:BG234)+1,0)</f>
        <v>0</v>
      </c>
      <c r="BH235" s="48">
        <f ca="1">IF(IF(AND(OR(INDEX(PDC,MATCH($AC235,DEN_PDC,0),6)="SP AVERE",INDEX(PDC,MATCH($AC235,DEN_PDC,0),6)="SP DARE/AVERE"),SUMIFS(AVERE,DEN_G,$AC235)&gt;=SUMIFS(DARE,DEN_G,$AC235)),SUMIFS(AVERE,DEN_G,$AC235)-SUMIFS(DARE,DEN_G,$AC235),0)&gt;0,MAX(BH$2:BH234)+1,0)</f>
        <v>0</v>
      </c>
      <c r="BI235" s="48">
        <f ca="1">IF(IF(AND(OR(INDEX(PDC,MATCH($AC235,DEN_PDC,0),6)="SE DARE",INDEX(PDC,MATCH($AC235,DEN_PDC,0),6)="SE DARE/AVERE"),SUMIFS(DARE,DEN_G,$AC235)&gt;=SUMIFS(AVERE,DEN_G,$AC235)),SUMIFS(DARE,DEN_G,$AC235)-SUMIFS(AVERE,DEN_G,$AC235),0)&gt;0,MAX(BI$2:BI234)+1,0)</f>
        <v>0</v>
      </c>
      <c r="BJ235" s="48">
        <f ca="1">IF(IF(AND(OR(INDEX(PDC,MATCH($AC235,DEN_PDC,0),6)="SE AVERE",INDEX(PDC,MATCH($AC235,DEN_PDC,0),6)="SE DARE/AVERE"),SUMIFS(AVERE,DEN_G,$AC235)&gt;=SUMIFS(DARE,DEN_G,$AC235)),SUMIFS(AVERE,DEN_G,$AC235)-SUMIFS(DARE,DEN_G,$AC235),0)&gt;0,MAX(BJ$2:BJ234)+1,0)</f>
        <v>0</v>
      </c>
      <c r="BK235" s="48" t="str">
        <f ca="1">IF(AND(AND($DY$2=0,$DY$1=0),$I$1=2,ROW()&gt;$BG$1+2,ROW()&lt;=$BG$1+4),"………………..",IF(AND(OR($DY$2&gt;0,$DY$1&gt;0),$I$1=2,ROW()&gt;$BG$1+2,ROW()&lt;=$BG$1+4),"………………..",IFERROR(INDEX($AC$3:$AC$398,MATCH(ROWS(BK$3:BK235),BG$3:BG$398,0),1),"")))</f>
        <v/>
      </c>
      <c r="BL235" s="48">
        <f t="shared" ca="1" si="421"/>
        <v>0</v>
      </c>
      <c r="BM235" s="48" t="str">
        <f ca="1">IF(AND(OR($DY$2=0,$DY$1=0),$I$1=2,ROW()&gt;$BH$1+2,ROW()&lt;=$BH$1+4),"………………..",IF(AND(OR($DY$2&gt;0,$DY$1&gt;0),$I$1=2,ROW()&gt;$BH$1+2,ROW()&lt;=$BH$1+4),"………………..",IFERROR(INDEX($AC$3:$AC$400,MATCH(ROWS(BM$3:BM235),BH$3:BH$400,0),1),"")))</f>
        <v/>
      </c>
      <c r="BN235" s="48">
        <f t="shared" ca="1" si="422"/>
        <v>0</v>
      </c>
      <c r="BO235" s="48" t="str">
        <f ca="1">IF(AND(OR($DY$2=0,$DY$1=0),$I$1=2,ROW()&gt;$BI$1+2,ROW()&lt;=$BI$1+4),"………………..",IF(AND(OR($DY$2&gt;0,$DY$1&gt;0),$I$1=2,ROW()&gt;$BI$1+2,ROW()&lt;=$BI$1+4),"………………..",IFERROR(INDEX($AC$3:$AC$400,MATCH(ROWS(BO$3:BO235),BI$3:BI$400,0),1),"")))</f>
        <v/>
      </c>
      <c r="BP235" s="48">
        <f t="shared" ca="1" si="423"/>
        <v>0</v>
      </c>
      <c r="BQ235" s="48" t="str">
        <f ca="1">IF(AND(OR($DY$2=0,$DY$1=0),$I$1=2,ROW()&gt;$BJ$1+2,ROW()&lt;=$BJ$1+4),"………………..",IF(AND(OR($DY$2&gt;0,$DY$1&gt;0),$I$1=2,ROW()&gt;$BJ$1+2,ROW()&lt;=$BJ$1+4),"………………..",IFERROR(INDEX($AC$3:$AC$400,MATCH(ROWS(BQ$3:BQ235),BJ$3:BJ$400,0),1),"")))</f>
        <v/>
      </c>
      <c r="BR235" s="48">
        <f t="shared" ca="1" si="424"/>
        <v>0</v>
      </c>
      <c r="BS235" s="48">
        <f ca="1">IF(IF(AND(OR(INDEX(PDC,MATCH($AC235,DEN_PDC,0),4)="D",INDEX(PDC,MATCH($AC235,DEN_PDC,0),4)="D/A"),SUMIFS(DARE,DEN_G,$AC235)&gt;=SUMIFS(AVERE,DEN_G,$AC235)),SUMIFS(DARE,DEN_G,$AC235),IF(AND(OR(INDEX(PDC,MATCH($AC235,DEN_PDC,0),4)="A",INDEX(PDC,MATCH($AC235,DEN_PDC,0),4)="D/A"),SUMIFS(AVERE,DEN_G,$AC235)&gt;=SUMIFS(DARE,DEN_G,$AC235)),SUMIFS(AVERE,DEN_G,$AC235),))&gt;0,MAX($BS$2:BS234)+1,0)</f>
        <v>0</v>
      </c>
      <c r="BT235" s="48" t="str">
        <f ca="1">IF($CO$1=0,"",IF(AND($I$1=2,ROW()&gt;$BR$1,ROW()&lt;=$BS$1)," …………….",IF(AND($E$1=1,$BX$1=1,$I$1=2,ROW()=$BQ$1),"TOTALI",IFERROR(INDEX(PDC,MATCH(ROWS(BT$3:BT235),BS$3:BS632,0),2),""))))</f>
        <v/>
      </c>
      <c r="BU235" s="48">
        <f t="shared" ca="1" si="425"/>
        <v>0</v>
      </c>
      <c r="BV235" s="48">
        <f t="shared" ca="1" si="426"/>
        <v>0</v>
      </c>
      <c r="BW235" s="48">
        <f t="shared" ca="1" si="427"/>
        <v>0</v>
      </c>
      <c r="BX235" s="48">
        <f t="shared" ca="1" si="428"/>
        <v>0</v>
      </c>
      <c r="BY235" s="48">
        <f ca="1">IF(OR(BW235&gt;0,BX235&gt;0),MAX($BY$2:BY234)+1,0)</f>
        <v>0</v>
      </c>
      <c r="BZ235" s="48" t="str">
        <f ca="1">IFERROR(INDEX($BT$3:$BY$400,MATCH(ROWS(BZ$3:BZ235),$BY$3:$BY$400,0),1),"")</f>
        <v/>
      </c>
      <c r="CA235" s="48" t="str">
        <f ca="1">IFERROR(INDEX($BT$3:$BY$400,MATCH(ROWS(CA$3:CA235),$BY$3:$BY$400,0),4),"")</f>
        <v/>
      </c>
      <c r="CB235" s="48" t="str">
        <f ca="1">IFERROR(INDEX($BT$3:$BY$400,MATCH(ROWS(CB$3:CB235),$BY$3:$BY$400,0),5),"")</f>
        <v/>
      </c>
      <c r="CC235" s="48" t="str">
        <f t="shared" ca="1" si="429"/>
        <v/>
      </c>
      <c r="CD235" s="48">
        <f ca="1">IF(CE235&lt;&gt;0,MAX($CD$190:CD234)+1,0)</f>
        <v>0</v>
      </c>
      <c r="CE235" s="48">
        <f ca="1">IF(ROUND(SUMIFS(COPIA!$CB$3:$CB$400,COPIA!$CC$3:$CC$400,CF235)-SUMIFS(COPIA!$CA$3:$CA$400,COPIA!$CC$3:$CC$400,CF235),0)&lt;0,0,ROUND(SUMIFS(COPIA!$CB$3:$CB$400,COPIA!$CC$3:$CC$400,CF235)-SUMIFS(COPIA!$CA$3:$CA$400,COPIA!$CC$3:$CC$400,CF235),0))</f>
        <v>0</v>
      </c>
      <c r="CF235" s="48" t="s">
        <v>729</v>
      </c>
      <c r="CG235" s="242" t="s">
        <v>966</v>
      </c>
      <c r="CH235" s="48">
        <f t="shared" ref="CH235:CH238" ca="1" si="525">CE235</f>
        <v>0</v>
      </c>
      <c r="CM235" s="242" t="str">
        <f t="shared" ca="1" si="444"/>
        <v/>
      </c>
      <c r="CN235" s="243">
        <f t="shared" ca="1" si="445"/>
        <v>0</v>
      </c>
      <c r="CO235" s="48" t="str">
        <f t="shared" ca="1" si="446"/>
        <v/>
      </c>
      <c r="CU235" s="48">
        <f ca="1">IF(SUMIFS(AVERE,DEN_G,AC235,AVERE,"&gt;"&amp;0)+SUMIFS(DARE,DEN_G,AC235,DARE,"&gt;"&amp;0)&gt;0,MAX($CU$2:CU234)+1,0)</f>
        <v>0</v>
      </c>
      <c r="CV235" s="48" t="str">
        <f ca="1">IF(IFERROR(INDEX(PDC,MATCH(ROWS($CV$3:CV235),$CU$3:$CU$400,0),2),"")="CONTO DI RISULTATO ECONOMICO","",IFERROR(INDEX(PDC,MATCH(ROWS($CV$3:CV235),$CU$3:$CU$400,0),2),""))</f>
        <v/>
      </c>
      <c r="CW235" s="48">
        <f ca="1">IFERROR(IF(CV235&lt;&gt;"",MAX($CW$2:CW234)+1,0),0)</f>
        <v>0</v>
      </c>
      <c r="CX235" s="48">
        <f t="shared" ca="1" si="507"/>
        <v>18</v>
      </c>
      <c r="CY235" s="48" t="str">
        <f t="shared" ca="1" si="506"/>
        <v>MASTRO</v>
      </c>
      <c r="CZ235" s="48" t="e">
        <f t="shared" ca="1" si="510"/>
        <v>#N/A</v>
      </c>
      <c r="DA235" s="48" t="str">
        <f t="shared" ca="1" si="514"/>
        <v/>
      </c>
      <c r="DB235" s="48" t="str">
        <f t="shared" ca="1" si="499"/>
        <v/>
      </c>
      <c r="DC235" s="48" t="str">
        <f t="shared" ca="1" si="511"/>
        <v/>
      </c>
      <c r="DD235" s="48" t="str">
        <f t="shared" ca="1" si="512"/>
        <v/>
      </c>
      <c r="DE235" s="48" t="str">
        <f t="shared" ca="1" si="513"/>
        <v/>
      </c>
      <c r="DF235" s="48">
        <f ca="1">IF(AND(CX235=$DF$1,CX235&lt;&gt;""),0,IF(AND(DB235&lt;&gt;"",OR(DB234&lt;&gt;"",DB236&lt;&gt;"")),MAX($DF$2:DF234)+1,0))</f>
        <v>0</v>
      </c>
      <c r="DH235" s="249"/>
      <c r="DK235" s="48" t="s">
        <v>275</v>
      </c>
      <c r="DL235" s="48" t="s">
        <v>480</v>
      </c>
      <c r="DM235" s="48" t="s">
        <v>812</v>
      </c>
      <c r="DN235" s="48">
        <f>IF(DI235&lt;&gt;"",MAX($DN$2:DN234)+1,0)</f>
        <v>0</v>
      </c>
      <c r="DW235" s="48">
        <f>IF(DR235&lt;&gt;"",MAX($DW$2:DW234)+1,0)</f>
        <v>0</v>
      </c>
      <c r="DY235" s="48" t="str">
        <f t="shared" ca="1" si="430"/>
        <v/>
      </c>
      <c r="EL235" s="48">
        <f t="shared" ca="1" si="431"/>
        <v>0</v>
      </c>
      <c r="EM235" s="48">
        <f ca="1">IF(EL235&gt;=0,0,MAX($EM$2:EM234)+1)</f>
        <v>0</v>
      </c>
      <c r="EN235" s="48" t="str">
        <f t="shared" ca="1" si="459"/>
        <v/>
      </c>
      <c r="EO235" s="48" t="str">
        <f ca="1">IFERROR(INDEX($EM$3:$EN$400,MATCH(ROWS($EO$3:EO235),$EM$3:$EM$400,0),2),"")</f>
        <v/>
      </c>
      <c r="EP235" s="48">
        <f>ROW()</f>
        <v>235</v>
      </c>
      <c r="EQ235" s="48">
        <f t="shared" ca="1" si="432"/>
        <v>0</v>
      </c>
      <c r="ER235" s="48">
        <f ca="1">IF(ISNA(EQ235)=TRUE,MAX($ER$2:ER234)+1,0)</f>
        <v>0</v>
      </c>
      <c r="ES235" s="48" t="str">
        <f t="shared" ca="1" si="460"/>
        <v/>
      </c>
      <c r="ET235" s="48" t="str">
        <f ca="1">IFERROR(INDEX($ER$3:$ES$400,MATCH(ROWS($ET$3:ET235),$ER$3:$ER$400,0),2),"")</f>
        <v/>
      </c>
      <c r="EV235" s="48">
        <f ca="1">IFERROR(INDEX(LIBRO_GIORNALE!$O$11:$P$408,MATCH(ROWS($EV$2:EV234),LIBRO_GIORNALE!$P$11:$P$408,0),1),0)</f>
        <v>0</v>
      </c>
      <c r="EW235" s="48" t="str">
        <f t="shared" ca="1" si="461"/>
        <v>0</v>
      </c>
      <c r="EX235" s="48">
        <f t="shared" ca="1" si="462"/>
        <v>0</v>
      </c>
      <c r="EY235" s="48">
        <f ca="1">IF(EX235&gt;0,MAX($EY$2:EY234)+1,0)</f>
        <v>0</v>
      </c>
      <c r="EZ235" s="48">
        <f ca="1">IFERROR(INDEX($EX$3:$EX$400,MATCH(ROWS($EZ$3:EZ235),$EY$3:$EY$400,0),1),0)</f>
        <v>0</v>
      </c>
      <c r="FA235" s="48">
        <f ca="1">IF(EZ235&gt;0,0,MAX($FA$2:FA234)+1)</f>
        <v>233</v>
      </c>
      <c r="FB235" s="48">
        <f t="shared" ca="1" si="463"/>
        <v>0</v>
      </c>
      <c r="FC235" s="48">
        <f t="shared" ca="1" si="464"/>
        <v>233</v>
      </c>
      <c r="FD235" s="48">
        <f t="shared" ca="1" si="465"/>
        <v>233</v>
      </c>
      <c r="FE235" s="48">
        <f ca="1">IF(FD235=0,0,MAX($FE$2:FE234)+1)</f>
        <v>233</v>
      </c>
      <c r="FF235" s="48">
        <f ca="1">IFERROR(INDEX($FD$3:$FE$400,MATCH(ROWS($FF$3:FF235),$FE$3:$FE$400,0),1),"")</f>
        <v>233</v>
      </c>
      <c r="FG235" s="48">
        <f t="shared" ca="1" si="519"/>
        <v>0</v>
      </c>
      <c r="FH235" s="48">
        <f t="shared" ca="1" si="466"/>
        <v>0</v>
      </c>
      <c r="FI235" s="48">
        <f ca="1">IF(FH235&lt;&gt;0,MAX($FI$2:FI234)+1,0)</f>
        <v>0</v>
      </c>
      <c r="FJ235" s="48" t="str">
        <f ca="1">IFERROR(INDEX($FH$3:$FI$400,MATCH(ROWS($FJ$3:FJ235),$FI$3:$FI$400,0),1),"")</f>
        <v/>
      </c>
      <c r="FK235" s="48">
        <f ca="1">IF(ABS(SUMIFS(DARE,DEN_G,"="&amp;FJ235,DATA,"&lt;="&amp;FINE_AC,DATA,"&gt;="&amp;INIZIO_A_PC)-SUMIFS(AVERE,DEN_G,"="&amp;FJ235,DATA,"&lt;="&amp;FINE_AC,DATA,"&gt;="&amp;INIZIO_A_PC))&gt;0,MAX($FK$2:FK234)+1,0)</f>
        <v>0</v>
      </c>
      <c r="FL235" s="48" t="str">
        <f ca="1">IF(AND(ROW()-2&lt;&gt;1,ROW()-2&lt;=$FK$1),CONCATENATE(" - ",IFERROR(INDEX($FJ$3:$FK$400,MATCH(ROWS($FL$3:FL235),$FK$3:$FK$400,0),1),"")),IFERROR(INDEX($FJ$3:$FK$400,MATCH(ROWS($FL$3:FL235),$FK$3:$FK$400,0),1),""))</f>
        <v/>
      </c>
      <c r="FM235" s="48">
        <f ca="1">IF(OR(B235="IVA ns/credito",B235="IVA NS/DEBITO",B235="IVA C/ACCONTO",B235="IMPOSTE C/ACCONTO",B235="CREDITI PER RITENUTE SUBITE",B235="CREDITI D'IMPOSTA"),MAX($FM$2:FM234)+1,0)</f>
        <v>0</v>
      </c>
      <c r="FN235" s="48" t="str">
        <f t="shared" ca="1" si="467"/>
        <v/>
      </c>
      <c r="FO235" s="48" t="str">
        <f ca="1">IFERROR(INDEX($FM$3:$FN$400,MATCH(ROWS($FO$3:FO235),$FM$3:$FM$400,0),2),"")</f>
        <v/>
      </c>
      <c r="FP235" s="48">
        <f ca="1">IF(ABS(SUMIFS(DARE,DEN_G,"="&amp;FO235,DATA,"&lt;="&amp;FINE_AC,DATA,"&gt;="&amp;INIZIO_A_PC)-SUMIFS(AVERE,DEN_G,"="&amp;FO235,DATA,"&lt;="&amp;FINE_AC,DATA,"&gt;="&amp;INIZIO_A_PC))&gt;0,MAX($FP$2:FP234)+1,0)</f>
        <v>0</v>
      </c>
      <c r="FQ235" s="48" t="str">
        <f ca="1">IF(AND(ROW()-2&lt;&gt;1,ROW()-2&lt;=$FP$1),CONCATENATE(" - ",IFERROR(INDEX($FO$3:$FP$400,MATCH(ROWS($FQ$3:FQ235),$FP$3:$FP$400,0),1),"")),IFERROR(INDEX($FO$3:$FP$400,MATCH(ROWS($FQ$3:FQ235),$FP$3:$FP$400,0),1),""))</f>
        <v/>
      </c>
    </row>
    <row r="236" spans="1:173" x14ac:dyDescent="0.3">
      <c r="A236" s="48" t="str">
        <f ca="1">IFERROR(IF($A$1=2,INDEX($DH$3:$DN$401,MATCH(ROWS(A$3:A236),$DN$3:$DN$401,0),COLUMN()),IF($A$1=1,INDEX($DQ$3:$DW$401,MATCH(ROWS(A$3:A236),$DW$3:$DW$401,0),COLUMN()),"")),"")</f>
        <v>31.13</v>
      </c>
      <c r="B236" s="48" t="str">
        <f ca="1">IFERROR(IF($A$1=2,INDEX($DH$3:$DN$401,MATCH(ROWS(B$3:B236),$DN$3:$DN$401,0),COLUMN()),IF($A$1=1,INDEX($DQ$3:$DW$400,MATCH(ROWS(B$3:B236),$DW$3:$DW$401,0),COLUMN()),"")),"")</f>
        <v>PROVVIGIONI PASSIVE</v>
      </c>
      <c r="C236" s="48" t="str">
        <f ca="1">IFERROR(IF($A$1=2,INDEX($DH$3:$DN$401,MATCH(ROWS(C$3:C236),$DN$3:$DN$401,0),COLUMN()),IF($A$1=1,INDEX($DQ$3:$DW$401,MATCH(ROWS(C$3:C236),$DW$3:$DW$401,0),COLUMN()),"")),"")</f>
        <v>E</v>
      </c>
      <c r="D236" s="48" t="str">
        <f ca="1">IFERROR(IF($A$1=2,INDEX($DH$3:$DN$401,MATCH(ROWS(D$3:D236),$DN$3:$DN$401,0),COLUMN()),IF($A$1=1,INDEX($DQ$3:$DW$401,MATCH(ROWS(D$3:D236),$DW$3:$DW$401,0),COLUMN()),"")),"")</f>
        <v>D</v>
      </c>
      <c r="E236" s="48" t="str">
        <f ca="1">IFERROR(IF($A$1=2,INDEX($DH$3:$DN$401,MATCH(ROWS(E$3:E236),$DN$3:$DN$401,0),COLUMN()),IF($A$1=1,INDEX($DQ$3:$DW$401,MATCH(ROWS(E$3:E236),$DW$3:$DW$401,0),COLUMN()),"")),"")</f>
        <v>COSTI D'ESERCIZIO</v>
      </c>
      <c r="F236" s="48" t="str">
        <f ca="1">IFERROR(IF($A$1=2,INDEX($DH$3:$DN$401,MATCH(ROWS(F$3:F236),$DN$3:$DN$401,0),COLUMN()),IF($A$1=1,INDEX($DQ$3:$DX$401,MATCH(ROWS(F$3:F236),$DW$3:$DW$401,0),COLUMN()),"")),"")</f>
        <v>SE DARE</v>
      </c>
      <c r="G236" s="48" t="str">
        <f t="shared" ca="1" si="433"/>
        <v>SE</v>
      </c>
      <c r="H236" s="48" t="str">
        <f ca="1">IFERROR(IF($A$1=2,INDEX($DH$3:$DO$400,MATCH(ROWS(H$3:H236),$DN$3:$DN$400,0),COLUMN()),IF($A$1=1,INDEX($DQ$3:$DX$400,MATCH(ROWS(H$3:H236),$DW$3:$DW$400,0),COLUMN()),"")),"")</f>
        <v>eb7</v>
      </c>
      <c r="M236" s="48">
        <f ca="1">IFERROR(IF(IF(MID($A236,3,3)=".00",MID(A236,1,2),"")&lt;&gt;"",MAX($M$2:M235)+1,0),"")</f>
        <v>0</v>
      </c>
      <c r="N236" s="48" t="str">
        <f t="shared" ca="1" si="438"/>
        <v/>
      </c>
      <c r="O236" s="48" t="str">
        <f ca="1">IF(IFERROR(INDEX($N$3:$O$300,MATCH(ROWS($O$3:O236),$M$3:$M$300,0),1),"")&lt;&gt;"",CONCATENATE(INDEX($N$3:$O$300,MATCH(ROWS($O$3:O236),$M$3:$M$300,0),1),".00"),"")</f>
        <v/>
      </c>
      <c r="P236" s="48" t="str">
        <f t="shared" ca="1" si="439"/>
        <v/>
      </c>
      <c r="Q236" s="48">
        <f ca="1">IF(M236&gt;=1,0,MAX($Q$2:Q235)+1)</f>
        <v>211</v>
      </c>
      <c r="U236" s="48" t="str">
        <f ca="1">IFERROR(INDEX(PDC,MATCH(ROWS(U$3:U236),$V$3:$V$400,0),2),"")</f>
        <v>AMMORTAMENTO ATTREZZATURE COMMERCIALI</v>
      </c>
      <c r="V236" s="48">
        <f ca="1">IF(AND($T$1="VISUALIZZA TUTTI I CONTI",AA236&lt;&gt;""),MAX($V$2:V235)+1,IF(AND($U$2=2,AI236=$T$1),MAX($V$2:V235)+1,IF(AND($U$2=1,$T$1=AF236),MAX($V$2:V235)+1,0)))</f>
        <v>234</v>
      </c>
      <c r="AA236" s="48" t="str">
        <f t="shared" ca="1" si="440"/>
        <v>35.00</v>
      </c>
      <c r="AB236" s="48" t="str">
        <f ca="1">IFERROR(INDEX($A$3:$G$400,MATCH(ROWS(AB$3:AB236),$Q$3:$Q$400,0),1),"")</f>
        <v>35.04</v>
      </c>
      <c r="AC236" s="48" t="str">
        <f ca="1">IFERROR(INDEX($A$3:$G$400,MATCH(ROWS($AC$3:AC236),$Q$3:$Q$400,0),2),"")</f>
        <v>AMMORTAMENTO ATTREZZATURE COMMERCIALI</v>
      </c>
      <c r="AD236" s="48" t="str">
        <f ca="1">IFERROR(INDEX($A$3:$G$400,MATCH(ROWS(AD$3:AD236),$Q$3:$Q$400,0),3),"")</f>
        <v>E</v>
      </c>
      <c r="AE236" s="48" t="str">
        <f ca="1">IFERROR(INDEX($A$3:$G$400,MATCH(ROWS(AE$3:AE236),$Q$3:$Q$400,0),4),"")</f>
        <v>D</v>
      </c>
      <c r="AF236" s="48" t="str">
        <f ca="1">IFERROR(INDEX($A$3:$G$400,MATCH(ROWS(AF$3:AF236),$Q$3:$Q$400,0),5),"")</f>
        <v>COSTI D'ESERCIZIO</v>
      </c>
      <c r="AG236" s="48" t="str">
        <f ca="1">IFERROR(INDEX($A$3:$G$400,MATCH(ROWS(AG$3:AG236),$Q$3:$Q$400,0),6),"")</f>
        <v>SE DARE</v>
      </c>
      <c r="AH236" s="48" t="str">
        <f ca="1">IFERROR(INDEX($A$3:$G$400,MATCH(ROWS(AH$3:AH236),$Q$3:$Q$400,0),7),"")</f>
        <v>SE</v>
      </c>
      <c r="AI236" s="48" t="str">
        <f t="shared" ca="1" si="441"/>
        <v>AMMORTAMENTI IMMOBILIZZAZIONI MATERIALI</v>
      </c>
      <c r="AJ236" s="48" t="str">
        <f ca="1">IFERROR(INDEX($A$3:$H$400,MATCH(ROWS(AJ$3:AJ236),$Q$3:$Q$400,0),8),"")</f>
        <v>eb10a</v>
      </c>
      <c r="AK236" s="48">
        <f t="shared" ca="1" si="417"/>
        <v>0</v>
      </c>
      <c r="AL236" s="48">
        <f t="shared" ca="1" si="515"/>
        <v>0</v>
      </c>
      <c r="AM236" s="48">
        <f t="shared" ca="1" si="516"/>
        <v>0</v>
      </c>
      <c r="AN236" s="48">
        <f t="shared" ca="1" si="517"/>
        <v>0</v>
      </c>
      <c r="AO236" s="48">
        <f t="shared" ca="1" si="518"/>
        <v>0</v>
      </c>
      <c r="AP236" s="48">
        <f t="shared" ca="1" si="518"/>
        <v>0</v>
      </c>
      <c r="AZ236" s="48" t="str">
        <f t="shared" ca="1" si="484"/>
        <v/>
      </c>
      <c r="BA236" s="48">
        <f t="shared" ca="1" si="520"/>
        <v>0</v>
      </c>
      <c r="BB236" s="48">
        <f t="shared" ca="1" si="521"/>
        <v>0</v>
      </c>
      <c r="BC236" s="48">
        <f t="shared" ca="1" si="522"/>
        <v>0</v>
      </c>
      <c r="BD236" s="48">
        <f t="shared" ca="1" si="523"/>
        <v>0</v>
      </c>
      <c r="BE236" s="48">
        <f t="shared" ca="1" si="524"/>
        <v>0</v>
      </c>
      <c r="BF236" s="48">
        <f t="shared" si="485"/>
        <v>36</v>
      </c>
      <c r="BG236" s="48">
        <f ca="1">IF(IF(AND(OR(INDEX(PDC,MATCH($AC236,DEN_PDC,0),6)="SP DARE",INDEX(PDC,MATCH($AC236,DEN_PDC,0),6)="SP DARE/AVERE"),SUMIFS(DARE,DEN_G,$AC236)&gt;=SUMIFS(AVERE,DEN_G,$AC236)),SUMIFS(DARE,DEN_G,$AC236)-SUMIFS(AVERE,DEN_G,$AC236),0)&gt;0,MAX($BG$2:BG235)+1,0)</f>
        <v>0</v>
      </c>
      <c r="BH236" s="48">
        <f ca="1">IF(IF(AND(OR(INDEX(PDC,MATCH($AC236,DEN_PDC,0),6)="SP AVERE",INDEX(PDC,MATCH($AC236,DEN_PDC,0),6)="SP DARE/AVERE"),SUMIFS(AVERE,DEN_G,$AC236)&gt;=SUMIFS(DARE,DEN_G,$AC236)),SUMIFS(AVERE,DEN_G,$AC236)-SUMIFS(DARE,DEN_G,$AC236),0)&gt;0,MAX(BH$2:BH235)+1,0)</f>
        <v>0</v>
      </c>
      <c r="BI236" s="48">
        <f ca="1">IF(IF(AND(OR(INDEX(PDC,MATCH($AC236,DEN_PDC,0),6)="SE DARE",INDEX(PDC,MATCH($AC236,DEN_PDC,0),6)="SE DARE/AVERE"),SUMIFS(DARE,DEN_G,$AC236)&gt;=SUMIFS(AVERE,DEN_G,$AC236)),SUMIFS(DARE,DEN_G,$AC236)-SUMIFS(AVERE,DEN_G,$AC236),0)&gt;0,MAX(BI$2:BI235)+1,0)</f>
        <v>0</v>
      </c>
      <c r="BJ236" s="48">
        <f ca="1">IF(IF(AND(OR(INDEX(PDC,MATCH($AC236,DEN_PDC,0),6)="SE AVERE",INDEX(PDC,MATCH($AC236,DEN_PDC,0),6)="SE DARE/AVERE"),SUMIFS(AVERE,DEN_G,$AC236)&gt;=SUMIFS(DARE,DEN_G,$AC236)),SUMIFS(AVERE,DEN_G,$AC236)-SUMIFS(DARE,DEN_G,$AC236),0)&gt;0,MAX(BJ$2:BJ235)+1,0)</f>
        <v>0</v>
      </c>
      <c r="BK236" s="48" t="str">
        <f ca="1">IF(AND(AND($DY$2=0,$DY$1=0),$I$1=2,ROW()&gt;$BG$1+2,ROW()&lt;=$BG$1+4),"………………..",IF(AND(OR($DY$2&gt;0,$DY$1&gt;0),$I$1=2,ROW()&gt;$BG$1+2,ROW()&lt;=$BG$1+4),"………………..",IFERROR(INDEX($AC$3:$AC$398,MATCH(ROWS(BK$3:BK236),BG$3:BG$398,0),1),"")))</f>
        <v/>
      </c>
      <c r="BL236" s="48">
        <f t="shared" ca="1" si="421"/>
        <v>0</v>
      </c>
      <c r="BM236" s="48" t="str">
        <f ca="1">IF(AND(OR($DY$2=0,$DY$1=0),$I$1=2,ROW()&gt;$BH$1+2,ROW()&lt;=$BH$1+4),"………………..",IF(AND(OR($DY$2&gt;0,$DY$1&gt;0),$I$1=2,ROW()&gt;$BH$1+2,ROW()&lt;=$BH$1+4),"………………..",IFERROR(INDEX($AC$3:$AC$400,MATCH(ROWS(BM$3:BM236),BH$3:BH$400,0),1),"")))</f>
        <v/>
      </c>
      <c r="BN236" s="48">
        <f t="shared" ca="1" si="422"/>
        <v>0</v>
      </c>
      <c r="BO236" s="48" t="str">
        <f ca="1">IF(AND(OR($DY$2=0,$DY$1=0),$I$1=2,ROW()&gt;$BI$1+2,ROW()&lt;=$BI$1+4),"………………..",IF(AND(OR($DY$2&gt;0,$DY$1&gt;0),$I$1=2,ROW()&gt;$BI$1+2,ROW()&lt;=$BI$1+4),"………………..",IFERROR(INDEX($AC$3:$AC$400,MATCH(ROWS(BO$3:BO236),BI$3:BI$400,0),1),"")))</f>
        <v/>
      </c>
      <c r="BP236" s="48">
        <f t="shared" ca="1" si="423"/>
        <v>0</v>
      </c>
      <c r="BQ236" s="48" t="str">
        <f ca="1">IF(AND(OR($DY$2=0,$DY$1=0),$I$1=2,ROW()&gt;$BJ$1+2,ROW()&lt;=$BJ$1+4),"………………..",IF(AND(OR($DY$2&gt;0,$DY$1&gt;0),$I$1=2,ROW()&gt;$BJ$1+2,ROW()&lt;=$BJ$1+4),"………………..",IFERROR(INDEX($AC$3:$AC$400,MATCH(ROWS(BQ$3:BQ236),BJ$3:BJ$400,0),1),"")))</f>
        <v/>
      </c>
      <c r="BR236" s="48">
        <f t="shared" ca="1" si="424"/>
        <v>0</v>
      </c>
      <c r="BS236" s="48">
        <f ca="1">IF(IF(AND(OR(INDEX(PDC,MATCH($AC236,DEN_PDC,0),4)="D",INDEX(PDC,MATCH($AC236,DEN_PDC,0),4)="D/A"),SUMIFS(DARE,DEN_G,$AC236)&gt;=SUMIFS(AVERE,DEN_G,$AC236)),SUMIFS(DARE,DEN_G,$AC236),IF(AND(OR(INDEX(PDC,MATCH($AC236,DEN_PDC,0),4)="A",INDEX(PDC,MATCH($AC236,DEN_PDC,0),4)="D/A"),SUMIFS(AVERE,DEN_G,$AC236)&gt;=SUMIFS(DARE,DEN_G,$AC236)),SUMIFS(AVERE,DEN_G,$AC236),))&gt;0,MAX($BS$2:BS235)+1,0)</f>
        <v>0</v>
      </c>
      <c r="BT236" s="48" t="str">
        <f ca="1">IF($CO$1=0,"",IF(AND($I$1=2,ROW()&gt;$BR$1,ROW()&lt;=$BS$1)," …………….",IF(AND($E$1=1,$BX$1=1,$I$1=2,ROW()=$BQ$1),"TOTALI",IFERROR(INDEX(PDC,MATCH(ROWS(BT$3:BT236),BS$3:BS633,0),2),""))))</f>
        <v/>
      </c>
      <c r="BU236" s="48">
        <f t="shared" ca="1" si="425"/>
        <v>0</v>
      </c>
      <c r="BV236" s="48">
        <f t="shared" ca="1" si="426"/>
        <v>0</v>
      </c>
      <c r="BW236" s="48">
        <f t="shared" ca="1" si="427"/>
        <v>0</v>
      </c>
      <c r="BX236" s="48">
        <f t="shared" ca="1" si="428"/>
        <v>0</v>
      </c>
      <c r="BY236" s="48">
        <f ca="1">IF(OR(BW236&gt;0,BX236&gt;0),MAX($BY$2:BY235)+1,0)</f>
        <v>0</v>
      </c>
      <c r="BZ236" s="48" t="str">
        <f ca="1">IFERROR(INDEX($BT$3:$BY$400,MATCH(ROWS(BZ$3:BZ236),$BY$3:$BY$400,0),1),"")</f>
        <v/>
      </c>
      <c r="CA236" s="48" t="str">
        <f ca="1">IFERROR(INDEX($BT$3:$BY$400,MATCH(ROWS(CA$3:CA236),$BY$3:$BY$400,0),4),"")</f>
        <v/>
      </c>
      <c r="CB236" s="48" t="str">
        <f ca="1">IFERROR(INDEX($BT$3:$BY$400,MATCH(ROWS(CB$3:CB236),$BY$3:$BY$400,0),5),"")</f>
        <v/>
      </c>
      <c r="CC236" s="48" t="str">
        <f t="shared" ca="1" si="429"/>
        <v/>
      </c>
      <c r="CD236" s="48">
        <f ca="1">IF(CE236&lt;&gt;0,MAX($CD$190:CD235)+1,0)</f>
        <v>0</v>
      </c>
      <c r="CE236" s="48">
        <f ca="1">IF(ROUND(SUMIFS(COPIA!$CB$3:$CB$400,COPIA!$CC$3:$CC$400,CF236)-SUMIFS(COPIA!$CA$3:$CA$400,COPIA!$CC$3:$CC$400,CF236),0)&lt;0,0,ROUND(SUMIFS(COPIA!$CB$3:$CB$400,COPIA!$CC$3:$CC$400,CF236)-SUMIFS(COPIA!$CA$3:$CA$400,COPIA!$CC$3:$CC$400,CF236),0))</f>
        <v>0</v>
      </c>
      <c r="CF236" s="48" t="s">
        <v>751</v>
      </c>
      <c r="CG236" s="242" t="s">
        <v>596</v>
      </c>
      <c r="CH236" s="48">
        <f t="shared" ca="1" si="525"/>
        <v>0</v>
      </c>
      <c r="CM236" s="242" t="str">
        <f t="shared" ca="1" si="444"/>
        <v/>
      </c>
      <c r="CN236" s="243">
        <f t="shared" ca="1" si="445"/>
        <v>0</v>
      </c>
      <c r="CO236" s="48" t="str">
        <f t="shared" ca="1" si="446"/>
        <v/>
      </c>
      <c r="CU236" s="48">
        <f ca="1">IF(SUMIFS(AVERE,DEN_G,AC236,AVERE,"&gt;"&amp;0)+SUMIFS(DARE,DEN_G,AC236,DARE,"&gt;"&amp;0)&gt;0,MAX($CU$2:CU235)+1,0)</f>
        <v>0</v>
      </c>
      <c r="CV236" s="48" t="str">
        <f ca="1">IF(IFERROR(INDEX(PDC,MATCH(ROWS($CV$3:CV236),$CU$3:$CU$400,0),2),"")="CONTO DI RISULTATO ECONOMICO","",IFERROR(INDEX(PDC,MATCH(ROWS($CV$3:CV236),$CU$3:$CU$400,0),2),""))</f>
        <v/>
      </c>
      <c r="CW236" s="48">
        <f ca="1">IFERROR(IF(CV236&lt;&gt;"",MAX($CW$2:CW235)+1,0),0)</f>
        <v>0</v>
      </c>
      <c r="CY236" s="48" t="s">
        <v>500</v>
      </c>
      <c r="DB236" s="48" t="str">
        <f t="shared" ref="DB236" ca="1" si="526">IF(CX235=$DF$1,"","MASTRO")</f>
        <v>MASTRO</v>
      </c>
      <c r="DF236" s="48">
        <f ca="1">IF(AND(CX236=$DF$1,CX236&lt;&gt;""),0,IF(AND(DB236&lt;&gt;"",OR(DB235&lt;&gt;"",DB237&lt;&gt;"")),MAX($DF$2:DF235)+1,0))</f>
        <v>0</v>
      </c>
      <c r="DH236" s="249"/>
      <c r="DK236" s="48" t="s">
        <v>298</v>
      </c>
      <c r="DL236" s="48" t="s">
        <v>480</v>
      </c>
      <c r="DM236" s="48" t="s">
        <v>812</v>
      </c>
      <c r="DN236" s="48">
        <f>IF(DI236&lt;&gt;"",MAX($DN$2:DN235)+1,0)</f>
        <v>0</v>
      </c>
      <c r="DW236" s="48">
        <f>IF(DR236&lt;&gt;"",MAX($DW$2:DW235)+1,0)</f>
        <v>0</v>
      </c>
      <c r="DY236" s="48" t="str">
        <f t="shared" ca="1" si="430"/>
        <v/>
      </c>
      <c r="EL236" s="48">
        <f t="shared" ca="1" si="431"/>
        <v>0</v>
      </c>
      <c r="EM236" s="48">
        <f ca="1">IF(EL236&gt;=0,0,MAX($EM$2:EM235)+1)</f>
        <v>0</v>
      </c>
      <c r="EN236" s="48" t="str">
        <f t="shared" ca="1" si="459"/>
        <v/>
      </c>
      <c r="EO236" s="48" t="str">
        <f ca="1">IFERROR(INDEX($EM$3:$EN$400,MATCH(ROWS($EO$3:EO236),$EM$3:$EM$400,0),2),"")</f>
        <v/>
      </c>
      <c r="EP236" s="48">
        <f>ROW()</f>
        <v>236</v>
      </c>
      <c r="EQ236" s="48">
        <f t="shared" ca="1" si="432"/>
        <v>0</v>
      </c>
      <c r="ER236" s="48">
        <f ca="1">IF(ISNA(EQ236)=TRUE,MAX($ER$2:ER235)+1,0)</f>
        <v>0</v>
      </c>
      <c r="ES236" s="48" t="str">
        <f t="shared" ca="1" si="460"/>
        <v/>
      </c>
      <c r="ET236" s="48" t="str">
        <f ca="1">IFERROR(INDEX($ER$3:$ES$400,MATCH(ROWS($ET$3:ET236),$ER$3:$ER$400,0),2),"")</f>
        <v/>
      </c>
      <c r="EV236" s="48">
        <f ca="1">IFERROR(INDEX(LIBRO_GIORNALE!$O$11:$P$408,MATCH(ROWS($EV$2:EV235),LIBRO_GIORNALE!$P$11:$P$408,0),1),0)</f>
        <v>0</v>
      </c>
      <c r="EW236" s="48" t="str">
        <f t="shared" ca="1" si="461"/>
        <v>0</v>
      </c>
      <c r="EX236" s="48">
        <f t="shared" ca="1" si="462"/>
        <v>0</v>
      </c>
      <c r="EY236" s="48">
        <f ca="1">IF(EX236&gt;0,MAX($EY$2:EY235)+1,0)</f>
        <v>0</v>
      </c>
      <c r="EZ236" s="48">
        <f ca="1">IFERROR(INDEX($EX$3:$EX$400,MATCH(ROWS($EZ$3:EZ236),$EY$3:$EY$400,0),1),0)</f>
        <v>0</v>
      </c>
      <c r="FA236" s="48">
        <f ca="1">IF(EZ236&gt;0,0,MAX($FA$2:FA235)+1)</f>
        <v>234</v>
      </c>
      <c r="FB236" s="48">
        <f t="shared" ca="1" si="463"/>
        <v>0</v>
      </c>
      <c r="FC236" s="48">
        <f t="shared" ca="1" si="464"/>
        <v>234</v>
      </c>
      <c r="FD236" s="48">
        <f t="shared" ca="1" si="465"/>
        <v>234</v>
      </c>
      <c r="FE236" s="48">
        <f ca="1">IF(FD236=0,0,MAX($FE$2:FE235)+1)</f>
        <v>234</v>
      </c>
      <c r="FF236" s="48">
        <f ca="1">IFERROR(INDEX($FD$3:$FE$400,MATCH(ROWS($FF$3:FF236),$FE$3:$FE$400,0),1),"")</f>
        <v>234</v>
      </c>
      <c r="FG236" s="48">
        <f t="shared" ca="1" si="519"/>
        <v>0</v>
      </c>
      <c r="FH236" s="48">
        <f t="shared" ca="1" si="466"/>
        <v>0</v>
      </c>
      <c r="FI236" s="48">
        <f ca="1">IF(FH236&lt;&gt;0,MAX($FI$2:FI235)+1,0)</f>
        <v>0</v>
      </c>
      <c r="FJ236" s="48" t="str">
        <f ca="1">IFERROR(INDEX($FH$3:$FI$400,MATCH(ROWS($FJ$3:FJ236),$FI$3:$FI$400,0),1),"")</f>
        <v/>
      </c>
      <c r="FK236" s="48">
        <f ca="1">IF(ABS(SUMIFS(DARE,DEN_G,"="&amp;FJ236,DATA,"&lt;="&amp;FINE_AC,DATA,"&gt;="&amp;INIZIO_A_PC)-SUMIFS(AVERE,DEN_G,"="&amp;FJ236,DATA,"&lt;="&amp;FINE_AC,DATA,"&gt;="&amp;INIZIO_A_PC))&gt;0,MAX($FK$2:FK235)+1,0)</f>
        <v>0</v>
      </c>
      <c r="FL236" s="48" t="str">
        <f ca="1">IF(AND(ROW()-2&lt;&gt;1,ROW()-2&lt;=$FK$1),CONCATENATE(" - ",IFERROR(INDEX($FJ$3:$FK$400,MATCH(ROWS($FL$3:FL236),$FK$3:$FK$400,0),1),"")),IFERROR(INDEX($FJ$3:$FK$400,MATCH(ROWS($FL$3:FL236),$FK$3:$FK$400,0),1),""))</f>
        <v/>
      </c>
      <c r="FM236" s="48">
        <f ca="1">IF(OR(B236="IVA ns/credito",B236="IVA NS/DEBITO",B236="IVA C/ACCONTO",B236="IMPOSTE C/ACCONTO",B236="CREDITI PER RITENUTE SUBITE",B236="CREDITI D'IMPOSTA"),MAX($FM$2:FM235)+1,0)</f>
        <v>0</v>
      </c>
      <c r="FN236" s="48" t="str">
        <f t="shared" ca="1" si="467"/>
        <v/>
      </c>
      <c r="FO236" s="48" t="str">
        <f ca="1">IFERROR(INDEX($FM$3:$FN$400,MATCH(ROWS($FO$3:FO236),$FM$3:$FM$400,0),2),"")</f>
        <v/>
      </c>
      <c r="FP236" s="48">
        <f ca="1">IF(ABS(SUMIFS(DARE,DEN_G,"="&amp;FO236,DATA,"&lt;="&amp;FINE_AC,DATA,"&gt;="&amp;INIZIO_A_PC)-SUMIFS(AVERE,DEN_G,"="&amp;FO236,DATA,"&lt;="&amp;FINE_AC,DATA,"&gt;="&amp;INIZIO_A_PC))&gt;0,MAX($FP$2:FP235)+1,0)</f>
        <v>0</v>
      </c>
      <c r="FQ236" s="48" t="str">
        <f ca="1">IF(AND(ROW()-2&lt;&gt;1,ROW()-2&lt;=$FP$1),CONCATENATE(" - ",IFERROR(INDEX($FO$3:$FP$400,MATCH(ROWS($FQ$3:FQ236),$FP$3:$FP$400,0),1),"")),IFERROR(INDEX($FO$3:$FP$400,MATCH(ROWS($FQ$3:FQ236),$FP$3:$FP$400,0),1),""))</f>
        <v/>
      </c>
    </row>
    <row r="237" spans="1:173" x14ac:dyDescent="0.3">
      <c r="A237" s="48" t="str">
        <f ca="1">IFERROR(IF($A$1=2,INDEX($DH$3:$DN$401,MATCH(ROWS(A$3:A237),$DN$3:$DN$401,0),COLUMN()),IF($A$1=1,INDEX($DQ$3:$DW$401,MATCH(ROWS(A$3:A237),$DW$3:$DW$401,0),COLUMN()),"")),"")</f>
        <v>31.14</v>
      </c>
      <c r="B237" s="48" t="str">
        <f ca="1">IFERROR(IF($A$1=2,INDEX($DH$3:$DN$401,MATCH(ROWS(B$3:B237),$DN$3:$DN$401,0),COLUMN()),IF($A$1=1,INDEX($DQ$3:$DW$400,MATCH(ROWS(B$3:B237),$DW$3:$DW$401,0),COLUMN()),"")),"")</f>
        <v>COSTI DI INCASSO</v>
      </c>
      <c r="C237" s="48" t="str">
        <f ca="1">IFERROR(IF($A$1=2,INDEX($DH$3:$DN$401,MATCH(ROWS(C$3:C237),$DN$3:$DN$401,0),COLUMN()),IF($A$1=1,INDEX($DQ$3:$DW$401,MATCH(ROWS(C$3:C237),$DW$3:$DW$401,0),COLUMN()),"")),"")</f>
        <v>E</v>
      </c>
      <c r="D237" s="48" t="str">
        <f ca="1">IFERROR(IF($A$1=2,INDEX($DH$3:$DN$401,MATCH(ROWS(D$3:D237),$DN$3:$DN$401,0),COLUMN()),IF($A$1=1,INDEX($DQ$3:$DW$401,MATCH(ROWS(D$3:D237),$DW$3:$DW$401,0),COLUMN()),"")),"")</f>
        <v>D</v>
      </c>
      <c r="E237" s="48" t="str">
        <f ca="1">IFERROR(IF($A$1=2,INDEX($DH$3:$DN$401,MATCH(ROWS(E$3:E237),$DN$3:$DN$401,0),COLUMN()),IF($A$1=1,INDEX($DQ$3:$DW$401,MATCH(ROWS(E$3:E237),$DW$3:$DW$401,0),COLUMN()),"")),"")</f>
        <v>COSTI D'ESERCIZIO</v>
      </c>
      <c r="F237" s="48" t="str">
        <f ca="1">IFERROR(IF($A$1=2,INDEX($DH$3:$DN$401,MATCH(ROWS(F$3:F237),$DN$3:$DN$401,0),COLUMN()),IF($A$1=1,INDEX($DQ$3:$DX$401,MATCH(ROWS(F$3:F237),$DW$3:$DW$401,0),COLUMN()),"")),"")</f>
        <v>SE DARE</v>
      </c>
      <c r="G237" s="48" t="str">
        <f t="shared" ca="1" si="433"/>
        <v>SE</v>
      </c>
      <c r="H237" s="48" t="str">
        <f ca="1">IFERROR(IF($A$1=2,INDEX($DH$3:$DO$400,MATCH(ROWS(H$3:H237),$DN$3:$DN$400,0),COLUMN()),IF($A$1=1,INDEX($DQ$3:$DX$400,MATCH(ROWS(H$3:H237),$DW$3:$DW$400,0),COLUMN()),"")),"")</f>
        <v>eb7</v>
      </c>
      <c r="M237" s="48">
        <f ca="1">IFERROR(IF(IF(MID($A237,3,3)=".00",MID(A237,1,2),"")&lt;&gt;"",MAX($M$2:M236)+1,0),"")</f>
        <v>0</v>
      </c>
      <c r="N237" s="48" t="str">
        <f t="shared" ca="1" si="438"/>
        <v/>
      </c>
      <c r="O237" s="48" t="str">
        <f ca="1">IF(IFERROR(INDEX($N$3:$O$300,MATCH(ROWS($O$3:O237),$M$3:$M$300,0),1),"")&lt;&gt;"",CONCATENATE(INDEX($N$3:$O$300,MATCH(ROWS($O$3:O237),$M$3:$M$300,0),1),".00"),"")</f>
        <v/>
      </c>
      <c r="P237" s="48" t="str">
        <f t="shared" ca="1" si="439"/>
        <v/>
      </c>
      <c r="Q237" s="48">
        <f ca="1">IF(M237&gt;=1,0,MAX($Q$2:Q236)+1)</f>
        <v>212</v>
      </c>
      <c r="U237" s="48" t="str">
        <f ca="1">IFERROR(INDEX(PDC,MATCH(ROWS(U$3:U237),$V$3:$V$400,0),2),"")</f>
        <v>AMMORTAMENTO MACCHINE D'UFFICIO</v>
      </c>
      <c r="V237" s="48">
        <f ca="1">IF(AND($T$1="VISUALIZZA TUTTI I CONTI",AA237&lt;&gt;""),MAX($V$2:V236)+1,IF(AND($U$2=2,AI237=$T$1),MAX($V$2:V236)+1,IF(AND($U$2=1,$T$1=AF237),MAX($V$2:V236)+1,0)))</f>
        <v>235</v>
      </c>
      <c r="AA237" s="48" t="str">
        <f t="shared" ca="1" si="440"/>
        <v>35.00</v>
      </c>
      <c r="AB237" s="48" t="str">
        <f ca="1">IFERROR(INDEX($A$3:$G$400,MATCH(ROWS(AB$3:AB237),$Q$3:$Q$400,0),1),"")</f>
        <v>35.05</v>
      </c>
      <c r="AC237" s="48" t="str">
        <f ca="1">IFERROR(INDEX($A$3:$G$400,MATCH(ROWS($AC$3:AC237),$Q$3:$Q$400,0),2),"")</f>
        <v>AMMORTAMENTO MACCHINE D'UFFICIO</v>
      </c>
      <c r="AD237" s="48" t="str">
        <f ca="1">IFERROR(INDEX($A$3:$G$400,MATCH(ROWS(AD$3:AD237),$Q$3:$Q$400,0),3),"")</f>
        <v>E</v>
      </c>
      <c r="AE237" s="48" t="str">
        <f ca="1">IFERROR(INDEX($A$3:$G$400,MATCH(ROWS(AE$3:AE237),$Q$3:$Q$400,0),4),"")</f>
        <v>D</v>
      </c>
      <c r="AF237" s="48" t="str">
        <f ca="1">IFERROR(INDEX($A$3:$G$400,MATCH(ROWS(AF$3:AF237),$Q$3:$Q$400,0),5),"")</f>
        <v>COSTI D'ESERCIZIO</v>
      </c>
      <c r="AG237" s="48" t="str">
        <f ca="1">IFERROR(INDEX($A$3:$G$400,MATCH(ROWS(AG$3:AG237),$Q$3:$Q$400,0),6),"")</f>
        <v>SE DARE</v>
      </c>
      <c r="AH237" s="48" t="str">
        <f ca="1">IFERROR(INDEX($A$3:$G$400,MATCH(ROWS(AH$3:AH237),$Q$3:$Q$400,0),7),"")</f>
        <v>SE</v>
      </c>
      <c r="AI237" s="48" t="str">
        <f t="shared" ca="1" si="441"/>
        <v>AMMORTAMENTI IMMOBILIZZAZIONI MATERIALI</v>
      </c>
      <c r="AJ237" s="48" t="str">
        <f ca="1">IFERROR(INDEX($A$3:$H$400,MATCH(ROWS(AJ$3:AJ237),$Q$3:$Q$400,0),8),"")</f>
        <v>eb10a</v>
      </c>
      <c r="AK237" s="48">
        <f t="shared" ca="1" si="417"/>
        <v>0</v>
      </c>
      <c r="AL237" s="48">
        <f t="shared" ca="1" si="515"/>
        <v>0</v>
      </c>
      <c r="AM237" s="48">
        <f t="shared" ca="1" si="516"/>
        <v>0</v>
      </c>
      <c r="AN237" s="48">
        <f t="shared" ca="1" si="517"/>
        <v>0</v>
      </c>
      <c r="AO237" s="48">
        <f t="shared" ca="1" si="518"/>
        <v>0</v>
      </c>
      <c r="AP237" s="48">
        <f t="shared" ca="1" si="518"/>
        <v>0</v>
      </c>
      <c r="AZ237" s="48" t="str">
        <f t="shared" ca="1" si="484"/>
        <v/>
      </c>
      <c r="BA237" s="48">
        <f t="shared" ca="1" si="520"/>
        <v>0</v>
      </c>
      <c r="BB237" s="48">
        <f t="shared" ca="1" si="521"/>
        <v>0</v>
      </c>
      <c r="BC237" s="48">
        <f t="shared" ca="1" si="522"/>
        <v>0</v>
      </c>
      <c r="BD237" s="48">
        <f t="shared" ca="1" si="523"/>
        <v>0</v>
      </c>
      <c r="BE237" s="48">
        <f t="shared" ca="1" si="524"/>
        <v>0</v>
      </c>
      <c r="BF237" s="48">
        <f t="shared" si="485"/>
        <v>37</v>
      </c>
      <c r="BG237" s="48">
        <f ca="1">IF(IF(AND(OR(INDEX(PDC,MATCH($AC237,DEN_PDC,0),6)="SP DARE",INDEX(PDC,MATCH($AC237,DEN_PDC,0),6)="SP DARE/AVERE"),SUMIFS(DARE,DEN_G,$AC237)&gt;=SUMIFS(AVERE,DEN_G,$AC237)),SUMIFS(DARE,DEN_G,$AC237)-SUMIFS(AVERE,DEN_G,$AC237),0)&gt;0,MAX($BG$2:BG236)+1,0)</f>
        <v>0</v>
      </c>
      <c r="BH237" s="48">
        <f ca="1">IF(IF(AND(OR(INDEX(PDC,MATCH($AC237,DEN_PDC,0),6)="SP AVERE",INDEX(PDC,MATCH($AC237,DEN_PDC,0),6)="SP DARE/AVERE"),SUMIFS(AVERE,DEN_G,$AC237)&gt;=SUMIFS(DARE,DEN_G,$AC237)),SUMIFS(AVERE,DEN_G,$AC237)-SUMIFS(DARE,DEN_G,$AC237),0)&gt;0,MAX(BH$2:BH236)+1,0)</f>
        <v>0</v>
      </c>
      <c r="BI237" s="48">
        <f ca="1">IF(IF(AND(OR(INDEX(PDC,MATCH($AC237,DEN_PDC,0),6)="SE DARE",INDEX(PDC,MATCH($AC237,DEN_PDC,0),6)="SE DARE/AVERE"),SUMIFS(DARE,DEN_G,$AC237)&gt;=SUMIFS(AVERE,DEN_G,$AC237)),SUMIFS(DARE,DEN_G,$AC237)-SUMIFS(AVERE,DEN_G,$AC237),0)&gt;0,MAX(BI$2:BI236)+1,0)</f>
        <v>0</v>
      </c>
      <c r="BJ237" s="48">
        <f ca="1">IF(IF(AND(OR(INDEX(PDC,MATCH($AC237,DEN_PDC,0),6)="SE AVERE",INDEX(PDC,MATCH($AC237,DEN_PDC,0),6)="SE DARE/AVERE"),SUMIFS(AVERE,DEN_G,$AC237)&gt;=SUMIFS(DARE,DEN_G,$AC237)),SUMIFS(AVERE,DEN_G,$AC237)-SUMIFS(DARE,DEN_G,$AC237),0)&gt;0,MAX(BJ$2:BJ236)+1,0)</f>
        <v>0</v>
      </c>
      <c r="BK237" s="48" t="str">
        <f ca="1">IF(AND(AND($DY$2=0,$DY$1=0),$I$1=2,ROW()&gt;$BG$1+2,ROW()&lt;=$BG$1+4),"………………..",IF(AND(OR($DY$2&gt;0,$DY$1&gt;0),$I$1=2,ROW()&gt;$BG$1+2,ROW()&lt;=$BG$1+4),"………………..",IFERROR(INDEX($AC$3:$AC$398,MATCH(ROWS(BK$3:BK237),BG$3:BG$398,0),1),"")))</f>
        <v/>
      </c>
      <c r="BL237" s="48">
        <f t="shared" ca="1" si="421"/>
        <v>0</v>
      </c>
      <c r="BM237" s="48" t="str">
        <f ca="1">IF(AND(OR($DY$2=0,$DY$1=0),$I$1=2,ROW()&gt;$BH$1+2,ROW()&lt;=$BH$1+4),"………………..",IF(AND(OR($DY$2&gt;0,$DY$1&gt;0),$I$1=2,ROW()&gt;$BH$1+2,ROW()&lt;=$BH$1+4),"………………..",IFERROR(INDEX($AC$3:$AC$400,MATCH(ROWS(BM$3:BM237),BH$3:BH$400,0),1),"")))</f>
        <v/>
      </c>
      <c r="BN237" s="48">
        <f t="shared" ca="1" si="422"/>
        <v>0</v>
      </c>
      <c r="BO237" s="48" t="str">
        <f ca="1">IF(AND(OR($DY$2=0,$DY$1=0),$I$1=2,ROW()&gt;$BI$1+2,ROW()&lt;=$BI$1+4),"………………..",IF(AND(OR($DY$2&gt;0,$DY$1&gt;0),$I$1=2,ROW()&gt;$BI$1+2,ROW()&lt;=$BI$1+4),"………………..",IFERROR(INDEX($AC$3:$AC$400,MATCH(ROWS(BO$3:BO237),BI$3:BI$400,0),1),"")))</f>
        <v/>
      </c>
      <c r="BP237" s="48">
        <f t="shared" ca="1" si="423"/>
        <v>0</v>
      </c>
      <c r="BQ237" s="48" t="str">
        <f ca="1">IF(AND(OR($DY$2=0,$DY$1=0),$I$1=2,ROW()&gt;$BJ$1+2,ROW()&lt;=$BJ$1+4),"………………..",IF(AND(OR($DY$2&gt;0,$DY$1&gt;0),$I$1=2,ROW()&gt;$BJ$1+2,ROW()&lt;=$BJ$1+4),"………………..",IFERROR(INDEX($AC$3:$AC$400,MATCH(ROWS(BQ$3:BQ237),BJ$3:BJ$400,0),1),"")))</f>
        <v/>
      </c>
      <c r="BR237" s="48">
        <f t="shared" ca="1" si="424"/>
        <v>0</v>
      </c>
      <c r="BS237" s="48">
        <f ca="1">IF(IF(AND(OR(INDEX(PDC,MATCH($AC237,DEN_PDC,0),4)="D",INDEX(PDC,MATCH($AC237,DEN_PDC,0),4)="D/A"),SUMIFS(DARE,DEN_G,$AC237)&gt;=SUMIFS(AVERE,DEN_G,$AC237)),SUMIFS(DARE,DEN_G,$AC237),IF(AND(OR(INDEX(PDC,MATCH($AC237,DEN_PDC,0),4)="A",INDEX(PDC,MATCH($AC237,DEN_PDC,0),4)="D/A"),SUMIFS(AVERE,DEN_G,$AC237)&gt;=SUMIFS(DARE,DEN_G,$AC237)),SUMIFS(AVERE,DEN_G,$AC237),))&gt;0,MAX($BS$2:BS236)+1,0)</f>
        <v>0</v>
      </c>
      <c r="BT237" s="48" t="str">
        <f ca="1">IF($CO$1=0,"",IF(AND($I$1=2,ROW()&gt;$BR$1,ROW()&lt;=$BS$1)," …………….",IF(AND($E$1=1,$BX$1=1,$I$1=2,ROW()=$BQ$1),"TOTALI",IFERROR(INDEX(PDC,MATCH(ROWS(BT$3:BT237),BS$3:BS634,0),2),""))))</f>
        <v/>
      </c>
      <c r="BU237" s="48">
        <f t="shared" ca="1" si="425"/>
        <v>0</v>
      </c>
      <c r="BV237" s="48">
        <f t="shared" ca="1" si="426"/>
        <v>0</v>
      </c>
      <c r="BW237" s="48">
        <f t="shared" ca="1" si="427"/>
        <v>0</v>
      </c>
      <c r="BX237" s="48">
        <f t="shared" ca="1" si="428"/>
        <v>0</v>
      </c>
      <c r="BY237" s="48">
        <f ca="1">IF(OR(BW237&gt;0,BX237&gt;0),MAX($BY$2:BY236)+1,0)</f>
        <v>0</v>
      </c>
      <c r="BZ237" s="48" t="str">
        <f ca="1">IFERROR(INDEX($BT$3:$BY$400,MATCH(ROWS(BZ$3:BZ237),$BY$3:$BY$400,0),1),"")</f>
        <v/>
      </c>
      <c r="CA237" s="48" t="str">
        <f ca="1">IFERROR(INDEX($BT$3:$BY$400,MATCH(ROWS(CA$3:CA237),$BY$3:$BY$400,0),4),"")</f>
        <v/>
      </c>
      <c r="CB237" s="48" t="str">
        <f ca="1">IFERROR(INDEX($BT$3:$BY$400,MATCH(ROWS(CB$3:CB237),$BY$3:$BY$400,0),5),"")</f>
        <v/>
      </c>
      <c r="CC237" s="48" t="str">
        <f t="shared" ca="1" si="429"/>
        <v/>
      </c>
      <c r="CD237" s="48">
        <f ca="1">IF(CE237&lt;&gt;0,MAX($CD$190:CD236)+1,0)</f>
        <v>0</v>
      </c>
      <c r="CE237" s="48">
        <f ca="1">IF(ROUND(SUMIFS(COPIA!$CB$3:$CB$400,COPIA!$CC$3:$CC$400,CF237)-SUMIFS(COPIA!$CA$3:$CA$400,COPIA!$CC$3:$CC$400,CF237),0)&lt;0,0,ROUND(SUMIFS(COPIA!$CB$3:$CB$400,COPIA!$CC$3:$CC$400,CF237)-SUMIFS(COPIA!$CA$3:$CA$400,COPIA!$CC$3:$CC$400,CF237),0))</f>
        <v>0</v>
      </c>
      <c r="CF237" s="48" t="s">
        <v>730</v>
      </c>
      <c r="CG237" s="242" t="s">
        <v>597</v>
      </c>
      <c r="CH237" s="48">
        <f t="shared" ca="1" si="525"/>
        <v>0</v>
      </c>
      <c r="CM237" s="242" t="str">
        <f t="shared" ca="1" si="444"/>
        <v/>
      </c>
      <c r="CN237" s="243">
        <f t="shared" ca="1" si="445"/>
        <v>0</v>
      </c>
      <c r="CO237" s="48" t="str">
        <f t="shared" ca="1" si="446"/>
        <v/>
      </c>
      <c r="CU237" s="48">
        <f ca="1">IF(SUMIFS(AVERE,DEN_G,AC237,AVERE,"&gt;"&amp;0)+SUMIFS(DARE,DEN_G,AC237,DARE,"&gt;"&amp;0)&gt;0,MAX($CU$2:CU236)+1,0)</f>
        <v>0</v>
      </c>
      <c r="CV237" s="48" t="str">
        <f ca="1">IF(IFERROR(INDEX(PDC,MATCH(ROWS($CV$3:CV237),$CU$3:$CU$400,0),2),"")="CONTO DI RISULTATO ECONOMICO","",IFERROR(INDEX(PDC,MATCH(ROWS($CV$3:CV237),$CU$3:$CU$400,0),2),""))</f>
        <v/>
      </c>
      <c r="CW237" s="48">
        <f ca="1">IFERROR(IF(CV237&lt;&gt;"",MAX($CW$2:CW236)+1,0),0)</f>
        <v>0</v>
      </c>
      <c r="CX237" s="48">
        <f ca="1">$FF$21</f>
        <v>19</v>
      </c>
      <c r="CY237" s="48" t="str">
        <f t="shared" ref="CY237:CY248" ca="1" si="527">IF(ISERROR(INDEX($CV$3:$CX$1302,MATCH(CX237,$CW$3:$CW$1302,0),1)),"MASTRO",INDEX($CV$3:$CX$1302,MATCH(CX237,$CW$3:$CW$1302,0),1))</f>
        <v>MASTRO</v>
      </c>
      <c r="DA237" s="48" t="str">
        <f>IF(CY236="MASTRO","Conto n.","")</f>
        <v>Conto n.</v>
      </c>
      <c r="DB237" s="48" t="str">
        <f ca="1">IF(CY237=0,"",INDEX(PDC,MATCH(DC237,DEN_PDC,0),1))</f>
        <v/>
      </c>
      <c r="DC237" s="48" t="str">
        <f ca="1">IF(OR(CY237=0,CY237="mastro"),"",CY237)</f>
        <v/>
      </c>
      <c r="DD237" s="48" t="str">
        <f ca="1">IF(AND($DA$2=TRUE,OR(INDEX(PDC,MATCH($DC237,DEN_PDC,0),4)="A",INDEX(PDC,MATCH($DC237,DEN_PDC,0),4)="D/A"),SUMIFS(AVERE,DEN_G,"="&amp;$DC237,DATA,"&lt;="&amp;FINE_AC,DATA,"&gt;="&amp;INIZIO_AC)&gt;SUMIFS(DARE,DEN_G,"="&amp;$DC237,DATA,"&lt;="&amp;FINE_AC,DATA,"&gt;="&amp;INIZIO_AC)),CONCATENATE("s ",FIXED(ABS(SUMIFS(AVERE,DEN_G,"="&amp;$DC237,DATA,"&lt;="&amp;FINE_AC,DATA,"&gt;="&amp;INIZIO_AC)-SUMIFS(DARE,DEN_G,"="&amp;$DC237,DATA,"&lt;="&amp;FINE_AC,DATA,"&gt;="&amp;INIZIO_AC)),2)),"")</f>
        <v/>
      </c>
      <c r="DE237" s="48" t="str">
        <f ca="1">IF(AND($DA$2=TRUE,OR(INDEX(PDC,MATCH($DC237,DEN_PDC,0),4)="D",INDEX(PDC,MATCH($DC237,DEN_PDC,0),4)="D/A"),SUMIFS(DARE,DEN_G,"="&amp;$DC237,DATA,"&lt;="&amp;FINE_AC,DATA,"&gt;="&amp;INIZIO_AC)&gt;SUMIFS(AVERE,DEN_G,"="&amp;$DC237,DATA,"&lt;="&amp;FINE_AC,DATA,"&gt;="&amp;INIZIO_AC)),CONCATENATE("s ",FIXED(ABS(SUMIFS(DARE,DEN_G,"="&amp;$DC237,DATA,"&lt;="&amp;FINE_AC,DATA,"&gt;="&amp;INIZIO_AC)-SUMIFS(AVERE,DEN_G,"="&amp;$DC237,DATA,"&lt;="&amp;FINE_AC,DATA,"&gt;="&amp;INIZIO_AC)),2)),"")</f>
        <v/>
      </c>
      <c r="DF237" s="48">
        <f ca="1">IF(AND(CX237=$DF$1,CX237&lt;&gt;""),0,IF(AND(DB237&lt;&gt;"",OR(DB236&lt;&gt;"",DB238&lt;&gt;"")),MAX($DF$2:DF236)+1,0))</f>
        <v>0</v>
      </c>
      <c r="DH237" s="249" t="s">
        <v>169</v>
      </c>
      <c r="DI237" s="48" t="s">
        <v>163</v>
      </c>
      <c r="DK237" s="48" t="s">
        <v>275</v>
      </c>
      <c r="DL237" s="48" t="s">
        <v>480</v>
      </c>
      <c r="DM237" s="48" t="s">
        <v>812</v>
      </c>
      <c r="DN237" s="48">
        <f ca="1">IF(DI237&lt;&gt;"",MAX($DN$2:DN236)+1,0)</f>
        <v>181</v>
      </c>
      <c r="DW237" s="48">
        <f>IF(DR237&lt;&gt;"",MAX($DW$2:DW236)+1,0)</f>
        <v>0</v>
      </c>
      <c r="DY237" s="48" t="str">
        <f t="shared" ca="1" si="430"/>
        <v/>
      </c>
      <c r="EL237" s="48">
        <f t="shared" ca="1" si="431"/>
        <v>0</v>
      </c>
      <c r="EM237" s="48">
        <f ca="1">IF(EL237&gt;=0,0,MAX($EM$2:EM236)+1)</f>
        <v>0</v>
      </c>
      <c r="EN237" s="48" t="str">
        <f t="shared" ca="1" si="459"/>
        <v/>
      </c>
      <c r="EO237" s="48" t="str">
        <f ca="1">IFERROR(INDEX($EM$3:$EN$400,MATCH(ROWS($EO$3:EO237),$EM$3:$EM$400,0),2),"")</f>
        <v/>
      </c>
      <c r="EP237" s="48">
        <f>ROW()</f>
        <v>237</v>
      </c>
      <c r="EQ237" s="48">
        <f t="shared" ca="1" si="432"/>
        <v>0</v>
      </c>
      <c r="ER237" s="48">
        <f ca="1">IF(ISNA(EQ237)=TRUE,MAX($ER$2:ER236)+1,0)</f>
        <v>0</v>
      </c>
      <c r="ES237" s="48" t="str">
        <f t="shared" ca="1" si="460"/>
        <v/>
      </c>
      <c r="ET237" s="48" t="str">
        <f ca="1">IFERROR(INDEX($ER$3:$ES$400,MATCH(ROWS($ET$3:ET237),$ER$3:$ER$400,0),2),"")</f>
        <v/>
      </c>
      <c r="EV237" s="48">
        <f ca="1">IFERROR(INDEX(LIBRO_GIORNALE!$O$11:$P$408,MATCH(ROWS($EV$2:EV236),LIBRO_GIORNALE!$P$11:$P$408,0),1),0)</f>
        <v>0</v>
      </c>
      <c r="EW237" s="48" t="str">
        <f t="shared" ca="1" si="461"/>
        <v>0</v>
      </c>
      <c r="EX237" s="48">
        <f t="shared" ca="1" si="462"/>
        <v>0</v>
      </c>
      <c r="EY237" s="48">
        <f ca="1">IF(EX237&gt;0,MAX($EY$2:EY236)+1,0)</f>
        <v>0</v>
      </c>
      <c r="EZ237" s="48">
        <f ca="1">IFERROR(INDEX($EX$3:$EX$400,MATCH(ROWS($EZ$3:EZ237),$EY$3:$EY$400,0),1),0)</f>
        <v>0</v>
      </c>
      <c r="FA237" s="48">
        <f ca="1">IF(EZ237&gt;0,0,MAX($FA$2:FA236)+1)</f>
        <v>235</v>
      </c>
      <c r="FB237" s="48">
        <f t="shared" ca="1" si="463"/>
        <v>0</v>
      </c>
      <c r="FC237" s="48">
        <f t="shared" ca="1" si="464"/>
        <v>235</v>
      </c>
      <c r="FD237" s="48">
        <f t="shared" ca="1" si="465"/>
        <v>235</v>
      </c>
      <c r="FE237" s="48">
        <f ca="1">IF(FD237=0,0,MAX($FE$2:FE236)+1)</f>
        <v>235</v>
      </c>
      <c r="FF237" s="48">
        <f ca="1">IFERROR(INDEX($FD$3:$FE$400,MATCH(ROWS($FF$3:FF237),$FE$3:$FE$400,0),1),"")</f>
        <v>235</v>
      </c>
      <c r="FG237" s="48">
        <f t="shared" ca="1" si="519"/>
        <v>0</v>
      </c>
      <c r="FH237" s="48">
        <f t="shared" ca="1" si="466"/>
        <v>0</v>
      </c>
      <c r="FI237" s="48">
        <f ca="1">IF(FH237&lt;&gt;0,MAX($FI$2:FI236)+1,0)</f>
        <v>0</v>
      </c>
      <c r="FJ237" s="48" t="str">
        <f ca="1">IFERROR(INDEX($FH$3:$FI$400,MATCH(ROWS($FJ$3:FJ237),$FI$3:$FI$400,0),1),"")</f>
        <v/>
      </c>
      <c r="FK237" s="48">
        <f ca="1">IF(ABS(SUMIFS(DARE,DEN_G,"="&amp;FJ237,DATA,"&lt;="&amp;FINE_AC,DATA,"&gt;="&amp;INIZIO_A_PC)-SUMIFS(AVERE,DEN_G,"="&amp;FJ237,DATA,"&lt;="&amp;FINE_AC,DATA,"&gt;="&amp;INIZIO_A_PC))&gt;0,MAX($FK$2:FK236)+1,0)</f>
        <v>0</v>
      </c>
      <c r="FL237" s="48" t="str">
        <f ca="1">IF(AND(ROW()-2&lt;&gt;1,ROW()-2&lt;=$FK$1),CONCATENATE(" - ",IFERROR(INDEX($FJ$3:$FK$400,MATCH(ROWS($FL$3:FL237),$FK$3:$FK$400,0),1),"")),IFERROR(INDEX($FJ$3:$FK$400,MATCH(ROWS($FL$3:FL237),$FK$3:$FK$400,0),1),""))</f>
        <v/>
      </c>
      <c r="FM237" s="48">
        <f ca="1">IF(OR(B237="IVA ns/credito",B237="IVA NS/DEBITO",B237="IVA C/ACCONTO",B237="IMPOSTE C/ACCONTO",B237="CREDITI PER RITENUTE SUBITE",B237="CREDITI D'IMPOSTA"),MAX($FM$2:FM236)+1,0)</f>
        <v>0</v>
      </c>
      <c r="FN237" s="48" t="str">
        <f t="shared" ca="1" si="467"/>
        <v/>
      </c>
      <c r="FO237" s="48" t="str">
        <f ca="1">IFERROR(INDEX($FM$3:$FN$400,MATCH(ROWS($FO$3:FO237),$FM$3:$FM$400,0),2),"")</f>
        <v/>
      </c>
      <c r="FP237" s="48">
        <f ca="1">IF(ABS(SUMIFS(DARE,DEN_G,"="&amp;FO237,DATA,"&lt;="&amp;FINE_AC,DATA,"&gt;="&amp;INIZIO_A_PC)-SUMIFS(AVERE,DEN_G,"="&amp;FO237,DATA,"&lt;="&amp;FINE_AC,DATA,"&gt;="&amp;INIZIO_A_PC))&gt;0,MAX($FP$2:FP236)+1,0)</f>
        <v>0</v>
      </c>
      <c r="FQ237" s="48" t="str">
        <f ca="1">IF(AND(ROW()-2&lt;&gt;1,ROW()-2&lt;=$FP$1),CONCATENATE(" - ",IFERROR(INDEX($FO$3:$FP$400,MATCH(ROWS($FQ$3:FQ237),$FP$3:$FP$400,0),1),"")),IFERROR(INDEX($FO$3:$FP$400,MATCH(ROWS($FQ$3:FQ237),$FP$3:$FP$400,0),1),""))</f>
        <v/>
      </c>
    </row>
    <row r="238" spans="1:173" x14ac:dyDescent="0.3">
      <c r="A238" s="48" t="str">
        <f ca="1">IFERROR(IF($A$1=2,INDEX($DH$3:$DN$401,MATCH(ROWS(A$3:A238),$DN$3:$DN$401,0),COLUMN()),IF($A$1=1,INDEX($DQ$3:$DW$401,MATCH(ROWS(A$3:A238),$DW$3:$DW$401,0),COLUMN()),"")),"")</f>
        <v>31.15</v>
      </c>
      <c r="B238" s="48" t="str">
        <f ca="1">IFERROR(IF($A$1=2,INDEX($DH$3:$DN$401,MATCH(ROWS(B$3:B238),$DN$3:$DN$401,0),COLUMN()),IF($A$1=1,INDEX($DQ$3:$DW$400,MATCH(ROWS(B$3:B238),$DW$3:$DW$401,0),COLUMN()),"")),"")</f>
        <v>COMMISSIONI BANCARIE</v>
      </c>
      <c r="C238" s="48" t="str">
        <f ca="1">IFERROR(IF($A$1=2,INDEX($DH$3:$DN$401,MATCH(ROWS(C$3:C238),$DN$3:$DN$401,0),COLUMN()),IF($A$1=1,INDEX($DQ$3:$DW$401,MATCH(ROWS(C$3:C238),$DW$3:$DW$401,0),COLUMN()),"")),"")</f>
        <v>E</v>
      </c>
      <c r="D238" s="48" t="str">
        <f ca="1">IFERROR(IF($A$1=2,INDEX($DH$3:$DN$401,MATCH(ROWS(D$3:D238),$DN$3:$DN$401,0),COLUMN()),IF($A$1=1,INDEX($DQ$3:$DW$401,MATCH(ROWS(D$3:D238),$DW$3:$DW$401,0),COLUMN()),"")),"")</f>
        <v>D</v>
      </c>
      <c r="E238" s="48" t="str">
        <f ca="1">IFERROR(IF($A$1=2,INDEX($DH$3:$DN$401,MATCH(ROWS(E$3:E238),$DN$3:$DN$401,0),COLUMN()),IF($A$1=1,INDEX($DQ$3:$DW$401,MATCH(ROWS(E$3:E238),$DW$3:$DW$401,0),COLUMN()),"")),"")</f>
        <v>COSTI D'ESERCIZIO</v>
      </c>
      <c r="F238" s="48" t="str">
        <f ca="1">IFERROR(IF($A$1=2,INDEX($DH$3:$DN$401,MATCH(ROWS(F$3:F238),$DN$3:$DN$401,0),COLUMN()),IF($A$1=1,INDEX($DQ$3:$DX$401,MATCH(ROWS(F$3:F238),$DW$3:$DW$401,0),COLUMN()),"")),"")</f>
        <v>SE DARE</v>
      </c>
      <c r="G238" s="48" t="str">
        <f t="shared" ca="1" si="433"/>
        <v>SE</v>
      </c>
      <c r="H238" s="48" t="str">
        <f ca="1">IFERROR(IF($A$1=2,INDEX($DH$3:$DO$400,MATCH(ROWS(H$3:H238),$DN$3:$DN$400,0),COLUMN()),IF($A$1=1,INDEX($DQ$3:$DX$400,MATCH(ROWS(H$3:H238),$DW$3:$DW$400,0),COLUMN()),"")),"")</f>
        <v>eb7</v>
      </c>
      <c r="M238" s="48">
        <f ca="1">IFERROR(IF(IF(MID($A238,3,3)=".00",MID(A238,1,2),"")&lt;&gt;"",MAX($M$2:M237)+1,0),"")</f>
        <v>0</v>
      </c>
      <c r="N238" s="48" t="str">
        <f t="shared" ca="1" si="438"/>
        <v/>
      </c>
      <c r="O238" s="48" t="str">
        <f ca="1">IF(IFERROR(INDEX($N$3:$O$300,MATCH(ROWS($O$3:O238),$M$3:$M$300,0),1),"")&lt;&gt;"",CONCATENATE(INDEX($N$3:$O$300,MATCH(ROWS($O$3:O238),$M$3:$M$300,0),1),".00"),"")</f>
        <v/>
      </c>
      <c r="P238" s="48" t="str">
        <f t="shared" ca="1" si="439"/>
        <v/>
      </c>
      <c r="Q238" s="48">
        <f ca="1">IF(M238&gt;=1,0,MAX($Q$2:Q237)+1)</f>
        <v>213</v>
      </c>
      <c r="U238" s="48" t="str">
        <f ca="1">IFERROR(INDEX(PDC,MATCH(ROWS(U$3:U238),$V$3:$V$400,0),2),"")</f>
        <v>AMMORTAMENTO ARREDAMENTO</v>
      </c>
      <c r="V238" s="48">
        <f ca="1">IF(AND($T$1="VISUALIZZA TUTTI I CONTI",AA238&lt;&gt;""),MAX($V$2:V237)+1,IF(AND($U$2=2,AI238=$T$1),MAX($V$2:V237)+1,IF(AND($U$2=1,$T$1=AF238),MAX($V$2:V237)+1,0)))</f>
        <v>236</v>
      </c>
      <c r="AA238" s="48" t="str">
        <f t="shared" ca="1" si="440"/>
        <v>35.00</v>
      </c>
      <c r="AB238" s="48" t="str">
        <f ca="1">IFERROR(INDEX($A$3:$G$400,MATCH(ROWS(AB$3:AB238),$Q$3:$Q$400,0),1),"")</f>
        <v>35.06</v>
      </c>
      <c r="AC238" s="48" t="str">
        <f ca="1">IFERROR(INDEX($A$3:$G$400,MATCH(ROWS($AC$3:AC238),$Q$3:$Q$400,0),2),"")</f>
        <v>AMMORTAMENTO ARREDAMENTO</v>
      </c>
      <c r="AD238" s="48" t="str">
        <f ca="1">IFERROR(INDEX($A$3:$G$400,MATCH(ROWS(AD$3:AD238),$Q$3:$Q$400,0),3),"")</f>
        <v>E</v>
      </c>
      <c r="AE238" s="48" t="str">
        <f ca="1">IFERROR(INDEX($A$3:$G$400,MATCH(ROWS(AE$3:AE238),$Q$3:$Q$400,0),4),"")</f>
        <v>D</v>
      </c>
      <c r="AF238" s="48" t="str">
        <f ca="1">IFERROR(INDEX($A$3:$G$400,MATCH(ROWS(AF$3:AF238),$Q$3:$Q$400,0),5),"")</f>
        <v>COSTI D'ESERCIZIO</v>
      </c>
      <c r="AG238" s="48" t="str">
        <f ca="1">IFERROR(INDEX($A$3:$G$400,MATCH(ROWS(AG$3:AG238),$Q$3:$Q$400,0),6),"")</f>
        <v>SE DARE</v>
      </c>
      <c r="AH238" s="48" t="str">
        <f ca="1">IFERROR(INDEX($A$3:$G$400,MATCH(ROWS(AH$3:AH238),$Q$3:$Q$400,0),7),"")</f>
        <v>SE</v>
      </c>
      <c r="AI238" s="48" t="str">
        <f t="shared" ca="1" si="441"/>
        <v>AMMORTAMENTI IMMOBILIZZAZIONI MATERIALI</v>
      </c>
      <c r="AJ238" s="48" t="str">
        <f ca="1">IFERROR(INDEX($A$3:$H$400,MATCH(ROWS(AJ$3:AJ238),$Q$3:$Q$400,0),8),"")</f>
        <v>eb10a</v>
      </c>
      <c r="AK238" s="48">
        <f t="shared" ca="1" si="417"/>
        <v>0</v>
      </c>
      <c r="AL238" s="48">
        <f t="shared" ca="1" si="515"/>
        <v>0</v>
      </c>
      <c r="AM238" s="48">
        <f t="shared" ca="1" si="516"/>
        <v>0</v>
      </c>
      <c r="AN238" s="48">
        <f t="shared" ca="1" si="517"/>
        <v>0</v>
      </c>
      <c r="AO238" s="48">
        <f t="shared" ca="1" si="518"/>
        <v>0</v>
      </c>
      <c r="AP238" s="48">
        <f t="shared" ca="1" si="518"/>
        <v>0</v>
      </c>
      <c r="AZ238" s="48" t="str">
        <f t="shared" ca="1" si="484"/>
        <v/>
      </c>
      <c r="BA238" s="48">
        <f t="shared" ca="1" si="520"/>
        <v>0</v>
      </c>
      <c r="BB238" s="48">
        <f t="shared" ca="1" si="521"/>
        <v>0</v>
      </c>
      <c r="BC238" s="48">
        <f t="shared" ca="1" si="522"/>
        <v>0</v>
      </c>
      <c r="BD238" s="48">
        <f t="shared" ca="1" si="523"/>
        <v>0</v>
      </c>
      <c r="BE238" s="48">
        <f t="shared" ca="1" si="524"/>
        <v>0</v>
      </c>
      <c r="BF238" s="48">
        <f t="shared" si="485"/>
        <v>38</v>
      </c>
      <c r="BG238" s="48">
        <f ca="1">IF(IF(AND(OR(INDEX(PDC,MATCH($AC238,DEN_PDC,0),6)="SP DARE",INDEX(PDC,MATCH($AC238,DEN_PDC,0),6)="SP DARE/AVERE"),SUMIFS(DARE,DEN_G,$AC238)&gt;=SUMIFS(AVERE,DEN_G,$AC238)),SUMIFS(DARE,DEN_G,$AC238)-SUMIFS(AVERE,DEN_G,$AC238),0)&gt;0,MAX($BG$2:BG237)+1,0)</f>
        <v>0</v>
      </c>
      <c r="BH238" s="48">
        <f ca="1">IF(IF(AND(OR(INDEX(PDC,MATCH($AC238,DEN_PDC,0),6)="SP AVERE",INDEX(PDC,MATCH($AC238,DEN_PDC,0),6)="SP DARE/AVERE"),SUMIFS(AVERE,DEN_G,$AC238)&gt;=SUMIFS(DARE,DEN_G,$AC238)),SUMIFS(AVERE,DEN_G,$AC238)-SUMIFS(DARE,DEN_G,$AC238),0)&gt;0,MAX(BH$2:BH237)+1,0)</f>
        <v>0</v>
      </c>
      <c r="BI238" s="48">
        <f ca="1">IF(IF(AND(OR(INDEX(PDC,MATCH($AC238,DEN_PDC,0),6)="SE DARE",INDEX(PDC,MATCH($AC238,DEN_PDC,0),6)="SE DARE/AVERE"),SUMIFS(DARE,DEN_G,$AC238)&gt;=SUMIFS(AVERE,DEN_G,$AC238)),SUMIFS(DARE,DEN_G,$AC238)-SUMIFS(AVERE,DEN_G,$AC238),0)&gt;0,MAX(BI$2:BI237)+1,0)</f>
        <v>0</v>
      </c>
      <c r="BJ238" s="48">
        <f ca="1">IF(IF(AND(OR(INDEX(PDC,MATCH($AC238,DEN_PDC,0),6)="SE AVERE",INDEX(PDC,MATCH($AC238,DEN_PDC,0),6)="SE DARE/AVERE"),SUMIFS(AVERE,DEN_G,$AC238)&gt;=SUMIFS(DARE,DEN_G,$AC238)),SUMIFS(AVERE,DEN_G,$AC238)-SUMIFS(DARE,DEN_G,$AC238),0)&gt;0,MAX(BJ$2:BJ237)+1,0)</f>
        <v>0</v>
      </c>
      <c r="BK238" s="48" t="str">
        <f ca="1">IF(AND(AND($DY$2=0,$DY$1=0),$I$1=2,ROW()&gt;$BG$1+2,ROW()&lt;=$BG$1+4),"………………..",IF(AND(OR($DY$2&gt;0,$DY$1&gt;0),$I$1=2,ROW()&gt;$BG$1+2,ROW()&lt;=$BG$1+4),"………………..",IFERROR(INDEX($AC$3:$AC$398,MATCH(ROWS(BK$3:BK238),BG$3:BG$398,0),1),"")))</f>
        <v/>
      </c>
      <c r="BL238" s="48">
        <f t="shared" ca="1" si="421"/>
        <v>0</v>
      </c>
      <c r="BM238" s="48" t="str">
        <f ca="1">IF(AND(OR($DY$2=0,$DY$1=0),$I$1=2,ROW()&gt;$BH$1+2,ROW()&lt;=$BH$1+4),"………………..",IF(AND(OR($DY$2&gt;0,$DY$1&gt;0),$I$1=2,ROW()&gt;$BH$1+2,ROW()&lt;=$BH$1+4),"………………..",IFERROR(INDEX($AC$3:$AC$400,MATCH(ROWS(BM$3:BM238),BH$3:BH$400,0),1),"")))</f>
        <v/>
      </c>
      <c r="BN238" s="48">
        <f t="shared" ca="1" si="422"/>
        <v>0</v>
      </c>
      <c r="BO238" s="48" t="str">
        <f ca="1">IF(AND(OR($DY$2=0,$DY$1=0),$I$1=2,ROW()&gt;$BI$1+2,ROW()&lt;=$BI$1+4),"………………..",IF(AND(OR($DY$2&gt;0,$DY$1&gt;0),$I$1=2,ROW()&gt;$BI$1+2,ROW()&lt;=$BI$1+4),"………………..",IFERROR(INDEX($AC$3:$AC$400,MATCH(ROWS(BO$3:BO238),BI$3:BI$400,0),1),"")))</f>
        <v/>
      </c>
      <c r="BP238" s="48">
        <f t="shared" ca="1" si="423"/>
        <v>0</v>
      </c>
      <c r="BQ238" s="48" t="str">
        <f ca="1">IF(AND(OR($DY$2=0,$DY$1=0),$I$1=2,ROW()&gt;$BJ$1+2,ROW()&lt;=$BJ$1+4),"………………..",IF(AND(OR($DY$2&gt;0,$DY$1&gt;0),$I$1=2,ROW()&gt;$BJ$1+2,ROW()&lt;=$BJ$1+4),"………………..",IFERROR(INDEX($AC$3:$AC$400,MATCH(ROWS(BQ$3:BQ238),BJ$3:BJ$400,0),1),"")))</f>
        <v/>
      </c>
      <c r="BR238" s="48">
        <f t="shared" ca="1" si="424"/>
        <v>0</v>
      </c>
      <c r="BS238" s="48">
        <f ca="1">IF(IF(AND(OR(INDEX(PDC,MATCH($AC238,DEN_PDC,0),4)="D",INDEX(PDC,MATCH($AC238,DEN_PDC,0),4)="D/A"),SUMIFS(DARE,DEN_G,$AC238)&gt;=SUMIFS(AVERE,DEN_G,$AC238)),SUMIFS(DARE,DEN_G,$AC238),IF(AND(OR(INDEX(PDC,MATCH($AC238,DEN_PDC,0),4)="A",INDEX(PDC,MATCH($AC238,DEN_PDC,0),4)="D/A"),SUMIFS(AVERE,DEN_G,$AC238)&gt;=SUMIFS(DARE,DEN_G,$AC238)),SUMIFS(AVERE,DEN_G,$AC238),))&gt;0,MAX($BS$2:BS237)+1,0)</f>
        <v>0</v>
      </c>
      <c r="BT238" s="48" t="str">
        <f ca="1">IF($CO$1=0,"",IF(AND($I$1=2,ROW()&gt;$BR$1,ROW()&lt;=$BS$1)," …………….",IF(AND($E$1=1,$BX$1=1,$I$1=2,ROW()=$BQ$1),"TOTALI",IFERROR(INDEX(PDC,MATCH(ROWS(BT$3:BT238),BS$3:BS635,0),2),""))))</f>
        <v/>
      </c>
      <c r="BU238" s="48">
        <f t="shared" ca="1" si="425"/>
        <v>0</v>
      </c>
      <c r="BV238" s="48">
        <f t="shared" ca="1" si="426"/>
        <v>0</v>
      </c>
      <c r="BW238" s="48">
        <f t="shared" ca="1" si="427"/>
        <v>0</v>
      </c>
      <c r="BX238" s="48">
        <f t="shared" ca="1" si="428"/>
        <v>0</v>
      </c>
      <c r="BY238" s="48">
        <f ca="1">IF(OR(BW238&gt;0,BX238&gt;0),MAX($BY$2:BY237)+1,0)</f>
        <v>0</v>
      </c>
      <c r="BZ238" s="48" t="str">
        <f ca="1">IFERROR(INDEX($BT$3:$BY$400,MATCH(ROWS(BZ$3:BZ238),$BY$3:$BY$400,0),1),"")</f>
        <v/>
      </c>
      <c r="CA238" s="48" t="str">
        <f ca="1">IFERROR(INDEX($BT$3:$BY$400,MATCH(ROWS(CA$3:CA238),$BY$3:$BY$400,0),4),"")</f>
        <v/>
      </c>
      <c r="CB238" s="48" t="str">
        <f ca="1">IFERROR(INDEX($BT$3:$BY$400,MATCH(ROWS(CB$3:CB238),$BY$3:$BY$400,0),5),"")</f>
        <v/>
      </c>
      <c r="CC238" s="48" t="str">
        <f t="shared" ca="1" si="429"/>
        <v/>
      </c>
      <c r="CD238" s="48">
        <f ca="1">IF(CE238&lt;&gt;0,MAX($CD$190:CD237)+1,0)</f>
        <v>0</v>
      </c>
      <c r="CE238" s="48">
        <f ca="1">IF(ROUND(SUMIFS(COPIA!$CB$3:$CB$400,COPIA!$CC$3:$CC$400,CF238)-SUMIFS(COPIA!$CA$3:$CA$400,COPIA!$CC$3:$CC$400,CF238),0)&lt;0,0,ROUND(SUMIFS(COPIA!$CB$3:$CB$400,COPIA!$CC$3:$CC$400,CF238)-SUMIFS(COPIA!$CA$3:$CA$400,COPIA!$CC$3:$CC$400,CF238),0))</f>
        <v>0</v>
      </c>
      <c r="CF238" s="48" t="s">
        <v>752</v>
      </c>
      <c r="CG238" s="242" t="s">
        <v>598</v>
      </c>
      <c r="CH238" s="48">
        <f t="shared" ca="1" si="525"/>
        <v>0</v>
      </c>
      <c r="CM238" s="242" t="str">
        <f t="shared" ca="1" si="444"/>
        <v/>
      </c>
      <c r="CN238" s="243">
        <f t="shared" ca="1" si="445"/>
        <v>0</v>
      </c>
      <c r="CO238" s="48" t="str">
        <f t="shared" ca="1" si="446"/>
        <v/>
      </c>
      <c r="CU238" s="48">
        <f ca="1">IF(SUMIFS(AVERE,DEN_G,AC238,AVERE,"&gt;"&amp;0)+SUMIFS(DARE,DEN_G,AC238,DARE,"&gt;"&amp;0)&gt;0,MAX($CU$2:CU237)+1,0)</f>
        <v>0</v>
      </c>
      <c r="CV238" s="48" t="str">
        <f ca="1">IF(IFERROR(INDEX(PDC,MATCH(ROWS($CV$3:CV238),$CU$3:$CU$400,0),2),"")="CONTO DI RISULTATO ECONOMICO","",IFERROR(INDEX(PDC,MATCH(ROWS($CV$3:CV238),$CU$3:$CU$400,0),2),""))</f>
        <v/>
      </c>
      <c r="CW238" s="48">
        <f ca="1">IFERROR(IF(CV238&lt;&gt;"",MAX($CW$2:CW237)+1,0),0)</f>
        <v>0</v>
      </c>
      <c r="CX238" s="48">
        <f t="shared" ref="CX238:CX248" ca="1" si="528">$FF$21</f>
        <v>19</v>
      </c>
      <c r="CY238" s="48" t="str">
        <f t="shared" ca="1" si="527"/>
        <v>MASTRO</v>
      </c>
      <c r="DA238" s="48" t="str">
        <f ca="1">IF(DB237="","","Num. riga")</f>
        <v/>
      </c>
      <c r="DB238" s="48" t="str">
        <f t="shared" ref="DB238" ca="1" si="529">IF(DB237="","","Data")</f>
        <v/>
      </c>
      <c r="DC238" s="48" t="str">
        <f ca="1">IF(DB237="","","Operazioni")</f>
        <v/>
      </c>
      <c r="DD238" s="48" t="str">
        <f ca="1">IF(DB237="","","Dare        ")</f>
        <v/>
      </c>
      <c r="DE238" s="48" t="str">
        <f ca="1">IF(DB237="","","Avere        ")</f>
        <v/>
      </c>
      <c r="DF238" s="48">
        <f ca="1">IF(AND(CX238=$DF$1,CX238&lt;&gt;""),0,IF(AND(DB238&lt;&gt;"",OR(DB237&lt;&gt;"",DB239&lt;&gt;"")),MAX($DF$2:DF237)+1,0))</f>
        <v>0</v>
      </c>
      <c r="DH238" s="249" t="s">
        <v>170</v>
      </c>
      <c r="DI238" s="48" t="s">
        <v>164</v>
      </c>
      <c r="DK238" s="48" t="s">
        <v>298</v>
      </c>
      <c r="DL238" s="48" t="s">
        <v>480</v>
      </c>
      <c r="DM238" s="48" t="s">
        <v>812</v>
      </c>
      <c r="DN238" s="48">
        <f ca="1">IF(DI238&lt;&gt;"",MAX($DN$2:DN237)+1,0)</f>
        <v>182</v>
      </c>
      <c r="DW238" s="48">
        <f>IF(DR238&lt;&gt;"",MAX($DW$2:DW237)+1,0)</f>
        <v>0</v>
      </c>
      <c r="DY238" s="48" t="str">
        <f t="shared" ca="1" si="430"/>
        <v/>
      </c>
      <c r="EL238" s="48">
        <f t="shared" ca="1" si="431"/>
        <v>0</v>
      </c>
      <c r="EM238" s="48">
        <f ca="1">IF(EL238&gt;=0,0,MAX($EM$2:EM237)+1)</f>
        <v>0</v>
      </c>
      <c r="EN238" s="48" t="str">
        <f t="shared" ca="1" si="459"/>
        <v/>
      </c>
      <c r="EO238" s="48" t="str">
        <f ca="1">IFERROR(INDEX($EM$3:$EN$400,MATCH(ROWS($EO$3:EO238),$EM$3:$EM$400,0),2),"")</f>
        <v/>
      </c>
      <c r="EP238" s="48">
        <f>ROW()</f>
        <v>238</v>
      </c>
      <c r="EQ238" s="48">
        <f t="shared" ca="1" si="432"/>
        <v>0</v>
      </c>
      <c r="ER238" s="48">
        <f ca="1">IF(ISNA(EQ238)=TRUE,MAX($ER$2:ER237)+1,0)</f>
        <v>0</v>
      </c>
      <c r="ES238" s="48" t="str">
        <f t="shared" ca="1" si="460"/>
        <v/>
      </c>
      <c r="ET238" s="48" t="str">
        <f ca="1">IFERROR(INDEX($ER$3:$ES$400,MATCH(ROWS($ET$3:ET238),$ER$3:$ER$400,0),2),"")</f>
        <v/>
      </c>
      <c r="EV238" s="48">
        <f ca="1">IFERROR(INDEX(LIBRO_GIORNALE!$O$11:$P$408,MATCH(ROWS($EV$2:EV237),LIBRO_GIORNALE!$P$11:$P$408,0),1),0)</f>
        <v>0</v>
      </c>
      <c r="EW238" s="48" t="str">
        <f t="shared" ca="1" si="461"/>
        <v>0</v>
      </c>
      <c r="EX238" s="48">
        <f t="shared" ca="1" si="462"/>
        <v>0</v>
      </c>
      <c r="EY238" s="48">
        <f ca="1">IF(EX238&gt;0,MAX($EY$2:EY237)+1,0)</f>
        <v>0</v>
      </c>
      <c r="EZ238" s="48">
        <f ca="1">IFERROR(INDEX($EX$3:$EX$400,MATCH(ROWS($EZ$3:EZ238),$EY$3:$EY$400,0),1),0)</f>
        <v>0</v>
      </c>
      <c r="FA238" s="48">
        <f ca="1">IF(EZ238&gt;0,0,MAX($FA$2:FA237)+1)</f>
        <v>236</v>
      </c>
      <c r="FB238" s="48">
        <f t="shared" ca="1" si="463"/>
        <v>0</v>
      </c>
      <c r="FC238" s="48">
        <f t="shared" ca="1" si="464"/>
        <v>236</v>
      </c>
      <c r="FD238" s="48">
        <f t="shared" ca="1" si="465"/>
        <v>236</v>
      </c>
      <c r="FE238" s="48">
        <f ca="1">IF(FD238=0,0,MAX($FE$2:FE237)+1)</f>
        <v>236</v>
      </c>
      <c r="FF238" s="48">
        <f ca="1">IFERROR(INDEX($FD$3:$FE$400,MATCH(ROWS($FF$3:FF238),$FE$3:$FE$400,0),1),"")</f>
        <v>236</v>
      </c>
      <c r="FG238" s="48">
        <f t="shared" ca="1" si="519"/>
        <v>0</v>
      </c>
      <c r="FH238" s="48">
        <f t="shared" ca="1" si="466"/>
        <v>0</v>
      </c>
      <c r="FI238" s="48">
        <f ca="1">IF(FH238&lt;&gt;0,MAX($FI$2:FI237)+1,0)</f>
        <v>0</v>
      </c>
      <c r="FJ238" s="48" t="str">
        <f ca="1">IFERROR(INDEX($FH$3:$FI$400,MATCH(ROWS($FJ$3:FJ238),$FI$3:$FI$400,0),1),"")</f>
        <v/>
      </c>
      <c r="FK238" s="48">
        <f ca="1">IF(ABS(SUMIFS(DARE,DEN_G,"="&amp;FJ238,DATA,"&lt;="&amp;FINE_AC,DATA,"&gt;="&amp;INIZIO_A_PC)-SUMIFS(AVERE,DEN_G,"="&amp;FJ238,DATA,"&lt;="&amp;FINE_AC,DATA,"&gt;="&amp;INIZIO_A_PC))&gt;0,MAX($FK$2:FK237)+1,0)</f>
        <v>0</v>
      </c>
      <c r="FL238" s="48" t="str">
        <f ca="1">IF(AND(ROW()-2&lt;&gt;1,ROW()-2&lt;=$FK$1),CONCATENATE(" - ",IFERROR(INDEX($FJ$3:$FK$400,MATCH(ROWS($FL$3:FL238),$FK$3:$FK$400,0),1),"")),IFERROR(INDEX($FJ$3:$FK$400,MATCH(ROWS($FL$3:FL238),$FK$3:$FK$400,0),1),""))</f>
        <v/>
      </c>
      <c r="FM238" s="48">
        <f ca="1">IF(OR(B238="IVA ns/credito",B238="IVA NS/DEBITO",B238="IVA C/ACCONTO",B238="IMPOSTE C/ACCONTO",B238="CREDITI PER RITENUTE SUBITE",B238="CREDITI D'IMPOSTA"),MAX($FM$2:FM237)+1,0)</f>
        <v>0</v>
      </c>
      <c r="FN238" s="48" t="str">
        <f t="shared" ca="1" si="467"/>
        <v/>
      </c>
      <c r="FO238" s="48" t="str">
        <f ca="1">IFERROR(INDEX($FM$3:$FN$400,MATCH(ROWS($FO$3:FO238),$FM$3:$FM$400,0),2),"")</f>
        <v/>
      </c>
      <c r="FP238" s="48">
        <f ca="1">IF(ABS(SUMIFS(DARE,DEN_G,"="&amp;FO238,DATA,"&lt;="&amp;FINE_AC,DATA,"&gt;="&amp;INIZIO_A_PC)-SUMIFS(AVERE,DEN_G,"="&amp;FO238,DATA,"&lt;="&amp;FINE_AC,DATA,"&gt;="&amp;INIZIO_A_PC))&gt;0,MAX($FP$2:FP237)+1,0)</f>
        <v>0</v>
      </c>
      <c r="FQ238" s="48" t="str">
        <f ca="1">IF(AND(ROW()-2&lt;&gt;1,ROW()-2&lt;=$FP$1),CONCATENATE(" - ",IFERROR(INDEX($FO$3:$FP$400,MATCH(ROWS($FQ$3:FQ238),$FP$3:$FP$400,0),1),"")),IFERROR(INDEX($FO$3:$FP$400,MATCH(ROWS($FQ$3:FQ238),$FP$3:$FP$400,0),1),""))</f>
        <v/>
      </c>
    </row>
    <row r="239" spans="1:173" x14ac:dyDescent="0.3">
      <c r="A239" s="48" t="str">
        <f ca="1">IFERROR(IF($A$1=2,INDEX($DH$3:$DN$401,MATCH(ROWS(A$3:A239),$DN$3:$DN$401,0),COLUMN()),IF($A$1=1,INDEX($DQ$3:$DW$401,MATCH(ROWS(A$3:A239),$DW$3:$DW$401,0),COLUMN()),"")),"")</f>
        <v>31.16</v>
      </c>
      <c r="B239" s="48" t="str">
        <f ca="1">IFERROR(IF($A$1=2,INDEX($DH$3:$DN$401,MATCH(ROWS(B$3:B239),$DN$3:$DN$401,0),COLUMN()),IF($A$1=1,INDEX($DQ$3:$DW$400,MATCH(ROWS(B$3:B239),$DW$3:$DW$401,0),COLUMN()),"")),"")</f>
        <v>COSTI DI TENUTA C/C</v>
      </c>
      <c r="C239" s="48" t="str">
        <f ca="1">IFERROR(IF($A$1=2,INDEX($DH$3:$DN$401,MATCH(ROWS(C$3:C239),$DN$3:$DN$401,0),COLUMN()),IF($A$1=1,INDEX($DQ$3:$DW$401,MATCH(ROWS(C$3:C239),$DW$3:$DW$401,0),COLUMN()),"")),"")</f>
        <v>E</v>
      </c>
      <c r="D239" s="48" t="str">
        <f ca="1">IFERROR(IF($A$1=2,INDEX($DH$3:$DN$401,MATCH(ROWS(D$3:D239),$DN$3:$DN$401,0),COLUMN()),IF($A$1=1,INDEX($DQ$3:$DW$401,MATCH(ROWS(D$3:D239),$DW$3:$DW$401,0),COLUMN()),"")),"")</f>
        <v>D</v>
      </c>
      <c r="E239" s="48" t="str">
        <f ca="1">IFERROR(IF($A$1=2,INDEX($DH$3:$DN$401,MATCH(ROWS(E$3:E239),$DN$3:$DN$401,0),COLUMN()),IF($A$1=1,INDEX($DQ$3:$DW$401,MATCH(ROWS(E$3:E239),$DW$3:$DW$401,0),COLUMN()),"")),"")</f>
        <v>COSTI D'ESERCIZIO</v>
      </c>
      <c r="F239" s="48" t="str">
        <f ca="1">IFERROR(IF($A$1=2,INDEX($DH$3:$DN$401,MATCH(ROWS(F$3:F239),$DN$3:$DN$401,0),COLUMN()),IF($A$1=1,INDEX($DQ$3:$DX$401,MATCH(ROWS(F$3:F239),$DW$3:$DW$401,0),COLUMN()),"")),"")</f>
        <v>SE DARE</v>
      </c>
      <c r="G239" s="48" t="str">
        <f t="shared" ca="1" si="433"/>
        <v>SE</v>
      </c>
      <c r="H239" s="48" t="str">
        <f ca="1">IFERROR(IF($A$1=2,INDEX($DH$3:$DO$400,MATCH(ROWS(H$3:H239),$DN$3:$DN$400,0),COLUMN()),IF($A$1=1,INDEX($DQ$3:$DX$400,MATCH(ROWS(H$3:H239),$DW$3:$DW$400,0),COLUMN()),"")),"")</f>
        <v>eb7</v>
      </c>
      <c r="M239" s="48">
        <f ca="1">IFERROR(IF(IF(MID($A239,3,3)=".00",MID(A239,1,2),"")&lt;&gt;"",MAX($M$2:M238)+1,0),"")</f>
        <v>0</v>
      </c>
      <c r="N239" s="48" t="str">
        <f t="shared" ca="1" si="438"/>
        <v/>
      </c>
      <c r="O239" s="48" t="str">
        <f ca="1">IF(IFERROR(INDEX($N$3:$O$300,MATCH(ROWS($O$3:O239),$M$3:$M$300,0),1),"")&lt;&gt;"",CONCATENATE(INDEX($N$3:$O$300,MATCH(ROWS($O$3:O239),$M$3:$M$300,0),1),".00"),"")</f>
        <v/>
      </c>
      <c r="P239" s="48" t="str">
        <f t="shared" ca="1" si="439"/>
        <v/>
      </c>
      <c r="Q239" s="48">
        <f ca="1">IF(M239&gt;=1,0,MAX($Q$2:Q238)+1)</f>
        <v>214</v>
      </c>
      <c r="U239" s="48" t="str">
        <f ca="1">IFERROR(INDEX(PDC,MATCH(ROWS(U$3:U239),$V$3:$V$400,0),2),"")</f>
        <v>AMMORTAMENTO AUTOMEZZI</v>
      </c>
      <c r="V239" s="48">
        <f ca="1">IF(AND($T$1="VISUALIZZA TUTTI I CONTI",AA239&lt;&gt;""),MAX($V$2:V238)+1,IF(AND($U$2=2,AI239=$T$1),MAX($V$2:V238)+1,IF(AND($U$2=1,$T$1=AF239),MAX($V$2:V238)+1,0)))</f>
        <v>237</v>
      </c>
      <c r="AA239" s="48" t="str">
        <f t="shared" ca="1" si="440"/>
        <v>35.00</v>
      </c>
      <c r="AB239" s="48" t="str">
        <f ca="1">IFERROR(INDEX($A$3:$G$400,MATCH(ROWS(AB$3:AB239),$Q$3:$Q$400,0),1),"")</f>
        <v>35.07</v>
      </c>
      <c r="AC239" s="48" t="str">
        <f ca="1">IFERROR(INDEX($A$3:$G$400,MATCH(ROWS($AC$3:AC239),$Q$3:$Q$400,0),2),"")</f>
        <v>AMMORTAMENTO AUTOMEZZI</v>
      </c>
      <c r="AD239" s="48" t="str">
        <f ca="1">IFERROR(INDEX($A$3:$G$400,MATCH(ROWS(AD$3:AD239),$Q$3:$Q$400,0),3),"")</f>
        <v>E</v>
      </c>
      <c r="AE239" s="48" t="str">
        <f ca="1">IFERROR(INDEX($A$3:$G$400,MATCH(ROWS(AE$3:AE239),$Q$3:$Q$400,0),4),"")</f>
        <v>D</v>
      </c>
      <c r="AF239" s="48" t="str">
        <f ca="1">IFERROR(INDEX($A$3:$G$400,MATCH(ROWS(AF$3:AF239),$Q$3:$Q$400,0),5),"")</f>
        <v>COSTI D'ESERCIZIO</v>
      </c>
      <c r="AG239" s="48" t="str">
        <f ca="1">IFERROR(INDEX($A$3:$G$400,MATCH(ROWS(AG$3:AG239),$Q$3:$Q$400,0),6),"")</f>
        <v>SE DARE</v>
      </c>
      <c r="AH239" s="48" t="str">
        <f ca="1">IFERROR(INDEX($A$3:$G$400,MATCH(ROWS(AH$3:AH239),$Q$3:$Q$400,0),7),"")</f>
        <v>SE</v>
      </c>
      <c r="AI239" s="48" t="str">
        <f t="shared" ca="1" si="441"/>
        <v>AMMORTAMENTI IMMOBILIZZAZIONI MATERIALI</v>
      </c>
      <c r="AJ239" s="48" t="str">
        <f ca="1">IFERROR(INDEX($A$3:$H$400,MATCH(ROWS(AJ$3:AJ239),$Q$3:$Q$400,0),8),"")</f>
        <v>eb10a</v>
      </c>
      <c r="AK239" s="48">
        <f t="shared" ca="1" si="417"/>
        <v>0</v>
      </c>
      <c r="AL239" s="48">
        <f t="shared" ca="1" si="515"/>
        <v>0</v>
      </c>
      <c r="AM239" s="48">
        <f t="shared" ca="1" si="516"/>
        <v>0</v>
      </c>
      <c r="AN239" s="48">
        <f t="shared" ca="1" si="517"/>
        <v>0</v>
      </c>
      <c r="AO239" s="48">
        <f t="shared" ca="1" si="518"/>
        <v>0</v>
      </c>
      <c r="AP239" s="48">
        <f t="shared" ca="1" si="518"/>
        <v>0</v>
      </c>
      <c r="AZ239" s="48" t="str">
        <f t="shared" ca="1" si="484"/>
        <v/>
      </c>
      <c r="BA239" s="48">
        <f t="shared" ca="1" si="520"/>
        <v>0</v>
      </c>
      <c r="BB239" s="48">
        <f t="shared" ca="1" si="521"/>
        <v>0</v>
      </c>
      <c r="BC239" s="48">
        <f t="shared" ca="1" si="522"/>
        <v>0</v>
      </c>
      <c r="BD239" s="48">
        <f t="shared" ca="1" si="523"/>
        <v>0</v>
      </c>
      <c r="BE239" s="48">
        <f t="shared" ca="1" si="524"/>
        <v>0</v>
      </c>
      <c r="BF239" s="48">
        <f t="shared" si="485"/>
        <v>39</v>
      </c>
      <c r="BG239" s="48">
        <f ca="1">IF(IF(AND(OR(INDEX(PDC,MATCH($AC239,DEN_PDC,0),6)="SP DARE",INDEX(PDC,MATCH($AC239,DEN_PDC,0),6)="SP DARE/AVERE"),SUMIFS(DARE,DEN_G,$AC239)&gt;=SUMIFS(AVERE,DEN_G,$AC239)),SUMIFS(DARE,DEN_G,$AC239)-SUMIFS(AVERE,DEN_G,$AC239),0)&gt;0,MAX($BG$2:BG238)+1,0)</f>
        <v>0</v>
      </c>
      <c r="BH239" s="48">
        <f ca="1">IF(IF(AND(OR(INDEX(PDC,MATCH($AC239,DEN_PDC,0),6)="SP AVERE",INDEX(PDC,MATCH($AC239,DEN_PDC,0),6)="SP DARE/AVERE"),SUMIFS(AVERE,DEN_G,$AC239)&gt;=SUMIFS(DARE,DEN_G,$AC239)),SUMIFS(AVERE,DEN_G,$AC239)-SUMIFS(DARE,DEN_G,$AC239),0)&gt;0,MAX(BH$2:BH238)+1,0)</f>
        <v>0</v>
      </c>
      <c r="BI239" s="48">
        <f ca="1">IF(IF(AND(OR(INDEX(PDC,MATCH($AC239,DEN_PDC,0),6)="SE DARE",INDEX(PDC,MATCH($AC239,DEN_PDC,0),6)="SE DARE/AVERE"),SUMIFS(DARE,DEN_G,$AC239)&gt;=SUMIFS(AVERE,DEN_G,$AC239)),SUMIFS(DARE,DEN_G,$AC239)-SUMIFS(AVERE,DEN_G,$AC239),0)&gt;0,MAX(BI$2:BI238)+1,0)</f>
        <v>0</v>
      </c>
      <c r="BJ239" s="48">
        <f ca="1">IF(IF(AND(OR(INDEX(PDC,MATCH($AC239,DEN_PDC,0),6)="SE AVERE",INDEX(PDC,MATCH($AC239,DEN_PDC,0),6)="SE DARE/AVERE"),SUMIFS(AVERE,DEN_G,$AC239)&gt;=SUMIFS(DARE,DEN_G,$AC239)),SUMIFS(AVERE,DEN_G,$AC239)-SUMIFS(DARE,DEN_G,$AC239),0)&gt;0,MAX(BJ$2:BJ238)+1,0)</f>
        <v>0</v>
      </c>
      <c r="BK239" s="48" t="str">
        <f ca="1">IF(AND(AND($DY$2=0,$DY$1=0),$I$1=2,ROW()&gt;$BG$1+2,ROW()&lt;=$BG$1+4),"………………..",IF(AND(OR($DY$2&gt;0,$DY$1&gt;0),$I$1=2,ROW()&gt;$BG$1+2,ROW()&lt;=$BG$1+4),"………………..",IFERROR(INDEX($AC$3:$AC$398,MATCH(ROWS(BK$3:BK239),BG$3:BG$398,0),1),"")))</f>
        <v/>
      </c>
      <c r="BL239" s="48">
        <f t="shared" ca="1" si="421"/>
        <v>0</v>
      </c>
      <c r="BM239" s="48" t="str">
        <f ca="1">IF(AND(OR($DY$2=0,$DY$1=0),$I$1=2,ROW()&gt;$BH$1+2,ROW()&lt;=$BH$1+4),"………………..",IF(AND(OR($DY$2&gt;0,$DY$1&gt;0),$I$1=2,ROW()&gt;$BH$1+2,ROW()&lt;=$BH$1+4),"………………..",IFERROR(INDEX($AC$3:$AC$400,MATCH(ROWS(BM$3:BM239),BH$3:BH$400,0),1),"")))</f>
        <v/>
      </c>
      <c r="BN239" s="48">
        <f t="shared" ca="1" si="422"/>
        <v>0</v>
      </c>
      <c r="BO239" s="48" t="str">
        <f ca="1">IF(AND(OR($DY$2=0,$DY$1=0),$I$1=2,ROW()&gt;$BI$1+2,ROW()&lt;=$BI$1+4),"………………..",IF(AND(OR($DY$2&gt;0,$DY$1&gt;0),$I$1=2,ROW()&gt;$BI$1+2,ROW()&lt;=$BI$1+4),"………………..",IFERROR(INDEX($AC$3:$AC$400,MATCH(ROWS(BO$3:BO239),BI$3:BI$400,0),1),"")))</f>
        <v/>
      </c>
      <c r="BP239" s="48">
        <f t="shared" ca="1" si="423"/>
        <v>0</v>
      </c>
      <c r="BQ239" s="48" t="str">
        <f ca="1">IF(AND(OR($DY$2=0,$DY$1=0),$I$1=2,ROW()&gt;$BJ$1+2,ROW()&lt;=$BJ$1+4),"………………..",IF(AND(OR($DY$2&gt;0,$DY$1&gt;0),$I$1=2,ROW()&gt;$BJ$1+2,ROW()&lt;=$BJ$1+4),"………………..",IFERROR(INDEX($AC$3:$AC$400,MATCH(ROWS(BQ$3:BQ239),BJ$3:BJ$400,0),1),"")))</f>
        <v/>
      </c>
      <c r="BR239" s="48">
        <f t="shared" ca="1" si="424"/>
        <v>0</v>
      </c>
      <c r="BS239" s="48">
        <f ca="1">IF(IF(AND(OR(INDEX(PDC,MATCH($AC239,DEN_PDC,0),4)="D",INDEX(PDC,MATCH($AC239,DEN_PDC,0),4)="D/A"),SUMIFS(DARE,DEN_G,$AC239)&gt;=SUMIFS(AVERE,DEN_G,$AC239)),SUMIFS(DARE,DEN_G,$AC239),IF(AND(OR(INDEX(PDC,MATCH($AC239,DEN_PDC,0),4)="A",INDEX(PDC,MATCH($AC239,DEN_PDC,0),4)="D/A"),SUMIFS(AVERE,DEN_G,$AC239)&gt;=SUMIFS(DARE,DEN_G,$AC239)),SUMIFS(AVERE,DEN_G,$AC239),))&gt;0,MAX($BS$2:BS238)+1,0)</f>
        <v>0</v>
      </c>
      <c r="BT239" s="48" t="str">
        <f ca="1">IF($CO$1=0,"",IF(AND($I$1=2,ROW()&gt;$BR$1,ROW()&lt;=$BS$1)," …………….",IF(AND($E$1=1,$BX$1=1,$I$1=2,ROW()=$BQ$1),"TOTALI",IFERROR(INDEX(PDC,MATCH(ROWS(BT$3:BT239),BS$3:BS636,0),2),""))))</f>
        <v/>
      </c>
      <c r="BU239" s="48">
        <f t="shared" ca="1" si="425"/>
        <v>0</v>
      </c>
      <c r="BV239" s="48">
        <f t="shared" ca="1" si="426"/>
        <v>0</v>
      </c>
      <c r="BW239" s="48">
        <f t="shared" ca="1" si="427"/>
        <v>0</v>
      </c>
      <c r="BX239" s="48">
        <f t="shared" ca="1" si="428"/>
        <v>0</v>
      </c>
      <c r="BY239" s="48">
        <f ca="1">IF(OR(BW239&gt;0,BX239&gt;0),MAX($BY$2:BY238)+1,0)</f>
        <v>0</v>
      </c>
      <c r="BZ239" s="48" t="str">
        <f ca="1">IFERROR(INDEX($BT$3:$BY$400,MATCH(ROWS(BZ$3:BZ239),$BY$3:$BY$400,0),1),"")</f>
        <v/>
      </c>
      <c r="CA239" s="48" t="str">
        <f ca="1">IFERROR(INDEX($BT$3:$BY$400,MATCH(ROWS(CA$3:CA239),$BY$3:$BY$400,0),4),"")</f>
        <v/>
      </c>
      <c r="CB239" s="48" t="str">
        <f ca="1">IFERROR(INDEX($BT$3:$BY$400,MATCH(ROWS(CB$3:CB239),$BY$3:$BY$400,0),5),"")</f>
        <v/>
      </c>
      <c r="CC239" s="48" t="str">
        <f t="shared" ca="1" si="429"/>
        <v/>
      </c>
      <c r="CD239" s="48">
        <f ca="1">IF(CE239&lt;&gt;0,MAX($CD$190:CD238)+1,0)</f>
        <v>0</v>
      </c>
      <c r="CE239" s="48">
        <f ca="1">IF(SUM(CE240:CE243)&lt;0,"a",0)</f>
        <v>0</v>
      </c>
      <c r="CG239" s="242" t="s">
        <v>599</v>
      </c>
      <c r="CM239" s="242" t="str">
        <f t="shared" ca="1" si="444"/>
        <v/>
      </c>
      <c r="CN239" s="243">
        <f t="shared" ca="1" si="445"/>
        <v>0</v>
      </c>
      <c r="CO239" s="48" t="str">
        <f t="shared" ca="1" si="446"/>
        <v/>
      </c>
      <c r="CU239" s="48">
        <f ca="1">IF(SUMIFS(AVERE,DEN_G,AC239,AVERE,"&gt;"&amp;0)+SUMIFS(DARE,DEN_G,AC239,DARE,"&gt;"&amp;0)&gt;0,MAX($CU$2:CU238)+1,0)</f>
        <v>0</v>
      </c>
      <c r="CV239" s="48" t="str">
        <f ca="1">IF(IFERROR(INDEX(PDC,MATCH(ROWS($CV$3:CV239),$CU$3:$CU$400,0),2),"")="CONTO DI RISULTATO ECONOMICO","",IFERROR(INDEX(PDC,MATCH(ROWS($CV$3:CV239),$CU$3:$CU$400,0),2),""))</f>
        <v/>
      </c>
      <c r="CW239" s="48">
        <f ca="1">IFERROR(IF(CV239&lt;&gt;"",MAX($CW$2:CW238)+1,0),0)</f>
        <v>0</v>
      </c>
      <c r="CX239" s="48">
        <f t="shared" ca="1" si="528"/>
        <v>19</v>
      </c>
      <c r="CY239" s="48" t="str">
        <f t="shared" ca="1" si="527"/>
        <v>MASTRO</v>
      </c>
      <c r="CZ239" s="48" t="e">
        <f t="shared" ref="CZ239:CZ248" ca="1" si="530">SUM(MATCH($CY239,INDIRECT(ADDRESS(SUM(CZ238)+3,54)&amp;":"&amp;ADDRESS(400,54)),0),CZ238)</f>
        <v>#N/A</v>
      </c>
      <c r="DA239" s="48" t="str">
        <f ca="1">IFERROR(INDEX(LIBRO_GIORNALE,CZ239,1),"")</f>
        <v/>
      </c>
      <c r="DB239" s="48" t="str">
        <f t="shared" ca="1" si="499"/>
        <v/>
      </c>
      <c r="DC239" s="48" t="str">
        <f t="shared" ref="DC239:DC248" ca="1" si="531">IF(IFERROR(INDEX(LIBRO_GIORNALE,CZ239,4),"")=0,"manca la descrizione dell'operazione",IFERROR(INDEX(LIBRO_GIORNALE,CZ239,4),""))</f>
        <v/>
      </c>
      <c r="DD239" s="48" t="str">
        <f t="shared" ref="DD239:DD248" ca="1" si="532">IFERROR(IF(INDEX(LIBRO_GIORNALE,CZ239,5)&gt;0,INDEX(LIBRO_GIORNALE,CZ239,5),""),"")</f>
        <v/>
      </c>
      <c r="DE239" s="48" t="str">
        <f t="shared" ref="DE239:DE248" ca="1" si="533">IFERROR(IF(INDEX(LIBRO_GIORNALE,CZ239,6)&gt;0,INDEX(LIBRO_GIORNALE,CZ239,6),""),"")</f>
        <v/>
      </c>
      <c r="DF239" s="48">
        <f ca="1">IF(AND(CX239=$DF$1,CX239&lt;&gt;""),0,IF(AND(DB239&lt;&gt;"",OR(DB238&lt;&gt;"",DB240&lt;&gt;"")),MAX($DF$2:DF238)+1,0))</f>
        <v>0</v>
      </c>
      <c r="DH239" s="249" t="s">
        <v>171</v>
      </c>
      <c r="DI239" s="48" t="s">
        <v>165</v>
      </c>
      <c r="DK239" s="48" t="s">
        <v>275</v>
      </c>
      <c r="DL239" s="48" t="s">
        <v>480</v>
      </c>
      <c r="DM239" s="48" t="s">
        <v>812</v>
      </c>
      <c r="DN239" s="48">
        <f ca="1">IF(DI239&lt;&gt;"",MAX($DN$2:DN238)+1,0)</f>
        <v>183</v>
      </c>
      <c r="DQ239" s="227" t="s">
        <v>173</v>
      </c>
      <c r="DR239" s="228" t="s">
        <v>696</v>
      </c>
      <c r="DW239" s="48">
        <f ca="1">IF(DR239&lt;&gt;"",MAX($DW$2:DW238)+1,0)</f>
        <v>138</v>
      </c>
      <c r="DY239" s="48" t="str">
        <f t="shared" ca="1" si="430"/>
        <v/>
      </c>
      <c r="EL239" s="48">
        <f t="shared" ca="1" si="431"/>
        <v>0</v>
      </c>
      <c r="EM239" s="48">
        <f ca="1">IF(EL239&gt;=0,0,MAX($EM$2:EM238)+1)</f>
        <v>0</v>
      </c>
      <c r="EN239" s="48" t="str">
        <f t="shared" ca="1" si="459"/>
        <v/>
      </c>
      <c r="EO239" s="48" t="str">
        <f ca="1">IFERROR(INDEX($EM$3:$EN$400,MATCH(ROWS($EO$3:EO239),$EM$3:$EM$400,0),2),"")</f>
        <v/>
      </c>
      <c r="EP239" s="48">
        <f>ROW()</f>
        <v>239</v>
      </c>
      <c r="EQ239" s="48">
        <f t="shared" ca="1" si="432"/>
        <v>0</v>
      </c>
      <c r="ER239" s="48">
        <f ca="1">IF(ISNA(EQ239)=TRUE,MAX($ER$2:ER238)+1,0)</f>
        <v>0</v>
      </c>
      <c r="ES239" s="48" t="str">
        <f t="shared" ca="1" si="460"/>
        <v/>
      </c>
      <c r="ET239" s="48" t="str">
        <f ca="1">IFERROR(INDEX($ER$3:$ES$400,MATCH(ROWS($ET$3:ET239),$ER$3:$ER$400,0),2),"")</f>
        <v/>
      </c>
      <c r="EV239" s="48">
        <f ca="1">IFERROR(INDEX(LIBRO_GIORNALE!$O$11:$P$408,MATCH(ROWS($EV$2:EV238),LIBRO_GIORNALE!$P$11:$P$408,0),1),0)</f>
        <v>0</v>
      </c>
      <c r="EW239" s="48" t="str">
        <f t="shared" ca="1" si="461"/>
        <v>0</v>
      </c>
      <c r="EX239" s="48">
        <f t="shared" ca="1" si="462"/>
        <v>0</v>
      </c>
      <c r="EY239" s="48">
        <f ca="1">IF(EX239&gt;0,MAX($EY$2:EY238)+1,0)</f>
        <v>0</v>
      </c>
      <c r="EZ239" s="48">
        <f ca="1">IFERROR(INDEX($EX$3:$EX$400,MATCH(ROWS($EZ$3:EZ239),$EY$3:$EY$400,0),1),0)</f>
        <v>0</v>
      </c>
      <c r="FA239" s="48">
        <f ca="1">IF(EZ239&gt;0,0,MAX($FA$2:FA238)+1)</f>
        <v>237</v>
      </c>
      <c r="FB239" s="48">
        <f t="shared" ca="1" si="463"/>
        <v>0</v>
      </c>
      <c r="FC239" s="48">
        <f t="shared" ca="1" si="464"/>
        <v>237</v>
      </c>
      <c r="FD239" s="48">
        <f t="shared" ca="1" si="465"/>
        <v>237</v>
      </c>
      <c r="FE239" s="48">
        <f ca="1">IF(FD239=0,0,MAX($FE$2:FE238)+1)</f>
        <v>237</v>
      </c>
      <c r="FF239" s="48">
        <f ca="1">IFERROR(INDEX($FD$3:$FE$400,MATCH(ROWS($FF$3:FF239),$FE$3:$FE$400,0),1),"")</f>
        <v>237</v>
      </c>
      <c r="FG239" s="48">
        <f t="shared" ca="1" si="519"/>
        <v>0</v>
      </c>
      <c r="FH239" s="48">
        <f t="shared" ca="1" si="466"/>
        <v>0</v>
      </c>
      <c r="FI239" s="48">
        <f ca="1">IF(FH239&lt;&gt;0,MAX($FI$2:FI238)+1,0)</f>
        <v>0</v>
      </c>
      <c r="FJ239" s="48" t="str">
        <f ca="1">IFERROR(INDEX($FH$3:$FI$400,MATCH(ROWS($FJ$3:FJ239),$FI$3:$FI$400,0),1),"")</f>
        <v/>
      </c>
      <c r="FK239" s="48">
        <f ca="1">IF(ABS(SUMIFS(DARE,DEN_G,"="&amp;FJ239,DATA,"&lt;="&amp;FINE_AC,DATA,"&gt;="&amp;INIZIO_A_PC)-SUMIFS(AVERE,DEN_G,"="&amp;FJ239,DATA,"&lt;="&amp;FINE_AC,DATA,"&gt;="&amp;INIZIO_A_PC))&gt;0,MAX($FK$2:FK238)+1,0)</f>
        <v>0</v>
      </c>
      <c r="FL239" s="48" t="str">
        <f ca="1">IF(AND(ROW()-2&lt;&gt;1,ROW()-2&lt;=$FK$1),CONCATENATE(" - ",IFERROR(INDEX($FJ$3:$FK$400,MATCH(ROWS($FL$3:FL239),$FK$3:$FK$400,0),1),"")),IFERROR(INDEX($FJ$3:$FK$400,MATCH(ROWS($FL$3:FL239),$FK$3:$FK$400,0),1),""))</f>
        <v/>
      </c>
      <c r="FM239" s="48">
        <f ca="1">IF(OR(B239="IVA ns/credito",B239="IVA NS/DEBITO",B239="IVA C/ACCONTO",B239="IMPOSTE C/ACCONTO",B239="CREDITI PER RITENUTE SUBITE",B239="CREDITI D'IMPOSTA"),MAX($FM$2:FM238)+1,0)</f>
        <v>0</v>
      </c>
      <c r="FN239" s="48" t="str">
        <f t="shared" ca="1" si="467"/>
        <v/>
      </c>
      <c r="FO239" s="48" t="str">
        <f ca="1">IFERROR(INDEX($FM$3:$FN$400,MATCH(ROWS($FO$3:FO239),$FM$3:$FM$400,0),2),"")</f>
        <v/>
      </c>
      <c r="FP239" s="48">
        <f ca="1">IF(ABS(SUMIFS(DARE,DEN_G,"="&amp;FO239,DATA,"&lt;="&amp;FINE_AC,DATA,"&gt;="&amp;INIZIO_A_PC)-SUMIFS(AVERE,DEN_G,"="&amp;FO239,DATA,"&lt;="&amp;FINE_AC,DATA,"&gt;="&amp;INIZIO_A_PC))&gt;0,MAX($FP$2:FP238)+1,0)</f>
        <v>0</v>
      </c>
      <c r="FQ239" s="48" t="str">
        <f ca="1">IF(AND(ROW()-2&lt;&gt;1,ROW()-2&lt;=$FP$1),CONCATENATE(" - ",IFERROR(INDEX($FO$3:$FP$400,MATCH(ROWS($FQ$3:FQ239),$FP$3:$FP$400,0),1),"")),IFERROR(INDEX($FO$3:$FP$400,MATCH(ROWS($FQ$3:FQ239),$FP$3:$FP$400,0),1),""))</f>
        <v/>
      </c>
    </row>
    <row r="240" spans="1:173" x14ac:dyDescent="0.3">
      <c r="A240" s="48" t="str">
        <f ca="1">IFERROR(IF($A$1=2,INDEX($DH$3:$DN$401,MATCH(ROWS(A$3:A240),$DN$3:$DN$401,0),COLUMN()),IF($A$1=1,INDEX($DQ$3:$DW$401,MATCH(ROWS(A$3:A240),$DW$3:$DW$401,0),COLUMN()),"")),"")</f>
        <v>31.17</v>
      </c>
      <c r="B240" s="48" t="str">
        <f ca="1">IFERROR(IF($A$1=2,INDEX($DH$3:$DN$401,MATCH(ROWS(B$3:B240),$DN$3:$DN$401,0),COLUMN()),IF($A$1=1,INDEX($DQ$3:$DW$400,MATCH(ROWS(B$3:B240),$DW$3:$DW$401,0),COLUMN()),"")),"")</f>
        <v>ONERI DI FACTORING</v>
      </c>
      <c r="C240" s="48" t="str">
        <f ca="1">IFERROR(IF($A$1=2,INDEX($DH$3:$DN$401,MATCH(ROWS(C$3:C240),$DN$3:$DN$401,0),COLUMN()),IF($A$1=1,INDEX($DQ$3:$DW$401,MATCH(ROWS(C$3:C240),$DW$3:$DW$401,0),COLUMN()),"")),"")</f>
        <v>E</v>
      </c>
      <c r="D240" s="48" t="str">
        <f ca="1">IFERROR(IF($A$1=2,INDEX($DH$3:$DN$401,MATCH(ROWS(D$3:D240),$DN$3:$DN$401,0),COLUMN()),IF($A$1=1,INDEX($DQ$3:$DW$401,MATCH(ROWS(D$3:D240),$DW$3:$DW$401,0),COLUMN()),"")),"")</f>
        <v>D</v>
      </c>
      <c r="E240" s="48" t="str">
        <f ca="1">IFERROR(IF($A$1=2,INDEX($DH$3:$DN$401,MATCH(ROWS(E$3:E240),$DN$3:$DN$401,0),COLUMN()),IF($A$1=1,INDEX($DQ$3:$DW$401,MATCH(ROWS(E$3:E240),$DW$3:$DW$401,0),COLUMN()),"")),"")</f>
        <v>COSTI D'ESERCIZIO</v>
      </c>
      <c r="F240" s="48" t="str">
        <f ca="1">IFERROR(IF($A$1=2,INDEX($DH$3:$DN$401,MATCH(ROWS(F$3:F240),$DN$3:$DN$401,0),COLUMN()),IF($A$1=1,INDEX($DQ$3:$DX$401,MATCH(ROWS(F$3:F240),$DW$3:$DW$401,0),COLUMN()),"")),"")</f>
        <v>SE DARE</v>
      </c>
      <c r="G240" s="48" t="str">
        <f t="shared" ca="1" si="433"/>
        <v>SE</v>
      </c>
      <c r="H240" s="48" t="str">
        <f ca="1">IFERROR(IF($A$1=2,INDEX($DH$3:$DO$400,MATCH(ROWS(H$3:H240),$DN$3:$DN$400,0),COLUMN()),IF($A$1=1,INDEX($DQ$3:$DX$400,MATCH(ROWS(H$3:H240),$DW$3:$DW$400,0),COLUMN()),"")),"")</f>
        <v>eb7</v>
      </c>
      <c r="M240" s="48">
        <f ca="1">IFERROR(IF(IF(MID($A240,3,3)=".00",MID(A240,1,2),"")&lt;&gt;"",MAX($M$2:M239)+1,0),"")</f>
        <v>0</v>
      </c>
      <c r="N240" s="48" t="str">
        <f t="shared" ca="1" si="438"/>
        <v/>
      </c>
      <c r="O240" s="48" t="str">
        <f ca="1">IF(IFERROR(INDEX($N$3:$O$300,MATCH(ROWS($O$3:O240),$M$3:$M$300,0),1),"")&lt;&gt;"",CONCATENATE(INDEX($N$3:$O$300,MATCH(ROWS($O$3:O240),$M$3:$M$300,0),1),".00"),"")</f>
        <v/>
      </c>
      <c r="P240" s="48" t="str">
        <f t="shared" ca="1" si="439"/>
        <v/>
      </c>
      <c r="Q240" s="48">
        <f ca="1">IF(M240&gt;=1,0,MAX($Q$2:Q239)+1)</f>
        <v>215</v>
      </c>
      <c r="U240" s="48" t="str">
        <f ca="1">IFERROR(INDEX(PDC,MATCH(ROWS(U$3:U240),$V$3:$V$400,0),2),"")</f>
        <v>AMMORTAMENTO IMBALLAGGI DUREVOLI</v>
      </c>
      <c r="V240" s="48">
        <f ca="1">IF(AND($T$1="VISUALIZZA TUTTI I CONTI",AA240&lt;&gt;""),MAX($V$2:V239)+1,IF(AND($U$2=2,AI240=$T$1),MAX($V$2:V239)+1,IF(AND($U$2=1,$T$1=AF240),MAX($V$2:V239)+1,0)))</f>
        <v>238</v>
      </c>
      <c r="AA240" s="48" t="str">
        <f t="shared" ca="1" si="440"/>
        <v>35.00</v>
      </c>
      <c r="AB240" s="48" t="str">
        <f ca="1">IFERROR(INDEX($A$3:$G$400,MATCH(ROWS(AB$3:AB240),$Q$3:$Q$400,0),1),"")</f>
        <v>35.08</v>
      </c>
      <c r="AC240" s="48" t="str">
        <f ca="1">IFERROR(INDEX($A$3:$G$400,MATCH(ROWS($AC$3:AC240),$Q$3:$Q$400,0),2),"")</f>
        <v>AMMORTAMENTO IMBALLAGGI DUREVOLI</v>
      </c>
      <c r="AD240" s="48" t="str">
        <f ca="1">IFERROR(INDEX($A$3:$G$400,MATCH(ROWS(AD$3:AD240),$Q$3:$Q$400,0),3),"")</f>
        <v>E</v>
      </c>
      <c r="AE240" s="48" t="str">
        <f ca="1">IFERROR(INDEX($A$3:$G$400,MATCH(ROWS(AE$3:AE240),$Q$3:$Q$400,0),4),"")</f>
        <v>D</v>
      </c>
      <c r="AF240" s="48" t="str">
        <f ca="1">IFERROR(INDEX($A$3:$G$400,MATCH(ROWS(AF$3:AF240),$Q$3:$Q$400,0),5),"")</f>
        <v>COSTI D'ESERCIZIO</v>
      </c>
      <c r="AG240" s="48" t="str">
        <f ca="1">IFERROR(INDEX($A$3:$G$400,MATCH(ROWS(AG$3:AG240),$Q$3:$Q$400,0),6),"")</f>
        <v>SE DARE</v>
      </c>
      <c r="AH240" s="48" t="str">
        <f ca="1">IFERROR(INDEX($A$3:$G$400,MATCH(ROWS(AH$3:AH240),$Q$3:$Q$400,0),7),"")</f>
        <v>SE</v>
      </c>
      <c r="AI240" s="48" t="str">
        <f t="shared" ca="1" si="441"/>
        <v>AMMORTAMENTI IMMOBILIZZAZIONI MATERIALI</v>
      </c>
      <c r="AJ240" s="48" t="str">
        <f ca="1">IFERROR(INDEX($A$3:$H$400,MATCH(ROWS(AJ$3:AJ240),$Q$3:$Q$400,0),8),"")</f>
        <v>eb10a</v>
      </c>
      <c r="AK240" s="48">
        <f t="shared" ca="1" si="417"/>
        <v>0</v>
      </c>
      <c r="AL240" s="48">
        <f t="shared" ca="1" si="515"/>
        <v>0</v>
      </c>
      <c r="AM240" s="48">
        <f t="shared" ca="1" si="516"/>
        <v>0</v>
      </c>
      <c r="AN240" s="48">
        <f t="shared" ca="1" si="517"/>
        <v>0</v>
      </c>
      <c r="AO240" s="48">
        <f t="shared" ca="1" si="518"/>
        <v>0</v>
      </c>
      <c r="AP240" s="48">
        <f t="shared" ca="1" si="518"/>
        <v>0</v>
      </c>
      <c r="AZ240" s="48" t="str">
        <f t="shared" ca="1" si="484"/>
        <v/>
      </c>
      <c r="BA240" s="48">
        <f t="shared" ca="1" si="520"/>
        <v>0</v>
      </c>
      <c r="BB240" s="48">
        <f t="shared" ca="1" si="521"/>
        <v>0</v>
      </c>
      <c r="BC240" s="48">
        <f t="shared" ca="1" si="522"/>
        <v>0</v>
      </c>
      <c r="BD240" s="48">
        <f t="shared" ca="1" si="523"/>
        <v>0</v>
      </c>
      <c r="BE240" s="48">
        <f t="shared" ca="1" si="524"/>
        <v>0</v>
      </c>
      <c r="BF240" s="48">
        <f t="shared" si="485"/>
        <v>40</v>
      </c>
      <c r="BG240" s="48">
        <f ca="1">IF(IF(AND(OR(INDEX(PDC,MATCH($AC240,DEN_PDC,0),6)="SP DARE",INDEX(PDC,MATCH($AC240,DEN_PDC,0),6)="SP DARE/AVERE"),SUMIFS(DARE,DEN_G,$AC240)&gt;=SUMIFS(AVERE,DEN_G,$AC240)),SUMIFS(DARE,DEN_G,$AC240)-SUMIFS(AVERE,DEN_G,$AC240),0)&gt;0,MAX($BG$2:BG239)+1,0)</f>
        <v>0</v>
      </c>
      <c r="BH240" s="48">
        <f ca="1">IF(IF(AND(OR(INDEX(PDC,MATCH($AC240,DEN_PDC,0),6)="SP AVERE",INDEX(PDC,MATCH($AC240,DEN_PDC,0),6)="SP DARE/AVERE"),SUMIFS(AVERE,DEN_G,$AC240)&gt;=SUMIFS(DARE,DEN_G,$AC240)),SUMIFS(AVERE,DEN_G,$AC240)-SUMIFS(DARE,DEN_G,$AC240),0)&gt;0,MAX(BH$2:BH239)+1,0)</f>
        <v>0</v>
      </c>
      <c r="BI240" s="48">
        <f ca="1">IF(IF(AND(OR(INDEX(PDC,MATCH($AC240,DEN_PDC,0),6)="SE DARE",INDEX(PDC,MATCH($AC240,DEN_PDC,0),6)="SE DARE/AVERE"),SUMIFS(DARE,DEN_G,$AC240)&gt;=SUMIFS(AVERE,DEN_G,$AC240)),SUMIFS(DARE,DEN_G,$AC240)-SUMIFS(AVERE,DEN_G,$AC240),0)&gt;0,MAX(BI$2:BI239)+1,0)</f>
        <v>0</v>
      </c>
      <c r="BJ240" s="48">
        <f ca="1">IF(IF(AND(OR(INDEX(PDC,MATCH($AC240,DEN_PDC,0),6)="SE AVERE",INDEX(PDC,MATCH($AC240,DEN_PDC,0),6)="SE DARE/AVERE"),SUMIFS(AVERE,DEN_G,$AC240)&gt;=SUMIFS(DARE,DEN_G,$AC240)),SUMIFS(AVERE,DEN_G,$AC240)-SUMIFS(DARE,DEN_G,$AC240),0)&gt;0,MAX(BJ$2:BJ239)+1,0)</f>
        <v>0</v>
      </c>
      <c r="BK240" s="48" t="str">
        <f ca="1">IF(AND(AND($DY$2=0,$DY$1=0),$I$1=2,ROW()&gt;$BG$1+2,ROW()&lt;=$BG$1+4),"………………..",IF(AND(OR($DY$2&gt;0,$DY$1&gt;0),$I$1=2,ROW()&gt;$BG$1+2,ROW()&lt;=$BG$1+4),"………………..",IFERROR(INDEX($AC$3:$AC$398,MATCH(ROWS(BK$3:BK240),BG$3:BG$398,0),1),"")))</f>
        <v/>
      </c>
      <c r="BL240" s="48">
        <f t="shared" ca="1" si="421"/>
        <v>0</v>
      </c>
      <c r="BM240" s="48" t="str">
        <f ca="1">IF(AND(OR($DY$2=0,$DY$1=0),$I$1=2,ROW()&gt;$BH$1+2,ROW()&lt;=$BH$1+4),"………………..",IF(AND(OR($DY$2&gt;0,$DY$1&gt;0),$I$1=2,ROW()&gt;$BH$1+2,ROW()&lt;=$BH$1+4),"………………..",IFERROR(INDEX($AC$3:$AC$400,MATCH(ROWS(BM$3:BM240),BH$3:BH$400,0),1),"")))</f>
        <v/>
      </c>
      <c r="BN240" s="48">
        <f t="shared" ca="1" si="422"/>
        <v>0</v>
      </c>
      <c r="BO240" s="48" t="str">
        <f ca="1">IF(AND(OR($DY$2=0,$DY$1=0),$I$1=2,ROW()&gt;$BI$1+2,ROW()&lt;=$BI$1+4),"………………..",IF(AND(OR($DY$2&gt;0,$DY$1&gt;0),$I$1=2,ROW()&gt;$BI$1+2,ROW()&lt;=$BI$1+4),"………………..",IFERROR(INDEX($AC$3:$AC$400,MATCH(ROWS(BO$3:BO240),BI$3:BI$400,0),1),"")))</f>
        <v/>
      </c>
      <c r="BP240" s="48">
        <f t="shared" ca="1" si="423"/>
        <v>0</v>
      </c>
      <c r="BQ240" s="48" t="str">
        <f ca="1">IF(AND(OR($DY$2=0,$DY$1=0),$I$1=2,ROW()&gt;$BJ$1+2,ROW()&lt;=$BJ$1+4),"………………..",IF(AND(OR($DY$2&gt;0,$DY$1&gt;0),$I$1=2,ROW()&gt;$BJ$1+2,ROW()&lt;=$BJ$1+4),"………………..",IFERROR(INDEX($AC$3:$AC$400,MATCH(ROWS(BQ$3:BQ240),BJ$3:BJ$400,0),1),"")))</f>
        <v/>
      </c>
      <c r="BR240" s="48">
        <f t="shared" ca="1" si="424"/>
        <v>0</v>
      </c>
      <c r="BS240" s="48">
        <f ca="1">IF(IF(AND(OR(INDEX(PDC,MATCH($AC240,DEN_PDC,0),4)="D",INDEX(PDC,MATCH($AC240,DEN_PDC,0),4)="D/A"),SUMIFS(DARE,DEN_G,$AC240)&gt;=SUMIFS(AVERE,DEN_G,$AC240)),SUMIFS(DARE,DEN_G,$AC240),IF(AND(OR(INDEX(PDC,MATCH($AC240,DEN_PDC,0),4)="A",INDEX(PDC,MATCH($AC240,DEN_PDC,0),4)="D/A"),SUMIFS(AVERE,DEN_G,$AC240)&gt;=SUMIFS(DARE,DEN_G,$AC240)),SUMIFS(AVERE,DEN_G,$AC240),))&gt;0,MAX($BS$2:BS239)+1,0)</f>
        <v>0</v>
      </c>
      <c r="BT240" s="48" t="str">
        <f ca="1">IF($CO$1=0,"",IF(AND($I$1=2,ROW()&gt;$BR$1,ROW()&lt;=$BS$1)," …………….",IF(AND($E$1=1,$BX$1=1,$I$1=2,ROW()=$BQ$1),"TOTALI",IFERROR(INDEX(PDC,MATCH(ROWS(BT$3:BT240),BS$3:BS637,0),2),""))))</f>
        <v/>
      </c>
      <c r="BU240" s="48">
        <f t="shared" ca="1" si="425"/>
        <v>0</v>
      </c>
      <c r="BV240" s="48">
        <f t="shared" ca="1" si="426"/>
        <v>0</v>
      </c>
      <c r="BW240" s="48">
        <f t="shared" ca="1" si="427"/>
        <v>0</v>
      </c>
      <c r="BX240" s="48">
        <f t="shared" ca="1" si="428"/>
        <v>0</v>
      </c>
      <c r="BY240" s="48">
        <f ca="1">IF(OR(BW240&gt;0,BX240&gt;0),MAX($BY$2:BY239)+1,0)</f>
        <v>0</v>
      </c>
      <c r="BZ240" s="48" t="str">
        <f ca="1">IFERROR(INDEX($BT$3:$BY$400,MATCH(ROWS(BZ$3:BZ240),$BY$3:$BY$400,0),1),"")</f>
        <v/>
      </c>
      <c r="CA240" s="48" t="str">
        <f ca="1">IFERROR(INDEX($BT$3:$BY$400,MATCH(ROWS(CA$3:CA240),$BY$3:$BY$400,0),4),"")</f>
        <v/>
      </c>
      <c r="CB240" s="48" t="str">
        <f ca="1">IFERROR(INDEX($BT$3:$BY$400,MATCH(ROWS(CB$3:CB240),$BY$3:$BY$400,0),5),"")</f>
        <v/>
      </c>
      <c r="CC240" s="48" t="str">
        <f t="shared" ca="1" si="429"/>
        <v/>
      </c>
      <c r="CD240" s="48">
        <f ca="1">IF(CE240&lt;&gt;0,MAX($CD$190:CD239)+1,0)</f>
        <v>0</v>
      </c>
      <c r="CE240" s="48">
        <f ca="1">IF(ROUND(SUMIFS(COPIA!$CA$3:$CA$400,COPIA!$CC$3:$CC$400,CF240)-SUMIFS(COPIA!$CB$3:$CB$400,COPIA!$CC$3:$CC$400,CF240),0)&lt;0,0,-ROUND(SUMIFS(COPIA!$CA$3:$CA$400,COPIA!$CC$3:$CC$400,CF240)-SUMIFS(COPIA!$CB$3:$CB$400,COPIA!$CC$3:$CC$400,CF240),0))</f>
        <v>0</v>
      </c>
      <c r="CF240" s="48" t="s">
        <v>731</v>
      </c>
      <c r="CG240" s="242" t="s">
        <v>966</v>
      </c>
      <c r="CH240" s="48">
        <f t="shared" ref="CH240:CH246" ca="1" si="534">CE240</f>
        <v>0</v>
      </c>
      <c r="CM240" s="242" t="str">
        <f t="shared" ca="1" si="444"/>
        <v/>
      </c>
      <c r="CN240" s="243">
        <f t="shared" ca="1" si="445"/>
        <v>0</v>
      </c>
      <c r="CO240" s="48" t="str">
        <f t="shared" ca="1" si="446"/>
        <v/>
      </c>
      <c r="CU240" s="48">
        <f ca="1">IF(SUMIFS(AVERE,DEN_G,AC240,AVERE,"&gt;"&amp;0)+SUMIFS(DARE,DEN_G,AC240,DARE,"&gt;"&amp;0)&gt;0,MAX($CU$2:CU239)+1,0)</f>
        <v>0</v>
      </c>
      <c r="CV240" s="48" t="str">
        <f ca="1">IF(IFERROR(INDEX(PDC,MATCH(ROWS($CV$3:CV240),$CU$3:$CU$400,0),2),"")="CONTO DI RISULTATO ECONOMICO","",IFERROR(INDEX(PDC,MATCH(ROWS($CV$3:CV240),$CU$3:$CU$400,0),2),""))</f>
        <v/>
      </c>
      <c r="CW240" s="48">
        <f ca="1">IFERROR(IF(CV240&lt;&gt;"",MAX($CW$2:CW239)+1,0),0)</f>
        <v>0</v>
      </c>
      <c r="CX240" s="48">
        <f t="shared" ca="1" si="528"/>
        <v>19</v>
      </c>
      <c r="CY240" s="48" t="str">
        <f t="shared" ca="1" si="527"/>
        <v>MASTRO</v>
      </c>
      <c r="CZ240" s="48" t="e">
        <f t="shared" ca="1" si="530"/>
        <v>#N/A</v>
      </c>
      <c r="DA240" s="48" t="str">
        <f t="shared" ref="DA240:DA248" ca="1" si="535">IFERROR(INDEX(LIBRO_GIORNALE,CZ240,1),"")</f>
        <v/>
      </c>
      <c r="DB240" s="48" t="str">
        <f t="shared" ca="1" si="499"/>
        <v/>
      </c>
      <c r="DC240" s="48" t="str">
        <f t="shared" ca="1" si="531"/>
        <v/>
      </c>
      <c r="DD240" s="48" t="str">
        <f t="shared" ca="1" si="532"/>
        <v/>
      </c>
      <c r="DE240" s="48" t="str">
        <f t="shared" ca="1" si="533"/>
        <v/>
      </c>
      <c r="DF240" s="48">
        <f ca="1">IF(AND(CX240=$DF$1,CX240&lt;&gt;""),0,IF(AND(DB240&lt;&gt;"",OR(DB239&lt;&gt;"",DB241&lt;&gt;"")),MAX($DF$2:DF239)+1,0))</f>
        <v>0</v>
      </c>
      <c r="DH240" s="249" t="s">
        <v>172</v>
      </c>
      <c r="DI240" s="48" t="s">
        <v>166</v>
      </c>
      <c r="DK240" s="48" t="s">
        <v>298</v>
      </c>
      <c r="DL240" s="48" t="s">
        <v>480</v>
      </c>
      <c r="DM240" s="48" t="s">
        <v>812</v>
      </c>
      <c r="DN240" s="48">
        <f ca="1">IF(DI240&lt;&gt;"",MAX($DN$2:DN239)+1,0)</f>
        <v>184</v>
      </c>
      <c r="DQ240" s="227" t="s">
        <v>180</v>
      </c>
      <c r="DR240" s="48" t="s">
        <v>174</v>
      </c>
      <c r="DS240" s="48" t="s">
        <v>311</v>
      </c>
      <c r="DT240" s="48" t="s">
        <v>298</v>
      </c>
      <c r="DU240" s="48" t="s">
        <v>8</v>
      </c>
      <c r="DV240" s="48" t="s">
        <v>300</v>
      </c>
      <c r="DW240" s="48">
        <f ca="1">IF(DR240&lt;&gt;"",MAX($DW$2:DW239)+1,0)</f>
        <v>139</v>
      </c>
      <c r="DX240" s="48" t="s">
        <v>701</v>
      </c>
      <c r="DY240" s="48" t="str">
        <f t="shared" ca="1" si="430"/>
        <v/>
      </c>
      <c r="EL240" s="48">
        <f t="shared" ca="1" si="431"/>
        <v>0</v>
      </c>
      <c r="EM240" s="48">
        <f ca="1">IF(EL240&gt;=0,0,MAX($EM$2:EM239)+1)</f>
        <v>0</v>
      </c>
      <c r="EN240" s="48" t="str">
        <f t="shared" ca="1" si="459"/>
        <v/>
      </c>
      <c r="EO240" s="48" t="str">
        <f ca="1">IFERROR(INDEX($EM$3:$EN$400,MATCH(ROWS($EO$3:EO240),$EM$3:$EM$400,0),2),"")</f>
        <v/>
      </c>
      <c r="EP240" s="48">
        <f>ROW()</f>
        <v>240</v>
      </c>
      <c r="EQ240" s="48">
        <f t="shared" ca="1" si="432"/>
        <v>0</v>
      </c>
      <c r="ER240" s="48">
        <f ca="1">IF(ISNA(EQ240)=TRUE,MAX($ER$2:ER239)+1,0)</f>
        <v>0</v>
      </c>
      <c r="ES240" s="48" t="str">
        <f t="shared" ca="1" si="460"/>
        <v/>
      </c>
      <c r="ET240" s="48" t="str">
        <f ca="1">IFERROR(INDEX($ER$3:$ES$400,MATCH(ROWS($ET$3:ET240),$ER$3:$ER$400,0),2),"")</f>
        <v/>
      </c>
      <c r="EV240" s="48">
        <f ca="1">IFERROR(INDEX(LIBRO_GIORNALE!$O$11:$P$408,MATCH(ROWS($EV$2:EV239),LIBRO_GIORNALE!$P$11:$P$408,0),1),0)</f>
        <v>0</v>
      </c>
      <c r="EW240" s="48" t="str">
        <f t="shared" ca="1" si="461"/>
        <v>0</v>
      </c>
      <c r="EX240" s="48">
        <f t="shared" ca="1" si="462"/>
        <v>0</v>
      </c>
      <c r="EY240" s="48">
        <f ca="1">IF(EX240&gt;0,MAX($EY$2:EY239)+1,0)</f>
        <v>0</v>
      </c>
      <c r="EZ240" s="48">
        <f ca="1">IFERROR(INDEX($EX$3:$EX$400,MATCH(ROWS($EZ$3:EZ240),$EY$3:$EY$400,0),1),0)</f>
        <v>0</v>
      </c>
      <c r="FA240" s="48">
        <f ca="1">IF(EZ240&gt;0,0,MAX($FA$2:FA239)+1)</f>
        <v>238</v>
      </c>
      <c r="FB240" s="48">
        <f t="shared" ca="1" si="463"/>
        <v>0</v>
      </c>
      <c r="FC240" s="48">
        <f t="shared" ca="1" si="464"/>
        <v>238</v>
      </c>
      <c r="FD240" s="48">
        <f t="shared" ca="1" si="465"/>
        <v>238</v>
      </c>
      <c r="FE240" s="48">
        <f ca="1">IF(FD240=0,0,MAX($FE$2:FE239)+1)</f>
        <v>238</v>
      </c>
      <c r="FF240" s="48">
        <f ca="1">IFERROR(INDEX($FD$3:$FE$400,MATCH(ROWS($FF$3:FF240),$FE$3:$FE$400,0),1),"")</f>
        <v>238</v>
      </c>
      <c r="FG240" s="48">
        <f t="shared" ca="1" si="519"/>
        <v>0</v>
      </c>
      <c r="FH240" s="48">
        <f t="shared" ca="1" si="466"/>
        <v>0</v>
      </c>
      <c r="FI240" s="48">
        <f ca="1">IF(FH240&lt;&gt;0,MAX($FI$2:FI239)+1,0)</f>
        <v>0</v>
      </c>
      <c r="FJ240" s="48" t="str">
        <f ca="1">IFERROR(INDEX($FH$3:$FI$400,MATCH(ROWS($FJ$3:FJ240),$FI$3:$FI$400,0),1),"")</f>
        <v/>
      </c>
      <c r="FK240" s="48">
        <f ca="1">IF(ABS(SUMIFS(DARE,DEN_G,"="&amp;FJ240,DATA,"&lt;="&amp;FINE_AC,DATA,"&gt;="&amp;INIZIO_A_PC)-SUMIFS(AVERE,DEN_G,"="&amp;FJ240,DATA,"&lt;="&amp;FINE_AC,DATA,"&gt;="&amp;INIZIO_A_PC))&gt;0,MAX($FK$2:FK239)+1,0)</f>
        <v>0</v>
      </c>
      <c r="FL240" s="48" t="str">
        <f ca="1">IF(AND(ROW()-2&lt;&gt;1,ROW()-2&lt;=$FK$1),CONCATENATE(" - ",IFERROR(INDEX($FJ$3:$FK$400,MATCH(ROWS($FL$3:FL240),$FK$3:$FK$400,0),1),"")),IFERROR(INDEX($FJ$3:$FK$400,MATCH(ROWS($FL$3:FL240),$FK$3:$FK$400,0),1),""))</f>
        <v/>
      </c>
      <c r="FM240" s="48">
        <f ca="1">IF(OR(B240="IVA ns/credito",B240="IVA NS/DEBITO",B240="IVA C/ACCONTO",B240="IMPOSTE C/ACCONTO",B240="CREDITI PER RITENUTE SUBITE",B240="CREDITI D'IMPOSTA"),MAX($FM$2:FM239)+1,0)</f>
        <v>0</v>
      </c>
      <c r="FN240" s="48" t="str">
        <f t="shared" ca="1" si="467"/>
        <v/>
      </c>
      <c r="FO240" s="48" t="str">
        <f ca="1">IFERROR(INDEX($FM$3:$FN$400,MATCH(ROWS($FO$3:FO240),$FM$3:$FM$400,0),2),"")</f>
        <v/>
      </c>
      <c r="FP240" s="48">
        <f ca="1">IF(ABS(SUMIFS(DARE,DEN_G,"="&amp;FO240,DATA,"&lt;="&amp;FINE_AC,DATA,"&gt;="&amp;INIZIO_A_PC)-SUMIFS(AVERE,DEN_G,"="&amp;FO240,DATA,"&lt;="&amp;FINE_AC,DATA,"&gt;="&amp;INIZIO_A_PC))&gt;0,MAX($FP$2:FP239)+1,0)</f>
        <v>0</v>
      </c>
      <c r="FQ240" s="48" t="str">
        <f ca="1">IF(AND(ROW()-2&lt;&gt;1,ROW()-2&lt;=$FP$1),CONCATENATE(" - ",IFERROR(INDEX($FO$3:$FP$400,MATCH(ROWS($FQ$3:FQ240),$FP$3:$FP$400,0),1),"")),IFERROR(INDEX($FO$3:$FP$400,MATCH(ROWS($FQ$3:FQ240),$FP$3:$FP$400,0),1),""))</f>
        <v/>
      </c>
    </row>
    <row r="241" spans="1:173" x14ac:dyDescent="0.3">
      <c r="A241" s="48" t="str">
        <f ca="1">IFERROR(IF($A$1=2,INDEX($DH$3:$DN$401,MATCH(ROWS(A$3:A241),$DN$3:$DN$401,0),COLUMN()),IF($A$1=1,INDEX($DQ$3:$DW$401,MATCH(ROWS(A$3:A241),$DW$3:$DW$401,0),COLUMN()),"")),"")</f>
        <v>31.70</v>
      </c>
      <c r="B241" s="48" t="str">
        <f ca="1">IFERROR(IF($A$1=2,INDEX($DH$3:$DN$401,MATCH(ROWS(B$3:B241),$DN$3:$DN$401,0),COLUMN()),IF($A$1=1,INDEX($DQ$3:$DW$400,MATCH(ROWS(B$3:B241),$DW$3:$DW$401,0),COLUMN()),"")),"")</f>
        <v>COMPETENZE AMMINISTRATORI</v>
      </c>
      <c r="C241" s="48" t="str">
        <f ca="1">IFERROR(IF($A$1=2,INDEX($DH$3:$DN$401,MATCH(ROWS(C$3:C241),$DN$3:$DN$401,0),COLUMN()),IF($A$1=1,INDEX($DQ$3:$DW$401,MATCH(ROWS(C$3:C241),$DW$3:$DW$401,0),COLUMN()),"")),"")</f>
        <v>E</v>
      </c>
      <c r="D241" s="48" t="str">
        <f ca="1">IFERROR(IF($A$1=2,INDEX($DH$3:$DN$401,MATCH(ROWS(D$3:D241),$DN$3:$DN$401,0),COLUMN()),IF($A$1=1,INDEX($DQ$3:$DW$401,MATCH(ROWS(D$3:D241),$DW$3:$DW$401,0),COLUMN()),"")),"")</f>
        <v>D</v>
      </c>
      <c r="E241" s="48" t="str">
        <f ca="1">IFERROR(IF($A$1=2,INDEX($DH$3:$DN$401,MATCH(ROWS(E$3:E241),$DN$3:$DN$401,0),COLUMN()),IF($A$1=1,INDEX($DQ$3:$DW$401,MATCH(ROWS(E$3:E241),$DW$3:$DW$401,0),COLUMN()),"")),"")</f>
        <v>COSTI D'ESERCIZIO</v>
      </c>
      <c r="F241" s="48" t="str">
        <f ca="1">IFERROR(IF($A$1=2,INDEX($DH$3:$DN$401,MATCH(ROWS(F$3:F241),$DN$3:$DN$401,0),COLUMN()),IF($A$1=1,INDEX($DQ$3:$DX$401,MATCH(ROWS(F$3:F241),$DW$3:$DW$401,0),COLUMN()),"")),"")</f>
        <v>SE DARE</v>
      </c>
      <c r="G241" s="48" t="str">
        <f t="shared" ca="1" si="433"/>
        <v>SE</v>
      </c>
      <c r="H241" s="48" t="str">
        <f ca="1">IFERROR(IF($A$1=2,INDEX($DH$3:$DO$400,MATCH(ROWS(H$3:H241),$DN$3:$DN$400,0),COLUMN()),IF($A$1=1,INDEX($DQ$3:$DX$400,MATCH(ROWS(H$3:H241),$DW$3:$DW$400,0),COLUMN()),"")),"")</f>
        <v>eb7</v>
      </c>
      <c r="M241" s="48">
        <f ca="1">IFERROR(IF(IF(MID($A241,3,3)=".00",MID(A241,1,2),"")&lt;&gt;"",MAX($M$2:M240)+1,0),"")</f>
        <v>0</v>
      </c>
      <c r="N241" s="48" t="str">
        <f t="shared" ca="1" si="438"/>
        <v/>
      </c>
      <c r="O241" s="48" t="str">
        <f ca="1">IF(IFERROR(INDEX($N$3:$O$300,MATCH(ROWS($O$3:O241),$M$3:$M$300,0),1),"")&lt;&gt;"",CONCATENATE(INDEX($N$3:$O$300,MATCH(ROWS($O$3:O241),$M$3:$M$300,0),1),".00"),"")</f>
        <v/>
      </c>
      <c r="P241" s="48" t="str">
        <f t="shared" ca="1" si="439"/>
        <v/>
      </c>
      <c r="Q241" s="48">
        <f ca="1">IF(M241&gt;=1,0,MAX($Q$2:Q240)+1)</f>
        <v>216</v>
      </c>
      <c r="U241" s="48" t="str">
        <f ca="1">IFERROR(INDEX(PDC,MATCH(ROWS(U$3:U241),$V$3:$V$400,0),2),"")</f>
        <v>SVALUTAZIONE TERRENI E FABBRICATI</v>
      </c>
      <c r="V241" s="48">
        <f ca="1">IF(AND($T$1="VISUALIZZA TUTTI I CONTI",AA241&lt;&gt;""),MAX($V$2:V240)+1,IF(AND($U$2=2,AI241=$T$1),MAX($V$2:V240)+1,IF(AND($U$2=1,$T$1=AF241),MAX($V$2:V240)+1,0)))</f>
        <v>239</v>
      </c>
      <c r="AA241" s="48" t="str">
        <f t="shared" ca="1" si="440"/>
        <v>36.00</v>
      </c>
      <c r="AB241" s="48" t="str">
        <f ca="1">IFERROR(INDEX($A$3:$G$400,MATCH(ROWS(AB$3:AB241),$Q$3:$Q$400,0),1),"")</f>
        <v>36.01</v>
      </c>
      <c r="AC241" s="48" t="str">
        <f ca="1">IFERROR(INDEX($A$3:$G$400,MATCH(ROWS($AC$3:AC241),$Q$3:$Q$400,0),2),"")</f>
        <v>SVALUTAZIONE TERRENI E FABBRICATI</v>
      </c>
      <c r="AD241" s="48" t="str">
        <f ca="1">IFERROR(INDEX($A$3:$G$400,MATCH(ROWS(AD$3:AD241),$Q$3:$Q$400,0),3),"")</f>
        <v>E</v>
      </c>
      <c r="AE241" s="48" t="str">
        <f ca="1">IFERROR(INDEX($A$3:$G$400,MATCH(ROWS(AE$3:AE241),$Q$3:$Q$400,0),4),"")</f>
        <v>D</v>
      </c>
      <c r="AF241" s="48" t="str">
        <f ca="1">IFERROR(INDEX($A$3:$G$400,MATCH(ROWS(AF$3:AF241),$Q$3:$Q$400,0),5),"")</f>
        <v>COSTI D'ESERCIZIO</v>
      </c>
      <c r="AG241" s="48" t="str">
        <f ca="1">IFERROR(INDEX($A$3:$G$400,MATCH(ROWS(AG$3:AG241),$Q$3:$Q$400,0),6),"")</f>
        <v>SE DARE</v>
      </c>
      <c r="AH241" s="48" t="str">
        <f ca="1">IFERROR(INDEX($A$3:$G$400,MATCH(ROWS(AH$3:AH241),$Q$3:$Q$400,0),7),"")</f>
        <v>SE</v>
      </c>
      <c r="AI241" s="48" t="str">
        <f t="shared" ca="1" si="441"/>
        <v>SVALUTAZIONI</v>
      </c>
      <c r="AJ241" s="48" t="str">
        <f ca="1">IFERROR(INDEX($A$3:$H$400,MATCH(ROWS(AJ$3:AJ241),$Q$3:$Q$400,0),8),"")</f>
        <v>eb10a</v>
      </c>
      <c r="AK241" s="48">
        <f t="shared" ca="1" si="417"/>
        <v>0</v>
      </c>
      <c r="AL241" s="48">
        <f t="shared" ca="1" si="515"/>
        <v>0</v>
      </c>
      <c r="AM241" s="48">
        <f t="shared" ca="1" si="516"/>
        <v>0</v>
      </c>
      <c r="AN241" s="48">
        <f t="shared" ca="1" si="517"/>
        <v>0</v>
      </c>
      <c r="AO241" s="48">
        <f t="shared" ca="1" si="518"/>
        <v>0</v>
      </c>
      <c r="AP241" s="48">
        <f t="shared" ca="1" si="518"/>
        <v>0</v>
      </c>
      <c r="AZ241" s="48" t="str">
        <f t="shared" ca="1" si="484"/>
        <v/>
      </c>
      <c r="BA241" s="48">
        <f t="shared" ca="1" si="520"/>
        <v>0</v>
      </c>
      <c r="BB241" s="48">
        <f t="shared" ca="1" si="521"/>
        <v>0</v>
      </c>
      <c r="BC241" s="48">
        <f t="shared" ca="1" si="522"/>
        <v>0</v>
      </c>
      <c r="BD241" s="48">
        <f t="shared" ca="1" si="523"/>
        <v>0</v>
      </c>
      <c r="BE241" s="48">
        <f t="shared" ca="1" si="524"/>
        <v>0</v>
      </c>
      <c r="BF241" s="48">
        <f t="shared" si="485"/>
        <v>41</v>
      </c>
      <c r="BG241" s="48">
        <f ca="1">IF(IF(AND(OR(INDEX(PDC,MATCH($AC241,DEN_PDC,0),6)="SP DARE",INDEX(PDC,MATCH($AC241,DEN_PDC,0),6)="SP DARE/AVERE"),SUMIFS(DARE,DEN_G,$AC241)&gt;=SUMIFS(AVERE,DEN_G,$AC241)),SUMIFS(DARE,DEN_G,$AC241)-SUMIFS(AVERE,DEN_G,$AC241),0)&gt;0,MAX($BG$2:BG240)+1,0)</f>
        <v>0</v>
      </c>
      <c r="BH241" s="48">
        <f ca="1">IF(IF(AND(OR(INDEX(PDC,MATCH($AC241,DEN_PDC,0),6)="SP AVERE",INDEX(PDC,MATCH($AC241,DEN_PDC,0),6)="SP DARE/AVERE"),SUMIFS(AVERE,DEN_G,$AC241)&gt;=SUMIFS(DARE,DEN_G,$AC241)),SUMIFS(AVERE,DEN_G,$AC241)-SUMIFS(DARE,DEN_G,$AC241),0)&gt;0,MAX(BH$2:BH240)+1,0)</f>
        <v>0</v>
      </c>
      <c r="BI241" s="48">
        <f ca="1">IF(IF(AND(OR(INDEX(PDC,MATCH($AC241,DEN_PDC,0),6)="SE DARE",INDEX(PDC,MATCH($AC241,DEN_PDC,0),6)="SE DARE/AVERE"),SUMIFS(DARE,DEN_G,$AC241)&gt;=SUMIFS(AVERE,DEN_G,$AC241)),SUMIFS(DARE,DEN_G,$AC241)-SUMIFS(AVERE,DEN_G,$AC241),0)&gt;0,MAX(BI$2:BI240)+1,0)</f>
        <v>0</v>
      </c>
      <c r="BJ241" s="48">
        <f ca="1">IF(IF(AND(OR(INDEX(PDC,MATCH($AC241,DEN_PDC,0),6)="SE AVERE",INDEX(PDC,MATCH($AC241,DEN_PDC,0),6)="SE DARE/AVERE"),SUMIFS(AVERE,DEN_G,$AC241)&gt;=SUMIFS(DARE,DEN_G,$AC241)),SUMIFS(AVERE,DEN_G,$AC241)-SUMIFS(DARE,DEN_G,$AC241),0)&gt;0,MAX(BJ$2:BJ240)+1,0)</f>
        <v>0</v>
      </c>
      <c r="BK241" s="48" t="str">
        <f ca="1">IF(AND(AND($DY$2=0,$DY$1=0),$I$1=2,ROW()&gt;$BG$1+2,ROW()&lt;=$BG$1+4),"………………..",IF(AND(OR($DY$2&gt;0,$DY$1&gt;0),$I$1=2,ROW()&gt;$BG$1+2,ROW()&lt;=$BG$1+4),"………………..",IFERROR(INDEX($AC$3:$AC$398,MATCH(ROWS(BK$3:BK241),BG$3:BG$398,0),1),"")))</f>
        <v/>
      </c>
      <c r="BL241" s="48">
        <f t="shared" ca="1" si="421"/>
        <v>0</v>
      </c>
      <c r="BM241" s="48" t="str">
        <f ca="1">IF(AND(OR($DY$2=0,$DY$1=0),$I$1=2,ROW()&gt;$BH$1+2,ROW()&lt;=$BH$1+4),"………………..",IF(AND(OR($DY$2&gt;0,$DY$1&gt;0),$I$1=2,ROW()&gt;$BH$1+2,ROW()&lt;=$BH$1+4),"………………..",IFERROR(INDEX($AC$3:$AC$400,MATCH(ROWS(BM$3:BM241),BH$3:BH$400,0),1),"")))</f>
        <v/>
      </c>
      <c r="BN241" s="48">
        <f t="shared" ca="1" si="422"/>
        <v>0</v>
      </c>
      <c r="BO241" s="48" t="str">
        <f ca="1">IF(AND(OR($DY$2=0,$DY$1=0),$I$1=2,ROW()&gt;$BI$1+2,ROW()&lt;=$BI$1+4),"………………..",IF(AND(OR($DY$2&gt;0,$DY$1&gt;0),$I$1=2,ROW()&gt;$BI$1+2,ROW()&lt;=$BI$1+4),"………………..",IFERROR(INDEX($AC$3:$AC$400,MATCH(ROWS(BO$3:BO241),BI$3:BI$400,0),1),"")))</f>
        <v/>
      </c>
      <c r="BP241" s="48">
        <f t="shared" ca="1" si="423"/>
        <v>0</v>
      </c>
      <c r="BQ241" s="48" t="str">
        <f ca="1">IF(AND(OR($DY$2=0,$DY$1=0),$I$1=2,ROW()&gt;$BJ$1+2,ROW()&lt;=$BJ$1+4),"………………..",IF(AND(OR($DY$2&gt;0,$DY$1&gt;0),$I$1=2,ROW()&gt;$BJ$1+2,ROW()&lt;=$BJ$1+4),"………………..",IFERROR(INDEX($AC$3:$AC$400,MATCH(ROWS(BQ$3:BQ241),BJ$3:BJ$400,0),1),"")))</f>
        <v/>
      </c>
      <c r="BR241" s="48">
        <f t="shared" ca="1" si="424"/>
        <v>0</v>
      </c>
      <c r="BS241" s="48">
        <f ca="1">IF(IF(AND(OR(INDEX(PDC,MATCH($AC241,DEN_PDC,0),4)="D",INDEX(PDC,MATCH($AC241,DEN_PDC,0),4)="D/A"),SUMIFS(DARE,DEN_G,$AC241)&gt;=SUMIFS(AVERE,DEN_G,$AC241)),SUMIFS(DARE,DEN_G,$AC241),IF(AND(OR(INDEX(PDC,MATCH($AC241,DEN_PDC,0),4)="A",INDEX(PDC,MATCH($AC241,DEN_PDC,0),4)="D/A"),SUMIFS(AVERE,DEN_G,$AC241)&gt;=SUMIFS(DARE,DEN_G,$AC241)),SUMIFS(AVERE,DEN_G,$AC241),))&gt;0,MAX($BS$2:BS240)+1,0)</f>
        <v>0</v>
      </c>
      <c r="BT241" s="48" t="str">
        <f ca="1">IF($CO$1=0,"",IF(AND($I$1=2,ROW()&gt;$BR$1,ROW()&lt;=$BS$1)," …………….",IF(AND($E$1=1,$BX$1=1,$I$1=2,ROW()=$BQ$1),"TOTALI",IFERROR(INDEX(PDC,MATCH(ROWS(BT$3:BT241),BS$3:BS638,0),2),""))))</f>
        <v/>
      </c>
      <c r="BU241" s="48">
        <f t="shared" ca="1" si="425"/>
        <v>0</v>
      </c>
      <c r="BV241" s="48">
        <f t="shared" ca="1" si="426"/>
        <v>0</v>
      </c>
      <c r="BW241" s="48">
        <f t="shared" ca="1" si="427"/>
        <v>0</v>
      </c>
      <c r="BX241" s="48">
        <f t="shared" ca="1" si="428"/>
        <v>0</v>
      </c>
      <c r="BY241" s="48">
        <f ca="1">IF(OR(BW241&gt;0,BX241&gt;0),MAX($BY$2:BY240)+1,0)</f>
        <v>0</v>
      </c>
      <c r="BZ241" s="48" t="str">
        <f ca="1">IFERROR(INDEX($BT$3:$BY$400,MATCH(ROWS(BZ$3:BZ241),$BY$3:$BY$400,0),1),"")</f>
        <v/>
      </c>
      <c r="CA241" s="48" t="str">
        <f ca="1">IFERROR(INDEX($BT$3:$BY$400,MATCH(ROWS(CA$3:CA241),$BY$3:$BY$400,0),4),"")</f>
        <v/>
      </c>
      <c r="CB241" s="48" t="str">
        <f ca="1">IFERROR(INDEX($BT$3:$BY$400,MATCH(ROWS(CB$3:CB241),$BY$3:$BY$400,0),5),"")</f>
        <v/>
      </c>
      <c r="CC241" s="48" t="str">
        <f t="shared" ca="1" si="429"/>
        <v/>
      </c>
      <c r="CD241" s="48">
        <f ca="1">IF(CE241&lt;&gt;0,MAX($CD$190:CD240)+1,0)</f>
        <v>0</v>
      </c>
      <c r="CE241" s="48">
        <f ca="1">IF(ROUND(SUMIFS(COPIA!$CA$3:$CA$400,COPIA!$CC$3:$CC$400,CF241)-SUMIFS(COPIA!$CB$3:$CB$400,COPIA!$CC$3:$CC$400,CF241),0)&lt;0,0,-ROUND(SUMIFS(COPIA!$CA$3:$CA$400,COPIA!$CC$3:$CC$400,CF241)-SUMIFS(COPIA!$CB$3:$CB$400,COPIA!$CC$3:$CC$400,CF241),0))</f>
        <v>0</v>
      </c>
      <c r="CF241" s="48" t="s">
        <v>753</v>
      </c>
      <c r="CG241" s="242" t="s">
        <v>596</v>
      </c>
      <c r="CH241" s="48">
        <f t="shared" ca="1" si="534"/>
        <v>0</v>
      </c>
      <c r="CM241" s="242" t="str">
        <f t="shared" ca="1" si="444"/>
        <v/>
      </c>
      <c r="CN241" s="243">
        <f t="shared" ca="1" si="445"/>
        <v>0</v>
      </c>
      <c r="CO241" s="48" t="str">
        <f t="shared" ca="1" si="446"/>
        <v/>
      </c>
      <c r="CU241" s="48">
        <f ca="1">IF(SUMIFS(AVERE,DEN_G,AC241,AVERE,"&gt;"&amp;0)+SUMIFS(DARE,DEN_G,AC241,DARE,"&gt;"&amp;0)&gt;0,MAX($CU$2:CU240)+1,0)</f>
        <v>0</v>
      </c>
      <c r="CV241" s="48" t="str">
        <f ca="1">IF(IFERROR(INDEX(PDC,MATCH(ROWS($CV$3:CV241),$CU$3:$CU$400,0),2),"")="CONTO DI RISULTATO ECONOMICO","",IFERROR(INDEX(PDC,MATCH(ROWS($CV$3:CV241),$CU$3:$CU$400,0),2),""))</f>
        <v/>
      </c>
      <c r="CW241" s="48">
        <f ca="1">IFERROR(IF(CV241&lt;&gt;"",MAX($CW$2:CW240)+1,0),0)</f>
        <v>0</v>
      </c>
      <c r="CX241" s="48">
        <f t="shared" ca="1" si="528"/>
        <v>19</v>
      </c>
      <c r="CY241" s="48" t="str">
        <f t="shared" ca="1" si="527"/>
        <v>MASTRO</v>
      </c>
      <c r="CZ241" s="48" t="e">
        <f t="shared" ca="1" si="530"/>
        <v>#N/A</v>
      </c>
      <c r="DA241" s="48" t="str">
        <f t="shared" ca="1" si="535"/>
        <v/>
      </c>
      <c r="DB241" s="48" t="str">
        <f t="shared" ca="1" si="499"/>
        <v/>
      </c>
      <c r="DC241" s="48" t="str">
        <f t="shared" ca="1" si="531"/>
        <v/>
      </c>
      <c r="DD241" s="48" t="str">
        <f t="shared" ca="1" si="532"/>
        <v/>
      </c>
      <c r="DE241" s="48" t="str">
        <f t="shared" ca="1" si="533"/>
        <v/>
      </c>
      <c r="DF241" s="48">
        <f ca="1">IF(AND(CX241=$DF$1,CX241&lt;&gt;""),0,IF(AND(DB241&lt;&gt;"",OR(DB240&lt;&gt;"",DB242&lt;&gt;"")),MAX($DF$2:DF240)+1,0))</f>
        <v>0</v>
      </c>
      <c r="DG241" s="48" t="s">
        <v>932</v>
      </c>
      <c r="DH241" s="249" t="s">
        <v>1143</v>
      </c>
      <c r="DI241" s="48" t="str">
        <f ca="1">IF($DL$1=TRUE,"BANCA X C/FIDEIUSSIONE","")</f>
        <v/>
      </c>
      <c r="DK241" s="48" t="s">
        <v>275</v>
      </c>
      <c r="DL241" s="48" t="s">
        <v>480</v>
      </c>
      <c r="DM241" s="48" t="s">
        <v>812</v>
      </c>
      <c r="DN241" s="48">
        <f ca="1">IF(DI241&lt;&gt;"",MAX($DN$2:DN240)+1,0)</f>
        <v>0</v>
      </c>
      <c r="DQ241" s="227" t="s">
        <v>181</v>
      </c>
      <c r="DR241" s="48" t="s">
        <v>481</v>
      </c>
      <c r="DS241" s="48" t="s">
        <v>311</v>
      </c>
      <c r="DT241" s="48" t="s">
        <v>298</v>
      </c>
      <c r="DU241" s="48" t="s">
        <v>8</v>
      </c>
      <c r="DV241" s="48" t="s">
        <v>300</v>
      </c>
      <c r="DW241" s="48">
        <f ca="1">IF(DR241&lt;&gt;"",MAX($DW$2:DW240)+1,0)</f>
        <v>140</v>
      </c>
      <c r="DX241" s="48" t="s">
        <v>701</v>
      </c>
      <c r="DY241" s="48" t="str">
        <f t="shared" ca="1" si="430"/>
        <v/>
      </c>
      <c r="EL241" s="48">
        <f t="shared" ca="1" si="431"/>
        <v>0</v>
      </c>
      <c r="EM241" s="48">
        <f ca="1">IF(EL241&gt;=0,0,MAX($EM$2:EM240)+1)</f>
        <v>0</v>
      </c>
      <c r="EN241" s="48" t="str">
        <f t="shared" ca="1" si="459"/>
        <v/>
      </c>
      <c r="EO241" s="48" t="str">
        <f ca="1">IFERROR(INDEX($EM$3:$EN$400,MATCH(ROWS($EO$3:EO241),$EM$3:$EM$400,0),2),"")</f>
        <v/>
      </c>
      <c r="EP241" s="48">
        <f>ROW()</f>
        <v>241</v>
      </c>
      <c r="EQ241" s="48">
        <f t="shared" ca="1" si="432"/>
        <v>0</v>
      </c>
      <c r="ER241" s="48">
        <f ca="1">IF(ISNA(EQ241)=TRUE,MAX($ER$2:ER240)+1,0)</f>
        <v>0</v>
      </c>
      <c r="ES241" s="48" t="str">
        <f t="shared" ca="1" si="460"/>
        <v/>
      </c>
      <c r="ET241" s="48" t="str">
        <f ca="1">IFERROR(INDEX($ER$3:$ES$400,MATCH(ROWS($ET$3:ET241),$ER$3:$ER$400,0),2),"")</f>
        <v/>
      </c>
      <c r="EV241" s="48">
        <f ca="1">IFERROR(INDEX(LIBRO_GIORNALE!$O$11:$P$408,MATCH(ROWS($EV$2:EV240),LIBRO_GIORNALE!$P$11:$P$408,0),1),0)</f>
        <v>0</v>
      </c>
      <c r="EW241" s="48" t="str">
        <f t="shared" ca="1" si="461"/>
        <v>0</v>
      </c>
      <c r="EX241" s="48">
        <f t="shared" ca="1" si="462"/>
        <v>0</v>
      </c>
      <c r="EY241" s="48">
        <f ca="1">IF(EX241&gt;0,MAX($EY$2:EY240)+1,0)</f>
        <v>0</v>
      </c>
      <c r="EZ241" s="48">
        <f ca="1">IFERROR(INDEX($EX$3:$EX$400,MATCH(ROWS($EZ$3:EZ241),$EY$3:$EY$400,0),1),0)</f>
        <v>0</v>
      </c>
      <c r="FA241" s="48">
        <f ca="1">IF(EZ241&gt;0,0,MAX($FA$2:FA240)+1)</f>
        <v>239</v>
      </c>
      <c r="FB241" s="48">
        <f t="shared" ca="1" si="463"/>
        <v>0</v>
      </c>
      <c r="FC241" s="48">
        <f t="shared" ca="1" si="464"/>
        <v>239</v>
      </c>
      <c r="FD241" s="48">
        <f t="shared" ca="1" si="465"/>
        <v>239</v>
      </c>
      <c r="FE241" s="48">
        <f ca="1">IF(FD241=0,0,MAX($FE$2:FE240)+1)</f>
        <v>239</v>
      </c>
      <c r="FF241" s="48">
        <f ca="1">IFERROR(INDEX($FD$3:$FE$400,MATCH(ROWS($FF$3:FF241),$FE$3:$FE$400,0),1),"")</f>
        <v>239</v>
      </c>
      <c r="FG241" s="48">
        <f t="shared" ca="1" si="519"/>
        <v>0</v>
      </c>
      <c r="FH241" s="48">
        <f t="shared" ca="1" si="466"/>
        <v>0</v>
      </c>
      <c r="FI241" s="48">
        <f ca="1">IF(FH241&lt;&gt;0,MAX($FI$2:FI240)+1,0)</f>
        <v>0</v>
      </c>
      <c r="FJ241" s="48" t="str">
        <f ca="1">IFERROR(INDEX($FH$3:$FI$400,MATCH(ROWS($FJ$3:FJ241),$FI$3:$FI$400,0),1),"")</f>
        <v/>
      </c>
      <c r="FK241" s="48">
        <f ca="1">IF(ABS(SUMIFS(DARE,DEN_G,"="&amp;FJ241,DATA,"&lt;="&amp;FINE_AC,DATA,"&gt;="&amp;INIZIO_A_PC)-SUMIFS(AVERE,DEN_G,"="&amp;FJ241,DATA,"&lt;="&amp;FINE_AC,DATA,"&gt;="&amp;INIZIO_A_PC))&gt;0,MAX($FK$2:FK240)+1,0)</f>
        <v>0</v>
      </c>
      <c r="FL241" s="48" t="str">
        <f ca="1">IF(AND(ROW()-2&lt;&gt;1,ROW()-2&lt;=$FK$1),CONCATENATE(" - ",IFERROR(INDEX($FJ$3:$FK$400,MATCH(ROWS($FL$3:FL241),$FK$3:$FK$400,0),1),"")),IFERROR(INDEX($FJ$3:$FK$400,MATCH(ROWS($FL$3:FL241),$FK$3:$FK$400,0),1),""))</f>
        <v/>
      </c>
      <c r="FM241" s="48">
        <f ca="1">IF(OR(B241="IVA ns/credito",B241="IVA NS/DEBITO",B241="IVA C/ACCONTO",B241="IMPOSTE C/ACCONTO",B241="CREDITI PER RITENUTE SUBITE",B241="CREDITI D'IMPOSTA"),MAX($FM$2:FM240)+1,0)</f>
        <v>0</v>
      </c>
      <c r="FN241" s="48" t="str">
        <f t="shared" ca="1" si="467"/>
        <v/>
      </c>
      <c r="FO241" s="48" t="str">
        <f ca="1">IFERROR(INDEX($FM$3:$FN$400,MATCH(ROWS($FO$3:FO241),$FM$3:$FM$400,0),2),"")</f>
        <v/>
      </c>
      <c r="FP241" s="48">
        <f ca="1">IF(ABS(SUMIFS(DARE,DEN_G,"="&amp;FO241,DATA,"&lt;="&amp;FINE_AC,DATA,"&gt;="&amp;INIZIO_A_PC)-SUMIFS(AVERE,DEN_G,"="&amp;FO241,DATA,"&lt;="&amp;FINE_AC,DATA,"&gt;="&amp;INIZIO_A_PC))&gt;0,MAX($FP$2:FP240)+1,0)</f>
        <v>0</v>
      </c>
      <c r="FQ241" s="48" t="str">
        <f ca="1">IF(AND(ROW()-2&lt;&gt;1,ROW()-2&lt;=$FP$1),CONCATENATE(" - ",IFERROR(INDEX($FO$3:$FP$400,MATCH(ROWS($FQ$3:FQ241),$FP$3:$FP$400,0),1),"")),IFERROR(INDEX($FO$3:$FP$400,MATCH(ROWS($FQ$3:FQ241),$FP$3:$FP$400,0),1),""))</f>
        <v/>
      </c>
    </row>
    <row r="242" spans="1:173" x14ac:dyDescent="0.3">
      <c r="A242" s="48" t="str">
        <f ca="1">IFERROR(IF($A$1=2,INDEX($DH$3:$DN$401,MATCH(ROWS(A$3:A242),$DN$3:$DN$401,0),COLUMN()),IF($A$1=1,INDEX($DQ$3:$DW$401,MATCH(ROWS(A$3:A242),$DW$3:$DW$401,0),COLUMN()),"")),"")</f>
        <v>31.71</v>
      </c>
      <c r="B242" s="48" t="str">
        <f ca="1">IFERROR(IF($A$1=2,INDEX($DH$3:$DN$401,MATCH(ROWS(B$3:B242),$DN$3:$DN$401,0),COLUMN()),IF($A$1=1,INDEX($DQ$3:$DW$400,MATCH(ROWS(B$3:B242),$DW$3:$DW$401,0),COLUMN()),"")),"")</f>
        <v>COMPETENZE SINDACI</v>
      </c>
      <c r="C242" s="48" t="str">
        <f ca="1">IFERROR(IF($A$1=2,INDEX($DH$3:$DN$401,MATCH(ROWS(C$3:C242),$DN$3:$DN$401,0),COLUMN()),IF($A$1=1,INDEX($DQ$3:$DW$401,MATCH(ROWS(C$3:C242),$DW$3:$DW$401,0),COLUMN()),"")),"")</f>
        <v>E</v>
      </c>
      <c r="D242" s="48" t="str">
        <f ca="1">IFERROR(IF($A$1=2,INDEX($DH$3:$DN$401,MATCH(ROWS(D$3:D242),$DN$3:$DN$401,0),COLUMN()),IF($A$1=1,INDEX($DQ$3:$DW$401,MATCH(ROWS(D$3:D242),$DW$3:$DW$401,0),COLUMN()),"")),"")</f>
        <v>D</v>
      </c>
      <c r="E242" s="48" t="str">
        <f ca="1">IFERROR(IF($A$1=2,INDEX($DH$3:$DN$401,MATCH(ROWS(E$3:E242),$DN$3:$DN$401,0),COLUMN()),IF($A$1=1,INDEX($DQ$3:$DW$401,MATCH(ROWS(E$3:E242),$DW$3:$DW$401,0),COLUMN()),"")),"")</f>
        <v>COSTI D'ESERCIZIO</v>
      </c>
      <c r="F242" s="48" t="str">
        <f ca="1">IFERROR(IF($A$1=2,INDEX($DH$3:$DN$401,MATCH(ROWS(F$3:F242),$DN$3:$DN$401,0),COLUMN()),IF($A$1=1,INDEX($DQ$3:$DX$401,MATCH(ROWS(F$3:F242),$DW$3:$DW$401,0),COLUMN()),"")),"")</f>
        <v>SE DARE</v>
      </c>
      <c r="G242" s="48" t="str">
        <f t="shared" ca="1" si="433"/>
        <v>SE</v>
      </c>
      <c r="H242" s="48" t="str">
        <f ca="1">IFERROR(IF($A$1=2,INDEX($DH$3:$DO$400,MATCH(ROWS(H$3:H242),$DN$3:$DN$400,0),COLUMN()),IF($A$1=1,INDEX($DQ$3:$DX$400,MATCH(ROWS(H$3:H242),$DW$3:$DW$400,0),COLUMN()),"")),"")</f>
        <v>eb7</v>
      </c>
      <c r="M242" s="48">
        <f ca="1">IFERROR(IF(IF(MID($A242,3,3)=".00",MID(A242,1,2),"")&lt;&gt;"",MAX($M$2:M241)+1,0),"")</f>
        <v>0</v>
      </c>
      <c r="N242" s="48" t="str">
        <f t="shared" ca="1" si="438"/>
        <v/>
      </c>
      <c r="O242" s="48" t="str">
        <f ca="1">IF(IFERROR(INDEX($N$3:$O$300,MATCH(ROWS($O$3:O242),$M$3:$M$300,0),1),"")&lt;&gt;"",CONCATENATE(INDEX($N$3:$O$300,MATCH(ROWS($O$3:O242),$M$3:$M$300,0),1),".00"),"")</f>
        <v/>
      </c>
      <c r="P242" s="48" t="str">
        <f t="shared" ca="1" si="439"/>
        <v/>
      </c>
      <c r="Q242" s="48">
        <f ca="1">IF(M242&gt;=1,0,MAX($Q$2:Q241)+1)</f>
        <v>217</v>
      </c>
      <c r="U242" s="48" t="str">
        <f ca="1">IFERROR(INDEX(PDC,MATCH(ROWS(U$3:U242),$V$3:$V$400,0),2),"")</f>
        <v>SVALUTAZIONE IMPIANTI E MACCHINARI</v>
      </c>
      <c r="V242" s="48">
        <f ca="1">IF(AND($T$1="VISUALIZZA TUTTI I CONTI",AA242&lt;&gt;""),MAX($V$2:V241)+1,IF(AND($U$2=2,AI242=$T$1),MAX($V$2:V241)+1,IF(AND($U$2=1,$T$1=AF242),MAX($V$2:V241)+1,0)))</f>
        <v>240</v>
      </c>
      <c r="AA242" s="48" t="str">
        <f t="shared" ca="1" si="440"/>
        <v>36.00</v>
      </c>
      <c r="AB242" s="48" t="str">
        <f ca="1">IFERROR(INDEX($A$3:$G$400,MATCH(ROWS(AB$3:AB242),$Q$3:$Q$400,0),1),"")</f>
        <v>36.02</v>
      </c>
      <c r="AC242" s="48" t="str">
        <f ca="1">IFERROR(INDEX($A$3:$G$400,MATCH(ROWS($AC$3:AC242),$Q$3:$Q$400,0),2),"")</f>
        <v>SVALUTAZIONE IMPIANTI E MACCHINARI</v>
      </c>
      <c r="AD242" s="48" t="str">
        <f ca="1">IFERROR(INDEX($A$3:$G$400,MATCH(ROWS(AD$3:AD242),$Q$3:$Q$400,0),3),"")</f>
        <v>E</v>
      </c>
      <c r="AE242" s="48" t="str">
        <f ca="1">IFERROR(INDEX($A$3:$G$400,MATCH(ROWS(AE$3:AE242),$Q$3:$Q$400,0),4),"")</f>
        <v>D</v>
      </c>
      <c r="AF242" s="48" t="str">
        <f ca="1">IFERROR(INDEX($A$3:$G$400,MATCH(ROWS(AF$3:AF242),$Q$3:$Q$400,0),5),"")</f>
        <v>COSTI D'ESERCIZIO</v>
      </c>
      <c r="AG242" s="48" t="str">
        <f ca="1">IFERROR(INDEX($A$3:$G$400,MATCH(ROWS(AG$3:AG242),$Q$3:$Q$400,0),6),"")</f>
        <v>SE DARE</v>
      </c>
      <c r="AH242" s="48" t="str">
        <f ca="1">IFERROR(INDEX($A$3:$G$400,MATCH(ROWS(AH$3:AH242),$Q$3:$Q$400,0),7),"")</f>
        <v>SE</v>
      </c>
      <c r="AI242" s="48" t="str">
        <f t="shared" ca="1" si="441"/>
        <v>SVALUTAZIONI</v>
      </c>
      <c r="AJ242" s="48" t="str">
        <f ca="1">IFERROR(INDEX($A$3:$H$400,MATCH(ROWS(AJ$3:AJ242),$Q$3:$Q$400,0),8),"")</f>
        <v>eb10a</v>
      </c>
      <c r="AK242" s="48">
        <f t="shared" ca="1" si="417"/>
        <v>0</v>
      </c>
      <c r="AL242" s="48">
        <f t="shared" ca="1" si="515"/>
        <v>0</v>
      </c>
      <c r="AM242" s="48">
        <f t="shared" ca="1" si="516"/>
        <v>0</v>
      </c>
      <c r="AN242" s="48">
        <f t="shared" ca="1" si="517"/>
        <v>0</v>
      </c>
      <c r="AO242" s="48">
        <f t="shared" ca="1" si="518"/>
        <v>0</v>
      </c>
      <c r="AP242" s="48">
        <f t="shared" ca="1" si="518"/>
        <v>0</v>
      </c>
      <c r="AZ242" s="48" t="str">
        <f t="shared" ca="1" si="484"/>
        <v/>
      </c>
      <c r="BA242" s="48">
        <f t="shared" ca="1" si="520"/>
        <v>0</v>
      </c>
      <c r="BB242" s="48">
        <f t="shared" ca="1" si="521"/>
        <v>0</v>
      </c>
      <c r="BC242" s="48">
        <f t="shared" ca="1" si="522"/>
        <v>0</v>
      </c>
      <c r="BD242" s="48">
        <f t="shared" ca="1" si="523"/>
        <v>0</v>
      </c>
      <c r="BE242" s="48">
        <f t="shared" ca="1" si="524"/>
        <v>0</v>
      </c>
      <c r="BF242" s="48">
        <f t="shared" si="485"/>
        <v>42</v>
      </c>
      <c r="BG242" s="48">
        <f ca="1">IF(IF(AND(OR(INDEX(PDC,MATCH($AC242,DEN_PDC,0),6)="SP DARE",INDEX(PDC,MATCH($AC242,DEN_PDC,0),6)="SP DARE/AVERE"),SUMIFS(DARE,DEN_G,$AC242)&gt;=SUMIFS(AVERE,DEN_G,$AC242)),SUMIFS(DARE,DEN_G,$AC242)-SUMIFS(AVERE,DEN_G,$AC242),0)&gt;0,MAX($BG$2:BG241)+1,0)</f>
        <v>0</v>
      </c>
      <c r="BH242" s="48">
        <f ca="1">IF(IF(AND(OR(INDEX(PDC,MATCH($AC242,DEN_PDC,0),6)="SP AVERE",INDEX(PDC,MATCH($AC242,DEN_PDC,0),6)="SP DARE/AVERE"),SUMIFS(AVERE,DEN_G,$AC242)&gt;=SUMIFS(DARE,DEN_G,$AC242)),SUMIFS(AVERE,DEN_G,$AC242)-SUMIFS(DARE,DEN_G,$AC242),0)&gt;0,MAX(BH$2:BH241)+1,0)</f>
        <v>0</v>
      </c>
      <c r="BI242" s="48">
        <f ca="1">IF(IF(AND(OR(INDEX(PDC,MATCH($AC242,DEN_PDC,0),6)="SE DARE",INDEX(PDC,MATCH($AC242,DEN_PDC,0),6)="SE DARE/AVERE"),SUMIFS(DARE,DEN_G,$AC242)&gt;=SUMIFS(AVERE,DEN_G,$AC242)),SUMIFS(DARE,DEN_G,$AC242)-SUMIFS(AVERE,DEN_G,$AC242),0)&gt;0,MAX(BI$2:BI241)+1,0)</f>
        <v>0</v>
      </c>
      <c r="BJ242" s="48">
        <f ca="1">IF(IF(AND(OR(INDEX(PDC,MATCH($AC242,DEN_PDC,0),6)="SE AVERE",INDEX(PDC,MATCH($AC242,DEN_PDC,0),6)="SE DARE/AVERE"),SUMIFS(AVERE,DEN_G,$AC242)&gt;=SUMIFS(DARE,DEN_G,$AC242)),SUMIFS(AVERE,DEN_G,$AC242)-SUMIFS(DARE,DEN_G,$AC242),0)&gt;0,MAX(BJ$2:BJ241)+1,0)</f>
        <v>0</v>
      </c>
      <c r="BK242" s="48" t="str">
        <f ca="1">IF(AND(AND($DY$2=0,$DY$1=0),$I$1=2,ROW()&gt;$BG$1+2,ROW()&lt;=$BG$1+4),"………………..",IF(AND(OR($DY$2&gt;0,$DY$1&gt;0),$I$1=2,ROW()&gt;$BG$1+2,ROW()&lt;=$BG$1+4),"………………..",IFERROR(INDEX($AC$3:$AC$398,MATCH(ROWS(BK$3:BK242),BG$3:BG$398,0),1),"")))</f>
        <v/>
      </c>
      <c r="BL242" s="48">
        <f t="shared" ca="1" si="421"/>
        <v>0</v>
      </c>
      <c r="BM242" s="48" t="str">
        <f ca="1">IF(AND(OR($DY$2=0,$DY$1=0),$I$1=2,ROW()&gt;$BH$1+2,ROW()&lt;=$BH$1+4),"………………..",IF(AND(OR($DY$2&gt;0,$DY$1&gt;0),$I$1=2,ROW()&gt;$BH$1+2,ROW()&lt;=$BH$1+4),"………………..",IFERROR(INDEX($AC$3:$AC$400,MATCH(ROWS(BM$3:BM242),BH$3:BH$400,0),1),"")))</f>
        <v/>
      </c>
      <c r="BN242" s="48">
        <f t="shared" ca="1" si="422"/>
        <v>0</v>
      </c>
      <c r="BO242" s="48" t="str">
        <f ca="1">IF(AND(OR($DY$2=0,$DY$1=0),$I$1=2,ROW()&gt;$BI$1+2,ROW()&lt;=$BI$1+4),"………………..",IF(AND(OR($DY$2&gt;0,$DY$1&gt;0),$I$1=2,ROW()&gt;$BI$1+2,ROW()&lt;=$BI$1+4),"………………..",IFERROR(INDEX($AC$3:$AC$400,MATCH(ROWS(BO$3:BO242),BI$3:BI$400,0),1),"")))</f>
        <v/>
      </c>
      <c r="BP242" s="48">
        <f t="shared" ca="1" si="423"/>
        <v>0</v>
      </c>
      <c r="BQ242" s="48" t="str">
        <f ca="1">IF(AND(OR($DY$2=0,$DY$1=0),$I$1=2,ROW()&gt;$BJ$1+2,ROW()&lt;=$BJ$1+4),"………………..",IF(AND(OR($DY$2&gt;0,$DY$1&gt;0),$I$1=2,ROW()&gt;$BJ$1+2,ROW()&lt;=$BJ$1+4),"………………..",IFERROR(INDEX($AC$3:$AC$400,MATCH(ROWS(BQ$3:BQ242),BJ$3:BJ$400,0),1),"")))</f>
        <v/>
      </c>
      <c r="BR242" s="48">
        <f t="shared" ca="1" si="424"/>
        <v>0</v>
      </c>
      <c r="BS242" s="48">
        <f ca="1">IF(IF(AND(OR(INDEX(PDC,MATCH($AC242,DEN_PDC,0),4)="D",INDEX(PDC,MATCH($AC242,DEN_PDC,0),4)="D/A"),SUMIFS(DARE,DEN_G,$AC242)&gt;=SUMIFS(AVERE,DEN_G,$AC242)),SUMIFS(DARE,DEN_G,$AC242),IF(AND(OR(INDEX(PDC,MATCH($AC242,DEN_PDC,0),4)="A",INDEX(PDC,MATCH($AC242,DEN_PDC,0),4)="D/A"),SUMIFS(AVERE,DEN_G,$AC242)&gt;=SUMIFS(DARE,DEN_G,$AC242)),SUMIFS(AVERE,DEN_G,$AC242),))&gt;0,MAX($BS$2:BS241)+1,0)</f>
        <v>0</v>
      </c>
      <c r="BT242" s="48" t="str">
        <f ca="1">IF($CO$1=0,"",IF(AND($I$1=2,ROW()&gt;$BR$1,ROW()&lt;=$BS$1)," …………….",IF(AND($E$1=1,$BX$1=1,$I$1=2,ROW()=$BQ$1),"TOTALI",IFERROR(INDEX(PDC,MATCH(ROWS(BT$3:BT242),BS$3:BS639,0),2),""))))</f>
        <v/>
      </c>
      <c r="BU242" s="48">
        <f t="shared" ca="1" si="425"/>
        <v>0</v>
      </c>
      <c r="BV242" s="48">
        <f t="shared" ca="1" si="426"/>
        <v>0</v>
      </c>
      <c r="BW242" s="48">
        <f t="shared" ca="1" si="427"/>
        <v>0</v>
      </c>
      <c r="BX242" s="48">
        <f t="shared" ca="1" si="428"/>
        <v>0</v>
      </c>
      <c r="BY242" s="48">
        <f ca="1">IF(OR(BW242&gt;0,BX242&gt;0),MAX($BY$2:BY241)+1,0)</f>
        <v>0</v>
      </c>
      <c r="BZ242" s="48" t="str">
        <f ca="1">IFERROR(INDEX($BT$3:$BY$400,MATCH(ROWS(BZ$3:BZ242),$BY$3:$BY$400,0),1),"")</f>
        <v/>
      </c>
      <c r="CA242" s="48" t="str">
        <f ca="1">IFERROR(INDEX($BT$3:$BY$400,MATCH(ROWS(CA$3:CA242),$BY$3:$BY$400,0),4),"")</f>
        <v/>
      </c>
      <c r="CB242" s="48" t="str">
        <f ca="1">IFERROR(INDEX($BT$3:$BY$400,MATCH(ROWS(CB$3:CB242),$BY$3:$BY$400,0),5),"")</f>
        <v/>
      </c>
      <c r="CC242" s="48" t="str">
        <f t="shared" ca="1" si="429"/>
        <v/>
      </c>
      <c r="CD242" s="48">
        <f ca="1">IF(CE242&lt;&gt;0,MAX($CD$190:CD241)+1,0)</f>
        <v>0</v>
      </c>
      <c r="CE242" s="48">
        <f ca="1">IF(ROUND(SUMIFS(COPIA!$CA$3:$CA$400,COPIA!$CC$3:$CC$400,CF242)-SUMIFS(COPIA!$CB$3:$CB$400,COPIA!$CC$3:$CC$400,CF242),0)&lt;0,0,-ROUND(SUMIFS(COPIA!$CA$3:$CA$400,COPIA!$CC$3:$CC$400,CF242)-SUMIFS(COPIA!$CB$3:$CB$400,COPIA!$CC$3:$CC$400,CF242),0))</f>
        <v>0</v>
      </c>
      <c r="CF242" s="48" t="s">
        <v>754</v>
      </c>
      <c r="CG242" s="242" t="s">
        <v>597</v>
      </c>
      <c r="CH242" s="48">
        <f t="shared" ca="1" si="534"/>
        <v>0</v>
      </c>
      <c r="CM242" s="242" t="str">
        <f t="shared" ca="1" si="444"/>
        <v/>
      </c>
      <c r="CN242" s="243">
        <f t="shared" ca="1" si="445"/>
        <v>0</v>
      </c>
      <c r="CO242" s="48" t="str">
        <f t="shared" ca="1" si="446"/>
        <v/>
      </c>
      <c r="CU242" s="48">
        <f ca="1">IF(SUMIFS(AVERE,DEN_G,AC242,AVERE,"&gt;"&amp;0)+SUMIFS(DARE,DEN_G,AC242,DARE,"&gt;"&amp;0)&gt;0,MAX($CU$2:CU241)+1,0)</f>
        <v>0</v>
      </c>
      <c r="CV242" s="48" t="str">
        <f ca="1">IF(IFERROR(INDEX(PDC,MATCH(ROWS($CV$3:CV242),$CU$3:$CU$400,0),2),"")="CONTO DI RISULTATO ECONOMICO","",IFERROR(INDEX(PDC,MATCH(ROWS($CV$3:CV242),$CU$3:$CU$400,0),2),""))</f>
        <v/>
      </c>
      <c r="CW242" s="48">
        <f ca="1">IFERROR(IF(CV242&lt;&gt;"",MAX($CW$2:CW241)+1,0),0)</f>
        <v>0</v>
      </c>
      <c r="CX242" s="48">
        <f t="shared" ca="1" si="528"/>
        <v>19</v>
      </c>
      <c r="CY242" s="48" t="str">
        <f t="shared" ca="1" si="527"/>
        <v>MASTRO</v>
      </c>
      <c r="CZ242" s="48" t="e">
        <f t="shared" ca="1" si="530"/>
        <v>#N/A</v>
      </c>
      <c r="DA242" s="48" t="str">
        <f t="shared" ca="1" si="535"/>
        <v/>
      </c>
      <c r="DB242" s="48" t="str">
        <f t="shared" ca="1" si="499"/>
        <v/>
      </c>
      <c r="DC242" s="48" t="str">
        <f t="shared" ca="1" si="531"/>
        <v/>
      </c>
      <c r="DD242" s="48" t="str">
        <f t="shared" ca="1" si="532"/>
        <v/>
      </c>
      <c r="DE242" s="48" t="str">
        <f t="shared" ca="1" si="533"/>
        <v/>
      </c>
      <c r="DF242" s="48">
        <f ca="1">IF(AND(CX242=$DF$1,CX242&lt;&gt;""),0,IF(AND(DB242&lt;&gt;"",OR(DB241&lt;&gt;"",DB243&lt;&gt;"")),MAX($DF$2:DF241)+1,0))</f>
        <v>0</v>
      </c>
      <c r="DG242" s="48" t="s">
        <v>932</v>
      </c>
      <c r="DH242" s="249" t="s">
        <v>1144</v>
      </c>
      <c r="DI242" s="48" t="str">
        <f ca="1">IF($DL$1=TRUE,"GARANZIA CONFERIMENTO SERVIZI","")</f>
        <v/>
      </c>
      <c r="DK242" s="48" t="s">
        <v>298</v>
      </c>
      <c r="DL242" s="48" t="s">
        <v>480</v>
      </c>
      <c r="DM242" s="48" t="s">
        <v>812</v>
      </c>
      <c r="DN242" s="48">
        <f ca="1">IF(DI242&lt;&gt;"",MAX($DN$2:DN241)+1,0)</f>
        <v>0</v>
      </c>
      <c r="DQ242" s="227" t="s">
        <v>1060</v>
      </c>
      <c r="DR242" s="48" t="s">
        <v>1061</v>
      </c>
      <c r="DS242" s="48" t="s">
        <v>311</v>
      </c>
      <c r="DT242" s="48" t="s">
        <v>298</v>
      </c>
      <c r="DU242" s="48" t="s">
        <v>8</v>
      </c>
      <c r="DV242" s="48" t="s">
        <v>300</v>
      </c>
      <c r="DW242" s="48">
        <f ca="1">IF(DR242&lt;&gt;"",MAX($DW$2:DW241)+1,0)</f>
        <v>141</v>
      </c>
      <c r="DX242" s="48" t="s">
        <v>701</v>
      </c>
      <c r="DY242" s="48" t="str">
        <f t="shared" ca="1" si="430"/>
        <v/>
      </c>
      <c r="EL242" s="48">
        <f t="shared" ca="1" si="431"/>
        <v>0</v>
      </c>
      <c r="EM242" s="48">
        <f ca="1">IF(EL242&gt;=0,0,MAX($EM$2:EM241)+1)</f>
        <v>0</v>
      </c>
      <c r="EN242" s="48" t="str">
        <f t="shared" ca="1" si="459"/>
        <v/>
      </c>
      <c r="EO242" s="48" t="str">
        <f ca="1">IFERROR(INDEX($EM$3:$EN$400,MATCH(ROWS($EO$3:EO242),$EM$3:$EM$400,0),2),"")</f>
        <v/>
      </c>
      <c r="EP242" s="48">
        <f>ROW()</f>
        <v>242</v>
      </c>
      <c r="EQ242" s="48">
        <f t="shared" ca="1" si="432"/>
        <v>0</v>
      </c>
      <c r="ER242" s="48">
        <f ca="1">IF(ISNA(EQ242)=TRUE,MAX($ER$2:ER241)+1,0)</f>
        <v>0</v>
      </c>
      <c r="ES242" s="48" t="str">
        <f t="shared" ca="1" si="460"/>
        <v/>
      </c>
      <c r="ET242" s="48" t="str">
        <f ca="1">IFERROR(INDEX($ER$3:$ES$400,MATCH(ROWS($ET$3:ET242),$ER$3:$ER$400,0),2),"")</f>
        <v/>
      </c>
      <c r="EV242" s="48">
        <f ca="1">IFERROR(INDEX(LIBRO_GIORNALE!$O$11:$P$408,MATCH(ROWS($EV$2:EV241),LIBRO_GIORNALE!$P$11:$P$408,0),1),0)</f>
        <v>0</v>
      </c>
      <c r="EW242" s="48" t="str">
        <f t="shared" ca="1" si="461"/>
        <v>0</v>
      </c>
      <c r="EX242" s="48">
        <f t="shared" ca="1" si="462"/>
        <v>0</v>
      </c>
      <c r="EY242" s="48">
        <f ca="1">IF(EX242&gt;0,MAX($EY$2:EY241)+1,0)</f>
        <v>0</v>
      </c>
      <c r="EZ242" s="48">
        <f ca="1">IFERROR(INDEX($EX$3:$EX$400,MATCH(ROWS($EZ$3:EZ242),$EY$3:$EY$400,0),1),0)</f>
        <v>0</v>
      </c>
      <c r="FA242" s="48">
        <f ca="1">IF(EZ242&gt;0,0,MAX($FA$2:FA241)+1)</f>
        <v>240</v>
      </c>
      <c r="FB242" s="48">
        <f t="shared" ca="1" si="463"/>
        <v>0</v>
      </c>
      <c r="FC242" s="48">
        <f t="shared" ca="1" si="464"/>
        <v>240</v>
      </c>
      <c r="FD242" s="48">
        <f t="shared" ca="1" si="465"/>
        <v>240</v>
      </c>
      <c r="FE242" s="48">
        <f ca="1">IF(FD242=0,0,MAX($FE$2:FE241)+1)</f>
        <v>240</v>
      </c>
      <c r="FF242" s="48">
        <f ca="1">IFERROR(INDEX($FD$3:$FE$400,MATCH(ROWS($FF$3:FF242),$FE$3:$FE$400,0),1),"")</f>
        <v>240</v>
      </c>
      <c r="FG242" s="48">
        <f t="shared" ca="1" si="519"/>
        <v>0</v>
      </c>
      <c r="FH242" s="48">
        <f t="shared" ca="1" si="466"/>
        <v>0</v>
      </c>
      <c r="FI242" s="48">
        <f ca="1">IF(FH242&lt;&gt;0,MAX($FI$2:FI241)+1,0)</f>
        <v>0</v>
      </c>
      <c r="FJ242" s="48" t="str">
        <f ca="1">IFERROR(INDEX($FH$3:$FI$400,MATCH(ROWS($FJ$3:FJ242),$FI$3:$FI$400,0),1),"")</f>
        <v/>
      </c>
      <c r="FK242" s="48">
        <f ca="1">IF(ABS(SUMIFS(DARE,DEN_G,"="&amp;FJ242,DATA,"&lt;="&amp;FINE_AC,DATA,"&gt;="&amp;INIZIO_A_PC)-SUMIFS(AVERE,DEN_G,"="&amp;FJ242,DATA,"&lt;="&amp;FINE_AC,DATA,"&gt;="&amp;INIZIO_A_PC))&gt;0,MAX($FK$2:FK241)+1,0)</f>
        <v>0</v>
      </c>
      <c r="FL242" s="48" t="str">
        <f ca="1">IF(AND(ROW()-2&lt;&gt;1,ROW()-2&lt;=$FK$1),CONCATENATE(" - ",IFERROR(INDEX($FJ$3:$FK$400,MATCH(ROWS($FL$3:FL242),$FK$3:$FK$400,0),1),"")),IFERROR(INDEX($FJ$3:$FK$400,MATCH(ROWS($FL$3:FL242),$FK$3:$FK$400,0),1),""))</f>
        <v/>
      </c>
      <c r="FM242" s="48">
        <f ca="1">IF(OR(B242="IVA ns/credito",B242="IVA NS/DEBITO",B242="IVA C/ACCONTO",B242="IMPOSTE C/ACCONTO",B242="CREDITI PER RITENUTE SUBITE",B242="CREDITI D'IMPOSTA"),MAX($FM$2:FM241)+1,0)</f>
        <v>0</v>
      </c>
      <c r="FN242" s="48" t="str">
        <f t="shared" ca="1" si="467"/>
        <v/>
      </c>
      <c r="FO242" s="48" t="str">
        <f ca="1">IFERROR(INDEX($FM$3:$FN$400,MATCH(ROWS($FO$3:FO242),$FM$3:$FM$400,0),2),"")</f>
        <v/>
      </c>
      <c r="FP242" s="48">
        <f ca="1">IF(ABS(SUMIFS(DARE,DEN_G,"="&amp;FO242,DATA,"&lt;="&amp;FINE_AC,DATA,"&gt;="&amp;INIZIO_A_PC)-SUMIFS(AVERE,DEN_G,"="&amp;FO242,DATA,"&lt;="&amp;FINE_AC,DATA,"&gt;="&amp;INIZIO_A_PC))&gt;0,MAX($FP$2:FP241)+1,0)</f>
        <v>0</v>
      </c>
      <c r="FQ242" s="48" t="str">
        <f ca="1">IF(AND(ROW()-2&lt;&gt;1,ROW()-2&lt;=$FP$1),CONCATENATE(" - ",IFERROR(INDEX($FO$3:$FP$400,MATCH(ROWS($FQ$3:FQ242),$FP$3:$FP$400,0),1),"")),IFERROR(INDEX($FO$3:$FP$400,MATCH(ROWS($FQ$3:FQ242),$FP$3:$FP$400,0),1),""))</f>
        <v/>
      </c>
    </row>
    <row r="243" spans="1:173" x14ac:dyDescent="0.3">
      <c r="A243" s="48" t="str">
        <f ca="1">IFERROR(IF($A$1=2,INDEX($DH$3:$DN$401,MATCH(ROWS(A$3:A243),$DN$3:$DN$401,0),COLUMN()),IF($A$1=1,INDEX($DQ$3:$DW$401,MATCH(ROWS(A$3:A243),$DW$3:$DW$401,0),COLUMN()),"")),"")</f>
        <v>31.99</v>
      </c>
      <c r="B243" s="48" t="str">
        <f ca="1">IFERROR(IF($A$1=2,INDEX($DH$3:$DN$401,MATCH(ROWS(B$3:B243),$DN$3:$DN$401,0),COLUMN()),IF($A$1=1,INDEX($DQ$3:$DW$400,MATCH(ROWS(B$3:B243),$DW$3:$DW$401,0),COLUMN()),"")),"")</f>
        <v>COSTI PER SERVIZI</v>
      </c>
      <c r="C243" s="48" t="str">
        <f ca="1">IFERROR(IF($A$1=2,INDEX($DH$3:$DN$401,MATCH(ROWS(C$3:C243),$DN$3:$DN$401,0),COLUMN()),IF($A$1=1,INDEX($DQ$3:$DW$401,MATCH(ROWS(C$3:C243),$DW$3:$DW$401,0),COLUMN()),"")),"")</f>
        <v>E</v>
      </c>
      <c r="D243" s="48" t="str">
        <f ca="1">IFERROR(IF($A$1=2,INDEX($DH$3:$DN$401,MATCH(ROWS(D$3:D243),$DN$3:$DN$401,0),COLUMN()),IF($A$1=1,INDEX($DQ$3:$DW$401,MATCH(ROWS(D$3:D243),$DW$3:$DW$401,0),COLUMN()),"")),"")</f>
        <v>D</v>
      </c>
      <c r="E243" s="48" t="str">
        <f ca="1">IFERROR(IF($A$1=2,INDEX($DH$3:$DN$401,MATCH(ROWS(E$3:E243),$DN$3:$DN$401,0),COLUMN()),IF($A$1=1,INDEX($DQ$3:$DW$401,MATCH(ROWS(E$3:E243),$DW$3:$DW$401,0),COLUMN()),"")),"")</f>
        <v>COSTI D'ESERCIZIO</v>
      </c>
      <c r="F243" s="48" t="str">
        <f ca="1">IFERROR(IF($A$1=2,INDEX($DH$3:$DN$401,MATCH(ROWS(F$3:F243),$DN$3:$DN$401,0),COLUMN()),IF($A$1=1,INDEX($DQ$3:$DX$401,MATCH(ROWS(F$3:F243),$DW$3:$DW$401,0),COLUMN()),"")),"")</f>
        <v>SE DARE</v>
      </c>
      <c r="G243" s="48" t="str">
        <f t="shared" ca="1" si="433"/>
        <v>SE</v>
      </c>
      <c r="H243" s="48" t="str">
        <f ca="1">IFERROR(IF($A$1=2,INDEX($DH$3:$DO$400,MATCH(ROWS(H$3:H243),$DN$3:$DN$400,0),COLUMN()),IF($A$1=1,INDEX($DQ$3:$DX$400,MATCH(ROWS(H$3:H243),$DW$3:$DW$400,0),COLUMN()),"")),"")</f>
        <v>eb7</v>
      </c>
      <c r="M243" s="48">
        <f ca="1">IFERROR(IF(IF(MID($A243,3,3)=".00",MID(A243,1,2),"")&lt;&gt;"",MAX($M$2:M242)+1,0),"")</f>
        <v>0</v>
      </c>
      <c r="N243" s="48" t="str">
        <f t="shared" ca="1" si="438"/>
        <v/>
      </c>
      <c r="O243" s="48" t="str">
        <f ca="1">IF(IFERROR(INDEX($N$3:$O$300,MATCH(ROWS($O$3:O243),$M$3:$M$300,0),1),"")&lt;&gt;"",CONCATENATE(INDEX($N$3:$O$300,MATCH(ROWS($O$3:O243),$M$3:$M$300,0),1),".00"),"")</f>
        <v/>
      </c>
      <c r="P243" s="48" t="str">
        <f t="shared" ca="1" si="439"/>
        <v/>
      </c>
      <c r="Q243" s="48">
        <f ca="1">IF(M243&gt;=1,0,MAX($Q$2:Q242)+1)</f>
        <v>218</v>
      </c>
      <c r="U243" s="48" t="str">
        <f ca="1">IFERROR(INDEX(PDC,MATCH(ROWS(U$3:U243),$V$3:$V$400,0),2),"")</f>
        <v>SVALUTAZIONE CREDITI</v>
      </c>
      <c r="V243" s="48">
        <f ca="1">IF(AND($T$1="VISUALIZZA TUTTI I CONTI",AA243&lt;&gt;""),MAX($V$2:V242)+1,IF(AND($U$2=2,AI243=$T$1),MAX($V$2:V242)+1,IF(AND($U$2=1,$T$1=AF243),MAX($V$2:V242)+1,0)))</f>
        <v>241</v>
      </c>
      <c r="AA243" s="48" t="str">
        <f t="shared" ca="1" si="440"/>
        <v>36.00</v>
      </c>
      <c r="AB243" s="48" t="str">
        <f ca="1">IFERROR(INDEX($A$3:$G$400,MATCH(ROWS(AB$3:AB243),$Q$3:$Q$400,0),1),"")</f>
        <v>36.20</v>
      </c>
      <c r="AC243" s="48" t="str">
        <f ca="1">IFERROR(INDEX($A$3:$G$400,MATCH(ROWS($AC$3:AC243),$Q$3:$Q$400,0),2),"")</f>
        <v>SVALUTAZIONE CREDITI</v>
      </c>
      <c r="AD243" s="48" t="str">
        <f ca="1">IFERROR(INDEX($A$3:$G$400,MATCH(ROWS(AD$3:AD243),$Q$3:$Q$400,0),3),"")</f>
        <v>E</v>
      </c>
      <c r="AE243" s="48" t="str">
        <f ca="1">IFERROR(INDEX($A$3:$G$400,MATCH(ROWS(AE$3:AE243),$Q$3:$Q$400,0),4),"")</f>
        <v>D</v>
      </c>
      <c r="AF243" s="48" t="str">
        <f ca="1">IFERROR(INDEX($A$3:$G$400,MATCH(ROWS(AF$3:AF243),$Q$3:$Q$400,0),5),"")</f>
        <v>COSTI D'ESERCIZIO</v>
      </c>
      <c r="AG243" s="48" t="str">
        <f ca="1">IFERROR(INDEX($A$3:$G$400,MATCH(ROWS(AG$3:AG243),$Q$3:$Q$400,0),6),"")</f>
        <v>SE DARE</v>
      </c>
      <c r="AH243" s="48" t="str">
        <f ca="1">IFERROR(INDEX($A$3:$G$400,MATCH(ROWS(AH$3:AH243),$Q$3:$Q$400,0),7),"")</f>
        <v>SE</v>
      </c>
      <c r="AI243" s="48" t="str">
        <f t="shared" ca="1" si="441"/>
        <v>SVALUTAZIONI</v>
      </c>
      <c r="AJ243" s="48" t="str">
        <f ca="1">IFERROR(INDEX($A$3:$H$400,MATCH(ROWS(AJ$3:AJ243),$Q$3:$Q$400,0),8),"")</f>
        <v>eb10d</v>
      </c>
      <c r="AK243" s="48">
        <f t="shared" ca="1" si="417"/>
        <v>0</v>
      </c>
      <c r="AL243" s="48">
        <f t="shared" ca="1" si="515"/>
        <v>0</v>
      </c>
      <c r="AM243" s="48">
        <f t="shared" ca="1" si="516"/>
        <v>0</v>
      </c>
      <c r="AN243" s="48">
        <f t="shared" ca="1" si="517"/>
        <v>0</v>
      </c>
      <c r="AO243" s="48">
        <f t="shared" ca="1" si="518"/>
        <v>0</v>
      </c>
      <c r="AP243" s="48">
        <f t="shared" ca="1" si="518"/>
        <v>0</v>
      </c>
      <c r="AZ243" s="48" t="str">
        <f t="shared" ca="1" si="484"/>
        <v/>
      </c>
      <c r="BA243" s="48">
        <f t="shared" ca="1" si="520"/>
        <v>0</v>
      </c>
      <c r="BB243" s="48">
        <f t="shared" ca="1" si="521"/>
        <v>0</v>
      </c>
      <c r="BC243" s="48">
        <f t="shared" ca="1" si="522"/>
        <v>0</v>
      </c>
      <c r="BD243" s="48">
        <f t="shared" ca="1" si="523"/>
        <v>0</v>
      </c>
      <c r="BE243" s="48">
        <f t="shared" ca="1" si="524"/>
        <v>0</v>
      </c>
      <c r="BF243" s="48">
        <f t="shared" si="485"/>
        <v>43</v>
      </c>
      <c r="BG243" s="48">
        <f ca="1">IF(IF(AND(OR(INDEX(PDC,MATCH($AC243,DEN_PDC,0),6)="SP DARE",INDEX(PDC,MATCH($AC243,DEN_PDC,0),6)="SP DARE/AVERE"),SUMIFS(DARE,DEN_G,$AC243)&gt;=SUMIFS(AVERE,DEN_G,$AC243)),SUMIFS(DARE,DEN_G,$AC243)-SUMIFS(AVERE,DEN_G,$AC243),0)&gt;0,MAX($BG$2:BG242)+1,0)</f>
        <v>0</v>
      </c>
      <c r="BH243" s="48">
        <f ca="1">IF(IF(AND(OR(INDEX(PDC,MATCH($AC243,DEN_PDC,0),6)="SP AVERE",INDEX(PDC,MATCH($AC243,DEN_PDC,0),6)="SP DARE/AVERE"),SUMIFS(AVERE,DEN_G,$AC243)&gt;=SUMIFS(DARE,DEN_G,$AC243)),SUMIFS(AVERE,DEN_G,$AC243)-SUMIFS(DARE,DEN_G,$AC243),0)&gt;0,MAX(BH$2:BH242)+1,0)</f>
        <v>0</v>
      </c>
      <c r="BI243" s="48">
        <f ca="1">IF(IF(AND(OR(INDEX(PDC,MATCH($AC243,DEN_PDC,0),6)="SE DARE",INDEX(PDC,MATCH($AC243,DEN_PDC,0),6)="SE DARE/AVERE"),SUMIFS(DARE,DEN_G,$AC243)&gt;=SUMIFS(AVERE,DEN_G,$AC243)),SUMIFS(DARE,DEN_G,$AC243)-SUMIFS(AVERE,DEN_G,$AC243),0)&gt;0,MAX(BI$2:BI242)+1,0)</f>
        <v>0</v>
      </c>
      <c r="BJ243" s="48">
        <f ca="1">IF(IF(AND(OR(INDEX(PDC,MATCH($AC243,DEN_PDC,0),6)="SE AVERE",INDEX(PDC,MATCH($AC243,DEN_PDC,0),6)="SE DARE/AVERE"),SUMIFS(AVERE,DEN_G,$AC243)&gt;=SUMIFS(DARE,DEN_G,$AC243)),SUMIFS(AVERE,DEN_G,$AC243)-SUMIFS(DARE,DEN_G,$AC243),0)&gt;0,MAX(BJ$2:BJ242)+1,0)</f>
        <v>0</v>
      </c>
      <c r="BK243" s="48" t="str">
        <f ca="1">IF(AND(AND($DY$2=0,$DY$1=0),$I$1=2,ROW()&gt;$BG$1+2,ROW()&lt;=$BG$1+4),"………………..",IF(AND(OR($DY$2&gt;0,$DY$1&gt;0),$I$1=2,ROW()&gt;$BG$1+2,ROW()&lt;=$BG$1+4),"………………..",IFERROR(INDEX($AC$3:$AC$398,MATCH(ROWS(BK$3:BK243),BG$3:BG$398,0),1),"")))</f>
        <v/>
      </c>
      <c r="BL243" s="48">
        <f t="shared" ca="1" si="421"/>
        <v>0</v>
      </c>
      <c r="BM243" s="48" t="str">
        <f ca="1">IF(AND(OR($DY$2=0,$DY$1=0),$I$1=2,ROW()&gt;$BH$1+2,ROW()&lt;=$BH$1+4),"………………..",IF(AND(OR($DY$2&gt;0,$DY$1&gt;0),$I$1=2,ROW()&gt;$BH$1+2,ROW()&lt;=$BH$1+4),"………………..",IFERROR(INDEX($AC$3:$AC$400,MATCH(ROWS(BM$3:BM243),BH$3:BH$400,0),1),"")))</f>
        <v/>
      </c>
      <c r="BN243" s="48">
        <f t="shared" ca="1" si="422"/>
        <v>0</v>
      </c>
      <c r="BO243" s="48" t="str">
        <f ca="1">IF(AND(OR($DY$2=0,$DY$1=0),$I$1=2,ROW()&gt;$BI$1+2,ROW()&lt;=$BI$1+4),"………………..",IF(AND(OR($DY$2&gt;0,$DY$1&gt;0),$I$1=2,ROW()&gt;$BI$1+2,ROW()&lt;=$BI$1+4),"………………..",IFERROR(INDEX($AC$3:$AC$400,MATCH(ROWS(BO$3:BO243),BI$3:BI$400,0),1),"")))</f>
        <v/>
      </c>
      <c r="BP243" s="48">
        <f t="shared" ca="1" si="423"/>
        <v>0</v>
      </c>
      <c r="BQ243" s="48" t="str">
        <f ca="1">IF(AND(OR($DY$2=0,$DY$1=0),$I$1=2,ROW()&gt;$BJ$1+2,ROW()&lt;=$BJ$1+4),"………………..",IF(AND(OR($DY$2&gt;0,$DY$1&gt;0),$I$1=2,ROW()&gt;$BJ$1+2,ROW()&lt;=$BJ$1+4),"………………..",IFERROR(INDEX($AC$3:$AC$400,MATCH(ROWS(BQ$3:BQ243),BJ$3:BJ$400,0),1),"")))</f>
        <v/>
      </c>
      <c r="BR243" s="48">
        <f t="shared" ca="1" si="424"/>
        <v>0</v>
      </c>
      <c r="BS243" s="48">
        <f ca="1">IF(IF(AND(OR(INDEX(PDC,MATCH($AC243,DEN_PDC,0),4)="D",INDEX(PDC,MATCH($AC243,DEN_PDC,0),4)="D/A"),SUMIFS(DARE,DEN_G,$AC243)&gt;=SUMIFS(AVERE,DEN_G,$AC243)),SUMIFS(DARE,DEN_G,$AC243),IF(AND(OR(INDEX(PDC,MATCH($AC243,DEN_PDC,0),4)="A",INDEX(PDC,MATCH($AC243,DEN_PDC,0),4)="D/A"),SUMIFS(AVERE,DEN_G,$AC243)&gt;=SUMIFS(DARE,DEN_G,$AC243)),SUMIFS(AVERE,DEN_G,$AC243),))&gt;0,MAX($BS$2:BS242)+1,0)</f>
        <v>0</v>
      </c>
      <c r="BT243" s="48" t="str">
        <f ca="1">IF($CO$1=0,"",IF(AND($I$1=2,ROW()&gt;$BR$1,ROW()&lt;=$BS$1)," …………….",IF(AND($E$1=1,$BX$1=1,$I$1=2,ROW()=$BQ$1),"TOTALI",IFERROR(INDEX(PDC,MATCH(ROWS(BT$3:BT243),BS$3:BS640,0),2),""))))</f>
        <v/>
      </c>
      <c r="BU243" s="48">
        <f t="shared" ca="1" si="425"/>
        <v>0</v>
      </c>
      <c r="BV243" s="48">
        <f t="shared" ca="1" si="426"/>
        <v>0</v>
      </c>
      <c r="BW243" s="48">
        <f t="shared" ca="1" si="427"/>
        <v>0</v>
      </c>
      <c r="BX243" s="48">
        <f t="shared" ca="1" si="428"/>
        <v>0</v>
      </c>
      <c r="BY243" s="48">
        <f ca="1">IF(OR(BW243&gt;0,BX243&gt;0),MAX($BY$2:BY242)+1,0)</f>
        <v>0</v>
      </c>
      <c r="BZ243" s="48" t="str">
        <f ca="1">IFERROR(INDEX($BT$3:$BY$400,MATCH(ROWS(BZ$3:BZ243),$BY$3:$BY$400,0),1),"")</f>
        <v/>
      </c>
      <c r="CA243" s="48" t="str">
        <f ca="1">IFERROR(INDEX($BT$3:$BY$400,MATCH(ROWS(CA$3:CA243),$BY$3:$BY$400,0),4),"")</f>
        <v/>
      </c>
      <c r="CB243" s="48" t="str">
        <f ca="1">IFERROR(INDEX($BT$3:$BY$400,MATCH(ROWS(CB$3:CB243),$BY$3:$BY$400,0),5),"")</f>
        <v/>
      </c>
      <c r="CC243" s="48" t="str">
        <f t="shared" ca="1" si="429"/>
        <v/>
      </c>
      <c r="CD243" s="48">
        <f ca="1">IF(CE243&lt;&gt;0,MAX($CD$190:CD242)+1,0)</f>
        <v>0</v>
      </c>
      <c r="CE243" s="48">
        <f ca="1">IF(ROUND(SUMIFS(COPIA!$CA$3:$CA$400,COPIA!$CC$3:$CC$400,CF243)-SUMIFS(COPIA!$CB$3:$CB$400,COPIA!$CC$3:$CC$400,CF243),0)&lt;0,0,-ROUND(SUMIFS(COPIA!$CA$3:$CA$400,COPIA!$CC$3:$CC$400,CF243)-SUMIFS(COPIA!$CB$3:$CB$400,COPIA!$CC$3:$CC$400,CF243),0))</f>
        <v>0</v>
      </c>
      <c r="CF243" s="48" t="s">
        <v>755</v>
      </c>
      <c r="CG243" s="242" t="s">
        <v>598</v>
      </c>
      <c r="CH243" s="48">
        <f t="shared" ca="1" si="534"/>
        <v>0</v>
      </c>
      <c r="CM243" s="242" t="str">
        <f t="shared" ca="1" si="444"/>
        <v/>
      </c>
      <c r="CN243" s="243">
        <f t="shared" ca="1" si="445"/>
        <v>0</v>
      </c>
      <c r="CO243" s="48" t="str">
        <f t="shared" ca="1" si="446"/>
        <v/>
      </c>
      <c r="CU243" s="48">
        <f ca="1">IF(SUMIFS(AVERE,DEN_G,AC243,AVERE,"&gt;"&amp;0)+SUMIFS(DARE,DEN_G,AC243,DARE,"&gt;"&amp;0)&gt;0,MAX($CU$2:CU242)+1,0)</f>
        <v>0</v>
      </c>
      <c r="CV243" s="48" t="str">
        <f ca="1">IF(IFERROR(INDEX(PDC,MATCH(ROWS($CV$3:CV243),$CU$3:$CU$400,0),2),"")="CONTO DI RISULTATO ECONOMICO","",IFERROR(INDEX(PDC,MATCH(ROWS($CV$3:CV243),$CU$3:$CU$400,0),2),""))</f>
        <v/>
      </c>
      <c r="CW243" s="48">
        <f ca="1">IFERROR(IF(CV243&lt;&gt;"",MAX($CW$2:CW242)+1,0),0)</f>
        <v>0</v>
      </c>
      <c r="CX243" s="48">
        <f t="shared" ca="1" si="528"/>
        <v>19</v>
      </c>
      <c r="CY243" s="48" t="str">
        <f t="shared" ca="1" si="527"/>
        <v>MASTRO</v>
      </c>
      <c r="CZ243" s="48" t="e">
        <f t="shared" ca="1" si="530"/>
        <v>#N/A</v>
      </c>
      <c r="DA243" s="48" t="str">
        <f t="shared" ca="1" si="535"/>
        <v/>
      </c>
      <c r="DB243" s="48" t="str">
        <f t="shared" ca="1" si="499"/>
        <v/>
      </c>
      <c r="DC243" s="48" t="str">
        <f t="shared" ca="1" si="531"/>
        <v/>
      </c>
      <c r="DD243" s="48" t="str">
        <f t="shared" ca="1" si="532"/>
        <v/>
      </c>
      <c r="DE243" s="48" t="str">
        <f t="shared" ca="1" si="533"/>
        <v/>
      </c>
      <c r="DF243" s="48">
        <f ca="1">IF(AND(CX243=$DF$1,CX243&lt;&gt;""),0,IF(AND(DB243&lt;&gt;"",OR(DB242&lt;&gt;"",DB244&lt;&gt;"")),MAX($DF$2:DF242)+1,0))</f>
        <v>0</v>
      </c>
      <c r="DH243" s="244" t="s">
        <v>173</v>
      </c>
      <c r="DI243" s="228" t="s">
        <v>696</v>
      </c>
      <c r="DN243" s="48">
        <f ca="1">IF(DI243&lt;&gt;"",MAX($DN$2:DN242)+1,0)</f>
        <v>185</v>
      </c>
      <c r="DQ243" s="227" t="s">
        <v>182</v>
      </c>
      <c r="DR243" s="48" t="s">
        <v>175</v>
      </c>
      <c r="DS243" s="48" t="s">
        <v>311</v>
      </c>
      <c r="DT243" s="48" t="s">
        <v>275</v>
      </c>
      <c r="DU243" s="48" t="s">
        <v>319</v>
      </c>
      <c r="DV243" s="48" t="s">
        <v>301</v>
      </c>
      <c r="DW243" s="48">
        <f ca="1">IF(DR243&lt;&gt;"",MAX($DW$2:DW242)+1,0)</f>
        <v>142</v>
      </c>
      <c r="DX243" s="48" t="s">
        <v>701</v>
      </c>
      <c r="DY243" s="48" t="str">
        <f t="shared" ca="1" si="430"/>
        <v/>
      </c>
      <c r="EL243" s="48">
        <f t="shared" ca="1" si="431"/>
        <v>0</v>
      </c>
      <c r="EM243" s="48">
        <f ca="1">IF(EL243&gt;=0,0,MAX($EM$2:EM242)+1)</f>
        <v>0</v>
      </c>
      <c r="EN243" s="48" t="str">
        <f t="shared" ca="1" si="459"/>
        <v/>
      </c>
      <c r="EO243" s="48" t="str">
        <f ca="1">IFERROR(INDEX($EM$3:$EN$400,MATCH(ROWS($EO$3:EO243),$EM$3:$EM$400,0),2),"")</f>
        <v/>
      </c>
      <c r="EP243" s="48">
        <f>ROW()</f>
        <v>243</v>
      </c>
      <c r="EQ243" s="48">
        <f t="shared" ca="1" si="432"/>
        <v>0</v>
      </c>
      <c r="ER243" s="48">
        <f ca="1">IF(ISNA(EQ243)=TRUE,MAX($ER$2:ER242)+1,0)</f>
        <v>0</v>
      </c>
      <c r="ES243" s="48" t="str">
        <f t="shared" ca="1" si="460"/>
        <v/>
      </c>
      <c r="ET243" s="48" t="str">
        <f ca="1">IFERROR(INDEX($ER$3:$ES$400,MATCH(ROWS($ET$3:ET243),$ER$3:$ER$400,0),2),"")</f>
        <v/>
      </c>
      <c r="EV243" s="48">
        <f ca="1">IFERROR(INDEX(LIBRO_GIORNALE!$O$11:$P$408,MATCH(ROWS($EV$2:EV242),LIBRO_GIORNALE!$P$11:$P$408,0),1),0)</f>
        <v>0</v>
      </c>
      <c r="EW243" s="48" t="str">
        <f t="shared" ca="1" si="461"/>
        <v>0</v>
      </c>
      <c r="EX243" s="48">
        <f t="shared" ca="1" si="462"/>
        <v>0</v>
      </c>
      <c r="EY243" s="48">
        <f ca="1">IF(EX243&gt;0,MAX($EY$2:EY242)+1,0)</f>
        <v>0</v>
      </c>
      <c r="EZ243" s="48">
        <f ca="1">IFERROR(INDEX($EX$3:$EX$400,MATCH(ROWS($EZ$3:EZ243),$EY$3:$EY$400,0),1),0)</f>
        <v>0</v>
      </c>
      <c r="FA243" s="48">
        <f ca="1">IF(EZ243&gt;0,0,MAX($FA$2:FA242)+1)</f>
        <v>241</v>
      </c>
      <c r="FB243" s="48">
        <f t="shared" ca="1" si="463"/>
        <v>0</v>
      </c>
      <c r="FC243" s="48">
        <f t="shared" ca="1" si="464"/>
        <v>241</v>
      </c>
      <c r="FD243" s="48">
        <f t="shared" ca="1" si="465"/>
        <v>241</v>
      </c>
      <c r="FE243" s="48">
        <f ca="1">IF(FD243=0,0,MAX($FE$2:FE242)+1)</f>
        <v>241</v>
      </c>
      <c r="FF243" s="48">
        <f ca="1">IFERROR(INDEX($FD$3:$FE$400,MATCH(ROWS($FF$3:FF243),$FE$3:$FE$400,0),1),"")</f>
        <v>241</v>
      </c>
      <c r="FG243" s="48">
        <f t="shared" ca="1" si="519"/>
        <v>0</v>
      </c>
      <c r="FH243" s="48">
        <f t="shared" ca="1" si="466"/>
        <v>0</v>
      </c>
      <c r="FI243" s="48">
        <f ca="1">IF(FH243&lt;&gt;0,MAX($FI$2:FI242)+1,0)</f>
        <v>0</v>
      </c>
      <c r="FJ243" s="48" t="str">
        <f ca="1">IFERROR(INDEX($FH$3:$FI$400,MATCH(ROWS($FJ$3:FJ243),$FI$3:$FI$400,0),1),"")</f>
        <v/>
      </c>
      <c r="FK243" s="48">
        <f ca="1">IF(ABS(SUMIFS(DARE,DEN_G,"="&amp;FJ243,DATA,"&lt;="&amp;FINE_AC,DATA,"&gt;="&amp;INIZIO_A_PC)-SUMIFS(AVERE,DEN_G,"="&amp;FJ243,DATA,"&lt;="&amp;FINE_AC,DATA,"&gt;="&amp;INIZIO_A_PC))&gt;0,MAX($FK$2:FK242)+1,0)</f>
        <v>0</v>
      </c>
      <c r="FL243" s="48" t="str">
        <f ca="1">IF(AND(ROW()-2&lt;&gt;1,ROW()-2&lt;=$FK$1),CONCATENATE(" - ",IFERROR(INDEX($FJ$3:$FK$400,MATCH(ROWS($FL$3:FL243),$FK$3:$FK$400,0),1),"")),IFERROR(INDEX($FJ$3:$FK$400,MATCH(ROWS($FL$3:FL243),$FK$3:$FK$400,0),1),""))</f>
        <v/>
      </c>
      <c r="FM243" s="48">
        <f ca="1">IF(OR(B243="IVA ns/credito",B243="IVA NS/DEBITO",B243="IVA C/ACCONTO",B243="IMPOSTE C/ACCONTO",B243="CREDITI PER RITENUTE SUBITE",B243="CREDITI D'IMPOSTA"),MAX($FM$2:FM242)+1,0)</f>
        <v>0</v>
      </c>
      <c r="FN243" s="48" t="str">
        <f t="shared" ca="1" si="467"/>
        <v/>
      </c>
      <c r="FO243" s="48" t="str">
        <f ca="1">IFERROR(INDEX($FM$3:$FN$400,MATCH(ROWS($FO$3:FO243),$FM$3:$FM$400,0),2),"")</f>
        <v/>
      </c>
      <c r="FP243" s="48">
        <f ca="1">IF(ABS(SUMIFS(DARE,DEN_G,"="&amp;FO243,DATA,"&lt;="&amp;FINE_AC,DATA,"&gt;="&amp;INIZIO_A_PC)-SUMIFS(AVERE,DEN_G,"="&amp;FO243,DATA,"&lt;="&amp;FINE_AC,DATA,"&gt;="&amp;INIZIO_A_PC))&gt;0,MAX($FP$2:FP242)+1,0)</f>
        <v>0</v>
      </c>
      <c r="FQ243" s="48" t="str">
        <f ca="1">IF(AND(ROW()-2&lt;&gt;1,ROW()-2&lt;=$FP$1),CONCATENATE(" - ",IFERROR(INDEX($FO$3:$FP$400,MATCH(ROWS($FQ$3:FQ243),$FP$3:$FP$400,0),1),"")),IFERROR(INDEX($FO$3:$FP$400,MATCH(ROWS($FQ$3:FQ243),$FP$3:$FP$400,0),1),""))</f>
        <v/>
      </c>
    </row>
    <row r="244" spans="1:173" x14ac:dyDescent="0.3">
      <c r="A244" s="48" t="str">
        <f ca="1">IFERROR(IF($A$1=2,INDEX($DH$3:$DN$401,MATCH(ROWS(A$3:A244),$DN$3:$DN$401,0),COLUMN()),IF($A$1=1,INDEX($DQ$3:$DW$401,MATCH(ROWS(A$3:A244),$DW$3:$DW$401,0),COLUMN()),"")),"")</f>
        <v>32.00</v>
      </c>
      <c r="B244" s="48" t="str">
        <f ca="1">IFERROR(IF($A$1=2,INDEX($DH$3:$DN$401,MATCH(ROWS(B$3:B244),$DN$3:$DN$401,0),COLUMN()),IF($A$1=1,INDEX($DQ$3:$DW$400,MATCH(ROWS(B$3:B244),$DW$3:$DW$401,0),COLUMN()),"")),"")</f>
        <v>COSTI PER GODIMENTO BENI DI TERZI</v>
      </c>
      <c r="C244" s="48">
        <f ca="1">IFERROR(IF($A$1=2,INDEX($DH$3:$DN$401,MATCH(ROWS(C$3:C244),$DN$3:$DN$401,0),COLUMN()),IF($A$1=1,INDEX($DQ$3:$DW$401,MATCH(ROWS(C$3:C244),$DW$3:$DW$401,0),COLUMN()),"")),"")</f>
        <v>0</v>
      </c>
      <c r="D244" s="48">
        <f ca="1">IFERROR(IF($A$1=2,INDEX($DH$3:$DN$401,MATCH(ROWS(D$3:D244),$DN$3:$DN$401,0),COLUMN()),IF($A$1=1,INDEX($DQ$3:$DW$401,MATCH(ROWS(D$3:D244),$DW$3:$DW$401,0),COLUMN()),"")),"")</f>
        <v>0</v>
      </c>
      <c r="E244" s="48">
        <f ca="1">IFERROR(IF($A$1=2,INDEX($DH$3:$DN$401,MATCH(ROWS(E$3:E244),$DN$3:$DN$401,0),COLUMN()),IF($A$1=1,INDEX($DQ$3:$DW$401,MATCH(ROWS(E$3:E244),$DW$3:$DW$401,0),COLUMN()),"")),"")</f>
        <v>0</v>
      </c>
      <c r="F244" s="48">
        <f ca="1">IFERROR(IF($A$1=2,INDEX($DH$3:$DN$401,MATCH(ROWS(F$3:F244),$DN$3:$DN$401,0),COLUMN()),IF($A$1=1,INDEX($DQ$3:$DX$401,MATCH(ROWS(F$3:F244),$DW$3:$DW$401,0),COLUMN()),"")),"")</f>
        <v>0</v>
      </c>
      <c r="G244" s="48" t="str">
        <f t="shared" ca="1" si="433"/>
        <v>0</v>
      </c>
      <c r="H244" s="48">
        <f ca="1">IFERROR(IF($A$1=2,INDEX($DH$3:$DO$400,MATCH(ROWS(H$3:H244),$DN$3:$DN$400,0),COLUMN()),IF($A$1=1,INDEX($DQ$3:$DX$400,MATCH(ROWS(H$3:H244),$DW$3:$DW$400,0),COLUMN()),"")),"")</f>
        <v>0</v>
      </c>
      <c r="M244" s="48">
        <f ca="1">IFERROR(IF(IF(MID($A244,3,3)=".00",MID(A244,1,2),"")&lt;&gt;"",MAX($M$2:M243)+1,0),"")</f>
        <v>24</v>
      </c>
      <c r="N244" s="48" t="str">
        <f t="shared" ca="1" si="438"/>
        <v>32</v>
      </c>
      <c r="O244" s="48" t="str">
        <f ca="1">IF(IFERROR(INDEX($N$3:$O$300,MATCH(ROWS($O$3:O244),$M$3:$M$300,0),1),"")&lt;&gt;"",CONCATENATE(INDEX($N$3:$O$300,MATCH(ROWS($O$3:O244),$M$3:$M$300,0),1),".00"),"")</f>
        <v/>
      </c>
      <c r="P244" s="48" t="str">
        <f t="shared" ca="1" si="439"/>
        <v/>
      </c>
      <c r="Q244" s="48">
        <f ca="1">IF(M244&gt;=1,0,MAX($Q$2:Q243)+1)</f>
        <v>0</v>
      </c>
      <c r="U244" s="48" t="str">
        <f ca="1">IFERROR(INDEX(PDC,MATCH(ROWS(U$3:U244),$V$3:$V$400,0),2),"")</f>
        <v>MATERIE PRIME C/ESISTENZE INIZIALI</v>
      </c>
      <c r="V244" s="48">
        <f ca="1">IF(AND($T$1="VISUALIZZA TUTTI I CONTI",AA244&lt;&gt;""),MAX($V$2:V243)+1,IF(AND($U$2=2,AI244=$T$1),MAX($V$2:V243)+1,IF(AND($U$2=1,$T$1=AF244),MAX($V$2:V243)+1,0)))</f>
        <v>242</v>
      </c>
      <c r="AA244" s="48" t="str">
        <f t="shared" ca="1" si="440"/>
        <v>37.00</v>
      </c>
      <c r="AB244" s="48" t="str">
        <f ca="1">IFERROR(INDEX($A$3:$G$400,MATCH(ROWS(AB$3:AB244),$Q$3:$Q$400,0),1),"")</f>
        <v>37.01</v>
      </c>
      <c r="AC244" s="48" t="str">
        <f ca="1">IFERROR(INDEX($A$3:$G$400,MATCH(ROWS($AC$3:AC244),$Q$3:$Q$400,0),2),"")</f>
        <v>MATERIE PRIME C/ESISTENZE INIZIALI</v>
      </c>
      <c r="AD244" s="48" t="str">
        <f ca="1">IFERROR(INDEX($A$3:$G$400,MATCH(ROWS(AD$3:AD244),$Q$3:$Q$400,0),3),"")</f>
        <v>E</v>
      </c>
      <c r="AE244" s="48" t="str">
        <f ca="1">IFERROR(INDEX($A$3:$G$400,MATCH(ROWS(AE$3:AE244),$Q$3:$Q$400,0),4),"")</f>
        <v>D</v>
      </c>
      <c r="AF244" s="48" t="str">
        <f ca="1">IFERROR(INDEX($A$3:$G$400,MATCH(ROWS(AF$3:AF244),$Q$3:$Q$400,0),5),"")</f>
        <v>COSTI D'ESERCIZIO</v>
      </c>
      <c r="AG244" s="48" t="str">
        <f ca="1">IFERROR(INDEX($A$3:$G$400,MATCH(ROWS(AG$3:AG244),$Q$3:$Q$400,0),6),"")</f>
        <v>SE DARE</v>
      </c>
      <c r="AH244" s="48" t="str">
        <f ca="1">IFERROR(INDEX($A$3:$G$400,MATCH(ROWS(AH$3:AH244),$Q$3:$Q$400,0),7),"")</f>
        <v>SE</v>
      </c>
      <c r="AI244" s="48" t="str">
        <f t="shared" ca="1" si="441"/>
        <v>VARIAZIONI DELLE RIMANZENZE DI MATERIE</v>
      </c>
      <c r="AJ244" s="48" t="str">
        <f ca="1">IFERROR(INDEX($A$3:$H$400,MATCH(ROWS(AJ$3:AJ244),$Q$3:$Q$400,0),8),"")</f>
        <v>eb11</v>
      </c>
      <c r="AK244" s="48">
        <f t="shared" ca="1" si="417"/>
        <v>0</v>
      </c>
      <c r="AL244" s="48">
        <f t="shared" ca="1" si="515"/>
        <v>0</v>
      </c>
      <c r="AM244" s="48">
        <f t="shared" ca="1" si="516"/>
        <v>0</v>
      </c>
      <c r="AN244" s="48">
        <f t="shared" ca="1" si="517"/>
        <v>0</v>
      </c>
      <c r="AO244" s="48">
        <f t="shared" ca="1" si="518"/>
        <v>0</v>
      </c>
      <c r="AP244" s="48">
        <f t="shared" ca="1" si="518"/>
        <v>0</v>
      </c>
      <c r="AZ244" s="48" t="str">
        <f t="shared" ca="1" si="484"/>
        <v/>
      </c>
      <c r="BA244" s="48">
        <f t="shared" ca="1" si="520"/>
        <v>0</v>
      </c>
      <c r="BB244" s="48">
        <f t="shared" ca="1" si="521"/>
        <v>0</v>
      </c>
      <c r="BC244" s="48">
        <f t="shared" ca="1" si="522"/>
        <v>0</v>
      </c>
      <c r="BD244" s="48">
        <f t="shared" ca="1" si="523"/>
        <v>0</v>
      </c>
      <c r="BE244" s="48">
        <f t="shared" ca="1" si="524"/>
        <v>0</v>
      </c>
      <c r="BF244" s="48">
        <f t="shared" si="485"/>
        <v>44</v>
      </c>
      <c r="BG244" s="48">
        <f ca="1">IF(IF(AND(OR(INDEX(PDC,MATCH($AC244,DEN_PDC,0),6)="SP DARE",INDEX(PDC,MATCH($AC244,DEN_PDC,0),6)="SP DARE/AVERE"),SUMIFS(DARE,DEN_G,$AC244)&gt;=SUMIFS(AVERE,DEN_G,$AC244)),SUMIFS(DARE,DEN_G,$AC244)-SUMIFS(AVERE,DEN_G,$AC244),0)&gt;0,MAX($BG$2:BG243)+1,0)</f>
        <v>0</v>
      </c>
      <c r="BH244" s="48">
        <f ca="1">IF(IF(AND(OR(INDEX(PDC,MATCH($AC244,DEN_PDC,0),6)="SP AVERE",INDEX(PDC,MATCH($AC244,DEN_PDC,0),6)="SP DARE/AVERE"),SUMIFS(AVERE,DEN_G,$AC244)&gt;=SUMIFS(DARE,DEN_G,$AC244)),SUMIFS(AVERE,DEN_G,$AC244)-SUMIFS(DARE,DEN_G,$AC244),0)&gt;0,MAX(BH$2:BH243)+1,0)</f>
        <v>0</v>
      </c>
      <c r="BI244" s="48">
        <f ca="1">IF(IF(AND(OR(INDEX(PDC,MATCH($AC244,DEN_PDC,0),6)="SE DARE",INDEX(PDC,MATCH($AC244,DEN_PDC,0),6)="SE DARE/AVERE"),SUMIFS(DARE,DEN_G,$AC244)&gt;=SUMIFS(AVERE,DEN_G,$AC244)),SUMIFS(DARE,DEN_G,$AC244)-SUMIFS(AVERE,DEN_G,$AC244),0)&gt;0,MAX(BI$2:BI243)+1,0)</f>
        <v>0</v>
      </c>
      <c r="BJ244" s="48">
        <f ca="1">IF(IF(AND(OR(INDEX(PDC,MATCH($AC244,DEN_PDC,0),6)="SE AVERE",INDEX(PDC,MATCH($AC244,DEN_PDC,0),6)="SE DARE/AVERE"),SUMIFS(AVERE,DEN_G,$AC244)&gt;=SUMIFS(DARE,DEN_G,$AC244)),SUMIFS(AVERE,DEN_G,$AC244)-SUMIFS(DARE,DEN_G,$AC244),0)&gt;0,MAX(BJ$2:BJ243)+1,0)</f>
        <v>0</v>
      </c>
      <c r="BK244" s="48" t="str">
        <f ca="1">IF(AND(AND($DY$2=0,$DY$1=0),$I$1=2,ROW()&gt;$BG$1+2,ROW()&lt;=$BG$1+4),"………………..",IF(AND(OR($DY$2&gt;0,$DY$1&gt;0),$I$1=2,ROW()&gt;$BG$1+2,ROW()&lt;=$BG$1+4),"………………..",IFERROR(INDEX($AC$3:$AC$398,MATCH(ROWS(BK$3:BK244),BG$3:BG$398,0),1),"")))</f>
        <v/>
      </c>
      <c r="BL244" s="48">
        <f t="shared" ca="1" si="421"/>
        <v>0</v>
      </c>
      <c r="BM244" s="48" t="str">
        <f ca="1">IF(AND(OR($DY$2=0,$DY$1=0),$I$1=2,ROW()&gt;$BH$1+2,ROW()&lt;=$BH$1+4),"………………..",IF(AND(OR($DY$2&gt;0,$DY$1&gt;0),$I$1=2,ROW()&gt;$BH$1+2,ROW()&lt;=$BH$1+4),"………………..",IFERROR(INDEX($AC$3:$AC$400,MATCH(ROWS(BM$3:BM244),BH$3:BH$400,0),1),"")))</f>
        <v/>
      </c>
      <c r="BN244" s="48">
        <f t="shared" ca="1" si="422"/>
        <v>0</v>
      </c>
      <c r="BO244" s="48" t="str">
        <f ca="1">IF(AND(OR($DY$2=0,$DY$1=0),$I$1=2,ROW()&gt;$BI$1+2,ROW()&lt;=$BI$1+4),"………………..",IF(AND(OR($DY$2&gt;0,$DY$1&gt;0),$I$1=2,ROW()&gt;$BI$1+2,ROW()&lt;=$BI$1+4),"………………..",IFERROR(INDEX($AC$3:$AC$400,MATCH(ROWS(BO$3:BO244),BI$3:BI$400,0),1),"")))</f>
        <v/>
      </c>
      <c r="BP244" s="48">
        <f t="shared" ca="1" si="423"/>
        <v>0</v>
      </c>
      <c r="BQ244" s="48" t="str">
        <f ca="1">IF(AND(OR($DY$2=0,$DY$1=0),$I$1=2,ROW()&gt;$BJ$1+2,ROW()&lt;=$BJ$1+4),"………………..",IF(AND(OR($DY$2&gt;0,$DY$1&gt;0),$I$1=2,ROW()&gt;$BJ$1+2,ROW()&lt;=$BJ$1+4),"………………..",IFERROR(INDEX($AC$3:$AC$400,MATCH(ROWS(BQ$3:BQ244),BJ$3:BJ$400,0),1),"")))</f>
        <v/>
      </c>
      <c r="BR244" s="48">
        <f t="shared" ca="1" si="424"/>
        <v>0</v>
      </c>
      <c r="BS244" s="48">
        <f ca="1">IF(IF(AND(OR(INDEX(PDC,MATCH($AC244,DEN_PDC,0),4)="D",INDEX(PDC,MATCH($AC244,DEN_PDC,0),4)="D/A"),SUMIFS(DARE,DEN_G,$AC244)&gt;=SUMIFS(AVERE,DEN_G,$AC244)),SUMIFS(DARE,DEN_G,$AC244),IF(AND(OR(INDEX(PDC,MATCH($AC244,DEN_PDC,0),4)="A",INDEX(PDC,MATCH($AC244,DEN_PDC,0),4)="D/A"),SUMIFS(AVERE,DEN_G,$AC244)&gt;=SUMIFS(DARE,DEN_G,$AC244)),SUMIFS(AVERE,DEN_G,$AC244),))&gt;0,MAX($BS$2:BS243)+1,0)</f>
        <v>0</v>
      </c>
      <c r="BT244" s="48" t="str">
        <f ca="1">IF($CO$1=0,"",IF(AND($I$1=2,ROW()&gt;$BR$1,ROW()&lt;=$BS$1)," …………….",IF(AND($E$1=1,$BX$1=1,$I$1=2,ROW()=$BQ$1),"TOTALI",IFERROR(INDEX(PDC,MATCH(ROWS(BT$3:BT244),BS$3:BS641,0),2),""))))</f>
        <v/>
      </c>
      <c r="BU244" s="48">
        <f t="shared" ca="1" si="425"/>
        <v>0</v>
      </c>
      <c r="BV244" s="48">
        <f t="shared" ca="1" si="426"/>
        <v>0</v>
      </c>
      <c r="BW244" s="48">
        <f t="shared" ca="1" si="427"/>
        <v>0</v>
      </c>
      <c r="BX244" s="48">
        <f t="shared" ca="1" si="428"/>
        <v>0</v>
      </c>
      <c r="BY244" s="48">
        <f ca="1">IF(OR(BW244&gt;0,BX244&gt;0),MAX($BY$2:BY243)+1,0)</f>
        <v>0</v>
      </c>
      <c r="BZ244" s="48" t="str">
        <f ca="1">IFERROR(INDEX($BT$3:$BY$400,MATCH(ROWS(BZ$3:BZ244),$BY$3:$BY$400,0),1),"")</f>
        <v/>
      </c>
      <c r="CA244" s="48" t="str">
        <f ca="1">IFERROR(INDEX($BT$3:$BY$400,MATCH(ROWS(CA$3:CA244),$BY$3:$BY$400,0),4),"")</f>
        <v/>
      </c>
      <c r="CB244" s="48" t="str">
        <f ca="1">IFERROR(INDEX($BT$3:$BY$400,MATCH(ROWS(CB$3:CB244),$BY$3:$BY$400,0),5),"")</f>
        <v/>
      </c>
      <c r="CC244" s="48" t="str">
        <f t="shared" ca="1" si="429"/>
        <v/>
      </c>
      <c r="CD244" s="48">
        <f ca="1">IF(CE244&lt;&gt;0,MAX($CD$190:CD243)+1,0)</f>
        <v>0</v>
      </c>
      <c r="CE244" s="48">
        <f ca="1">IF(AND(OR(CE234="a",CE239="a"),SUM(CE235:CE238,CE240:CE243)=0),"_",SUM(CE235:CE238,CE240:CE243))</f>
        <v>0</v>
      </c>
      <c r="CG244" s="242" t="s">
        <v>786</v>
      </c>
      <c r="CH244" s="48">
        <f t="shared" ca="1" si="534"/>
        <v>0</v>
      </c>
      <c r="CM244" s="242" t="str">
        <f t="shared" ca="1" si="444"/>
        <v/>
      </c>
      <c r="CN244" s="243">
        <f t="shared" ca="1" si="445"/>
        <v>0</v>
      </c>
      <c r="CO244" s="48" t="str">
        <f t="shared" ca="1" si="446"/>
        <v/>
      </c>
      <c r="CU244" s="48">
        <f ca="1">IF(SUMIFS(AVERE,DEN_G,AC244,AVERE,"&gt;"&amp;0)+SUMIFS(DARE,DEN_G,AC244,DARE,"&gt;"&amp;0)&gt;0,MAX($CU$2:CU243)+1,0)</f>
        <v>0</v>
      </c>
      <c r="CV244" s="48" t="str">
        <f ca="1">IF(IFERROR(INDEX(PDC,MATCH(ROWS($CV$3:CV244),$CU$3:$CU$400,0),2),"")="CONTO DI RISULTATO ECONOMICO","",IFERROR(INDEX(PDC,MATCH(ROWS($CV$3:CV244),$CU$3:$CU$400,0),2),""))</f>
        <v/>
      </c>
      <c r="CW244" s="48">
        <f ca="1">IFERROR(IF(CV244&lt;&gt;"",MAX($CW$2:CW243)+1,0),0)</f>
        <v>0</v>
      </c>
      <c r="CX244" s="48">
        <f t="shared" ca="1" si="528"/>
        <v>19</v>
      </c>
      <c r="CY244" s="48" t="str">
        <f t="shared" ca="1" si="527"/>
        <v>MASTRO</v>
      </c>
      <c r="CZ244" s="48" t="e">
        <f t="shared" ca="1" si="530"/>
        <v>#N/A</v>
      </c>
      <c r="DA244" s="48" t="str">
        <f t="shared" ca="1" si="535"/>
        <v/>
      </c>
      <c r="DB244" s="48" t="str">
        <f t="shared" ca="1" si="499"/>
        <v/>
      </c>
      <c r="DC244" s="48" t="str">
        <f t="shared" ca="1" si="531"/>
        <v/>
      </c>
      <c r="DD244" s="48" t="str">
        <f t="shared" ca="1" si="532"/>
        <v/>
      </c>
      <c r="DE244" s="48" t="str">
        <f t="shared" ca="1" si="533"/>
        <v/>
      </c>
      <c r="DF244" s="48">
        <f ca="1">IF(AND(CX244=$DF$1,CX244&lt;&gt;""),0,IF(AND(DB244&lt;&gt;"",OR(DB243&lt;&gt;"",DB245&lt;&gt;"")),MAX($DF$2:DF243)+1,0))</f>
        <v>0</v>
      </c>
      <c r="DH244" s="244" t="s">
        <v>180</v>
      </c>
      <c r="DI244" s="48" t="s">
        <v>933</v>
      </c>
      <c r="DJ244" s="48" t="s">
        <v>311</v>
      </c>
      <c r="DK244" s="48" t="s">
        <v>298</v>
      </c>
      <c r="DL244" s="48" t="s">
        <v>8</v>
      </c>
      <c r="DM244" s="48" t="s">
        <v>300</v>
      </c>
      <c r="DN244" s="48">
        <f ca="1">IF(DI244&lt;&gt;"",MAX($DN$2:DN243)+1,0)</f>
        <v>186</v>
      </c>
      <c r="DO244" s="48" t="s">
        <v>701</v>
      </c>
      <c r="DQ244" s="227" t="s">
        <v>183</v>
      </c>
      <c r="DR244" s="48" t="s">
        <v>176</v>
      </c>
      <c r="DS244" s="48" t="s">
        <v>311</v>
      </c>
      <c r="DT244" s="48" t="s">
        <v>275</v>
      </c>
      <c r="DU244" s="48" t="s">
        <v>319</v>
      </c>
      <c r="DV244" s="48" t="s">
        <v>301</v>
      </c>
      <c r="DW244" s="48">
        <f ca="1">IF(DR244&lt;&gt;"",MAX($DW$2:DW243)+1,0)</f>
        <v>143</v>
      </c>
      <c r="DX244" s="48" t="s">
        <v>701</v>
      </c>
      <c r="DY244" s="48" t="str">
        <f t="shared" ca="1" si="430"/>
        <v/>
      </c>
      <c r="EL244" s="48">
        <f t="shared" ca="1" si="431"/>
        <v>0</v>
      </c>
      <c r="EM244" s="48">
        <f ca="1">IF(EL244&gt;=0,0,MAX($EM$2:EM243)+1)</f>
        <v>0</v>
      </c>
      <c r="EN244" s="48" t="str">
        <f t="shared" ca="1" si="459"/>
        <v/>
      </c>
      <c r="EO244" s="48" t="str">
        <f ca="1">IFERROR(INDEX($EM$3:$EN$400,MATCH(ROWS($EO$3:EO244),$EM$3:$EM$400,0),2),"")</f>
        <v/>
      </c>
      <c r="EP244" s="48">
        <f>ROW()</f>
        <v>244</v>
      </c>
      <c r="EQ244" s="48">
        <f t="shared" ca="1" si="432"/>
        <v>0</v>
      </c>
      <c r="ER244" s="48">
        <f ca="1">IF(ISNA(EQ244)=TRUE,MAX($ER$2:ER243)+1,0)</f>
        <v>0</v>
      </c>
      <c r="ES244" s="48" t="str">
        <f t="shared" ca="1" si="460"/>
        <v/>
      </c>
      <c r="ET244" s="48" t="str">
        <f ca="1">IFERROR(INDEX($ER$3:$ES$400,MATCH(ROWS($ET$3:ET244),$ER$3:$ER$400,0),2),"")</f>
        <v/>
      </c>
      <c r="EV244" s="48">
        <f ca="1">IFERROR(INDEX(LIBRO_GIORNALE!$O$11:$P$408,MATCH(ROWS($EV$2:EV243),LIBRO_GIORNALE!$P$11:$P$408,0),1),0)</f>
        <v>0</v>
      </c>
      <c r="EW244" s="48" t="str">
        <f t="shared" ca="1" si="461"/>
        <v>0</v>
      </c>
      <c r="EX244" s="48">
        <f t="shared" ca="1" si="462"/>
        <v>0</v>
      </c>
      <c r="EY244" s="48">
        <f ca="1">IF(EX244&gt;0,MAX($EY$2:EY243)+1,0)</f>
        <v>0</v>
      </c>
      <c r="EZ244" s="48">
        <f ca="1">IFERROR(INDEX($EX$3:$EX$400,MATCH(ROWS($EZ$3:EZ244),$EY$3:$EY$400,0),1),0)</f>
        <v>0</v>
      </c>
      <c r="FA244" s="48">
        <f ca="1">IF(EZ244&gt;0,0,MAX($FA$2:FA243)+1)</f>
        <v>242</v>
      </c>
      <c r="FB244" s="48">
        <f t="shared" ca="1" si="463"/>
        <v>0</v>
      </c>
      <c r="FC244" s="48">
        <f t="shared" ca="1" si="464"/>
        <v>242</v>
      </c>
      <c r="FD244" s="48">
        <f t="shared" ca="1" si="465"/>
        <v>242</v>
      </c>
      <c r="FE244" s="48">
        <f ca="1">IF(FD244=0,0,MAX($FE$2:FE243)+1)</f>
        <v>242</v>
      </c>
      <c r="FF244" s="48">
        <f ca="1">IFERROR(INDEX($FD$3:$FE$400,MATCH(ROWS($FF$3:FF244),$FE$3:$FE$400,0),1),"")</f>
        <v>242</v>
      </c>
      <c r="FG244" s="48">
        <f t="shared" ca="1" si="519"/>
        <v>0</v>
      </c>
      <c r="FH244" s="48">
        <f t="shared" ca="1" si="466"/>
        <v>0</v>
      </c>
      <c r="FI244" s="48">
        <f ca="1">IF(FH244&lt;&gt;0,MAX($FI$2:FI243)+1,0)</f>
        <v>0</v>
      </c>
      <c r="FJ244" s="48" t="str">
        <f ca="1">IFERROR(INDEX($FH$3:$FI$400,MATCH(ROWS($FJ$3:FJ244),$FI$3:$FI$400,0),1),"")</f>
        <v/>
      </c>
      <c r="FK244" s="48">
        <f ca="1">IF(ABS(SUMIFS(DARE,DEN_G,"="&amp;FJ244,DATA,"&lt;="&amp;FINE_AC,DATA,"&gt;="&amp;INIZIO_A_PC)-SUMIFS(AVERE,DEN_G,"="&amp;FJ244,DATA,"&lt;="&amp;FINE_AC,DATA,"&gt;="&amp;INIZIO_A_PC))&gt;0,MAX($FK$2:FK243)+1,0)</f>
        <v>0</v>
      </c>
      <c r="FL244" s="48" t="str">
        <f ca="1">IF(AND(ROW()-2&lt;&gt;1,ROW()-2&lt;=$FK$1),CONCATENATE(" - ",IFERROR(INDEX($FJ$3:$FK$400,MATCH(ROWS($FL$3:FL244),$FK$3:$FK$400,0),1),"")),IFERROR(INDEX($FJ$3:$FK$400,MATCH(ROWS($FL$3:FL244),$FK$3:$FK$400,0),1),""))</f>
        <v/>
      </c>
      <c r="FM244" s="48">
        <f ca="1">IF(OR(B244="IVA ns/credito",B244="IVA NS/DEBITO",B244="IVA C/ACCONTO",B244="IMPOSTE C/ACCONTO",B244="CREDITI PER RITENUTE SUBITE",B244="CREDITI D'IMPOSTA"),MAX($FM$2:FM243)+1,0)</f>
        <v>0</v>
      </c>
      <c r="FN244" s="48" t="str">
        <f t="shared" ca="1" si="467"/>
        <v/>
      </c>
      <c r="FO244" s="48" t="str">
        <f ca="1">IFERROR(INDEX($FM$3:$FN$400,MATCH(ROWS($FO$3:FO244),$FM$3:$FM$400,0),2),"")</f>
        <v/>
      </c>
      <c r="FP244" s="48">
        <f ca="1">IF(ABS(SUMIFS(DARE,DEN_G,"="&amp;FO244,DATA,"&lt;="&amp;FINE_AC,DATA,"&gt;="&amp;INIZIO_A_PC)-SUMIFS(AVERE,DEN_G,"="&amp;FO244,DATA,"&lt;="&amp;FINE_AC,DATA,"&gt;="&amp;INIZIO_A_PC))&gt;0,MAX($FP$2:FP243)+1,0)</f>
        <v>0</v>
      </c>
      <c r="FQ244" s="48" t="str">
        <f ca="1">IF(AND(ROW()-2&lt;&gt;1,ROW()-2&lt;=$FP$1),CONCATENATE(" - ",IFERROR(INDEX($FO$3:$FP$400,MATCH(ROWS($FQ$3:FQ244),$FP$3:$FP$400,0),1),"")),IFERROR(INDEX($FO$3:$FP$400,MATCH(ROWS($FQ$3:FQ244),$FP$3:$FP$400,0),1),""))</f>
        <v/>
      </c>
    </row>
    <row r="245" spans="1:173" x14ac:dyDescent="0.3">
      <c r="A245" s="48" t="str">
        <f ca="1">IFERROR(IF($A$1=2,INDEX($DH$3:$DN$401,MATCH(ROWS(A$3:A245),$DN$3:$DN$401,0),COLUMN()),IF($A$1=1,INDEX($DQ$3:$DW$401,MATCH(ROWS(A$3:A245),$DW$3:$DW$401,0),COLUMN()),"")),"")</f>
        <v>32.01</v>
      </c>
      <c r="B245" s="48" t="str">
        <f ca="1">IFERROR(IF($A$1=2,INDEX($DH$3:$DN$401,MATCH(ROWS(B$3:B245),$DN$3:$DN$401,0),COLUMN()),IF($A$1=1,INDEX($DQ$3:$DW$400,MATCH(ROWS(B$3:B245),$DW$3:$DW$401,0),COLUMN()),"")),"")</f>
        <v>FITTI PASSIVI</v>
      </c>
      <c r="C245" s="48" t="str">
        <f ca="1">IFERROR(IF($A$1=2,INDEX($DH$3:$DN$401,MATCH(ROWS(C$3:C245),$DN$3:$DN$401,0),COLUMN()),IF($A$1=1,INDEX($DQ$3:$DW$401,MATCH(ROWS(C$3:C245),$DW$3:$DW$401,0),COLUMN()),"")),"")</f>
        <v>E</v>
      </c>
      <c r="D245" s="48" t="str">
        <f ca="1">IFERROR(IF($A$1=2,INDEX($DH$3:$DN$401,MATCH(ROWS(D$3:D245),$DN$3:$DN$401,0),COLUMN()),IF($A$1=1,INDEX($DQ$3:$DW$401,MATCH(ROWS(D$3:D245),$DW$3:$DW$401,0),COLUMN()),"")),"")</f>
        <v>D</v>
      </c>
      <c r="E245" s="48" t="str">
        <f ca="1">IFERROR(IF($A$1=2,INDEX($DH$3:$DN$401,MATCH(ROWS(E$3:E245),$DN$3:$DN$401,0),COLUMN()),IF($A$1=1,INDEX($DQ$3:$DW$401,MATCH(ROWS(E$3:E245),$DW$3:$DW$401,0),COLUMN()),"")),"")</f>
        <v>COSTI D'ESERCIZIO</v>
      </c>
      <c r="F245" s="48" t="str">
        <f ca="1">IFERROR(IF($A$1=2,INDEX($DH$3:$DN$401,MATCH(ROWS(F$3:F245),$DN$3:$DN$401,0),COLUMN()),IF($A$1=1,INDEX($DQ$3:$DX$401,MATCH(ROWS(F$3:F245),$DW$3:$DW$401,0),COLUMN()),"")),"")</f>
        <v>SE DARE</v>
      </c>
      <c r="G245" s="48" t="str">
        <f t="shared" ca="1" si="433"/>
        <v>SE</v>
      </c>
      <c r="H245" s="48" t="str">
        <f ca="1">IFERROR(IF($A$1=2,INDEX($DH$3:$DO$400,MATCH(ROWS(H$3:H245),$DN$3:$DN$400,0),COLUMN()),IF($A$1=1,INDEX($DQ$3:$DX$400,MATCH(ROWS(H$3:H245),$DW$3:$DW$400,0),COLUMN()),"")),"")</f>
        <v>eb8</v>
      </c>
      <c r="M245" s="48">
        <f ca="1">IFERROR(IF(IF(MID($A245,3,3)=".00",MID(A245,1,2),"")&lt;&gt;"",MAX($M$2:M244)+1,0),"")</f>
        <v>0</v>
      </c>
      <c r="N245" s="48" t="str">
        <f t="shared" ca="1" si="438"/>
        <v/>
      </c>
      <c r="O245" s="48" t="str">
        <f ca="1">IF(IFERROR(INDEX($N$3:$O$300,MATCH(ROWS($O$3:O245),$M$3:$M$300,0),1),"")&lt;&gt;"",CONCATENATE(INDEX($N$3:$O$300,MATCH(ROWS($O$3:O245),$M$3:$M$300,0),1),".00"),"")</f>
        <v/>
      </c>
      <c r="P245" s="48" t="str">
        <f t="shared" ca="1" si="439"/>
        <v/>
      </c>
      <c r="Q245" s="48">
        <f ca="1">IF(M245&gt;=1,0,MAX($Q$2:Q244)+1)</f>
        <v>219</v>
      </c>
      <c r="U245" s="48" t="str">
        <f ca="1">IFERROR(INDEX(PDC,MATCH(ROWS(U$3:U245),$V$3:$V$400,0),2),"")</f>
        <v>MATERIE SUSSIDIARIE C/ESISTENZE INIZIALI</v>
      </c>
      <c r="V245" s="48">
        <f ca="1">IF(AND($T$1="VISUALIZZA TUTTI I CONTI",AA245&lt;&gt;""),MAX($V$2:V244)+1,IF(AND($U$2=2,AI245=$T$1),MAX($V$2:V244)+1,IF(AND($U$2=1,$T$1=AF245),MAX($V$2:V244)+1,0)))</f>
        <v>243</v>
      </c>
      <c r="AA245" s="48" t="str">
        <f t="shared" ca="1" si="440"/>
        <v>37.00</v>
      </c>
      <c r="AB245" s="48" t="str">
        <f ca="1">IFERROR(INDEX($A$3:$G$400,MATCH(ROWS(AB$3:AB245),$Q$3:$Q$400,0),1),"")</f>
        <v>37.02</v>
      </c>
      <c r="AC245" s="48" t="str">
        <f ca="1">IFERROR(INDEX($A$3:$G$400,MATCH(ROWS($AC$3:AC245),$Q$3:$Q$400,0),2),"")</f>
        <v>MATERIE SUSSIDIARIE C/ESISTENZE INIZIALI</v>
      </c>
      <c r="AD245" s="48" t="str">
        <f ca="1">IFERROR(INDEX($A$3:$G$400,MATCH(ROWS(AD$3:AD245),$Q$3:$Q$400,0),3),"")</f>
        <v>E</v>
      </c>
      <c r="AE245" s="48" t="str">
        <f ca="1">IFERROR(INDEX($A$3:$G$400,MATCH(ROWS(AE$3:AE245),$Q$3:$Q$400,0),4),"")</f>
        <v>D</v>
      </c>
      <c r="AF245" s="48" t="str">
        <f ca="1">IFERROR(INDEX($A$3:$G$400,MATCH(ROWS(AF$3:AF245),$Q$3:$Q$400,0),5),"")</f>
        <v>COSTI D'ESERCIZIO</v>
      </c>
      <c r="AG245" s="48" t="str">
        <f ca="1">IFERROR(INDEX($A$3:$G$400,MATCH(ROWS(AG$3:AG245),$Q$3:$Q$400,0),6),"")</f>
        <v>SE DARE</v>
      </c>
      <c r="AH245" s="48" t="str">
        <f ca="1">IFERROR(INDEX($A$3:$G$400,MATCH(ROWS(AH$3:AH245),$Q$3:$Q$400,0),7),"")</f>
        <v>SE</v>
      </c>
      <c r="AI245" s="48" t="str">
        <f t="shared" ca="1" si="441"/>
        <v>VARIAZIONI DELLE RIMANZENZE DI MATERIE</v>
      </c>
      <c r="AJ245" s="48" t="str">
        <f ca="1">IFERROR(INDEX($A$3:$H$400,MATCH(ROWS(AJ$3:AJ245),$Q$3:$Q$400,0),8),"")</f>
        <v>eb11</v>
      </c>
      <c r="AK245" s="48">
        <f t="shared" ca="1" si="417"/>
        <v>0</v>
      </c>
      <c r="AL245" s="48">
        <f t="shared" ca="1" si="515"/>
        <v>0</v>
      </c>
      <c r="AM245" s="48">
        <f t="shared" ca="1" si="516"/>
        <v>0</v>
      </c>
      <c r="AN245" s="48">
        <f t="shared" ca="1" si="517"/>
        <v>0</v>
      </c>
      <c r="AO245" s="48">
        <f t="shared" ca="1" si="518"/>
        <v>0</v>
      </c>
      <c r="AP245" s="48">
        <f t="shared" ca="1" si="518"/>
        <v>0</v>
      </c>
      <c r="AZ245" s="48" t="str">
        <f t="shared" ca="1" si="484"/>
        <v/>
      </c>
      <c r="BA245" s="48">
        <f t="shared" ca="1" si="520"/>
        <v>0</v>
      </c>
      <c r="BB245" s="48">
        <f t="shared" ca="1" si="521"/>
        <v>0</v>
      </c>
      <c r="BC245" s="48">
        <f t="shared" ca="1" si="522"/>
        <v>0</v>
      </c>
      <c r="BD245" s="48">
        <f t="shared" ca="1" si="523"/>
        <v>0</v>
      </c>
      <c r="BE245" s="48">
        <f t="shared" ca="1" si="524"/>
        <v>0</v>
      </c>
      <c r="BF245" s="48">
        <f t="shared" si="485"/>
        <v>45</v>
      </c>
      <c r="BG245" s="48">
        <f ca="1">IF(IF(AND(OR(INDEX(PDC,MATCH($AC245,DEN_PDC,0),6)="SP DARE",INDEX(PDC,MATCH($AC245,DEN_PDC,0),6)="SP DARE/AVERE"),SUMIFS(DARE,DEN_G,$AC245)&gt;=SUMIFS(AVERE,DEN_G,$AC245)),SUMIFS(DARE,DEN_G,$AC245)-SUMIFS(AVERE,DEN_G,$AC245),0)&gt;0,MAX($BG$2:BG244)+1,0)</f>
        <v>0</v>
      </c>
      <c r="BH245" s="48">
        <f ca="1">IF(IF(AND(OR(INDEX(PDC,MATCH($AC245,DEN_PDC,0),6)="SP AVERE",INDEX(PDC,MATCH($AC245,DEN_PDC,0),6)="SP DARE/AVERE"),SUMIFS(AVERE,DEN_G,$AC245)&gt;=SUMIFS(DARE,DEN_G,$AC245)),SUMIFS(AVERE,DEN_G,$AC245)-SUMIFS(DARE,DEN_G,$AC245),0)&gt;0,MAX(BH$2:BH244)+1,0)</f>
        <v>0</v>
      </c>
      <c r="BI245" s="48">
        <f ca="1">IF(IF(AND(OR(INDEX(PDC,MATCH($AC245,DEN_PDC,0),6)="SE DARE",INDEX(PDC,MATCH($AC245,DEN_PDC,0),6)="SE DARE/AVERE"),SUMIFS(DARE,DEN_G,$AC245)&gt;=SUMIFS(AVERE,DEN_G,$AC245)),SUMIFS(DARE,DEN_G,$AC245)-SUMIFS(AVERE,DEN_G,$AC245),0)&gt;0,MAX(BI$2:BI244)+1,0)</f>
        <v>0</v>
      </c>
      <c r="BJ245" s="48">
        <f ca="1">IF(IF(AND(OR(INDEX(PDC,MATCH($AC245,DEN_PDC,0),6)="SE AVERE",INDEX(PDC,MATCH($AC245,DEN_PDC,0),6)="SE DARE/AVERE"),SUMIFS(AVERE,DEN_G,$AC245)&gt;=SUMIFS(DARE,DEN_G,$AC245)),SUMIFS(AVERE,DEN_G,$AC245)-SUMIFS(DARE,DEN_G,$AC245),0)&gt;0,MAX(BJ$2:BJ244)+1,0)</f>
        <v>0</v>
      </c>
      <c r="BK245" s="48" t="str">
        <f ca="1">IF(AND(AND($DY$2=0,$DY$1=0),$I$1=2,ROW()&gt;$BG$1+2,ROW()&lt;=$BG$1+4),"………………..",IF(AND(OR($DY$2&gt;0,$DY$1&gt;0),$I$1=2,ROW()&gt;$BG$1+2,ROW()&lt;=$BG$1+4),"………………..",IFERROR(INDEX($AC$3:$AC$398,MATCH(ROWS(BK$3:BK245),BG$3:BG$398,0),1),"")))</f>
        <v/>
      </c>
      <c r="BL245" s="48">
        <f t="shared" ca="1" si="421"/>
        <v>0</v>
      </c>
      <c r="BM245" s="48" t="str">
        <f ca="1">IF(AND(OR($DY$2=0,$DY$1=0),$I$1=2,ROW()&gt;$BH$1+2,ROW()&lt;=$BH$1+4),"………………..",IF(AND(OR($DY$2&gt;0,$DY$1&gt;0),$I$1=2,ROW()&gt;$BH$1+2,ROW()&lt;=$BH$1+4),"………………..",IFERROR(INDEX($AC$3:$AC$400,MATCH(ROWS(BM$3:BM245),BH$3:BH$400,0),1),"")))</f>
        <v/>
      </c>
      <c r="BN245" s="48">
        <f t="shared" ca="1" si="422"/>
        <v>0</v>
      </c>
      <c r="BO245" s="48" t="str">
        <f ca="1">IF(AND(OR($DY$2=0,$DY$1=0),$I$1=2,ROW()&gt;$BI$1+2,ROW()&lt;=$BI$1+4),"………………..",IF(AND(OR($DY$2&gt;0,$DY$1&gt;0),$I$1=2,ROW()&gt;$BI$1+2,ROW()&lt;=$BI$1+4),"………………..",IFERROR(INDEX($AC$3:$AC$400,MATCH(ROWS(BO$3:BO245),BI$3:BI$400,0),1),"")))</f>
        <v/>
      </c>
      <c r="BP245" s="48">
        <f t="shared" ca="1" si="423"/>
        <v>0</v>
      </c>
      <c r="BQ245" s="48" t="str">
        <f ca="1">IF(AND(OR($DY$2=0,$DY$1=0),$I$1=2,ROW()&gt;$BJ$1+2,ROW()&lt;=$BJ$1+4),"………………..",IF(AND(OR($DY$2&gt;0,$DY$1&gt;0),$I$1=2,ROW()&gt;$BJ$1+2,ROW()&lt;=$BJ$1+4),"………………..",IFERROR(INDEX($AC$3:$AC$400,MATCH(ROWS(BQ$3:BQ245),BJ$3:BJ$400,0),1),"")))</f>
        <v/>
      </c>
      <c r="BR245" s="48">
        <f t="shared" ca="1" si="424"/>
        <v>0</v>
      </c>
      <c r="BS245" s="48">
        <f ca="1">IF(IF(AND(OR(INDEX(PDC,MATCH($AC245,DEN_PDC,0),4)="D",INDEX(PDC,MATCH($AC245,DEN_PDC,0),4)="D/A"),SUMIFS(DARE,DEN_G,$AC245)&gt;=SUMIFS(AVERE,DEN_G,$AC245)),SUMIFS(DARE,DEN_G,$AC245),IF(AND(OR(INDEX(PDC,MATCH($AC245,DEN_PDC,0),4)="A",INDEX(PDC,MATCH($AC245,DEN_PDC,0),4)="D/A"),SUMIFS(AVERE,DEN_G,$AC245)&gt;=SUMIFS(DARE,DEN_G,$AC245)),SUMIFS(AVERE,DEN_G,$AC245),))&gt;0,MAX($BS$2:BS244)+1,0)</f>
        <v>0</v>
      </c>
      <c r="BT245" s="48" t="str">
        <f ca="1">IF($CO$1=0,"",IF(AND($I$1=2,ROW()&gt;$BR$1,ROW()&lt;=$BS$1)," …………….",IF(AND($E$1=1,$BX$1=1,$I$1=2,ROW()=$BQ$1),"TOTALI",IFERROR(INDEX(PDC,MATCH(ROWS(BT$3:BT245),BS$3:BS642,0),2),""))))</f>
        <v/>
      </c>
      <c r="BU245" s="48">
        <f t="shared" ca="1" si="425"/>
        <v>0</v>
      </c>
      <c r="BV245" s="48">
        <f t="shared" ca="1" si="426"/>
        <v>0</v>
      </c>
      <c r="BW245" s="48">
        <f t="shared" ca="1" si="427"/>
        <v>0</v>
      </c>
      <c r="BX245" s="48">
        <f t="shared" ca="1" si="428"/>
        <v>0</v>
      </c>
      <c r="BY245" s="48">
        <f ca="1">IF(OR(BW245&gt;0,BX245&gt;0),MAX($BY$2:BY244)+1,0)</f>
        <v>0</v>
      </c>
      <c r="BZ245" s="48" t="str">
        <f ca="1">IFERROR(INDEX($BT$3:$BY$400,MATCH(ROWS(BZ$3:BZ245),$BY$3:$BY$400,0),1),"")</f>
        <v/>
      </c>
      <c r="CA245" s="48" t="str">
        <f ca="1">IFERROR(INDEX($BT$3:$BY$400,MATCH(ROWS(CA$3:CA245),$BY$3:$BY$400,0),4),"")</f>
        <v/>
      </c>
      <c r="CB245" s="48" t="str">
        <f ca="1">IFERROR(INDEX($BT$3:$BY$400,MATCH(ROWS(CB$3:CB245),$BY$3:$BY$400,0),5),"")</f>
        <v/>
      </c>
      <c r="CC245" s="48" t="str">
        <f t="shared" ca="1" si="429"/>
        <v/>
      </c>
      <c r="CD245" s="48">
        <f ca="1">IF(CE245&lt;&gt;0,MAX($CD$190:CD244)+1,0)</f>
        <v>0</v>
      </c>
      <c r="CE245" s="48">
        <f ca="1">IF(AND($AY$1=0,$F$1=1),SUM(CE244,CE232,CE222),IF(AND($I$1=2,CE247&lt;&gt;0,OR(CE221&lt;&gt;0,CE200&lt;&gt;0)),"_ _ _",0))</f>
        <v>0</v>
      </c>
      <c r="CG245" s="242" t="s">
        <v>600</v>
      </c>
      <c r="CH245" s="48">
        <f ca="1">IF($I$1=1,SUM(CH222,CH232,CH244),CE245)</f>
        <v>0</v>
      </c>
      <c r="CM245" s="242" t="str">
        <f t="shared" ca="1" si="444"/>
        <v/>
      </c>
      <c r="CN245" s="243">
        <f t="shared" ca="1" si="445"/>
        <v>0</v>
      </c>
      <c r="CO245" s="48" t="str">
        <f t="shared" ca="1" si="446"/>
        <v/>
      </c>
      <c r="CU245" s="48">
        <f ca="1">IF(SUMIFS(AVERE,DEN_G,AC245,AVERE,"&gt;"&amp;0)+SUMIFS(DARE,DEN_G,AC245,DARE,"&gt;"&amp;0)&gt;0,MAX($CU$2:CU244)+1,0)</f>
        <v>0</v>
      </c>
      <c r="CV245" s="48" t="str">
        <f ca="1">IF(IFERROR(INDEX(PDC,MATCH(ROWS($CV$3:CV245),$CU$3:$CU$400,0),2),"")="CONTO DI RISULTATO ECONOMICO","",IFERROR(INDEX(PDC,MATCH(ROWS($CV$3:CV245),$CU$3:$CU$400,0),2),""))</f>
        <v/>
      </c>
      <c r="CW245" s="48">
        <f ca="1">IFERROR(IF(CV245&lt;&gt;"",MAX($CW$2:CW244)+1,0),0)</f>
        <v>0</v>
      </c>
      <c r="CX245" s="48">
        <f t="shared" ca="1" si="528"/>
        <v>19</v>
      </c>
      <c r="CY245" s="48" t="str">
        <f t="shared" ca="1" si="527"/>
        <v>MASTRO</v>
      </c>
      <c r="CZ245" s="48" t="e">
        <f t="shared" ca="1" si="530"/>
        <v>#N/A</v>
      </c>
      <c r="DA245" s="48" t="str">
        <f t="shared" ca="1" si="535"/>
        <v/>
      </c>
      <c r="DB245" s="48" t="str">
        <f t="shared" ca="1" si="499"/>
        <v/>
      </c>
      <c r="DC245" s="48" t="str">
        <f t="shared" ca="1" si="531"/>
        <v/>
      </c>
      <c r="DD245" s="48" t="str">
        <f t="shared" ca="1" si="532"/>
        <v/>
      </c>
      <c r="DE245" s="48" t="str">
        <f t="shared" ca="1" si="533"/>
        <v/>
      </c>
      <c r="DF245" s="48">
        <f ca="1">IF(AND(CX245=$DF$1,CX245&lt;&gt;""),0,IF(AND(DB245&lt;&gt;"",OR(DB244&lt;&gt;"",DB246&lt;&gt;"")),MAX($DF$2:DF244)+1,0))</f>
        <v>0</v>
      </c>
      <c r="DH245" s="244" t="s">
        <v>181</v>
      </c>
      <c r="DI245" s="48" t="s">
        <v>1098</v>
      </c>
      <c r="DJ245" s="48" t="s">
        <v>311</v>
      </c>
      <c r="DK245" s="48" t="s">
        <v>298</v>
      </c>
      <c r="DL245" s="48" t="s">
        <v>8</v>
      </c>
      <c r="DM245" s="48" t="s">
        <v>300</v>
      </c>
      <c r="DN245" s="48">
        <f ca="1">IF(DI245&lt;&gt;"",MAX($DN$2:DN244)+1,0)</f>
        <v>187</v>
      </c>
      <c r="DO245" s="48" t="s">
        <v>706</v>
      </c>
      <c r="DQ245" s="227" t="s">
        <v>184</v>
      </c>
      <c r="DR245" s="48" t="s">
        <v>177</v>
      </c>
      <c r="DS245" s="48" t="s">
        <v>311</v>
      </c>
      <c r="DT245" s="48" t="s">
        <v>275</v>
      </c>
      <c r="DU245" s="48" t="s">
        <v>319</v>
      </c>
      <c r="DV245" s="48" t="s">
        <v>301</v>
      </c>
      <c r="DW245" s="48">
        <f ca="1">IF(DR245&lt;&gt;"",MAX($DW$2:DW244)+1,0)</f>
        <v>144</v>
      </c>
      <c r="DX245" s="48" t="s">
        <v>701</v>
      </c>
      <c r="DY245" s="48" t="str">
        <f t="shared" ca="1" si="430"/>
        <v/>
      </c>
      <c r="EL245" s="48">
        <f t="shared" ca="1" si="431"/>
        <v>0</v>
      </c>
      <c r="EM245" s="48">
        <f ca="1">IF(EL245&gt;=0,0,MAX($EM$2:EM244)+1)</f>
        <v>0</v>
      </c>
      <c r="EN245" s="48" t="str">
        <f t="shared" ca="1" si="459"/>
        <v/>
      </c>
      <c r="EO245" s="48" t="str">
        <f ca="1">IFERROR(INDEX($EM$3:$EN$400,MATCH(ROWS($EO$3:EO245),$EM$3:$EM$400,0),2),"")</f>
        <v/>
      </c>
      <c r="EP245" s="48">
        <f>ROW()</f>
        <v>245</v>
      </c>
      <c r="EQ245" s="48">
        <f t="shared" ca="1" si="432"/>
        <v>0</v>
      </c>
      <c r="ER245" s="48">
        <f ca="1">IF(ISNA(EQ245)=TRUE,MAX($ER$2:ER244)+1,0)</f>
        <v>0</v>
      </c>
      <c r="ES245" s="48" t="str">
        <f t="shared" ca="1" si="460"/>
        <v/>
      </c>
      <c r="ET245" s="48" t="str">
        <f ca="1">IFERROR(INDEX($ER$3:$ES$400,MATCH(ROWS($ET$3:ET245),$ER$3:$ER$400,0),2),"")</f>
        <v/>
      </c>
      <c r="EV245" s="48">
        <f ca="1">IFERROR(INDEX(LIBRO_GIORNALE!$O$11:$P$408,MATCH(ROWS($EV$2:EV244),LIBRO_GIORNALE!$P$11:$P$408,0),1),0)</f>
        <v>0</v>
      </c>
      <c r="EW245" s="48" t="str">
        <f t="shared" ca="1" si="461"/>
        <v>0</v>
      </c>
      <c r="EX245" s="48">
        <f t="shared" ca="1" si="462"/>
        <v>0</v>
      </c>
      <c r="EY245" s="48">
        <f ca="1">IF(EX245&gt;0,MAX($EY$2:EY244)+1,0)</f>
        <v>0</v>
      </c>
      <c r="EZ245" s="48">
        <f ca="1">IFERROR(INDEX($EX$3:$EX$400,MATCH(ROWS($EZ$3:EZ245),$EY$3:$EY$400,0),1),0)</f>
        <v>0</v>
      </c>
      <c r="FA245" s="48">
        <f ca="1">IF(EZ245&gt;0,0,MAX($FA$2:FA244)+1)</f>
        <v>243</v>
      </c>
      <c r="FB245" s="48">
        <f t="shared" ca="1" si="463"/>
        <v>0</v>
      </c>
      <c r="FC245" s="48">
        <f t="shared" ca="1" si="464"/>
        <v>243</v>
      </c>
      <c r="FD245" s="48">
        <f t="shared" ca="1" si="465"/>
        <v>243</v>
      </c>
      <c r="FE245" s="48">
        <f ca="1">IF(FD245=0,0,MAX($FE$2:FE244)+1)</f>
        <v>243</v>
      </c>
      <c r="FF245" s="48">
        <f ca="1">IFERROR(INDEX($FD$3:$FE$400,MATCH(ROWS($FF$3:FF245),$FE$3:$FE$400,0),1),"")</f>
        <v>243</v>
      </c>
      <c r="FG245" s="48">
        <f t="shared" ca="1" si="519"/>
        <v>0</v>
      </c>
      <c r="FH245" s="48">
        <f t="shared" ca="1" si="466"/>
        <v>0</v>
      </c>
      <c r="FI245" s="48">
        <f ca="1">IF(FH245&lt;&gt;0,MAX($FI$2:FI244)+1,0)</f>
        <v>0</v>
      </c>
      <c r="FJ245" s="48" t="str">
        <f ca="1">IFERROR(INDEX($FH$3:$FI$400,MATCH(ROWS($FJ$3:FJ245),$FI$3:$FI$400,0),1),"")</f>
        <v/>
      </c>
      <c r="FK245" s="48">
        <f ca="1">IF(ABS(SUMIFS(DARE,DEN_G,"="&amp;FJ245,DATA,"&lt;="&amp;FINE_AC,DATA,"&gt;="&amp;INIZIO_A_PC)-SUMIFS(AVERE,DEN_G,"="&amp;FJ245,DATA,"&lt;="&amp;FINE_AC,DATA,"&gt;="&amp;INIZIO_A_PC))&gt;0,MAX($FK$2:FK244)+1,0)</f>
        <v>0</v>
      </c>
      <c r="FL245" s="48" t="str">
        <f ca="1">IF(AND(ROW()-2&lt;&gt;1,ROW()-2&lt;=$FK$1),CONCATENATE(" - ",IFERROR(INDEX($FJ$3:$FK$400,MATCH(ROWS($FL$3:FL245),$FK$3:$FK$400,0),1),"")),IFERROR(INDEX($FJ$3:$FK$400,MATCH(ROWS($FL$3:FL245),$FK$3:$FK$400,0),1),""))</f>
        <v/>
      </c>
      <c r="FM245" s="48">
        <f ca="1">IF(OR(B245="IVA ns/credito",B245="IVA NS/DEBITO",B245="IVA C/ACCONTO",B245="IMPOSTE C/ACCONTO",B245="CREDITI PER RITENUTE SUBITE",B245="CREDITI D'IMPOSTA"),MAX($FM$2:FM244)+1,0)</f>
        <v>0</v>
      </c>
      <c r="FN245" s="48" t="str">
        <f t="shared" ca="1" si="467"/>
        <v/>
      </c>
      <c r="FO245" s="48" t="str">
        <f ca="1">IFERROR(INDEX($FM$3:$FN$400,MATCH(ROWS($FO$3:FO245),$FM$3:$FM$400,0),2),"")</f>
        <v/>
      </c>
      <c r="FP245" s="48">
        <f ca="1">IF(ABS(SUMIFS(DARE,DEN_G,"="&amp;FO245,DATA,"&lt;="&amp;FINE_AC,DATA,"&gt;="&amp;INIZIO_A_PC)-SUMIFS(AVERE,DEN_G,"="&amp;FO245,DATA,"&lt;="&amp;FINE_AC,DATA,"&gt;="&amp;INIZIO_A_PC))&gt;0,MAX($FP$2:FP244)+1,0)</f>
        <v>0</v>
      </c>
      <c r="FQ245" s="48" t="str">
        <f ca="1">IF(AND(ROW()-2&lt;&gt;1,ROW()-2&lt;=$FP$1),CONCATENATE(" - ",IFERROR(INDEX($FO$3:$FP$400,MATCH(ROWS($FQ$3:FQ245),$FP$3:$FP$400,0),1),"")),IFERROR(INDEX($FO$3:$FP$400,MATCH(ROWS($FQ$3:FQ245),$FP$3:$FP$400,0),1),""))</f>
        <v/>
      </c>
    </row>
    <row r="246" spans="1:173" x14ac:dyDescent="0.3">
      <c r="A246" s="48" t="str">
        <f ca="1">IFERROR(IF($A$1=2,INDEX($DH$3:$DN$401,MATCH(ROWS(A$3:A246),$DN$3:$DN$401,0),COLUMN()),IF($A$1=1,INDEX($DQ$3:$DW$401,MATCH(ROWS(A$3:A246),$DW$3:$DW$401,0),COLUMN()),"")),"")</f>
        <v>32.02</v>
      </c>
      <c r="B246" s="48" t="str">
        <f ca="1">IFERROR(IF($A$1=2,INDEX($DH$3:$DN$401,MATCH(ROWS(B$3:B246),$DN$3:$DN$401,0),COLUMN()),IF($A$1=1,INDEX($DQ$3:$DW$400,MATCH(ROWS(B$3:B246),$DW$3:$DW$401,0),COLUMN()),"")),"")</f>
        <v>CANONI DI LEASING</v>
      </c>
      <c r="C246" s="48" t="str">
        <f ca="1">IFERROR(IF($A$1=2,INDEX($DH$3:$DN$401,MATCH(ROWS(C$3:C246),$DN$3:$DN$401,0),COLUMN()),IF($A$1=1,INDEX($DQ$3:$DW$401,MATCH(ROWS(C$3:C246),$DW$3:$DW$401,0),COLUMN()),"")),"")</f>
        <v>E</v>
      </c>
      <c r="D246" s="48" t="str">
        <f ca="1">IFERROR(IF($A$1=2,INDEX($DH$3:$DN$401,MATCH(ROWS(D$3:D246),$DN$3:$DN$401,0),COLUMN()),IF($A$1=1,INDEX($DQ$3:$DW$401,MATCH(ROWS(D$3:D246),$DW$3:$DW$401,0),COLUMN()),"")),"")</f>
        <v>D</v>
      </c>
      <c r="E246" s="48" t="str">
        <f ca="1">IFERROR(IF($A$1=2,INDEX($DH$3:$DN$401,MATCH(ROWS(E$3:E246),$DN$3:$DN$401,0),COLUMN()),IF($A$1=1,INDEX($DQ$3:$DW$401,MATCH(ROWS(E$3:E246),$DW$3:$DW$401,0),COLUMN()),"")),"")</f>
        <v>COSTI D'ESERCIZIO</v>
      </c>
      <c r="F246" s="48" t="str">
        <f ca="1">IFERROR(IF($A$1=2,INDEX($DH$3:$DN$401,MATCH(ROWS(F$3:F246),$DN$3:$DN$401,0),COLUMN()),IF($A$1=1,INDEX($DQ$3:$DX$401,MATCH(ROWS(F$3:F246),$DW$3:$DW$401,0),COLUMN()),"")),"")</f>
        <v>SE DARE</v>
      </c>
      <c r="G246" s="48" t="str">
        <f t="shared" ca="1" si="433"/>
        <v>SE</v>
      </c>
      <c r="H246" s="48" t="str">
        <f ca="1">IFERROR(IF($A$1=2,INDEX($DH$3:$DO$400,MATCH(ROWS(H$3:H246),$DN$3:$DN$400,0),COLUMN()),IF($A$1=1,INDEX($DQ$3:$DX$400,MATCH(ROWS(H$3:H246),$DW$3:$DW$400,0),COLUMN()),"")),"")</f>
        <v>eb8</v>
      </c>
      <c r="M246" s="48">
        <f ca="1">IFERROR(IF(IF(MID($A246,3,3)=".00",MID(A246,1,2),"")&lt;&gt;"",MAX($M$2:M245)+1,0),"")</f>
        <v>0</v>
      </c>
      <c r="N246" s="48" t="str">
        <f t="shared" ca="1" si="438"/>
        <v/>
      </c>
      <c r="O246" s="48" t="str">
        <f ca="1">IF(IFERROR(INDEX($N$3:$O$300,MATCH(ROWS($O$3:O246),$M$3:$M$300,0),1),"")&lt;&gt;"",CONCATENATE(INDEX($N$3:$O$300,MATCH(ROWS($O$3:O246),$M$3:$M$300,0),1),".00"),"")</f>
        <v/>
      </c>
      <c r="P246" s="48" t="str">
        <f t="shared" ca="1" si="439"/>
        <v/>
      </c>
      <c r="Q246" s="48">
        <f ca="1">IF(M246&gt;=1,0,MAX($Q$2:Q245)+1)</f>
        <v>220</v>
      </c>
      <c r="U246" s="48" t="str">
        <f ca="1">IFERROR(INDEX(PDC,MATCH(ROWS(U$3:U246),$V$3:$V$400,0),2),"")</f>
        <v>MATERIE DI CONSUMO C/ESISTENZE INIZIALI</v>
      </c>
      <c r="V246" s="48">
        <f ca="1">IF(AND($T$1="VISUALIZZA TUTTI I CONTI",AA246&lt;&gt;""),MAX($V$2:V245)+1,IF(AND($U$2=2,AI246=$T$1),MAX($V$2:V245)+1,IF(AND($U$2=1,$T$1=AF246),MAX($V$2:V245)+1,0)))</f>
        <v>244</v>
      </c>
      <c r="AA246" s="48" t="str">
        <f t="shared" ca="1" si="440"/>
        <v>37.00</v>
      </c>
      <c r="AB246" s="48" t="str">
        <f ca="1">IFERROR(INDEX($A$3:$G$400,MATCH(ROWS(AB$3:AB246),$Q$3:$Q$400,0),1),"")</f>
        <v>37.03</v>
      </c>
      <c r="AC246" s="48" t="str">
        <f ca="1">IFERROR(INDEX($A$3:$G$400,MATCH(ROWS($AC$3:AC246),$Q$3:$Q$400,0),2),"")</f>
        <v>MATERIE DI CONSUMO C/ESISTENZE INIZIALI</v>
      </c>
      <c r="AD246" s="48" t="str">
        <f ca="1">IFERROR(INDEX($A$3:$G$400,MATCH(ROWS(AD$3:AD246),$Q$3:$Q$400,0),3),"")</f>
        <v>E</v>
      </c>
      <c r="AE246" s="48" t="str">
        <f ca="1">IFERROR(INDEX($A$3:$G$400,MATCH(ROWS(AE$3:AE246),$Q$3:$Q$400,0),4),"")</f>
        <v>D</v>
      </c>
      <c r="AF246" s="48" t="str">
        <f ca="1">IFERROR(INDEX($A$3:$G$400,MATCH(ROWS(AF$3:AF246),$Q$3:$Q$400,0),5),"")</f>
        <v>COSTI D'ESERCIZIO</v>
      </c>
      <c r="AG246" s="48" t="str">
        <f ca="1">IFERROR(INDEX($A$3:$G$400,MATCH(ROWS(AG$3:AG246),$Q$3:$Q$400,0),6),"")</f>
        <v>SE DARE</v>
      </c>
      <c r="AH246" s="48" t="str">
        <f ca="1">IFERROR(INDEX($A$3:$G$400,MATCH(ROWS(AH$3:AH246),$Q$3:$Q$400,0),7),"")</f>
        <v>SE</v>
      </c>
      <c r="AI246" s="48" t="str">
        <f t="shared" ca="1" si="441"/>
        <v>VARIAZIONI DELLE RIMANZENZE DI MATERIE</v>
      </c>
      <c r="AJ246" s="48" t="str">
        <f ca="1">IFERROR(INDEX($A$3:$H$400,MATCH(ROWS(AJ$3:AJ246),$Q$3:$Q$400,0),8),"")</f>
        <v>eb11</v>
      </c>
      <c r="AK246" s="48">
        <f t="shared" ca="1" si="417"/>
        <v>0</v>
      </c>
      <c r="AL246" s="48">
        <f t="shared" ca="1" si="515"/>
        <v>0</v>
      </c>
      <c r="AM246" s="48">
        <f t="shared" ca="1" si="516"/>
        <v>0</v>
      </c>
      <c r="AN246" s="48">
        <f t="shared" ca="1" si="517"/>
        <v>0</v>
      </c>
      <c r="AO246" s="48">
        <f t="shared" ca="1" si="518"/>
        <v>0</v>
      </c>
      <c r="AP246" s="48">
        <f t="shared" ca="1" si="518"/>
        <v>0</v>
      </c>
      <c r="AZ246" s="48" t="str">
        <f t="shared" ca="1" si="484"/>
        <v/>
      </c>
      <c r="BA246" s="48">
        <f t="shared" ca="1" si="520"/>
        <v>0</v>
      </c>
      <c r="BB246" s="48">
        <f t="shared" ca="1" si="521"/>
        <v>0</v>
      </c>
      <c r="BC246" s="48">
        <f t="shared" ca="1" si="522"/>
        <v>0</v>
      </c>
      <c r="BD246" s="48">
        <f t="shared" ca="1" si="523"/>
        <v>0</v>
      </c>
      <c r="BE246" s="48">
        <f t="shared" ca="1" si="524"/>
        <v>0</v>
      </c>
      <c r="BF246" s="48">
        <f t="shared" si="485"/>
        <v>46</v>
      </c>
      <c r="BG246" s="48">
        <f ca="1">IF(IF(AND(OR(INDEX(PDC,MATCH($AC246,DEN_PDC,0),6)="SP DARE",INDEX(PDC,MATCH($AC246,DEN_PDC,0),6)="SP DARE/AVERE"),SUMIFS(DARE,DEN_G,$AC246)&gt;=SUMIFS(AVERE,DEN_G,$AC246)),SUMIFS(DARE,DEN_G,$AC246)-SUMIFS(AVERE,DEN_G,$AC246),0)&gt;0,MAX($BG$2:BG245)+1,0)</f>
        <v>0</v>
      </c>
      <c r="BH246" s="48">
        <f ca="1">IF(IF(AND(OR(INDEX(PDC,MATCH($AC246,DEN_PDC,0),6)="SP AVERE",INDEX(PDC,MATCH($AC246,DEN_PDC,0),6)="SP DARE/AVERE"),SUMIFS(AVERE,DEN_G,$AC246)&gt;=SUMIFS(DARE,DEN_G,$AC246)),SUMIFS(AVERE,DEN_G,$AC246)-SUMIFS(DARE,DEN_G,$AC246),0)&gt;0,MAX(BH$2:BH245)+1,0)</f>
        <v>0</v>
      </c>
      <c r="BI246" s="48">
        <f ca="1">IF(IF(AND(OR(INDEX(PDC,MATCH($AC246,DEN_PDC,0),6)="SE DARE",INDEX(PDC,MATCH($AC246,DEN_PDC,0),6)="SE DARE/AVERE"),SUMIFS(DARE,DEN_G,$AC246)&gt;=SUMIFS(AVERE,DEN_G,$AC246)),SUMIFS(DARE,DEN_G,$AC246)-SUMIFS(AVERE,DEN_G,$AC246),0)&gt;0,MAX(BI$2:BI245)+1,0)</f>
        <v>0</v>
      </c>
      <c r="BJ246" s="48">
        <f ca="1">IF(IF(AND(OR(INDEX(PDC,MATCH($AC246,DEN_PDC,0),6)="SE AVERE",INDEX(PDC,MATCH($AC246,DEN_PDC,0),6)="SE DARE/AVERE"),SUMIFS(AVERE,DEN_G,$AC246)&gt;=SUMIFS(DARE,DEN_G,$AC246)),SUMIFS(AVERE,DEN_G,$AC246)-SUMIFS(DARE,DEN_G,$AC246),0)&gt;0,MAX(BJ$2:BJ245)+1,0)</f>
        <v>0</v>
      </c>
      <c r="BK246" s="48" t="str">
        <f ca="1">IF(AND(AND($DY$2=0,$DY$1=0),$I$1=2,ROW()&gt;$BG$1+2,ROW()&lt;=$BG$1+4),"………………..",IF(AND(OR($DY$2&gt;0,$DY$1&gt;0),$I$1=2,ROW()&gt;$BG$1+2,ROW()&lt;=$BG$1+4),"………………..",IFERROR(INDEX($AC$3:$AC$398,MATCH(ROWS(BK$3:BK246),BG$3:BG$398,0),1),"")))</f>
        <v/>
      </c>
      <c r="BL246" s="48">
        <f t="shared" ca="1" si="421"/>
        <v>0</v>
      </c>
      <c r="BM246" s="48" t="str">
        <f ca="1">IF(AND(OR($DY$2=0,$DY$1=0),$I$1=2,ROW()&gt;$BH$1+2,ROW()&lt;=$BH$1+4),"………………..",IF(AND(OR($DY$2&gt;0,$DY$1&gt;0),$I$1=2,ROW()&gt;$BH$1+2,ROW()&lt;=$BH$1+4),"………………..",IFERROR(INDEX($AC$3:$AC$400,MATCH(ROWS(BM$3:BM246),BH$3:BH$400,0),1),"")))</f>
        <v/>
      </c>
      <c r="BN246" s="48">
        <f t="shared" ca="1" si="422"/>
        <v>0</v>
      </c>
      <c r="BO246" s="48" t="str">
        <f ca="1">IF(AND(OR($DY$2=0,$DY$1=0),$I$1=2,ROW()&gt;$BI$1+2,ROW()&lt;=$BI$1+4),"………………..",IF(AND(OR($DY$2&gt;0,$DY$1&gt;0),$I$1=2,ROW()&gt;$BI$1+2,ROW()&lt;=$BI$1+4),"………………..",IFERROR(INDEX($AC$3:$AC$400,MATCH(ROWS(BO$3:BO246),BI$3:BI$400,0),1),"")))</f>
        <v/>
      </c>
      <c r="BP246" s="48">
        <f t="shared" ca="1" si="423"/>
        <v>0</v>
      </c>
      <c r="BQ246" s="48" t="str">
        <f ca="1">IF(AND(OR($DY$2=0,$DY$1=0),$I$1=2,ROW()&gt;$BJ$1+2,ROW()&lt;=$BJ$1+4),"………………..",IF(AND(OR($DY$2&gt;0,$DY$1&gt;0),$I$1=2,ROW()&gt;$BJ$1+2,ROW()&lt;=$BJ$1+4),"………………..",IFERROR(INDEX($AC$3:$AC$400,MATCH(ROWS(BQ$3:BQ246),BJ$3:BJ$400,0),1),"")))</f>
        <v/>
      </c>
      <c r="BR246" s="48">
        <f t="shared" ca="1" si="424"/>
        <v>0</v>
      </c>
      <c r="BS246" s="48">
        <f ca="1">IF(IF(AND(OR(INDEX(PDC,MATCH($AC246,DEN_PDC,0),4)="D",INDEX(PDC,MATCH($AC246,DEN_PDC,0),4)="D/A"),SUMIFS(DARE,DEN_G,$AC246)&gt;=SUMIFS(AVERE,DEN_G,$AC246)),SUMIFS(DARE,DEN_G,$AC246),IF(AND(OR(INDEX(PDC,MATCH($AC246,DEN_PDC,0),4)="A",INDEX(PDC,MATCH($AC246,DEN_PDC,0),4)="D/A"),SUMIFS(AVERE,DEN_G,$AC246)&gt;=SUMIFS(DARE,DEN_G,$AC246)),SUMIFS(AVERE,DEN_G,$AC246),))&gt;0,MAX($BS$2:BS245)+1,0)</f>
        <v>0</v>
      </c>
      <c r="BT246" s="48" t="str">
        <f ca="1">IF($CO$1=0,"",IF(AND($I$1=2,ROW()&gt;$BR$1,ROW()&lt;=$BS$1)," …………….",IF(AND($E$1=1,$BX$1=1,$I$1=2,ROW()=$BQ$1),"TOTALI",IFERROR(INDEX(PDC,MATCH(ROWS(BT$3:BT246),BS$3:BS643,0),2),""))))</f>
        <v/>
      </c>
      <c r="BU246" s="48">
        <f t="shared" ca="1" si="425"/>
        <v>0</v>
      </c>
      <c r="BV246" s="48">
        <f t="shared" ca="1" si="426"/>
        <v>0</v>
      </c>
      <c r="BW246" s="48">
        <f t="shared" ca="1" si="427"/>
        <v>0</v>
      </c>
      <c r="BX246" s="48">
        <f t="shared" ca="1" si="428"/>
        <v>0</v>
      </c>
      <c r="BY246" s="48">
        <f ca="1">IF(OR(BW246&gt;0,BX246&gt;0),MAX($BY$2:BY245)+1,0)</f>
        <v>0</v>
      </c>
      <c r="BZ246" s="48" t="str">
        <f ca="1">IFERROR(INDEX($BT$3:$BY$400,MATCH(ROWS(BZ$3:BZ246),$BY$3:$BY$400,0),1),"")</f>
        <v/>
      </c>
      <c r="CA246" s="48" t="str">
        <f ca="1">IFERROR(INDEX($BT$3:$BY$400,MATCH(ROWS(CA$3:CA246),$BY$3:$BY$400,0),4),"")</f>
        <v/>
      </c>
      <c r="CB246" s="48" t="str">
        <f ca="1">IFERROR(INDEX($BT$3:$BY$400,MATCH(ROWS(CB$3:CB246),$BY$3:$BY$400,0),5),"")</f>
        <v/>
      </c>
      <c r="CC246" s="48" t="str">
        <f t="shared" ca="1" si="429"/>
        <v/>
      </c>
      <c r="CD246" s="48">
        <f ca="1">IF(CE246&lt;0,MAX($CD$190:CD245)+1,0)</f>
        <v>0</v>
      </c>
      <c r="CE246" s="48">
        <f ca="1">IF(ROUND(SUMIFS(COPIA!$CA$3:$CA$400,COPIA!$CC$3:$CC$400,CF246)-SUMIFS(COPIA!$CB$3:$CB$400,COPIA!$CC$3:$CC$400,CF246),0)&lt;0,0,-ROUND(SUMIFS(COPIA!$CA$3:$CA$400,COPIA!$CC$3:$CC$400,CF246)-SUMIFS(COPIA!$CB$3:$CB$400,COPIA!$CC$3:$CC$400,CF246),0))</f>
        <v>0</v>
      </c>
      <c r="CF246" s="48" t="s">
        <v>756</v>
      </c>
      <c r="CG246" s="242" t="s">
        <v>846</v>
      </c>
      <c r="CH246" s="48">
        <f t="shared" ca="1" si="534"/>
        <v>0</v>
      </c>
      <c r="CM246" s="242" t="str">
        <f t="shared" ca="1" si="444"/>
        <v/>
      </c>
      <c r="CN246" s="243">
        <f t="shared" ca="1" si="445"/>
        <v>0</v>
      </c>
      <c r="CO246" s="48" t="str">
        <f t="shared" ca="1" si="446"/>
        <v/>
      </c>
      <c r="CU246" s="48">
        <f ca="1">IF(SUMIFS(AVERE,DEN_G,AC246,AVERE,"&gt;"&amp;0)+SUMIFS(DARE,DEN_G,AC246,DARE,"&gt;"&amp;0)&gt;0,MAX($CU$2:CU245)+1,0)</f>
        <v>0</v>
      </c>
      <c r="CV246" s="48" t="str">
        <f ca="1">IF(IFERROR(INDEX(PDC,MATCH(ROWS($CV$3:CV246),$CU$3:$CU$400,0),2),"")="CONTO DI RISULTATO ECONOMICO","",IFERROR(INDEX(PDC,MATCH(ROWS($CV$3:CV246),$CU$3:$CU$400,0),2),""))</f>
        <v/>
      </c>
      <c r="CW246" s="48">
        <f ca="1">IFERROR(IF(CV246&lt;&gt;"",MAX($CW$2:CW245)+1,0),0)</f>
        <v>0</v>
      </c>
      <c r="CX246" s="48">
        <f t="shared" ca="1" si="528"/>
        <v>19</v>
      </c>
      <c r="CY246" s="48" t="str">
        <f t="shared" ca="1" si="527"/>
        <v>MASTRO</v>
      </c>
      <c r="CZ246" s="48" t="e">
        <f t="shared" ca="1" si="530"/>
        <v>#N/A</v>
      </c>
      <c r="DA246" s="48" t="str">
        <f t="shared" ca="1" si="535"/>
        <v/>
      </c>
      <c r="DB246" s="48" t="str">
        <f t="shared" ca="1" si="499"/>
        <v/>
      </c>
      <c r="DC246" s="48" t="str">
        <f t="shared" ca="1" si="531"/>
        <v/>
      </c>
      <c r="DD246" s="48" t="str">
        <f t="shared" ca="1" si="532"/>
        <v/>
      </c>
      <c r="DE246" s="48" t="str">
        <f t="shared" ca="1" si="533"/>
        <v/>
      </c>
      <c r="DF246" s="48">
        <f ca="1">IF(AND(CX246=$DF$1,CX246&lt;&gt;""),0,IF(AND(DB246&lt;&gt;"",OR(DB245&lt;&gt;"",DB247&lt;&gt;"")),MAX($DF$2:DF245)+1,0))</f>
        <v>0</v>
      </c>
      <c r="DH246" s="244" t="s">
        <v>1060</v>
      </c>
      <c r="DI246" s="48" t="s">
        <v>1061</v>
      </c>
      <c r="DJ246" s="48" t="s">
        <v>311</v>
      </c>
      <c r="DK246" s="48" t="s">
        <v>298</v>
      </c>
      <c r="DL246" s="48" t="s">
        <v>8</v>
      </c>
      <c r="DM246" s="48" t="s">
        <v>300</v>
      </c>
      <c r="DN246" s="48">
        <f ca="1">IF(DI246&lt;&gt;"",MAX($DN$2:DN245)+1,0)</f>
        <v>188</v>
      </c>
      <c r="DO246" s="48" t="s">
        <v>701</v>
      </c>
      <c r="DQ246" s="227" t="s">
        <v>1062</v>
      </c>
      <c r="DR246" s="48" t="s">
        <v>179</v>
      </c>
      <c r="DS246" s="48" t="s">
        <v>311</v>
      </c>
      <c r="DT246" s="48" t="s">
        <v>298</v>
      </c>
      <c r="DU246" s="48" t="s">
        <v>8</v>
      </c>
      <c r="DV246" s="48" t="s">
        <v>300</v>
      </c>
      <c r="DW246" s="48">
        <f ca="1">IF(DR246&lt;&gt;"",MAX($DW$2:DW245)+1,0)</f>
        <v>145</v>
      </c>
      <c r="DX246" s="48" t="s">
        <v>708</v>
      </c>
      <c r="DY246" s="48" t="str">
        <f t="shared" ca="1" si="430"/>
        <v/>
      </c>
      <c r="EL246" s="48">
        <f t="shared" ca="1" si="431"/>
        <v>0</v>
      </c>
      <c r="EM246" s="48">
        <f ca="1">IF(EL246&gt;=0,0,MAX($EM$2:EM245)+1)</f>
        <v>0</v>
      </c>
      <c r="EN246" s="48" t="str">
        <f t="shared" ca="1" si="459"/>
        <v/>
      </c>
      <c r="EO246" s="48" t="str">
        <f ca="1">IFERROR(INDEX($EM$3:$EN$400,MATCH(ROWS($EO$3:EO246),$EM$3:$EM$400,0),2),"")</f>
        <v/>
      </c>
      <c r="EP246" s="48">
        <f>ROW()</f>
        <v>246</v>
      </c>
      <c r="EQ246" s="48">
        <f t="shared" ca="1" si="432"/>
        <v>0</v>
      </c>
      <c r="ER246" s="48">
        <f ca="1">IF(ISNA(EQ246)=TRUE,MAX($ER$2:ER245)+1,0)</f>
        <v>0</v>
      </c>
      <c r="ES246" s="48" t="str">
        <f t="shared" ca="1" si="460"/>
        <v/>
      </c>
      <c r="ET246" s="48" t="str">
        <f ca="1">IFERROR(INDEX($ER$3:$ES$400,MATCH(ROWS($ET$3:ET246),$ER$3:$ER$400,0),2),"")</f>
        <v/>
      </c>
      <c r="EV246" s="48">
        <f ca="1">IFERROR(INDEX(LIBRO_GIORNALE!$O$11:$P$408,MATCH(ROWS($EV$2:EV245),LIBRO_GIORNALE!$P$11:$P$408,0),1),0)</f>
        <v>0</v>
      </c>
      <c r="EW246" s="48" t="str">
        <f t="shared" ca="1" si="461"/>
        <v>0</v>
      </c>
      <c r="EX246" s="48">
        <f t="shared" ca="1" si="462"/>
        <v>0</v>
      </c>
      <c r="EY246" s="48">
        <f ca="1">IF(EX246&gt;0,MAX($EY$2:EY245)+1,0)</f>
        <v>0</v>
      </c>
      <c r="EZ246" s="48">
        <f ca="1">IFERROR(INDEX($EX$3:$EX$400,MATCH(ROWS($EZ$3:EZ246),$EY$3:$EY$400,0),1),0)</f>
        <v>0</v>
      </c>
      <c r="FA246" s="48">
        <f ca="1">IF(EZ246&gt;0,0,MAX($FA$2:FA245)+1)</f>
        <v>244</v>
      </c>
      <c r="FB246" s="48">
        <f t="shared" ca="1" si="463"/>
        <v>0</v>
      </c>
      <c r="FC246" s="48">
        <f t="shared" ca="1" si="464"/>
        <v>244</v>
      </c>
      <c r="FD246" s="48">
        <f t="shared" ca="1" si="465"/>
        <v>244</v>
      </c>
      <c r="FE246" s="48">
        <f ca="1">IF(FD246=0,0,MAX($FE$2:FE245)+1)</f>
        <v>244</v>
      </c>
      <c r="FF246" s="48">
        <f ca="1">IFERROR(INDEX($FD$3:$FE$400,MATCH(ROWS($FF$3:FF246),$FE$3:$FE$400,0),1),"")</f>
        <v>244</v>
      </c>
      <c r="FG246" s="48">
        <f t="shared" ca="1" si="519"/>
        <v>0</v>
      </c>
      <c r="FH246" s="48">
        <f t="shared" ca="1" si="466"/>
        <v>0</v>
      </c>
      <c r="FI246" s="48">
        <f ca="1">IF(FH246&lt;&gt;0,MAX($FI$2:FI245)+1,0)</f>
        <v>0</v>
      </c>
      <c r="FJ246" s="48" t="str">
        <f ca="1">IFERROR(INDEX($FH$3:$FI$400,MATCH(ROWS($FJ$3:FJ246),$FI$3:$FI$400,0),1),"")</f>
        <v/>
      </c>
      <c r="FK246" s="48">
        <f ca="1">IF(ABS(SUMIFS(DARE,DEN_G,"="&amp;FJ246,DATA,"&lt;="&amp;FINE_AC,DATA,"&gt;="&amp;INIZIO_A_PC)-SUMIFS(AVERE,DEN_G,"="&amp;FJ246,DATA,"&lt;="&amp;FINE_AC,DATA,"&gt;="&amp;INIZIO_A_PC))&gt;0,MAX($FK$2:FK245)+1,0)</f>
        <v>0</v>
      </c>
      <c r="FL246" s="48" t="str">
        <f ca="1">IF(AND(ROW()-2&lt;&gt;1,ROW()-2&lt;=$FK$1),CONCATENATE(" - ",IFERROR(INDEX($FJ$3:$FK$400,MATCH(ROWS($FL$3:FL246),$FK$3:$FK$400,0),1),"")),IFERROR(INDEX($FJ$3:$FK$400,MATCH(ROWS($FL$3:FL246),$FK$3:$FK$400,0),1),""))</f>
        <v/>
      </c>
      <c r="FM246" s="48">
        <f ca="1">IF(OR(B246="IVA ns/credito",B246="IVA NS/DEBITO",B246="IVA C/ACCONTO",B246="IMPOSTE C/ACCONTO",B246="CREDITI PER RITENUTE SUBITE",B246="CREDITI D'IMPOSTA"),MAX($FM$2:FM245)+1,0)</f>
        <v>0</v>
      </c>
      <c r="FN246" s="48" t="str">
        <f t="shared" ca="1" si="467"/>
        <v/>
      </c>
      <c r="FO246" s="48" t="str">
        <f ca="1">IFERROR(INDEX($FM$3:$FN$400,MATCH(ROWS($FO$3:FO246),$FM$3:$FM$400,0),2),"")</f>
        <v/>
      </c>
      <c r="FP246" s="48">
        <f ca="1">IF(ABS(SUMIFS(DARE,DEN_G,"="&amp;FO246,DATA,"&lt;="&amp;FINE_AC,DATA,"&gt;="&amp;INIZIO_A_PC)-SUMIFS(AVERE,DEN_G,"="&amp;FO246,DATA,"&lt;="&amp;FINE_AC,DATA,"&gt;="&amp;INIZIO_A_PC))&gt;0,MAX($FP$2:FP245)+1,0)</f>
        <v>0</v>
      </c>
      <c r="FQ246" s="48" t="str">
        <f ca="1">IF(AND(ROW()-2&lt;&gt;1,ROW()-2&lt;=$FP$1),CONCATENATE(" - ",IFERROR(INDEX($FO$3:$FP$400,MATCH(ROWS($FQ$3:FQ246),$FP$3:$FP$400,0),1),"")),IFERROR(INDEX($FO$3:$FP$400,MATCH(ROWS($FQ$3:FQ246),$FP$3:$FP$400,0),1),""))</f>
        <v/>
      </c>
    </row>
    <row r="247" spans="1:173" x14ac:dyDescent="0.3">
      <c r="A247" s="48" t="str">
        <f ca="1">IFERROR(IF($A$1=2,INDEX($DH$3:$DN$401,MATCH(ROWS(A$3:A247),$DN$3:$DN$401,0),COLUMN()),IF($A$1=1,INDEX($DQ$3:$DW$401,MATCH(ROWS(A$3:A247),$DW$3:$DW$401,0),COLUMN()),"")),"")</f>
        <v>33.00</v>
      </c>
      <c r="B247" s="48" t="str">
        <f ca="1">IFERROR(IF($A$1=2,INDEX($DH$3:$DN$401,MATCH(ROWS(B$3:B247),$DN$3:$DN$401,0),COLUMN()),IF($A$1=1,INDEX($DQ$3:$DW$400,MATCH(ROWS(B$3:B247),$DW$3:$DW$401,0),COLUMN()),"")),"")</f>
        <v>COSTI PER IL PERSONALE</v>
      </c>
      <c r="C247" s="48">
        <f ca="1">IFERROR(IF($A$1=2,INDEX($DH$3:$DN$401,MATCH(ROWS(C$3:C247),$DN$3:$DN$401,0),COLUMN()),IF($A$1=1,INDEX($DQ$3:$DW$401,MATCH(ROWS(C$3:C247),$DW$3:$DW$401,0),COLUMN()),"")),"")</f>
        <v>0</v>
      </c>
      <c r="D247" s="48">
        <f ca="1">IFERROR(IF($A$1=2,INDEX($DH$3:$DN$401,MATCH(ROWS(D$3:D247),$DN$3:$DN$401,0),COLUMN()),IF($A$1=1,INDEX($DQ$3:$DW$401,MATCH(ROWS(D$3:D247),$DW$3:$DW$401,0),COLUMN()),"")),"")</f>
        <v>0</v>
      </c>
      <c r="E247" s="48">
        <f ca="1">IFERROR(IF($A$1=2,INDEX($DH$3:$DN$401,MATCH(ROWS(E$3:E247),$DN$3:$DN$401,0),COLUMN()),IF($A$1=1,INDEX($DQ$3:$DW$401,MATCH(ROWS(E$3:E247),$DW$3:$DW$401,0),COLUMN()),"")),"")</f>
        <v>0</v>
      </c>
      <c r="F247" s="48">
        <f ca="1">IFERROR(IF($A$1=2,INDEX($DH$3:$DN$401,MATCH(ROWS(F$3:F247),$DN$3:$DN$401,0),COLUMN()),IF($A$1=1,INDEX($DQ$3:$DX$401,MATCH(ROWS(F$3:F247),$DW$3:$DW$401,0),COLUMN()),"")),"")</f>
        <v>0</v>
      </c>
      <c r="G247" s="48" t="str">
        <f t="shared" ca="1" si="433"/>
        <v>0</v>
      </c>
      <c r="H247" s="48">
        <f ca="1">IFERROR(IF($A$1=2,INDEX($DH$3:$DO$400,MATCH(ROWS(H$3:H247),$DN$3:$DN$400,0),COLUMN()),IF($A$1=1,INDEX($DQ$3:$DX$400,MATCH(ROWS(H$3:H247),$DW$3:$DW$400,0),COLUMN()),"")),"")</f>
        <v>0</v>
      </c>
      <c r="M247" s="48">
        <f ca="1">IFERROR(IF(IF(MID($A247,3,3)=".00",MID(A247,1,2),"")&lt;&gt;"",MAX($M$2:M246)+1,0),"")</f>
        <v>25</v>
      </c>
      <c r="N247" s="48" t="str">
        <f t="shared" ca="1" si="438"/>
        <v>33</v>
      </c>
      <c r="O247" s="48" t="str">
        <f ca="1">IF(IFERROR(INDEX($N$3:$O$300,MATCH(ROWS($O$3:O247),$M$3:$M$300,0),1),"")&lt;&gt;"",CONCATENATE(INDEX($N$3:$O$300,MATCH(ROWS($O$3:O247),$M$3:$M$300,0),1),".00"),"")</f>
        <v/>
      </c>
      <c r="P247" s="48" t="str">
        <f t="shared" ca="1" si="439"/>
        <v/>
      </c>
      <c r="Q247" s="48">
        <f ca="1">IF(M247&gt;=1,0,MAX($Q$2:Q246)+1)</f>
        <v>0</v>
      </c>
      <c r="U247" s="48" t="str">
        <f ca="1">IFERROR(INDEX(PDC,MATCH(ROWS(U$3:U247),$V$3:$V$400,0),2),"")</f>
        <v>MATERIE PRIME C/RIMANENZE FINALI</v>
      </c>
      <c r="V247" s="48">
        <f ca="1">IF(AND($T$1="VISUALIZZA TUTTI I CONTI",AA247&lt;&gt;""),MAX($V$2:V246)+1,IF(AND($U$2=2,AI247=$T$1),MAX($V$2:V246)+1,IF(AND($U$2=1,$T$1=AF247),MAX($V$2:V246)+1,0)))</f>
        <v>245</v>
      </c>
      <c r="AA247" s="48" t="str">
        <f t="shared" ca="1" si="440"/>
        <v>37.00</v>
      </c>
      <c r="AB247" s="48" t="str">
        <f ca="1">IFERROR(INDEX($A$3:$G$400,MATCH(ROWS(AB$3:AB247),$Q$3:$Q$400,0),1),"")</f>
        <v>37.10</v>
      </c>
      <c r="AC247" s="48" t="str">
        <f ca="1">IFERROR(INDEX($A$3:$G$400,MATCH(ROWS($AC$3:AC247),$Q$3:$Q$400,0),2),"")</f>
        <v>MATERIE PRIME C/RIMANENZE FINALI</v>
      </c>
      <c r="AD247" s="48" t="str">
        <f ca="1">IFERROR(INDEX($A$3:$G$400,MATCH(ROWS(AD$3:AD247),$Q$3:$Q$400,0),3),"")</f>
        <v>E</v>
      </c>
      <c r="AE247" s="48" t="str">
        <f ca="1">IFERROR(INDEX($A$3:$G$400,MATCH(ROWS(AE$3:AE247),$Q$3:$Q$400,0),4),"")</f>
        <v>A</v>
      </c>
      <c r="AF247" s="48" t="str">
        <f ca="1">IFERROR(INDEX($A$3:$G$400,MATCH(ROWS(AF$3:AF247),$Q$3:$Q$400,0),5),"")</f>
        <v>RETTIFICHE COSTI D'ESERCIZIO</v>
      </c>
      <c r="AG247" s="48" t="str">
        <f ca="1">IFERROR(INDEX($A$3:$G$400,MATCH(ROWS(AG$3:AG247),$Q$3:$Q$400,0),6),"")</f>
        <v>SE AVERE</v>
      </c>
      <c r="AH247" s="48" t="str">
        <f ca="1">IFERROR(INDEX($A$3:$G$400,MATCH(ROWS(AH$3:AH247),$Q$3:$Q$400,0),7),"")</f>
        <v>SE</v>
      </c>
      <c r="AI247" s="48" t="str">
        <f t="shared" ca="1" si="441"/>
        <v>VARIAZIONI DELLE RIMANZENZE DI MATERIE</v>
      </c>
      <c r="AJ247" s="48" t="str">
        <f ca="1">IFERROR(INDEX($A$3:$H$400,MATCH(ROWS(AJ$3:AJ247),$Q$3:$Q$400,0),8),"")</f>
        <v>eb11</v>
      </c>
      <c r="AK247" s="48">
        <f t="shared" ca="1" si="417"/>
        <v>0</v>
      </c>
      <c r="AL247" s="48">
        <f t="shared" ca="1" si="515"/>
        <v>0</v>
      </c>
      <c r="AM247" s="48">
        <f t="shared" ca="1" si="516"/>
        <v>0</v>
      </c>
      <c r="AN247" s="48">
        <f t="shared" ca="1" si="517"/>
        <v>0</v>
      </c>
      <c r="AO247" s="48">
        <f t="shared" ca="1" si="518"/>
        <v>0</v>
      </c>
      <c r="AP247" s="48">
        <f t="shared" ca="1" si="518"/>
        <v>0</v>
      </c>
      <c r="AZ247" s="48" t="str">
        <f t="shared" ca="1" si="484"/>
        <v/>
      </c>
      <c r="BA247" s="48">
        <f t="shared" ca="1" si="520"/>
        <v>0</v>
      </c>
      <c r="BB247" s="48">
        <f t="shared" ca="1" si="521"/>
        <v>0</v>
      </c>
      <c r="BC247" s="48">
        <f t="shared" ca="1" si="522"/>
        <v>0</v>
      </c>
      <c r="BD247" s="48">
        <f t="shared" ca="1" si="523"/>
        <v>0</v>
      </c>
      <c r="BE247" s="48">
        <f t="shared" ca="1" si="524"/>
        <v>0</v>
      </c>
      <c r="BF247" s="48">
        <f t="shared" si="485"/>
        <v>47</v>
      </c>
      <c r="BG247" s="48">
        <f ca="1">IF(IF(AND(OR(INDEX(PDC,MATCH($AC247,DEN_PDC,0),6)="SP DARE",INDEX(PDC,MATCH($AC247,DEN_PDC,0),6)="SP DARE/AVERE"),SUMIFS(DARE,DEN_G,$AC247)&gt;=SUMIFS(AVERE,DEN_G,$AC247)),SUMIFS(DARE,DEN_G,$AC247)-SUMIFS(AVERE,DEN_G,$AC247),0)&gt;0,MAX($BG$2:BG246)+1,0)</f>
        <v>0</v>
      </c>
      <c r="BH247" s="48">
        <f ca="1">IF(IF(AND(OR(INDEX(PDC,MATCH($AC247,DEN_PDC,0),6)="SP AVERE",INDEX(PDC,MATCH($AC247,DEN_PDC,0),6)="SP DARE/AVERE"),SUMIFS(AVERE,DEN_G,$AC247)&gt;=SUMIFS(DARE,DEN_G,$AC247)),SUMIFS(AVERE,DEN_G,$AC247)-SUMIFS(DARE,DEN_G,$AC247),0)&gt;0,MAX(BH$2:BH246)+1,0)</f>
        <v>0</v>
      </c>
      <c r="BI247" s="48">
        <f ca="1">IF(IF(AND(OR(INDEX(PDC,MATCH($AC247,DEN_PDC,0),6)="SE DARE",INDEX(PDC,MATCH($AC247,DEN_PDC,0),6)="SE DARE/AVERE"),SUMIFS(DARE,DEN_G,$AC247)&gt;=SUMIFS(AVERE,DEN_G,$AC247)),SUMIFS(DARE,DEN_G,$AC247)-SUMIFS(AVERE,DEN_G,$AC247),0)&gt;0,MAX(BI$2:BI246)+1,0)</f>
        <v>0</v>
      </c>
      <c r="BJ247" s="48">
        <f ca="1">IF(IF(AND(OR(INDEX(PDC,MATCH($AC247,DEN_PDC,0),6)="SE AVERE",INDEX(PDC,MATCH($AC247,DEN_PDC,0),6)="SE DARE/AVERE"),SUMIFS(AVERE,DEN_G,$AC247)&gt;=SUMIFS(DARE,DEN_G,$AC247)),SUMIFS(AVERE,DEN_G,$AC247)-SUMIFS(DARE,DEN_G,$AC247),0)&gt;0,MAX(BJ$2:BJ246)+1,0)</f>
        <v>0</v>
      </c>
      <c r="BK247" s="48" t="str">
        <f ca="1">IF(AND(AND($DY$2=0,$DY$1=0),$I$1=2,ROW()&gt;$BG$1+2,ROW()&lt;=$BG$1+4),"………………..",IF(AND(OR($DY$2&gt;0,$DY$1&gt;0),$I$1=2,ROW()&gt;$BG$1+2,ROW()&lt;=$BG$1+4),"………………..",IFERROR(INDEX($AC$3:$AC$398,MATCH(ROWS(BK$3:BK247),BG$3:BG$398,0),1),"")))</f>
        <v/>
      </c>
      <c r="BL247" s="48">
        <f t="shared" ca="1" si="421"/>
        <v>0</v>
      </c>
      <c r="BM247" s="48" t="str">
        <f ca="1">IF(AND(OR($DY$2=0,$DY$1=0),$I$1=2,ROW()&gt;$BH$1+2,ROW()&lt;=$BH$1+4),"………………..",IF(AND(OR($DY$2&gt;0,$DY$1&gt;0),$I$1=2,ROW()&gt;$BH$1+2,ROW()&lt;=$BH$1+4),"………………..",IFERROR(INDEX($AC$3:$AC$400,MATCH(ROWS(BM$3:BM247),BH$3:BH$400,0),1),"")))</f>
        <v/>
      </c>
      <c r="BN247" s="48">
        <f t="shared" ca="1" si="422"/>
        <v>0</v>
      </c>
      <c r="BO247" s="48" t="str">
        <f ca="1">IF(AND(OR($DY$2=0,$DY$1=0),$I$1=2,ROW()&gt;$BI$1+2,ROW()&lt;=$BI$1+4),"………………..",IF(AND(OR($DY$2&gt;0,$DY$1&gt;0),$I$1=2,ROW()&gt;$BI$1+2,ROW()&lt;=$BI$1+4),"………………..",IFERROR(INDEX($AC$3:$AC$400,MATCH(ROWS(BO$3:BO247),BI$3:BI$400,0),1),"")))</f>
        <v/>
      </c>
      <c r="BP247" s="48">
        <f t="shared" ca="1" si="423"/>
        <v>0</v>
      </c>
      <c r="BQ247" s="48" t="str">
        <f ca="1">IF(AND(OR($DY$2=0,$DY$1=0),$I$1=2,ROW()&gt;$BJ$1+2,ROW()&lt;=$BJ$1+4),"………………..",IF(AND(OR($DY$2&gt;0,$DY$1&gt;0),$I$1=2,ROW()&gt;$BJ$1+2,ROW()&lt;=$BJ$1+4),"………………..",IFERROR(INDEX($AC$3:$AC$400,MATCH(ROWS(BQ$3:BQ247),BJ$3:BJ$400,0),1),"")))</f>
        <v/>
      </c>
      <c r="BR247" s="48">
        <f t="shared" ca="1" si="424"/>
        <v>0</v>
      </c>
      <c r="BS247" s="48">
        <f ca="1">IF(IF(AND(OR(INDEX(PDC,MATCH($AC247,DEN_PDC,0),4)="D",INDEX(PDC,MATCH($AC247,DEN_PDC,0),4)="D/A"),SUMIFS(DARE,DEN_G,$AC247)&gt;=SUMIFS(AVERE,DEN_G,$AC247)),SUMIFS(DARE,DEN_G,$AC247),IF(AND(OR(INDEX(PDC,MATCH($AC247,DEN_PDC,0),4)="A",INDEX(PDC,MATCH($AC247,DEN_PDC,0),4)="D/A"),SUMIFS(AVERE,DEN_G,$AC247)&gt;=SUMIFS(DARE,DEN_G,$AC247)),SUMIFS(AVERE,DEN_G,$AC247),))&gt;0,MAX($BS$2:BS246)+1,0)</f>
        <v>0</v>
      </c>
      <c r="BT247" s="48" t="str">
        <f ca="1">IF($CO$1=0,"",IF(AND($I$1=2,ROW()&gt;$BR$1,ROW()&lt;=$BS$1)," …………….",IF(AND($E$1=1,$BX$1=1,$I$1=2,ROW()=$BQ$1),"TOTALI",IFERROR(INDEX(PDC,MATCH(ROWS(BT$3:BT247),BS$3:BS644,0),2),""))))</f>
        <v/>
      </c>
      <c r="BU247" s="48">
        <f t="shared" ca="1" si="425"/>
        <v>0</v>
      </c>
      <c r="BV247" s="48">
        <f t="shared" ca="1" si="426"/>
        <v>0</v>
      </c>
      <c r="BW247" s="48">
        <f t="shared" ca="1" si="427"/>
        <v>0</v>
      </c>
      <c r="BX247" s="48">
        <f t="shared" ca="1" si="428"/>
        <v>0</v>
      </c>
      <c r="BY247" s="48">
        <f ca="1">IF(OR(BW247&gt;0,BX247&gt;0),MAX($BY$2:BY246)+1,0)</f>
        <v>0</v>
      </c>
      <c r="BZ247" s="48" t="str">
        <f ca="1">IFERROR(INDEX($BT$3:$BY$400,MATCH(ROWS(BZ$3:BZ247),$BY$3:$BY$400,0),1),"")</f>
        <v/>
      </c>
      <c r="CA247" s="48" t="str">
        <f ca="1">IFERROR(INDEX($BT$3:$BY$400,MATCH(ROWS(CA$3:CA247),$BY$3:$BY$400,0),4),"")</f>
        <v/>
      </c>
      <c r="CB247" s="48" t="str">
        <f ca="1">IFERROR(INDEX($BT$3:$BY$400,MATCH(ROWS(CB$3:CB247),$BY$3:$BY$400,0),5),"")</f>
        <v/>
      </c>
      <c r="CC247" s="48" t="str">
        <f t="shared" ca="1" si="429"/>
        <v/>
      </c>
      <c r="CD247" s="48">
        <f ca="1">IF(EU3&gt;0,0,IF(AY1&lt;&gt;0,0,IF(CE247&lt;&gt;0,MAX($CD$190:CD246)+1,0)))</f>
        <v>0</v>
      </c>
      <c r="CE247" s="48">
        <f ca="1">IF(AY1&lt;&gt;0,0,IF($F$1=1,SUM(CE245,CE246),IF(AND($DW$1=1,$BD$1=1,$E$1=1,$ES$1=0,$I$1=2,$DY$1&gt;0),-$DY$1,IF(AND($DW$1=1,$I$1=2,$DY$2&gt;0,$E$1=1,$EL$2=0,$BD$1=1),$DY$2,IF(AND($BD$1=1,$EL$2=0,$E$1=1,$I$1=2,$DY$1=0,$DY$2=0,OR(CE200&lt;&gt;0,CE221&lt;&gt;0)),"_ _ _",0)))))</f>
        <v>0</v>
      </c>
      <c r="CF247" s="48" t="s">
        <v>757</v>
      </c>
      <c r="CG247" s="242" t="str">
        <f ca="1">IF(AND($I$1=1,CE247&gt;=0),"_21) Utile dell'esercizio",IF(AND($I$1=1,CE247&lt;=0),"_21) Perdita dell'esercizio",IF(AND($I$1=2,$DY$2&gt;0),"_21) Utile dell'esercizio",IF(AND($I$1=2,$DY$1&gt;0),"_21) Perdita dell'esercizio",IF(CE247="_ _ _","_21) Utile (perdita) dell'esercizio","")))))</f>
        <v>_21) Utile dell'esercizio</v>
      </c>
      <c r="CH247" s="48">
        <f ca="1">IF(AND($I$1=1,$F$1=1,$CE$244&lt;&gt;ROUND($EO$1,0)),ROUND($EO$1,0),$CE$247)</f>
        <v>0</v>
      </c>
      <c r="CM247" s="242" t="str">
        <f t="shared" ca="1" si="444"/>
        <v/>
      </c>
      <c r="CN247" s="243">
        <f t="shared" ca="1" si="445"/>
        <v>0</v>
      </c>
      <c r="CO247" s="48" t="str">
        <f t="shared" ca="1" si="446"/>
        <v/>
      </c>
      <c r="CU247" s="48">
        <f ca="1">IF(SUMIFS(AVERE,DEN_G,AC247,AVERE,"&gt;"&amp;0)+SUMIFS(DARE,DEN_G,AC247,DARE,"&gt;"&amp;0)&gt;0,MAX($CU$2:CU246)+1,0)</f>
        <v>0</v>
      </c>
      <c r="CV247" s="48" t="str">
        <f ca="1">IF(IFERROR(INDEX(PDC,MATCH(ROWS($CV$3:CV247),$CU$3:$CU$400,0),2),"")="CONTO DI RISULTATO ECONOMICO","",IFERROR(INDEX(PDC,MATCH(ROWS($CV$3:CV247),$CU$3:$CU$400,0),2),""))</f>
        <v/>
      </c>
      <c r="CW247" s="48">
        <f ca="1">IFERROR(IF(CV247&lt;&gt;"",MAX($CW$2:CW246)+1,0),0)</f>
        <v>0</v>
      </c>
      <c r="CX247" s="48">
        <f t="shared" ca="1" si="528"/>
        <v>19</v>
      </c>
      <c r="CY247" s="48" t="str">
        <f t="shared" ca="1" si="527"/>
        <v>MASTRO</v>
      </c>
      <c r="CZ247" s="48" t="e">
        <f t="shared" ca="1" si="530"/>
        <v>#N/A</v>
      </c>
      <c r="DA247" s="48" t="str">
        <f t="shared" ca="1" si="535"/>
        <v/>
      </c>
      <c r="DB247" s="48" t="str">
        <f t="shared" ca="1" si="499"/>
        <v/>
      </c>
      <c r="DC247" s="48" t="str">
        <f t="shared" ca="1" si="531"/>
        <v/>
      </c>
      <c r="DD247" s="48" t="str">
        <f t="shared" ca="1" si="532"/>
        <v/>
      </c>
      <c r="DE247" s="48" t="str">
        <f t="shared" ca="1" si="533"/>
        <v/>
      </c>
      <c r="DF247" s="48">
        <f ca="1">IF(AND(CX247=$DF$1,CX247&lt;&gt;""),0,IF(AND(DB247&lt;&gt;"",OR(DB246&lt;&gt;"",DB248&lt;&gt;"")),MAX($DF$2:DF246)+1,0))</f>
        <v>0</v>
      </c>
      <c r="DH247" s="244" t="s">
        <v>423</v>
      </c>
      <c r="DI247" s="48" t="s">
        <v>1099</v>
      </c>
      <c r="DJ247" s="48" t="s">
        <v>311</v>
      </c>
      <c r="DK247" s="48" t="s">
        <v>298</v>
      </c>
      <c r="DL247" s="48" t="s">
        <v>8</v>
      </c>
      <c r="DM247" s="48" t="s">
        <v>300</v>
      </c>
      <c r="DN247" s="48">
        <f ca="1">IF(DI247&lt;&gt;"",MAX($DN$2:DN246)+1,0)</f>
        <v>189</v>
      </c>
      <c r="DO247" s="48" t="s">
        <v>701</v>
      </c>
      <c r="DQ247" s="227" t="s">
        <v>1063</v>
      </c>
      <c r="DR247" s="48" t="s">
        <v>178</v>
      </c>
      <c r="DS247" s="48" t="s">
        <v>311</v>
      </c>
      <c r="DT247" s="48" t="s">
        <v>298</v>
      </c>
      <c r="DU247" s="48" t="s">
        <v>8</v>
      </c>
      <c r="DV247" s="48" t="s">
        <v>300</v>
      </c>
      <c r="DW247" s="48">
        <f ca="1">IF(DR247&lt;&gt;"",MAX($DW$2:DW246)+1,0)</f>
        <v>146</v>
      </c>
      <c r="DX247" s="48" t="s">
        <v>708</v>
      </c>
      <c r="DY247" s="48" t="str">
        <f t="shared" ca="1" si="430"/>
        <v/>
      </c>
      <c r="EL247" s="48">
        <f t="shared" ca="1" si="431"/>
        <v>0</v>
      </c>
      <c r="EM247" s="48">
        <f ca="1">IF(EL247&gt;=0,0,MAX($EM$2:EM246)+1)</f>
        <v>0</v>
      </c>
      <c r="EN247" s="48" t="str">
        <f t="shared" ca="1" si="459"/>
        <v/>
      </c>
      <c r="EO247" s="48" t="str">
        <f ca="1">IFERROR(INDEX($EM$3:$EN$400,MATCH(ROWS($EO$3:EO247),$EM$3:$EM$400,0),2),"")</f>
        <v/>
      </c>
      <c r="EP247" s="48">
        <f>ROW()</f>
        <v>247</v>
      </c>
      <c r="EQ247" s="48">
        <f t="shared" ca="1" si="432"/>
        <v>0</v>
      </c>
      <c r="ER247" s="48">
        <f ca="1">IF(ISNA(EQ247)=TRUE,MAX($ER$2:ER246)+1,0)</f>
        <v>0</v>
      </c>
      <c r="ES247" s="48" t="str">
        <f t="shared" ca="1" si="460"/>
        <v/>
      </c>
      <c r="ET247" s="48" t="str">
        <f ca="1">IFERROR(INDEX($ER$3:$ES$400,MATCH(ROWS($ET$3:ET247),$ER$3:$ER$400,0),2),"")</f>
        <v/>
      </c>
      <c r="EV247" s="48">
        <f ca="1">IFERROR(INDEX(LIBRO_GIORNALE!$O$11:$P$408,MATCH(ROWS($EV$2:EV246),LIBRO_GIORNALE!$P$11:$P$408,0),1),0)</f>
        <v>0</v>
      </c>
      <c r="EW247" s="48" t="str">
        <f t="shared" ca="1" si="461"/>
        <v>0</v>
      </c>
      <c r="EX247" s="48">
        <f t="shared" ca="1" si="462"/>
        <v>0</v>
      </c>
      <c r="EY247" s="48">
        <f ca="1">IF(EX247&gt;0,MAX($EY$2:EY246)+1,0)</f>
        <v>0</v>
      </c>
      <c r="EZ247" s="48">
        <f ca="1">IFERROR(INDEX($EX$3:$EX$400,MATCH(ROWS($EZ$3:EZ247),$EY$3:$EY$400,0),1),0)</f>
        <v>0</v>
      </c>
      <c r="FA247" s="48">
        <f ca="1">IF(EZ247&gt;0,0,MAX($FA$2:FA246)+1)</f>
        <v>245</v>
      </c>
      <c r="FB247" s="48">
        <f t="shared" ca="1" si="463"/>
        <v>0</v>
      </c>
      <c r="FC247" s="48">
        <f t="shared" ca="1" si="464"/>
        <v>245</v>
      </c>
      <c r="FD247" s="48">
        <f t="shared" ca="1" si="465"/>
        <v>245</v>
      </c>
      <c r="FE247" s="48">
        <f ca="1">IF(FD247=0,0,MAX($FE$2:FE246)+1)</f>
        <v>245</v>
      </c>
      <c r="FF247" s="48">
        <f ca="1">IFERROR(INDEX($FD$3:$FE$400,MATCH(ROWS($FF$3:FF247),$FE$3:$FE$400,0),1),"")</f>
        <v>245</v>
      </c>
      <c r="FG247" s="48">
        <f t="shared" ca="1" si="519"/>
        <v>0</v>
      </c>
      <c r="FH247" s="48">
        <f t="shared" ca="1" si="466"/>
        <v>0</v>
      </c>
      <c r="FI247" s="48">
        <f ca="1">IF(FH247&lt;&gt;0,MAX($FI$2:FI246)+1,0)</f>
        <v>0</v>
      </c>
      <c r="FJ247" s="48" t="str">
        <f ca="1">IFERROR(INDEX($FH$3:$FI$400,MATCH(ROWS($FJ$3:FJ247),$FI$3:$FI$400,0),1),"")</f>
        <v/>
      </c>
      <c r="FK247" s="48">
        <f ca="1">IF(ABS(SUMIFS(DARE,DEN_G,"="&amp;FJ247,DATA,"&lt;="&amp;FINE_AC,DATA,"&gt;="&amp;INIZIO_A_PC)-SUMIFS(AVERE,DEN_G,"="&amp;FJ247,DATA,"&lt;="&amp;FINE_AC,DATA,"&gt;="&amp;INIZIO_A_PC))&gt;0,MAX($FK$2:FK246)+1,0)</f>
        <v>0</v>
      </c>
      <c r="FL247" s="48" t="str">
        <f ca="1">IF(AND(ROW()-2&lt;&gt;1,ROW()-2&lt;=$FK$1),CONCATENATE(" - ",IFERROR(INDEX($FJ$3:$FK$400,MATCH(ROWS($FL$3:FL247),$FK$3:$FK$400,0),1),"")),IFERROR(INDEX($FJ$3:$FK$400,MATCH(ROWS($FL$3:FL247),$FK$3:$FK$400,0),1),""))</f>
        <v/>
      </c>
      <c r="FM247" s="48">
        <f ca="1">IF(OR(B247="IVA ns/credito",B247="IVA NS/DEBITO",B247="IVA C/ACCONTO",B247="IMPOSTE C/ACCONTO",B247="CREDITI PER RITENUTE SUBITE",B247="CREDITI D'IMPOSTA"),MAX($FM$2:FM246)+1,0)</f>
        <v>0</v>
      </c>
      <c r="FN247" s="48" t="str">
        <f t="shared" ca="1" si="467"/>
        <v/>
      </c>
      <c r="FO247" s="48" t="str">
        <f ca="1">IFERROR(INDEX($FM$3:$FN$400,MATCH(ROWS($FO$3:FO247),$FM$3:$FM$400,0),2),"")</f>
        <v/>
      </c>
      <c r="FP247" s="48">
        <f ca="1">IF(ABS(SUMIFS(DARE,DEN_G,"="&amp;FO247,DATA,"&lt;="&amp;FINE_AC,DATA,"&gt;="&amp;INIZIO_A_PC)-SUMIFS(AVERE,DEN_G,"="&amp;FO247,DATA,"&lt;="&amp;FINE_AC,DATA,"&gt;="&amp;INIZIO_A_PC))&gt;0,MAX($FP$2:FP246)+1,0)</f>
        <v>0</v>
      </c>
      <c r="FQ247" s="48" t="str">
        <f ca="1">IF(AND(ROW()-2&lt;&gt;1,ROW()-2&lt;=$FP$1),CONCATENATE(" - ",IFERROR(INDEX($FO$3:$FP$400,MATCH(ROWS($FQ$3:FQ247),$FP$3:$FP$400,0),1),"")),IFERROR(INDEX($FO$3:$FP$400,MATCH(ROWS($FQ$3:FQ247),$FP$3:$FP$400,0),1),""))</f>
        <v/>
      </c>
    </row>
    <row r="248" spans="1:173" x14ac:dyDescent="0.3">
      <c r="A248" s="48" t="str">
        <f ca="1">IFERROR(IF($A$1=2,INDEX($DH$3:$DN$401,MATCH(ROWS(A$3:A248),$DN$3:$DN$401,0),COLUMN()),IF($A$1=1,INDEX($DQ$3:$DW$401,MATCH(ROWS(A$3:A248),$DW$3:$DW$401,0),COLUMN()),"")),"")</f>
        <v>33.01</v>
      </c>
      <c r="B248" s="48" t="str">
        <f ca="1">IFERROR(IF($A$1=2,INDEX($DH$3:$DN$401,MATCH(ROWS(B$3:B248),$DN$3:$DN$401,0),COLUMN()),IF($A$1=1,INDEX($DQ$3:$DW$400,MATCH(ROWS(B$3:B248),$DW$3:$DW$401,0),COLUMN()),"")),"")</f>
        <v>SALARI E STIPENDI</v>
      </c>
      <c r="C248" s="48" t="str">
        <f ca="1">IFERROR(IF($A$1=2,INDEX($DH$3:$DN$401,MATCH(ROWS(C$3:C248),$DN$3:$DN$401,0),COLUMN()),IF($A$1=1,INDEX($DQ$3:$DW$401,MATCH(ROWS(C$3:C248),$DW$3:$DW$401,0),COLUMN()),"")),"")</f>
        <v>E</v>
      </c>
      <c r="D248" s="48" t="str">
        <f ca="1">IFERROR(IF($A$1=2,INDEX($DH$3:$DN$401,MATCH(ROWS(D$3:D248),$DN$3:$DN$401,0),COLUMN()),IF($A$1=1,INDEX($DQ$3:$DW$401,MATCH(ROWS(D$3:D248),$DW$3:$DW$401,0),COLUMN()),"")),"")</f>
        <v>D</v>
      </c>
      <c r="E248" s="48" t="str">
        <f ca="1">IFERROR(IF($A$1=2,INDEX($DH$3:$DN$401,MATCH(ROWS(E$3:E248),$DN$3:$DN$401,0),COLUMN()),IF($A$1=1,INDEX($DQ$3:$DW$401,MATCH(ROWS(E$3:E248),$DW$3:$DW$401,0),COLUMN()),"")),"")</f>
        <v>COSTI D'ESERCIZIO</v>
      </c>
      <c r="F248" s="48" t="str">
        <f ca="1">IFERROR(IF($A$1=2,INDEX($DH$3:$DN$401,MATCH(ROWS(F$3:F248),$DN$3:$DN$401,0),COLUMN()),IF($A$1=1,INDEX($DQ$3:$DX$401,MATCH(ROWS(F$3:F248),$DW$3:$DW$401,0),COLUMN()),"")),"")</f>
        <v>SE DARE</v>
      </c>
      <c r="G248" s="48" t="str">
        <f t="shared" ca="1" si="433"/>
        <v>SE</v>
      </c>
      <c r="H248" s="48" t="str">
        <f ca="1">IFERROR(IF($A$1=2,INDEX($DH$3:$DO$400,MATCH(ROWS(H$3:H248),$DN$3:$DN$400,0),COLUMN()),IF($A$1=1,INDEX($DQ$3:$DX$400,MATCH(ROWS(H$3:H248),$DW$3:$DW$400,0),COLUMN()),"")),"")</f>
        <v>eb9a</v>
      </c>
      <c r="M248" s="48">
        <f ca="1">IFERROR(IF(IF(MID($A248,3,3)=".00",MID(A248,1,2),"")&lt;&gt;"",MAX($M$2:M247)+1,0),"")</f>
        <v>0</v>
      </c>
      <c r="N248" s="48" t="str">
        <f t="shared" ca="1" si="438"/>
        <v/>
      </c>
      <c r="O248" s="48" t="str">
        <f ca="1">IF(IFERROR(INDEX($N$3:$O$300,MATCH(ROWS($O$3:O248),$M$3:$M$300,0),1),"")&lt;&gt;"",CONCATENATE(INDEX($N$3:$O$300,MATCH(ROWS($O$3:O248),$M$3:$M$300,0),1),".00"),"")</f>
        <v/>
      </c>
      <c r="P248" s="48" t="str">
        <f t="shared" ca="1" si="439"/>
        <v/>
      </c>
      <c r="Q248" s="48">
        <f ca="1">IF(M248&gt;=1,0,MAX($Q$2:Q247)+1)</f>
        <v>221</v>
      </c>
      <c r="U248" s="48" t="str">
        <f ca="1">IFERROR(INDEX(PDC,MATCH(ROWS(U$3:U248),$V$3:$V$400,0),2),"")</f>
        <v>MATERIE SUSSIDIARIE C/RIMANENZE FINALI</v>
      </c>
      <c r="V248" s="48">
        <f ca="1">IF(AND($T$1="VISUALIZZA TUTTI I CONTI",AA248&lt;&gt;""),MAX($V$2:V247)+1,IF(AND($U$2=2,AI248=$T$1),MAX($V$2:V247)+1,IF(AND($U$2=1,$T$1=AF248),MAX($V$2:V247)+1,0)))</f>
        <v>246</v>
      </c>
      <c r="AA248" s="48" t="str">
        <f t="shared" ca="1" si="440"/>
        <v>37.00</v>
      </c>
      <c r="AB248" s="48" t="str">
        <f ca="1">IFERROR(INDEX($A$3:$G$400,MATCH(ROWS(AB$3:AB248),$Q$3:$Q$400,0),1),"")</f>
        <v>37.11</v>
      </c>
      <c r="AC248" s="48" t="str">
        <f ca="1">IFERROR(INDEX($A$3:$G$400,MATCH(ROWS($AC$3:AC248),$Q$3:$Q$400,0),2),"")</f>
        <v>MATERIE SUSSIDIARIE C/RIMANENZE FINALI</v>
      </c>
      <c r="AD248" s="48" t="str">
        <f ca="1">IFERROR(INDEX($A$3:$G$400,MATCH(ROWS(AD$3:AD248),$Q$3:$Q$400,0),3),"")</f>
        <v>E</v>
      </c>
      <c r="AE248" s="48" t="str">
        <f ca="1">IFERROR(INDEX($A$3:$G$400,MATCH(ROWS(AE$3:AE248),$Q$3:$Q$400,0),4),"")</f>
        <v>A</v>
      </c>
      <c r="AF248" s="48" t="str">
        <f ca="1">IFERROR(INDEX($A$3:$G$400,MATCH(ROWS(AF$3:AF248),$Q$3:$Q$400,0),5),"")</f>
        <v>RETTIFICHE COSTI D'ESERCIZIO</v>
      </c>
      <c r="AG248" s="48" t="str">
        <f ca="1">IFERROR(INDEX($A$3:$G$400,MATCH(ROWS(AG$3:AG248),$Q$3:$Q$400,0),6),"")</f>
        <v>SE AVERE</v>
      </c>
      <c r="AH248" s="48" t="str">
        <f ca="1">IFERROR(INDEX($A$3:$G$400,MATCH(ROWS(AH$3:AH248),$Q$3:$Q$400,0),7),"")</f>
        <v>SE</v>
      </c>
      <c r="AI248" s="48" t="str">
        <f t="shared" ca="1" si="441"/>
        <v>VARIAZIONI DELLE RIMANZENZE DI MATERIE</v>
      </c>
      <c r="AJ248" s="48" t="str">
        <f ca="1">IFERROR(INDEX($A$3:$H$400,MATCH(ROWS(AJ$3:AJ248),$Q$3:$Q$400,0),8),"")</f>
        <v>eb11</v>
      </c>
      <c r="AK248" s="48">
        <f t="shared" ca="1" si="417"/>
        <v>0</v>
      </c>
      <c r="AL248" s="48">
        <f t="shared" ca="1" si="515"/>
        <v>0</v>
      </c>
      <c r="AM248" s="48">
        <f t="shared" ca="1" si="516"/>
        <v>0</v>
      </c>
      <c r="AN248" s="48">
        <f t="shared" ca="1" si="517"/>
        <v>0</v>
      </c>
      <c r="AO248" s="48">
        <f t="shared" ca="1" si="518"/>
        <v>0</v>
      </c>
      <c r="AP248" s="48">
        <f t="shared" ca="1" si="518"/>
        <v>0</v>
      </c>
      <c r="AZ248" s="48" t="str">
        <f t="shared" ca="1" si="484"/>
        <v/>
      </c>
      <c r="BA248" s="48">
        <f t="shared" ca="1" si="520"/>
        <v>0</v>
      </c>
      <c r="BB248" s="48">
        <f t="shared" ca="1" si="521"/>
        <v>0</v>
      </c>
      <c r="BC248" s="48">
        <f t="shared" ca="1" si="522"/>
        <v>0</v>
      </c>
      <c r="BD248" s="48">
        <f t="shared" ca="1" si="523"/>
        <v>0</v>
      </c>
      <c r="BE248" s="48">
        <f t="shared" ca="1" si="524"/>
        <v>0</v>
      </c>
      <c r="BF248" s="48">
        <f t="shared" si="485"/>
        <v>48</v>
      </c>
      <c r="BG248" s="48">
        <f ca="1">IF(IF(AND(OR(INDEX(PDC,MATCH($AC248,DEN_PDC,0),6)="SP DARE",INDEX(PDC,MATCH($AC248,DEN_PDC,0),6)="SP DARE/AVERE"),SUMIFS(DARE,DEN_G,$AC248)&gt;=SUMIFS(AVERE,DEN_G,$AC248)),SUMIFS(DARE,DEN_G,$AC248)-SUMIFS(AVERE,DEN_G,$AC248),0)&gt;0,MAX($BG$2:BG247)+1,0)</f>
        <v>0</v>
      </c>
      <c r="BH248" s="48">
        <f ca="1">IF(IF(AND(OR(INDEX(PDC,MATCH($AC248,DEN_PDC,0),6)="SP AVERE",INDEX(PDC,MATCH($AC248,DEN_PDC,0),6)="SP DARE/AVERE"),SUMIFS(AVERE,DEN_G,$AC248)&gt;=SUMIFS(DARE,DEN_G,$AC248)),SUMIFS(AVERE,DEN_G,$AC248)-SUMIFS(DARE,DEN_G,$AC248),0)&gt;0,MAX(BH$2:BH247)+1,0)</f>
        <v>0</v>
      </c>
      <c r="BI248" s="48">
        <f ca="1">IF(IF(AND(OR(INDEX(PDC,MATCH($AC248,DEN_PDC,0),6)="SE DARE",INDEX(PDC,MATCH($AC248,DEN_PDC,0),6)="SE DARE/AVERE"),SUMIFS(DARE,DEN_G,$AC248)&gt;=SUMIFS(AVERE,DEN_G,$AC248)),SUMIFS(DARE,DEN_G,$AC248)-SUMIFS(AVERE,DEN_G,$AC248),0)&gt;0,MAX(BI$2:BI247)+1,0)</f>
        <v>0</v>
      </c>
      <c r="BJ248" s="48">
        <f ca="1">IF(IF(AND(OR(INDEX(PDC,MATCH($AC248,DEN_PDC,0),6)="SE AVERE",INDEX(PDC,MATCH($AC248,DEN_PDC,0),6)="SE DARE/AVERE"),SUMIFS(AVERE,DEN_G,$AC248)&gt;=SUMIFS(DARE,DEN_G,$AC248)),SUMIFS(AVERE,DEN_G,$AC248)-SUMIFS(DARE,DEN_G,$AC248),0)&gt;0,MAX(BJ$2:BJ247)+1,0)</f>
        <v>0</v>
      </c>
      <c r="BK248" s="48" t="str">
        <f ca="1">IF(AND(AND($DY$2=0,$DY$1=0),$I$1=2,ROW()&gt;$BG$1+2,ROW()&lt;=$BG$1+4),"………………..",IF(AND(OR($DY$2&gt;0,$DY$1&gt;0),$I$1=2,ROW()&gt;$BG$1+2,ROW()&lt;=$BG$1+4),"………………..",IFERROR(INDEX($AC$3:$AC$398,MATCH(ROWS(BK$3:BK248),BG$3:BG$398,0),1),"")))</f>
        <v/>
      </c>
      <c r="BL248" s="48">
        <f t="shared" ca="1" si="421"/>
        <v>0</v>
      </c>
      <c r="BM248" s="48" t="str">
        <f ca="1">IF(AND(OR($DY$2=0,$DY$1=0),$I$1=2,ROW()&gt;$BH$1+2,ROW()&lt;=$BH$1+4),"………………..",IF(AND(OR($DY$2&gt;0,$DY$1&gt;0),$I$1=2,ROW()&gt;$BH$1+2,ROW()&lt;=$BH$1+4),"………………..",IFERROR(INDEX($AC$3:$AC$400,MATCH(ROWS(BM$3:BM248),BH$3:BH$400,0),1),"")))</f>
        <v/>
      </c>
      <c r="BN248" s="48">
        <f t="shared" ca="1" si="422"/>
        <v>0</v>
      </c>
      <c r="BO248" s="48" t="str">
        <f ca="1">IF(AND(OR($DY$2=0,$DY$1=0),$I$1=2,ROW()&gt;$BI$1+2,ROW()&lt;=$BI$1+4),"………………..",IF(AND(OR($DY$2&gt;0,$DY$1&gt;0),$I$1=2,ROW()&gt;$BI$1+2,ROW()&lt;=$BI$1+4),"………………..",IFERROR(INDEX($AC$3:$AC$400,MATCH(ROWS(BO$3:BO248),BI$3:BI$400,0),1),"")))</f>
        <v/>
      </c>
      <c r="BP248" s="48">
        <f t="shared" ca="1" si="423"/>
        <v>0</v>
      </c>
      <c r="BQ248" s="48" t="str">
        <f ca="1">IF(AND(OR($DY$2=0,$DY$1=0),$I$1=2,ROW()&gt;$BJ$1+2,ROW()&lt;=$BJ$1+4),"………………..",IF(AND(OR($DY$2&gt;0,$DY$1&gt;0),$I$1=2,ROW()&gt;$BJ$1+2,ROW()&lt;=$BJ$1+4),"………………..",IFERROR(INDEX($AC$3:$AC$400,MATCH(ROWS(BQ$3:BQ248),BJ$3:BJ$400,0),1),"")))</f>
        <v/>
      </c>
      <c r="BR248" s="48">
        <f t="shared" ca="1" si="424"/>
        <v>0</v>
      </c>
      <c r="BS248" s="48">
        <f ca="1">IF(IF(AND(OR(INDEX(PDC,MATCH($AC248,DEN_PDC,0),4)="D",INDEX(PDC,MATCH($AC248,DEN_PDC,0),4)="D/A"),SUMIFS(DARE,DEN_G,$AC248)&gt;=SUMIFS(AVERE,DEN_G,$AC248)),SUMIFS(DARE,DEN_G,$AC248),IF(AND(OR(INDEX(PDC,MATCH($AC248,DEN_PDC,0),4)="A",INDEX(PDC,MATCH($AC248,DEN_PDC,0),4)="D/A"),SUMIFS(AVERE,DEN_G,$AC248)&gt;=SUMIFS(DARE,DEN_G,$AC248)),SUMIFS(AVERE,DEN_G,$AC248),))&gt;0,MAX($BS$2:BS247)+1,0)</f>
        <v>0</v>
      </c>
      <c r="BT248" s="48" t="str">
        <f ca="1">IF($CO$1=0,"",IF(AND($I$1=2,ROW()&gt;$BR$1,ROW()&lt;=$BS$1)," …………….",IF(AND($E$1=1,$BX$1=1,$I$1=2,ROW()=$BQ$1),"TOTALI",IFERROR(INDEX(PDC,MATCH(ROWS(BT$3:BT248),BS$3:BS645,0),2),""))))</f>
        <v/>
      </c>
      <c r="BU248" s="48">
        <f t="shared" ca="1" si="425"/>
        <v>0</v>
      </c>
      <c r="BV248" s="48">
        <f t="shared" ca="1" si="426"/>
        <v>0</v>
      </c>
      <c r="BW248" s="48">
        <f t="shared" ca="1" si="427"/>
        <v>0</v>
      </c>
      <c r="BX248" s="48">
        <f t="shared" ca="1" si="428"/>
        <v>0</v>
      </c>
      <c r="BY248" s="48">
        <f ca="1">IF(OR(BW248&gt;0,BX248&gt;0),MAX($BY$2:BY247)+1,0)</f>
        <v>0</v>
      </c>
      <c r="BZ248" s="48" t="str">
        <f ca="1">IFERROR(INDEX($BT$3:$BY$400,MATCH(ROWS(BZ$3:BZ248),$BY$3:$BY$400,0),1),"")</f>
        <v/>
      </c>
      <c r="CA248" s="48" t="str">
        <f ca="1">IFERROR(INDEX($BT$3:$BY$400,MATCH(ROWS(CA$3:CA248),$BY$3:$BY$400,0),4),"")</f>
        <v/>
      </c>
      <c r="CB248" s="48" t="str">
        <f ca="1">IFERROR(INDEX($BT$3:$BY$400,MATCH(ROWS(CB$3:CB248),$BY$3:$BY$400,0),5),"")</f>
        <v/>
      </c>
      <c r="CC248" s="48" t="str">
        <f t="shared" ca="1" si="429"/>
        <v/>
      </c>
      <c r="CM248" s="242" t="str">
        <f t="shared" ca="1" si="444"/>
        <v/>
      </c>
      <c r="CN248" s="243">
        <f t="shared" ca="1" si="445"/>
        <v>0</v>
      </c>
      <c r="CO248" s="48" t="str">
        <f t="shared" ca="1" si="446"/>
        <v/>
      </c>
      <c r="CU248" s="48">
        <f ca="1">IF(SUMIFS(AVERE,DEN_G,AC248,AVERE,"&gt;"&amp;0)+SUMIFS(DARE,DEN_G,AC248,DARE,"&gt;"&amp;0)&gt;0,MAX($CU$2:CU247)+1,0)</f>
        <v>0</v>
      </c>
      <c r="CV248" s="48" t="str">
        <f ca="1">IF(IFERROR(INDEX(PDC,MATCH(ROWS($CV$3:CV248),$CU$3:$CU$400,0),2),"")="CONTO DI RISULTATO ECONOMICO","",IFERROR(INDEX(PDC,MATCH(ROWS($CV$3:CV248),$CU$3:$CU$400,0),2),""))</f>
        <v/>
      </c>
      <c r="CW248" s="48">
        <f ca="1">IFERROR(IF(CV248&lt;&gt;"",MAX($CW$2:CW247)+1,0),0)</f>
        <v>0</v>
      </c>
      <c r="CX248" s="48">
        <f t="shared" ca="1" si="528"/>
        <v>19</v>
      </c>
      <c r="CY248" s="48" t="str">
        <f t="shared" ca="1" si="527"/>
        <v>MASTRO</v>
      </c>
      <c r="CZ248" s="48" t="e">
        <f t="shared" ca="1" si="530"/>
        <v>#N/A</v>
      </c>
      <c r="DA248" s="48" t="str">
        <f t="shared" ca="1" si="535"/>
        <v/>
      </c>
      <c r="DB248" s="48" t="str">
        <f t="shared" ca="1" si="499"/>
        <v/>
      </c>
      <c r="DC248" s="48" t="str">
        <f t="shared" ca="1" si="531"/>
        <v/>
      </c>
      <c r="DD248" s="48" t="str">
        <f t="shared" ca="1" si="532"/>
        <v/>
      </c>
      <c r="DE248" s="48" t="str">
        <f t="shared" ca="1" si="533"/>
        <v/>
      </c>
      <c r="DF248" s="48">
        <f ca="1">IF(AND(CX248=$DF$1,CX248&lt;&gt;""),0,IF(AND(DB248&lt;&gt;"",OR(DB247&lt;&gt;"",DB249&lt;&gt;"")),MAX($DF$2:DF247)+1,0))</f>
        <v>0</v>
      </c>
      <c r="DH248" s="249" t="s">
        <v>182</v>
      </c>
      <c r="DI248" s="48" t="s">
        <v>175</v>
      </c>
      <c r="DJ248" s="48" t="s">
        <v>311</v>
      </c>
      <c r="DK248" s="48" t="s">
        <v>275</v>
      </c>
      <c r="DL248" s="48" t="s">
        <v>319</v>
      </c>
      <c r="DM248" s="48" t="s">
        <v>301</v>
      </c>
      <c r="DN248" s="48">
        <f ca="1">IF(DI248&lt;&gt;"",MAX($DN$2:DN247)+1,0)</f>
        <v>190</v>
      </c>
      <c r="DO248" s="48" t="s">
        <v>701</v>
      </c>
      <c r="DQ248" s="227" t="s">
        <v>1064</v>
      </c>
      <c r="DR248" s="48" t="s">
        <v>289</v>
      </c>
      <c r="DS248" s="48" t="s">
        <v>311</v>
      </c>
      <c r="DT248" s="48" t="s">
        <v>298</v>
      </c>
      <c r="DU248" s="48" t="s">
        <v>8</v>
      </c>
      <c r="DV248" s="48" t="s">
        <v>300</v>
      </c>
      <c r="DW248" s="48">
        <f ca="1">IF(DR248&lt;&gt;"",MAX($DW$2:DW247)+1,0)</f>
        <v>147</v>
      </c>
      <c r="DX248" s="48" t="s">
        <v>708</v>
      </c>
      <c r="DY248" s="48" t="str">
        <f t="shared" ca="1" si="430"/>
        <v/>
      </c>
      <c r="EL248" s="48">
        <f t="shared" ca="1" si="431"/>
        <v>0</v>
      </c>
      <c r="EM248" s="48">
        <f ca="1">IF(EL248&gt;=0,0,MAX($EM$2:EM247)+1)</f>
        <v>0</v>
      </c>
      <c r="EN248" s="48" t="str">
        <f t="shared" ca="1" si="459"/>
        <v/>
      </c>
      <c r="EO248" s="48" t="str">
        <f ca="1">IFERROR(INDEX($EM$3:$EN$400,MATCH(ROWS($EO$3:EO248),$EM$3:$EM$400,0),2),"")</f>
        <v/>
      </c>
      <c r="EP248" s="48">
        <f>ROW()</f>
        <v>248</v>
      </c>
      <c r="EQ248" s="48">
        <f t="shared" ca="1" si="432"/>
        <v>0</v>
      </c>
      <c r="ER248" s="48">
        <f ca="1">IF(ISNA(EQ248)=TRUE,MAX($ER$2:ER247)+1,0)</f>
        <v>0</v>
      </c>
      <c r="ES248" s="48" t="str">
        <f t="shared" ca="1" si="460"/>
        <v/>
      </c>
      <c r="ET248" s="48" t="str">
        <f ca="1">IFERROR(INDEX($ER$3:$ES$400,MATCH(ROWS($ET$3:ET248),$ER$3:$ER$400,0),2),"")</f>
        <v/>
      </c>
      <c r="EV248" s="48">
        <f ca="1">IFERROR(INDEX(LIBRO_GIORNALE!$O$11:$P$408,MATCH(ROWS($EV$2:EV247),LIBRO_GIORNALE!$P$11:$P$408,0),1),0)</f>
        <v>0</v>
      </c>
      <c r="EW248" s="48" t="str">
        <f t="shared" ca="1" si="461"/>
        <v>0</v>
      </c>
      <c r="EX248" s="48">
        <f t="shared" ca="1" si="462"/>
        <v>0</v>
      </c>
      <c r="EY248" s="48">
        <f ca="1">IF(EX248&gt;0,MAX($EY$2:EY247)+1,0)</f>
        <v>0</v>
      </c>
      <c r="EZ248" s="48">
        <f ca="1">IFERROR(INDEX($EX$3:$EX$400,MATCH(ROWS($EZ$3:EZ248),$EY$3:$EY$400,0),1),0)</f>
        <v>0</v>
      </c>
      <c r="FA248" s="48">
        <f ca="1">IF(EZ248&gt;0,0,MAX($FA$2:FA247)+1)</f>
        <v>246</v>
      </c>
      <c r="FB248" s="48">
        <f t="shared" ca="1" si="463"/>
        <v>0</v>
      </c>
      <c r="FC248" s="48">
        <f t="shared" ca="1" si="464"/>
        <v>246</v>
      </c>
      <c r="FD248" s="48">
        <f t="shared" ca="1" si="465"/>
        <v>246</v>
      </c>
      <c r="FE248" s="48">
        <f ca="1">IF(FD248=0,0,MAX($FE$2:FE247)+1)</f>
        <v>246</v>
      </c>
      <c r="FF248" s="48">
        <f ca="1">IFERROR(INDEX($FD$3:$FE$400,MATCH(ROWS($FF$3:FF248),$FE$3:$FE$400,0),1),"")</f>
        <v>246</v>
      </c>
      <c r="FG248" s="48">
        <f t="shared" ca="1" si="519"/>
        <v>0</v>
      </c>
      <c r="FH248" s="48">
        <f t="shared" ca="1" si="466"/>
        <v>0</v>
      </c>
      <c r="FI248" s="48">
        <f ca="1">IF(FH248&lt;&gt;0,MAX($FI$2:FI247)+1,0)</f>
        <v>0</v>
      </c>
      <c r="FJ248" s="48" t="str">
        <f ca="1">IFERROR(INDEX($FH$3:$FI$400,MATCH(ROWS($FJ$3:FJ248),$FI$3:$FI$400,0),1),"")</f>
        <v/>
      </c>
      <c r="FK248" s="48">
        <f ca="1">IF(ABS(SUMIFS(DARE,DEN_G,"="&amp;FJ248,DATA,"&lt;="&amp;FINE_AC,DATA,"&gt;="&amp;INIZIO_A_PC)-SUMIFS(AVERE,DEN_G,"="&amp;FJ248,DATA,"&lt;="&amp;FINE_AC,DATA,"&gt;="&amp;INIZIO_A_PC))&gt;0,MAX($FK$2:FK247)+1,0)</f>
        <v>0</v>
      </c>
      <c r="FL248" s="48" t="str">
        <f ca="1">IF(AND(ROW()-2&lt;&gt;1,ROW()-2&lt;=$FK$1),CONCATENATE(" - ",IFERROR(INDEX($FJ$3:$FK$400,MATCH(ROWS($FL$3:FL248),$FK$3:$FK$400,0),1),"")),IFERROR(INDEX($FJ$3:$FK$400,MATCH(ROWS($FL$3:FL248),$FK$3:$FK$400,0),1),""))</f>
        <v/>
      </c>
      <c r="FM248" s="48">
        <f ca="1">IF(OR(B248="IVA ns/credito",B248="IVA NS/DEBITO",B248="IVA C/ACCONTO",B248="IMPOSTE C/ACCONTO",B248="CREDITI PER RITENUTE SUBITE",B248="CREDITI D'IMPOSTA"),MAX($FM$2:FM247)+1,0)</f>
        <v>0</v>
      </c>
      <c r="FN248" s="48" t="str">
        <f t="shared" ca="1" si="467"/>
        <v/>
      </c>
      <c r="FO248" s="48" t="str">
        <f ca="1">IFERROR(INDEX($FM$3:$FN$400,MATCH(ROWS($FO$3:FO248),$FM$3:$FM$400,0),2),"")</f>
        <v/>
      </c>
      <c r="FP248" s="48">
        <f ca="1">IF(ABS(SUMIFS(DARE,DEN_G,"="&amp;FO248,DATA,"&lt;="&amp;FINE_AC,DATA,"&gt;="&amp;INIZIO_A_PC)-SUMIFS(AVERE,DEN_G,"="&amp;FO248,DATA,"&lt;="&amp;FINE_AC,DATA,"&gt;="&amp;INIZIO_A_PC))&gt;0,MAX($FP$2:FP247)+1,0)</f>
        <v>0</v>
      </c>
      <c r="FQ248" s="48" t="str">
        <f ca="1">IF(AND(ROW()-2&lt;&gt;1,ROW()-2&lt;=$FP$1),CONCATENATE(" - ",IFERROR(INDEX($FO$3:$FP$400,MATCH(ROWS($FQ$3:FQ248),$FP$3:$FP$400,0),1),"")),IFERROR(INDEX($FO$3:$FP$400,MATCH(ROWS($FQ$3:FQ248),$FP$3:$FP$400,0),1),""))</f>
        <v/>
      </c>
    </row>
    <row r="249" spans="1:173" x14ac:dyDescent="0.3">
      <c r="A249" s="48" t="str">
        <f ca="1">IFERROR(IF($A$1=2,INDEX($DH$3:$DN$401,MATCH(ROWS(A$3:A249),$DN$3:$DN$401,0),COLUMN()),IF($A$1=1,INDEX($DQ$3:$DW$401,MATCH(ROWS(A$3:A249),$DW$3:$DW$401,0),COLUMN()),"")),"")</f>
        <v>33.02</v>
      </c>
      <c r="B249" s="48" t="str">
        <f ca="1">IFERROR(IF($A$1=2,INDEX($DH$3:$DN$401,MATCH(ROWS(B$3:B249),$DN$3:$DN$401,0),COLUMN()),IF($A$1=1,INDEX($DQ$3:$DW$400,MATCH(ROWS(B$3:B249),$DW$3:$DW$401,0),COLUMN()),"")),"")</f>
        <v>ONERI SOCIALI</v>
      </c>
      <c r="C249" s="48" t="str">
        <f ca="1">IFERROR(IF($A$1=2,INDEX($DH$3:$DN$401,MATCH(ROWS(C$3:C249),$DN$3:$DN$401,0),COLUMN()),IF($A$1=1,INDEX($DQ$3:$DW$401,MATCH(ROWS(C$3:C249),$DW$3:$DW$401,0),COLUMN()),"")),"")</f>
        <v>E</v>
      </c>
      <c r="D249" s="48" t="str">
        <f ca="1">IFERROR(IF($A$1=2,INDEX($DH$3:$DN$401,MATCH(ROWS(D$3:D249),$DN$3:$DN$401,0),COLUMN()),IF($A$1=1,INDEX($DQ$3:$DW$401,MATCH(ROWS(D$3:D249),$DW$3:$DW$401,0),COLUMN()),"")),"")</f>
        <v>D</v>
      </c>
      <c r="E249" s="48" t="str">
        <f ca="1">IFERROR(IF($A$1=2,INDEX($DH$3:$DN$401,MATCH(ROWS(E$3:E249),$DN$3:$DN$401,0),COLUMN()),IF($A$1=1,INDEX($DQ$3:$DW$401,MATCH(ROWS(E$3:E249),$DW$3:$DW$401,0),COLUMN()),"")),"")</f>
        <v>COSTI D'ESERCIZIO</v>
      </c>
      <c r="F249" s="48" t="str">
        <f ca="1">IFERROR(IF($A$1=2,INDEX($DH$3:$DN$401,MATCH(ROWS(F$3:F249),$DN$3:$DN$401,0),COLUMN()),IF($A$1=1,INDEX($DQ$3:$DX$401,MATCH(ROWS(F$3:F249),$DW$3:$DW$401,0),COLUMN()),"")),"")</f>
        <v>SE DARE</v>
      </c>
      <c r="G249" s="48" t="str">
        <f t="shared" ca="1" si="433"/>
        <v>SE</v>
      </c>
      <c r="H249" s="48" t="str">
        <f ca="1">IFERROR(IF($A$1=2,INDEX($DH$3:$DO$400,MATCH(ROWS(H$3:H249),$DN$3:$DN$400,0),COLUMN()),IF($A$1=1,INDEX($DQ$3:$DX$400,MATCH(ROWS(H$3:H249),$DW$3:$DW$400,0),COLUMN()),"")),"")</f>
        <v>eb9b</v>
      </c>
      <c r="M249" s="48">
        <f ca="1">IFERROR(IF(IF(MID($A249,3,3)=".00",MID(A249,1,2),"")&lt;&gt;"",MAX($M$2:M248)+1,0),"")</f>
        <v>0</v>
      </c>
      <c r="N249" s="48" t="str">
        <f t="shared" ca="1" si="438"/>
        <v/>
      </c>
      <c r="O249" s="48" t="str">
        <f ca="1">IF(IFERROR(INDEX($N$3:$O$300,MATCH(ROWS($O$3:O249),$M$3:$M$300,0),1),"")&lt;&gt;"",CONCATENATE(INDEX($N$3:$O$300,MATCH(ROWS($O$3:O249),$M$3:$M$300,0),1),".00"),"")</f>
        <v/>
      </c>
      <c r="P249" s="48" t="str">
        <f t="shared" ca="1" si="439"/>
        <v/>
      </c>
      <c r="Q249" s="48">
        <f ca="1">IF(M249&gt;=1,0,MAX($Q$2:Q248)+1)</f>
        <v>222</v>
      </c>
      <c r="U249" s="48" t="str">
        <f ca="1">IFERROR(INDEX(PDC,MATCH(ROWS(U$3:U249),$V$3:$V$400,0),2),"")</f>
        <v>MATERIE DI CONSUMO C/RIMANENZE FINALI</v>
      </c>
      <c r="V249" s="48">
        <f ca="1">IF(AND($T$1="VISUALIZZA TUTTI I CONTI",AA249&lt;&gt;""),MAX($V$2:V248)+1,IF(AND($U$2=2,AI249=$T$1),MAX($V$2:V248)+1,IF(AND($U$2=1,$T$1=AF249),MAX($V$2:V248)+1,0)))</f>
        <v>247</v>
      </c>
      <c r="AA249" s="48" t="str">
        <f t="shared" ca="1" si="440"/>
        <v>37.00</v>
      </c>
      <c r="AB249" s="48" t="str">
        <f ca="1">IFERROR(INDEX($A$3:$G$400,MATCH(ROWS(AB$3:AB249),$Q$3:$Q$400,0),1),"")</f>
        <v>37.12</v>
      </c>
      <c r="AC249" s="48" t="str">
        <f ca="1">IFERROR(INDEX($A$3:$G$400,MATCH(ROWS($AC$3:AC249),$Q$3:$Q$400,0),2),"")</f>
        <v>MATERIE DI CONSUMO C/RIMANENZE FINALI</v>
      </c>
      <c r="AD249" s="48" t="str">
        <f ca="1">IFERROR(INDEX($A$3:$G$400,MATCH(ROWS(AD$3:AD249),$Q$3:$Q$400,0),3),"")</f>
        <v>E</v>
      </c>
      <c r="AE249" s="48" t="str">
        <f ca="1">IFERROR(INDEX($A$3:$G$400,MATCH(ROWS(AE$3:AE249),$Q$3:$Q$400,0),4),"")</f>
        <v>A</v>
      </c>
      <c r="AF249" s="48" t="str">
        <f ca="1">IFERROR(INDEX($A$3:$G$400,MATCH(ROWS(AF$3:AF249),$Q$3:$Q$400,0),5),"")</f>
        <v>RETTIFICHE COSTI D'ESERCIZIO</v>
      </c>
      <c r="AG249" s="48" t="str">
        <f ca="1">IFERROR(INDEX($A$3:$G$400,MATCH(ROWS(AG$3:AG249),$Q$3:$Q$400,0),6),"")</f>
        <v>SE AVERE</v>
      </c>
      <c r="AH249" s="48" t="str">
        <f ca="1">IFERROR(INDEX($A$3:$G$400,MATCH(ROWS(AH$3:AH249),$Q$3:$Q$400,0),7),"")</f>
        <v>SE</v>
      </c>
      <c r="AI249" s="48" t="str">
        <f t="shared" ca="1" si="441"/>
        <v>VARIAZIONI DELLE RIMANZENZE DI MATERIE</v>
      </c>
      <c r="AJ249" s="48" t="str">
        <f ca="1">IFERROR(INDEX($A$3:$H$400,MATCH(ROWS(AJ$3:AJ249),$Q$3:$Q$400,0),8),"")</f>
        <v>eb11</v>
      </c>
      <c r="AK249" s="48">
        <f t="shared" ca="1" si="417"/>
        <v>0</v>
      </c>
      <c r="AL249" s="48">
        <f t="shared" ca="1" si="515"/>
        <v>0</v>
      </c>
      <c r="AM249" s="48">
        <f t="shared" ca="1" si="516"/>
        <v>0</v>
      </c>
      <c r="AN249" s="48">
        <f t="shared" ca="1" si="517"/>
        <v>0</v>
      </c>
      <c r="AO249" s="48">
        <f t="shared" ca="1" si="518"/>
        <v>0</v>
      </c>
      <c r="AP249" s="48">
        <f t="shared" ca="1" si="518"/>
        <v>0</v>
      </c>
      <c r="AZ249" s="48" t="str">
        <f t="shared" ca="1" si="484"/>
        <v/>
      </c>
      <c r="BA249" s="48">
        <f t="shared" ca="1" si="520"/>
        <v>0</v>
      </c>
      <c r="BB249" s="48">
        <f t="shared" ca="1" si="521"/>
        <v>0</v>
      </c>
      <c r="BC249" s="48">
        <f t="shared" ca="1" si="522"/>
        <v>0</v>
      </c>
      <c r="BD249" s="48">
        <f t="shared" ca="1" si="523"/>
        <v>0</v>
      </c>
      <c r="BE249" s="48">
        <f t="shared" ca="1" si="524"/>
        <v>0</v>
      </c>
      <c r="BF249" s="48">
        <f t="shared" si="485"/>
        <v>49</v>
      </c>
      <c r="BG249" s="48">
        <f ca="1">IF(IF(AND(OR(INDEX(PDC,MATCH($AC249,DEN_PDC,0),6)="SP DARE",INDEX(PDC,MATCH($AC249,DEN_PDC,0),6)="SP DARE/AVERE"),SUMIFS(DARE,DEN_G,$AC249)&gt;=SUMIFS(AVERE,DEN_G,$AC249)),SUMIFS(DARE,DEN_G,$AC249)-SUMIFS(AVERE,DEN_G,$AC249),0)&gt;0,MAX($BG$2:BG248)+1,0)</f>
        <v>0</v>
      </c>
      <c r="BH249" s="48">
        <f ca="1">IF(IF(AND(OR(INDEX(PDC,MATCH($AC249,DEN_PDC,0),6)="SP AVERE",INDEX(PDC,MATCH($AC249,DEN_PDC,0),6)="SP DARE/AVERE"),SUMIFS(AVERE,DEN_G,$AC249)&gt;=SUMIFS(DARE,DEN_G,$AC249)),SUMIFS(AVERE,DEN_G,$AC249)-SUMIFS(DARE,DEN_G,$AC249),0)&gt;0,MAX(BH$2:BH248)+1,0)</f>
        <v>0</v>
      </c>
      <c r="BI249" s="48">
        <f ca="1">IF(IF(AND(OR(INDEX(PDC,MATCH($AC249,DEN_PDC,0),6)="SE DARE",INDEX(PDC,MATCH($AC249,DEN_PDC,0),6)="SE DARE/AVERE"),SUMIFS(DARE,DEN_G,$AC249)&gt;=SUMIFS(AVERE,DEN_G,$AC249)),SUMIFS(DARE,DEN_G,$AC249)-SUMIFS(AVERE,DEN_G,$AC249),0)&gt;0,MAX(BI$2:BI248)+1,0)</f>
        <v>0</v>
      </c>
      <c r="BJ249" s="48">
        <f ca="1">IF(IF(AND(OR(INDEX(PDC,MATCH($AC249,DEN_PDC,0),6)="SE AVERE",INDEX(PDC,MATCH($AC249,DEN_PDC,0),6)="SE DARE/AVERE"),SUMIFS(AVERE,DEN_G,$AC249)&gt;=SUMIFS(DARE,DEN_G,$AC249)),SUMIFS(AVERE,DEN_G,$AC249)-SUMIFS(DARE,DEN_G,$AC249),0)&gt;0,MAX(BJ$2:BJ248)+1,0)</f>
        <v>0</v>
      </c>
      <c r="BK249" s="48" t="str">
        <f ca="1">IF(AND(AND($DY$2=0,$DY$1=0),$I$1=2,ROW()&gt;$BG$1+2,ROW()&lt;=$BG$1+4),"………………..",IF(AND(OR($DY$2&gt;0,$DY$1&gt;0),$I$1=2,ROW()&gt;$BG$1+2,ROW()&lt;=$BG$1+4),"………………..",IFERROR(INDEX($AC$3:$AC$398,MATCH(ROWS(BK$3:BK249),BG$3:BG$398,0),1),"")))</f>
        <v/>
      </c>
      <c r="BL249" s="48">
        <f t="shared" ca="1" si="421"/>
        <v>0</v>
      </c>
      <c r="BM249" s="48" t="str">
        <f ca="1">IF(AND(OR($DY$2=0,$DY$1=0),$I$1=2,ROW()&gt;$BH$1+2,ROW()&lt;=$BH$1+4),"………………..",IF(AND(OR($DY$2&gt;0,$DY$1&gt;0),$I$1=2,ROW()&gt;$BH$1+2,ROW()&lt;=$BH$1+4),"………………..",IFERROR(INDEX($AC$3:$AC$400,MATCH(ROWS(BM$3:BM249),BH$3:BH$400,0),1),"")))</f>
        <v/>
      </c>
      <c r="BN249" s="48">
        <f t="shared" ca="1" si="422"/>
        <v>0</v>
      </c>
      <c r="BO249" s="48" t="str">
        <f ca="1">IF(AND(OR($DY$2=0,$DY$1=0),$I$1=2,ROW()&gt;$BI$1+2,ROW()&lt;=$BI$1+4),"………………..",IF(AND(OR($DY$2&gt;0,$DY$1&gt;0),$I$1=2,ROW()&gt;$BI$1+2,ROW()&lt;=$BI$1+4),"………………..",IFERROR(INDEX($AC$3:$AC$400,MATCH(ROWS(BO$3:BO249),BI$3:BI$400,0),1),"")))</f>
        <v/>
      </c>
      <c r="BP249" s="48">
        <f t="shared" ca="1" si="423"/>
        <v>0</v>
      </c>
      <c r="BQ249" s="48" t="str">
        <f ca="1">IF(AND(OR($DY$2=0,$DY$1=0),$I$1=2,ROW()&gt;$BJ$1+2,ROW()&lt;=$BJ$1+4),"………………..",IF(AND(OR($DY$2&gt;0,$DY$1&gt;0),$I$1=2,ROW()&gt;$BJ$1+2,ROW()&lt;=$BJ$1+4),"………………..",IFERROR(INDEX($AC$3:$AC$400,MATCH(ROWS(BQ$3:BQ249),BJ$3:BJ$400,0),1),"")))</f>
        <v/>
      </c>
      <c r="BR249" s="48">
        <f t="shared" ca="1" si="424"/>
        <v>0</v>
      </c>
      <c r="BS249" s="48">
        <f ca="1">IF(IF(AND(OR(INDEX(PDC,MATCH($AC249,DEN_PDC,0),4)="D",INDEX(PDC,MATCH($AC249,DEN_PDC,0),4)="D/A"),SUMIFS(DARE,DEN_G,$AC249)&gt;=SUMIFS(AVERE,DEN_G,$AC249)),SUMIFS(DARE,DEN_G,$AC249),IF(AND(OR(INDEX(PDC,MATCH($AC249,DEN_PDC,0),4)="A",INDEX(PDC,MATCH($AC249,DEN_PDC,0),4)="D/A"),SUMIFS(AVERE,DEN_G,$AC249)&gt;=SUMIFS(DARE,DEN_G,$AC249)),SUMIFS(AVERE,DEN_G,$AC249),))&gt;0,MAX($BS$2:BS248)+1,0)</f>
        <v>0</v>
      </c>
      <c r="BT249" s="48" t="str">
        <f ca="1">IF($CO$1=0,"",IF(AND($I$1=2,ROW()&gt;$BR$1,ROW()&lt;=$BS$1)," …………….",IF(AND($E$1=1,$BX$1=1,$I$1=2,ROW()=$BQ$1),"TOTALI",IFERROR(INDEX(PDC,MATCH(ROWS(BT$3:BT249),BS$3:BS646,0),2),""))))</f>
        <v/>
      </c>
      <c r="BU249" s="48">
        <f t="shared" ca="1" si="425"/>
        <v>0</v>
      </c>
      <c r="BV249" s="48">
        <f t="shared" ca="1" si="426"/>
        <v>0</v>
      </c>
      <c r="BW249" s="48">
        <f t="shared" ca="1" si="427"/>
        <v>0</v>
      </c>
      <c r="BX249" s="48">
        <f t="shared" ca="1" si="428"/>
        <v>0</v>
      </c>
      <c r="BY249" s="48">
        <f ca="1">IF(OR(BW249&gt;0,BX249&gt;0),MAX($BY$2:BY248)+1,0)</f>
        <v>0</v>
      </c>
      <c r="BZ249" s="48" t="str">
        <f ca="1">IFERROR(INDEX($BT$3:$BY$400,MATCH(ROWS(BZ$3:BZ249),$BY$3:$BY$400,0),1),"")</f>
        <v/>
      </c>
      <c r="CA249" s="48" t="str">
        <f ca="1">IFERROR(INDEX($BT$3:$BY$400,MATCH(ROWS(CA$3:CA249),$BY$3:$BY$400,0),4),"")</f>
        <v/>
      </c>
      <c r="CB249" s="48" t="str">
        <f ca="1">IFERROR(INDEX($BT$3:$BY$400,MATCH(ROWS(CB$3:CB249),$BY$3:$BY$400,0),5),"")</f>
        <v/>
      </c>
      <c r="CC249" s="48" t="str">
        <f t="shared" ca="1" si="429"/>
        <v/>
      </c>
      <c r="CM249" s="242" t="str">
        <f t="shared" ca="1" si="444"/>
        <v/>
      </c>
      <c r="CN249" s="243">
        <f t="shared" ca="1" si="445"/>
        <v>0</v>
      </c>
      <c r="CO249" s="48" t="str">
        <f t="shared" ca="1" si="446"/>
        <v/>
      </c>
      <c r="CU249" s="48">
        <f ca="1">IF(SUMIFS(AVERE,DEN_G,AC249,AVERE,"&gt;"&amp;0)+SUMIFS(DARE,DEN_G,AC249,DARE,"&gt;"&amp;0)&gt;0,MAX($CU$2:CU248)+1,0)</f>
        <v>0</v>
      </c>
      <c r="CV249" s="48" t="str">
        <f ca="1">IF(IFERROR(INDEX(PDC,MATCH(ROWS($CV$3:CV249),$CU$3:$CU$400,0),2),"")="CONTO DI RISULTATO ECONOMICO","",IFERROR(INDEX(PDC,MATCH(ROWS($CV$3:CV249),$CU$3:$CU$400,0),2),""))</f>
        <v/>
      </c>
      <c r="CW249" s="48">
        <f ca="1">IFERROR(IF(CV249&lt;&gt;"",MAX($CW$2:CW248)+1,0),0)</f>
        <v>0</v>
      </c>
      <c r="CY249" s="48" t="s">
        <v>500</v>
      </c>
      <c r="DB249" s="48" t="str">
        <f t="shared" ref="DB249" ca="1" si="536">IF(CX248=$DF$1,"","MASTRO")</f>
        <v>MASTRO</v>
      </c>
      <c r="DF249" s="48">
        <f ca="1">IF(AND(CX249=$DF$1,CX249&lt;&gt;""),0,IF(AND(DB249&lt;&gt;"",OR(DB248&lt;&gt;"",DB250&lt;&gt;"")),MAX($DF$2:DF248)+1,0))</f>
        <v>0</v>
      </c>
      <c r="DH249" s="249" t="s">
        <v>183</v>
      </c>
      <c r="DI249" s="48" t="s">
        <v>176</v>
      </c>
      <c r="DJ249" s="48" t="s">
        <v>311</v>
      </c>
      <c r="DK249" s="48" t="s">
        <v>275</v>
      </c>
      <c r="DL249" s="48" t="s">
        <v>319</v>
      </c>
      <c r="DM249" s="48" t="s">
        <v>301</v>
      </c>
      <c r="DN249" s="48">
        <f ca="1">IF(DI249&lt;&gt;"",MAX($DN$2:DN248)+1,0)</f>
        <v>191</v>
      </c>
      <c r="DO249" s="48" t="s">
        <v>701</v>
      </c>
      <c r="DQ249" s="227" t="s">
        <v>1065</v>
      </c>
      <c r="DR249" s="48" t="s">
        <v>705</v>
      </c>
      <c r="DS249" s="48" t="s">
        <v>311</v>
      </c>
      <c r="DT249" s="48" t="s">
        <v>298</v>
      </c>
      <c r="DU249" s="48" t="s">
        <v>8</v>
      </c>
      <c r="DV249" s="48" t="s">
        <v>300</v>
      </c>
      <c r="DW249" s="48">
        <f ca="1">IF(DR249&lt;&gt;"",MAX($DW$2:DW248)+1,0)</f>
        <v>148</v>
      </c>
      <c r="DX249" s="48" t="s">
        <v>708</v>
      </c>
      <c r="DY249" s="48" t="str">
        <f t="shared" ca="1" si="430"/>
        <v/>
      </c>
      <c r="EL249" s="48">
        <f t="shared" ca="1" si="431"/>
        <v>0</v>
      </c>
      <c r="EM249" s="48">
        <f ca="1">IF(EL249&gt;=0,0,MAX($EM$2:EM248)+1)</f>
        <v>0</v>
      </c>
      <c r="EN249" s="48" t="str">
        <f t="shared" ca="1" si="459"/>
        <v/>
      </c>
      <c r="EO249" s="48" t="str">
        <f ca="1">IFERROR(INDEX($EM$3:$EN$400,MATCH(ROWS($EO$3:EO249),$EM$3:$EM$400,0),2),"")</f>
        <v/>
      </c>
      <c r="EP249" s="48">
        <f>ROW()</f>
        <v>249</v>
      </c>
      <c r="EQ249" s="48">
        <f t="shared" ca="1" si="432"/>
        <v>0</v>
      </c>
      <c r="ER249" s="48">
        <f ca="1">IF(ISNA(EQ249)=TRUE,MAX($ER$2:ER248)+1,0)</f>
        <v>0</v>
      </c>
      <c r="ES249" s="48" t="str">
        <f t="shared" ca="1" si="460"/>
        <v/>
      </c>
      <c r="ET249" s="48" t="str">
        <f ca="1">IFERROR(INDEX($ER$3:$ES$400,MATCH(ROWS($ET$3:ET249),$ER$3:$ER$400,0),2),"")</f>
        <v/>
      </c>
      <c r="EV249" s="48">
        <f ca="1">IFERROR(INDEX(LIBRO_GIORNALE!$O$11:$P$408,MATCH(ROWS($EV$2:EV248),LIBRO_GIORNALE!$P$11:$P$408,0),1),0)</f>
        <v>0</v>
      </c>
      <c r="EW249" s="48" t="str">
        <f t="shared" ca="1" si="461"/>
        <v>0</v>
      </c>
      <c r="EX249" s="48">
        <f t="shared" ca="1" si="462"/>
        <v>0</v>
      </c>
      <c r="EY249" s="48">
        <f ca="1">IF(EX249&gt;0,MAX($EY$2:EY248)+1,0)</f>
        <v>0</v>
      </c>
      <c r="EZ249" s="48">
        <f ca="1">IFERROR(INDEX($EX$3:$EX$400,MATCH(ROWS($EZ$3:EZ249),$EY$3:$EY$400,0),1),0)</f>
        <v>0</v>
      </c>
      <c r="FA249" s="48">
        <f ca="1">IF(EZ249&gt;0,0,MAX($FA$2:FA248)+1)</f>
        <v>247</v>
      </c>
      <c r="FB249" s="48">
        <f t="shared" ca="1" si="463"/>
        <v>0</v>
      </c>
      <c r="FC249" s="48">
        <f t="shared" ca="1" si="464"/>
        <v>247</v>
      </c>
      <c r="FD249" s="48">
        <f t="shared" ca="1" si="465"/>
        <v>247</v>
      </c>
      <c r="FE249" s="48">
        <f ca="1">IF(FD249=0,0,MAX($FE$2:FE248)+1)</f>
        <v>247</v>
      </c>
      <c r="FF249" s="48">
        <f ca="1">IFERROR(INDEX($FD$3:$FE$400,MATCH(ROWS($FF$3:FF249),$FE$3:$FE$400,0),1),"")</f>
        <v>247</v>
      </c>
      <c r="FG249" s="48">
        <f t="shared" ca="1" si="519"/>
        <v>0</v>
      </c>
      <c r="FH249" s="48">
        <f t="shared" ca="1" si="466"/>
        <v>0</v>
      </c>
      <c r="FI249" s="48">
        <f ca="1">IF(FH249&lt;&gt;0,MAX($FI$2:FI248)+1,0)</f>
        <v>0</v>
      </c>
      <c r="FJ249" s="48" t="str">
        <f ca="1">IFERROR(INDEX($FH$3:$FI$400,MATCH(ROWS($FJ$3:FJ249),$FI$3:$FI$400,0),1),"")</f>
        <v/>
      </c>
      <c r="FK249" s="48">
        <f ca="1">IF(ABS(SUMIFS(DARE,DEN_G,"="&amp;FJ249,DATA,"&lt;="&amp;FINE_AC,DATA,"&gt;="&amp;INIZIO_A_PC)-SUMIFS(AVERE,DEN_G,"="&amp;FJ249,DATA,"&lt;="&amp;FINE_AC,DATA,"&gt;="&amp;INIZIO_A_PC))&gt;0,MAX($FK$2:FK248)+1,0)</f>
        <v>0</v>
      </c>
      <c r="FL249" s="48" t="str">
        <f ca="1">IF(AND(ROW()-2&lt;&gt;1,ROW()-2&lt;=$FK$1),CONCATENATE(" - ",IFERROR(INDEX($FJ$3:$FK$400,MATCH(ROWS($FL$3:FL249),$FK$3:$FK$400,0),1),"")),IFERROR(INDEX($FJ$3:$FK$400,MATCH(ROWS($FL$3:FL249),$FK$3:$FK$400,0),1),""))</f>
        <v/>
      </c>
      <c r="FM249" s="48">
        <f ca="1">IF(OR(B249="IVA ns/credito",B249="IVA NS/DEBITO",B249="IVA C/ACCONTO",B249="IMPOSTE C/ACCONTO",B249="CREDITI PER RITENUTE SUBITE",B249="CREDITI D'IMPOSTA"),MAX($FM$2:FM248)+1,0)</f>
        <v>0</v>
      </c>
      <c r="FN249" s="48" t="str">
        <f t="shared" ca="1" si="467"/>
        <v/>
      </c>
      <c r="FO249" s="48" t="str">
        <f ca="1">IFERROR(INDEX($FM$3:$FN$400,MATCH(ROWS($FO$3:FO249),$FM$3:$FM$400,0),2),"")</f>
        <v/>
      </c>
      <c r="FP249" s="48">
        <f ca="1">IF(ABS(SUMIFS(DARE,DEN_G,"="&amp;FO249,DATA,"&lt;="&amp;FINE_AC,DATA,"&gt;="&amp;INIZIO_A_PC)-SUMIFS(AVERE,DEN_G,"="&amp;FO249,DATA,"&lt;="&amp;FINE_AC,DATA,"&gt;="&amp;INIZIO_A_PC))&gt;0,MAX($FP$2:FP248)+1,0)</f>
        <v>0</v>
      </c>
      <c r="FQ249" s="48" t="str">
        <f ca="1">IF(AND(ROW()-2&lt;&gt;1,ROW()-2&lt;=$FP$1),CONCATENATE(" - ",IFERROR(INDEX($FO$3:$FP$400,MATCH(ROWS($FQ$3:FQ249),$FP$3:$FP$400,0),1),"")),IFERROR(INDEX($FO$3:$FP$400,MATCH(ROWS($FQ$3:FQ249),$FP$3:$FP$400,0),1),""))</f>
        <v/>
      </c>
    </row>
    <row r="250" spans="1:173" x14ac:dyDescent="0.3">
      <c r="A250" s="48" t="str">
        <f ca="1">IFERROR(IF($A$1=2,INDEX($DH$3:$DN$401,MATCH(ROWS(A$3:A250),$DN$3:$DN$401,0),COLUMN()),IF($A$1=1,INDEX($DQ$3:$DW$401,MATCH(ROWS(A$3:A250),$DW$3:$DW$401,0),COLUMN()),"")),"")</f>
        <v>33.03</v>
      </c>
      <c r="B250" s="48" t="str">
        <f ca="1">IFERROR(IF($A$1=2,INDEX($DH$3:$DN$401,MATCH(ROWS(B$3:B250),$DN$3:$DN$401,0),COLUMN()),IF($A$1=1,INDEX($DQ$3:$DW$400,MATCH(ROWS(B$3:B250),$DW$3:$DW$401,0),COLUMN()),"")),"")</f>
        <v>TFR</v>
      </c>
      <c r="C250" s="48" t="str">
        <f ca="1">IFERROR(IF($A$1=2,INDEX($DH$3:$DN$401,MATCH(ROWS(C$3:C250),$DN$3:$DN$401,0),COLUMN()),IF($A$1=1,INDEX($DQ$3:$DW$401,MATCH(ROWS(C$3:C250),$DW$3:$DW$401,0),COLUMN()),"")),"")</f>
        <v>E</v>
      </c>
      <c r="D250" s="48" t="str">
        <f ca="1">IFERROR(IF($A$1=2,INDEX($DH$3:$DN$401,MATCH(ROWS(D$3:D250),$DN$3:$DN$401,0),COLUMN()),IF($A$1=1,INDEX($DQ$3:$DW$401,MATCH(ROWS(D$3:D250),$DW$3:$DW$401,0),COLUMN()),"")),"")</f>
        <v>D</v>
      </c>
      <c r="E250" s="48" t="str">
        <f ca="1">IFERROR(IF($A$1=2,INDEX($DH$3:$DN$401,MATCH(ROWS(E$3:E250),$DN$3:$DN$401,0),COLUMN()),IF($A$1=1,INDEX($DQ$3:$DW$401,MATCH(ROWS(E$3:E250),$DW$3:$DW$401,0),COLUMN()),"")),"")</f>
        <v>COSTI D'ESERCIZIO</v>
      </c>
      <c r="F250" s="48" t="str">
        <f ca="1">IFERROR(IF($A$1=2,INDEX($DH$3:$DN$401,MATCH(ROWS(F$3:F250),$DN$3:$DN$401,0),COLUMN()),IF($A$1=1,INDEX($DQ$3:$DX$401,MATCH(ROWS(F$3:F250),$DW$3:$DW$401,0),COLUMN()),"")),"")</f>
        <v>SE DARE</v>
      </c>
      <c r="G250" s="48" t="str">
        <f t="shared" ca="1" si="433"/>
        <v>SE</v>
      </c>
      <c r="H250" s="48" t="str">
        <f ca="1">IFERROR(IF($A$1=2,INDEX($DH$3:$DO$400,MATCH(ROWS(H$3:H250),$DN$3:$DN$400,0),COLUMN()),IF($A$1=1,INDEX($DQ$3:$DX$400,MATCH(ROWS(H$3:H250),$DW$3:$DW$400,0),COLUMN()),"")),"")</f>
        <v>eb9c</v>
      </c>
      <c r="M250" s="48">
        <f ca="1">IFERROR(IF(IF(MID($A250,3,3)=".00",MID(A250,1,2),"")&lt;&gt;"",MAX($M$2:M249)+1,0),"")</f>
        <v>0</v>
      </c>
      <c r="N250" s="48" t="str">
        <f t="shared" ca="1" si="438"/>
        <v/>
      </c>
      <c r="O250" s="48" t="str">
        <f ca="1">IF(IFERROR(INDEX($N$3:$O$300,MATCH(ROWS($O$3:O250),$M$3:$M$300,0),1),"")&lt;&gt;"",CONCATENATE(INDEX($N$3:$O$300,MATCH(ROWS($O$3:O250),$M$3:$M$300,0),1),".00"),"")</f>
        <v/>
      </c>
      <c r="P250" s="48" t="str">
        <f t="shared" ca="1" si="439"/>
        <v/>
      </c>
      <c r="Q250" s="48">
        <f ca="1">IF(M250&gt;=1,0,MAX($Q$2:Q249)+1)</f>
        <v>223</v>
      </c>
      <c r="U250" s="48" t="str">
        <f ca="1">IFERROR(INDEX(PDC,MATCH(ROWS(U$3:U250),$V$3:$V$400,0),2),"")</f>
        <v>ACCANTONAMENTO PER RESPONSABILITÀ CIVILE</v>
      </c>
      <c r="V250" s="48">
        <f ca="1">IF(AND($T$1="VISUALIZZA TUTTI I CONTI",AA250&lt;&gt;""),MAX($V$2:V249)+1,IF(AND($U$2=2,AI250=$T$1),MAX($V$2:V249)+1,IF(AND($U$2=1,$T$1=AF250),MAX($V$2:V249)+1,0)))</f>
        <v>248</v>
      </c>
      <c r="AA250" s="48" t="str">
        <f t="shared" ca="1" si="440"/>
        <v>38.00</v>
      </c>
      <c r="AB250" s="48" t="str">
        <f ca="1">IFERROR(INDEX($A$3:$G$400,MATCH(ROWS(AB$3:AB250),$Q$3:$Q$400,0),1),"")</f>
        <v>38.01</v>
      </c>
      <c r="AC250" s="48" t="str">
        <f ca="1">IFERROR(INDEX($A$3:$G$400,MATCH(ROWS($AC$3:AC250),$Q$3:$Q$400,0),2),"")</f>
        <v>ACCANTONAMENTO PER RESPONSABILITÀ CIVILE</v>
      </c>
      <c r="AD250" s="48" t="str">
        <f ca="1">IFERROR(INDEX($A$3:$G$400,MATCH(ROWS(AD$3:AD250),$Q$3:$Q$400,0),3),"")</f>
        <v>E</v>
      </c>
      <c r="AE250" s="48" t="str">
        <f ca="1">IFERROR(INDEX($A$3:$G$400,MATCH(ROWS(AE$3:AE250),$Q$3:$Q$400,0),4),"")</f>
        <v>D</v>
      </c>
      <c r="AF250" s="48" t="str">
        <f ca="1">IFERROR(INDEX($A$3:$G$400,MATCH(ROWS(AF$3:AF250),$Q$3:$Q$400,0),5),"")</f>
        <v>COSTI D'ESERCIZIO</v>
      </c>
      <c r="AG250" s="48" t="str">
        <f ca="1">IFERROR(INDEX($A$3:$G$400,MATCH(ROWS(AG$3:AG250),$Q$3:$Q$400,0),6),"")</f>
        <v>SE DARE</v>
      </c>
      <c r="AH250" s="48" t="str">
        <f ca="1">IFERROR(INDEX($A$3:$G$400,MATCH(ROWS(AH$3:AH250),$Q$3:$Q$400,0),7),"")</f>
        <v>SE</v>
      </c>
      <c r="AI250" s="48" t="str">
        <f t="shared" ca="1" si="441"/>
        <v>ACCANTONAMENTI</v>
      </c>
      <c r="AJ250" s="48" t="str">
        <f ca="1">IFERROR(INDEX($A$3:$H$400,MATCH(ROWS(AJ$3:AJ250),$Q$3:$Q$400,0),8),"")</f>
        <v>eb12</v>
      </c>
      <c r="AK250" s="48">
        <f t="shared" ca="1" si="417"/>
        <v>0</v>
      </c>
      <c r="AL250" s="48">
        <f t="shared" ca="1" si="515"/>
        <v>0</v>
      </c>
      <c r="AM250" s="48">
        <f t="shared" ca="1" si="516"/>
        <v>0</v>
      </c>
      <c r="AN250" s="48">
        <f t="shared" ca="1" si="517"/>
        <v>0</v>
      </c>
      <c r="AO250" s="48">
        <f t="shared" ca="1" si="518"/>
        <v>0</v>
      </c>
      <c r="AP250" s="48">
        <f t="shared" ca="1" si="518"/>
        <v>0</v>
      </c>
      <c r="AZ250" s="48" t="str">
        <f t="shared" ca="1" si="484"/>
        <v/>
      </c>
      <c r="BA250" s="48">
        <f t="shared" ca="1" si="520"/>
        <v>0</v>
      </c>
      <c r="BB250" s="48">
        <f t="shared" ca="1" si="521"/>
        <v>0</v>
      </c>
      <c r="BC250" s="48">
        <f t="shared" ca="1" si="522"/>
        <v>0</v>
      </c>
      <c r="BD250" s="48">
        <f t="shared" ca="1" si="523"/>
        <v>0</v>
      </c>
      <c r="BE250" s="48">
        <f t="shared" ca="1" si="524"/>
        <v>0</v>
      </c>
      <c r="BF250" s="48">
        <f t="shared" si="485"/>
        <v>50</v>
      </c>
      <c r="BG250" s="48">
        <f ca="1">IF(IF(AND(OR(INDEX(PDC,MATCH($AC250,DEN_PDC,0),6)="SP DARE",INDEX(PDC,MATCH($AC250,DEN_PDC,0),6)="SP DARE/AVERE"),SUMIFS(DARE,DEN_G,$AC250)&gt;=SUMIFS(AVERE,DEN_G,$AC250)),SUMIFS(DARE,DEN_G,$AC250)-SUMIFS(AVERE,DEN_G,$AC250),0)&gt;0,MAX($BG$2:BG249)+1,0)</f>
        <v>0</v>
      </c>
      <c r="BH250" s="48">
        <f ca="1">IF(IF(AND(OR(INDEX(PDC,MATCH($AC250,DEN_PDC,0),6)="SP AVERE",INDEX(PDC,MATCH($AC250,DEN_PDC,0),6)="SP DARE/AVERE"),SUMIFS(AVERE,DEN_G,$AC250)&gt;=SUMIFS(DARE,DEN_G,$AC250)),SUMIFS(AVERE,DEN_G,$AC250)-SUMIFS(DARE,DEN_G,$AC250),0)&gt;0,MAX(BH$2:BH249)+1,0)</f>
        <v>0</v>
      </c>
      <c r="BI250" s="48">
        <f ca="1">IF(IF(AND(OR(INDEX(PDC,MATCH($AC250,DEN_PDC,0),6)="SE DARE",INDEX(PDC,MATCH($AC250,DEN_PDC,0),6)="SE DARE/AVERE"),SUMIFS(DARE,DEN_G,$AC250)&gt;=SUMIFS(AVERE,DEN_G,$AC250)),SUMIFS(DARE,DEN_G,$AC250)-SUMIFS(AVERE,DEN_G,$AC250),0)&gt;0,MAX(BI$2:BI249)+1,0)</f>
        <v>0</v>
      </c>
      <c r="BJ250" s="48">
        <f ca="1">IF(IF(AND(OR(INDEX(PDC,MATCH($AC250,DEN_PDC,0),6)="SE AVERE",INDEX(PDC,MATCH($AC250,DEN_PDC,0),6)="SE DARE/AVERE"),SUMIFS(AVERE,DEN_G,$AC250)&gt;=SUMIFS(DARE,DEN_G,$AC250)),SUMIFS(AVERE,DEN_G,$AC250)-SUMIFS(DARE,DEN_G,$AC250),0)&gt;0,MAX(BJ$2:BJ249)+1,0)</f>
        <v>0</v>
      </c>
      <c r="BK250" s="48" t="str">
        <f ca="1">IF(AND(AND($DY$2=0,$DY$1=0),$I$1=2,ROW()&gt;$BG$1+2,ROW()&lt;=$BG$1+4),"………………..",IF(AND(OR($DY$2&gt;0,$DY$1&gt;0),$I$1=2,ROW()&gt;$BG$1+2,ROW()&lt;=$BG$1+4),"………………..",IFERROR(INDEX($AC$3:$AC$398,MATCH(ROWS(BK$3:BK250),BG$3:BG$398,0),1),"")))</f>
        <v/>
      </c>
      <c r="BL250" s="48">
        <f t="shared" ca="1" si="421"/>
        <v>0</v>
      </c>
      <c r="BM250" s="48" t="str">
        <f ca="1">IF(AND(OR($DY$2=0,$DY$1=0),$I$1=2,ROW()&gt;$BH$1+2,ROW()&lt;=$BH$1+4),"………………..",IF(AND(OR($DY$2&gt;0,$DY$1&gt;0),$I$1=2,ROW()&gt;$BH$1+2,ROW()&lt;=$BH$1+4),"………………..",IFERROR(INDEX($AC$3:$AC$400,MATCH(ROWS(BM$3:BM250),BH$3:BH$400,0),1),"")))</f>
        <v/>
      </c>
      <c r="BN250" s="48">
        <f t="shared" ca="1" si="422"/>
        <v>0</v>
      </c>
      <c r="BO250" s="48" t="str">
        <f ca="1">IF(AND(OR($DY$2=0,$DY$1=0),$I$1=2,ROW()&gt;$BI$1+2,ROW()&lt;=$BI$1+4),"………………..",IF(AND(OR($DY$2&gt;0,$DY$1&gt;0),$I$1=2,ROW()&gt;$BI$1+2,ROW()&lt;=$BI$1+4),"………………..",IFERROR(INDEX($AC$3:$AC$400,MATCH(ROWS(BO$3:BO250),BI$3:BI$400,0),1),"")))</f>
        <v/>
      </c>
      <c r="BP250" s="48">
        <f t="shared" ca="1" si="423"/>
        <v>0</v>
      </c>
      <c r="BQ250" s="48" t="str">
        <f ca="1">IF(AND(OR($DY$2=0,$DY$1=0),$I$1=2,ROW()&gt;$BJ$1+2,ROW()&lt;=$BJ$1+4),"………………..",IF(AND(OR($DY$2&gt;0,$DY$1&gt;0),$I$1=2,ROW()&gt;$BJ$1+2,ROW()&lt;=$BJ$1+4),"………………..",IFERROR(INDEX($AC$3:$AC$400,MATCH(ROWS(BQ$3:BQ250),BJ$3:BJ$400,0),1),"")))</f>
        <v/>
      </c>
      <c r="BR250" s="48">
        <f t="shared" ca="1" si="424"/>
        <v>0</v>
      </c>
      <c r="BS250" s="48">
        <f ca="1">IF(IF(AND(OR(INDEX(PDC,MATCH($AC250,DEN_PDC,0),4)="D",INDEX(PDC,MATCH($AC250,DEN_PDC,0),4)="D/A"),SUMIFS(DARE,DEN_G,$AC250)&gt;=SUMIFS(AVERE,DEN_G,$AC250)),SUMIFS(DARE,DEN_G,$AC250),IF(AND(OR(INDEX(PDC,MATCH($AC250,DEN_PDC,0),4)="A",INDEX(PDC,MATCH($AC250,DEN_PDC,0),4)="D/A"),SUMIFS(AVERE,DEN_G,$AC250)&gt;=SUMIFS(DARE,DEN_G,$AC250)),SUMIFS(AVERE,DEN_G,$AC250),))&gt;0,MAX($BS$2:BS249)+1,0)</f>
        <v>0</v>
      </c>
      <c r="BT250" s="48" t="str">
        <f ca="1">IF($CO$1=0,"",IF(AND($I$1=2,ROW()&gt;$BR$1,ROW()&lt;=$BS$1)," …………….",IF(AND($E$1=1,$BX$1=1,$I$1=2,ROW()=$BQ$1),"TOTALI",IFERROR(INDEX(PDC,MATCH(ROWS(BT$3:BT250),BS$3:BS647,0),2),""))))</f>
        <v/>
      </c>
      <c r="BU250" s="48">
        <f t="shared" ca="1" si="425"/>
        <v>0</v>
      </c>
      <c r="BV250" s="48">
        <f t="shared" ca="1" si="426"/>
        <v>0</v>
      </c>
      <c r="BW250" s="48">
        <f t="shared" ca="1" si="427"/>
        <v>0</v>
      </c>
      <c r="BX250" s="48">
        <f t="shared" ca="1" si="428"/>
        <v>0</v>
      </c>
      <c r="BY250" s="48">
        <f ca="1">IF(OR(BW250&gt;0,BX250&gt;0),MAX($BY$2:BY249)+1,0)</f>
        <v>0</v>
      </c>
      <c r="BZ250" s="48" t="str">
        <f ca="1">IFERROR(INDEX($BT$3:$BY$400,MATCH(ROWS(BZ$3:BZ250),$BY$3:$BY$400,0),1),"")</f>
        <v/>
      </c>
      <c r="CA250" s="48" t="str">
        <f ca="1">IFERROR(INDEX($BT$3:$BY$400,MATCH(ROWS(CA$3:CA250),$BY$3:$BY$400,0),4),"")</f>
        <v/>
      </c>
      <c r="CB250" s="48" t="str">
        <f ca="1">IFERROR(INDEX($BT$3:$BY$400,MATCH(ROWS(CB$3:CB250),$BY$3:$BY$400,0),5),"")</f>
        <v/>
      </c>
      <c r="CC250" s="48" t="str">
        <f t="shared" ca="1" si="429"/>
        <v/>
      </c>
      <c r="CM250" s="242" t="str">
        <f t="shared" ca="1" si="444"/>
        <v/>
      </c>
      <c r="CN250" s="243">
        <f t="shared" ca="1" si="445"/>
        <v>0</v>
      </c>
      <c r="CO250" s="48" t="str">
        <f t="shared" ca="1" si="446"/>
        <v/>
      </c>
      <c r="CU250" s="48">
        <f ca="1">IF(SUMIFS(AVERE,DEN_G,AC250,AVERE,"&gt;"&amp;0)+SUMIFS(DARE,DEN_G,AC250,DARE,"&gt;"&amp;0)&gt;0,MAX($CU$2:CU249)+1,0)</f>
        <v>0</v>
      </c>
      <c r="CV250" s="48" t="str">
        <f ca="1">IF(IFERROR(INDEX(PDC,MATCH(ROWS($CV$3:CV250),$CU$3:$CU$400,0),2),"")="CONTO DI RISULTATO ECONOMICO","",IFERROR(INDEX(PDC,MATCH(ROWS($CV$3:CV250),$CU$3:$CU$400,0),2),""))</f>
        <v/>
      </c>
      <c r="CW250" s="48">
        <f ca="1">IFERROR(IF(CV250&lt;&gt;"",MAX($CW$2:CW249)+1,0),0)</f>
        <v>0</v>
      </c>
      <c r="CX250" s="48">
        <f ca="1">$FF$22</f>
        <v>20</v>
      </c>
      <c r="CY250" s="48" t="str">
        <f t="shared" ref="CY250:CY261" ca="1" si="537">IF(ISERROR(INDEX($CV$3:$CX$1302,MATCH(CX250,$CW$3:$CW$1302,0),1)),"MASTRO",INDEX($CV$3:$CX$1302,MATCH(CX250,$CW$3:$CW$1302,0),1))</f>
        <v>MASTRO</v>
      </c>
      <c r="DA250" s="48" t="str">
        <f>IF(CY249="MASTRO","Conto n.","")</f>
        <v>Conto n.</v>
      </c>
      <c r="DB250" s="48" t="str">
        <f ca="1">IF(CY250=0,"",INDEX(PDC,MATCH(DC250,DEN_PDC,0),1))</f>
        <v/>
      </c>
      <c r="DC250" s="48" t="str">
        <f ca="1">IF(OR(CY250=0,CY250="mastro"),"",CY250)</f>
        <v/>
      </c>
      <c r="DD250" s="48" t="str">
        <f ca="1">IF(AND($DA$2=TRUE,OR(INDEX(PDC,MATCH($DC250,DEN_PDC,0),4)="A",INDEX(PDC,MATCH($DC250,DEN_PDC,0),4)="D/A"),SUMIFS(AVERE,DEN_G,"="&amp;$DC250,DATA,"&lt;="&amp;FINE_AC,DATA,"&gt;="&amp;INIZIO_AC)&gt;SUMIFS(DARE,DEN_G,"="&amp;$DC250,DATA,"&lt;="&amp;FINE_AC,DATA,"&gt;="&amp;INIZIO_AC)),CONCATENATE("s ",FIXED(ABS(SUMIFS(AVERE,DEN_G,"="&amp;$DC250,DATA,"&lt;="&amp;FINE_AC,DATA,"&gt;="&amp;INIZIO_AC)-SUMIFS(DARE,DEN_G,"="&amp;$DC250,DATA,"&lt;="&amp;FINE_AC,DATA,"&gt;="&amp;INIZIO_AC)),2)),"")</f>
        <v/>
      </c>
      <c r="DE250" s="48" t="str">
        <f ca="1">IF(AND($DA$2=TRUE,OR(INDEX(PDC,MATCH($DC250,DEN_PDC,0),4)="D",INDEX(PDC,MATCH($DC250,DEN_PDC,0),4)="D/A"),SUMIFS(DARE,DEN_G,"="&amp;$DC250,DATA,"&lt;="&amp;FINE_AC,DATA,"&gt;="&amp;INIZIO_AC)&gt;SUMIFS(AVERE,DEN_G,"="&amp;$DC250,DATA,"&lt;="&amp;FINE_AC,DATA,"&gt;="&amp;INIZIO_AC)),CONCATENATE("s ",FIXED(ABS(SUMIFS(DARE,DEN_G,"="&amp;$DC250,DATA,"&lt;="&amp;FINE_AC,DATA,"&gt;="&amp;INIZIO_AC)-SUMIFS(AVERE,DEN_G,"="&amp;$DC250,DATA,"&lt;="&amp;FINE_AC,DATA,"&gt;="&amp;INIZIO_AC)),2)),"")</f>
        <v/>
      </c>
      <c r="DF250" s="48">
        <f ca="1">IF(AND(CX250=$DF$1,CX250&lt;&gt;""),0,IF(AND(DB250&lt;&gt;"",OR(DB249&lt;&gt;"",DB251&lt;&gt;"")),MAX($DF$2:DF249)+1,0))</f>
        <v>0</v>
      </c>
      <c r="DH250" s="249" t="s">
        <v>184</v>
      </c>
      <c r="DI250" s="48" t="s">
        <v>177</v>
      </c>
      <c r="DJ250" s="48" t="s">
        <v>311</v>
      </c>
      <c r="DK250" s="48" t="s">
        <v>275</v>
      </c>
      <c r="DL250" s="48" t="s">
        <v>319</v>
      </c>
      <c r="DM250" s="48" t="s">
        <v>301</v>
      </c>
      <c r="DN250" s="48">
        <f ca="1">IF(DI250&lt;&gt;"",MAX($DN$2:DN249)+1,0)</f>
        <v>192</v>
      </c>
      <c r="DO250" s="48" t="s">
        <v>701</v>
      </c>
      <c r="DQ250" s="227" t="s">
        <v>424</v>
      </c>
      <c r="DR250" s="48" t="s">
        <v>498</v>
      </c>
      <c r="DS250" s="48" t="s">
        <v>311</v>
      </c>
      <c r="DT250" s="48" t="s">
        <v>298</v>
      </c>
      <c r="DU250" s="48" t="s">
        <v>8</v>
      </c>
      <c r="DV250" s="48" t="s">
        <v>300</v>
      </c>
      <c r="DW250" s="48">
        <f ca="1">IF(DR250&lt;&gt;"",MAX($DW$2:DW249)+1,0)</f>
        <v>149</v>
      </c>
      <c r="DX250" s="48" t="s">
        <v>708</v>
      </c>
      <c r="DY250" s="48" t="str">
        <f t="shared" ca="1" si="430"/>
        <v/>
      </c>
      <c r="EL250" s="48">
        <f t="shared" ca="1" si="431"/>
        <v>0</v>
      </c>
      <c r="EM250" s="48">
        <f ca="1">IF(EL250&gt;=0,0,MAX($EM$2:EM249)+1)</f>
        <v>0</v>
      </c>
      <c r="EN250" s="48" t="str">
        <f t="shared" ca="1" si="459"/>
        <v/>
      </c>
      <c r="EO250" s="48" t="str">
        <f ca="1">IFERROR(INDEX($EM$3:$EN$400,MATCH(ROWS($EO$3:EO250),$EM$3:$EM$400,0),2),"")</f>
        <v/>
      </c>
      <c r="EP250" s="48">
        <f>ROW()</f>
        <v>250</v>
      </c>
      <c r="EQ250" s="48">
        <f t="shared" ca="1" si="432"/>
        <v>0</v>
      </c>
      <c r="ER250" s="48">
        <f ca="1">IF(ISNA(EQ250)=TRUE,MAX($ER$2:ER249)+1,0)</f>
        <v>0</v>
      </c>
      <c r="ES250" s="48" t="str">
        <f t="shared" ca="1" si="460"/>
        <v/>
      </c>
      <c r="ET250" s="48" t="str">
        <f ca="1">IFERROR(INDEX($ER$3:$ES$400,MATCH(ROWS($ET$3:ET250),$ER$3:$ER$400,0),2),"")</f>
        <v/>
      </c>
      <c r="EV250" s="48">
        <f ca="1">IFERROR(INDEX(LIBRO_GIORNALE!$O$11:$P$408,MATCH(ROWS($EV$2:EV249),LIBRO_GIORNALE!$P$11:$P$408,0),1),0)</f>
        <v>0</v>
      </c>
      <c r="EW250" s="48" t="str">
        <f t="shared" ca="1" si="461"/>
        <v>0</v>
      </c>
      <c r="EX250" s="48">
        <f t="shared" ca="1" si="462"/>
        <v>0</v>
      </c>
      <c r="EY250" s="48">
        <f ca="1">IF(EX250&gt;0,MAX($EY$2:EY249)+1,0)</f>
        <v>0</v>
      </c>
      <c r="EZ250" s="48">
        <f ca="1">IFERROR(INDEX($EX$3:$EX$400,MATCH(ROWS($EZ$3:EZ250),$EY$3:$EY$400,0),1),0)</f>
        <v>0</v>
      </c>
      <c r="FA250" s="48">
        <f ca="1">IF(EZ250&gt;0,0,MAX($FA$2:FA249)+1)</f>
        <v>248</v>
      </c>
      <c r="FB250" s="48">
        <f t="shared" ca="1" si="463"/>
        <v>0</v>
      </c>
      <c r="FC250" s="48">
        <f t="shared" ca="1" si="464"/>
        <v>248</v>
      </c>
      <c r="FD250" s="48">
        <f t="shared" ca="1" si="465"/>
        <v>248</v>
      </c>
      <c r="FE250" s="48">
        <f ca="1">IF(FD250=0,0,MAX($FE$2:FE249)+1)</f>
        <v>248</v>
      </c>
      <c r="FF250" s="48">
        <f ca="1">IFERROR(INDEX($FD$3:$FE$400,MATCH(ROWS($FF$3:FF250),$FE$3:$FE$400,0),1),"")</f>
        <v>248</v>
      </c>
      <c r="FG250" s="48">
        <f t="shared" ca="1" si="519"/>
        <v>0</v>
      </c>
      <c r="FH250" s="48">
        <f t="shared" ca="1" si="466"/>
        <v>0</v>
      </c>
      <c r="FI250" s="48">
        <f ca="1">IF(FH250&lt;&gt;0,MAX($FI$2:FI249)+1,0)</f>
        <v>0</v>
      </c>
      <c r="FJ250" s="48" t="str">
        <f ca="1">IFERROR(INDEX($FH$3:$FI$400,MATCH(ROWS($FJ$3:FJ250),$FI$3:$FI$400,0),1),"")</f>
        <v/>
      </c>
      <c r="FK250" s="48">
        <f ca="1">IF(ABS(SUMIFS(DARE,DEN_G,"="&amp;FJ250,DATA,"&lt;="&amp;FINE_AC,DATA,"&gt;="&amp;INIZIO_A_PC)-SUMIFS(AVERE,DEN_G,"="&amp;FJ250,DATA,"&lt;="&amp;FINE_AC,DATA,"&gt;="&amp;INIZIO_A_PC))&gt;0,MAX($FK$2:FK249)+1,0)</f>
        <v>0</v>
      </c>
      <c r="FL250" s="48" t="str">
        <f ca="1">IF(AND(ROW()-2&lt;&gt;1,ROW()-2&lt;=$FK$1),CONCATENATE(" - ",IFERROR(INDEX($FJ$3:$FK$400,MATCH(ROWS($FL$3:FL250),$FK$3:$FK$400,0),1),"")),IFERROR(INDEX($FJ$3:$FK$400,MATCH(ROWS($FL$3:FL250),$FK$3:$FK$400,0),1),""))</f>
        <v/>
      </c>
      <c r="FM250" s="48">
        <f ca="1">IF(OR(B250="IVA ns/credito",B250="IVA NS/DEBITO",B250="IVA C/ACCONTO",B250="IMPOSTE C/ACCONTO",B250="CREDITI PER RITENUTE SUBITE",B250="CREDITI D'IMPOSTA"),MAX($FM$2:FM249)+1,0)</f>
        <v>0</v>
      </c>
      <c r="FN250" s="48" t="str">
        <f t="shared" ca="1" si="467"/>
        <v/>
      </c>
      <c r="FO250" s="48" t="str">
        <f ca="1">IFERROR(INDEX($FM$3:$FN$400,MATCH(ROWS($FO$3:FO250),$FM$3:$FM$400,0),2),"")</f>
        <v/>
      </c>
      <c r="FP250" s="48">
        <f ca="1">IF(ABS(SUMIFS(DARE,DEN_G,"="&amp;FO250,DATA,"&lt;="&amp;FINE_AC,DATA,"&gt;="&amp;INIZIO_A_PC)-SUMIFS(AVERE,DEN_G,"="&amp;FO250,DATA,"&lt;="&amp;FINE_AC,DATA,"&gt;="&amp;INIZIO_A_PC))&gt;0,MAX($FP$2:FP249)+1,0)</f>
        <v>0</v>
      </c>
      <c r="FQ250" s="48" t="str">
        <f ca="1">IF(AND(ROW()-2&lt;&gt;1,ROW()-2&lt;=$FP$1),CONCATENATE(" - ",IFERROR(INDEX($FO$3:$FP$400,MATCH(ROWS($FQ$3:FQ250),$FP$3:$FP$400,0),1),"")),IFERROR(INDEX($FO$3:$FP$400,MATCH(ROWS($FQ$3:FQ250),$FP$3:$FP$400,0),1),""))</f>
        <v/>
      </c>
    </row>
    <row r="251" spans="1:173" x14ac:dyDescent="0.3">
      <c r="A251" s="48" t="str">
        <f ca="1">IFERROR(IF($A$1=2,INDEX($DH$3:$DN$401,MATCH(ROWS(A$3:A251),$DN$3:$DN$401,0),COLUMN()),IF($A$1=1,INDEX($DQ$3:$DW$401,MATCH(ROWS(A$3:A251),$DW$3:$DW$401,0),COLUMN()),"")),"")</f>
        <v>33.04</v>
      </c>
      <c r="B251" s="48" t="str">
        <f ca="1">IFERROR(IF($A$1=2,INDEX($DH$3:$DN$401,MATCH(ROWS(B$3:B251),$DN$3:$DN$401,0),COLUMN()),IF($A$1=1,INDEX($DQ$3:$DW$400,MATCH(ROWS(B$3:B251),$DW$3:$DW$401,0),COLUMN()),"")),"")</f>
        <v>ALTRI COSTI PER IL PERSONALE</v>
      </c>
      <c r="C251" s="48" t="str">
        <f ca="1">IFERROR(IF($A$1=2,INDEX($DH$3:$DN$401,MATCH(ROWS(C$3:C251),$DN$3:$DN$401,0),COLUMN()),IF($A$1=1,INDEX($DQ$3:$DW$401,MATCH(ROWS(C$3:C251),$DW$3:$DW$401,0),COLUMN()),"")),"")</f>
        <v>E</v>
      </c>
      <c r="D251" s="48" t="str">
        <f ca="1">IFERROR(IF($A$1=2,INDEX($DH$3:$DN$401,MATCH(ROWS(D$3:D251),$DN$3:$DN$401,0),COLUMN()),IF($A$1=1,INDEX($DQ$3:$DW$401,MATCH(ROWS(D$3:D251),$DW$3:$DW$401,0),COLUMN()),"")),"")</f>
        <v>D</v>
      </c>
      <c r="E251" s="48" t="str">
        <f ca="1">IFERROR(IF($A$1=2,INDEX($DH$3:$DN$401,MATCH(ROWS(E$3:E251),$DN$3:$DN$401,0),COLUMN()),IF($A$1=1,INDEX($DQ$3:$DW$401,MATCH(ROWS(E$3:E251),$DW$3:$DW$401,0),COLUMN()),"")),"")</f>
        <v>COSTI D'ESERCIZIO</v>
      </c>
      <c r="F251" s="48" t="str">
        <f ca="1">IFERROR(IF($A$1=2,INDEX($DH$3:$DN$401,MATCH(ROWS(F$3:F251),$DN$3:$DN$401,0),COLUMN()),IF($A$1=1,INDEX($DQ$3:$DX$401,MATCH(ROWS(F$3:F251),$DW$3:$DW$401,0),COLUMN()),"")),"")</f>
        <v>SE DARE</v>
      </c>
      <c r="G251" s="48" t="str">
        <f t="shared" ca="1" si="433"/>
        <v>SE</v>
      </c>
      <c r="H251" s="48" t="str">
        <f ca="1">IFERROR(IF($A$1=2,INDEX($DH$3:$DO$400,MATCH(ROWS(H$3:H251),$DN$3:$DN$400,0),COLUMN()),IF($A$1=1,INDEX($DQ$3:$DX$400,MATCH(ROWS(H$3:H251),$DW$3:$DW$400,0),COLUMN()),"")),"")</f>
        <v>eb9e</v>
      </c>
      <c r="M251" s="48">
        <f ca="1">IFERROR(IF(IF(MID($A251,3,3)=".00",MID(A251,1,2),"")&lt;&gt;"",MAX($M$2:M250)+1,0),"")</f>
        <v>0</v>
      </c>
      <c r="N251" s="48" t="str">
        <f t="shared" ca="1" si="438"/>
        <v/>
      </c>
      <c r="O251" s="48" t="str">
        <f ca="1">IF(IFERROR(INDEX($N$3:$O$300,MATCH(ROWS($O$3:O251),$M$3:$M$300,0),1),"")&lt;&gt;"",CONCATENATE(INDEX($N$3:$O$300,MATCH(ROWS($O$3:O251),$M$3:$M$300,0),1),".00"),"")</f>
        <v/>
      </c>
      <c r="P251" s="48" t="str">
        <f t="shared" ca="1" si="439"/>
        <v/>
      </c>
      <c r="Q251" s="48">
        <f ca="1">IF(M251&gt;=1,0,MAX($Q$2:Q250)+1)</f>
        <v>224</v>
      </c>
      <c r="U251" s="48" t="str">
        <f ca="1">IFERROR(INDEX(PDC,MATCH(ROWS(U$3:U251),$V$3:$V$400,0),2),"")</f>
        <v>ACCANTONAMENTO PER MANUTENZIONI PROGRAMMATE</v>
      </c>
      <c r="V251" s="48">
        <f ca="1">IF(AND($T$1="VISUALIZZA TUTTI I CONTI",AA251&lt;&gt;""),MAX($V$2:V250)+1,IF(AND($U$2=2,AI251=$T$1),MAX($V$2:V250)+1,IF(AND($U$2=1,$T$1=AF251),MAX($V$2:V250)+1,0)))</f>
        <v>249</v>
      </c>
      <c r="AA251" s="48" t="str">
        <f t="shared" ca="1" si="440"/>
        <v>38.00</v>
      </c>
      <c r="AB251" s="48" t="str">
        <f ca="1">IFERROR(INDEX($A$3:$G$400,MATCH(ROWS(AB$3:AB251),$Q$3:$Q$400,0),1),"")</f>
        <v>38.10</v>
      </c>
      <c r="AC251" s="48" t="str">
        <f ca="1">IFERROR(INDEX($A$3:$G$400,MATCH(ROWS($AC$3:AC251),$Q$3:$Q$400,0),2),"")</f>
        <v>ACCANTONAMENTO PER MANUTENZIONI PROGRAMMATE</v>
      </c>
      <c r="AD251" s="48" t="str">
        <f ca="1">IFERROR(INDEX($A$3:$G$400,MATCH(ROWS(AD$3:AD251),$Q$3:$Q$400,0),3),"")</f>
        <v>E</v>
      </c>
      <c r="AE251" s="48" t="str">
        <f ca="1">IFERROR(INDEX($A$3:$G$400,MATCH(ROWS(AE$3:AE251),$Q$3:$Q$400,0),4),"")</f>
        <v>D</v>
      </c>
      <c r="AF251" s="48" t="str">
        <f ca="1">IFERROR(INDEX($A$3:$G$400,MATCH(ROWS(AF$3:AF251),$Q$3:$Q$400,0),5),"")</f>
        <v>COSTI D'ESERCIZIO</v>
      </c>
      <c r="AG251" s="48" t="str">
        <f ca="1">IFERROR(INDEX($A$3:$G$400,MATCH(ROWS(AG$3:AG251),$Q$3:$Q$400,0),6),"")</f>
        <v>SE DARE</v>
      </c>
      <c r="AH251" s="48" t="str">
        <f ca="1">IFERROR(INDEX($A$3:$G$400,MATCH(ROWS(AH$3:AH251),$Q$3:$Q$400,0),7),"")</f>
        <v>SE</v>
      </c>
      <c r="AI251" s="48" t="str">
        <f t="shared" ca="1" si="441"/>
        <v>ACCANTONAMENTI</v>
      </c>
      <c r="AJ251" s="48" t="str">
        <f ca="1">IFERROR(INDEX($A$3:$H$400,MATCH(ROWS(AJ$3:AJ251),$Q$3:$Q$400,0),8),"")</f>
        <v>eb13</v>
      </c>
      <c r="AK251" s="48">
        <f t="shared" ca="1" si="417"/>
        <v>0</v>
      </c>
      <c r="AL251" s="48">
        <f t="shared" ca="1" si="515"/>
        <v>0</v>
      </c>
      <c r="AM251" s="48">
        <f t="shared" ca="1" si="516"/>
        <v>0</v>
      </c>
      <c r="AN251" s="48">
        <f t="shared" ca="1" si="517"/>
        <v>0</v>
      </c>
      <c r="AO251" s="48">
        <f t="shared" ca="1" si="518"/>
        <v>0</v>
      </c>
      <c r="AP251" s="48">
        <f t="shared" ca="1" si="518"/>
        <v>0</v>
      </c>
      <c r="AZ251" s="48" t="str">
        <f t="shared" ca="1" si="484"/>
        <v/>
      </c>
      <c r="BA251" s="48">
        <f t="shared" ca="1" si="520"/>
        <v>0</v>
      </c>
      <c r="BB251" s="48">
        <f t="shared" ca="1" si="521"/>
        <v>0</v>
      </c>
      <c r="BC251" s="48">
        <f t="shared" ca="1" si="522"/>
        <v>0</v>
      </c>
      <c r="BD251" s="48">
        <f t="shared" ca="1" si="523"/>
        <v>0</v>
      </c>
      <c r="BE251" s="48">
        <f t="shared" ca="1" si="524"/>
        <v>0</v>
      </c>
      <c r="BF251" s="48">
        <f t="shared" si="485"/>
        <v>51</v>
      </c>
      <c r="BG251" s="48">
        <f ca="1">IF(IF(AND(OR(INDEX(PDC,MATCH($AC251,DEN_PDC,0),6)="SP DARE",INDEX(PDC,MATCH($AC251,DEN_PDC,0),6)="SP DARE/AVERE"),SUMIFS(DARE,DEN_G,$AC251)&gt;=SUMIFS(AVERE,DEN_G,$AC251)),SUMIFS(DARE,DEN_G,$AC251)-SUMIFS(AVERE,DEN_G,$AC251),0)&gt;0,MAX($BG$2:BG250)+1,0)</f>
        <v>0</v>
      </c>
      <c r="BH251" s="48">
        <f ca="1">IF(IF(AND(OR(INDEX(PDC,MATCH($AC251,DEN_PDC,0),6)="SP AVERE",INDEX(PDC,MATCH($AC251,DEN_PDC,0),6)="SP DARE/AVERE"),SUMIFS(AVERE,DEN_G,$AC251)&gt;=SUMIFS(DARE,DEN_G,$AC251)),SUMIFS(AVERE,DEN_G,$AC251)-SUMIFS(DARE,DEN_G,$AC251),0)&gt;0,MAX(BH$2:BH250)+1,0)</f>
        <v>0</v>
      </c>
      <c r="BI251" s="48">
        <f ca="1">IF(IF(AND(OR(INDEX(PDC,MATCH($AC251,DEN_PDC,0),6)="SE DARE",INDEX(PDC,MATCH($AC251,DEN_PDC,0),6)="SE DARE/AVERE"),SUMIFS(DARE,DEN_G,$AC251)&gt;=SUMIFS(AVERE,DEN_G,$AC251)),SUMIFS(DARE,DEN_G,$AC251)-SUMIFS(AVERE,DEN_G,$AC251),0)&gt;0,MAX(BI$2:BI250)+1,0)</f>
        <v>0</v>
      </c>
      <c r="BJ251" s="48">
        <f ca="1">IF(IF(AND(OR(INDEX(PDC,MATCH($AC251,DEN_PDC,0),6)="SE AVERE",INDEX(PDC,MATCH($AC251,DEN_PDC,0),6)="SE DARE/AVERE"),SUMIFS(AVERE,DEN_G,$AC251)&gt;=SUMIFS(DARE,DEN_G,$AC251)),SUMIFS(AVERE,DEN_G,$AC251)-SUMIFS(DARE,DEN_G,$AC251),0)&gt;0,MAX(BJ$2:BJ250)+1,0)</f>
        <v>0</v>
      </c>
      <c r="BK251" s="48" t="str">
        <f ca="1">IF(AND(AND($DY$2=0,$DY$1=0),$I$1=2,ROW()&gt;$BG$1+2,ROW()&lt;=$BG$1+4),"………………..",IF(AND(OR($DY$2&gt;0,$DY$1&gt;0),$I$1=2,ROW()&gt;$BG$1+2,ROW()&lt;=$BG$1+4),"………………..",IFERROR(INDEX($AC$3:$AC$398,MATCH(ROWS(BK$3:BK251),BG$3:BG$398,0),1),"")))</f>
        <v/>
      </c>
      <c r="BL251" s="48">
        <f t="shared" ca="1" si="421"/>
        <v>0</v>
      </c>
      <c r="BM251" s="48" t="str">
        <f ca="1">IF(AND(OR($DY$2=0,$DY$1=0),$I$1=2,ROW()&gt;$BH$1+2,ROW()&lt;=$BH$1+4),"………………..",IF(AND(OR($DY$2&gt;0,$DY$1&gt;0),$I$1=2,ROW()&gt;$BH$1+2,ROW()&lt;=$BH$1+4),"………………..",IFERROR(INDEX($AC$3:$AC$400,MATCH(ROWS(BM$3:BM251),BH$3:BH$400,0),1),"")))</f>
        <v/>
      </c>
      <c r="BN251" s="48">
        <f t="shared" ca="1" si="422"/>
        <v>0</v>
      </c>
      <c r="BO251" s="48" t="str">
        <f ca="1">IF(AND(OR($DY$2=0,$DY$1=0),$I$1=2,ROW()&gt;$BI$1+2,ROW()&lt;=$BI$1+4),"………………..",IF(AND(OR($DY$2&gt;0,$DY$1&gt;0),$I$1=2,ROW()&gt;$BI$1+2,ROW()&lt;=$BI$1+4),"………………..",IFERROR(INDEX($AC$3:$AC$400,MATCH(ROWS(BO$3:BO251),BI$3:BI$400,0),1),"")))</f>
        <v/>
      </c>
      <c r="BP251" s="48">
        <f t="shared" ca="1" si="423"/>
        <v>0</v>
      </c>
      <c r="BQ251" s="48" t="str">
        <f ca="1">IF(AND(OR($DY$2=0,$DY$1=0),$I$1=2,ROW()&gt;$BJ$1+2,ROW()&lt;=$BJ$1+4),"………………..",IF(AND(OR($DY$2&gt;0,$DY$1&gt;0),$I$1=2,ROW()&gt;$BJ$1+2,ROW()&lt;=$BJ$1+4),"………………..",IFERROR(INDEX($AC$3:$AC$400,MATCH(ROWS(BQ$3:BQ251),BJ$3:BJ$400,0),1),"")))</f>
        <v/>
      </c>
      <c r="BR251" s="48">
        <f t="shared" ca="1" si="424"/>
        <v>0</v>
      </c>
      <c r="BS251" s="48">
        <f ca="1">IF(IF(AND(OR(INDEX(PDC,MATCH($AC251,DEN_PDC,0),4)="D",INDEX(PDC,MATCH($AC251,DEN_PDC,0),4)="D/A"),SUMIFS(DARE,DEN_G,$AC251)&gt;=SUMIFS(AVERE,DEN_G,$AC251)),SUMIFS(DARE,DEN_G,$AC251),IF(AND(OR(INDEX(PDC,MATCH($AC251,DEN_PDC,0),4)="A",INDEX(PDC,MATCH($AC251,DEN_PDC,0),4)="D/A"),SUMIFS(AVERE,DEN_G,$AC251)&gt;=SUMIFS(DARE,DEN_G,$AC251)),SUMIFS(AVERE,DEN_G,$AC251),))&gt;0,MAX($BS$2:BS250)+1,0)</f>
        <v>0</v>
      </c>
      <c r="BT251" s="48" t="str">
        <f ca="1">IF($CO$1=0,"",IF(AND($I$1=2,ROW()&gt;$BR$1,ROW()&lt;=$BS$1)," …………….",IF(AND($E$1=1,$BX$1=1,$I$1=2,ROW()=$BQ$1),"TOTALI",IFERROR(INDEX(PDC,MATCH(ROWS(BT$3:BT251),BS$3:BS648,0),2),""))))</f>
        <v/>
      </c>
      <c r="BU251" s="48">
        <f t="shared" ca="1" si="425"/>
        <v>0</v>
      </c>
      <c r="BV251" s="48">
        <f t="shared" ca="1" si="426"/>
        <v>0</v>
      </c>
      <c r="BW251" s="48">
        <f t="shared" ca="1" si="427"/>
        <v>0</v>
      </c>
      <c r="BX251" s="48">
        <f t="shared" ca="1" si="428"/>
        <v>0</v>
      </c>
      <c r="BY251" s="48">
        <f ca="1">IF(OR(BW251&gt;0,BX251&gt;0),MAX($BY$2:BY250)+1,0)</f>
        <v>0</v>
      </c>
      <c r="BZ251" s="48" t="str">
        <f ca="1">IFERROR(INDEX($BT$3:$BY$400,MATCH(ROWS(BZ$3:BZ251),$BY$3:$BY$400,0),1),"")</f>
        <v/>
      </c>
      <c r="CA251" s="48" t="str">
        <f ca="1">IFERROR(INDEX($BT$3:$BY$400,MATCH(ROWS(CA$3:CA251),$BY$3:$BY$400,0),4),"")</f>
        <v/>
      </c>
      <c r="CB251" s="48" t="str">
        <f ca="1">IFERROR(INDEX($BT$3:$BY$400,MATCH(ROWS(CB$3:CB251),$BY$3:$BY$400,0),5),"")</f>
        <v/>
      </c>
      <c r="CC251" s="48" t="str">
        <f t="shared" ca="1" si="429"/>
        <v/>
      </c>
      <c r="CG251" s="232"/>
      <c r="CH251" s="232"/>
      <c r="CL251" s="48">
        <f ca="1">IF($AP$1=CF251,MAX($CL$250:CL250)+1,0)</f>
        <v>0</v>
      </c>
      <c r="CM251" s="242" t="str">
        <f t="shared" ca="1" si="444"/>
        <v/>
      </c>
      <c r="CN251" s="243">
        <f t="shared" ca="1" si="445"/>
        <v>0</v>
      </c>
      <c r="CO251" s="48" t="str">
        <f t="shared" ca="1" si="446"/>
        <v/>
      </c>
      <c r="CU251" s="48">
        <f ca="1">IF(SUMIFS(AVERE,DEN_G,AC251,AVERE,"&gt;"&amp;0)+SUMIFS(DARE,DEN_G,AC251,DARE,"&gt;"&amp;0)&gt;0,MAX($CU$2:CU250)+1,0)</f>
        <v>0</v>
      </c>
      <c r="CV251" s="48" t="str">
        <f ca="1">IF(IFERROR(INDEX(PDC,MATCH(ROWS($CV$3:CV251),$CU$3:$CU$400,0),2),"")="CONTO DI RISULTATO ECONOMICO","",IFERROR(INDEX(PDC,MATCH(ROWS($CV$3:CV251),$CU$3:$CU$400,0),2),""))</f>
        <v/>
      </c>
      <c r="CW251" s="48">
        <f ca="1">IFERROR(IF(CV251&lt;&gt;"",MAX($CW$2:CW250)+1,0),0)</f>
        <v>0</v>
      </c>
      <c r="CX251" s="48">
        <f t="shared" ref="CX251:CX261" ca="1" si="538">$FF$22</f>
        <v>20</v>
      </c>
      <c r="CY251" s="48" t="str">
        <f t="shared" ca="1" si="537"/>
        <v>MASTRO</v>
      </c>
      <c r="DA251" s="48" t="str">
        <f ca="1">IF(DB250="","","Num. riga")</f>
        <v/>
      </c>
      <c r="DB251" s="48" t="str">
        <f t="shared" ref="DB251" ca="1" si="539">IF(DB250="","","Data")</f>
        <v/>
      </c>
      <c r="DC251" s="48" t="str">
        <f ca="1">IF(DB250="","","Operazioni")</f>
        <v/>
      </c>
      <c r="DD251" s="48" t="str">
        <f ca="1">IF(DB250="","","Dare        ")</f>
        <v/>
      </c>
      <c r="DE251" s="48" t="str">
        <f ca="1">IF(DB250="","","Avere        ")</f>
        <v/>
      </c>
      <c r="DF251" s="48">
        <f ca="1">IF(AND(CX251=$DF$1,CX251&lt;&gt;""),0,IF(AND(DB251&lt;&gt;"",OR(DB250&lt;&gt;"",DB252&lt;&gt;"")),MAX($DF$2:DF250)+1,0))</f>
        <v>0</v>
      </c>
      <c r="DH251" s="244" t="s">
        <v>424</v>
      </c>
      <c r="DI251" s="48" t="s">
        <v>425</v>
      </c>
      <c r="DJ251" s="48" t="s">
        <v>311</v>
      </c>
      <c r="DK251" s="48" t="s">
        <v>298</v>
      </c>
      <c r="DL251" s="48" t="s">
        <v>320</v>
      </c>
      <c r="DM251" s="48" t="s">
        <v>300</v>
      </c>
      <c r="DN251" s="48">
        <f ca="1">IF(DI251&lt;&gt;"",MAX($DN$2:DN250)+1,0)</f>
        <v>193</v>
      </c>
      <c r="DO251" s="48" t="s">
        <v>707</v>
      </c>
      <c r="DQ251" s="227" t="s">
        <v>426</v>
      </c>
      <c r="DR251" s="48" t="s">
        <v>290</v>
      </c>
      <c r="DS251" s="48" t="s">
        <v>311</v>
      </c>
      <c r="DT251" s="48" t="s">
        <v>298</v>
      </c>
      <c r="DU251" s="48" t="s">
        <v>8</v>
      </c>
      <c r="DV251" s="48" t="s">
        <v>300</v>
      </c>
      <c r="DW251" s="48">
        <f ca="1">IF(DR251&lt;&gt;"",MAX($DW$2:DW250)+1,0)</f>
        <v>150</v>
      </c>
      <c r="DX251" s="48" t="s">
        <v>708</v>
      </c>
      <c r="DY251" s="48" t="str">
        <f t="shared" ca="1" si="430"/>
        <v/>
      </c>
      <c r="EL251" s="48">
        <f t="shared" ca="1" si="431"/>
        <v>0</v>
      </c>
      <c r="EM251" s="48">
        <f ca="1">IF(EL251&gt;=0,0,MAX($EM$2:EM250)+1)</f>
        <v>0</v>
      </c>
      <c r="EN251" s="48" t="str">
        <f t="shared" ca="1" si="459"/>
        <v/>
      </c>
      <c r="EO251" s="48" t="str">
        <f ca="1">IFERROR(INDEX($EM$3:$EN$400,MATCH(ROWS($EO$3:EO251),$EM$3:$EM$400,0),2),"")</f>
        <v/>
      </c>
      <c r="EP251" s="48">
        <f>ROW()</f>
        <v>251</v>
      </c>
      <c r="EQ251" s="48">
        <f t="shared" ca="1" si="432"/>
        <v>0</v>
      </c>
      <c r="ER251" s="48">
        <f ca="1">IF(ISNA(EQ251)=TRUE,MAX($ER$2:ER250)+1,0)</f>
        <v>0</v>
      </c>
      <c r="ES251" s="48" t="str">
        <f t="shared" ca="1" si="460"/>
        <v/>
      </c>
      <c r="ET251" s="48" t="str">
        <f ca="1">IFERROR(INDEX($ER$3:$ES$400,MATCH(ROWS($ET$3:ET251),$ER$3:$ER$400,0),2),"")</f>
        <v/>
      </c>
      <c r="EV251" s="48">
        <f ca="1">IFERROR(INDEX(LIBRO_GIORNALE!$O$11:$P$408,MATCH(ROWS($EV$2:EV250),LIBRO_GIORNALE!$P$11:$P$408,0),1),0)</f>
        <v>0</v>
      </c>
      <c r="EW251" s="48" t="str">
        <f ca="1">UPPER(IFERROR(INDEX($AZ$103:$BB$400,MATCH(EV251,$AZ$103:$AZ$400,0),3),0))</f>
        <v>0</v>
      </c>
      <c r="EX251" s="48">
        <f t="shared" ca="1" si="462"/>
        <v>0</v>
      </c>
      <c r="EY251" s="48">
        <f ca="1">IF(EX251&gt;0,MAX($EY$2:EY250)+1,0)</f>
        <v>0</v>
      </c>
      <c r="EZ251" s="48">
        <f ca="1">IFERROR(INDEX($EX$3:$EX$400,MATCH(ROWS($EZ$3:EZ251),$EY$3:$EY$400,0),1),0)</f>
        <v>0</v>
      </c>
      <c r="FA251" s="48">
        <f ca="1">IF(EZ251&gt;0,0,MAX($FA$2:FA250)+1)</f>
        <v>249</v>
      </c>
      <c r="FB251" s="48">
        <f ca="1">IFERROR(IF(FA251&gt;0,MATCH(FA251,$EZ$3:$EZ$400,0),0),0)</f>
        <v>0</v>
      </c>
      <c r="FC251" s="48">
        <f ca="1">IF(FB251=0,FA251,0)</f>
        <v>249</v>
      </c>
      <c r="FD251" s="48">
        <f t="shared" ca="1" si="465"/>
        <v>249</v>
      </c>
      <c r="FE251" s="48">
        <f ca="1">IF(FD251=0,0,MAX($FE$2:FE250)+1)</f>
        <v>249</v>
      </c>
      <c r="FF251" s="48">
        <f ca="1">IFERROR(INDEX($FD$3:$FE$400,MATCH(ROWS($FF$3:FF251),$FE$3:$FE$400,0),1),"")</f>
        <v>249</v>
      </c>
      <c r="FG251" s="48">
        <f t="shared" ca="1" si="519"/>
        <v>0</v>
      </c>
      <c r="FH251" s="48">
        <f t="shared" ca="1" si="466"/>
        <v>0</v>
      </c>
      <c r="FI251" s="48">
        <f ca="1">IF(FH251&lt;&gt;0,MAX($FI$2:FI250)+1,0)</f>
        <v>0</v>
      </c>
      <c r="FJ251" s="48" t="str">
        <f ca="1">IFERROR(INDEX($FH$3:$FI$400,MATCH(ROWS($FJ$3:FJ251),$FI$3:$FI$400,0),1),"")</f>
        <v/>
      </c>
      <c r="FK251" s="48">
        <f ca="1">IF(ABS(SUMIFS(DARE,DEN_G,"="&amp;FJ251,DATA,"&lt;="&amp;FINE_AC,DATA,"&gt;="&amp;INIZIO_A_PC)-SUMIFS(AVERE,DEN_G,"="&amp;FJ251,DATA,"&lt;="&amp;FINE_AC,DATA,"&gt;="&amp;INIZIO_A_PC))&gt;0,MAX($FK$2:FK250)+1,0)</f>
        <v>0</v>
      </c>
      <c r="FL251" s="48" t="str">
        <f ca="1">IF(AND(ROW()-2&lt;&gt;1,ROW()-2&lt;=$FK$1),CONCATENATE(" - ",IFERROR(INDEX($FJ$3:$FK$400,MATCH(ROWS($FL$3:FL251),$FK$3:$FK$400,0),1),"")),IFERROR(INDEX($FJ$3:$FK$400,MATCH(ROWS($FL$3:FL251),$FK$3:$FK$400,0),1),""))</f>
        <v/>
      </c>
      <c r="FM251" s="48">
        <f ca="1">IF(OR(B251="IVA ns/credito",B251="IVA NS/DEBITO",B251="IVA C/ACCONTO",B251="IMPOSTE C/ACCONTO",B251="CREDITI PER RITENUTE SUBITE",B251="CREDITI D'IMPOSTA"),MAX($FM$2:FM250)+1,0)</f>
        <v>0</v>
      </c>
      <c r="FN251" s="48" t="str">
        <f t="shared" ca="1" si="467"/>
        <v/>
      </c>
      <c r="FO251" s="48" t="str">
        <f ca="1">IFERROR(INDEX($FM$3:$FN$400,MATCH(ROWS($FO$3:FO251),$FM$3:$FM$400,0),2),"")</f>
        <v/>
      </c>
      <c r="FP251" s="48">
        <f ca="1">IF(ABS(SUMIFS(DARE,DEN_G,"="&amp;FO251,DATA,"&lt;="&amp;FINE_AC,DATA,"&gt;="&amp;INIZIO_A_PC)-SUMIFS(AVERE,DEN_G,"="&amp;FO251,DATA,"&lt;="&amp;FINE_AC,DATA,"&gt;="&amp;INIZIO_A_PC))&gt;0,MAX($FP$2:FP250)+1,0)</f>
        <v>0</v>
      </c>
      <c r="FQ251" s="48" t="str">
        <f ca="1">IF(AND(ROW()-2&lt;&gt;1,ROW()-2&lt;=$FP$1),CONCATENATE(" - ",IFERROR(INDEX($FO$3:$FP$400,MATCH(ROWS($FQ$3:FQ251),$FP$3:$FP$400,0),1),"")),IFERROR(INDEX($FO$3:$FP$400,MATCH(ROWS($FQ$3:FQ251),$FP$3:$FP$400,0),1),""))</f>
        <v/>
      </c>
    </row>
    <row r="252" spans="1:173" x14ac:dyDescent="0.3">
      <c r="A252" s="48" t="str">
        <f ca="1">IFERROR(IF($A$1=2,INDEX($DH$3:$DN$401,MATCH(ROWS(A$3:A252),$DN$3:$DN$401,0),COLUMN()),IF($A$1=1,INDEX($DQ$3:$DW$401,MATCH(ROWS(A$3:A252),$DW$3:$DW$401,0),COLUMN()),"")),"")</f>
        <v>34.00</v>
      </c>
      <c r="B252" s="48" t="str">
        <f ca="1">IFERROR(IF($A$1=2,INDEX($DH$3:$DN$401,MATCH(ROWS(B$3:B252),$DN$3:$DN$401,0),COLUMN()),IF($A$1=1,INDEX($DQ$3:$DW$400,MATCH(ROWS(B$3:B252),$DW$3:$DW$401,0),COLUMN()),"")),"")</f>
        <v>AMMORTAMENTI IMMOBILIZZAZIONI IMMATERIALI</v>
      </c>
      <c r="C252" s="48">
        <f ca="1">IFERROR(IF($A$1=2,INDEX($DH$3:$DN$401,MATCH(ROWS(C$3:C252),$DN$3:$DN$401,0),COLUMN()),IF($A$1=1,INDEX($DQ$3:$DW$401,MATCH(ROWS(C$3:C252),$DW$3:$DW$401,0),COLUMN()),"")),"")</f>
        <v>0</v>
      </c>
      <c r="D252" s="48">
        <f ca="1">IFERROR(IF($A$1=2,INDEX($DH$3:$DN$401,MATCH(ROWS(D$3:D252),$DN$3:$DN$401,0),COLUMN()),IF($A$1=1,INDEX($DQ$3:$DW$401,MATCH(ROWS(D$3:D252),$DW$3:$DW$401,0),COLUMN()),"")),"")</f>
        <v>0</v>
      </c>
      <c r="E252" s="48">
        <f ca="1">IFERROR(IF($A$1=2,INDEX($DH$3:$DN$401,MATCH(ROWS(E$3:E252),$DN$3:$DN$401,0),COLUMN()),IF($A$1=1,INDEX($DQ$3:$DW$401,MATCH(ROWS(E$3:E252),$DW$3:$DW$401,0),COLUMN()),"")),"")</f>
        <v>0</v>
      </c>
      <c r="F252" s="48">
        <f ca="1">IFERROR(IF($A$1=2,INDEX($DH$3:$DN$401,MATCH(ROWS(F$3:F252),$DN$3:$DN$401,0),COLUMN()),IF($A$1=1,INDEX($DQ$3:$DX$401,MATCH(ROWS(F$3:F252),$DW$3:$DW$401,0),COLUMN()),"")),"")</f>
        <v>0</v>
      </c>
      <c r="G252" s="48" t="str">
        <f t="shared" ca="1" si="433"/>
        <v>0</v>
      </c>
      <c r="H252" s="48">
        <f ca="1">IFERROR(IF($A$1=2,INDEX($DH$3:$DO$400,MATCH(ROWS(H$3:H252),$DN$3:$DN$400,0),COLUMN()),IF($A$1=1,INDEX($DQ$3:$DX$400,MATCH(ROWS(H$3:H252),$DW$3:$DW$400,0),COLUMN()),"")),"")</f>
        <v>0</v>
      </c>
      <c r="M252" s="48">
        <f ca="1">IFERROR(IF(IF(MID($A252,3,3)=".00",MID(A252,1,2),"")&lt;&gt;"",MAX($M$2:M251)+1,0),"")</f>
        <v>26</v>
      </c>
      <c r="N252" s="48" t="str">
        <f t="shared" ca="1" si="438"/>
        <v>34</v>
      </c>
      <c r="O252" s="48" t="str">
        <f ca="1">IF(IFERROR(INDEX($N$3:$O$300,MATCH(ROWS($O$3:O252),$M$3:$M$300,0),1),"")&lt;&gt;"",CONCATENATE(INDEX($N$3:$O$300,MATCH(ROWS($O$3:O252),$M$3:$M$300,0),1),".00"),"")</f>
        <v/>
      </c>
      <c r="P252" s="48" t="str">
        <f t="shared" ca="1" si="439"/>
        <v/>
      </c>
      <c r="Q252" s="48">
        <f ca="1">IF(M252&gt;=1,0,MAX($Q$2:Q251)+1)</f>
        <v>0</v>
      </c>
      <c r="U252" s="48" t="str">
        <f ca="1">IFERROR(INDEX(PDC,MATCH(ROWS(U$3:U252),$V$3:$V$400,0),2),"")</f>
        <v>ACCANTONAMENTO PER GARANZIA PRODOTTI</v>
      </c>
      <c r="V252" s="48">
        <f ca="1">IF(AND($T$1="VISUALIZZA TUTTI I CONTI",AA252&lt;&gt;""),MAX($V$2:V251)+1,IF(AND($U$2=2,AI252=$T$1),MAX($V$2:V251)+1,IF(AND($U$2=1,$T$1=AF252),MAX($V$2:V251)+1,0)))</f>
        <v>250</v>
      </c>
      <c r="AA252" s="48" t="str">
        <f t="shared" ca="1" si="440"/>
        <v>38.00</v>
      </c>
      <c r="AB252" s="48" t="str">
        <f ca="1">IFERROR(INDEX($A$3:$G$400,MATCH(ROWS(AB$3:AB252),$Q$3:$Q$400,0),1),"")</f>
        <v>38.11</v>
      </c>
      <c r="AC252" s="48" t="str">
        <f ca="1">IFERROR(INDEX($A$3:$G$400,MATCH(ROWS($AC$3:AC252),$Q$3:$Q$400,0),2),"")</f>
        <v>ACCANTONAMENTO PER GARANZIA PRODOTTI</v>
      </c>
      <c r="AD252" s="48" t="str">
        <f ca="1">IFERROR(INDEX($A$3:$G$400,MATCH(ROWS(AD$3:AD252),$Q$3:$Q$400,0),3),"")</f>
        <v>E</v>
      </c>
      <c r="AE252" s="48" t="str">
        <f ca="1">IFERROR(INDEX($A$3:$G$400,MATCH(ROWS(AE$3:AE252),$Q$3:$Q$400,0),4),"")</f>
        <v>D</v>
      </c>
      <c r="AF252" s="48" t="str">
        <f ca="1">IFERROR(INDEX($A$3:$G$400,MATCH(ROWS(AF$3:AF252),$Q$3:$Q$400,0),5),"")</f>
        <v>COSTI D'ESERCIZIO</v>
      </c>
      <c r="AG252" s="48" t="str">
        <f ca="1">IFERROR(INDEX($A$3:$G$400,MATCH(ROWS(AG$3:AG252),$Q$3:$Q$400,0),6),"")</f>
        <v>SE DARE</v>
      </c>
      <c r="AH252" s="48" t="str">
        <f ca="1">IFERROR(INDEX($A$3:$G$400,MATCH(ROWS(AH$3:AH252),$Q$3:$Q$400,0),7),"")</f>
        <v>SE</v>
      </c>
      <c r="AI252" s="48" t="str">
        <f t="shared" ca="1" si="441"/>
        <v>ACCANTONAMENTI</v>
      </c>
      <c r="AJ252" s="48" t="str">
        <f ca="1">IFERROR(INDEX($A$3:$H$400,MATCH(ROWS(AJ$3:AJ252),$Q$3:$Q$400,0),8),"")</f>
        <v>eb13</v>
      </c>
      <c r="AK252" s="48">
        <f t="shared" ca="1" si="417"/>
        <v>0</v>
      </c>
      <c r="AL252" s="48">
        <f t="shared" ca="1" si="515"/>
        <v>0</v>
      </c>
      <c r="AM252" s="48">
        <f t="shared" ca="1" si="516"/>
        <v>0</v>
      </c>
      <c r="AN252" s="48">
        <f t="shared" ca="1" si="517"/>
        <v>0</v>
      </c>
      <c r="AO252" s="48">
        <f t="shared" ca="1" si="518"/>
        <v>0</v>
      </c>
      <c r="AP252" s="48">
        <f t="shared" ca="1" si="518"/>
        <v>0</v>
      </c>
      <c r="AZ252" s="48" t="str">
        <f t="shared" ca="1" si="484"/>
        <v/>
      </c>
      <c r="BA252" s="48">
        <f t="shared" ca="1" si="520"/>
        <v>0</v>
      </c>
      <c r="BB252" s="48">
        <f t="shared" ca="1" si="521"/>
        <v>0</v>
      </c>
      <c r="BC252" s="48">
        <f t="shared" ca="1" si="522"/>
        <v>0</v>
      </c>
      <c r="BD252" s="48">
        <f t="shared" ca="1" si="523"/>
        <v>0</v>
      </c>
      <c r="BE252" s="48">
        <f t="shared" ca="1" si="524"/>
        <v>0</v>
      </c>
      <c r="BF252" s="48">
        <f t="shared" si="485"/>
        <v>52</v>
      </c>
      <c r="BG252" s="48">
        <f ca="1">IF(IF(AND(OR(INDEX(PDC,MATCH($AC252,DEN_PDC,0),6)="SP DARE",INDEX(PDC,MATCH($AC252,DEN_PDC,0),6)="SP DARE/AVERE"),SUMIFS(DARE,DEN_G,$AC252)&gt;=SUMIFS(AVERE,DEN_G,$AC252)),SUMIFS(DARE,DEN_G,$AC252)-SUMIFS(AVERE,DEN_G,$AC252),0)&gt;0,MAX($BG$2:BG251)+1,0)</f>
        <v>0</v>
      </c>
      <c r="BH252" s="48">
        <f ca="1">IF(IF(AND(OR(INDEX(PDC,MATCH($AC252,DEN_PDC,0),6)="SP AVERE",INDEX(PDC,MATCH($AC252,DEN_PDC,0),6)="SP DARE/AVERE"),SUMIFS(AVERE,DEN_G,$AC252)&gt;=SUMIFS(DARE,DEN_G,$AC252)),SUMIFS(AVERE,DEN_G,$AC252)-SUMIFS(DARE,DEN_G,$AC252),0)&gt;0,MAX(BH$2:BH251)+1,0)</f>
        <v>0</v>
      </c>
      <c r="BI252" s="48">
        <f ca="1">IF(IF(AND(OR(INDEX(PDC,MATCH($AC252,DEN_PDC,0),6)="SE DARE",INDEX(PDC,MATCH($AC252,DEN_PDC,0),6)="SE DARE/AVERE"),SUMIFS(DARE,DEN_G,$AC252)&gt;=SUMIFS(AVERE,DEN_G,$AC252)),SUMIFS(DARE,DEN_G,$AC252)-SUMIFS(AVERE,DEN_G,$AC252),0)&gt;0,MAX(BI$2:BI251)+1,0)</f>
        <v>0</v>
      </c>
      <c r="BJ252" s="48">
        <f ca="1">IF(IF(AND(OR(INDEX(PDC,MATCH($AC252,DEN_PDC,0),6)="SE AVERE",INDEX(PDC,MATCH($AC252,DEN_PDC,0),6)="SE DARE/AVERE"),SUMIFS(AVERE,DEN_G,$AC252)&gt;=SUMIFS(DARE,DEN_G,$AC252)),SUMIFS(AVERE,DEN_G,$AC252)-SUMIFS(DARE,DEN_G,$AC252),0)&gt;0,MAX(BJ$2:BJ251)+1,0)</f>
        <v>0</v>
      </c>
      <c r="BK252" s="48" t="str">
        <f ca="1">IF(AND(AND($DY$2=0,$DY$1=0),$I$1=2,ROW()&gt;$BG$1+2,ROW()&lt;=$BG$1+4),"………………..",IF(AND(OR($DY$2&gt;0,$DY$1&gt;0),$I$1=2,ROW()&gt;$BG$1+2,ROW()&lt;=$BG$1+4),"………………..",IFERROR(INDEX($AC$3:$AC$398,MATCH(ROWS(BK$3:BK252),BG$3:BG$398,0),1),"")))</f>
        <v/>
      </c>
      <c r="BL252" s="48">
        <f t="shared" ca="1" si="421"/>
        <v>0</v>
      </c>
      <c r="BM252" s="48" t="str">
        <f ca="1">IF(AND(OR($DY$2=0,$DY$1=0),$I$1=2,ROW()&gt;$BH$1+2,ROW()&lt;=$BH$1+4),"………………..",IF(AND(OR($DY$2&gt;0,$DY$1&gt;0),$I$1=2,ROW()&gt;$BH$1+2,ROW()&lt;=$BH$1+4),"………………..",IFERROR(INDEX($AC$3:$AC$400,MATCH(ROWS(BM$3:BM252),BH$3:BH$400,0),1),"")))</f>
        <v/>
      </c>
      <c r="BN252" s="48">
        <f t="shared" ca="1" si="422"/>
        <v>0</v>
      </c>
      <c r="BO252" s="48" t="str">
        <f ca="1">IF(AND(OR($DY$2=0,$DY$1=0),$I$1=2,ROW()&gt;$BI$1+2,ROW()&lt;=$BI$1+4),"………………..",IF(AND(OR($DY$2&gt;0,$DY$1&gt;0),$I$1=2,ROW()&gt;$BI$1+2,ROW()&lt;=$BI$1+4),"………………..",IFERROR(INDEX($AC$3:$AC$400,MATCH(ROWS(BO$3:BO252),BI$3:BI$400,0),1),"")))</f>
        <v/>
      </c>
      <c r="BP252" s="48">
        <f t="shared" ca="1" si="423"/>
        <v>0</v>
      </c>
      <c r="BQ252" s="48" t="str">
        <f ca="1">IF(AND(OR($DY$2=0,$DY$1=0),$I$1=2,ROW()&gt;$BJ$1+2,ROW()&lt;=$BJ$1+4),"………………..",IF(AND(OR($DY$2&gt;0,$DY$1&gt;0),$I$1=2,ROW()&gt;$BJ$1+2,ROW()&lt;=$BJ$1+4),"………………..",IFERROR(INDEX($AC$3:$AC$400,MATCH(ROWS(BQ$3:BQ252),BJ$3:BJ$400,0),1),"")))</f>
        <v/>
      </c>
      <c r="BR252" s="48">
        <f t="shared" ca="1" si="424"/>
        <v>0</v>
      </c>
      <c r="BS252" s="48">
        <f ca="1">IF(IF(AND(OR(INDEX(PDC,MATCH($AC252,DEN_PDC,0),4)="D",INDEX(PDC,MATCH($AC252,DEN_PDC,0),4)="D/A"),SUMIFS(DARE,DEN_G,$AC252)&gt;=SUMIFS(AVERE,DEN_G,$AC252)),SUMIFS(DARE,DEN_G,$AC252),IF(AND(OR(INDEX(PDC,MATCH($AC252,DEN_PDC,0),4)="A",INDEX(PDC,MATCH($AC252,DEN_PDC,0),4)="D/A"),SUMIFS(AVERE,DEN_G,$AC252)&gt;=SUMIFS(DARE,DEN_G,$AC252)),SUMIFS(AVERE,DEN_G,$AC252),))&gt;0,MAX($BS$2:BS251)+1,0)</f>
        <v>0</v>
      </c>
      <c r="BT252" s="48" t="str">
        <f ca="1">IF($CO$1=0,"",IF(AND($I$1=2,ROW()&gt;$BR$1,ROW()&lt;=$BS$1)," …………….",IF(AND($E$1=1,$BX$1=1,$I$1=2,ROW()=$BQ$1),"TOTALI",IFERROR(INDEX(PDC,MATCH(ROWS(BT$3:BT252),BS$3:BS649,0),2),""))))</f>
        <v/>
      </c>
      <c r="BU252" s="48">
        <f t="shared" ca="1" si="425"/>
        <v>0</v>
      </c>
      <c r="BV252" s="48">
        <f t="shared" ca="1" si="426"/>
        <v>0</v>
      </c>
      <c r="BW252" s="48">
        <f t="shared" ca="1" si="427"/>
        <v>0</v>
      </c>
      <c r="BX252" s="48">
        <f t="shared" ca="1" si="428"/>
        <v>0</v>
      </c>
      <c r="BY252" s="48">
        <f ca="1">IF(OR(BW252&gt;0,BX252&gt;0),MAX($BY$2:BY251)+1,0)</f>
        <v>0</v>
      </c>
      <c r="BZ252" s="48" t="str">
        <f ca="1">IFERROR(INDEX($BT$3:$BY$400,MATCH(ROWS(BZ$3:BZ252),$BY$3:$BY$400,0),1),"")</f>
        <v/>
      </c>
      <c r="CA252" s="48" t="str">
        <f ca="1">IFERROR(INDEX($BT$3:$BY$400,MATCH(ROWS(CA$3:CA252),$BY$3:$BY$400,0),4),"")</f>
        <v/>
      </c>
      <c r="CB252" s="48" t="str">
        <f ca="1">IFERROR(INDEX($BT$3:$BY$400,MATCH(ROWS(CB$3:CB252),$BY$3:$BY$400,0),5),"")</f>
        <v/>
      </c>
      <c r="CC252" s="48" t="str">
        <f t="shared" ca="1" si="429"/>
        <v/>
      </c>
      <c r="CG252" s="232"/>
      <c r="CH252" s="232"/>
      <c r="CL252" s="48">
        <f ca="1">IF($AP$1=CF252,MAX($CL$250:CL251)+1,0)</f>
        <v>0</v>
      </c>
      <c r="CM252" s="242" t="str">
        <f t="shared" ca="1" si="444"/>
        <v/>
      </c>
      <c r="CN252" s="243">
        <f t="shared" ca="1" si="445"/>
        <v>0</v>
      </c>
      <c r="CO252" s="48" t="str">
        <f t="shared" ca="1" si="446"/>
        <v/>
      </c>
      <c r="CU252" s="48">
        <f ca="1">IF(SUMIFS(AVERE,DEN_G,AC252,AVERE,"&gt;"&amp;0)+SUMIFS(DARE,DEN_G,AC252,DARE,"&gt;"&amp;0)&gt;0,MAX($CU$2:CU251)+1,0)</f>
        <v>0</v>
      </c>
      <c r="CV252" s="48" t="str">
        <f ca="1">IF(IFERROR(INDEX(PDC,MATCH(ROWS($CV$3:CV252),$CU$3:$CU$400,0),2),"")="CONTO DI RISULTATO ECONOMICO","",IFERROR(INDEX(PDC,MATCH(ROWS($CV$3:CV252),$CU$3:$CU$400,0),2),""))</f>
        <v/>
      </c>
      <c r="CW252" s="48">
        <f ca="1">IFERROR(IF(CV252&lt;&gt;"",MAX($CW$2:CW251)+1,0),0)</f>
        <v>0</v>
      </c>
      <c r="CX252" s="48">
        <f t="shared" ca="1" si="538"/>
        <v>20</v>
      </c>
      <c r="CY252" s="48" t="str">
        <f t="shared" ca="1" si="537"/>
        <v>MASTRO</v>
      </c>
      <c r="CZ252" s="48" t="e">
        <f t="shared" ref="CZ252:CZ261" ca="1" si="540">SUM(MATCH($CY252,INDIRECT(ADDRESS(SUM(CZ251)+3,54)&amp;":"&amp;ADDRESS(400,54)),0),CZ251)</f>
        <v>#N/A</v>
      </c>
      <c r="DA252" s="48" t="str">
        <f ca="1">IFERROR(INDEX(LIBRO_GIORNALE,CZ252,1),"")</f>
        <v/>
      </c>
      <c r="DB252" s="48" t="str">
        <f t="shared" ca="1" si="499"/>
        <v/>
      </c>
      <c r="DC252" s="48" t="str">
        <f t="shared" ref="DC252:DC261" ca="1" si="541">IF(IFERROR(INDEX(LIBRO_GIORNALE,CZ252,4),"")=0,"manca la descrizione dell'operazione",IFERROR(INDEX(LIBRO_GIORNALE,CZ252,4),""))</f>
        <v/>
      </c>
      <c r="DD252" s="48" t="str">
        <f t="shared" ref="DD252:DD261" ca="1" si="542">IFERROR(IF(INDEX(LIBRO_GIORNALE,CZ252,5)&gt;0,INDEX(LIBRO_GIORNALE,CZ252,5),""),"")</f>
        <v/>
      </c>
      <c r="DE252" s="48" t="str">
        <f t="shared" ref="DE252:DE261" ca="1" si="543">IFERROR(IF(INDEX(LIBRO_GIORNALE,CZ252,6)&gt;0,INDEX(LIBRO_GIORNALE,CZ252,6),""),"")</f>
        <v/>
      </c>
      <c r="DF252" s="48">
        <f ca="1">IF(AND(CX252=$DF$1,CX252&lt;&gt;""),0,IF(AND(DB252&lt;&gt;"",OR(DB251&lt;&gt;"",DB253&lt;&gt;"")),MAX($DF$2:DF251)+1,0))</f>
        <v>0</v>
      </c>
      <c r="DH252" s="244" t="s">
        <v>426</v>
      </c>
      <c r="DI252" s="48" t="s">
        <v>427</v>
      </c>
      <c r="DJ252" s="48" t="s">
        <v>311</v>
      </c>
      <c r="DK252" s="48" t="s">
        <v>298</v>
      </c>
      <c r="DL252" s="48" t="s">
        <v>320</v>
      </c>
      <c r="DM252" s="48" t="s">
        <v>300</v>
      </c>
      <c r="DN252" s="48">
        <f ca="1">IF(DI252&lt;&gt;"",MAX($DN$2:DN251)+1,0)</f>
        <v>194</v>
      </c>
      <c r="DO252" s="48" t="s">
        <v>707</v>
      </c>
      <c r="DQ252" s="227" t="s">
        <v>702</v>
      </c>
      <c r="DR252" s="48" t="s">
        <v>291</v>
      </c>
      <c r="DS252" s="48" t="s">
        <v>311</v>
      </c>
      <c r="DT252" s="48" t="s">
        <v>298</v>
      </c>
      <c r="DU252" s="48" t="s">
        <v>8</v>
      </c>
      <c r="DV252" s="48" t="s">
        <v>300</v>
      </c>
      <c r="DW252" s="48">
        <f ca="1">IF(DR252&lt;&gt;"",MAX($DW$2:DW251)+1,0)</f>
        <v>151</v>
      </c>
      <c r="DX252" s="48" t="s">
        <v>708</v>
      </c>
      <c r="DY252" s="48" t="str">
        <f t="shared" ca="1" si="430"/>
        <v/>
      </c>
      <c r="EL252" s="48">
        <f t="shared" ca="1" si="431"/>
        <v>0</v>
      </c>
      <c r="EM252" s="48">
        <f ca="1">IF(EL252&gt;=0,0,MAX($EM$2:EM251)+1)</f>
        <v>0</v>
      </c>
      <c r="EN252" s="48" t="str">
        <f t="shared" ca="1" si="459"/>
        <v/>
      </c>
      <c r="EO252" s="48" t="str">
        <f ca="1">IFERROR(INDEX($EM$3:$EN$400,MATCH(ROWS($EO$3:EO252),$EM$3:$EM$400,0),2),"")</f>
        <v/>
      </c>
      <c r="EP252" s="48">
        <f>ROW()</f>
        <v>252</v>
      </c>
      <c r="EQ252" s="48">
        <f t="shared" ca="1" si="432"/>
        <v>0</v>
      </c>
      <c r="ER252" s="48">
        <f ca="1">IF(ISNA(EQ252)=TRUE,MAX($ER$2:ER251)+1,0)</f>
        <v>0</v>
      </c>
      <c r="ES252" s="48" t="str">
        <f t="shared" ca="1" si="460"/>
        <v/>
      </c>
      <c r="ET252" s="48" t="str">
        <f ca="1">IFERROR(INDEX($ER$3:$ES$400,MATCH(ROWS($ET$3:ET252),$ER$3:$ER$400,0),2),"")</f>
        <v/>
      </c>
      <c r="EV252" s="48">
        <f ca="1">IFERROR(INDEX(LIBRO_GIORNALE!$O$11:$P$408,MATCH(ROWS($EV$2:EV251),LIBRO_GIORNALE!$P$11:$P$408,0),1),0)</f>
        <v>0</v>
      </c>
      <c r="EW252" s="48" t="str">
        <f t="shared" ref="EW252:EW315" ca="1" si="544">UPPER(IFERROR(INDEX($AZ$103:$BB$400,MATCH(EV252,$AZ$103:$AZ$400,0),3),0))</f>
        <v>0</v>
      </c>
      <c r="EX252" s="48">
        <f t="shared" ca="1" si="462"/>
        <v>0</v>
      </c>
      <c r="EY252" s="48">
        <f ca="1">IF(EX252&gt;0,MAX($EY$2:EY251)+1,0)</f>
        <v>0</v>
      </c>
      <c r="EZ252" s="48">
        <f ca="1">IFERROR(INDEX($EX$3:$EX$400,MATCH(ROWS($EZ$3:EZ252),$EY$3:$EY$400,0),1),0)</f>
        <v>0</v>
      </c>
      <c r="FA252" s="48">
        <f ca="1">IF(EZ252&gt;0,0,MAX($FA$2:FA251)+1)</f>
        <v>250</v>
      </c>
      <c r="FB252" s="48">
        <f t="shared" ref="FB252:FB315" ca="1" si="545">IFERROR(IF(FA252&gt;0,MATCH(FA252,$EZ$3:$EZ$400,0),0),0)</f>
        <v>0</v>
      </c>
      <c r="FC252" s="48">
        <f t="shared" ref="FC252:FC315" ca="1" si="546">IF(FB252=0,FA252,0)</f>
        <v>250</v>
      </c>
      <c r="FD252" s="48">
        <f t="shared" ca="1" si="465"/>
        <v>250</v>
      </c>
      <c r="FE252" s="48">
        <f ca="1">IF(FD252=0,0,MAX($FE$2:FE251)+1)</f>
        <v>250</v>
      </c>
      <c r="FF252" s="48">
        <f ca="1">IFERROR(INDEX($FD$3:$FE$400,MATCH(ROWS($FF$3:FF252),$FE$3:$FE$400,0),1),"")</f>
        <v>250</v>
      </c>
      <c r="FG252" s="48">
        <f t="shared" ca="1" si="519"/>
        <v>0</v>
      </c>
      <c r="FH252" s="48">
        <f t="shared" ca="1" si="466"/>
        <v>0</v>
      </c>
      <c r="FI252" s="48">
        <f ca="1">IF(FH252&lt;&gt;0,MAX($FI$2:FI251)+1,0)</f>
        <v>0</v>
      </c>
      <c r="FJ252" s="48" t="str">
        <f ca="1">IFERROR(INDEX($FH$3:$FI$400,MATCH(ROWS($FJ$3:FJ252),$FI$3:$FI$400,0),1),"")</f>
        <v/>
      </c>
      <c r="FK252" s="48">
        <f ca="1">IF(ABS(SUMIFS(DARE,DEN_G,"="&amp;FJ252,DATA,"&lt;="&amp;FINE_AC,DATA,"&gt;="&amp;INIZIO_A_PC)-SUMIFS(AVERE,DEN_G,"="&amp;FJ252,DATA,"&lt;="&amp;FINE_AC,DATA,"&gt;="&amp;INIZIO_A_PC))&gt;0,MAX($FK$2:FK251)+1,0)</f>
        <v>0</v>
      </c>
      <c r="FL252" s="48" t="str">
        <f ca="1">IF(AND(ROW()-2&lt;&gt;1,ROW()-2&lt;=$FK$1),CONCATENATE(" - ",IFERROR(INDEX($FJ$3:$FK$400,MATCH(ROWS($FL$3:FL252),$FK$3:$FK$400,0),1),"")),IFERROR(INDEX($FJ$3:$FK$400,MATCH(ROWS($FL$3:FL252),$FK$3:$FK$400,0),1),""))</f>
        <v/>
      </c>
      <c r="FM252" s="48">
        <f ca="1">IF(OR(B252="IVA ns/credito",B252="IVA NS/DEBITO",B252="IVA C/ACCONTO",B252="IMPOSTE C/ACCONTO",B252="CREDITI PER RITENUTE SUBITE",B252="CREDITI D'IMPOSTA"),MAX($FM$2:FM251)+1,0)</f>
        <v>0</v>
      </c>
      <c r="FN252" s="48" t="str">
        <f t="shared" ca="1" si="467"/>
        <v/>
      </c>
      <c r="FO252" s="48" t="str">
        <f ca="1">IFERROR(INDEX($FM$3:$FN$400,MATCH(ROWS($FO$3:FO252),$FM$3:$FM$400,0),2),"")</f>
        <v/>
      </c>
      <c r="FP252" s="48">
        <f ca="1">IF(ABS(SUMIFS(DARE,DEN_G,"="&amp;FO252,DATA,"&lt;="&amp;FINE_AC,DATA,"&gt;="&amp;INIZIO_A_PC)-SUMIFS(AVERE,DEN_G,"="&amp;FO252,DATA,"&lt;="&amp;FINE_AC,DATA,"&gt;="&amp;INIZIO_A_PC))&gt;0,MAX($FP$2:FP251)+1,0)</f>
        <v>0</v>
      </c>
      <c r="FQ252" s="48" t="str">
        <f ca="1">IF(AND(ROW()-2&lt;&gt;1,ROW()-2&lt;=$FP$1),CONCATENATE(" - ",IFERROR(INDEX($FO$3:$FP$400,MATCH(ROWS($FQ$3:FQ252),$FP$3:$FP$400,0),1),"")),IFERROR(INDEX($FO$3:$FP$400,MATCH(ROWS($FQ$3:FQ252),$FP$3:$FP$400,0),1),""))</f>
        <v/>
      </c>
    </row>
    <row r="253" spans="1:173" x14ac:dyDescent="0.3">
      <c r="A253" s="48" t="str">
        <f ca="1">IFERROR(IF($A$1=2,INDEX($DH$3:$DN$401,MATCH(ROWS(A$3:A253),$DN$3:$DN$401,0),COLUMN()),IF($A$1=1,INDEX($DQ$3:$DW$401,MATCH(ROWS(A$3:A253),$DW$3:$DW$401,0),COLUMN()),"")),"")</f>
        <v>34.01</v>
      </c>
      <c r="B253" s="48" t="str">
        <f ca="1">IFERROR(IF($A$1=2,INDEX($DH$3:$DN$401,MATCH(ROWS(B$3:B253),$DN$3:$DN$401,0),COLUMN()),IF($A$1=1,INDEX($DQ$3:$DW$400,MATCH(ROWS(B$3:B253),$DW$3:$DW$401,0),COLUMN()),"")),"")</f>
        <v>AMMORTAMENTO COSTI DI IMPIANTO</v>
      </c>
      <c r="C253" s="48" t="str">
        <f ca="1">IFERROR(IF($A$1=2,INDEX($DH$3:$DN$401,MATCH(ROWS(C$3:C253),$DN$3:$DN$401,0),COLUMN()),IF($A$1=1,INDEX($DQ$3:$DW$401,MATCH(ROWS(C$3:C253),$DW$3:$DW$401,0),COLUMN()),"")),"")</f>
        <v>E</v>
      </c>
      <c r="D253" s="48" t="str">
        <f ca="1">IFERROR(IF($A$1=2,INDEX($DH$3:$DN$401,MATCH(ROWS(D$3:D253),$DN$3:$DN$401,0),COLUMN()),IF($A$1=1,INDEX($DQ$3:$DW$401,MATCH(ROWS(D$3:D253),$DW$3:$DW$401,0),COLUMN()),"")),"")</f>
        <v>D</v>
      </c>
      <c r="E253" s="48" t="str">
        <f ca="1">IFERROR(IF($A$1=2,INDEX($DH$3:$DN$401,MATCH(ROWS(E$3:E253),$DN$3:$DN$401,0),COLUMN()),IF($A$1=1,INDEX($DQ$3:$DW$401,MATCH(ROWS(E$3:E253),$DW$3:$DW$401,0),COLUMN()),"")),"")</f>
        <v>COSTI D'ESERCIZIO</v>
      </c>
      <c r="F253" s="48" t="str">
        <f ca="1">IFERROR(IF($A$1=2,INDEX($DH$3:$DN$401,MATCH(ROWS(F$3:F253),$DN$3:$DN$401,0),COLUMN()),IF($A$1=1,INDEX($DQ$3:$DX$401,MATCH(ROWS(F$3:F253),$DW$3:$DW$401,0),COLUMN()),"")),"")</f>
        <v>SE DARE</v>
      </c>
      <c r="G253" s="48" t="str">
        <f t="shared" ca="1" si="433"/>
        <v>SE</v>
      </c>
      <c r="H253" s="48" t="str">
        <f ca="1">IFERROR(IF($A$1=2,INDEX($DH$3:$DO$400,MATCH(ROWS(H$3:H253),$DN$3:$DN$400,0),COLUMN()),IF($A$1=1,INDEX($DQ$3:$DX$400,MATCH(ROWS(H$3:H253),$DW$3:$DW$400,0),COLUMN()),"")),"")</f>
        <v>eb10a</v>
      </c>
      <c r="M253" s="48">
        <f ca="1">IFERROR(IF(IF(MID($A253,3,3)=".00",MID(A253,1,2),"")&lt;&gt;"",MAX($M$2:M252)+1,0),"")</f>
        <v>0</v>
      </c>
      <c r="N253" s="48" t="str">
        <f t="shared" ca="1" si="438"/>
        <v/>
      </c>
      <c r="O253" s="48" t="str">
        <f ca="1">IF(IFERROR(INDEX($N$3:$O$300,MATCH(ROWS($O$3:O253),$M$3:$M$300,0),1),"")&lt;&gt;"",CONCATENATE(INDEX($N$3:$O$300,MATCH(ROWS($O$3:O253),$M$3:$M$300,0),1),".00"),"")</f>
        <v/>
      </c>
      <c r="P253" s="48" t="str">
        <f t="shared" ca="1" si="439"/>
        <v/>
      </c>
      <c r="Q253" s="48">
        <f ca="1">IF(M253&gt;=1,0,MAX($Q$2:Q252)+1)</f>
        <v>225</v>
      </c>
      <c r="U253" s="48" t="str">
        <f ca="1">IFERROR(INDEX(PDC,MATCH(ROWS(U$3:U253),$V$3:$V$400,0),2),"")</f>
        <v>ARROTONDAMENTI PASSIVI</v>
      </c>
      <c r="V253" s="48">
        <f ca="1">IF(AND($T$1="VISUALIZZA TUTTI I CONTI",AA253&lt;&gt;""),MAX($V$2:V252)+1,IF(AND($U$2=2,AI253=$T$1),MAX($V$2:V252)+1,IF(AND($U$2=1,$T$1=AF253),MAX($V$2:V252)+1,0)))</f>
        <v>251</v>
      </c>
      <c r="AA253" s="48" t="str">
        <f t="shared" ca="1" si="440"/>
        <v>39.00</v>
      </c>
      <c r="AB253" s="48" t="str">
        <f ca="1">IFERROR(INDEX($A$3:$G$400,MATCH(ROWS(AB$3:AB253),$Q$3:$Q$400,0),1),"")</f>
        <v>39.01</v>
      </c>
      <c r="AC253" s="48" t="str">
        <f ca="1">IFERROR(INDEX($A$3:$G$400,MATCH(ROWS($AC$3:AC253),$Q$3:$Q$400,0),2),"")</f>
        <v>ARROTONDAMENTI PASSIVI</v>
      </c>
      <c r="AD253" s="48" t="str">
        <f ca="1">IFERROR(INDEX($A$3:$G$400,MATCH(ROWS(AD$3:AD253),$Q$3:$Q$400,0),3),"")</f>
        <v>E</v>
      </c>
      <c r="AE253" s="48" t="str">
        <f ca="1">IFERROR(INDEX($A$3:$G$400,MATCH(ROWS(AE$3:AE253),$Q$3:$Q$400,0),4),"")</f>
        <v>D</v>
      </c>
      <c r="AF253" s="48" t="str">
        <f ca="1">IFERROR(INDEX($A$3:$G$400,MATCH(ROWS(AF$3:AF253),$Q$3:$Q$400,0),5),"")</f>
        <v>COSTI D'ESERCIZIO</v>
      </c>
      <c r="AG253" s="48" t="str">
        <f ca="1">IFERROR(INDEX($A$3:$G$400,MATCH(ROWS(AG$3:AG253),$Q$3:$Q$400,0),6),"")</f>
        <v>SE DARE</v>
      </c>
      <c r="AH253" s="48" t="str">
        <f ca="1">IFERROR(INDEX($A$3:$G$400,MATCH(ROWS(AH$3:AH253),$Q$3:$Q$400,0),7),"")</f>
        <v>SE</v>
      </c>
      <c r="AI253" s="48" t="str">
        <f t="shared" ca="1" si="441"/>
        <v>ONERI DIVERSI</v>
      </c>
      <c r="AJ253" s="48" t="str">
        <f ca="1">IFERROR(INDEX($A$3:$H$400,MATCH(ROWS(AJ$3:AJ253),$Q$3:$Q$400,0),8),"")</f>
        <v>eb14</v>
      </c>
      <c r="AK253" s="48">
        <f t="shared" ca="1" si="417"/>
        <v>0</v>
      </c>
      <c r="AL253" s="48">
        <f t="shared" ca="1" si="515"/>
        <v>0</v>
      </c>
      <c r="AM253" s="48">
        <f t="shared" ca="1" si="516"/>
        <v>0</v>
      </c>
      <c r="AN253" s="48">
        <f t="shared" ca="1" si="517"/>
        <v>0</v>
      </c>
      <c r="AO253" s="48">
        <f t="shared" ca="1" si="518"/>
        <v>0</v>
      </c>
      <c r="AP253" s="48">
        <f t="shared" ca="1" si="518"/>
        <v>0</v>
      </c>
      <c r="AZ253" s="48" t="str">
        <f t="shared" ca="1" si="484"/>
        <v/>
      </c>
      <c r="BA253" s="48">
        <f t="shared" ca="1" si="520"/>
        <v>0</v>
      </c>
      <c r="BB253" s="48">
        <f t="shared" ca="1" si="521"/>
        <v>0</v>
      </c>
      <c r="BC253" s="48">
        <f t="shared" ca="1" si="522"/>
        <v>0</v>
      </c>
      <c r="BD253" s="48">
        <f t="shared" ca="1" si="523"/>
        <v>0</v>
      </c>
      <c r="BE253" s="48">
        <f t="shared" ca="1" si="524"/>
        <v>0</v>
      </c>
      <c r="BF253" s="48">
        <f t="shared" si="485"/>
        <v>53</v>
      </c>
      <c r="BG253" s="48">
        <f ca="1">IF(IF(AND(OR(INDEX(PDC,MATCH($AC253,DEN_PDC,0),6)="SP DARE",INDEX(PDC,MATCH($AC253,DEN_PDC,0),6)="SP DARE/AVERE"),SUMIFS(DARE,DEN_G,$AC253)&gt;=SUMIFS(AVERE,DEN_G,$AC253)),SUMIFS(DARE,DEN_G,$AC253)-SUMIFS(AVERE,DEN_G,$AC253),0)&gt;0,MAX($BG$2:BG252)+1,0)</f>
        <v>0</v>
      </c>
      <c r="BH253" s="48">
        <f ca="1">IF(IF(AND(OR(INDEX(PDC,MATCH($AC253,DEN_PDC,0),6)="SP AVERE",INDEX(PDC,MATCH($AC253,DEN_PDC,0),6)="SP DARE/AVERE"),SUMIFS(AVERE,DEN_G,$AC253)&gt;=SUMIFS(DARE,DEN_G,$AC253)),SUMIFS(AVERE,DEN_G,$AC253)-SUMIFS(DARE,DEN_G,$AC253),0)&gt;0,MAX(BH$2:BH252)+1,0)</f>
        <v>0</v>
      </c>
      <c r="BI253" s="48">
        <f ca="1">IF(IF(AND(OR(INDEX(PDC,MATCH($AC253,DEN_PDC,0),6)="SE DARE",INDEX(PDC,MATCH($AC253,DEN_PDC,0),6)="SE DARE/AVERE"),SUMIFS(DARE,DEN_G,$AC253)&gt;=SUMIFS(AVERE,DEN_G,$AC253)),SUMIFS(DARE,DEN_G,$AC253)-SUMIFS(AVERE,DEN_G,$AC253),0)&gt;0,MAX(BI$2:BI252)+1,0)</f>
        <v>0</v>
      </c>
      <c r="BJ253" s="48">
        <f ca="1">IF(IF(AND(OR(INDEX(PDC,MATCH($AC253,DEN_PDC,0),6)="SE AVERE",INDEX(PDC,MATCH($AC253,DEN_PDC,0),6)="SE DARE/AVERE"),SUMIFS(AVERE,DEN_G,$AC253)&gt;=SUMIFS(DARE,DEN_G,$AC253)),SUMIFS(AVERE,DEN_G,$AC253)-SUMIFS(DARE,DEN_G,$AC253),0)&gt;0,MAX(BJ$2:BJ252)+1,0)</f>
        <v>0</v>
      </c>
      <c r="BK253" s="48" t="str">
        <f ca="1">IF(AND(AND($DY$2=0,$DY$1=0),$I$1=2,ROW()&gt;$BG$1+2,ROW()&lt;=$BG$1+4),"………………..",IF(AND(OR($DY$2&gt;0,$DY$1&gt;0),$I$1=2,ROW()&gt;$BG$1+2,ROW()&lt;=$BG$1+4),"………………..",IFERROR(INDEX($AC$3:$AC$398,MATCH(ROWS(BK$3:BK253),BG$3:BG$398,0),1),"")))</f>
        <v/>
      </c>
      <c r="BL253" s="48">
        <f t="shared" ca="1" si="421"/>
        <v>0</v>
      </c>
      <c r="BM253" s="48" t="str">
        <f ca="1">IF(AND(OR($DY$2=0,$DY$1=0),$I$1=2,ROW()&gt;$BH$1+2,ROW()&lt;=$BH$1+4),"………………..",IF(AND(OR($DY$2&gt;0,$DY$1&gt;0),$I$1=2,ROW()&gt;$BH$1+2,ROW()&lt;=$BH$1+4),"………………..",IFERROR(INDEX($AC$3:$AC$400,MATCH(ROWS(BM$3:BM253),BH$3:BH$400,0),1),"")))</f>
        <v/>
      </c>
      <c r="BN253" s="48">
        <f t="shared" ca="1" si="422"/>
        <v>0</v>
      </c>
      <c r="BO253" s="48" t="str">
        <f ca="1">IF(AND(OR($DY$2=0,$DY$1=0),$I$1=2,ROW()&gt;$BI$1+2,ROW()&lt;=$BI$1+4),"………………..",IF(AND(OR($DY$2&gt;0,$DY$1&gt;0),$I$1=2,ROW()&gt;$BI$1+2,ROW()&lt;=$BI$1+4),"………………..",IFERROR(INDEX($AC$3:$AC$400,MATCH(ROWS(BO$3:BO253),BI$3:BI$400,0),1),"")))</f>
        <v/>
      </c>
      <c r="BP253" s="48">
        <f t="shared" ca="1" si="423"/>
        <v>0</v>
      </c>
      <c r="BQ253" s="48" t="str">
        <f ca="1">IF(AND(OR($DY$2=0,$DY$1=0),$I$1=2,ROW()&gt;$BJ$1+2,ROW()&lt;=$BJ$1+4),"………………..",IF(AND(OR($DY$2&gt;0,$DY$1&gt;0),$I$1=2,ROW()&gt;$BJ$1+2,ROW()&lt;=$BJ$1+4),"………………..",IFERROR(INDEX($AC$3:$AC$400,MATCH(ROWS(BQ$3:BQ253),BJ$3:BJ$400,0),1),"")))</f>
        <v/>
      </c>
      <c r="BR253" s="48">
        <f t="shared" ca="1" si="424"/>
        <v>0</v>
      </c>
      <c r="BS253" s="48">
        <f ca="1">IF(IF(AND(OR(INDEX(PDC,MATCH($AC253,DEN_PDC,0),4)="D",INDEX(PDC,MATCH($AC253,DEN_PDC,0),4)="D/A"),SUMIFS(DARE,DEN_G,$AC253)&gt;=SUMIFS(AVERE,DEN_G,$AC253)),SUMIFS(DARE,DEN_G,$AC253),IF(AND(OR(INDEX(PDC,MATCH($AC253,DEN_PDC,0),4)="A",INDEX(PDC,MATCH($AC253,DEN_PDC,0),4)="D/A"),SUMIFS(AVERE,DEN_G,$AC253)&gt;=SUMIFS(DARE,DEN_G,$AC253)),SUMIFS(AVERE,DEN_G,$AC253),))&gt;0,MAX($BS$2:BS252)+1,0)</f>
        <v>0</v>
      </c>
      <c r="BT253" s="48" t="str">
        <f ca="1">IF($CO$1=0,"",IF(AND($I$1=2,ROW()&gt;$BR$1,ROW()&lt;=$BS$1)," …………….",IF(AND($E$1=1,$BX$1=1,$I$1=2,ROW()=$BQ$1),"TOTALI",IFERROR(INDEX(PDC,MATCH(ROWS(BT$3:BT253),BS$3:BS650,0),2),""))))</f>
        <v/>
      </c>
      <c r="BU253" s="48">
        <f t="shared" ca="1" si="425"/>
        <v>0</v>
      </c>
      <c r="BV253" s="48">
        <f t="shared" ca="1" si="426"/>
        <v>0</v>
      </c>
      <c r="BW253" s="48">
        <f t="shared" ca="1" si="427"/>
        <v>0</v>
      </c>
      <c r="BX253" s="48">
        <f t="shared" ca="1" si="428"/>
        <v>0</v>
      </c>
      <c r="BY253" s="48">
        <f ca="1">IF(OR(BW253&gt;0,BX253&gt;0),MAX($BY$2:BY252)+1,0)</f>
        <v>0</v>
      </c>
      <c r="BZ253" s="48" t="str">
        <f ca="1">IFERROR(INDEX($BT$3:$BY$400,MATCH(ROWS(BZ$3:BZ253),$BY$3:$BY$400,0),1),"")</f>
        <v/>
      </c>
      <c r="CA253" s="48" t="str">
        <f ca="1">IFERROR(INDEX($BT$3:$BY$400,MATCH(ROWS(CA$3:CA253),$BY$3:$BY$400,0),4),"")</f>
        <v/>
      </c>
      <c r="CB253" s="48" t="str">
        <f ca="1">IFERROR(INDEX($BT$3:$BY$400,MATCH(ROWS(CB$3:CB253),$BY$3:$BY$400,0),5),"")</f>
        <v/>
      </c>
      <c r="CC253" s="48" t="str">
        <f t="shared" ca="1" si="429"/>
        <v/>
      </c>
      <c r="CG253" s="232"/>
      <c r="CH253" s="232"/>
      <c r="CL253" s="48">
        <f ca="1">IF($AP$1=CF253,MAX($CL$250:CL252)+1,0)</f>
        <v>0</v>
      </c>
      <c r="CM253" s="242" t="str">
        <f t="shared" ca="1" si="444"/>
        <v/>
      </c>
      <c r="CN253" s="243">
        <f t="shared" ca="1" si="445"/>
        <v>0</v>
      </c>
      <c r="CO253" s="48" t="str">
        <f t="shared" ca="1" si="446"/>
        <v/>
      </c>
      <c r="CU253" s="48">
        <f ca="1">IF(SUMIFS(AVERE,DEN_G,AC253,AVERE,"&gt;"&amp;0)+SUMIFS(DARE,DEN_G,AC253,DARE,"&gt;"&amp;0)&gt;0,MAX($CU$2:CU252)+1,0)</f>
        <v>0</v>
      </c>
      <c r="CV253" s="48" t="str">
        <f ca="1">IF(IFERROR(INDEX(PDC,MATCH(ROWS($CV$3:CV253),$CU$3:$CU$400,0),2),"")="CONTO DI RISULTATO ECONOMICO","",IFERROR(INDEX(PDC,MATCH(ROWS($CV$3:CV253),$CU$3:$CU$400,0),2),""))</f>
        <v/>
      </c>
      <c r="CW253" s="48">
        <f ca="1">IFERROR(IF(CV253&lt;&gt;"",MAX($CW$2:CW252)+1,0),0)</f>
        <v>0</v>
      </c>
      <c r="CX253" s="48">
        <f t="shared" ca="1" si="538"/>
        <v>20</v>
      </c>
      <c r="CY253" s="48" t="str">
        <f t="shared" ca="1" si="537"/>
        <v>MASTRO</v>
      </c>
      <c r="CZ253" s="48" t="e">
        <f t="shared" ca="1" si="540"/>
        <v>#N/A</v>
      </c>
      <c r="DA253" s="48" t="str">
        <f t="shared" ref="DA253:DA261" ca="1" si="547">IFERROR(INDEX(LIBRO_GIORNALE,CZ253,1),"")</f>
        <v/>
      </c>
      <c r="DB253" s="48" t="str">
        <f t="shared" ca="1" si="499"/>
        <v/>
      </c>
      <c r="DC253" s="48" t="str">
        <f t="shared" ca="1" si="541"/>
        <v/>
      </c>
      <c r="DD253" s="48" t="str">
        <f t="shared" ca="1" si="542"/>
        <v/>
      </c>
      <c r="DE253" s="48" t="str">
        <f t="shared" ca="1" si="543"/>
        <v/>
      </c>
      <c r="DF253" s="48">
        <f ca="1">IF(AND(CX253=$DF$1,CX253&lt;&gt;""),0,IF(AND(DB253&lt;&gt;"",OR(DB252&lt;&gt;"",DB254&lt;&gt;"")),MAX($DF$2:DF252)+1,0))</f>
        <v>0</v>
      </c>
      <c r="DH253" s="244" t="s">
        <v>428</v>
      </c>
      <c r="DI253" s="48" t="s">
        <v>179</v>
      </c>
      <c r="DJ253" s="48" t="s">
        <v>311</v>
      </c>
      <c r="DK253" s="48" t="s">
        <v>298</v>
      </c>
      <c r="DL253" s="48" t="s">
        <v>8</v>
      </c>
      <c r="DM253" s="48" t="s">
        <v>300</v>
      </c>
      <c r="DN253" s="48">
        <f ca="1">IF(DI253&lt;&gt;"",MAX($DN$2:DN252)+1,0)</f>
        <v>195</v>
      </c>
      <c r="DO253" s="48" t="s">
        <v>708</v>
      </c>
      <c r="DQ253" s="227" t="s">
        <v>883</v>
      </c>
      <c r="DR253" s="48" t="s">
        <v>432</v>
      </c>
      <c r="DS253" s="48" t="s">
        <v>311</v>
      </c>
      <c r="DT253" s="48" t="s">
        <v>298</v>
      </c>
      <c r="DU253" s="48" t="s">
        <v>8</v>
      </c>
      <c r="DV253" s="48" t="s">
        <v>300</v>
      </c>
      <c r="DW253" s="48">
        <f ca="1">IF(DR253&lt;&gt;"",MAX($DW$2:DW252)+1,0)</f>
        <v>152</v>
      </c>
      <c r="DX253" s="48" t="s">
        <v>708</v>
      </c>
      <c r="DY253" s="48" t="str">
        <f t="shared" ca="1" si="430"/>
        <v/>
      </c>
      <c r="EL253" s="48">
        <f t="shared" ca="1" si="431"/>
        <v>0</v>
      </c>
      <c r="EM253" s="48">
        <f ca="1">IF(EL253&gt;=0,0,MAX($EM$2:EM252)+1)</f>
        <v>0</v>
      </c>
      <c r="EN253" s="48" t="str">
        <f t="shared" ca="1" si="459"/>
        <v/>
      </c>
      <c r="EO253" s="48" t="str">
        <f ca="1">IFERROR(INDEX($EM$3:$EN$400,MATCH(ROWS($EO$3:EO253),$EM$3:$EM$400,0),2),"")</f>
        <v/>
      </c>
      <c r="EP253" s="48">
        <f>ROW()</f>
        <v>253</v>
      </c>
      <c r="EQ253" s="48">
        <f t="shared" ca="1" si="432"/>
        <v>0</v>
      </c>
      <c r="ER253" s="48">
        <f ca="1">IF(ISNA(EQ253)=TRUE,MAX($ER$2:ER252)+1,0)</f>
        <v>0</v>
      </c>
      <c r="ES253" s="48" t="str">
        <f t="shared" ca="1" si="460"/>
        <v/>
      </c>
      <c r="ET253" s="48" t="str">
        <f ca="1">IFERROR(INDEX($ER$3:$ES$400,MATCH(ROWS($ET$3:ET253),$ER$3:$ER$400,0),2),"")</f>
        <v/>
      </c>
      <c r="EV253" s="48">
        <f ca="1">IFERROR(INDEX(LIBRO_GIORNALE!$O$11:$P$408,MATCH(ROWS($EV$2:EV252),LIBRO_GIORNALE!$P$11:$P$408,0),1),0)</f>
        <v>0</v>
      </c>
      <c r="EW253" s="48" t="str">
        <f t="shared" ca="1" si="544"/>
        <v>0</v>
      </c>
      <c r="EX253" s="48">
        <f t="shared" ca="1" si="462"/>
        <v>0</v>
      </c>
      <c r="EY253" s="48">
        <f ca="1">IF(EX253&gt;0,MAX($EY$2:EY252)+1,0)</f>
        <v>0</v>
      </c>
      <c r="EZ253" s="48">
        <f ca="1">IFERROR(INDEX($EX$3:$EX$400,MATCH(ROWS($EZ$3:EZ253),$EY$3:$EY$400,0),1),0)</f>
        <v>0</v>
      </c>
      <c r="FA253" s="48">
        <f ca="1">IF(EZ253&gt;0,0,MAX($FA$2:FA252)+1)</f>
        <v>251</v>
      </c>
      <c r="FB253" s="48">
        <f t="shared" ca="1" si="545"/>
        <v>0</v>
      </c>
      <c r="FC253" s="48">
        <f t="shared" ca="1" si="546"/>
        <v>251</v>
      </c>
      <c r="FD253" s="48">
        <f t="shared" ca="1" si="465"/>
        <v>251</v>
      </c>
      <c r="FE253" s="48">
        <f ca="1">IF(FD253=0,0,MAX($FE$2:FE252)+1)</f>
        <v>251</v>
      </c>
      <c r="FF253" s="48">
        <f ca="1">IFERROR(INDEX($FD$3:$FE$400,MATCH(ROWS($FF$3:FF253),$FE$3:$FE$400,0),1),"")</f>
        <v>251</v>
      </c>
      <c r="FG253" s="48">
        <f t="shared" ca="1" si="519"/>
        <v>0</v>
      </c>
      <c r="FH253" s="48">
        <f t="shared" ca="1" si="466"/>
        <v>0</v>
      </c>
      <c r="FI253" s="48">
        <f ca="1">IF(FH253&lt;&gt;0,MAX($FI$2:FI252)+1,0)</f>
        <v>0</v>
      </c>
      <c r="FJ253" s="48" t="str">
        <f ca="1">IFERROR(INDEX($FH$3:$FI$400,MATCH(ROWS($FJ$3:FJ253),$FI$3:$FI$400,0),1),"")</f>
        <v/>
      </c>
      <c r="FK253" s="48">
        <f ca="1">IF(ABS(SUMIFS(DARE,DEN_G,"="&amp;FJ253,DATA,"&lt;="&amp;FINE_AC,DATA,"&gt;="&amp;INIZIO_A_PC)-SUMIFS(AVERE,DEN_G,"="&amp;FJ253,DATA,"&lt;="&amp;FINE_AC,DATA,"&gt;="&amp;INIZIO_A_PC))&gt;0,MAX($FK$2:FK252)+1,0)</f>
        <v>0</v>
      </c>
      <c r="FL253" s="48" t="str">
        <f ca="1">IF(AND(ROW()-2&lt;&gt;1,ROW()-2&lt;=$FK$1),CONCATENATE(" - ",IFERROR(INDEX($FJ$3:$FK$400,MATCH(ROWS($FL$3:FL253),$FK$3:$FK$400,0),1),"")),IFERROR(INDEX($FJ$3:$FK$400,MATCH(ROWS($FL$3:FL253),$FK$3:$FK$400,0),1),""))</f>
        <v/>
      </c>
      <c r="FM253" s="48">
        <f ca="1">IF(OR(B253="IVA ns/credito",B253="IVA NS/DEBITO",B253="IVA C/ACCONTO",B253="IMPOSTE C/ACCONTO",B253="CREDITI PER RITENUTE SUBITE",B253="CREDITI D'IMPOSTA"),MAX($FM$2:FM252)+1,0)</f>
        <v>0</v>
      </c>
      <c r="FN253" s="48" t="str">
        <f t="shared" ca="1" si="467"/>
        <v/>
      </c>
      <c r="FO253" s="48" t="str">
        <f ca="1">IFERROR(INDEX($FM$3:$FN$400,MATCH(ROWS($FO$3:FO253),$FM$3:$FM$400,0),2),"")</f>
        <v/>
      </c>
      <c r="FP253" s="48">
        <f ca="1">IF(ABS(SUMIFS(DARE,DEN_G,"="&amp;FO253,DATA,"&lt;="&amp;FINE_AC,DATA,"&gt;="&amp;INIZIO_A_PC)-SUMIFS(AVERE,DEN_G,"="&amp;FO253,DATA,"&lt;="&amp;FINE_AC,DATA,"&gt;="&amp;INIZIO_A_PC))&gt;0,MAX($FP$2:FP252)+1,0)</f>
        <v>0</v>
      </c>
      <c r="FQ253" s="48" t="str">
        <f ca="1">IF(AND(ROW()-2&lt;&gt;1,ROW()-2&lt;=$FP$1),CONCATENATE(" - ",IFERROR(INDEX($FO$3:$FP$400,MATCH(ROWS($FQ$3:FQ253),$FP$3:$FP$400,0),1),"")),IFERROR(INDEX($FO$3:$FP$400,MATCH(ROWS($FQ$3:FQ253),$FP$3:$FP$400,0),1),""))</f>
        <v/>
      </c>
    </row>
    <row r="254" spans="1:173" x14ac:dyDescent="0.3">
      <c r="A254" s="48" t="str">
        <f ca="1">IFERROR(IF($A$1=2,INDEX($DH$3:$DN$401,MATCH(ROWS(A$3:A254),$DN$3:$DN$401,0),COLUMN()),IF($A$1=1,INDEX($DQ$3:$DW$401,MATCH(ROWS(A$3:A254),$DW$3:$DW$401,0),COLUMN()),"")),"")</f>
        <v>34.02</v>
      </c>
      <c r="B254" s="48" t="str">
        <f ca="1">IFERROR(IF($A$1=2,INDEX($DH$3:$DN$401,MATCH(ROWS(B$3:B254),$DN$3:$DN$401,0),COLUMN()),IF($A$1=1,INDEX($DQ$3:$DW$400,MATCH(ROWS(B$3:B254),$DW$3:$DW$401,0),COLUMN()),"")),"")</f>
        <v>AMMORTAMENTO COSTI DI AMPLIAMENTO</v>
      </c>
      <c r="C254" s="48" t="str">
        <f ca="1">IFERROR(IF($A$1=2,INDEX($DH$3:$DN$401,MATCH(ROWS(C$3:C254),$DN$3:$DN$401,0),COLUMN()),IF($A$1=1,INDEX($DQ$3:$DW$401,MATCH(ROWS(C$3:C254),$DW$3:$DW$401,0),COLUMN()),"")),"")</f>
        <v>E</v>
      </c>
      <c r="D254" s="48" t="str">
        <f ca="1">IFERROR(IF($A$1=2,INDEX($DH$3:$DN$401,MATCH(ROWS(D$3:D254),$DN$3:$DN$401,0),COLUMN()),IF($A$1=1,INDEX($DQ$3:$DW$401,MATCH(ROWS(D$3:D254),$DW$3:$DW$401,0),COLUMN()),"")),"")</f>
        <v>D</v>
      </c>
      <c r="E254" s="48" t="str">
        <f ca="1">IFERROR(IF($A$1=2,INDEX($DH$3:$DN$401,MATCH(ROWS(E$3:E254),$DN$3:$DN$401,0),COLUMN()),IF($A$1=1,INDEX($DQ$3:$DW$401,MATCH(ROWS(E$3:E254),$DW$3:$DW$401,0),COLUMN()),"")),"")</f>
        <v>COSTI D'ESERCIZIO</v>
      </c>
      <c r="F254" s="48" t="str">
        <f ca="1">IFERROR(IF($A$1=2,INDEX($DH$3:$DN$401,MATCH(ROWS(F$3:F254),$DN$3:$DN$401,0),COLUMN()),IF($A$1=1,INDEX($DQ$3:$DX$401,MATCH(ROWS(F$3:F254),$DW$3:$DW$401,0),COLUMN()),"")),"")</f>
        <v>SE DARE</v>
      </c>
      <c r="G254" s="48" t="str">
        <f t="shared" ca="1" si="433"/>
        <v>SE</v>
      </c>
      <c r="H254" s="48" t="str">
        <f ca="1">IFERROR(IF($A$1=2,INDEX($DH$3:$DO$400,MATCH(ROWS(H$3:H254),$DN$3:$DN$400,0),COLUMN()),IF($A$1=1,INDEX($DQ$3:$DX$400,MATCH(ROWS(H$3:H254),$DW$3:$DW$400,0),COLUMN()),"")),"")</f>
        <v>eb10a</v>
      </c>
      <c r="M254" s="48">
        <f ca="1">IFERROR(IF(IF(MID($A254,3,3)=".00",MID(A254,1,2),"")&lt;&gt;"",MAX($M$2:M253)+1,0),"")</f>
        <v>0</v>
      </c>
      <c r="N254" s="48" t="str">
        <f t="shared" ca="1" si="438"/>
        <v/>
      </c>
      <c r="O254" s="48" t="str">
        <f ca="1">IF(IFERROR(INDEX($N$3:$O$300,MATCH(ROWS($O$3:O254),$M$3:$M$300,0),1),"")&lt;&gt;"",CONCATENATE(INDEX($N$3:$O$300,MATCH(ROWS($O$3:O254),$M$3:$M$300,0),1),".00"),"")</f>
        <v/>
      </c>
      <c r="P254" s="48" t="str">
        <f t="shared" ca="1" si="439"/>
        <v/>
      </c>
      <c r="Q254" s="48">
        <f ca="1">IF(M254&gt;=1,0,MAX($Q$2:Q253)+1)</f>
        <v>226</v>
      </c>
      <c r="U254" s="48" t="str">
        <f ca="1">IFERROR(INDEX(PDC,MATCH(ROWS(U$3:U254),$V$3:$V$400,0),2),"")</f>
        <v>ONERI FISCALI DIVERSI</v>
      </c>
      <c r="V254" s="48">
        <f ca="1">IF(AND($T$1="VISUALIZZA TUTTI I CONTI",AA254&lt;&gt;""),MAX($V$2:V253)+1,IF(AND($U$2=2,AI254=$T$1),MAX($V$2:V253)+1,IF(AND($U$2=1,$T$1=AF254),MAX($V$2:V253)+1,0)))</f>
        <v>252</v>
      </c>
      <c r="AA254" s="48" t="str">
        <f t="shared" ca="1" si="440"/>
        <v>39.00</v>
      </c>
      <c r="AB254" s="48" t="str">
        <f ca="1">IFERROR(INDEX($A$3:$G$400,MATCH(ROWS(AB$3:AB254),$Q$3:$Q$400,0),1),"")</f>
        <v>39.02</v>
      </c>
      <c r="AC254" s="48" t="str">
        <f ca="1">IFERROR(INDEX($A$3:$G$400,MATCH(ROWS($AC$3:AC254),$Q$3:$Q$400,0),2),"")</f>
        <v>ONERI FISCALI DIVERSI</v>
      </c>
      <c r="AD254" s="48" t="str">
        <f ca="1">IFERROR(INDEX($A$3:$G$400,MATCH(ROWS(AD$3:AD254),$Q$3:$Q$400,0),3),"")</f>
        <v>E</v>
      </c>
      <c r="AE254" s="48" t="str">
        <f ca="1">IFERROR(INDEX($A$3:$G$400,MATCH(ROWS(AE$3:AE254),$Q$3:$Q$400,0),4),"")</f>
        <v>D</v>
      </c>
      <c r="AF254" s="48" t="str">
        <f ca="1">IFERROR(INDEX($A$3:$G$400,MATCH(ROWS(AF$3:AF254),$Q$3:$Q$400,0),5),"")</f>
        <v>COSTI D'ESERCIZIO</v>
      </c>
      <c r="AG254" s="48" t="str">
        <f ca="1">IFERROR(INDEX($A$3:$G$400,MATCH(ROWS(AG$3:AG254),$Q$3:$Q$400,0),6),"")</f>
        <v>SE DARE</v>
      </c>
      <c r="AH254" s="48" t="str">
        <f ca="1">IFERROR(INDEX($A$3:$G$400,MATCH(ROWS(AH$3:AH254),$Q$3:$Q$400,0),7),"")</f>
        <v>SE</v>
      </c>
      <c r="AI254" s="48" t="str">
        <f t="shared" ca="1" si="441"/>
        <v>ONERI DIVERSI</v>
      </c>
      <c r="AJ254" s="48" t="str">
        <f ca="1">IFERROR(INDEX($A$3:$H$400,MATCH(ROWS(AJ$3:AJ254),$Q$3:$Q$400,0),8),"")</f>
        <v>eb14</v>
      </c>
      <c r="AK254" s="48">
        <f t="shared" ca="1" si="417"/>
        <v>0</v>
      </c>
      <c r="AL254" s="48">
        <f t="shared" ca="1" si="515"/>
        <v>0</v>
      </c>
      <c r="AM254" s="48">
        <f t="shared" ca="1" si="516"/>
        <v>0</v>
      </c>
      <c r="AN254" s="48">
        <f t="shared" ca="1" si="517"/>
        <v>0</v>
      </c>
      <c r="AO254" s="48">
        <f t="shared" ca="1" si="518"/>
        <v>0</v>
      </c>
      <c r="AP254" s="48">
        <f t="shared" ca="1" si="518"/>
        <v>0</v>
      </c>
      <c r="AZ254" s="48" t="str">
        <f t="shared" ca="1" si="484"/>
        <v/>
      </c>
      <c r="BA254" s="48">
        <f t="shared" ca="1" si="520"/>
        <v>0</v>
      </c>
      <c r="BB254" s="48">
        <f t="shared" ca="1" si="521"/>
        <v>0</v>
      </c>
      <c r="BC254" s="48">
        <f t="shared" ca="1" si="522"/>
        <v>0</v>
      </c>
      <c r="BD254" s="48">
        <f t="shared" ca="1" si="523"/>
        <v>0</v>
      </c>
      <c r="BE254" s="48">
        <f t="shared" ca="1" si="524"/>
        <v>0</v>
      </c>
      <c r="BF254" s="48">
        <f t="shared" si="485"/>
        <v>54</v>
      </c>
      <c r="BG254" s="48">
        <f ca="1">IF(IF(AND(OR(INDEX(PDC,MATCH($AC254,DEN_PDC,0),6)="SP DARE",INDEX(PDC,MATCH($AC254,DEN_PDC,0),6)="SP DARE/AVERE"),SUMIFS(DARE,DEN_G,$AC254)&gt;=SUMIFS(AVERE,DEN_G,$AC254)),SUMIFS(DARE,DEN_G,$AC254)-SUMIFS(AVERE,DEN_G,$AC254),0)&gt;0,MAX($BG$2:BG253)+1,0)</f>
        <v>0</v>
      </c>
      <c r="BH254" s="48">
        <f ca="1">IF(IF(AND(OR(INDEX(PDC,MATCH($AC254,DEN_PDC,0),6)="SP AVERE",INDEX(PDC,MATCH($AC254,DEN_PDC,0),6)="SP DARE/AVERE"),SUMIFS(AVERE,DEN_G,$AC254)&gt;=SUMIFS(DARE,DEN_G,$AC254)),SUMIFS(AVERE,DEN_G,$AC254)-SUMIFS(DARE,DEN_G,$AC254),0)&gt;0,MAX(BH$2:BH253)+1,0)</f>
        <v>0</v>
      </c>
      <c r="BI254" s="48">
        <f ca="1">IF(IF(AND(OR(INDEX(PDC,MATCH($AC254,DEN_PDC,0),6)="SE DARE",INDEX(PDC,MATCH($AC254,DEN_PDC,0),6)="SE DARE/AVERE"),SUMIFS(DARE,DEN_G,$AC254)&gt;=SUMIFS(AVERE,DEN_G,$AC254)),SUMIFS(DARE,DEN_G,$AC254)-SUMIFS(AVERE,DEN_G,$AC254),0)&gt;0,MAX(BI$2:BI253)+1,0)</f>
        <v>0</v>
      </c>
      <c r="BJ254" s="48">
        <f ca="1">IF(IF(AND(OR(INDEX(PDC,MATCH($AC254,DEN_PDC,0),6)="SE AVERE",INDEX(PDC,MATCH($AC254,DEN_PDC,0),6)="SE DARE/AVERE"),SUMIFS(AVERE,DEN_G,$AC254)&gt;=SUMIFS(DARE,DEN_G,$AC254)),SUMIFS(AVERE,DEN_G,$AC254)-SUMIFS(DARE,DEN_G,$AC254),0)&gt;0,MAX(BJ$2:BJ253)+1,0)</f>
        <v>0</v>
      </c>
      <c r="BK254" s="48" t="str">
        <f ca="1">IF(AND(AND($DY$2=0,$DY$1=0),$I$1=2,ROW()&gt;$BG$1+2,ROW()&lt;=$BG$1+4),"………………..",IF(AND(OR($DY$2&gt;0,$DY$1&gt;0),$I$1=2,ROW()&gt;$BG$1+2,ROW()&lt;=$BG$1+4),"………………..",IFERROR(INDEX($AC$3:$AC$398,MATCH(ROWS(BK$3:BK254),BG$3:BG$398,0),1),"")))</f>
        <v/>
      </c>
      <c r="BL254" s="48">
        <f t="shared" ca="1" si="421"/>
        <v>0</v>
      </c>
      <c r="BM254" s="48" t="str">
        <f ca="1">IF(AND(OR($DY$2=0,$DY$1=0),$I$1=2,ROW()&gt;$BH$1+2,ROW()&lt;=$BH$1+4),"………………..",IF(AND(OR($DY$2&gt;0,$DY$1&gt;0),$I$1=2,ROW()&gt;$BH$1+2,ROW()&lt;=$BH$1+4),"………………..",IFERROR(INDEX($AC$3:$AC$400,MATCH(ROWS(BM$3:BM254),BH$3:BH$400,0),1),"")))</f>
        <v/>
      </c>
      <c r="BN254" s="48">
        <f t="shared" ca="1" si="422"/>
        <v>0</v>
      </c>
      <c r="BO254" s="48" t="str">
        <f ca="1">IF(AND(OR($DY$2=0,$DY$1=0),$I$1=2,ROW()&gt;$BI$1+2,ROW()&lt;=$BI$1+4),"………………..",IF(AND(OR($DY$2&gt;0,$DY$1&gt;0),$I$1=2,ROW()&gt;$BI$1+2,ROW()&lt;=$BI$1+4),"………………..",IFERROR(INDEX($AC$3:$AC$400,MATCH(ROWS(BO$3:BO254),BI$3:BI$400,0),1),"")))</f>
        <v/>
      </c>
      <c r="BP254" s="48">
        <f t="shared" ca="1" si="423"/>
        <v>0</v>
      </c>
      <c r="BQ254" s="48" t="str">
        <f ca="1">IF(AND(OR($DY$2=0,$DY$1=0),$I$1=2,ROW()&gt;$BJ$1+2,ROW()&lt;=$BJ$1+4),"………………..",IF(AND(OR($DY$2&gt;0,$DY$1&gt;0),$I$1=2,ROW()&gt;$BJ$1+2,ROW()&lt;=$BJ$1+4),"………………..",IFERROR(INDEX($AC$3:$AC$400,MATCH(ROWS(BQ$3:BQ254),BJ$3:BJ$400,0),1),"")))</f>
        <v/>
      </c>
      <c r="BR254" s="48">
        <f t="shared" ca="1" si="424"/>
        <v>0</v>
      </c>
      <c r="BS254" s="48">
        <f ca="1">IF(IF(AND(OR(INDEX(PDC,MATCH($AC254,DEN_PDC,0),4)="D",INDEX(PDC,MATCH($AC254,DEN_PDC,0),4)="D/A"),SUMIFS(DARE,DEN_G,$AC254)&gt;=SUMIFS(AVERE,DEN_G,$AC254)),SUMIFS(DARE,DEN_G,$AC254),IF(AND(OR(INDEX(PDC,MATCH($AC254,DEN_PDC,0),4)="A",INDEX(PDC,MATCH($AC254,DEN_PDC,0),4)="D/A"),SUMIFS(AVERE,DEN_G,$AC254)&gt;=SUMIFS(DARE,DEN_G,$AC254)),SUMIFS(AVERE,DEN_G,$AC254),))&gt;0,MAX($BS$2:BS253)+1,0)</f>
        <v>0</v>
      </c>
      <c r="BT254" s="48" t="str">
        <f ca="1">IF($CO$1=0,"",IF(AND($I$1=2,ROW()&gt;$BR$1,ROW()&lt;=$BS$1)," …………….",IF(AND($E$1=1,$BX$1=1,$I$1=2,ROW()=$BQ$1),"TOTALI",IFERROR(INDEX(PDC,MATCH(ROWS(BT$3:BT254),BS$3:BS651,0),2),""))))</f>
        <v/>
      </c>
      <c r="BU254" s="48">
        <f t="shared" ca="1" si="425"/>
        <v>0</v>
      </c>
      <c r="BV254" s="48">
        <f t="shared" ca="1" si="426"/>
        <v>0</v>
      </c>
      <c r="BW254" s="48">
        <f t="shared" ca="1" si="427"/>
        <v>0</v>
      </c>
      <c r="BX254" s="48">
        <f t="shared" ca="1" si="428"/>
        <v>0</v>
      </c>
      <c r="BY254" s="48">
        <f ca="1">IF(OR(BW254&gt;0,BX254&gt;0),MAX($BY$2:BY253)+1,0)</f>
        <v>0</v>
      </c>
      <c r="BZ254" s="48" t="str">
        <f ca="1">IFERROR(INDEX($BT$3:$BY$400,MATCH(ROWS(BZ$3:BZ254),$BY$3:$BY$400,0),1),"")</f>
        <v/>
      </c>
      <c r="CA254" s="48" t="str">
        <f ca="1">IFERROR(INDEX($BT$3:$BY$400,MATCH(ROWS(CA$3:CA254),$BY$3:$BY$400,0),4),"")</f>
        <v/>
      </c>
      <c r="CB254" s="48" t="str">
        <f ca="1">IFERROR(INDEX($BT$3:$BY$400,MATCH(ROWS(CB$3:CB254),$BY$3:$BY$400,0),5),"")</f>
        <v/>
      </c>
      <c r="CC254" s="48" t="str">
        <f t="shared" ca="1" si="429"/>
        <v/>
      </c>
      <c r="CG254" s="232"/>
      <c r="CH254" s="232"/>
      <c r="CL254" s="48">
        <f ca="1">IF($AP$1=CF254,MAX($CL$250:CL253)+1,0)</f>
        <v>0</v>
      </c>
      <c r="CM254" s="242" t="str">
        <f t="shared" ca="1" si="444"/>
        <v/>
      </c>
      <c r="CN254" s="243">
        <f t="shared" ca="1" si="445"/>
        <v>0</v>
      </c>
      <c r="CO254" s="48" t="str">
        <f t="shared" ca="1" si="446"/>
        <v/>
      </c>
      <c r="CU254" s="48">
        <f ca="1">IF(SUMIFS(AVERE,DEN_G,AC254,AVERE,"&gt;"&amp;0)+SUMIFS(DARE,DEN_G,AC254,DARE,"&gt;"&amp;0)&gt;0,MAX($CU$2:CU253)+1,0)</f>
        <v>0</v>
      </c>
      <c r="CV254" s="48" t="str">
        <f ca="1">IF(IFERROR(INDEX(PDC,MATCH(ROWS($CV$3:CV254),$CU$3:$CU$400,0),2),"")="CONTO DI RISULTATO ECONOMICO","",IFERROR(INDEX(PDC,MATCH(ROWS($CV$3:CV254),$CU$3:$CU$400,0),2),""))</f>
        <v/>
      </c>
      <c r="CW254" s="48">
        <f ca="1">IFERROR(IF(CV254&lt;&gt;"",MAX($CW$2:CW253)+1,0),0)</f>
        <v>0</v>
      </c>
      <c r="CX254" s="48">
        <f t="shared" ca="1" si="538"/>
        <v>20</v>
      </c>
      <c r="CY254" s="48" t="str">
        <f t="shared" ca="1" si="537"/>
        <v>MASTRO</v>
      </c>
      <c r="CZ254" s="48" t="e">
        <f t="shared" ca="1" si="540"/>
        <v>#N/A</v>
      </c>
      <c r="DA254" s="48" t="str">
        <f t="shared" ca="1" si="547"/>
        <v/>
      </c>
      <c r="DB254" s="48" t="str">
        <f t="shared" ca="1" si="499"/>
        <v/>
      </c>
      <c r="DC254" s="48" t="str">
        <f t="shared" ca="1" si="541"/>
        <v/>
      </c>
      <c r="DD254" s="48" t="str">
        <f t="shared" ca="1" si="542"/>
        <v/>
      </c>
      <c r="DE254" s="48" t="str">
        <f t="shared" ca="1" si="543"/>
        <v/>
      </c>
      <c r="DF254" s="48">
        <f ca="1">IF(AND(CX254=$DF$1,CX254&lt;&gt;""),0,IF(AND(DB254&lt;&gt;"",OR(DB253&lt;&gt;"",DB255&lt;&gt;"")),MAX($DF$2:DF253)+1,0))</f>
        <v>0</v>
      </c>
      <c r="DH254" s="244" t="s">
        <v>934</v>
      </c>
      <c r="DI254" s="48" t="s">
        <v>178</v>
      </c>
      <c r="DJ254" s="48" t="s">
        <v>311</v>
      </c>
      <c r="DK254" s="48" t="s">
        <v>298</v>
      </c>
      <c r="DL254" s="48" t="s">
        <v>8</v>
      </c>
      <c r="DM254" s="48" t="s">
        <v>300</v>
      </c>
      <c r="DN254" s="48">
        <f ca="1">IF(DI254&lt;&gt;"",MAX($DN$2:DN253)+1,0)</f>
        <v>196</v>
      </c>
      <c r="DO254" s="48" t="s">
        <v>708</v>
      </c>
      <c r="DQ254" s="227" t="s">
        <v>1066</v>
      </c>
      <c r="DR254" s="48" t="s">
        <v>433</v>
      </c>
      <c r="DS254" s="48" t="s">
        <v>311</v>
      </c>
      <c r="DT254" s="48" t="s">
        <v>298</v>
      </c>
      <c r="DU254" s="48" t="s">
        <v>8</v>
      </c>
      <c r="DV254" s="48" t="s">
        <v>300</v>
      </c>
      <c r="DW254" s="48">
        <f ca="1">IF(DR254&lt;&gt;"",MAX($DW$2:DW253)+1,0)</f>
        <v>153</v>
      </c>
      <c r="DX254" s="48" t="s">
        <v>708</v>
      </c>
      <c r="DY254" s="48" t="str">
        <f t="shared" ca="1" si="430"/>
        <v/>
      </c>
      <c r="EL254" s="48">
        <f t="shared" ca="1" si="431"/>
        <v>0</v>
      </c>
      <c r="EM254" s="48">
        <f ca="1">IF(EL254&gt;=0,0,MAX($EM$2:EM253)+1)</f>
        <v>0</v>
      </c>
      <c r="EN254" s="48" t="str">
        <f t="shared" ca="1" si="459"/>
        <v/>
      </c>
      <c r="EO254" s="48" t="str">
        <f ca="1">IFERROR(INDEX($EM$3:$EN$400,MATCH(ROWS($EO$3:EO254),$EM$3:$EM$400,0),2),"")</f>
        <v/>
      </c>
      <c r="EP254" s="48">
        <f>ROW()</f>
        <v>254</v>
      </c>
      <c r="EQ254" s="48">
        <f t="shared" ca="1" si="432"/>
        <v>0</v>
      </c>
      <c r="ER254" s="48">
        <f ca="1">IF(ISNA(EQ254)=TRUE,MAX($ER$2:ER253)+1,0)</f>
        <v>0</v>
      </c>
      <c r="ES254" s="48" t="str">
        <f t="shared" ca="1" si="460"/>
        <v/>
      </c>
      <c r="ET254" s="48" t="str">
        <f ca="1">IFERROR(INDEX($ER$3:$ES$400,MATCH(ROWS($ET$3:ET254),$ER$3:$ER$400,0),2),"")</f>
        <v/>
      </c>
      <c r="EV254" s="48">
        <f ca="1">IFERROR(INDEX(LIBRO_GIORNALE!$O$11:$P$408,MATCH(ROWS($EV$2:EV253),LIBRO_GIORNALE!$P$11:$P$408,0),1),0)</f>
        <v>0</v>
      </c>
      <c r="EW254" s="48" t="str">
        <f t="shared" ca="1" si="544"/>
        <v>0</v>
      </c>
      <c r="EX254" s="48">
        <f t="shared" ca="1" si="462"/>
        <v>0</v>
      </c>
      <c r="EY254" s="48">
        <f ca="1">IF(EX254&gt;0,MAX($EY$2:EY253)+1,0)</f>
        <v>0</v>
      </c>
      <c r="EZ254" s="48">
        <f ca="1">IFERROR(INDEX($EX$3:$EX$400,MATCH(ROWS($EZ$3:EZ254),$EY$3:$EY$400,0),1),0)</f>
        <v>0</v>
      </c>
      <c r="FA254" s="48">
        <f ca="1">IF(EZ254&gt;0,0,MAX($FA$2:FA253)+1)</f>
        <v>252</v>
      </c>
      <c r="FB254" s="48">
        <f t="shared" ca="1" si="545"/>
        <v>0</v>
      </c>
      <c r="FC254" s="48">
        <f t="shared" ca="1" si="546"/>
        <v>252</v>
      </c>
      <c r="FD254" s="48">
        <f t="shared" ca="1" si="465"/>
        <v>252</v>
      </c>
      <c r="FE254" s="48">
        <f ca="1">IF(FD254=0,0,MAX($FE$2:FE253)+1)</f>
        <v>252</v>
      </c>
      <c r="FF254" s="48">
        <f ca="1">IFERROR(INDEX($FD$3:$FE$400,MATCH(ROWS($FF$3:FF254),$FE$3:$FE$400,0),1),"")</f>
        <v>252</v>
      </c>
      <c r="FG254" s="48">
        <f t="shared" ca="1" si="519"/>
        <v>0</v>
      </c>
      <c r="FH254" s="48">
        <f t="shared" ca="1" si="466"/>
        <v>0</v>
      </c>
      <c r="FI254" s="48">
        <f ca="1">IF(FH254&lt;&gt;0,MAX($FI$2:FI253)+1,0)</f>
        <v>0</v>
      </c>
      <c r="FJ254" s="48" t="str">
        <f ca="1">IFERROR(INDEX($FH$3:$FI$400,MATCH(ROWS($FJ$3:FJ254),$FI$3:$FI$400,0),1),"")</f>
        <v/>
      </c>
      <c r="FK254" s="48">
        <f ca="1">IF(ABS(SUMIFS(DARE,DEN_G,"="&amp;FJ254,DATA,"&lt;="&amp;FINE_AC,DATA,"&gt;="&amp;INIZIO_A_PC)-SUMIFS(AVERE,DEN_G,"="&amp;FJ254,DATA,"&lt;="&amp;FINE_AC,DATA,"&gt;="&amp;INIZIO_A_PC))&gt;0,MAX($FK$2:FK253)+1,0)</f>
        <v>0</v>
      </c>
      <c r="FL254" s="48" t="str">
        <f ca="1">IF(AND(ROW()-2&lt;&gt;1,ROW()-2&lt;=$FK$1),CONCATENATE(" - ",IFERROR(INDEX($FJ$3:$FK$400,MATCH(ROWS($FL$3:FL254),$FK$3:$FK$400,0),1),"")),IFERROR(INDEX($FJ$3:$FK$400,MATCH(ROWS($FL$3:FL254),$FK$3:$FK$400,0),1),""))</f>
        <v/>
      </c>
      <c r="FM254" s="48">
        <f ca="1">IF(OR(B254="IVA ns/credito",B254="IVA NS/DEBITO",B254="IVA C/ACCONTO",B254="IMPOSTE C/ACCONTO",B254="CREDITI PER RITENUTE SUBITE",B254="CREDITI D'IMPOSTA"),MAX($FM$2:FM253)+1,0)</f>
        <v>0</v>
      </c>
      <c r="FN254" s="48" t="str">
        <f t="shared" ca="1" si="467"/>
        <v/>
      </c>
      <c r="FO254" s="48" t="str">
        <f ca="1">IFERROR(INDEX($FM$3:$FN$400,MATCH(ROWS($FO$3:FO254),$FM$3:$FM$400,0),2),"")</f>
        <v/>
      </c>
      <c r="FP254" s="48">
        <f ca="1">IF(ABS(SUMIFS(DARE,DEN_G,"="&amp;FO254,DATA,"&lt;="&amp;FINE_AC,DATA,"&gt;="&amp;INIZIO_A_PC)-SUMIFS(AVERE,DEN_G,"="&amp;FO254,DATA,"&lt;="&amp;FINE_AC,DATA,"&gt;="&amp;INIZIO_A_PC))&gt;0,MAX($FP$2:FP253)+1,0)</f>
        <v>0</v>
      </c>
      <c r="FQ254" s="48" t="str">
        <f ca="1">IF(AND(ROW()-2&lt;&gt;1,ROW()-2&lt;=$FP$1),CONCATENATE(" - ",IFERROR(INDEX($FO$3:$FP$400,MATCH(ROWS($FQ$3:FQ254),$FP$3:$FP$400,0),1),"")),IFERROR(INDEX($FO$3:$FP$400,MATCH(ROWS($FQ$3:FQ254),$FP$3:$FP$400,0),1),""))</f>
        <v/>
      </c>
    </row>
    <row r="255" spans="1:173" x14ac:dyDescent="0.3">
      <c r="A255" s="48" t="str">
        <f ca="1">IFERROR(IF($A$1=2,INDEX($DH$3:$DN$401,MATCH(ROWS(A$3:A255),$DN$3:$DN$401,0),COLUMN()),IF($A$1=1,INDEX($DQ$3:$DW$401,MATCH(ROWS(A$3:A255),$DW$3:$DW$401,0),COLUMN()),"")),"")</f>
        <v>34.03</v>
      </c>
      <c r="B255" s="48" t="str">
        <f ca="1">IFERROR(IF($A$1=2,INDEX($DH$3:$DN$401,MATCH(ROWS(B$3:B255),$DN$3:$DN$401,0),COLUMN()),IF($A$1=1,INDEX($DQ$3:$DW$400,MATCH(ROWS(B$3:B255),$DW$3:$DW$401,0),COLUMN()),"")),"")</f>
        <v>AMMORTAMENTO COSTI DI SVILUPPO</v>
      </c>
      <c r="C255" s="48" t="str">
        <f ca="1">IFERROR(IF($A$1=2,INDEX($DH$3:$DN$401,MATCH(ROWS(C$3:C255),$DN$3:$DN$401,0),COLUMN()),IF($A$1=1,INDEX($DQ$3:$DW$401,MATCH(ROWS(C$3:C255),$DW$3:$DW$401,0),COLUMN()),"")),"")</f>
        <v>E</v>
      </c>
      <c r="D255" s="48" t="str">
        <f ca="1">IFERROR(IF($A$1=2,INDEX($DH$3:$DN$401,MATCH(ROWS(D$3:D255),$DN$3:$DN$401,0),COLUMN()),IF($A$1=1,INDEX($DQ$3:$DW$401,MATCH(ROWS(D$3:D255),$DW$3:$DW$401,0),COLUMN()),"")),"")</f>
        <v>D</v>
      </c>
      <c r="E255" s="48" t="str">
        <f ca="1">IFERROR(IF($A$1=2,INDEX($DH$3:$DN$401,MATCH(ROWS(E$3:E255),$DN$3:$DN$401,0),COLUMN()),IF($A$1=1,INDEX($DQ$3:$DW$401,MATCH(ROWS(E$3:E255),$DW$3:$DW$401,0),COLUMN()),"")),"")</f>
        <v>COSTI D'ESERCIZIO</v>
      </c>
      <c r="F255" s="48" t="str">
        <f ca="1">IFERROR(IF($A$1=2,INDEX($DH$3:$DN$401,MATCH(ROWS(F$3:F255),$DN$3:$DN$401,0),COLUMN()),IF($A$1=1,INDEX($DQ$3:$DX$401,MATCH(ROWS(F$3:F255),$DW$3:$DW$401,0),COLUMN()),"")),"")</f>
        <v>SE DARE</v>
      </c>
      <c r="G255" s="48" t="str">
        <f t="shared" ca="1" si="433"/>
        <v>SE</v>
      </c>
      <c r="H255" s="48" t="str">
        <f ca="1">IFERROR(IF($A$1=2,INDEX($DH$3:$DO$400,MATCH(ROWS(H$3:H255),$DN$3:$DN$400,0),COLUMN()),IF($A$1=1,INDEX($DQ$3:$DX$400,MATCH(ROWS(H$3:H255),$DW$3:$DW$400,0),COLUMN()),"")),"")</f>
        <v>eb10a</v>
      </c>
      <c r="M255" s="48">
        <f ca="1">IFERROR(IF(IF(MID($A255,3,3)=".00",MID(A255,1,2),"")&lt;&gt;"",MAX($M$2:M254)+1,0),"")</f>
        <v>0</v>
      </c>
      <c r="N255" s="48" t="str">
        <f t="shared" ca="1" si="438"/>
        <v/>
      </c>
      <c r="O255" s="48" t="str">
        <f ca="1">IF(IFERROR(INDEX($N$3:$O$300,MATCH(ROWS($O$3:O255),$M$3:$M$300,0),1),"")&lt;&gt;"",CONCATENATE(INDEX($N$3:$O$300,MATCH(ROWS($O$3:O255),$M$3:$M$300,0),1),".00"),"")</f>
        <v/>
      </c>
      <c r="P255" s="48" t="str">
        <f t="shared" ca="1" si="439"/>
        <v/>
      </c>
      <c r="Q255" s="48">
        <f ca="1">IF(M255&gt;=1,0,MAX($Q$2:Q254)+1)</f>
        <v>227</v>
      </c>
      <c r="U255" s="48" t="str">
        <f ca="1">IFERROR(INDEX(PDC,MATCH(ROWS(U$3:U255),$V$3:$V$400,0),2),"")</f>
        <v>ACCANTONAMENTO PER IMPOSTE INDIRETTE</v>
      </c>
      <c r="V255" s="48">
        <f ca="1">IF(AND($T$1="VISUALIZZA TUTTI I CONTI",AA255&lt;&gt;""),MAX($V$2:V254)+1,IF(AND($U$2=2,AI255=$T$1),MAX($V$2:V254)+1,IF(AND($U$2=1,$T$1=AF255),MAX($V$2:V254)+1,0)))</f>
        <v>253</v>
      </c>
      <c r="AA255" s="48" t="str">
        <f t="shared" ca="1" si="440"/>
        <v>39.00</v>
      </c>
      <c r="AB255" s="48" t="str">
        <f ca="1">IFERROR(INDEX($A$3:$G$400,MATCH(ROWS(AB$3:AB255),$Q$3:$Q$400,0),1),"")</f>
        <v>39.03</v>
      </c>
      <c r="AC255" s="48" t="str">
        <f ca="1">IFERROR(INDEX($A$3:$G$400,MATCH(ROWS($AC$3:AC255),$Q$3:$Q$400,0),2),"")</f>
        <v>ACCANTONAMENTO PER IMPOSTE INDIRETTE</v>
      </c>
      <c r="AD255" s="48" t="str">
        <f ca="1">IFERROR(INDEX($A$3:$G$400,MATCH(ROWS(AD$3:AD255),$Q$3:$Q$400,0),3),"")</f>
        <v>E</v>
      </c>
      <c r="AE255" s="48" t="str">
        <f ca="1">IFERROR(INDEX($A$3:$G$400,MATCH(ROWS(AE$3:AE255),$Q$3:$Q$400,0),4),"")</f>
        <v>D</v>
      </c>
      <c r="AF255" s="48" t="str">
        <f ca="1">IFERROR(INDEX($A$3:$G$400,MATCH(ROWS(AF$3:AF255),$Q$3:$Q$400,0),5),"")</f>
        <v>COSTI D'ESERCIZIO</v>
      </c>
      <c r="AG255" s="48" t="str">
        <f ca="1">IFERROR(INDEX($A$3:$G$400,MATCH(ROWS(AG$3:AG255),$Q$3:$Q$400,0),6),"")</f>
        <v>SE DARE</v>
      </c>
      <c r="AH255" s="48" t="str">
        <f ca="1">IFERROR(INDEX($A$3:$G$400,MATCH(ROWS(AH$3:AH255),$Q$3:$Q$400,0),7),"")</f>
        <v>SE</v>
      </c>
      <c r="AI255" s="48" t="str">
        <f t="shared" ca="1" si="441"/>
        <v>ONERI DIVERSI</v>
      </c>
      <c r="AJ255" s="48" t="str">
        <f ca="1">IFERROR(INDEX($A$3:$H$400,MATCH(ROWS(AJ$3:AJ255),$Q$3:$Q$400,0),8),"")</f>
        <v>eb14</v>
      </c>
      <c r="AK255" s="48">
        <f t="shared" ca="1" si="417"/>
        <v>0</v>
      </c>
      <c r="AL255" s="48">
        <f t="shared" ca="1" si="515"/>
        <v>0</v>
      </c>
      <c r="AM255" s="48">
        <f t="shared" ca="1" si="516"/>
        <v>0</v>
      </c>
      <c r="AN255" s="48">
        <f t="shared" ca="1" si="517"/>
        <v>0</v>
      </c>
      <c r="AO255" s="48">
        <f t="shared" ca="1" si="518"/>
        <v>0</v>
      </c>
      <c r="AP255" s="48">
        <f t="shared" ca="1" si="518"/>
        <v>0</v>
      </c>
      <c r="AZ255" s="48" t="str">
        <f t="shared" ca="1" si="484"/>
        <v/>
      </c>
      <c r="BA255" s="48">
        <f t="shared" ca="1" si="520"/>
        <v>0</v>
      </c>
      <c r="BB255" s="48">
        <f t="shared" ca="1" si="521"/>
        <v>0</v>
      </c>
      <c r="BC255" s="48">
        <f t="shared" ca="1" si="522"/>
        <v>0</v>
      </c>
      <c r="BD255" s="48">
        <f t="shared" ca="1" si="523"/>
        <v>0</v>
      </c>
      <c r="BE255" s="48">
        <f t="shared" ca="1" si="524"/>
        <v>0</v>
      </c>
      <c r="BF255" s="48">
        <f t="shared" si="485"/>
        <v>55</v>
      </c>
      <c r="BG255" s="48">
        <f ca="1">IF(IF(AND(OR(INDEX(PDC,MATCH($AC255,DEN_PDC,0),6)="SP DARE",INDEX(PDC,MATCH($AC255,DEN_PDC,0),6)="SP DARE/AVERE"),SUMIFS(DARE,DEN_G,$AC255)&gt;=SUMIFS(AVERE,DEN_G,$AC255)),SUMIFS(DARE,DEN_G,$AC255)-SUMIFS(AVERE,DEN_G,$AC255),0)&gt;0,MAX($BG$2:BG254)+1,0)</f>
        <v>0</v>
      </c>
      <c r="BH255" s="48">
        <f ca="1">IF(IF(AND(OR(INDEX(PDC,MATCH($AC255,DEN_PDC,0),6)="SP AVERE",INDEX(PDC,MATCH($AC255,DEN_PDC,0),6)="SP DARE/AVERE"),SUMIFS(AVERE,DEN_G,$AC255)&gt;=SUMIFS(DARE,DEN_G,$AC255)),SUMIFS(AVERE,DEN_G,$AC255)-SUMIFS(DARE,DEN_G,$AC255),0)&gt;0,MAX(BH$2:BH254)+1,0)</f>
        <v>0</v>
      </c>
      <c r="BI255" s="48">
        <f ca="1">IF(IF(AND(OR(INDEX(PDC,MATCH($AC255,DEN_PDC,0),6)="SE DARE",INDEX(PDC,MATCH($AC255,DEN_PDC,0),6)="SE DARE/AVERE"),SUMIFS(DARE,DEN_G,$AC255)&gt;=SUMIFS(AVERE,DEN_G,$AC255)),SUMIFS(DARE,DEN_G,$AC255)-SUMIFS(AVERE,DEN_G,$AC255),0)&gt;0,MAX(BI$2:BI254)+1,0)</f>
        <v>0</v>
      </c>
      <c r="BJ255" s="48">
        <f ca="1">IF(IF(AND(OR(INDEX(PDC,MATCH($AC255,DEN_PDC,0),6)="SE AVERE",INDEX(PDC,MATCH($AC255,DEN_PDC,0),6)="SE DARE/AVERE"),SUMIFS(AVERE,DEN_G,$AC255)&gt;=SUMIFS(DARE,DEN_G,$AC255)),SUMIFS(AVERE,DEN_G,$AC255)-SUMIFS(DARE,DEN_G,$AC255),0)&gt;0,MAX(BJ$2:BJ254)+1,0)</f>
        <v>0</v>
      </c>
      <c r="BK255" s="48" t="str">
        <f ca="1">IF(AND(AND($DY$2=0,$DY$1=0),$I$1=2,ROW()&gt;$BG$1+2,ROW()&lt;=$BG$1+4),"………………..",IF(AND(OR($DY$2&gt;0,$DY$1&gt;0),$I$1=2,ROW()&gt;$BG$1+2,ROW()&lt;=$BG$1+4),"………………..",IFERROR(INDEX($AC$3:$AC$398,MATCH(ROWS(BK$3:BK255),BG$3:BG$398,0),1),"")))</f>
        <v/>
      </c>
      <c r="BL255" s="48">
        <f t="shared" ca="1" si="421"/>
        <v>0</v>
      </c>
      <c r="BM255" s="48" t="str">
        <f ca="1">IF(AND(OR($DY$2=0,$DY$1=0),$I$1=2,ROW()&gt;$BH$1+2,ROW()&lt;=$BH$1+4),"………………..",IF(AND(OR($DY$2&gt;0,$DY$1&gt;0),$I$1=2,ROW()&gt;$BH$1+2,ROW()&lt;=$BH$1+4),"………………..",IFERROR(INDEX($AC$3:$AC$400,MATCH(ROWS(BM$3:BM255),BH$3:BH$400,0),1),"")))</f>
        <v/>
      </c>
      <c r="BN255" s="48">
        <f t="shared" ca="1" si="422"/>
        <v>0</v>
      </c>
      <c r="BO255" s="48" t="str">
        <f ca="1">IF(AND(OR($DY$2=0,$DY$1=0),$I$1=2,ROW()&gt;$BI$1+2,ROW()&lt;=$BI$1+4),"………………..",IF(AND(OR($DY$2&gt;0,$DY$1&gt;0),$I$1=2,ROW()&gt;$BI$1+2,ROW()&lt;=$BI$1+4),"………………..",IFERROR(INDEX($AC$3:$AC$400,MATCH(ROWS(BO$3:BO255),BI$3:BI$400,0),1),"")))</f>
        <v/>
      </c>
      <c r="BP255" s="48">
        <f t="shared" ca="1" si="423"/>
        <v>0</v>
      </c>
      <c r="BQ255" s="48" t="str">
        <f ca="1">IF(AND(OR($DY$2=0,$DY$1=0),$I$1=2,ROW()&gt;$BJ$1+2,ROW()&lt;=$BJ$1+4),"………………..",IF(AND(OR($DY$2&gt;0,$DY$1&gt;0),$I$1=2,ROW()&gt;$BJ$1+2,ROW()&lt;=$BJ$1+4),"………………..",IFERROR(INDEX($AC$3:$AC$400,MATCH(ROWS(BQ$3:BQ255),BJ$3:BJ$400,0),1),"")))</f>
        <v/>
      </c>
      <c r="BR255" s="48">
        <f t="shared" ca="1" si="424"/>
        <v>0</v>
      </c>
      <c r="BS255" s="48">
        <f ca="1">IF(IF(AND(OR(INDEX(PDC,MATCH($AC255,DEN_PDC,0),4)="D",INDEX(PDC,MATCH($AC255,DEN_PDC,0),4)="D/A"),SUMIFS(DARE,DEN_G,$AC255)&gt;=SUMIFS(AVERE,DEN_G,$AC255)),SUMIFS(DARE,DEN_G,$AC255),IF(AND(OR(INDEX(PDC,MATCH($AC255,DEN_PDC,0),4)="A",INDEX(PDC,MATCH($AC255,DEN_PDC,0),4)="D/A"),SUMIFS(AVERE,DEN_G,$AC255)&gt;=SUMIFS(DARE,DEN_G,$AC255)),SUMIFS(AVERE,DEN_G,$AC255),))&gt;0,MAX($BS$2:BS254)+1,0)</f>
        <v>0</v>
      </c>
      <c r="BT255" s="48" t="str">
        <f ca="1">IF($CO$1=0,"",IF(AND($I$1=2,ROW()&gt;$BR$1,ROW()&lt;=$BS$1)," …………….",IF(AND($E$1=1,$BX$1=1,$I$1=2,ROW()=$BQ$1),"TOTALI",IFERROR(INDEX(PDC,MATCH(ROWS(BT$3:BT255),BS$3:BS652,0),2),""))))</f>
        <v/>
      </c>
      <c r="BU255" s="48">
        <f t="shared" ca="1" si="425"/>
        <v>0</v>
      </c>
      <c r="BV255" s="48">
        <f t="shared" ca="1" si="426"/>
        <v>0</v>
      </c>
      <c r="BW255" s="48">
        <f t="shared" ca="1" si="427"/>
        <v>0</v>
      </c>
      <c r="BX255" s="48">
        <f t="shared" ca="1" si="428"/>
        <v>0</v>
      </c>
      <c r="BY255" s="48">
        <f ca="1">IF(OR(BW255&gt;0,BX255&gt;0),MAX($BY$2:BY254)+1,0)</f>
        <v>0</v>
      </c>
      <c r="BZ255" s="48" t="str">
        <f ca="1">IFERROR(INDEX($BT$3:$BY$400,MATCH(ROWS(BZ$3:BZ255),$BY$3:$BY$400,0),1),"")</f>
        <v/>
      </c>
      <c r="CA255" s="48" t="str">
        <f ca="1">IFERROR(INDEX($BT$3:$BY$400,MATCH(ROWS(CA$3:CA255),$BY$3:$BY$400,0),4),"")</f>
        <v/>
      </c>
      <c r="CB255" s="48" t="str">
        <f ca="1">IFERROR(INDEX($BT$3:$BY$400,MATCH(ROWS(CB$3:CB255),$BY$3:$BY$400,0),5),"")</f>
        <v/>
      </c>
      <c r="CC255" s="48" t="str">
        <f t="shared" ca="1" si="429"/>
        <v/>
      </c>
      <c r="CG255" s="232"/>
      <c r="CH255" s="232"/>
      <c r="CL255" s="48">
        <f ca="1">IF($AP$1=CF255,MAX($CL$250:CL254)+1,0)</f>
        <v>0</v>
      </c>
      <c r="CM255" s="242" t="str">
        <f t="shared" ca="1" si="444"/>
        <v/>
      </c>
      <c r="CN255" s="243">
        <f t="shared" ca="1" si="445"/>
        <v>0</v>
      </c>
      <c r="CO255" s="48" t="str">
        <f t="shared" ca="1" si="446"/>
        <v/>
      </c>
      <c r="CU255" s="48">
        <f ca="1">IF(SUMIFS(AVERE,DEN_G,AC255,AVERE,"&gt;"&amp;0)+SUMIFS(DARE,DEN_G,AC255,DARE,"&gt;"&amp;0)&gt;0,MAX($CU$2:CU254)+1,0)</f>
        <v>0</v>
      </c>
      <c r="CV255" s="48" t="str">
        <f ca="1">IF(IFERROR(INDEX(PDC,MATCH(ROWS($CV$3:CV255),$CU$3:$CU$400,0),2),"")="CONTO DI RISULTATO ECONOMICO","",IFERROR(INDEX(PDC,MATCH(ROWS($CV$3:CV255),$CU$3:$CU$400,0),2),""))</f>
        <v/>
      </c>
      <c r="CW255" s="48">
        <f ca="1">IFERROR(IF(CV255&lt;&gt;"",MAX($CW$2:CW254)+1,0),0)</f>
        <v>0</v>
      </c>
      <c r="CX255" s="48">
        <f t="shared" ca="1" si="538"/>
        <v>20</v>
      </c>
      <c r="CY255" s="48" t="str">
        <f t="shared" ca="1" si="537"/>
        <v>MASTRO</v>
      </c>
      <c r="CZ255" s="48" t="e">
        <f t="shared" ca="1" si="540"/>
        <v>#N/A</v>
      </c>
      <c r="DA255" s="48" t="str">
        <f t="shared" ca="1" si="547"/>
        <v/>
      </c>
      <c r="DB255" s="48" t="str">
        <f t="shared" ca="1" si="499"/>
        <v/>
      </c>
      <c r="DC255" s="48" t="str">
        <f t="shared" ca="1" si="541"/>
        <v/>
      </c>
      <c r="DD255" s="48" t="str">
        <f t="shared" ca="1" si="542"/>
        <v/>
      </c>
      <c r="DE255" s="48" t="str">
        <f t="shared" ca="1" si="543"/>
        <v/>
      </c>
      <c r="DF255" s="48">
        <f ca="1">IF(AND(CX255=$DF$1,CX255&lt;&gt;""),0,IF(AND(DB255&lt;&gt;"",OR(DB254&lt;&gt;"",DB256&lt;&gt;"")),MAX($DF$2:DF254)+1,0))</f>
        <v>0</v>
      </c>
      <c r="DH255" s="244" t="s">
        <v>1100</v>
      </c>
      <c r="DI255" s="48" t="s">
        <v>429</v>
      </c>
      <c r="DJ255" s="48" t="s">
        <v>311</v>
      </c>
      <c r="DK255" s="48" t="s">
        <v>298</v>
      </c>
      <c r="DL255" s="48" t="s">
        <v>8</v>
      </c>
      <c r="DM255" s="48" t="s">
        <v>300</v>
      </c>
      <c r="DN255" s="48">
        <f ca="1">IF(DI255&lt;&gt;"",MAX($DN$2:DN254)+1,0)</f>
        <v>197</v>
      </c>
      <c r="DO255" s="48" t="s">
        <v>708</v>
      </c>
      <c r="DW255" s="48">
        <f>IF(DR255&lt;&gt;"",MAX($DW$2:DW254)+1,0)</f>
        <v>0</v>
      </c>
      <c r="DY255" s="48" t="str">
        <f t="shared" ca="1" si="430"/>
        <v/>
      </c>
      <c r="EL255" s="48">
        <f t="shared" ca="1" si="431"/>
        <v>0</v>
      </c>
      <c r="EM255" s="48">
        <f ca="1">IF(EL255&gt;=0,0,MAX($EM$2:EM254)+1)</f>
        <v>0</v>
      </c>
      <c r="EN255" s="48" t="str">
        <f t="shared" ca="1" si="459"/>
        <v/>
      </c>
      <c r="EO255" s="48" t="str">
        <f ca="1">IFERROR(INDEX($EM$3:$EN$400,MATCH(ROWS($EO$3:EO255),$EM$3:$EM$400,0),2),"")</f>
        <v/>
      </c>
      <c r="EP255" s="48">
        <f>ROW()</f>
        <v>255</v>
      </c>
      <c r="EQ255" s="48">
        <f t="shared" ca="1" si="432"/>
        <v>0</v>
      </c>
      <c r="ER255" s="48">
        <f ca="1">IF(ISNA(EQ255)=TRUE,MAX($ER$2:ER254)+1,0)</f>
        <v>0</v>
      </c>
      <c r="ES255" s="48" t="str">
        <f t="shared" ca="1" si="460"/>
        <v/>
      </c>
      <c r="ET255" s="48" t="str">
        <f ca="1">IFERROR(INDEX($ER$3:$ES$400,MATCH(ROWS($ET$3:ET255),$ER$3:$ER$400,0),2),"")</f>
        <v/>
      </c>
      <c r="EV255" s="48">
        <f ca="1">IFERROR(INDEX(LIBRO_GIORNALE!$O$11:$P$408,MATCH(ROWS($EV$2:EV254),LIBRO_GIORNALE!$P$11:$P$408,0),1),0)</f>
        <v>0</v>
      </c>
      <c r="EW255" s="48" t="str">
        <f t="shared" ca="1" si="544"/>
        <v>0</v>
      </c>
      <c r="EX255" s="48">
        <f t="shared" ca="1" si="462"/>
        <v>0</v>
      </c>
      <c r="EY255" s="48">
        <f ca="1">IF(EX255&gt;0,MAX($EY$2:EY254)+1,0)</f>
        <v>0</v>
      </c>
      <c r="EZ255" s="48">
        <f ca="1">IFERROR(INDEX($EX$3:$EX$400,MATCH(ROWS($EZ$3:EZ255),$EY$3:$EY$400,0),1),0)</f>
        <v>0</v>
      </c>
      <c r="FA255" s="48">
        <f ca="1">IF(EZ255&gt;0,0,MAX($FA$2:FA254)+1)</f>
        <v>253</v>
      </c>
      <c r="FB255" s="48">
        <f t="shared" ca="1" si="545"/>
        <v>0</v>
      </c>
      <c r="FC255" s="48">
        <f t="shared" ca="1" si="546"/>
        <v>253</v>
      </c>
      <c r="FD255" s="48">
        <f t="shared" ca="1" si="465"/>
        <v>253</v>
      </c>
      <c r="FE255" s="48">
        <f ca="1">IF(FD255=0,0,MAX($FE$2:FE254)+1)</f>
        <v>253</v>
      </c>
      <c r="FF255" s="48">
        <f ca="1">IFERROR(INDEX($FD$3:$FE$400,MATCH(ROWS($FF$3:FF255),$FE$3:$FE$400,0),1),"")</f>
        <v>253</v>
      </c>
      <c r="FG255" s="48">
        <f t="shared" ca="1" si="519"/>
        <v>0</v>
      </c>
      <c r="FH255" s="48">
        <f t="shared" ca="1" si="466"/>
        <v>0</v>
      </c>
      <c r="FI255" s="48">
        <f ca="1">IF(FH255&lt;&gt;0,MAX($FI$2:FI254)+1,0)</f>
        <v>0</v>
      </c>
      <c r="FJ255" s="48" t="str">
        <f ca="1">IFERROR(INDEX($FH$3:$FI$400,MATCH(ROWS($FJ$3:FJ255),$FI$3:$FI$400,0),1),"")</f>
        <v/>
      </c>
      <c r="FK255" s="48">
        <f ca="1">IF(ABS(SUMIFS(DARE,DEN_G,"="&amp;FJ255,DATA,"&lt;="&amp;FINE_AC,DATA,"&gt;="&amp;INIZIO_A_PC)-SUMIFS(AVERE,DEN_G,"="&amp;FJ255,DATA,"&lt;="&amp;FINE_AC,DATA,"&gt;="&amp;INIZIO_A_PC))&gt;0,MAX($FK$2:FK254)+1,0)</f>
        <v>0</v>
      </c>
      <c r="FL255" s="48" t="str">
        <f ca="1">IF(AND(ROW()-2&lt;&gt;1,ROW()-2&lt;=$FK$1),CONCATENATE(" - ",IFERROR(INDEX($FJ$3:$FK$400,MATCH(ROWS($FL$3:FL255),$FK$3:$FK$400,0),1),"")),IFERROR(INDEX($FJ$3:$FK$400,MATCH(ROWS($FL$3:FL255),$FK$3:$FK$400,0),1),""))</f>
        <v/>
      </c>
      <c r="FM255" s="48">
        <f ca="1">IF(OR(B255="IVA ns/credito",B255="IVA NS/DEBITO",B255="IVA C/ACCONTO",B255="IMPOSTE C/ACCONTO",B255="CREDITI PER RITENUTE SUBITE",B255="CREDITI D'IMPOSTA"),MAX($FM$2:FM254)+1,0)</f>
        <v>0</v>
      </c>
      <c r="FN255" s="48" t="str">
        <f t="shared" ca="1" si="467"/>
        <v/>
      </c>
      <c r="FO255" s="48" t="str">
        <f ca="1">IFERROR(INDEX($FM$3:$FN$400,MATCH(ROWS($FO$3:FO255),$FM$3:$FM$400,0),2),"")</f>
        <v/>
      </c>
      <c r="FP255" s="48">
        <f ca="1">IF(ABS(SUMIFS(DARE,DEN_G,"="&amp;FO255,DATA,"&lt;="&amp;FINE_AC,DATA,"&gt;="&amp;INIZIO_A_PC)-SUMIFS(AVERE,DEN_G,"="&amp;FO255,DATA,"&lt;="&amp;FINE_AC,DATA,"&gt;="&amp;INIZIO_A_PC))&gt;0,MAX($FP$2:FP254)+1,0)</f>
        <v>0</v>
      </c>
      <c r="FQ255" s="48" t="str">
        <f ca="1">IF(AND(ROW()-2&lt;&gt;1,ROW()-2&lt;=$FP$1),CONCATENATE(" - ",IFERROR(INDEX($FO$3:$FP$400,MATCH(ROWS($FQ$3:FQ255),$FP$3:$FP$400,0),1),"")),IFERROR(INDEX($FO$3:$FP$400,MATCH(ROWS($FQ$3:FQ255),$FP$3:$FP$400,0),1),""))</f>
        <v/>
      </c>
    </row>
    <row r="256" spans="1:173" x14ac:dyDescent="0.3">
      <c r="A256" s="48" t="str">
        <f ca="1">IFERROR(IF($A$1=2,INDEX($DH$3:$DN$401,MATCH(ROWS(A$3:A256),$DN$3:$DN$401,0),COLUMN()),IF($A$1=1,INDEX($DQ$3:$DW$401,MATCH(ROWS(A$3:A256),$DW$3:$DW$401,0),COLUMN()),"")),"")</f>
        <v>34.04</v>
      </c>
      <c r="B256" s="48" t="str">
        <f ca="1">IFERROR(IF($A$1=2,INDEX($DH$3:$DN$401,MATCH(ROWS(B$3:B256),$DN$3:$DN$401,0),COLUMN()),IF($A$1=1,INDEX($DQ$3:$DW$400,MATCH(ROWS(B$3:B256),$DW$3:$DW$401,0),COLUMN()),"")),"")</f>
        <v>AMMORTAMENTO BREVETTI</v>
      </c>
      <c r="C256" s="48" t="str">
        <f ca="1">IFERROR(IF($A$1=2,INDEX($DH$3:$DN$401,MATCH(ROWS(C$3:C256),$DN$3:$DN$401,0),COLUMN()),IF($A$1=1,INDEX($DQ$3:$DW$401,MATCH(ROWS(C$3:C256),$DW$3:$DW$401,0),COLUMN()),"")),"")</f>
        <v>E</v>
      </c>
      <c r="D256" s="48" t="str">
        <f ca="1">IFERROR(IF($A$1=2,INDEX($DH$3:$DN$401,MATCH(ROWS(D$3:D256),$DN$3:$DN$401,0),COLUMN()),IF($A$1=1,INDEX($DQ$3:$DW$401,MATCH(ROWS(D$3:D256),$DW$3:$DW$401,0),COLUMN()),"")),"")</f>
        <v>D</v>
      </c>
      <c r="E256" s="48" t="str">
        <f ca="1">IFERROR(IF($A$1=2,INDEX($DH$3:$DN$401,MATCH(ROWS(E$3:E256),$DN$3:$DN$401,0),COLUMN()),IF($A$1=1,INDEX($DQ$3:$DW$401,MATCH(ROWS(E$3:E256),$DW$3:$DW$401,0),COLUMN()),"")),"")</f>
        <v>COSTI D'ESERCIZIO</v>
      </c>
      <c r="F256" s="48" t="str">
        <f ca="1">IFERROR(IF($A$1=2,INDEX($DH$3:$DN$401,MATCH(ROWS(F$3:F256),$DN$3:$DN$401,0),COLUMN()),IF($A$1=1,INDEX($DQ$3:$DX$401,MATCH(ROWS(F$3:F256),$DW$3:$DW$401,0),COLUMN()),"")),"")</f>
        <v>SE DARE</v>
      </c>
      <c r="G256" s="48" t="str">
        <f t="shared" ca="1" si="433"/>
        <v>SE</v>
      </c>
      <c r="H256" s="48" t="str">
        <f ca="1">IFERROR(IF($A$1=2,INDEX($DH$3:$DO$400,MATCH(ROWS(H$3:H256),$DN$3:$DN$400,0),COLUMN()),IF($A$1=1,INDEX($DQ$3:$DX$400,MATCH(ROWS(H$3:H256),$DW$3:$DW$400,0),COLUMN()),"")),"")</f>
        <v>eb10a</v>
      </c>
      <c r="M256" s="48">
        <f ca="1">IFERROR(IF(IF(MID($A256,3,3)=".00",MID(A256,1,2),"")&lt;&gt;"",MAX($M$2:M255)+1,0),"")</f>
        <v>0</v>
      </c>
      <c r="N256" s="48" t="str">
        <f t="shared" ca="1" si="438"/>
        <v/>
      </c>
      <c r="O256" s="48" t="str">
        <f ca="1">IF(IFERROR(INDEX($N$3:$O$300,MATCH(ROWS($O$3:O256),$M$3:$M$300,0),1),"")&lt;&gt;"",CONCATENATE(INDEX($N$3:$O$300,MATCH(ROWS($O$3:O256),$M$3:$M$300,0),1),".00"),"")</f>
        <v/>
      </c>
      <c r="P256" s="48" t="str">
        <f t="shared" ca="1" si="439"/>
        <v/>
      </c>
      <c r="Q256" s="48">
        <f ca="1">IF(M256&gt;=1,0,MAX($Q$2:Q255)+1)</f>
        <v>228</v>
      </c>
      <c r="U256" s="48" t="str">
        <f ca="1">IFERROR(INDEX(PDC,MATCH(ROWS(U$3:U256),$V$3:$V$400,0),2),"")</f>
        <v>PERDITE SU CREDITI</v>
      </c>
      <c r="V256" s="48">
        <f ca="1">IF(AND($T$1="VISUALIZZA TUTTI I CONTI",AA256&lt;&gt;""),MAX($V$2:V255)+1,IF(AND($U$2=2,AI256=$T$1),MAX($V$2:V255)+1,IF(AND($U$2=1,$T$1=AF256),MAX($V$2:V255)+1,0)))</f>
        <v>254</v>
      </c>
      <c r="AA256" s="48" t="str">
        <f t="shared" ca="1" si="440"/>
        <v>39.00</v>
      </c>
      <c r="AB256" s="48" t="str">
        <f ca="1">IFERROR(INDEX($A$3:$G$400,MATCH(ROWS(AB$3:AB256),$Q$3:$Q$400,0),1),"")</f>
        <v>39.05</v>
      </c>
      <c r="AC256" s="48" t="str">
        <f ca="1">IFERROR(INDEX($A$3:$G$400,MATCH(ROWS($AC$3:AC256),$Q$3:$Q$400,0),2),"")</f>
        <v>PERDITE SU CREDITI</v>
      </c>
      <c r="AD256" s="48" t="str">
        <f ca="1">IFERROR(INDEX($A$3:$G$400,MATCH(ROWS(AD$3:AD256),$Q$3:$Q$400,0),3),"")</f>
        <v>E</v>
      </c>
      <c r="AE256" s="48" t="str">
        <f ca="1">IFERROR(INDEX($A$3:$G$400,MATCH(ROWS(AE$3:AE256),$Q$3:$Q$400,0),4),"")</f>
        <v>D</v>
      </c>
      <c r="AF256" s="48" t="str">
        <f ca="1">IFERROR(INDEX($A$3:$G$400,MATCH(ROWS(AF$3:AF256),$Q$3:$Q$400,0),5),"")</f>
        <v>COSTI D'ESERCIZIO</v>
      </c>
      <c r="AG256" s="48" t="str">
        <f ca="1">IFERROR(INDEX($A$3:$G$400,MATCH(ROWS(AG$3:AG256),$Q$3:$Q$400,0),6),"")</f>
        <v>SE DARE</v>
      </c>
      <c r="AH256" s="48" t="str">
        <f ca="1">IFERROR(INDEX($A$3:$G$400,MATCH(ROWS(AH$3:AH256),$Q$3:$Q$400,0),7),"")</f>
        <v>SE</v>
      </c>
      <c r="AI256" s="48" t="str">
        <f t="shared" ca="1" si="441"/>
        <v>ONERI DIVERSI</v>
      </c>
      <c r="AJ256" s="48" t="str">
        <f ca="1">IFERROR(INDEX($A$3:$H$400,MATCH(ROWS(AJ$3:AJ256),$Q$3:$Q$400,0),8),"")</f>
        <v>eb14</v>
      </c>
      <c r="AK256" s="48">
        <f t="shared" ca="1" si="417"/>
        <v>0</v>
      </c>
      <c r="AL256" s="48">
        <f t="shared" ca="1" si="515"/>
        <v>0</v>
      </c>
      <c r="AM256" s="48">
        <f t="shared" ca="1" si="516"/>
        <v>0</v>
      </c>
      <c r="AN256" s="48">
        <f t="shared" ca="1" si="517"/>
        <v>0</v>
      </c>
      <c r="AO256" s="48">
        <f t="shared" ca="1" si="518"/>
        <v>0</v>
      </c>
      <c r="AP256" s="48">
        <f t="shared" ca="1" si="518"/>
        <v>0</v>
      </c>
      <c r="AZ256" s="48" t="str">
        <f t="shared" ca="1" si="484"/>
        <v/>
      </c>
      <c r="BA256" s="48">
        <f t="shared" ca="1" si="520"/>
        <v>0</v>
      </c>
      <c r="BB256" s="48">
        <f t="shared" ca="1" si="521"/>
        <v>0</v>
      </c>
      <c r="BC256" s="48">
        <f t="shared" ca="1" si="522"/>
        <v>0</v>
      </c>
      <c r="BD256" s="48">
        <f t="shared" ca="1" si="523"/>
        <v>0</v>
      </c>
      <c r="BE256" s="48">
        <f t="shared" ca="1" si="524"/>
        <v>0</v>
      </c>
      <c r="BF256" s="48">
        <f t="shared" si="485"/>
        <v>56</v>
      </c>
      <c r="BG256" s="48">
        <f ca="1">IF(IF(AND(OR(INDEX(PDC,MATCH($AC256,DEN_PDC,0),6)="SP DARE",INDEX(PDC,MATCH($AC256,DEN_PDC,0),6)="SP DARE/AVERE"),SUMIFS(DARE,DEN_G,$AC256)&gt;=SUMIFS(AVERE,DEN_G,$AC256)),SUMIFS(DARE,DEN_G,$AC256)-SUMIFS(AVERE,DEN_G,$AC256),0)&gt;0,MAX($BG$2:BG255)+1,0)</f>
        <v>0</v>
      </c>
      <c r="BH256" s="48">
        <f ca="1">IF(IF(AND(OR(INDEX(PDC,MATCH($AC256,DEN_PDC,0),6)="SP AVERE",INDEX(PDC,MATCH($AC256,DEN_PDC,0),6)="SP DARE/AVERE"),SUMIFS(AVERE,DEN_G,$AC256)&gt;=SUMIFS(DARE,DEN_G,$AC256)),SUMIFS(AVERE,DEN_G,$AC256)-SUMIFS(DARE,DEN_G,$AC256),0)&gt;0,MAX(BH$2:BH255)+1,0)</f>
        <v>0</v>
      </c>
      <c r="BI256" s="48">
        <f ca="1">IF(IF(AND(OR(INDEX(PDC,MATCH($AC256,DEN_PDC,0),6)="SE DARE",INDEX(PDC,MATCH($AC256,DEN_PDC,0),6)="SE DARE/AVERE"),SUMIFS(DARE,DEN_G,$AC256)&gt;=SUMIFS(AVERE,DEN_G,$AC256)),SUMIFS(DARE,DEN_G,$AC256)-SUMIFS(AVERE,DEN_G,$AC256),0)&gt;0,MAX(BI$2:BI255)+1,0)</f>
        <v>0</v>
      </c>
      <c r="BJ256" s="48">
        <f ca="1">IF(IF(AND(OR(INDEX(PDC,MATCH($AC256,DEN_PDC,0),6)="SE AVERE",INDEX(PDC,MATCH($AC256,DEN_PDC,0),6)="SE DARE/AVERE"),SUMIFS(AVERE,DEN_G,$AC256)&gt;=SUMIFS(DARE,DEN_G,$AC256)),SUMIFS(AVERE,DEN_G,$AC256)-SUMIFS(DARE,DEN_G,$AC256),0)&gt;0,MAX(BJ$2:BJ255)+1,0)</f>
        <v>0</v>
      </c>
      <c r="BK256" s="48" t="str">
        <f ca="1">IF(AND(AND($DY$2=0,$DY$1=0),$I$1=2,ROW()&gt;$BG$1+2,ROW()&lt;=$BG$1+4),"………………..",IF(AND(OR($DY$2&gt;0,$DY$1&gt;0),$I$1=2,ROW()&gt;$BG$1+2,ROW()&lt;=$BG$1+4),"………………..",IFERROR(INDEX($AC$3:$AC$398,MATCH(ROWS(BK$3:BK256),BG$3:BG$398,0),1),"")))</f>
        <v/>
      </c>
      <c r="BL256" s="48">
        <f t="shared" ca="1" si="421"/>
        <v>0</v>
      </c>
      <c r="BM256" s="48" t="str">
        <f ca="1">IF(AND(OR($DY$2=0,$DY$1=0),$I$1=2,ROW()&gt;$BH$1+2,ROW()&lt;=$BH$1+4),"………………..",IF(AND(OR($DY$2&gt;0,$DY$1&gt;0),$I$1=2,ROW()&gt;$BH$1+2,ROW()&lt;=$BH$1+4),"………………..",IFERROR(INDEX($AC$3:$AC$400,MATCH(ROWS(BM$3:BM256),BH$3:BH$400,0),1),"")))</f>
        <v/>
      </c>
      <c r="BN256" s="48">
        <f t="shared" ca="1" si="422"/>
        <v>0</v>
      </c>
      <c r="BO256" s="48" t="str">
        <f ca="1">IF(AND(OR($DY$2=0,$DY$1=0),$I$1=2,ROW()&gt;$BI$1+2,ROW()&lt;=$BI$1+4),"………………..",IF(AND(OR($DY$2&gt;0,$DY$1&gt;0),$I$1=2,ROW()&gt;$BI$1+2,ROW()&lt;=$BI$1+4),"………………..",IFERROR(INDEX($AC$3:$AC$400,MATCH(ROWS(BO$3:BO256),BI$3:BI$400,0),1),"")))</f>
        <v/>
      </c>
      <c r="BP256" s="48">
        <f t="shared" ca="1" si="423"/>
        <v>0</v>
      </c>
      <c r="BQ256" s="48" t="str">
        <f ca="1">IF(AND(OR($DY$2=0,$DY$1=0),$I$1=2,ROW()&gt;$BJ$1+2,ROW()&lt;=$BJ$1+4),"………………..",IF(AND(OR($DY$2&gt;0,$DY$1&gt;0),$I$1=2,ROW()&gt;$BJ$1+2,ROW()&lt;=$BJ$1+4),"………………..",IFERROR(INDEX($AC$3:$AC$400,MATCH(ROWS(BQ$3:BQ256),BJ$3:BJ$400,0),1),"")))</f>
        <v/>
      </c>
      <c r="BR256" s="48">
        <f t="shared" ca="1" si="424"/>
        <v>0</v>
      </c>
      <c r="BS256" s="48">
        <f ca="1">IF(IF(AND(OR(INDEX(PDC,MATCH($AC256,DEN_PDC,0),4)="D",INDEX(PDC,MATCH($AC256,DEN_PDC,0),4)="D/A"),SUMIFS(DARE,DEN_G,$AC256)&gt;=SUMIFS(AVERE,DEN_G,$AC256)),SUMIFS(DARE,DEN_G,$AC256),IF(AND(OR(INDEX(PDC,MATCH($AC256,DEN_PDC,0),4)="A",INDEX(PDC,MATCH($AC256,DEN_PDC,0),4)="D/A"),SUMIFS(AVERE,DEN_G,$AC256)&gt;=SUMIFS(DARE,DEN_G,$AC256)),SUMIFS(AVERE,DEN_G,$AC256),))&gt;0,MAX($BS$2:BS255)+1,0)</f>
        <v>0</v>
      </c>
      <c r="BT256" s="48" t="str">
        <f ca="1">IF($CO$1=0,"",IF(AND($I$1=2,ROW()&gt;$BR$1,ROW()&lt;=$BS$1)," …………….",IF(AND($E$1=1,$BX$1=1,$I$1=2,ROW()=$BQ$1),"TOTALI",IFERROR(INDEX(PDC,MATCH(ROWS(BT$3:BT256),BS$3:BS653,0),2),""))))</f>
        <v/>
      </c>
      <c r="BU256" s="48">
        <f t="shared" ca="1" si="425"/>
        <v>0</v>
      </c>
      <c r="BV256" s="48">
        <f t="shared" ca="1" si="426"/>
        <v>0</v>
      </c>
      <c r="BW256" s="48">
        <f t="shared" ca="1" si="427"/>
        <v>0</v>
      </c>
      <c r="BX256" s="48">
        <f t="shared" ca="1" si="428"/>
        <v>0</v>
      </c>
      <c r="BY256" s="48">
        <f ca="1">IF(OR(BW256&gt;0,BX256&gt;0),MAX($BY$2:BY255)+1,0)</f>
        <v>0</v>
      </c>
      <c r="BZ256" s="48" t="str">
        <f ca="1">IFERROR(INDEX($BT$3:$BY$400,MATCH(ROWS(BZ$3:BZ256),$BY$3:$BY$400,0),1),"")</f>
        <v/>
      </c>
      <c r="CA256" s="48" t="str">
        <f ca="1">IFERROR(INDEX($BT$3:$BY$400,MATCH(ROWS(CA$3:CA256),$BY$3:$BY$400,0),4),"")</f>
        <v/>
      </c>
      <c r="CB256" s="48" t="str">
        <f ca="1">IFERROR(INDEX($BT$3:$BY$400,MATCH(ROWS(CB$3:CB256),$BY$3:$BY$400,0),5),"")</f>
        <v/>
      </c>
      <c r="CC256" s="48" t="str">
        <f t="shared" ca="1" si="429"/>
        <v/>
      </c>
      <c r="CM256" s="242" t="str">
        <f t="shared" ca="1" si="444"/>
        <v/>
      </c>
      <c r="CN256" s="243">
        <f t="shared" ca="1" si="445"/>
        <v>0</v>
      </c>
      <c r="CO256" s="48" t="str">
        <f t="shared" ca="1" si="446"/>
        <v/>
      </c>
      <c r="CU256" s="48">
        <f ca="1">IF(SUMIFS(AVERE,DEN_G,AC256,AVERE,"&gt;"&amp;0)+SUMIFS(DARE,DEN_G,AC256,DARE,"&gt;"&amp;0)&gt;0,MAX($CU$2:CU255)+1,0)</f>
        <v>0</v>
      </c>
      <c r="CV256" s="48" t="str">
        <f ca="1">IF(IFERROR(INDEX(PDC,MATCH(ROWS($CV$3:CV256),$CU$3:$CU$400,0),2),"")="CONTO DI RISULTATO ECONOMICO","",IFERROR(INDEX(PDC,MATCH(ROWS($CV$3:CV256),$CU$3:$CU$400,0),2),""))</f>
        <v/>
      </c>
      <c r="CW256" s="48">
        <f ca="1">IFERROR(IF(CV256&lt;&gt;"",MAX($CW$2:CW255)+1,0),0)</f>
        <v>0</v>
      </c>
      <c r="CX256" s="48">
        <f t="shared" ca="1" si="538"/>
        <v>20</v>
      </c>
      <c r="CY256" s="48" t="str">
        <f t="shared" ca="1" si="537"/>
        <v>MASTRO</v>
      </c>
      <c r="CZ256" s="48" t="e">
        <f t="shared" ca="1" si="540"/>
        <v>#N/A</v>
      </c>
      <c r="DA256" s="48" t="str">
        <f t="shared" ca="1" si="547"/>
        <v/>
      </c>
      <c r="DB256" s="48" t="str">
        <f t="shared" ca="1" si="499"/>
        <v/>
      </c>
      <c r="DC256" s="48" t="str">
        <f t="shared" ca="1" si="541"/>
        <v/>
      </c>
      <c r="DD256" s="48" t="str">
        <f t="shared" ca="1" si="542"/>
        <v/>
      </c>
      <c r="DE256" s="48" t="str">
        <f t="shared" ca="1" si="543"/>
        <v/>
      </c>
      <c r="DF256" s="48">
        <f ca="1">IF(AND(CX256=$DF$1,CX256&lt;&gt;""),0,IF(AND(DB256&lt;&gt;"",OR(DB255&lt;&gt;"",DB257&lt;&gt;"")),MAX($DF$2:DF255)+1,0))</f>
        <v>0</v>
      </c>
      <c r="DH256" s="244" t="s">
        <v>1101</v>
      </c>
      <c r="DI256" s="48" t="s">
        <v>835</v>
      </c>
      <c r="DJ256" s="48" t="s">
        <v>311</v>
      </c>
      <c r="DK256" s="48" t="s">
        <v>298</v>
      </c>
      <c r="DL256" s="48" t="s">
        <v>8</v>
      </c>
      <c r="DM256" s="48" t="s">
        <v>300</v>
      </c>
      <c r="DN256" s="48">
        <f ca="1">IF(DI256&lt;&gt;"",MAX($DN$2:DN255)+1,0)</f>
        <v>198</v>
      </c>
      <c r="DO256" s="48" t="s">
        <v>708</v>
      </c>
      <c r="DW256" s="48">
        <f>IF(DR256&lt;&gt;"",MAX($DW$2:DW255)+1,0)</f>
        <v>0</v>
      </c>
      <c r="DY256" s="48" t="str">
        <f t="shared" ca="1" si="430"/>
        <v/>
      </c>
      <c r="EL256" s="48">
        <f t="shared" ca="1" si="431"/>
        <v>0</v>
      </c>
      <c r="EM256" s="48">
        <f ca="1">IF(EL256&gt;=0,0,MAX($EM$2:EM255)+1)</f>
        <v>0</v>
      </c>
      <c r="EN256" s="48" t="str">
        <f t="shared" ca="1" si="459"/>
        <v/>
      </c>
      <c r="EO256" s="48" t="str">
        <f ca="1">IFERROR(INDEX($EM$3:$EN$400,MATCH(ROWS($EO$3:EO256),$EM$3:$EM$400,0),2),"")</f>
        <v/>
      </c>
      <c r="EP256" s="48">
        <f>ROW()</f>
        <v>256</v>
      </c>
      <c r="EQ256" s="48">
        <f t="shared" ca="1" si="432"/>
        <v>0</v>
      </c>
      <c r="ER256" s="48">
        <f ca="1">IF(ISNA(EQ256)=TRUE,MAX($ER$2:ER255)+1,0)</f>
        <v>0</v>
      </c>
      <c r="ES256" s="48" t="str">
        <f t="shared" ca="1" si="460"/>
        <v/>
      </c>
      <c r="ET256" s="48" t="str">
        <f ca="1">IFERROR(INDEX($ER$3:$ES$400,MATCH(ROWS($ET$3:ET256),$ER$3:$ER$400,0),2),"")</f>
        <v/>
      </c>
      <c r="EV256" s="48">
        <f ca="1">IFERROR(INDEX(LIBRO_GIORNALE!$O$11:$P$408,MATCH(ROWS($EV$2:EV255),LIBRO_GIORNALE!$P$11:$P$408,0),1),0)</f>
        <v>0</v>
      </c>
      <c r="EW256" s="48" t="str">
        <f t="shared" ca="1" si="544"/>
        <v>0</v>
      </c>
      <c r="EX256" s="48">
        <f t="shared" ca="1" si="462"/>
        <v>0</v>
      </c>
      <c r="EY256" s="48">
        <f ca="1">IF(EX256&gt;0,MAX($EY$2:EY255)+1,0)</f>
        <v>0</v>
      </c>
      <c r="EZ256" s="48">
        <f ca="1">IFERROR(INDEX($EX$3:$EX$400,MATCH(ROWS($EZ$3:EZ256),$EY$3:$EY$400,0),1),0)</f>
        <v>0</v>
      </c>
      <c r="FA256" s="48">
        <f ca="1">IF(EZ256&gt;0,0,MAX($FA$2:FA255)+1)</f>
        <v>254</v>
      </c>
      <c r="FB256" s="48">
        <f t="shared" ca="1" si="545"/>
        <v>0</v>
      </c>
      <c r="FC256" s="48">
        <f t="shared" ca="1" si="546"/>
        <v>254</v>
      </c>
      <c r="FD256" s="48">
        <f t="shared" ca="1" si="465"/>
        <v>254</v>
      </c>
      <c r="FE256" s="48">
        <f ca="1">IF(FD256=0,0,MAX($FE$2:FE255)+1)</f>
        <v>254</v>
      </c>
      <c r="FF256" s="48">
        <f ca="1">IFERROR(INDEX($FD$3:$FE$400,MATCH(ROWS($FF$3:FF256),$FE$3:$FE$400,0),1),"")</f>
        <v>254</v>
      </c>
      <c r="FG256" s="48">
        <f t="shared" ca="1" si="519"/>
        <v>0</v>
      </c>
      <c r="FH256" s="48">
        <f t="shared" ca="1" si="466"/>
        <v>0</v>
      </c>
      <c r="FI256" s="48">
        <f ca="1">IF(FH256&lt;&gt;0,MAX($FI$2:FI255)+1,0)</f>
        <v>0</v>
      </c>
      <c r="FJ256" s="48" t="str">
        <f ca="1">IFERROR(INDEX($FH$3:$FI$400,MATCH(ROWS($FJ$3:FJ256),$FI$3:$FI$400,0),1),"")</f>
        <v/>
      </c>
      <c r="FK256" s="48">
        <f ca="1">IF(ABS(SUMIFS(DARE,DEN_G,"="&amp;FJ256,DATA,"&lt;="&amp;FINE_AC,DATA,"&gt;="&amp;INIZIO_A_PC)-SUMIFS(AVERE,DEN_G,"="&amp;FJ256,DATA,"&lt;="&amp;FINE_AC,DATA,"&gt;="&amp;INIZIO_A_PC))&gt;0,MAX($FK$2:FK255)+1,0)</f>
        <v>0</v>
      </c>
      <c r="FL256" s="48" t="str">
        <f ca="1">IF(AND(ROW()-2&lt;&gt;1,ROW()-2&lt;=$FK$1),CONCATENATE(" - ",IFERROR(INDEX($FJ$3:$FK$400,MATCH(ROWS($FL$3:FL256),$FK$3:$FK$400,0),1),"")),IFERROR(INDEX($FJ$3:$FK$400,MATCH(ROWS($FL$3:FL256),$FK$3:$FK$400,0),1),""))</f>
        <v/>
      </c>
      <c r="FM256" s="48">
        <f ca="1">IF(OR(B256="IVA ns/credito",B256="IVA NS/DEBITO",B256="IVA C/ACCONTO",B256="IMPOSTE C/ACCONTO",B256="CREDITI PER RITENUTE SUBITE",B256="CREDITI D'IMPOSTA"),MAX($FM$2:FM255)+1,0)</f>
        <v>0</v>
      </c>
      <c r="FN256" s="48" t="str">
        <f t="shared" ca="1" si="467"/>
        <v/>
      </c>
      <c r="FO256" s="48" t="str">
        <f ca="1">IFERROR(INDEX($FM$3:$FN$400,MATCH(ROWS($FO$3:FO256),$FM$3:$FM$400,0),2),"")</f>
        <v/>
      </c>
      <c r="FP256" s="48">
        <f ca="1">IF(ABS(SUMIFS(DARE,DEN_G,"="&amp;FO256,DATA,"&lt;="&amp;FINE_AC,DATA,"&gt;="&amp;INIZIO_A_PC)-SUMIFS(AVERE,DEN_G,"="&amp;FO256,DATA,"&lt;="&amp;FINE_AC,DATA,"&gt;="&amp;INIZIO_A_PC))&gt;0,MAX($FP$2:FP255)+1,0)</f>
        <v>0</v>
      </c>
      <c r="FQ256" s="48" t="str">
        <f ca="1">IF(AND(ROW()-2&lt;&gt;1,ROW()-2&lt;=$FP$1),CONCATENATE(" - ",IFERROR(INDEX($FO$3:$FP$400,MATCH(ROWS($FQ$3:FQ256),$FP$3:$FP$400,0),1),"")),IFERROR(INDEX($FO$3:$FP$400,MATCH(ROWS($FQ$3:FQ256),$FP$3:$FP$400,0),1),""))</f>
        <v/>
      </c>
    </row>
    <row r="257" spans="1:173" x14ac:dyDescent="0.3">
      <c r="A257" s="48" t="str">
        <f ca="1">IFERROR(IF($A$1=2,INDEX($DH$3:$DN$401,MATCH(ROWS(A$3:A257),$DN$3:$DN$401,0),COLUMN()),IF($A$1=1,INDEX($DQ$3:$DW$401,MATCH(ROWS(A$3:A257),$DW$3:$DW$401,0),COLUMN()),"")),"")</f>
        <v>34.05</v>
      </c>
      <c r="B257" s="48" t="str">
        <f ca="1">IFERROR(IF($A$1=2,INDEX($DH$3:$DN$401,MATCH(ROWS(B$3:B257),$DN$3:$DN$401,0),COLUMN()),IF($A$1=1,INDEX($DQ$3:$DW$400,MATCH(ROWS(B$3:B257),$DW$3:$DW$401,0),COLUMN()),"")),"")</f>
        <v>AMMORTAMENTO SOFTWARE</v>
      </c>
      <c r="C257" s="48" t="str">
        <f ca="1">IFERROR(IF($A$1=2,INDEX($DH$3:$DN$401,MATCH(ROWS(C$3:C257),$DN$3:$DN$401,0),COLUMN()),IF($A$1=1,INDEX($DQ$3:$DW$401,MATCH(ROWS(C$3:C257),$DW$3:$DW$401,0),COLUMN()),"")),"")</f>
        <v>E</v>
      </c>
      <c r="D257" s="48" t="str">
        <f ca="1">IFERROR(IF($A$1=2,INDEX($DH$3:$DN$401,MATCH(ROWS(D$3:D257),$DN$3:$DN$401,0),COLUMN()),IF($A$1=1,INDEX($DQ$3:$DW$401,MATCH(ROWS(D$3:D257),$DW$3:$DW$401,0),COLUMN()),"")),"")</f>
        <v>D</v>
      </c>
      <c r="E257" s="48" t="str">
        <f ca="1">IFERROR(IF($A$1=2,INDEX($DH$3:$DN$401,MATCH(ROWS(E$3:E257),$DN$3:$DN$401,0),COLUMN()),IF($A$1=1,INDEX($DQ$3:$DW$401,MATCH(ROWS(E$3:E257),$DW$3:$DW$401,0),COLUMN()),"")),"")</f>
        <v>COSTI D'ESERCIZIO</v>
      </c>
      <c r="F257" s="48" t="str">
        <f ca="1">IFERROR(IF($A$1=2,INDEX($DH$3:$DN$401,MATCH(ROWS(F$3:F257),$DN$3:$DN$401,0),COLUMN()),IF($A$1=1,INDEX($DQ$3:$DX$401,MATCH(ROWS(F$3:F257),$DW$3:$DW$401,0),COLUMN()),"")),"")</f>
        <v>SE DARE</v>
      </c>
      <c r="G257" s="48" t="str">
        <f t="shared" ca="1" si="433"/>
        <v>SE</v>
      </c>
      <c r="H257" s="48" t="str">
        <f ca="1">IFERROR(IF($A$1=2,INDEX($DH$3:$DO$400,MATCH(ROWS(H$3:H257),$DN$3:$DN$400,0),COLUMN()),IF($A$1=1,INDEX($DQ$3:$DX$400,MATCH(ROWS(H$3:H257),$DW$3:$DW$400,0),COLUMN()),"")),"")</f>
        <v>eb10a</v>
      </c>
      <c r="M257" s="48">
        <f ca="1">IFERROR(IF(IF(MID($A257,3,3)=".00",MID(A257,1,2),"")&lt;&gt;"",MAX($M$2:M256)+1,0),"")</f>
        <v>0</v>
      </c>
      <c r="N257" s="48" t="str">
        <f t="shared" ca="1" si="438"/>
        <v/>
      </c>
      <c r="O257" s="48" t="str">
        <f ca="1">IF(IFERROR(INDEX($N$3:$O$300,MATCH(ROWS($O$3:O257),$M$3:$M$300,0),1),"")&lt;&gt;"",CONCATENATE(INDEX($N$3:$O$300,MATCH(ROWS($O$3:O257),$M$3:$M$300,0),1),".00"),"")</f>
        <v/>
      </c>
      <c r="P257" s="48" t="str">
        <f t="shared" ca="1" si="439"/>
        <v/>
      </c>
      <c r="Q257" s="48">
        <f ca="1">IF(M257&gt;=1,0,MAX($Q$2:Q256)+1)</f>
        <v>229</v>
      </c>
      <c r="U257" s="48" t="str">
        <f ca="1">IFERROR(INDEX(PDC,MATCH(ROWS(U$3:U257),$V$3:$V$400,0),2),"")</f>
        <v>MINUSVALENZE</v>
      </c>
      <c r="V257" s="48">
        <f ca="1">IF(AND($T$1="VISUALIZZA TUTTI I CONTI",AA257&lt;&gt;""),MAX($V$2:V256)+1,IF(AND($U$2=2,AI257=$T$1),MAX($V$2:V256)+1,IF(AND($U$2=1,$T$1=AF257),MAX($V$2:V256)+1,0)))</f>
        <v>255</v>
      </c>
      <c r="AA257" s="48" t="str">
        <f t="shared" ca="1" si="440"/>
        <v>39.00</v>
      </c>
      <c r="AB257" s="48" t="str">
        <f ca="1">IFERROR(INDEX($A$3:$G$400,MATCH(ROWS(AB$3:AB257),$Q$3:$Q$400,0),1),"")</f>
        <v>39.10</v>
      </c>
      <c r="AC257" s="48" t="str">
        <f ca="1">IFERROR(INDEX($A$3:$G$400,MATCH(ROWS($AC$3:AC257),$Q$3:$Q$400,0),2),"")</f>
        <v>MINUSVALENZE</v>
      </c>
      <c r="AD257" s="48" t="str">
        <f ca="1">IFERROR(INDEX($A$3:$G$400,MATCH(ROWS(AD$3:AD257),$Q$3:$Q$400,0),3),"")</f>
        <v>E</v>
      </c>
      <c r="AE257" s="48" t="str">
        <f ca="1">IFERROR(INDEX($A$3:$G$400,MATCH(ROWS(AE$3:AE257),$Q$3:$Q$400,0),4),"")</f>
        <v>D</v>
      </c>
      <c r="AF257" s="48" t="str">
        <f ca="1">IFERROR(INDEX($A$3:$G$400,MATCH(ROWS(AF$3:AF257),$Q$3:$Q$400,0),5),"")</f>
        <v>COSTI D'ESERCIZIO</v>
      </c>
      <c r="AG257" s="48" t="str">
        <f ca="1">IFERROR(INDEX($A$3:$G$400,MATCH(ROWS(AG$3:AG257),$Q$3:$Q$400,0),6),"")</f>
        <v>SE DARE</v>
      </c>
      <c r="AH257" s="48" t="str">
        <f ca="1">IFERROR(INDEX($A$3:$G$400,MATCH(ROWS(AH$3:AH257),$Q$3:$Q$400,0),7),"")</f>
        <v>SE</v>
      </c>
      <c r="AI257" s="48" t="str">
        <f t="shared" ca="1" si="441"/>
        <v>ONERI DIVERSI</v>
      </c>
      <c r="AJ257" s="48" t="str">
        <f ca="1">IFERROR(INDEX($A$3:$H$400,MATCH(ROWS(AJ$3:AJ257),$Q$3:$Q$400,0),8),"")</f>
        <v>eb14</v>
      </c>
      <c r="AK257" s="48">
        <f t="shared" ca="1" si="417"/>
        <v>0</v>
      </c>
      <c r="AL257" s="48">
        <f t="shared" ca="1" si="515"/>
        <v>0</v>
      </c>
      <c r="AM257" s="48">
        <f t="shared" ca="1" si="516"/>
        <v>0</v>
      </c>
      <c r="AN257" s="48">
        <f t="shared" ca="1" si="517"/>
        <v>0</v>
      </c>
      <c r="AO257" s="48">
        <f t="shared" ca="1" si="518"/>
        <v>0</v>
      </c>
      <c r="AP257" s="48">
        <f t="shared" ca="1" si="518"/>
        <v>0</v>
      </c>
      <c r="AZ257" s="48" t="str">
        <f t="shared" ca="1" si="484"/>
        <v/>
      </c>
      <c r="BA257" s="48">
        <f t="shared" ca="1" si="520"/>
        <v>0</v>
      </c>
      <c r="BB257" s="48">
        <f t="shared" ca="1" si="521"/>
        <v>0</v>
      </c>
      <c r="BC257" s="48">
        <f t="shared" ca="1" si="522"/>
        <v>0</v>
      </c>
      <c r="BD257" s="48">
        <f t="shared" ca="1" si="523"/>
        <v>0</v>
      </c>
      <c r="BE257" s="48">
        <f t="shared" ca="1" si="524"/>
        <v>0</v>
      </c>
      <c r="BF257" s="48">
        <f t="shared" si="485"/>
        <v>57</v>
      </c>
      <c r="BG257" s="48">
        <f ca="1">IF(IF(AND(OR(INDEX(PDC,MATCH($AC257,DEN_PDC,0),6)="SP DARE",INDEX(PDC,MATCH($AC257,DEN_PDC,0),6)="SP DARE/AVERE"),SUMIFS(DARE,DEN_G,$AC257)&gt;=SUMIFS(AVERE,DEN_G,$AC257)),SUMIFS(DARE,DEN_G,$AC257)-SUMIFS(AVERE,DEN_G,$AC257),0)&gt;0,MAX($BG$2:BG256)+1,0)</f>
        <v>0</v>
      </c>
      <c r="BH257" s="48">
        <f ca="1">IF(IF(AND(OR(INDEX(PDC,MATCH($AC257,DEN_PDC,0),6)="SP AVERE",INDEX(PDC,MATCH($AC257,DEN_PDC,0),6)="SP DARE/AVERE"),SUMIFS(AVERE,DEN_G,$AC257)&gt;=SUMIFS(DARE,DEN_G,$AC257)),SUMIFS(AVERE,DEN_G,$AC257)-SUMIFS(DARE,DEN_G,$AC257),0)&gt;0,MAX(BH$2:BH256)+1,0)</f>
        <v>0</v>
      </c>
      <c r="BI257" s="48">
        <f ca="1">IF(IF(AND(OR(INDEX(PDC,MATCH($AC257,DEN_PDC,0),6)="SE DARE",INDEX(PDC,MATCH($AC257,DEN_PDC,0),6)="SE DARE/AVERE"),SUMIFS(DARE,DEN_G,$AC257)&gt;=SUMIFS(AVERE,DEN_G,$AC257)),SUMIFS(DARE,DEN_G,$AC257)-SUMIFS(AVERE,DEN_G,$AC257),0)&gt;0,MAX(BI$2:BI256)+1,0)</f>
        <v>0</v>
      </c>
      <c r="BJ257" s="48">
        <f ca="1">IF(IF(AND(OR(INDEX(PDC,MATCH($AC257,DEN_PDC,0),6)="SE AVERE",INDEX(PDC,MATCH($AC257,DEN_PDC,0),6)="SE DARE/AVERE"),SUMIFS(AVERE,DEN_G,$AC257)&gt;=SUMIFS(DARE,DEN_G,$AC257)),SUMIFS(AVERE,DEN_G,$AC257)-SUMIFS(DARE,DEN_G,$AC257),0)&gt;0,MAX(BJ$2:BJ256)+1,0)</f>
        <v>0</v>
      </c>
      <c r="BK257" s="48" t="str">
        <f ca="1">IF(AND(AND($DY$2=0,$DY$1=0),$I$1=2,ROW()&gt;$BG$1+2,ROW()&lt;=$BG$1+4),"………………..",IF(AND(OR($DY$2&gt;0,$DY$1&gt;0),$I$1=2,ROW()&gt;$BG$1+2,ROW()&lt;=$BG$1+4),"………………..",IFERROR(INDEX($AC$3:$AC$398,MATCH(ROWS(BK$3:BK257),BG$3:BG$398,0),1),"")))</f>
        <v/>
      </c>
      <c r="BL257" s="48">
        <f t="shared" ca="1" si="421"/>
        <v>0</v>
      </c>
      <c r="BM257" s="48" t="str">
        <f ca="1">IF(AND(OR($DY$2=0,$DY$1=0),$I$1=2,ROW()&gt;$BH$1+2,ROW()&lt;=$BH$1+4),"………………..",IF(AND(OR($DY$2&gt;0,$DY$1&gt;0),$I$1=2,ROW()&gt;$BH$1+2,ROW()&lt;=$BH$1+4),"………………..",IFERROR(INDEX($AC$3:$AC$400,MATCH(ROWS(BM$3:BM257),BH$3:BH$400,0),1),"")))</f>
        <v/>
      </c>
      <c r="BN257" s="48">
        <f t="shared" ca="1" si="422"/>
        <v>0</v>
      </c>
      <c r="BO257" s="48" t="str">
        <f ca="1">IF(AND(OR($DY$2=0,$DY$1=0),$I$1=2,ROW()&gt;$BI$1+2,ROW()&lt;=$BI$1+4),"………………..",IF(AND(OR($DY$2&gt;0,$DY$1&gt;0),$I$1=2,ROW()&gt;$BI$1+2,ROW()&lt;=$BI$1+4),"………………..",IFERROR(INDEX($AC$3:$AC$400,MATCH(ROWS(BO$3:BO257),BI$3:BI$400,0),1),"")))</f>
        <v/>
      </c>
      <c r="BP257" s="48">
        <f t="shared" ca="1" si="423"/>
        <v>0</v>
      </c>
      <c r="BQ257" s="48" t="str">
        <f ca="1">IF(AND(OR($DY$2=0,$DY$1=0),$I$1=2,ROW()&gt;$BJ$1+2,ROW()&lt;=$BJ$1+4),"………………..",IF(AND(OR($DY$2&gt;0,$DY$1&gt;0),$I$1=2,ROW()&gt;$BJ$1+2,ROW()&lt;=$BJ$1+4),"………………..",IFERROR(INDEX($AC$3:$AC$400,MATCH(ROWS(BQ$3:BQ257),BJ$3:BJ$400,0),1),"")))</f>
        <v/>
      </c>
      <c r="BR257" s="48">
        <f t="shared" ca="1" si="424"/>
        <v>0</v>
      </c>
      <c r="BS257" s="48">
        <f ca="1">IF(IF(AND(OR(INDEX(PDC,MATCH($AC257,DEN_PDC,0),4)="D",INDEX(PDC,MATCH($AC257,DEN_PDC,0),4)="D/A"),SUMIFS(DARE,DEN_G,$AC257)&gt;=SUMIFS(AVERE,DEN_G,$AC257)),SUMIFS(DARE,DEN_G,$AC257),IF(AND(OR(INDEX(PDC,MATCH($AC257,DEN_PDC,0),4)="A",INDEX(PDC,MATCH($AC257,DEN_PDC,0),4)="D/A"),SUMIFS(AVERE,DEN_G,$AC257)&gt;=SUMIFS(DARE,DEN_G,$AC257)),SUMIFS(AVERE,DEN_G,$AC257),))&gt;0,MAX($BS$2:BS256)+1,0)</f>
        <v>0</v>
      </c>
      <c r="BT257" s="48" t="str">
        <f ca="1">IF($CO$1=0,"",IF(AND($I$1=2,ROW()&gt;$BR$1,ROW()&lt;=$BS$1)," …………….",IF(AND($E$1=1,$BX$1=1,$I$1=2,ROW()=$BQ$1),"TOTALI",IFERROR(INDEX(PDC,MATCH(ROWS(BT$3:BT257),BS$3:BS654,0),2),""))))</f>
        <v/>
      </c>
      <c r="BU257" s="48">
        <f t="shared" ca="1" si="425"/>
        <v>0</v>
      </c>
      <c r="BV257" s="48">
        <f t="shared" ca="1" si="426"/>
        <v>0</v>
      </c>
      <c r="BW257" s="48">
        <f t="shared" ca="1" si="427"/>
        <v>0</v>
      </c>
      <c r="BX257" s="48">
        <f t="shared" ca="1" si="428"/>
        <v>0</v>
      </c>
      <c r="BY257" s="48">
        <f ca="1">IF(OR(BW257&gt;0,BX257&gt;0),MAX($BY$2:BY256)+1,0)</f>
        <v>0</v>
      </c>
      <c r="BZ257" s="48" t="str">
        <f ca="1">IFERROR(INDEX($BT$3:$BY$400,MATCH(ROWS(BZ$3:BZ257),$BY$3:$BY$400,0),1),"")</f>
        <v/>
      </c>
      <c r="CA257" s="48" t="str">
        <f ca="1">IFERROR(INDEX($BT$3:$BY$400,MATCH(ROWS(CA$3:CA257),$BY$3:$BY$400,0),4),"")</f>
        <v/>
      </c>
      <c r="CB257" s="48" t="str">
        <f ca="1">IFERROR(INDEX($BT$3:$BY$400,MATCH(ROWS(CB$3:CB257),$BY$3:$BY$400,0),5),"")</f>
        <v/>
      </c>
      <c r="CC257" s="48" t="str">
        <f t="shared" ca="1" si="429"/>
        <v/>
      </c>
      <c r="CM257" s="242" t="str">
        <f t="shared" ca="1" si="444"/>
        <v/>
      </c>
      <c r="CN257" s="243">
        <f t="shared" ca="1" si="445"/>
        <v>0</v>
      </c>
      <c r="CO257" s="48" t="str">
        <f t="shared" ca="1" si="446"/>
        <v/>
      </c>
      <c r="CU257" s="48">
        <f ca="1">IF(SUMIFS(AVERE,DEN_G,AC257,AVERE,"&gt;"&amp;0)+SUMIFS(DARE,DEN_G,AC257,DARE,"&gt;"&amp;0)&gt;0,MAX($CU$2:CU256)+1,0)</f>
        <v>0</v>
      </c>
      <c r="CV257" s="48" t="str">
        <f ca="1">IF(IFERROR(INDEX(PDC,MATCH(ROWS($CV$3:CV257),$CU$3:$CU$400,0),2),"")="CONTO DI RISULTATO ECONOMICO","",IFERROR(INDEX(PDC,MATCH(ROWS($CV$3:CV257),$CU$3:$CU$400,0),2),""))</f>
        <v/>
      </c>
      <c r="CW257" s="48">
        <f ca="1">IFERROR(IF(CV257&lt;&gt;"",MAX($CW$2:CW256)+1,0),0)</f>
        <v>0</v>
      </c>
      <c r="CX257" s="48">
        <f t="shared" ca="1" si="538"/>
        <v>20</v>
      </c>
      <c r="CY257" s="48" t="str">
        <f t="shared" ca="1" si="537"/>
        <v>MASTRO</v>
      </c>
      <c r="CZ257" s="48" t="e">
        <f t="shared" ca="1" si="540"/>
        <v>#N/A</v>
      </c>
      <c r="DA257" s="48" t="str">
        <f t="shared" ca="1" si="547"/>
        <v/>
      </c>
      <c r="DB257" s="48" t="str">
        <f t="shared" ca="1" si="499"/>
        <v/>
      </c>
      <c r="DC257" s="48" t="str">
        <f t="shared" ca="1" si="541"/>
        <v/>
      </c>
      <c r="DD257" s="48" t="str">
        <f t="shared" ca="1" si="542"/>
        <v/>
      </c>
      <c r="DE257" s="48" t="str">
        <f t="shared" ca="1" si="543"/>
        <v/>
      </c>
      <c r="DF257" s="48">
        <f ca="1">IF(AND(CX257=$DF$1,CX257&lt;&gt;""),0,IF(AND(DB257&lt;&gt;"",OR(DB256&lt;&gt;"",DB258&lt;&gt;"")),MAX($DF$2:DF256)+1,0))</f>
        <v>0</v>
      </c>
      <c r="DH257" s="244" t="s">
        <v>1102</v>
      </c>
      <c r="DI257" s="48" t="s">
        <v>289</v>
      </c>
      <c r="DJ257" s="48" t="s">
        <v>311</v>
      </c>
      <c r="DK257" s="48" t="s">
        <v>298</v>
      </c>
      <c r="DL257" s="48" t="s">
        <v>8</v>
      </c>
      <c r="DM257" s="48" t="s">
        <v>300</v>
      </c>
      <c r="DN257" s="48">
        <f ca="1">IF(DI257&lt;&gt;"",MAX($DN$2:DN256)+1,0)</f>
        <v>199</v>
      </c>
      <c r="DO257" s="48" t="s">
        <v>708</v>
      </c>
      <c r="DW257" s="48">
        <f>IF(DR257&lt;&gt;"",MAX($DW$2:DW256)+1,0)</f>
        <v>0</v>
      </c>
      <c r="DY257" s="48" t="str">
        <f t="shared" ca="1" si="430"/>
        <v/>
      </c>
      <c r="EL257" s="48">
        <f t="shared" ca="1" si="431"/>
        <v>0</v>
      </c>
      <c r="EM257" s="48">
        <f ca="1">IF(EL257&gt;=0,0,MAX($EM$2:EM256)+1)</f>
        <v>0</v>
      </c>
      <c r="EN257" s="48" t="str">
        <f t="shared" ca="1" si="459"/>
        <v/>
      </c>
      <c r="EO257" s="48" t="str">
        <f ca="1">IFERROR(INDEX($EM$3:$EN$400,MATCH(ROWS($EO$3:EO257),$EM$3:$EM$400,0),2),"")</f>
        <v/>
      </c>
      <c r="EP257" s="48">
        <f>ROW()</f>
        <v>257</v>
      </c>
      <c r="EQ257" s="48">
        <f t="shared" ca="1" si="432"/>
        <v>0</v>
      </c>
      <c r="ER257" s="48">
        <f ca="1">IF(ISNA(EQ257)=TRUE,MAX($ER$2:ER256)+1,0)</f>
        <v>0</v>
      </c>
      <c r="ES257" s="48" t="str">
        <f t="shared" ca="1" si="460"/>
        <v/>
      </c>
      <c r="ET257" s="48" t="str">
        <f ca="1">IFERROR(INDEX($ER$3:$ES$400,MATCH(ROWS($ET$3:ET257),$ER$3:$ER$400,0),2),"")</f>
        <v/>
      </c>
      <c r="EV257" s="48">
        <f ca="1">IFERROR(INDEX(LIBRO_GIORNALE!$O$11:$P$408,MATCH(ROWS($EV$2:EV256),LIBRO_GIORNALE!$P$11:$P$408,0),1),0)</f>
        <v>0</v>
      </c>
      <c r="EW257" s="48" t="str">
        <f t="shared" ca="1" si="544"/>
        <v>0</v>
      </c>
      <c r="EX257" s="48">
        <f t="shared" ca="1" si="462"/>
        <v>0</v>
      </c>
      <c r="EY257" s="48">
        <f ca="1">IF(EX257&gt;0,MAX($EY$2:EY256)+1,0)</f>
        <v>0</v>
      </c>
      <c r="EZ257" s="48">
        <f ca="1">IFERROR(INDEX($EX$3:$EX$400,MATCH(ROWS($EZ$3:EZ257),$EY$3:$EY$400,0),1),0)</f>
        <v>0</v>
      </c>
      <c r="FA257" s="48">
        <f ca="1">IF(EZ257&gt;0,0,MAX($FA$2:FA256)+1)</f>
        <v>255</v>
      </c>
      <c r="FB257" s="48">
        <f t="shared" ca="1" si="545"/>
        <v>0</v>
      </c>
      <c r="FC257" s="48">
        <f t="shared" ca="1" si="546"/>
        <v>255</v>
      </c>
      <c r="FD257" s="48">
        <f t="shared" ca="1" si="465"/>
        <v>255</v>
      </c>
      <c r="FE257" s="48">
        <f ca="1">IF(FD257=0,0,MAX($FE$2:FE256)+1)</f>
        <v>255</v>
      </c>
      <c r="FF257" s="48">
        <f ca="1">IFERROR(INDEX($FD$3:$FE$400,MATCH(ROWS($FF$3:FF257),$FE$3:$FE$400,0),1),"")</f>
        <v>255</v>
      </c>
      <c r="FG257" s="48">
        <f t="shared" ca="1" si="519"/>
        <v>0</v>
      </c>
      <c r="FH257" s="48">
        <f t="shared" ca="1" si="466"/>
        <v>0</v>
      </c>
      <c r="FI257" s="48">
        <f ca="1">IF(FH257&lt;&gt;0,MAX($FI$2:FI256)+1,0)</f>
        <v>0</v>
      </c>
      <c r="FJ257" s="48" t="str">
        <f ca="1">IFERROR(INDEX($FH$3:$FI$400,MATCH(ROWS($FJ$3:FJ257),$FI$3:$FI$400,0),1),"")</f>
        <v/>
      </c>
      <c r="FK257" s="48">
        <f ca="1">IF(ABS(SUMIFS(DARE,DEN_G,"="&amp;FJ257,DATA,"&lt;="&amp;FINE_AC,DATA,"&gt;="&amp;INIZIO_A_PC)-SUMIFS(AVERE,DEN_G,"="&amp;FJ257,DATA,"&lt;="&amp;FINE_AC,DATA,"&gt;="&amp;INIZIO_A_PC))&gt;0,MAX($FK$2:FK256)+1,0)</f>
        <v>0</v>
      </c>
      <c r="FL257" s="48" t="str">
        <f ca="1">IF(AND(ROW()-2&lt;&gt;1,ROW()-2&lt;=$FK$1),CONCATENATE(" - ",IFERROR(INDEX($FJ$3:$FK$400,MATCH(ROWS($FL$3:FL257),$FK$3:$FK$400,0),1),"")),IFERROR(INDEX($FJ$3:$FK$400,MATCH(ROWS($FL$3:FL257),$FK$3:$FK$400,0),1),""))</f>
        <v/>
      </c>
      <c r="FM257" s="48">
        <f ca="1">IF(OR(B257="IVA ns/credito",B257="IVA NS/DEBITO",B257="IVA C/ACCONTO",B257="IMPOSTE C/ACCONTO",B257="CREDITI PER RITENUTE SUBITE",B257="CREDITI D'IMPOSTA"),MAX($FM$2:FM256)+1,0)</f>
        <v>0</v>
      </c>
      <c r="FN257" s="48" t="str">
        <f t="shared" ca="1" si="467"/>
        <v/>
      </c>
      <c r="FO257" s="48" t="str">
        <f ca="1">IFERROR(INDEX($FM$3:$FN$400,MATCH(ROWS($FO$3:FO257),$FM$3:$FM$400,0),2),"")</f>
        <v/>
      </c>
      <c r="FP257" s="48">
        <f ca="1">IF(ABS(SUMIFS(DARE,DEN_G,"="&amp;FO257,DATA,"&lt;="&amp;FINE_AC,DATA,"&gt;="&amp;INIZIO_A_PC)-SUMIFS(AVERE,DEN_G,"="&amp;FO257,DATA,"&lt;="&amp;FINE_AC,DATA,"&gt;="&amp;INIZIO_A_PC))&gt;0,MAX($FP$2:FP256)+1,0)</f>
        <v>0</v>
      </c>
      <c r="FQ257" s="48" t="str">
        <f ca="1">IF(AND(ROW()-2&lt;&gt;1,ROW()-2&lt;=$FP$1),CONCATENATE(" - ",IFERROR(INDEX($FO$3:$FP$400,MATCH(ROWS($FQ$3:FQ257),$FP$3:$FP$400,0),1),"")),IFERROR(INDEX($FO$3:$FP$400,MATCH(ROWS($FQ$3:FQ257),$FP$3:$FP$400,0),1),""))</f>
        <v/>
      </c>
    </row>
    <row r="258" spans="1:173" x14ac:dyDescent="0.3">
      <c r="A258" s="48" t="str">
        <f ca="1">IFERROR(IF($A$1=2,INDEX($DH$3:$DN$401,MATCH(ROWS(A$3:A258),$DN$3:$DN$401,0),COLUMN()),IF($A$1=1,INDEX($DQ$3:$DW$401,MATCH(ROWS(A$3:A258),$DW$3:$DW$401,0),COLUMN()),"")),"")</f>
        <v>34.06</v>
      </c>
      <c r="B258" s="48" t="str">
        <f ca="1">IFERROR(IF($A$1=2,INDEX($DH$3:$DN$401,MATCH(ROWS(B$3:B258),$DN$3:$DN$401,0),COLUMN()),IF($A$1=1,INDEX($DQ$3:$DW$400,MATCH(ROWS(B$3:B258),$DW$3:$DW$401,0),COLUMN()),"")),"")</f>
        <v>AMMORTAMENTO AVVIAMENTO</v>
      </c>
      <c r="C258" s="48" t="str">
        <f ca="1">IFERROR(IF($A$1=2,INDEX($DH$3:$DN$401,MATCH(ROWS(C$3:C258),$DN$3:$DN$401,0),COLUMN()),IF($A$1=1,INDEX($DQ$3:$DW$401,MATCH(ROWS(C$3:C258),$DW$3:$DW$401,0),COLUMN()),"")),"")</f>
        <v>E</v>
      </c>
      <c r="D258" s="48" t="str">
        <f ca="1">IFERROR(IF($A$1=2,INDEX($DH$3:$DN$401,MATCH(ROWS(D$3:D258),$DN$3:$DN$401,0),COLUMN()),IF($A$1=1,INDEX($DQ$3:$DW$401,MATCH(ROWS(D$3:D258),$DW$3:$DW$401,0),COLUMN()),"")),"")</f>
        <v>D</v>
      </c>
      <c r="E258" s="48" t="str">
        <f ca="1">IFERROR(IF($A$1=2,INDEX($DH$3:$DN$401,MATCH(ROWS(E$3:E258),$DN$3:$DN$401,0),COLUMN()),IF($A$1=1,INDEX($DQ$3:$DW$401,MATCH(ROWS(E$3:E258),$DW$3:$DW$401,0),COLUMN()),"")),"")</f>
        <v>COSTI D'ESERCIZIO</v>
      </c>
      <c r="F258" s="48" t="str">
        <f ca="1">IFERROR(IF($A$1=2,INDEX($DH$3:$DN$401,MATCH(ROWS(F$3:F258),$DN$3:$DN$401,0),COLUMN()),IF($A$1=1,INDEX($DQ$3:$DX$401,MATCH(ROWS(F$3:F258),$DW$3:$DW$401,0),COLUMN()),"")),"")</f>
        <v>SE DARE</v>
      </c>
      <c r="G258" s="48" t="str">
        <f t="shared" ca="1" si="433"/>
        <v>SE</v>
      </c>
      <c r="H258" s="48" t="str">
        <f ca="1">IFERROR(IF($A$1=2,INDEX($DH$3:$DO$400,MATCH(ROWS(H$3:H258),$DN$3:$DN$400,0),COLUMN()),IF($A$1=1,INDEX($DQ$3:$DX$400,MATCH(ROWS(H$3:H258),$DW$3:$DW$400,0),COLUMN()),"")),"")</f>
        <v>eb10a</v>
      </c>
      <c r="M258" s="48">
        <f ca="1">IFERROR(IF(IF(MID($A258,3,3)=".00",MID(A258,1,2),"")&lt;&gt;"",MAX($M$2:M257)+1,0),"")</f>
        <v>0</v>
      </c>
      <c r="N258" s="48" t="str">
        <f t="shared" ca="1" si="438"/>
        <v/>
      </c>
      <c r="O258" s="48" t="str">
        <f ca="1">IF(IFERROR(INDEX($N$3:$O$300,MATCH(ROWS($O$3:O258),$M$3:$M$300,0),1),"")&lt;&gt;"",CONCATENATE(INDEX($N$3:$O$300,MATCH(ROWS($O$3:O258),$M$3:$M$300,0),1),".00"),"")</f>
        <v/>
      </c>
      <c r="P258" s="48" t="str">
        <f t="shared" ca="1" si="439"/>
        <v/>
      </c>
      <c r="Q258" s="48">
        <f ca="1">IF(M258&gt;=1,0,MAX($Q$2:Q257)+1)</f>
        <v>230</v>
      </c>
      <c r="U258" s="48" t="str">
        <f ca="1">IFERROR(INDEX(PDC,MATCH(ROWS(U$3:U258),$V$3:$V$400,0),2),"")</f>
        <v>SOPRAVVENIENZE PASSIVE</v>
      </c>
      <c r="V258" s="48">
        <f ca="1">IF(AND($T$1="VISUALIZZA TUTTI I CONTI",AA258&lt;&gt;""),MAX($V$2:V257)+1,IF(AND($U$2=2,AI258=$T$1),MAX($V$2:V257)+1,IF(AND($U$2=1,$T$1=AF258),MAX($V$2:V257)+1,0)))</f>
        <v>256</v>
      </c>
      <c r="AA258" s="48" t="str">
        <f t="shared" ca="1" si="440"/>
        <v>39.00</v>
      </c>
      <c r="AB258" s="48" t="str">
        <f ca="1">IFERROR(INDEX($A$3:$G$400,MATCH(ROWS(AB$3:AB258),$Q$3:$Q$400,0),1),"")</f>
        <v>39.11</v>
      </c>
      <c r="AC258" s="48" t="str">
        <f ca="1">IFERROR(INDEX($A$3:$G$400,MATCH(ROWS($AC$3:AC258),$Q$3:$Q$400,0),2),"")</f>
        <v>SOPRAVVENIENZE PASSIVE</v>
      </c>
      <c r="AD258" s="48" t="str">
        <f ca="1">IFERROR(INDEX($A$3:$G$400,MATCH(ROWS(AD$3:AD258),$Q$3:$Q$400,0),3),"")</f>
        <v>E</v>
      </c>
      <c r="AE258" s="48" t="str">
        <f ca="1">IFERROR(INDEX($A$3:$G$400,MATCH(ROWS(AE$3:AE258),$Q$3:$Q$400,0),4),"")</f>
        <v>D</v>
      </c>
      <c r="AF258" s="48" t="str">
        <f ca="1">IFERROR(INDEX($A$3:$G$400,MATCH(ROWS(AF$3:AF258),$Q$3:$Q$400,0),5),"")</f>
        <v>COSTI D'ESERCIZIO</v>
      </c>
      <c r="AG258" s="48" t="str">
        <f ca="1">IFERROR(INDEX($A$3:$G$400,MATCH(ROWS(AG$3:AG258),$Q$3:$Q$400,0),6),"")</f>
        <v>SE DARE</v>
      </c>
      <c r="AH258" s="48" t="str">
        <f ca="1">IFERROR(INDEX($A$3:$G$400,MATCH(ROWS(AH$3:AH258),$Q$3:$Q$400,0),7),"")</f>
        <v>SE</v>
      </c>
      <c r="AI258" s="48" t="str">
        <f t="shared" ca="1" si="441"/>
        <v>ONERI DIVERSI</v>
      </c>
      <c r="AJ258" s="48" t="str">
        <f ca="1">IFERROR(INDEX($A$3:$H$400,MATCH(ROWS(AJ$3:AJ258),$Q$3:$Q$400,0),8),"")</f>
        <v>eb14</v>
      </c>
      <c r="AK258" s="48">
        <f t="shared" ca="1" si="417"/>
        <v>0</v>
      </c>
      <c r="AL258" s="48">
        <f t="shared" ca="1" si="515"/>
        <v>0</v>
      </c>
      <c r="AM258" s="48">
        <f t="shared" ca="1" si="516"/>
        <v>0</v>
      </c>
      <c r="AN258" s="48">
        <f t="shared" ca="1" si="517"/>
        <v>0</v>
      </c>
      <c r="AO258" s="48">
        <f t="shared" ca="1" si="518"/>
        <v>0</v>
      </c>
      <c r="AP258" s="48">
        <f t="shared" ca="1" si="518"/>
        <v>0</v>
      </c>
      <c r="AZ258" s="48" t="str">
        <f t="shared" ca="1" si="484"/>
        <v/>
      </c>
      <c r="BA258" s="48">
        <f t="shared" ca="1" si="520"/>
        <v>0</v>
      </c>
      <c r="BB258" s="48">
        <f t="shared" ca="1" si="521"/>
        <v>0</v>
      </c>
      <c r="BC258" s="48">
        <f t="shared" ca="1" si="522"/>
        <v>0</v>
      </c>
      <c r="BD258" s="48">
        <f t="shared" ca="1" si="523"/>
        <v>0</v>
      </c>
      <c r="BE258" s="48">
        <f t="shared" ca="1" si="524"/>
        <v>0</v>
      </c>
      <c r="BF258" s="48">
        <f t="shared" si="485"/>
        <v>58</v>
      </c>
      <c r="BG258" s="48">
        <f ca="1">IF(IF(AND(OR(INDEX(PDC,MATCH($AC258,DEN_PDC,0),6)="SP DARE",INDEX(PDC,MATCH($AC258,DEN_PDC,0),6)="SP DARE/AVERE"),SUMIFS(DARE,DEN_G,$AC258)&gt;=SUMIFS(AVERE,DEN_G,$AC258)),SUMIFS(DARE,DEN_G,$AC258)-SUMIFS(AVERE,DEN_G,$AC258),0)&gt;0,MAX($BG$2:BG257)+1,0)</f>
        <v>0</v>
      </c>
      <c r="BH258" s="48">
        <f ca="1">IF(IF(AND(OR(INDEX(PDC,MATCH($AC258,DEN_PDC,0),6)="SP AVERE",INDEX(PDC,MATCH($AC258,DEN_PDC,0),6)="SP DARE/AVERE"),SUMIFS(AVERE,DEN_G,$AC258)&gt;=SUMIFS(DARE,DEN_G,$AC258)),SUMIFS(AVERE,DEN_G,$AC258)-SUMIFS(DARE,DEN_G,$AC258),0)&gt;0,MAX(BH$2:BH257)+1,0)</f>
        <v>0</v>
      </c>
      <c r="BI258" s="48">
        <f ca="1">IF(IF(AND(OR(INDEX(PDC,MATCH($AC258,DEN_PDC,0),6)="SE DARE",INDEX(PDC,MATCH($AC258,DEN_PDC,0),6)="SE DARE/AVERE"),SUMIFS(DARE,DEN_G,$AC258)&gt;=SUMIFS(AVERE,DEN_G,$AC258)),SUMIFS(DARE,DEN_G,$AC258)-SUMIFS(AVERE,DEN_G,$AC258),0)&gt;0,MAX(BI$2:BI257)+1,0)</f>
        <v>0</v>
      </c>
      <c r="BJ258" s="48">
        <f ca="1">IF(IF(AND(OR(INDEX(PDC,MATCH($AC258,DEN_PDC,0),6)="SE AVERE",INDEX(PDC,MATCH($AC258,DEN_PDC,0),6)="SE DARE/AVERE"),SUMIFS(AVERE,DEN_G,$AC258)&gt;=SUMIFS(DARE,DEN_G,$AC258)),SUMIFS(AVERE,DEN_G,$AC258)-SUMIFS(DARE,DEN_G,$AC258),0)&gt;0,MAX(BJ$2:BJ257)+1,0)</f>
        <v>0</v>
      </c>
      <c r="BK258" s="48" t="str">
        <f ca="1">IF(AND(AND($DY$2=0,$DY$1=0),$I$1=2,ROW()&gt;$BG$1+2,ROW()&lt;=$BG$1+4),"………………..",IF(AND(OR($DY$2&gt;0,$DY$1&gt;0),$I$1=2,ROW()&gt;$BG$1+2,ROW()&lt;=$BG$1+4),"………………..",IFERROR(INDEX($AC$3:$AC$398,MATCH(ROWS(BK$3:BK258),BG$3:BG$398,0),1),"")))</f>
        <v/>
      </c>
      <c r="BL258" s="48">
        <f t="shared" ca="1" si="421"/>
        <v>0</v>
      </c>
      <c r="BM258" s="48" t="str">
        <f ca="1">IF(AND(OR($DY$2=0,$DY$1=0),$I$1=2,ROW()&gt;$BH$1+2,ROW()&lt;=$BH$1+4),"………………..",IF(AND(OR($DY$2&gt;0,$DY$1&gt;0),$I$1=2,ROW()&gt;$BH$1+2,ROW()&lt;=$BH$1+4),"………………..",IFERROR(INDEX($AC$3:$AC$400,MATCH(ROWS(BM$3:BM258),BH$3:BH$400,0),1),"")))</f>
        <v/>
      </c>
      <c r="BN258" s="48">
        <f t="shared" ca="1" si="422"/>
        <v>0</v>
      </c>
      <c r="BO258" s="48" t="str">
        <f ca="1">IF(AND(OR($DY$2=0,$DY$1=0),$I$1=2,ROW()&gt;$BI$1+2,ROW()&lt;=$BI$1+4),"………………..",IF(AND(OR($DY$2&gt;0,$DY$1&gt;0),$I$1=2,ROW()&gt;$BI$1+2,ROW()&lt;=$BI$1+4),"………………..",IFERROR(INDEX($AC$3:$AC$400,MATCH(ROWS(BO$3:BO258),BI$3:BI$400,0),1),"")))</f>
        <v/>
      </c>
      <c r="BP258" s="48">
        <f t="shared" ca="1" si="423"/>
        <v>0</v>
      </c>
      <c r="BQ258" s="48" t="str">
        <f ca="1">IF(AND(OR($DY$2=0,$DY$1=0),$I$1=2,ROW()&gt;$BJ$1+2,ROW()&lt;=$BJ$1+4),"………………..",IF(AND(OR($DY$2&gt;0,$DY$1&gt;0),$I$1=2,ROW()&gt;$BJ$1+2,ROW()&lt;=$BJ$1+4),"………………..",IFERROR(INDEX($AC$3:$AC$400,MATCH(ROWS(BQ$3:BQ258),BJ$3:BJ$400,0),1),"")))</f>
        <v/>
      </c>
      <c r="BR258" s="48">
        <f t="shared" ca="1" si="424"/>
        <v>0</v>
      </c>
      <c r="BS258" s="48">
        <f ca="1">IF(IF(AND(OR(INDEX(PDC,MATCH($AC258,DEN_PDC,0),4)="D",INDEX(PDC,MATCH($AC258,DEN_PDC,0),4)="D/A"),SUMIFS(DARE,DEN_G,$AC258)&gt;=SUMIFS(AVERE,DEN_G,$AC258)),SUMIFS(DARE,DEN_G,$AC258),IF(AND(OR(INDEX(PDC,MATCH($AC258,DEN_PDC,0),4)="A",INDEX(PDC,MATCH($AC258,DEN_PDC,0),4)="D/A"),SUMIFS(AVERE,DEN_G,$AC258)&gt;=SUMIFS(DARE,DEN_G,$AC258)),SUMIFS(AVERE,DEN_G,$AC258),))&gt;0,MAX($BS$2:BS257)+1,0)</f>
        <v>0</v>
      </c>
      <c r="BT258" s="48" t="str">
        <f ca="1">IF($CO$1=0,"",IF(AND($I$1=2,ROW()&gt;$BR$1,ROW()&lt;=$BS$1)," …………….",IF(AND($E$1=1,$BX$1=1,$I$1=2,ROW()=$BQ$1),"TOTALI",IFERROR(INDEX(PDC,MATCH(ROWS(BT$3:BT258),BS$3:BS655,0),2),""))))</f>
        <v/>
      </c>
      <c r="BU258" s="48">
        <f t="shared" ca="1" si="425"/>
        <v>0</v>
      </c>
      <c r="BV258" s="48">
        <f t="shared" ca="1" si="426"/>
        <v>0</v>
      </c>
      <c r="BW258" s="48">
        <f t="shared" ca="1" si="427"/>
        <v>0</v>
      </c>
      <c r="BX258" s="48">
        <f t="shared" ca="1" si="428"/>
        <v>0</v>
      </c>
      <c r="BY258" s="48">
        <f ca="1">IF(OR(BW258&gt;0,BX258&gt;0),MAX($BY$2:BY257)+1,0)</f>
        <v>0</v>
      </c>
      <c r="BZ258" s="48" t="str">
        <f ca="1">IFERROR(INDEX($BT$3:$BY$400,MATCH(ROWS(BZ$3:BZ258),$BY$3:$BY$400,0),1),"")</f>
        <v/>
      </c>
      <c r="CA258" s="48" t="str">
        <f ca="1">IFERROR(INDEX($BT$3:$BY$400,MATCH(ROWS(CA$3:CA258),$BY$3:$BY$400,0),4),"")</f>
        <v/>
      </c>
      <c r="CB258" s="48" t="str">
        <f ca="1">IFERROR(INDEX($BT$3:$BY$400,MATCH(ROWS(CB$3:CB258),$BY$3:$BY$400,0),5),"")</f>
        <v/>
      </c>
      <c r="CC258" s="48" t="str">
        <f t="shared" ca="1" si="429"/>
        <v/>
      </c>
      <c r="CM258" s="242" t="str">
        <f t="shared" ca="1" si="444"/>
        <v/>
      </c>
      <c r="CN258" s="243">
        <f t="shared" ca="1" si="445"/>
        <v>0</v>
      </c>
      <c r="CO258" s="48" t="str">
        <f t="shared" ca="1" si="446"/>
        <v/>
      </c>
      <c r="CU258" s="48">
        <f ca="1">IF(SUMIFS(AVERE,DEN_G,AC258,AVERE,"&gt;"&amp;0)+SUMIFS(DARE,DEN_G,AC258,DARE,"&gt;"&amp;0)&gt;0,MAX($CU$2:CU257)+1,0)</f>
        <v>0</v>
      </c>
      <c r="CV258" s="48" t="str">
        <f ca="1">IF(IFERROR(INDEX(PDC,MATCH(ROWS($CV$3:CV258),$CU$3:$CU$400,0),2),"")="CONTO DI RISULTATO ECONOMICO","",IFERROR(INDEX(PDC,MATCH(ROWS($CV$3:CV258),$CU$3:$CU$400,0),2),""))</f>
        <v/>
      </c>
      <c r="CW258" s="48">
        <f ca="1">IFERROR(IF(CV258&lt;&gt;"",MAX($CW$2:CW257)+1,0),0)</f>
        <v>0</v>
      </c>
      <c r="CX258" s="48">
        <f t="shared" ca="1" si="538"/>
        <v>20</v>
      </c>
      <c r="CY258" s="48" t="str">
        <f t="shared" ca="1" si="537"/>
        <v>MASTRO</v>
      </c>
      <c r="CZ258" s="48" t="e">
        <f t="shared" ca="1" si="540"/>
        <v>#N/A</v>
      </c>
      <c r="DA258" s="48" t="str">
        <f t="shared" ca="1" si="547"/>
        <v/>
      </c>
      <c r="DB258" s="48" t="str">
        <f t="shared" ca="1" si="499"/>
        <v/>
      </c>
      <c r="DC258" s="48" t="str">
        <f t="shared" ca="1" si="541"/>
        <v/>
      </c>
      <c r="DD258" s="48" t="str">
        <f t="shared" ca="1" si="542"/>
        <v/>
      </c>
      <c r="DE258" s="48" t="str">
        <f t="shared" ca="1" si="543"/>
        <v/>
      </c>
      <c r="DF258" s="48">
        <f ca="1">IF(AND(CX258=$DF$1,CX258&lt;&gt;""),0,IF(AND(DB258&lt;&gt;"",OR(DB257&lt;&gt;"",DB259&lt;&gt;"")),MAX($DF$2:DF257)+1,0))</f>
        <v>0</v>
      </c>
      <c r="DH258" s="244" t="s">
        <v>1103</v>
      </c>
      <c r="DI258" s="48" t="s">
        <v>705</v>
      </c>
      <c r="DJ258" s="48" t="s">
        <v>311</v>
      </c>
      <c r="DK258" s="48" t="s">
        <v>298</v>
      </c>
      <c r="DL258" s="48" t="s">
        <v>8</v>
      </c>
      <c r="DM258" s="48" t="s">
        <v>300</v>
      </c>
      <c r="DN258" s="48">
        <f ca="1">IF(DI258&lt;&gt;"",MAX($DN$2:DN257)+1,0)</f>
        <v>200</v>
      </c>
      <c r="DO258" s="48" t="s">
        <v>708</v>
      </c>
      <c r="DW258" s="48">
        <f>IF(DR258&lt;&gt;"",MAX($DW$2:DW257)+1,0)</f>
        <v>0</v>
      </c>
      <c r="DY258" s="48" t="str">
        <f t="shared" ca="1" si="430"/>
        <v/>
      </c>
      <c r="EL258" s="48">
        <f t="shared" ca="1" si="431"/>
        <v>0</v>
      </c>
      <c r="EM258" s="48">
        <f ca="1">IF(EL258&gt;=0,0,MAX($EM$2:EM257)+1)</f>
        <v>0</v>
      </c>
      <c r="EN258" s="48" t="str">
        <f t="shared" ca="1" si="459"/>
        <v/>
      </c>
      <c r="EO258" s="48" t="str">
        <f ca="1">IFERROR(INDEX($EM$3:$EN$400,MATCH(ROWS($EO$3:EO258),$EM$3:$EM$400,0),2),"")</f>
        <v/>
      </c>
      <c r="EP258" s="48">
        <f>ROW()</f>
        <v>258</v>
      </c>
      <c r="EQ258" s="48">
        <f t="shared" ca="1" si="432"/>
        <v>0</v>
      </c>
      <c r="ER258" s="48">
        <f ca="1">IF(ISNA(EQ258)=TRUE,MAX($ER$2:ER257)+1,0)</f>
        <v>0</v>
      </c>
      <c r="ES258" s="48" t="str">
        <f t="shared" ca="1" si="460"/>
        <v/>
      </c>
      <c r="ET258" s="48" t="str">
        <f ca="1">IFERROR(INDEX($ER$3:$ES$400,MATCH(ROWS($ET$3:ET258),$ER$3:$ER$400,0),2),"")</f>
        <v/>
      </c>
      <c r="EV258" s="48">
        <f ca="1">IFERROR(INDEX(LIBRO_GIORNALE!$O$11:$P$408,MATCH(ROWS($EV$2:EV257),LIBRO_GIORNALE!$P$11:$P$408,0),1),0)</f>
        <v>0</v>
      </c>
      <c r="EW258" s="48" t="str">
        <f t="shared" ca="1" si="544"/>
        <v>0</v>
      </c>
      <c r="EX258" s="48">
        <f t="shared" ca="1" si="462"/>
        <v>0</v>
      </c>
      <c r="EY258" s="48">
        <f ca="1">IF(EX258&gt;0,MAX($EY$2:EY257)+1,0)</f>
        <v>0</v>
      </c>
      <c r="EZ258" s="48">
        <f ca="1">IFERROR(INDEX($EX$3:$EX$400,MATCH(ROWS($EZ$3:EZ258),$EY$3:$EY$400,0),1),0)</f>
        <v>0</v>
      </c>
      <c r="FA258" s="48">
        <f ca="1">IF(EZ258&gt;0,0,MAX($FA$2:FA257)+1)</f>
        <v>256</v>
      </c>
      <c r="FB258" s="48">
        <f t="shared" ca="1" si="545"/>
        <v>0</v>
      </c>
      <c r="FC258" s="48">
        <f t="shared" ca="1" si="546"/>
        <v>256</v>
      </c>
      <c r="FD258" s="48">
        <f t="shared" ca="1" si="465"/>
        <v>256</v>
      </c>
      <c r="FE258" s="48">
        <f ca="1">IF(FD258=0,0,MAX($FE$2:FE257)+1)</f>
        <v>256</v>
      </c>
      <c r="FF258" s="48">
        <f ca="1">IFERROR(INDEX($FD$3:$FE$400,MATCH(ROWS($FF$3:FF258),$FE$3:$FE$400,0),1),"")</f>
        <v>256</v>
      </c>
      <c r="FG258" s="48">
        <f t="shared" ca="1" si="519"/>
        <v>0</v>
      </c>
      <c r="FH258" s="48">
        <f t="shared" ca="1" si="466"/>
        <v>0</v>
      </c>
      <c r="FI258" s="48">
        <f ca="1">IF(FH258&lt;&gt;0,MAX($FI$2:FI257)+1,0)</f>
        <v>0</v>
      </c>
      <c r="FJ258" s="48" t="str">
        <f ca="1">IFERROR(INDEX($FH$3:$FI$400,MATCH(ROWS($FJ$3:FJ258),$FI$3:$FI$400,0),1),"")</f>
        <v/>
      </c>
      <c r="FK258" s="48">
        <f ca="1">IF(ABS(SUMIFS(DARE,DEN_G,"="&amp;FJ258,DATA,"&lt;="&amp;FINE_AC,DATA,"&gt;="&amp;INIZIO_A_PC)-SUMIFS(AVERE,DEN_G,"="&amp;FJ258,DATA,"&lt;="&amp;FINE_AC,DATA,"&gt;="&amp;INIZIO_A_PC))&gt;0,MAX($FK$2:FK257)+1,0)</f>
        <v>0</v>
      </c>
      <c r="FL258" s="48" t="str">
        <f ca="1">IF(AND(ROW()-2&lt;&gt;1,ROW()-2&lt;=$FK$1),CONCATENATE(" - ",IFERROR(INDEX($FJ$3:$FK$400,MATCH(ROWS($FL$3:FL258),$FK$3:$FK$400,0),1),"")),IFERROR(INDEX($FJ$3:$FK$400,MATCH(ROWS($FL$3:FL258),$FK$3:$FK$400,0),1),""))</f>
        <v/>
      </c>
      <c r="FM258" s="48">
        <f ca="1">IF(OR(B258="IVA ns/credito",B258="IVA NS/DEBITO",B258="IVA C/ACCONTO",B258="IMPOSTE C/ACCONTO",B258="CREDITI PER RITENUTE SUBITE",B258="CREDITI D'IMPOSTA"),MAX($FM$2:FM257)+1,0)</f>
        <v>0</v>
      </c>
      <c r="FN258" s="48" t="str">
        <f t="shared" ca="1" si="467"/>
        <v/>
      </c>
      <c r="FO258" s="48" t="str">
        <f ca="1">IFERROR(INDEX($FM$3:$FN$400,MATCH(ROWS($FO$3:FO258),$FM$3:$FM$400,0),2),"")</f>
        <v/>
      </c>
      <c r="FP258" s="48">
        <f ca="1">IF(ABS(SUMIFS(DARE,DEN_G,"="&amp;FO258,DATA,"&lt;="&amp;FINE_AC,DATA,"&gt;="&amp;INIZIO_A_PC)-SUMIFS(AVERE,DEN_G,"="&amp;FO258,DATA,"&lt;="&amp;FINE_AC,DATA,"&gt;="&amp;INIZIO_A_PC))&gt;0,MAX($FP$2:FP257)+1,0)</f>
        <v>0</v>
      </c>
      <c r="FQ258" s="48" t="str">
        <f ca="1">IF(AND(ROW()-2&lt;&gt;1,ROW()-2&lt;=$FP$1),CONCATENATE(" - ",IFERROR(INDEX($FO$3:$FP$400,MATCH(ROWS($FQ$3:FQ258),$FP$3:$FP$400,0),1),"")),IFERROR(INDEX($FO$3:$FP$400,MATCH(ROWS($FQ$3:FQ258),$FP$3:$FP$400,0),1),""))</f>
        <v/>
      </c>
    </row>
    <row r="259" spans="1:173" x14ac:dyDescent="0.3">
      <c r="A259" s="48" t="str">
        <f ca="1">IFERROR(IF($A$1=2,INDEX($DH$3:$DN$401,MATCH(ROWS(A$3:A259),$DN$3:$DN$401,0),COLUMN()),IF($A$1=1,INDEX($DQ$3:$DW$401,MATCH(ROWS(A$3:A259),$DW$3:$DW$401,0),COLUMN()),"")),"")</f>
        <v>35.00</v>
      </c>
      <c r="B259" s="48" t="str">
        <f ca="1">IFERROR(IF($A$1=2,INDEX($DH$3:$DN$401,MATCH(ROWS(B$3:B259),$DN$3:$DN$401,0),COLUMN()),IF($A$1=1,INDEX($DQ$3:$DW$400,MATCH(ROWS(B$3:B259),$DW$3:$DW$401,0),COLUMN()),"")),"")</f>
        <v>AMMORTAMENTI IMMOBILIZZAZIONI MATERIALI</v>
      </c>
      <c r="C259" s="48">
        <f ca="1">IFERROR(IF($A$1=2,INDEX($DH$3:$DN$401,MATCH(ROWS(C$3:C259),$DN$3:$DN$401,0),COLUMN()),IF($A$1=1,INDEX($DQ$3:$DW$401,MATCH(ROWS(C$3:C259),$DW$3:$DW$401,0),COLUMN()),"")),"")</f>
        <v>0</v>
      </c>
      <c r="D259" s="48">
        <f ca="1">IFERROR(IF($A$1=2,INDEX($DH$3:$DN$401,MATCH(ROWS(D$3:D259),$DN$3:$DN$401,0),COLUMN()),IF($A$1=1,INDEX($DQ$3:$DW$401,MATCH(ROWS(D$3:D259),$DW$3:$DW$401,0),COLUMN()),"")),"")</f>
        <v>0</v>
      </c>
      <c r="E259" s="48">
        <f ca="1">IFERROR(IF($A$1=2,INDEX($DH$3:$DN$401,MATCH(ROWS(E$3:E259),$DN$3:$DN$401,0),COLUMN()),IF($A$1=1,INDEX($DQ$3:$DW$401,MATCH(ROWS(E$3:E259),$DW$3:$DW$401,0),COLUMN()),"")),"")</f>
        <v>0</v>
      </c>
      <c r="F259" s="48">
        <f ca="1">IFERROR(IF($A$1=2,INDEX($DH$3:$DN$401,MATCH(ROWS(F$3:F259),$DN$3:$DN$401,0),COLUMN()),IF($A$1=1,INDEX($DQ$3:$DX$401,MATCH(ROWS(F$3:F259),$DW$3:$DW$401,0),COLUMN()),"")),"")</f>
        <v>0</v>
      </c>
      <c r="G259" s="48" t="str">
        <f t="shared" ca="1" si="433"/>
        <v>0</v>
      </c>
      <c r="H259" s="48">
        <f ca="1">IFERROR(IF($A$1=2,INDEX($DH$3:$DO$400,MATCH(ROWS(H$3:H259),$DN$3:$DN$400,0),COLUMN()),IF($A$1=1,INDEX($DQ$3:$DX$400,MATCH(ROWS(H$3:H259),$DW$3:$DW$400,0),COLUMN()),"")),"")</f>
        <v>0</v>
      </c>
      <c r="M259" s="48">
        <f ca="1">IFERROR(IF(IF(MID($A259,3,3)=".00",MID(A259,1,2),"")&lt;&gt;"",MAX($M$2:M258)+1,0),"")</f>
        <v>27</v>
      </c>
      <c r="N259" s="48" t="str">
        <f t="shared" ca="1" si="438"/>
        <v>35</v>
      </c>
      <c r="O259" s="48" t="str">
        <f ca="1">IF(IFERROR(INDEX($N$3:$O$300,MATCH(ROWS($O$3:O259),$M$3:$M$300,0),1),"")&lt;&gt;"",CONCATENATE(INDEX($N$3:$O$300,MATCH(ROWS($O$3:O259),$M$3:$M$300,0),1),".00"),"")</f>
        <v/>
      </c>
      <c r="P259" s="48" t="str">
        <f t="shared" ca="1" si="439"/>
        <v/>
      </c>
      <c r="Q259" s="48">
        <f ca="1">IF(M259&gt;=1,0,MAX($Q$2:Q258)+1)</f>
        <v>0</v>
      </c>
      <c r="U259" s="48" t="str">
        <f ca="1">IFERROR(INDEX(PDC,MATCH(ROWS(U$3:U259),$V$3:$V$400,0),2),"")</f>
        <v>INSUSSISTENZE PASSIVE</v>
      </c>
      <c r="V259" s="48">
        <f ca="1">IF(AND($T$1="VISUALIZZA TUTTI I CONTI",AA259&lt;&gt;""),MAX($V$2:V258)+1,IF(AND($U$2=2,AI259=$T$1),MAX($V$2:V258)+1,IF(AND($U$2=1,$T$1=AF259),MAX($V$2:V258)+1,0)))</f>
        <v>257</v>
      </c>
      <c r="AA259" s="48" t="str">
        <f t="shared" ca="1" si="440"/>
        <v>39.00</v>
      </c>
      <c r="AB259" s="48" t="str">
        <f ca="1">IFERROR(INDEX($A$3:$G$400,MATCH(ROWS(AB$3:AB259),$Q$3:$Q$400,0),1),"")</f>
        <v>39.12</v>
      </c>
      <c r="AC259" s="48" t="str">
        <f ca="1">IFERROR(INDEX($A$3:$G$400,MATCH(ROWS($AC$3:AC259),$Q$3:$Q$400,0),2),"")</f>
        <v>INSUSSISTENZE PASSIVE</v>
      </c>
      <c r="AD259" s="48" t="str">
        <f ca="1">IFERROR(INDEX($A$3:$G$400,MATCH(ROWS(AD$3:AD259),$Q$3:$Q$400,0),3),"")</f>
        <v>E</v>
      </c>
      <c r="AE259" s="48" t="str">
        <f ca="1">IFERROR(INDEX($A$3:$G$400,MATCH(ROWS(AE$3:AE259),$Q$3:$Q$400,0),4),"")</f>
        <v>D</v>
      </c>
      <c r="AF259" s="48" t="str">
        <f ca="1">IFERROR(INDEX($A$3:$G$400,MATCH(ROWS(AF$3:AF259),$Q$3:$Q$400,0),5),"")</f>
        <v>COSTI D'ESERCIZIO</v>
      </c>
      <c r="AG259" s="48" t="str">
        <f ca="1">IFERROR(INDEX($A$3:$G$400,MATCH(ROWS(AG$3:AG259),$Q$3:$Q$400,0),6),"")</f>
        <v>SE DARE</v>
      </c>
      <c r="AH259" s="48" t="str">
        <f ca="1">IFERROR(INDEX($A$3:$G$400,MATCH(ROWS(AH$3:AH259),$Q$3:$Q$400,0),7),"")</f>
        <v>SE</v>
      </c>
      <c r="AI259" s="48" t="str">
        <f t="shared" ca="1" si="441"/>
        <v>ONERI DIVERSI</v>
      </c>
      <c r="AJ259" s="48" t="str">
        <f ca="1">IFERROR(INDEX($A$3:$H$400,MATCH(ROWS(AJ$3:AJ259),$Q$3:$Q$400,0),8),"")</f>
        <v>eb14</v>
      </c>
      <c r="AK259" s="48">
        <f t="shared" ref="AK259:AK302" ca="1" si="548">IFERROR(INDEX(PDC,MATCH(AM259,DEN_PDC,0),6),0)</f>
        <v>0</v>
      </c>
      <c r="AL259" s="48">
        <f t="shared" ca="1" si="515"/>
        <v>0</v>
      </c>
      <c r="AM259" s="48">
        <f t="shared" ca="1" si="516"/>
        <v>0</v>
      </c>
      <c r="AN259" s="48">
        <f t="shared" ca="1" si="517"/>
        <v>0</v>
      </c>
      <c r="AO259" s="48">
        <f t="shared" ca="1" si="518"/>
        <v>0</v>
      </c>
      <c r="AP259" s="48">
        <f t="shared" ca="1" si="518"/>
        <v>0</v>
      </c>
      <c r="AZ259" s="48" t="str">
        <f t="shared" ca="1" si="484"/>
        <v/>
      </c>
      <c r="BA259" s="48">
        <f t="shared" ca="1" si="520"/>
        <v>0</v>
      </c>
      <c r="BB259" s="48">
        <f t="shared" ca="1" si="521"/>
        <v>0</v>
      </c>
      <c r="BC259" s="48">
        <f t="shared" ca="1" si="522"/>
        <v>0</v>
      </c>
      <c r="BD259" s="48">
        <f t="shared" ca="1" si="523"/>
        <v>0</v>
      </c>
      <c r="BE259" s="48">
        <f t="shared" ca="1" si="524"/>
        <v>0</v>
      </c>
      <c r="BF259" s="48">
        <f t="shared" si="485"/>
        <v>59</v>
      </c>
      <c r="BG259" s="48">
        <f ca="1">IF(IF(AND(OR(INDEX(PDC,MATCH($AC259,DEN_PDC,0),6)="SP DARE",INDEX(PDC,MATCH($AC259,DEN_PDC,0),6)="SP DARE/AVERE"),SUMIFS(DARE,DEN_G,$AC259)&gt;=SUMIFS(AVERE,DEN_G,$AC259)),SUMIFS(DARE,DEN_G,$AC259)-SUMIFS(AVERE,DEN_G,$AC259),0)&gt;0,MAX($BG$2:BG258)+1,0)</f>
        <v>0</v>
      </c>
      <c r="BH259" s="48">
        <f ca="1">IF(IF(AND(OR(INDEX(PDC,MATCH($AC259,DEN_PDC,0),6)="SP AVERE",INDEX(PDC,MATCH($AC259,DEN_PDC,0),6)="SP DARE/AVERE"),SUMIFS(AVERE,DEN_G,$AC259)&gt;=SUMIFS(DARE,DEN_G,$AC259)),SUMIFS(AVERE,DEN_G,$AC259)-SUMIFS(DARE,DEN_G,$AC259),0)&gt;0,MAX(BH$2:BH258)+1,0)</f>
        <v>0</v>
      </c>
      <c r="BI259" s="48">
        <f ca="1">IF(IF(AND(OR(INDEX(PDC,MATCH($AC259,DEN_PDC,0),6)="SE DARE",INDEX(PDC,MATCH($AC259,DEN_PDC,0),6)="SE DARE/AVERE"),SUMIFS(DARE,DEN_G,$AC259)&gt;=SUMIFS(AVERE,DEN_G,$AC259)),SUMIFS(DARE,DEN_G,$AC259)-SUMIFS(AVERE,DEN_G,$AC259),0)&gt;0,MAX(BI$2:BI258)+1,0)</f>
        <v>0</v>
      </c>
      <c r="BJ259" s="48">
        <f ca="1">IF(IF(AND(OR(INDEX(PDC,MATCH($AC259,DEN_PDC,0),6)="SE AVERE",INDEX(PDC,MATCH($AC259,DEN_PDC,0),6)="SE DARE/AVERE"),SUMIFS(AVERE,DEN_G,$AC259)&gt;=SUMIFS(DARE,DEN_G,$AC259)),SUMIFS(AVERE,DEN_G,$AC259)-SUMIFS(DARE,DEN_G,$AC259),0)&gt;0,MAX(BJ$2:BJ258)+1,0)</f>
        <v>0</v>
      </c>
      <c r="BK259" s="48" t="str">
        <f ca="1">IF(AND(AND($DY$2=0,$DY$1=0),$I$1=2,ROW()&gt;$BG$1+2,ROW()&lt;=$BG$1+4),"………………..",IF(AND(OR($DY$2&gt;0,$DY$1&gt;0),$I$1=2,ROW()&gt;$BG$1+2,ROW()&lt;=$BG$1+4),"………………..",IFERROR(INDEX($AC$3:$AC$398,MATCH(ROWS(BK$3:BK259),BG$3:BG$398,0),1),"")))</f>
        <v/>
      </c>
      <c r="BL259" s="48">
        <f t="shared" ref="BL259:BL322" ca="1" si="549">IF(BK259&lt;&gt;0,SUMIFS(DARE,DEN_G,$BK259)-SUMIFS(AVERE,DEN_G,$BK259),0)</f>
        <v>0</v>
      </c>
      <c r="BM259" s="48" t="str">
        <f ca="1">IF(AND(OR($DY$2=0,$DY$1=0),$I$1=2,ROW()&gt;$BH$1+2,ROW()&lt;=$BH$1+4),"………………..",IF(AND(OR($DY$2&gt;0,$DY$1&gt;0),$I$1=2,ROW()&gt;$BH$1+2,ROW()&lt;=$BH$1+4),"………………..",IFERROR(INDEX($AC$3:$AC$400,MATCH(ROWS(BM$3:BM259),BH$3:BH$400,0),1),"")))</f>
        <v/>
      </c>
      <c r="BN259" s="48">
        <f t="shared" ref="BN259:BN322" ca="1" si="550">IF(AND($I$1=2,BM259="……………….."),"_ _ _",IF(BM259&lt;&gt;0,SUMIFS(AVERE,DEN_G,$BM259)-SUMIFS(DARE,DEN_G,$BM259),0))</f>
        <v>0</v>
      </c>
      <c r="BO259" s="48" t="str">
        <f ca="1">IF(AND(OR($DY$2=0,$DY$1=0),$I$1=2,ROW()&gt;$BI$1+2,ROW()&lt;=$BI$1+4),"………………..",IF(AND(OR($DY$2&gt;0,$DY$1&gt;0),$I$1=2,ROW()&gt;$BI$1+2,ROW()&lt;=$BI$1+4),"………………..",IFERROR(INDEX($AC$3:$AC$400,MATCH(ROWS(BO$3:BO259),BI$3:BI$400,0),1),"")))</f>
        <v/>
      </c>
      <c r="BP259" s="48">
        <f t="shared" ref="BP259:BP322" ca="1" si="551">IF(AND($I$1=2,BO259="……………….."),"_ _ _",IF(BO259&lt;&gt;0,(SUMIFS(DARE,DEN_G,$BO259)-SUMIFS(AVERE,DEN_G,$BO259)),0))</f>
        <v>0</v>
      </c>
      <c r="BQ259" s="48" t="str">
        <f ca="1">IF(AND(OR($DY$2=0,$DY$1=0),$I$1=2,ROW()&gt;$BJ$1+2,ROW()&lt;=$BJ$1+4),"………………..",IF(AND(OR($DY$2&gt;0,$DY$1&gt;0),$I$1=2,ROW()&gt;$BJ$1+2,ROW()&lt;=$BJ$1+4),"………………..",IFERROR(INDEX($AC$3:$AC$400,MATCH(ROWS(BQ$3:BQ259),BJ$3:BJ$400,0),1),"")))</f>
        <v/>
      </c>
      <c r="BR259" s="48">
        <f t="shared" ref="BR259:BR322" ca="1" si="552">IF(AND($I$1=2,BQ259="……………….."),"_ _ _",IF(BQ259&lt;&gt;0,SUMIFS(AVERE,DEN_G,$BQ259)-SUMIFS(DARE,DEN_G,$BQ259),0))</f>
        <v>0</v>
      </c>
      <c r="BS259" s="48">
        <f ca="1">IF(IF(AND(OR(INDEX(PDC,MATCH($AC259,DEN_PDC,0),4)="D",INDEX(PDC,MATCH($AC259,DEN_PDC,0),4)="D/A"),SUMIFS(DARE,DEN_G,$AC259)&gt;=SUMIFS(AVERE,DEN_G,$AC259)),SUMIFS(DARE,DEN_G,$AC259),IF(AND(OR(INDEX(PDC,MATCH($AC259,DEN_PDC,0),4)="A",INDEX(PDC,MATCH($AC259,DEN_PDC,0),4)="D/A"),SUMIFS(AVERE,DEN_G,$AC259)&gt;=SUMIFS(DARE,DEN_G,$AC259)),SUMIFS(AVERE,DEN_G,$AC259),))&gt;0,MAX($BS$2:BS258)+1,0)</f>
        <v>0</v>
      </c>
      <c r="BT259" s="48" t="str">
        <f ca="1">IF($CO$1=0,"",IF(AND($I$1=2,ROW()&gt;$BR$1,ROW()&lt;=$BS$1)," …………….",IF(AND($E$1=1,$BX$1=1,$I$1=2,ROW()=$BQ$1),"TOTALI",IFERROR(INDEX(PDC,MATCH(ROWS(BT$3:BT259),BS$3:BS656,0),2),""))))</f>
        <v/>
      </c>
      <c r="BU259" s="48">
        <f t="shared" ref="BU259:BU322" ca="1" si="553">IF(BT259="",0,IF(BT259=" …………….","_ _ _    ",IF(BT259="",0,IF(AND($I$1=2,BT259="TOTALI"),"_ _ _    ",SUMIFS(DARE,DEN_G,$BT259)))))</f>
        <v>0</v>
      </c>
      <c r="BV259" s="48">
        <f t="shared" ref="BV259:BV322" ca="1" si="554">IF(BT259="",0,IF(BT259=" …………….","_ _ _    ",IF(BT259="",0,IF(AND($I$1=2,BT259="TOTALI"),"_ _ _    ",SUMIFS(AVERE,DEN_G,$BT259)))))</f>
        <v>0</v>
      </c>
      <c r="BW259" s="48">
        <f t="shared" ref="BW259:BW322" ca="1" si="555">IF(BU259&gt;BV259,BU259-BV259,IF(BU259="_ _ _    ","_ _ _    ",0))</f>
        <v>0</v>
      </c>
      <c r="BX259" s="48">
        <f t="shared" ref="BX259:BX322" ca="1" si="556">IF(BV259&gt;BU259,BV259-BU259,IF(BU259="_ _ _    ","_ _ _    ",0))</f>
        <v>0</v>
      </c>
      <c r="BY259" s="48">
        <f ca="1">IF(OR(BW259&gt;0,BX259&gt;0),MAX($BY$2:BY258)+1,0)</f>
        <v>0</v>
      </c>
      <c r="BZ259" s="48" t="str">
        <f ca="1">IFERROR(INDEX($BT$3:$BY$400,MATCH(ROWS(BZ$3:BZ259),$BY$3:$BY$400,0),1),"")</f>
        <v/>
      </c>
      <c r="CA259" s="48" t="str">
        <f ca="1">IFERROR(INDEX($BT$3:$BY$400,MATCH(ROWS(CA$3:CA259),$BY$3:$BY$400,0),4),"")</f>
        <v/>
      </c>
      <c r="CB259" s="48" t="str">
        <f ca="1">IFERROR(INDEX($BT$3:$BY$400,MATCH(ROWS(CB$3:CB259),$BY$3:$BY$400,0),5),"")</f>
        <v/>
      </c>
      <c r="CC259" s="48" t="str">
        <f t="shared" ref="CC259:CC322" ca="1" si="557">IFERROR(INDEX(PDC,MATCH(BZ259,DEN_PDC,0),9),"")</f>
        <v/>
      </c>
      <c r="CM259" s="242" t="str">
        <f t="shared" ca="1" si="444"/>
        <v/>
      </c>
      <c r="CN259" s="243">
        <f t="shared" ca="1" si="445"/>
        <v>0</v>
      </c>
      <c r="CO259" s="48" t="str">
        <f t="shared" ca="1" si="446"/>
        <v/>
      </c>
      <c r="CU259" s="48">
        <f ca="1">IF(SUMIFS(AVERE,DEN_G,AC259,AVERE,"&gt;"&amp;0)+SUMIFS(DARE,DEN_G,AC259,DARE,"&gt;"&amp;0)&gt;0,MAX($CU$2:CU258)+1,0)</f>
        <v>0</v>
      </c>
      <c r="CV259" s="48" t="str">
        <f ca="1">IF(IFERROR(INDEX(PDC,MATCH(ROWS($CV$3:CV259),$CU$3:$CU$400,0),2),"")="CONTO DI RISULTATO ECONOMICO","",IFERROR(INDEX(PDC,MATCH(ROWS($CV$3:CV259),$CU$3:$CU$400,0),2),""))</f>
        <v/>
      </c>
      <c r="CW259" s="48">
        <f ca="1">IFERROR(IF(CV259&lt;&gt;"",MAX($CW$2:CW258)+1,0),0)</f>
        <v>0</v>
      </c>
      <c r="CX259" s="48">
        <f t="shared" ca="1" si="538"/>
        <v>20</v>
      </c>
      <c r="CY259" s="48" t="str">
        <f t="shared" ca="1" si="537"/>
        <v>MASTRO</v>
      </c>
      <c r="CZ259" s="48" t="e">
        <f t="shared" ca="1" si="540"/>
        <v>#N/A</v>
      </c>
      <c r="DA259" s="48" t="str">
        <f t="shared" ca="1" si="547"/>
        <v/>
      </c>
      <c r="DB259" s="48" t="str">
        <f t="shared" ca="1" si="499"/>
        <v/>
      </c>
      <c r="DC259" s="48" t="str">
        <f t="shared" ca="1" si="541"/>
        <v/>
      </c>
      <c r="DD259" s="48" t="str">
        <f t="shared" ca="1" si="542"/>
        <v/>
      </c>
      <c r="DE259" s="48" t="str">
        <f t="shared" ca="1" si="543"/>
        <v/>
      </c>
      <c r="DF259" s="48">
        <f ca="1">IF(AND(CX259=$DF$1,CX259&lt;&gt;""),0,IF(AND(DB259&lt;&gt;"",OR(DB258&lt;&gt;"",DB260&lt;&gt;"")),MAX($DF$2:DF258)+1,0))</f>
        <v>0</v>
      </c>
      <c r="DH259" s="244" t="s">
        <v>430</v>
      </c>
      <c r="DI259" s="48" t="s">
        <v>498</v>
      </c>
      <c r="DJ259" s="48" t="s">
        <v>311</v>
      </c>
      <c r="DK259" s="48" t="s">
        <v>298</v>
      </c>
      <c r="DL259" s="48" t="s">
        <v>8</v>
      </c>
      <c r="DM259" s="48" t="s">
        <v>300</v>
      </c>
      <c r="DN259" s="48">
        <f ca="1">IF(DI259&lt;&gt;"",MAX($DN$2:DN258)+1,0)</f>
        <v>201</v>
      </c>
      <c r="DO259" s="48" t="s">
        <v>708</v>
      </c>
      <c r="DW259" s="48">
        <f>IF(DR259&lt;&gt;"",MAX($DW$2:DW258)+1,0)</f>
        <v>0</v>
      </c>
      <c r="DY259" s="48" t="str">
        <f t="shared" ref="DY259:DY322" ca="1" si="558">IF(BB259=0,"",INDEX(PDC,MATCH(BB259,DEN_PDC,0),1))</f>
        <v/>
      </c>
      <c r="EL259" s="48">
        <f t="shared" ref="EL259:EL322" ca="1" si="559">IF(OR(AND($I$1=1,AC259="perdita d'esercizio"),AND($I$1=1,AC259="utile d'esercizio")),0,IF(AND(AE259="d",AG259="SP DARE"),SUMIFS(dare_grezzo,den_grezzo,AC259,data_grezzo,"&lt;="&amp;FINE_AC,data_grezzo,"&gt;="&amp;INIZIO_A_PC)-SUMIFS(avere_grezzo,den_grezzo,AC259,data_grezzo,"&lt;="&amp;FINE_AC,data_grezzo,"&gt;="&amp;INIZIO_A_PC),IF(AND(AE259="a",AG259="SP AVERE"),SUMIFS(avere_grezzo,den_grezzo,AC259,data_grezzo,"&lt;="&amp;FINE_AC,data_grezzo,"&gt;="&amp;INIZIO_A_PC)-SUMIFS(dare_grezzo,den_grezzo,AC259,data_grezzo,"&lt;="&amp;FINE_AC,data_grezzo,"&gt;="&amp;INIZIO_A_PC),IF(AND(AE259="d",AG259="SE DARE"),SUMIFS(dare_grezzo,den_grezzo,AC259,data_grezzo,"&lt;="&amp;FINE_AC,data_grezzo,"&gt;="&amp;INIZIO_A_PC,data_grezzo,"&gt;="&amp;INIZIO_AC)-SUMIFS(avere_grezzo,den_grezzo,AC259,data_grezzo,"&lt;="&amp;FINE_AC,data_grezzo,"&gt;="&amp;INIZIO_A_PC,data_grezzo,"&gt;="&amp;INIZIO_AC),IF(AND(AE259="a",AG259="SE AVERE"),SUMIFS(avere_grezzo,den_grezzo,AC259,data_grezzo,"&lt;="&amp;FINE_AC,data_grezzo,"&gt;="&amp;INIZIO_A_PC,data_grezzo,"&gt;="&amp;INIZIO_AC)-SUMIFS(dare_grezzo,den_grezzo,AC259,data_grezzo,"&lt;="&amp;FINE_AC,data_grezzo,"&gt;="&amp;INIZIO_A_PC,data_grezzo,"&gt;="&amp;INIZIO_AC),0)))))</f>
        <v>0</v>
      </c>
      <c r="EM259" s="48">
        <f ca="1">IF(EL259&gt;=0,0,MAX($EM$2:EM258)+1)</f>
        <v>0</v>
      </c>
      <c r="EN259" s="48" t="str">
        <f t="shared" ca="1" si="459"/>
        <v/>
      </c>
      <c r="EO259" s="48" t="str">
        <f ca="1">IFERROR(INDEX($EM$3:$EN$400,MATCH(ROWS($EO$3:EO259),$EM$3:$EM$400,0),2),"")</f>
        <v/>
      </c>
      <c r="EP259" s="48">
        <f>ROW()</f>
        <v>259</v>
      </c>
      <c r="EQ259" s="48">
        <f t="shared" ref="EQ259:EQ322" ca="1" si="560">IF(AND(AM259&lt;&gt;0,AL259&lt;=FINE_AC),INDEX(PDC,MATCH(SUBSTITUTE(AM259,"[",""),DEN_PDC,0),1),0)</f>
        <v>0</v>
      </c>
      <c r="ER259" s="48">
        <f ca="1">IF(ISNA(EQ259)=TRUE,MAX($ER$2:ER258)+1,0)</f>
        <v>0</v>
      </c>
      <c r="ES259" s="48" t="str">
        <f t="shared" ca="1" si="460"/>
        <v/>
      </c>
      <c r="ET259" s="48" t="str">
        <f ca="1">IFERROR(INDEX($ER$3:$ES$400,MATCH(ROWS($ET$3:ET259),$ER$3:$ER$400,0),2),"")</f>
        <v/>
      </c>
      <c r="EV259" s="48">
        <f ca="1">IFERROR(INDEX(LIBRO_GIORNALE!$O$11:$P$408,MATCH(ROWS($EV$2:EV258),LIBRO_GIORNALE!$P$11:$P$408,0),1),0)</f>
        <v>0</v>
      </c>
      <c r="EW259" s="48" t="str">
        <f t="shared" ca="1" si="544"/>
        <v>0</v>
      </c>
      <c r="EX259" s="48">
        <f t="shared" ca="1" si="462"/>
        <v>0</v>
      </c>
      <c r="EY259" s="48">
        <f ca="1">IF(EX259&gt;0,MAX($EY$2:EY258)+1,0)</f>
        <v>0</v>
      </c>
      <c r="EZ259" s="48">
        <f ca="1">IFERROR(INDEX($EX$3:$EX$400,MATCH(ROWS($EZ$3:EZ259),$EY$3:$EY$400,0),1),0)</f>
        <v>0</v>
      </c>
      <c r="FA259" s="48">
        <f ca="1">IF(EZ259&gt;0,0,MAX($FA$2:FA258)+1)</f>
        <v>257</v>
      </c>
      <c r="FB259" s="48">
        <f t="shared" ca="1" si="545"/>
        <v>0</v>
      </c>
      <c r="FC259" s="48">
        <f t="shared" ca="1" si="546"/>
        <v>257</v>
      </c>
      <c r="FD259" s="48">
        <f t="shared" ca="1" si="465"/>
        <v>257</v>
      </c>
      <c r="FE259" s="48">
        <f ca="1">IF(FD259=0,0,MAX($FE$2:FE258)+1)</f>
        <v>257</v>
      </c>
      <c r="FF259" s="48">
        <f ca="1">IFERROR(INDEX($FD$3:$FE$400,MATCH(ROWS($FF$3:FF259),$FE$3:$FE$400,0),1),"")</f>
        <v>257</v>
      </c>
      <c r="FG259" s="48">
        <f t="shared" ca="1" si="519"/>
        <v>0</v>
      </c>
      <c r="FH259" s="48">
        <f t="shared" ca="1" si="466"/>
        <v>0</v>
      </c>
      <c r="FI259" s="48">
        <f ca="1">IF(FH259&lt;&gt;0,MAX($FI$2:FI258)+1,0)</f>
        <v>0</v>
      </c>
      <c r="FJ259" s="48" t="str">
        <f ca="1">IFERROR(INDEX($FH$3:$FI$400,MATCH(ROWS($FJ$3:FJ259),$FI$3:$FI$400,0),1),"")</f>
        <v/>
      </c>
      <c r="FK259" s="48">
        <f ca="1">IF(ABS(SUMIFS(DARE,DEN_G,"="&amp;FJ259,DATA,"&lt;="&amp;FINE_AC,DATA,"&gt;="&amp;INIZIO_A_PC)-SUMIFS(AVERE,DEN_G,"="&amp;FJ259,DATA,"&lt;="&amp;FINE_AC,DATA,"&gt;="&amp;INIZIO_A_PC))&gt;0,MAX($FK$2:FK258)+1,0)</f>
        <v>0</v>
      </c>
      <c r="FL259" s="48" t="str">
        <f ca="1">IF(AND(ROW()-2&lt;&gt;1,ROW()-2&lt;=$FK$1),CONCATENATE(" - ",IFERROR(INDEX($FJ$3:$FK$400,MATCH(ROWS($FL$3:FL259),$FK$3:$FK$400,0),1),"")),IFERROR(INDEX($FJ$3:$FK$400,MATCH(ROWS($FL$3:FL259),$FK$3:$FK$400,0),1),""))</f>
        <v/>
      </c>
      <c r="FM259" s="48">
        <f ca="1">IF(OR(B259="IVA ns/credito",B259="IVA NS/DEBITO",B259="IVA C/ACCONTO",B259="IMPOSTE C/ACCONTO",B259="CREDITI PER RITENUTE SUBITE",B259="CREDITI D'IMPOSTA"),MAX($FM$2:FM258)+1,0)</f>
        <v>0</v>
      </c>
      <c r="FN259" s="48" t="str">
        <f t="shared" ca="1" si="467"/>
        <v/>
      </c>
      <c r="FO259" s="48" t="str">
        <f ca="1">IFERROR(INDEX($FM$3:$FN$400,MATCH(ROWS($FO$3:FO259),$FM$3:$FM$400,0),2),"")</f>
        <v/>
      </c>
      <c r="FP259" s="48">
        <f ca="1">IF(ABS(SUMIFS(DARE,DEN_G,"="&amp;FO259,DATA,"&lt;="&amp;FINE_AC,DATA,"&gt;="&amp;INIZIO_A_PC)-SUMIFS(AVERE,DEN_G,"="&amp;FO259,DATA,"&lt;="&amp;FINE_AC,DATA,"&gt;="&amp;INIZIO_A_PC))&gt;0,MAX($FP$2:FP258)+1,0)</f>
        <v>0</v>
      </c>
      <c r="FQ259" s="48" t="str">
        <f ca="1">IF(AND(ROW()-2&lt;&gt;1,ROW()-2&lt;=$FP$1),CONCATENATE(" - ",IFERROR(INDEX($FO$3:$FP$400,MATCH(ROWS($FQ$3:FQ259),$FP$3:$FP$400,0),1),"")),IFERROR(INDEX($FO$3:$FP$400,MATCH(ROWS($FQ$3:FQ259),$FP$3:$FP$400,0),1),""))</f>
        <v/>
      </c>
    </row>
    <row r="260" spans="1:173" x14ac:dyDescent="0.3">
      <c r="A260" s="48" t="str">
        <f ca="1">IFERROR(IF($A$1=2,INDEX($DH$3:$DN$401,MATCH(ROWS(A$3:A260),$DN$3:$DN$401,0),COLUMN()),IF($A$1=1,INDEX($DQ$3:$DW$401,MATCH(ROWS(A$3:A260),$DW$3:$DW$401,0),COLUMN()),"")),"")</f>
        <v>35.01</v>
      </c>
      <c r="B260" s="48" t="str">
        <f ca="1">IFERROR(IF($A$1=2,INDEX($DH$3:$DN$401,MATCH(ROWS(B$3:B260),$DN$3:$DN$401,0),COLUMN()),IF($A$1=1,INDEX($DQ$3:$DW$400,MATCH(ROWS(B$3:B260),$DW$3:$DW$401,0),COLUMN()),"")),"")</f>
        <v>AMMORTAMENTO FABBRICATI</v>
      </c>
      <c r="C260" s="48" t="str">
        <f ca="1">IFERROR(IF($A$1=2,INDEX($DH$3:$DN$401,MATCH(ROWS(C$3:C260),$DN$3:$DN$401,0),COLUMN()),IF($A$1=1,INDEX($DQ$3:$DW$401,MATCH(ROWS(C$3:C260),$DW$3:$DW$401,0),COLUMN()),"")),"")</f>
        <v>E</v>
      </c>
      <c r="D260" s="48" t="str">
        <f ca="1">IFERROR(IF($A$1=2,INDEX($DH$3:$DN$401,MATCH(ROWS(D$3:D260),$DN$3:$DN$401,0),COLUMN()),IF($A$1=1,INDEX($DQ$3:$DW$401,MATCH(ROWS(D$3:D260),$DW$3:$DW$401,0),COLUMN()),"")),"")</f>
        <v>D</v>
      </c>
      <c r="E260" s="48" t="str">
        <f ca="1">IFERROR(IF($A$1=2,INDEX($DH$3:$DN$401,MATCH(ROWS(E$3:E260),$DN$3:$DN$401,0),COLUMN()),IF($A$1=1,INDEX($DQ$3:$DW$401,MATCH(ROWS(E$3:E260),$DW$3:$DW$401,0),COLUMN()),"")),"")</f>
        <v>COSTI D'ESERCIZIO</v>
      </c>
      <c r="F260" s="48" t="str">
        <f ca="1">IFERROR(IF($A$1=2,INDEX($DH$3:$DN$401,MATCH(ROWS(F$3:F260),$DN$3:$DN$401,0),COLUMN()),IF($A$1=1,INDEX($DQ$3:$DX$401,MATCH(ROWS(F$3:F260),$DW$3:$DW$401,0),COLUMN()),"")),"")</f>
        <v>SE DARE</v>
      </c>
      <c r="G260" s="48" t="str">
        <f t="shared" ref="G260:G323" ca="1" si="561">IFERROR(MID(F260,1,2),"")</f>
        <v>SE</v>
      </c>
      <c r="H260" s="48" t="str">
        <f ca="1">IFERROR(IF($A$1=2,INDEX($DH$3:$DO$400,MATCH(ROWS(H$3:H260),$DN$3:$DN$400,0),COLUMN()),IF($A$1=1,INDEX($DQ$3:$DX$400,MATCH(ROWS(H$3:H260),$DW$3:$DW$400,0),COLUMN()),"")),"")</f>
        <v>eb10a</v>
      </c>
      <c r="M260" s="48">
        <f ca="1">IFERROR(IF(IF(MID($A260,3,3)=".00",MID(A260,1,2),"")&lt;&gt;"",MAX($M$2:M259)+1,0),"")</f>
        <v>0</v>
      </c>
      <c r="N260" s="48" t="str">
        <f t="shared" ref="N260:N323" ca="1" si="562">IFERROR(IF(MID($A260,3,3)=".00",MID(A260,1,2),""),"")</f>
        <v/>
      </c>
      <c r="O260" s="48" t="str">
        <f ca="1">IF(IFERROR(INDEX($N$3:$O$300,MATCH(ROWS($O$3:O260),$M$3:$M$300,0),1),"")&lt;&gt;"",CONCATENATE(INDEX($N$3:$O$300,MATCH(ROWS($O$3:O260),$M$3:$M$300,0),1),".00"),"")</f>
        <v/>
      </c>
      <c r="P260" s="48" t="str">
        <f t="shared" ref="P260:P323" ca="1" si="563">IFERROR(INDEX($A$3:$B$400,MATCH(O260,$A$3:$A$400,0),2),"")</f>
        <v/>
      </c>
      <c r="Q260" s="48">
        <f ca="1">IF(M260&gt;=1,0,MAX($Q$2:Q259)+1)</f>
        <v>231</v>
      </c>
      <c r="U260" s="48" t="str">
        <f ca="1">IFERROR(INDEX(PDC,MATCH(ROWS(U$3:U260),$V$3:$V$400,0),2),"")</f>
        <v>PROVENTI DA PARTECIPAZIONI</v>
      </c>
      <c r="V260" s="48">
        <f ca="1">IF(AND($T$1="VISUALIZZA TUTTI I CONTI",AA260&lt;&gt;""),MAX($V$2:V259)+1,IF(AND($U$2=2,AI260=$T$1),MAX($V$2:V259)+1,IF(AND($U$2=1,$T$1=AF260),MAX($V$2:V259)+1,0)))</f>
        <v>258</v>
      </c>
      <c r="AA260" s="48" t="str">
        <f t="shared" ref="AA260:AA323" ca="1" si="564">IF(AC260&lt;&gt;"",CONCATENATE(MID(AB260,1,2),".00"),"")</f>
        <v>40.00</v>
      </c>
      <c r="AB260" s="48" t="str">
        <f ca="1">IFERROR(INDEX($A$3:$G$400,MATCH(ROWS(AB$3:AB260),$Q$3:$Q$400,0),1),"")</f>
        <v>40.01</v>
      </c>
      <c r="AC260" s="48" t="str">
        <f ca="1">IFERROR(INDEX($A$3:$G$400,MATCH(ROWS($AC$3:AC260),$Q$3:$Q$400,0),2),"")</f>
        <v>PROVENTI DA PARTECIPAZIONI</v>
      </c>
      <c r="AD260" s="48" t="str">
        <f ca="1">IFERROR(INDEX($A$3:$G$400,MATCH(ROWS(AD$3:AD260),$Q$3:$Q$400,0),3),"")</f>
        <v>E</v>
      </c>
      <c r="AE260" s="48" t="str">
        <f ca="1">IFERROR(INDEX($A$3:$G$400,MATCH(ROWS(AE$3:AE260),$Q$3:$Q$400,0),4),"")</f>
        <v>A</v>
      </c>
      <c r="AF260" s="48" t="str">
        <f ca="1">IFERROR(INDEX($A$3:$G$400,MATCH(ROWS(AF$3:AF260),$Q$3:$Q$400,0),5),"")</f>
        <v>RICAVI D'ESERCIZIO</v>
      </c>
      <c r="AG260" s="48" t="str">
        <f ca="1">IFERROR(INDEX($A$3:$G$400,MATCH(ROWS(AG$3:AG260),$Q$3:$Q$400,0),6),"")</f>
        <v>SE AVERE</v>
      </c>
      <c r="AH260" s="48" t="str">
        <f ca="1">IFERROR(INDEX($A$3:$G$400,MATCH(ROWS(AH$3:AH260),$Q$3:$Q$400,0),7),"")</f>
        <v>SE</v>
      </c>
      <c r="AI260" s="48" t="str">
        <f t="shared" ref="AI260:AI323" ca="1" si="565">INDEX($O$3:$P$50,MATCH(AA260,$O$3:$O$50,0),2)</f>
        <v>PROVENTI FINANZIARI</v>
      </c>
      <c r="AJ260" s="48" t="str">
        <f ca="1">IFERROR(INDEX($A$3:$H$400,MATCH(ROWS(AJ$3:AJ260),$Q$3:$Q$400,0),8),"")</f>
        <v>ec15</v>
      </c>
      <c r="AK260" s="48">
        <f t="shared" ca="1" si="548"/>
        <v>0</v>
      </c>
      <c r="AL260" s="48">
        <f t="shared" ca="1" si="515"/>
        <v>0</v>
      </c>
      <c r="AM260" s="48">
        <f t="shared" ca="1" si="516"/>
        <v>0</v>
      </c>
      <c r="AN260" s="48">
        <f t="shared" ca="1" si="517"/>
        <v>0</v>
      </c>
      <c r="AO260" s="48">
        <f t="shared" ca="1" si="518"/>
        <v>0</v>
      </c>
      <c r="AP260" s="48">
        <f t="shared" ca="1" si="518"/>
        <v>0</v>
      </c>
      <c r="AZ260" s="48" t="str">
        <f t="shared" ca="1" si="484"/>
        <v/>
      </c>
      <c r="BA260" s="48">
        <f t="shared" ca="1" si="520"/>
        <v>0</v>
      </c>
      <c r="BB260" s="48">
        <f t="shared" ca="1" si="521"/>
        <v>0</v>
      </c>
      <c r="BC260" s="48">
        <f t="shared" ca="1" si="522"/>
        <v>0</v>
      </c>
      <c r="BD260" s="48">
        <f t="shared" ca="1" si="523"/>
        <v>0</v>
      </c>
      <c r="BE260" s="48">
        <f t="shared" ca="1" si="524"/>
        <v>0</v>
      </c>
      <c r="BF260" s="48">
        <f t="shared" si="485"/>
        <v>60</v>
      </c>
      <c r="BG260" s="48">
        <f ca="1">IF(IF(AND(OR(INDEX(PDC,MATCH($AC260,DEN_PDC,0),6)="SP DARE",INDEX(PDC,MATCH($AC260,DEN_PDC,0),6)="SP DARE/AVERE"),SUMIFS(DARE,DEN_G,$AC260)&gt;=SUMIFS(AVERE,DEN_G,$AC260)),SUMIFS(DARE,DEN_G,$AC260)-SUMIFS(AVERE,DEN_G,$AC260),0)&gt;0,MAX($BG$2:BG259)+1,0)</f>
        <v>0</v>
      </c>
      <c r="BH260" s="48">
        <f ca="1">IF(IF(AND(OR(INDEX(PDC,MATCH($AC260,DEN_PDC,0),6)="SP AVERE",INDEX(PDC,MATCH($AC260,DEN_PDC,0),6)="SP DARE/AVERE"),SUMIFS(AVERE,DEN_G,$AC260)&gt;=SUMIFS(DARE,DEN_G,$AC260)),SUMIFS(AVERE,DEN_G,$AC260)-SUMIFS(DARE,DEN_G,$AC260),0)&gt;0,MAX(BH$2:BH259)+1,0)</f>
        <v>0</v>
      </c>
      <c r="BI260" s="48">
        <f ca="1">IF(IF(AND(OR(INDEX(PDC,MATCH($AC260,DEN_PDC,0),6)="SE DARE",INDEX(PDC,MATCH($AC260,DEN_PDC,0),6)="SE DARE/AVERE"),SUMIFS(DARE,DEN_G,$AC260)&gt;=SUMIFS(AVERE,DEN_G,$AC260)),SUMIFS(DARE,DEN_G,$AC260)-SUMIFS(AVERE,DEN_G,$AC260),0)&gt;0,MAX(BI$2:BI259)+1,0)</f>
        <v>0</v>
      </c>
      <c r="BJ260" s="48">
        <f ca="1">IF(IF(AND(OR(INDEX(PDC,MATCH($AC260,DEN_PDC,0),6)="SE AVERE",INDEX(PDC,MATCH($AC260,DEN_PDC,0),6)="SE DARE/AVERE"),SUMIFS(AVERE,DEN_G,$AC260)&gt;=SUMIFS(DARE,DEN_G,$AC260)),SUMIFS(AVERE,DEN_G,$AC260)-SUMIFS(DARE,DEN_G,$AC260),0)&gt;0,MAX(BJ$2:BJ259)+1,0)</f>
        <v>0</v>
      </c>
      <c r="BK260" s="48" t="str">
        <f ca="1">IF(AND(AND($DY$2=0,$DY$1=0),$I$1=2,ROW()&gt;$BG$1+2,ROW()&lt;=$BG$1+4),"………………..",IF(AND(OR($DY$2&gt;0,$DY$1&gt;0),$I$1=2,ROW()&gt;$BG$1+2,ROW()&lt;=$BG$1+4),"………………..",IFERROR(INDEX($AC$3:$AC$398,MATCH(ROWS(BK$3:BK260),BG$3:BG$398,0),1),"")))</f>
        <v/>
      </c>
      <c r="BL260" s="48">
        <f t="shared" ca="1" si="549"/>
        <v>0</v>
      </c>
      <c r="BM260" s="48" t="str">
        <f ca="1">IF(AND(OR($DY$2=0,$DY$1=0),$I$1=2,ROW()&gt;$BH$1+2,ROW()&lt;=$BH$1+4),"………………..",IF(AND(OR($DY$2&gt;0,$DY$1&gt;0),$I$1=2,ROW()&gt;$BH$1+2,ROW()&lt;=$BH$1+4),"………………..",IFERROR(INDEX($AC$3:$AC$400,MATCH(ROWS(BM$3:BM260),BH$3:BH$400,0),1),"")))</f>
        <v/>
      </c>
      <c r="BN260" s="48">
        <f t="shared" ca="1" si="550"/>
        <v>0</v>
      </c>
      <c r="BO260" s="48" t="str">
        <f ca="1">IF(AND(OR($DY$2=0,$DY$1=0),$I$1=2,ROW()&gt;$BI$1+2,ROW()&lt;=$BI$1+4),"………………..",IF(AND(OR($DY$2&gt;0,$DY$1&gt;0),$I$1=2,ROW()&gt;$BI$1+2,ROW()&lt;=$BI$1+4),"………………..",IFERROR(INDEX($AC$3:$AC$400,MATCH(ROWS(BO$3:BO260),BI$3:BI$400,0),1),"")))</f>
        <v/>
      </c>
      <c r="BP260" s="48">
        <f t="shared" ca="1" si="551"/>
        <v>0</v>
      </c>
      <c r="BQ260" s="48" t="str">
        <f ca="1">IF(AND(OR($DY$2=0,$DY$1=0),$I$1=2,ROW()&gt;$BJ$1+2,ROW()&lt;=$BJ$1+4),"………………..",IF(AND(OR($DY$2&gt;0,$DY$1&gt;0),$I$1=2,ROW()&gt;$BJ$1+2,ROW()&lt;=$BJ$1+4),"………………..",IFERROR(INDEX($AC$3:$AC$400,MATCH(ROWS(BQ$3:BQ260),BJ$3:BJ$400,0),1),"")))</f>
        <v/>
      </c>
      <c r="BR260" s="48">
        <f t="shared" ca="1" si="552"/>
        <v>0</v>
      </c>
      <c r="BS260" s="48">
        <f ca="1">IF(IF(AND(OR(INDEX(PDC,MATCH($AC260,DEN_PDC,0),4)="D",INDEX(PDC,MATCH($AC260,DEN_PDC,0),4)="D/A"),SUMIFS(DARE,DEN_G,$AC260)&gt;=SUMIFS(AVERE,DEN_G,$AC260)),SUMIFS(DARE,DEN_G,$AC260),IF(AND(OR(INDEX(PDC,MATCH($AC260,DEN_PDC,0),4)="A",INDEX(PDC,MATCH($AC260,DEN_PDC,0),4)="D/A"),SUMIFS(AVERE,DEN_G,$AC260)&gt;=SUMIFS(DARE,DEN_G,$AC260)),SUMIFS(AVERE,DEN_G,$AC260),))&gt;0,MAX($BS$2:BS259)+1,0)</f>
        <v>0</v>
      </c>
      <c r="BT260" s="48" t="str">
        <f ca="1">IF($CO$1=0,"",IF(AND($I$1=2,ROW()&gt;$BR$1,ROW()&lt;=$BS$1)," …………….",IF(AND($E$1=1,$BX$1=1,$I$1=2,ROW()=$BQ$1),"TOTALI",IFERROR(INDEX(PDC,MATCH(ROWS(BT$3:BT260),BS$3:BS657,0),2),""))))</f>
        <v/>
      </c>
      <c r="BU260" s="48">
        <f t="shared" ca="1" si="553"/>
        <v>0</v>
      </c>
      <c r="BV260" s="48">
        <f t="shared" ca="1" si="554"/>
        <v>0</v>
      </c>
      <c r="BW260" s="48">
        <f t="shared" ca="1" si="555"/>
        <v>0</v>
      </c>
      <c r="BX260" s="48">
        <f t="shared" ca="1" si="556"/>
        <v>0</v>
      </c>
      <c r="BY260" s="48">
        <f ca="1">IF(OR(BW260&gt;0,BX260&gt;0),MAX($BY$2:BY259)+1,0)</f>
        <v>0</v>
      </c>
      <c r="BZ260" s="48" t="str">
        <f ca="1">IFERROR(INDEX($BT$3:$BY$400,MATCH(ROWS(BZ$3:BZ260),$BY$3:$BY$400,0),1),"")</f>
        <v/>
      </c>
      <c r="CA260" s="48" t="str">
        <f ca="1">IFERROR(INDEX($BT$3:$BY$400,MATCH(ROWS(CA$3:CA260),$BY$3:$BY$400,0),4),"")</f>
        <v/>
      </c>
      <c r="CB260" s="48" t="str">
        <f ca="1">IFERROR(INDEX($BT$3:$BY$400,MATCH(ROWS(CB$3:CB260),$BY$3:$BY$400,0),5),"")</f>
        <v/>
      </c>
      <c r="CC260" s="48" t="str">
        <f t="shared" ca="1" si="557"/>
        <v/>
      </c>
      <c r="CM260" s="242" t="str">
        <f t="shared" ref="CM260:CM323" ca="1" si="566">IF($CO$1=0,"",IF(AND($E$1=1,$I$1=2,OR($BU$1=1,$BU$1=3)),"",IF(AND($E$1=1,$I$1=2,$BW$1=1,ROW()=$BS$1+1,OR($BU$1=1,$BU$1=3,$CL$1=1)),"TOTALI",IF(AND($F$1=1,$BA$1&gt;0,$I$1=1,ROW()=$BT$1+3,$CL$1=1,$BD$1=1,$EL$2=0),"TOTALI",""))))</f>
        <v/>
      </c>
      <c r="CN260" s="243">
        <f t="shared" ref="CN260:CN323" ca="1" si="567">IF(CM260="TOTALI",$BU$401,0)</f>
        <v>0</v>
      </c>
      <c r="CO260" s="48" t="str">
        <f t="shared" ref="CO260:CO323" ca="1" si="568">IF($CO$1=0,"",CONCATENATE(BT260,CM260))</f>
        <v/>
      </c>
      <c r="CU260" s="48">
        <f ca="1">IF(SUMIFS(AVERE,DEN_G,AC260,AVERE,"&gt;"&amp;0)+SUMIFS(DARE,DEN_G,AC260,DARE,"&gt;"&amp;0)&gt;0,MAX($CU$2:CU259)+1,0)</f>
        <v>0</v>
      </c>
      <c r="CV260" s="48" t="str">
        <f ca="1">IF(IFERROR(INDEX(PDC,MATCH(ROWS($CV$3:CV260),$CU$3:$CU$400,0),2),"")="CONTO DI RISULTATO ECONOMICO","",IFERROR(INDEX(PDC,MATCH(ROWS($CV$3:CV260),$CU$3:$CU$400,0),2),""))</f>
        <v/>
      </c>
      <c r="CW260" s="48">
        <f ca="1">IFERROR(IF(CV260&lt;&gt;"",MAX($CW$2:CW259)+1,0),0)</f>
        <v>0</v>
      </c>
      <c r="CX260" s="48">
        <f t="shared" ca="1" si="538"/>
        <v>20</v>
      </c>
      <c r="CY260" s="48" t="str">
        <f t="shared" ca="1" si="537"/>
        <v>MASTRO</v>
      </c>
      <c r="CZ260" s="48" t="e">
        <f t="shared" ca="1" si="540"/>
        <v>#N/A</v>
      </c>
      <c r="DA260" s="48" t="str">
        <f t="shared" ca="1" si="547"/>
        <v/>
      </c>
      <c r="DB260" s="48" t="str">
        <f t="shared" ca="1" si="499"/>
        <v/>
      </c>
      <c r="DC260" s="48" t="str">
        <f t="shared" ca="1" si="541"/>
        <v/>
      </c>
      <c r="DD260" s="48" t="str">
        <f t="shared" ca="1" si="542"/>
        <v/>
      </c>
      <c r="DE260" s="48" t="str">
        <f t="shared" ca="1" si="543"/>
        <v/>
      </c>
      <c r="DF260" s="48">
        <f ca="1">IF(AND(CX260=$DF$1,CX260&lt;&gt;""),0,IF(AND(DB260&lt;&gt;"",OR(DB259&lt;&gt;"",DB261&lt;&gt;"")),MAX($DF$2:DF259)+1,0))</f>
        <v>0</v>
      </c>
      <c r="DH260" s="244" t="s">
        <v>431</v>
      </c>
      <c r="DI260" s="48" t="s">
        <v>290</v>
      </c>
      <c r="DJ260" s="48" t="s">
        <v>311</v>
      </c>
      <c r="DK260" s="48" t="s">
        <v>298</v>
      </c>
      <c r="DL260" s="48" t="s">
        <v>8</v>
      </c>
      <c r="DM260" s="48" t="s">
        <v>300</v>
      </c>
      <c r="DN260" s="48">
        <f ca="1">IF(DI260&lt;&gt;"",MAX($DN$2:DN259)+1,0)</f>
        <v>202</v>
      </c>
      <c r="DO260" s="48" t="s">
        <v>708</v>
      </c>
      <c r="DW260" s="48">
        <f>IF(DR260&lt;&gt;"",MAX($DW$2:DW259)+1,0)</f>
        <v>0</v>
      </c>
      <c r="DY260" s="48" t="str">
        <f t="shared" ca="1" si="558"/>
        <v/>
      </c>
      <c r="EL260" s="48">
        <f t="shared" ca="1" si="559"/>
        <v>0</v>
      </c>
      <c r="EM260" s="48">
        <f ca="1">IF(EL260&gt;=0,0,MAX($EM$2:EM259)+1)</f>
        <v>0</v>
      </c>
      <c r="EN260" s="48" t="str">
        <f t="shared" ref="EN260:EN323" ca="1" si="569">IF(EL260&lt;0,AC260,"")</f>
        <v/>
      </c>
      <c r="EO260" s="48" t="str">
        <f ca="1">IFERROR(INDEX($EM$3:$EN$400,MATCH(ROWS($EO$3:EO260),$EM$3:$EM$400,0),2),"")</f>
        <v/>
      </c>
      <c r="EP260" s="48">
        <f>ROW()</f>
        <v>260</v>
      </c>
      <c r="EQ260" s="48">
        <f t="shared" ca="1" si="560"/>
        <v>0</v>
      </c>
      <c r="ER260" s="48">
        <f ca="1">IF(ISNA(EQ260)=TRUE,MAX($ER$2:ER259)+1,0)</f>
        <v>0</v>
      </c>
      <c r="ES260" s="48" t="str">
        <f t="shared" ref="ES260:ES323" ca="1" si="570">IF(ER260&lt;&gt;0,AM260,"")</f>
        <v/>
      </c>
      <c r="ET260" s="48" t="str">
        <f ca="1">IFERROR(INDEX($ER$3:$ES$400,MATCH(ROWS($ET$3:ET260),$ER$3:$ER$400,0),2),"")</f>
        <v/>
      </c>
      <c r="EV260" s="48">
        <f ca="1">IFERROR(INDEX(LIBRO_GIORNALE!$O$11:$P$408,MATCH(ROWS($EV$2:EV259),LIBRO_GIORNALE!$P$11:$P$408,0),1),0)</f>
        <v>0</v>
      </c>
      <c r="EW260" s="48" t="str">
        <f t="shared" ca="1" si="544"/>
        <v>0</v>
      </c>
      <c r="EX260" s="48">
        <f t="shared" ref="EX260:EX323" ca="1" si="571">IF(EXACT(EW260,EW259),0,IF($EV$1=1,IFERROR(MATCH($EW260,$CV$3:$CV$400,0),0),0))</f>
        <v>0</v>
      </c>
      <c r="EY260" s="48">
        <f ca="1">IF(EX260&gt;0,MAX($EY$2:EY259)+1,0)</f>
        <v>0</v>
      </c>
      <c r="EZ260" s="48">
        <f ca="1">IFERROR(INDEX($EX$3:$EX$400,MATCH(ROWS($EZ$3:EZ260),$EY$3:$EY$400,0),1),0)</f>
        <v>0</v>
      </c>
      <c r="FA260" s="48">
        <f ca="1">IF(EZ260&gt;0,0,MAX($FA$2:FA259)+1)</f>
        <v>258</v>
      </c>
      <c r="FB260" s="48">
        <f t="shared" ca="1" si="545"/>
        <v>0</v>
      </c>
      <c r="FC260" s="48">
        <f t="shared" ca="1" si="546"/>
        <v>258</v>
      </c>
      <c r="FD260" s="48">
        <f t="shared" ref="FD260:FD323" ca="1" si="572">SUM(EZ260,FC260)</f>
        <v>258</v>
      </c>
      <c r="FE260" s="48">
        <f ca="1">IF(FD260=0,0,MAX($FE$2:FE259)+1)</f>
        <v>258</v>
      </c>
      <c r="FF260" s="48">
        <f ca="1">IFERROR(INDEX($FD$3:$FE$400,MATCH(ROWS($FF$3:FF260),$FE$3:$FE$400,0),1),"")</f>
        <v>258</v>
      </c>
      <c r="FG260" s="48">
        <f t="shared" ca="1" si="519"/>
        <v>0</v>
      </c>
      <c r="FH260" s="48">
        <f t="shared" ref="FH260:FH323" ca="1" si="573">IF(F260="SP DARE/AVERE",B260,0)</f>
        <v>0</v>
      </c>
      <c r="FI260" s="48">
        <f ca="1">IF(FH260&lt;&gt;0,MAX($FI$2:FI259)+1,0)</f>
        <v>0</v>
      </c>
      <c r="FJ260" s="48" t="str">
        <f ca="1">IFERROR(INDEX($FH$3:$FI$400,MATCH(ROWS($FJ$3:FJ260),$FI$3:$FI$400,0),1),"")</f>
        <v/>
      </c>
      <c r="FK260" s="48">
        <f ca="1">IF(ABS(SUMIFS(DARE,DEN_G,"="&amp;FJ260,DATA,"&lt;="&amp;FINE_AC,DATA,"&gt;="&amp;INIZIO_A_PC)-SUMIFS(AVERE,DEN_G,"="&amp;FJ260,DATA,"&lt;="&amp;FINE_AC,DATA,"&gt;="&amp;INIZIO_A_PC))&gt;0,MAX($FK$2:FK259)+1,0)</f>
        <v>0</v>
      </c>
      <c r="FL260" s="48" t="str">
        <f ca="1">IF(AND(ROW()-2&lt;&gt;1,ROW()-2&lt;=$FK$1),CONCATENATE(" - ",IFERROR(INDEX($FJ$3:$FK$400,MATCH(ROWS($FL$3:FL260),$FK$3:$FK$400,0),1),"")),IFERROR(INDEX($FJ$3:$FK$400,MATCH(ROWS($FL$3:FL260),$FK$3:$FK$400,0),1),""))</f>
        <v/>
      </c>
      <c r="FM260" s="48">
        <f ca="1">IF(OR(B260="IVA ns/credito",B260="IVA NS/DEBITO",B260="IVA C/ACCONTO",B260="IMPOSTE C/ACCONTO",B260="CREDITI PER RITENUTE SUBITE",B260="CREDITI D'IMPOSTA"),MAX($FM$2:FM259)+1,0)</f>
        <v>0</v>
      </c>
      <c r="FN260" s="48" t="str">
        <f t="shared" ref="FN260:FN323" ca="1" si="574">IF(FM260&gt;0,B260,"")</f>
        <v/>
      </c>
      <c r="FO260" s="48" t="str">
        <f ca="1">IFERROR(INDEX($FM$3:$FN$400,MATCH(ROWS($FO$3:FO260),$FM$3:$FM$400,0),2),"")</f>
        <v/>
      </c>
      <c r="FP260" s="48">
        <f ca="1">IF(ABS(SUMIFS(DARE,DEN_G,"="&amp;FO260,DATA,"&lt;="&amp;FINE_AC,DATA,"&gt;="&amp;INIZIO_A_PC)-SUMIFS(AVERE,DEN_G,"="&amp;FO260,DATA,"&lt;="&amp;FINE_AC,DATA,"&gt;="&amp;INIZIO_A_PC))&gt;0,MAX($FP$2:FP259)+1,0)</f>
        <v>0</v>
      </c>
      <c r="FQ260" s="48" t="str">
        <f ca="1">IF(AND(ROW()-2&lt;&gt;1,ROW()-2&lt;=$FP$1),CONCATENATE(" - ",IFERROR(INDEX($FO$3:$FP$400,MATCH(ROWS($FQ$3:FQ260),$FP$3:$FP$400,0),1),"")),IFERROR(INDEX($FO$3:$FP$400,MATCH(ROWS($FQ$3:FQ260),$FP$3:$FP$400,0),1),""))</f>
        <v/>
      </c>
    </row>
    <row r="261" spans="1:173" x14ac:dyDescent="0.3">
      <c r="A261" s="48" t="str">
        <f ca="1">IFERROR(IF($A$1=2,INDEX($DH$3:$DN$401,MATCH(ROWS(A$3:A261),$DN$3:$DN$401,0),COLUMN()),IF($A$1=1,INDEX($DQ$3:$DW$401,MATCH(ROWS(A$3:A261),$DW$3:$DW$401,0),COLUMN()),"")),"")</f>
        <v>35.02</v>
      </c>
      <c r="B261" s="48" t="str">
        <f ca="1">IFERROR(IF($A$1=2,INDEX($DH$3:$DN$401,MATCH(ROWS(B$3:B261),$DN$3:$DN$401,0),COLUMN()),IF($A$1=1,INDEX($DQ$3:$DW$400,MATCH(ROWS(B$3:B261),$DW$3:$DW$401,0),COLUMN()),"")),"")</f>
        <v>AMMORTAMENTO IMPIANTI E MACCHINARI</v>
      </c>
      <c r="C261" s="48" t="str">
        <f ca="1">IFERROR(IF($A$1=2,INDEX($DH$3:$DN$401,MATCH(ROWS(C$3:C261),$DN$3:$DN$401,0),COLUMN()),IF($A$1=1,INDEX($DQ$3:$DW$401,MATCH(ROWS(C$3:C261),$DW$3:$DW$401,0),COLUMN()),"")),"")</f>
        <v>E</v>
      </c>
      <c r="D261" s="48" t="str">
        <f ca="1">IFERROR(IF($A$1=2,INDEX($DH$3:$DN$401,MATCH(ROWS(D$3:D261),$DN$3:$DN$401,0),COLUMN()),IF($A$1=1,INDEX($DQ$3:$DW$401,MATCH(ROWS(D$3:D261),$DW$3:$DW$401,0),COLUMN()),"")),"")</f>
        <v>D</v>
      </c>
      <c r="E261" s="48" t="str">
        <f ca="1">IFERROR(IF($A$1=2,INDEX($DH$3:$DN$401,MATCH(ROWS(E$3:E261),$DN$3:$DN$401,0),COLUMN()),IF($A$1=1,INDEX($DQ$3:$DW$401,MATCH(ROWS(E$3:E261),$DW$3:$DW$401,0),COLUMN()),"")),"")</f>
        <v>COSTI D'ESERCIZIO</v>
      </c>
      <c r="F261" s="48" t="str">
        <f ca="1">IFERROR(IF($A$1=2,INDEX($DH$3:$DN$401,MATCH(ROWS(F$3:F261),$DN$3:$DN$401,0),COLUMN()),IF($A$1=1,INDEX($DQ$3:$DX$401,MATCH(ROWS(F$3:F261),$DW$3:$DW$401,0),COLUMN()),"")),"")</f>
        <v>SE DARE</v>
      </c>
      <c r="G261" s="48" t="str">
        <f t="shared" ca="1" si="561"/>
        <v>SE</v>
      </c>
      <c r="H261" s="48" t="str">
        <f ca="1">IFERROR(IF($A$1=2,INDEX($DH$3:$DO$400,MATCH(ROWS(H$3:H261),$DN$3:$DN$400,0),COLUMN()),IF($A$1=1,INDEX($DQ$3:$DX$400,MATCH(ROWS(H$3:H261),$DW$3:$DW$400,0),COLUMN()),"")),"")</f>
        <v>eb10a</v>
      </c>
      <c r="M261" s="48">
        <f ca="1">IFERROR(IF(IF(MID($A261,3,3)=".00",MID(A261,1,2),"")&lt;&gt;"",MAX($M$2:M260)+1,0),"")</f>
        <v>0</v>
      </c>
      <c r="N261" s="48" t="str">
        <f t="shared" ca="1" si="562"/>
        <v/>
      </c>
      <c r="O261" s="48" t="str">
        <f ca="1">IF(IFERROR(INDEX($N$3:$O$300,MATCH(ROWS($O$3:O261),$M$3:$M$300,0),1),"")&lt;&gt;"",CONCATENATE(INDEX($N$3:$O$300,MATCH(ROWS($O$3:O261),$M$3:$M$300,0),1),".00"),"")</f>
        <v/>
      </c>
      <c r="P261" s="48" t="str">
        <f t="shared" ca="1" si="563"/>
        <v/>
      </c>
      <c r="Q261" s="48">
        <f ca="1">IF(M261&gt;=1,0,MAX($Q$2:Q260)+1)</f>
        <v>232</v>
      </c>
      <c r="U261" s="48" t="str">
        <f ca="1">IFERROR(INDEX(PDC,MATCH(ROWS(U$3:U261),$V$3:$V$400,0),2),"")</f>
        <v>PLUSVALENZE DA PARTECIPAZIONI</v>
      </c>
      <c r="V261" s="48">
        <f ca="1">IF(AND($T$1="VISUALIZZA TUTTI I CONTI",AA261&lt;&gt;""),MAX($V$2:V260)+1,IF(AND($U$2=2,AI261=$T$1),MAX($V$2:V260)+1,IF(AND($U$2=1,$T$1=AF261),MAX($V$2:V260)+1,0)))</f>
        <v>259</v>
      </c>
      <c r="AA261" s="48" t="str">
        <f t="shared" ca="1" si="564"/>
        <v>40.00</v>
      </c>
      <c r="AB261" s="48" t="str">
        <f ca="1">IFERROR(INDEX($A$3:$G$400,MATCH(ROWS(AB$3:AB261),$Q$3:$Q$400,0),1),"")</f>
        <v>40.02</v>
      </c>
      <c r="AC261" s="48" t="str">
        <f ca="1">IFERROR(INDEX($A$3:$G$400,MATCH(ROWS($AC$3:AC261),$Q$3:$Q$400,0),2),"")</f>
        <v>PLUSVALENZE DA PARTECIPAZIONI</v>
      </c>
      <c r="AD261" s="48" t="str">
        <f ca="1">IFERROR(INDEX($A$3:$G$400,MATCH(ROWS(AD$3:AD261),$Q$3:$Q$400,0),3),"")</f>
        <v>E</v>
      </c>
      <c r="AE261" s="48" t="str">
        <f ca="1">IFERROR(INDEX($A$3:$G$400,MATCH(ROWS(AE$3:AE261),$Q$3:$Q$400,0),4),"")</f>
        <v>A</v>
      </c>
      <c r="AF261" s="48" t="str">
        <f ca="1">IFERROR(INDEX($A$3:$G$400,MATCH(ROWS(AF$3:AF261),$Q$3:$Q$400,0),5),"")</f>
        <v>RICAVI D'ESERCIZIO</v>
      </c>
      <c r="AG261" s="48" t="str">
        <f ca="1">IFERROR(INDEX($A$3:$G$400,MATCH(ROWS(AG$3:AG261),$Q$3:$Q$400,0),6),"")</f>
        <v>SE AVERE</v>
      </c>
      <c r="AH261" s="48" t="str">
        <f ca="1">IFERROR(INDEX($A$3:$G$400,MATCH(ROWS(AH$3:AH261),$Q$3:$Q$400,0),7),"")</f>
        <v>SE</v>
      </c>
      <c r="AI261" s="48" t="str">
        <f t="shared" ca="1" si="565"/>
        <v>PROVENTI FINANZIARI</v>
      </c>
      <c r="AJ261" s="48" t="str">
        <f ca="1">IFERROR(INDEX($A$3:$H$400,MATCH(ROWS(AJ$3:AJ261),$Q$3:$Q$400,0),8),"")</f>
        <v>ec15</v>
      </c>
      <c r="AK261" s="48">
        <f t="shared" ca="1" si="548"/>
        <v>0</v>
      </c>
      <c r="AL261" s="48">
        <f t="shared" ca="1" si="515"/>
        <v>0</v>
      </c>
      <c r="AM261" s="48">
        <f t="shared" ca="1" si="516"/>
        <v>0</v>
      </c>
      <c r="AN261" s="48">
        <f t="shared" ca="1" si="517"/>
        <v>0</v>
      </c>
      <c r="AO261" s="48">
        <f t="shared" ca="1" si="518"/>
        <v>0</v>
      </c>
      <c r="AP261" s="48">
        <f t="shared" ca="1" si="518"/>
        <v>0</v>
      </c>
      <c r="AZ261" s="48" t="str">
        <f t="shared" ca="1" si="484"/>
        <v/>
      </c>
      <c r="BA261" s="48">
        <f t="shared" ca="1" si="520"/>
        <v>0</v>
      </c>
      <c r="BB261" s="48">
        <f t="shared" ca="1" si="521"/>
        <v>0</v>
      </c>
      <c r="BC261" s="48">
        <f t="shared" ca="1" si="522"/>
        <v>0</v>
      </c>
      <c r="BD261" s="48">
        <f t="shared" ca="1" si="523"/>
        <v>0</v>
      </c>
      <c r="BE261" s="48">
        <f t="shared" ca="1" si="524"/>
        <v>0</v>
      </c>
      <c r="BF261" s="48">
        <f t="shared" si="485"/>
        <v>61</v>
      </c>
      <c r="BG261" s="48">
        <f ca="1">IF(IF(AND(OR(INDEX(PDC,MATCH($AC261,DEN_PDC,0),6)="SP DARE",INDEX(PDC,MATCH($AC261,DEN_PDC,0),6)="SP DARE/AVERE"),SUMIFS(DARE,DEN_G,$AC261)&gt;=SUMIFS(AVERE,DEN_G,$AC261)),SUMIFS(DARE,DEN_G,$AC261)-SUMIFS(AVERE,DEN_G,$AC261),0)&gt;0,MAX($BG$2:BG260)+1,0)</f>
        <v>0</v>
      </c>
      <c r="BH261" s="48">
        <f ca="1">IF(IF(AND(OR(INDEX(PDC,MATCH($AC261,DEN_PDC,0),6)="SP AVERE",INDEX(PDC,MATCH($AC261,DEN_PDC,0),6)="SP DARE/AVERE"),SUMIFS(AVERE,DEN_G,$AC261)&gt;=SUMIFS(DARE,DEN_G,$AC261)),SUMIFS(AVERE,DEN_G,$AC261)-SUMIFS(DARE,DEN_G,$AC261),0)&gt;0,MAX(BH$2:BH260)+1,0)</f>
        <v>0</v>
      </c>
      <c r="BI261" s="48">
        <f ca="1">IF(IF(AND(OR(INDEX(PDC,MATCH($AC261,DEN_PDC,0),6)="SE DARE",INDEX(PDC,MATCH($AC261,DEN_PDC,0),6)="SE DARE/AVERE"),SUMIFS(DARE,DEN_G,$AC261)&gt;=SUMIFS(AVERE,DEN_G,$AC261)),SUMIFS(DARE,DEN_G,$AC261)-SUMIFS(AVERE,DEN_G,$AC261),0)&gt;0,MAX(BI$2:BI260)+1,0)</f>
        <v>0</v>
      </c>
      <c r="BJ261" s="48">
        <f ca="1">IF(IF(AND(OR(INDEX(PDC,MATCH($AC261,DEN_PDC,0),6)="SE AVERE",INDEX(PDC,MATCH($AC261,DEN_PDC,0),6)="SE DARE/AVERE"),SUMIFS(AVERE,DEN_G,$AC261)&gt;=SUMIFS(DARE,DEN_G,$AC261)),SUMIFS(AVERE,DEN_G,$AC261)-SUMIFS(DARE,DEN_G,$AC261),0)&gt;0,MAX(BJ$2:BJ260)+1,0)</f>
        <v>0</v>
      </c>
      <c r="BK261" s="48" t="str">
        <f ca="1">IF(AND(AND($DY$2=0,$DY$1=0),$I$1=2,ROW()&gt;$BG$1+2,ROW()&lt;=$BG$1+4),"………………..",IF(AND(OR($DY$2&gt;0,$DY$1&gt;0),$I$1=2,ROW()&gt;$BG$1+2,ROW()&lt;=$BG$1+4),"………………..",IFERROR(INDEX($AC$3:$AC$398,MATCH(ROWS(BK$3:BK261),BG$3:BG$398,0),1),"")))</f>
        <v/>
      </c>
      <c r="BL261" s="48">
        <f t="shared" ca="1" si="549"/>
        <v>0</v>
      </c>
      <c r="BM261" s="48" t="str">
        <f ca="1">IF(AND(OR($DY$2=0,$DY$1=0),$I$1=2,ROW()&gt;$BH$1+2,ROW()&lt;=$BH$1+4),"………………..",IF(AND(OR($DY$2&gt;0,$DY$1&gt;0),$I$1=2,ROW()&gt;$BH$1+2,ROW()&lt;=$BH$1+4),"………………..",IFERROR(INDEX($AC$3:$AC$400,MATCH(ROWS(BM$3:BM261),BH$3:BH$400,0),1),"")))</f>
        <v/>
      </c>
      <c r="BN261" s="48">
        <f t="shared" ca="1" si="550"/>
        <v>0</v>
      </c>
      <c r="BO261" s="48" t="str">
        <f ca="1">IF(AND(OR($DY$2=0,$DY$1=0),$I$1=2,ROW()&gt;$BI$1+2,ROW()&lt;=$BI$1+4),"………………..",IF(AND(OR($DY$2&gt;0,$DY$1&gt;0),$I$1=2,ROW()&gt;$BI$1+2,ROW()&lt;=$BI$1+4),"………………..",IFERROR(INDEX($AC$3:$AC$400,MATCH(ROWS(BO$3:BO261),BI$3:BI$400,0),1),"")))</f>
        <v/>
      </c>
      <c r="BP261" s="48">
        <f t="shared" ca="1" si="551"/>
        <v>0</v>
      </c>
      <c r="BQ261" s="48" t="str">
        <f ca="1">IF(AND(OR($DY$2=0,$DY$1=0),$I$1=2,ROW()&gt;$BJ$1+2,ROW()&lt;=$BJ$1+4),"………………..",IF(AND(OR($DY$2&gt;0,$DY$1&gt;0),$I$1=2,ROW()&gt;$BJ$1+2,ROW()&lt;=$BJ$1+4),"………………..",IFERROR(INDEX($AC$3:$AC$400,MATCH(ROWS(BQ$3:BQ261),BJ$3:BJ$400,0),1),"")))</f>
        <v/>
      </c>
      <c r="BR261" s="48">
        <f t="shared" ca="1" si="552"/>
        <v>0</v>
      </c>
      <c r="BS261" s="48">
        <f ca="1">IF(IF(AND(OR(INDEX(PDC,MATCH($AC261,DEN_PDC,0),4)="D",INDEX(PDC,MATCH($AC261,DEN_PDC,0),4)="D/A"),SUMIFS(DARE,DEN_G,$AC261)&gt;=SUMIFS(AVERE,DEN_G,$AC261)),SUMIFS(DARE,DEN_G,$AC261),IF(AND(OR(INDEX(PDC,MATCH($AC261,DEN_PDC,0),4)="A",INDEX(PDC,MATCH($AC261,DEN_PDC,0),4)="D/A"),SUMIFS(AVERE,DEN_G,$AC261)&gt;=SUMIFS(DARE,DEN_G,$AC261)),SUMIFS(AVERE,DEN_G,$AC261),))&gt;0,MAX($BS$2:BS260)+1,0)</f>
        <v>0</v>
      </c>
      <c r="BT261" s="48" t="str">
        <f ca="1">IF($CO$1=0,"",IF(AND($I$1=2,ROW()&gt;$BR$1,ROW()&lt;=$BS$1)," …………….",IF(AND($E$1=1,$BX$1=1,$I$1=2,ROW()=$BQ$1),"TOTALI",IFERROR(INDEX(PDC,MATCH(ROWS(BT$3:BT261),BS$3:BS658,0),2),""))))</f>
        <v/>
      </c>
      <c r="BU261" s="48">
        <f t="shared" ca="1" si="553"/>
        <v>0</v>
      </c>
      <c r="BV261" s="48">
        <f t="shared" ca="1" si="554"/>
        <v>0</v>
      </c>
      <c r="BW261" s="48">
        <f t="shared" ca="1" si="555"/>
        <v>0</v>
      </c>
      <c r="BX261" s="48">
        <f t="shared" ca="1" si="556"/>
        <v>0</v>
      </c>
      <c r="BY261" s="48">
        <f ca="1">IF(OR(BW261&gt;0,BX261&gt;0),MAX($BY$2:BY260)+1,0)</f>
        <v>0</v>
      </c>
      <c r="BZ261" s="48" t="str">
        <f ca="1">IFERROR(INDEX($BT$3:$BY$400,MATCH(ROWS(BZ$3:BZ261),$BY$3:$BY$400,0),1),"")</f>
        <v/>
      </c>
      <c r="CA261" s="48" t="str">
        <f ca="1">IFERROR(INDEX($BT$3:$BY$400,MATCH(ROWS(CA$3:CA261),$BY$3:$BY$400,0),4),"")</f>
        <v/>
      </c>
      <c r="CB261" s="48" t="str">
        <f ca="1">IFERROR(INDEX($BT$3:$BY$400,MATCH(ROWS(CB$3:CB261),$BY$3:$BY$400,0),5),"")</f>
        <v/>
      </c>
      <c r="CC261" s="48" t="str">
        <f t="shared" ca="1" si="557"/>
        <v/>
      </c>
      <c r="CM261" s="242" t="str">
        <f t="shared" ca="1" si="566"/>
        <v/>
      </c>
      <c r="CN261" s="243">
        <f t="shared" ca="1" si="567"/>
        <v>0</v>
      </c>
      <c r="CO261" s="48" t="str">
        <f t="shared" ca="1" si="568"/>
        <v/>
      </c>
      <c r="CU261" s="48">
        <f ca="1">IF(SUMIFS(AVERE,DEN_G,AC261,AVERE,"&gt;"&amp;0)+SUMIFS(DARE,DEN_G,AC261,DARE,"&gt;"&amp;0)&gt;0,MAX($CU$2:CU260)+1,0)</f>
        <v>0</v>
      </c>
      <c r="CV261" s="48" t="str">
        <f ca="1">IF(IFERROR(INDEX(PDC,MATCH(ROWS($CV$3:CV261),$CU$3:$CU$400,0),2),"")="CONTO DI RISULTATO ECONOMICO","",IFERROR(INDEX(PDC,MATCH(ROWS($CV$3:CV261),$CU$3:$CU$400,0),2),""))</f>
        <v/>
      </c>
      <c r="CW261" s="48">
        <f ca="1">IFERROR(IF(CV261&lt;&gt;"",MAX($CW$2:CW260)+1,0),0)</f>
        <v>0</v>
      </c>
      <c r="CX261" s="48">
        <f t="shared" ca="1" si="538"/>
        <v>20</v>
      </c>
      <c r="CY261" s="48" t="str">
        <f t="shared" ca="1" si="537"/>
        <v>MASTRO</v>
      </c>
      <c r="CZ261" s="48" t="e">
        <f t="shared" ca="1" si="540"/>
        <v>#N/A</v>
      </c>
      <c r="DA261" s="48" t="str">
        <f t="shared" ca="1" si="547"/>
        <v/>
      </c>
      <c r="DB261" s="48" t="str">
        <f t="shared" ca="1" si="499"/>
        <v/>
      </c>
      <c r="DC261" s="48" t="str">
        <f t="shared" ca="1" si="541"/>
        <v/>
      </c>
      <c r="DD261" s="48" t="str">
        <f t="shared" ca="1" si="542"/>
        <v/>
      </c>
      <c r="DE261" s="48" t="str">
        <f t="shared" ca="1" si="543"/>
        <v/>
      </c>
      <c r="DF261" s="48">
        <f ca="1">IF(AND(CX261=$DF$1,CX261&lt;&gt;""),0,IF(AND(DB261&lt;&gt;"",OR(DB260&lt;&gt;"",DB262&lt;&gt;"")),MAX($DF$2:DF260)+1,0))</f>
        <v>0</v>
      </c>
      <c r="DH261" s="244" t="s">
        <v>1104</v>
      </c>
      <c r="DI261" s="48" t="s">
        <v>291</v>
      </c>
      <c r="DJ261" s="48" t="s">
        <v>311</v>
      </c>
      <c r="DK261" s="48" t="s">
        <v>298</v>
      </c>
      <c r="DL261" s="48" t="s">
        <v>8</v>
      </c>
      <c r="DM261" s="48" t="s">
        <v>300</v>
      </c>
      <c r="DN261" s="48">
        <f ca="1">IF(DI261&lt;&gt;"",MAX($DN$2:DN260)+1,0)</f>
        <v>203</v>
      </c>
      <c r="DO261" s="48" t="s">
        <v>708</v>
      </c>
      <c r="DW261" s="48">
        <f>IF(DR261&lt;&gt;"",MAX($DW$2:DW260)+1,0)</f>
        <v>0</v>
      </c>
      <c r="DY261" s="48" t="str">
        <f t="shared" ca="1" si="558"/>
        <v/>
      </c>
      <c r="EL261" s="48">
        <f t="shared" ca="1" si="559"/>
        <v>0</v>
      </c>
      <c r="EM261" s="48">
        <f ca="1">IF(EL261&gt;=0,0,MAX($EM$2:EM260)+1)</f>
        <v>0</v>
      </c>
      <c r="EN261" s="48" t="str">
        <f t="shared" ca="1" si="569"/>
        <v/>
      </c>
      <c r="EO261" s="48" t="str">
        <f ca="1">IFERROR(INDEX($EM$3:$EN$400,MATCH(ROWS($EO$3:EO261),$EM$3:$EM$400,0),2),"")</f>
        <v/>
      </c>
      <c r="EP261" s="48">
        <f>ROW()</f>
        <v>261</v>
      </c>
      <c r="EQ261" s="48">
        <f t="shared" ca="1" si="560"/>
        <v>0</v>
      </c>
      <c r="ER261" s="48">
        <f ca="1">IF(ISNA(EQ261)=TRUE,MAX($ER$2:ER260)+1,0)</f>
        <v>0</v>
      </c>
      <c r="ES261" s="48" t="str">
        <f t="shared" ca="1" si="570"/>
        <v/>
      </c>
      <c r="ET261" s="48" t="str">
        <f ca="1">IFERROR(INDEX($ER$3:$ES$400,MATCH(ROWS($ET$3:ET261),$ER$3:$ER$400,0),2),"")</f>
        <v/>
      </c>
      <c r="EV261" s="48">
        <f ca="1">IFERROR(INDEX(LIBRO_GIORNALE!$O$11:$P$408,MATCH(ROWS($EV$2:EV260),LIBRO_GIORNALE!$P$11:$P$408,0),1),0)</f>
        <v>0</v>
      </c>
      <c r="EW261" s="48" t="str">
        <f t="shared" ca="1" si="544"/>
        <v>0</v>
      </c>
      <c r="EX261" s="48">
        <f t="shared" ca="1" si="571"/>
        <v>0</v>
      </c>
      <c r="EY261" s="48">
        <f ca="1">IF(EX261&gt;0,MAX($EY$2:EY260)+1,0)</f>
        <v>0</v>
      </c>
      <c r="EZ261" s="48">
        <f ca="1">IFERROR(INDEX($EX$3:$EX$400,MATCH(ROWS($EZ$3:EZ261),$EY$3:$EY$400,0),1),0)</f>
        <v>0</v>
      </c>
      <c r="FA261" s="48">
        <f ca="1">IF(EZ261&gt;0,0,MAX($FA$2:FA260)+1)</f>
        <v>259</v>
      </c>
      <c r="FB261" s="48">
        <f t="shared" ca="1" si="545"/>
        <v>0</v>
      </c>
      <c r="FC261" s="48">
        <f t="shared" ca="1" si="546"/>
        <v>259</v>
      </c>
      <c r="FD261" s="48">
        <f t="shared" ca="1" si="572"/>
        <v>259</v>
      </c>
      <c r="FE261" s="48">
        <f ca="1">IF(FD261=0,0,MAX($FE$2:FE260)+1)</f>
        <v>259</v>
      </c>
      <c r="FF261" s="48">
        <f ca="1">IFERROR(INDEX($FD$3:$FE$400,MATCH(ROWS($FF$3:FF261),$FE$3:$FE$400,0),1),"")</f>
        <v>259</v>
      </c>
      <c r="FG261" s="48">
        <f t="shared" ca="1" si="519"/>
        <v>0</v>
      </c>
      <c r="FH261" s="48">
        <f t="shared" ca="1" si="573"/>
        <v>0</v>
      </c>
      <c r="FI261" s="48">
        <f ca="1">IF(FH261&lt;&gt;0,MAX($FI$2:FI260)+1,0)</f>
        <v>0</v>
      </c>
      <c r="FJ261" s="48" t="str">
        <f ca="1">IFERROR(INDEX($FH$3:$FI$400,MATCH(ROWS($FJ$3:FJ261),$FI$3:$FI$400,0),1),"")</f>
        <v/>
      </c>
      <c r="FK261" s="48">
        <f ca="1">IF(ABS(SUMIFS(DARE,DEN_G,"="&amp;FJ261,DATA,"&lt;="&amp;FINE_AC,DATA,"&gt;="&amp;INIZIO_A_PC)-SUMIFS(AVERE,DEN_G,"="&amp;FJ261,DATA,"&lt;="&amp;FINE_AC,DATA,"&gt;="&amp;INIZIO_A_PC))&gt;0,MAX($FK$2:FK260)+1,0)</f>
        <v>0</v>
      </c>
      <c r="FL261" s="48" t="str">
        <f ca="1">IF(AND(ROW()-2&lt;&gt;1,ROW()-2&lt;=$FK$1),CONCATENATE(" - ",IFERROR(INDEX($FJ$3:$FK$400,MATCH(ROWS($FL$3:FL261),$FK$3:$FK$400,0),1),"")),IFERROR(INDEX($FJ$3:$FK$400,MATCH(ROWS($FL$3:FL261),$FK$3:$FK$400,0),1),""))</f>
        <v/>
      </c>
      <c r="FM261" s="48">
        <f ca="1">IF(OR(B261="IVA ns/credito",B261="IVA NS/DEBITO",B261="IVA C/ACCONTO",B261="IMPOSTE C/ACCONTO",B261="CREDITI PER RITENUTE SUBITE",B261="CREDITI D'IMPOSTA"),MAX($FM$2:FM260)+1,0)</f>
        <v>0</v>
      </c>
      <c r="FN261" s="48" t="str">
        <f t="shared" ca="1" si="574"/>
        <v/>
      </c>
      <c r="FO261" s="48" t="str">
        <f ca="1">IFERROR(INDEX($FM$3:$FN$400,MATCH(ROWS($FO$3:FO261),$FM$3:$FM$400,0),2),"")</f>
        <v/>
      </c>
      <c r="FP261" s="48">
        <f ca="1">IF(ABS(SUMIFS(DARE,DEN_G,"="&amp;FO261,DATA,"&lt;="&amp;FINE_AC,DATA,"&gt;="&amp;INIZIO_A_PC)-SUMIFS(AVERE,DEN_G,"="&amp;FO261,DATA,"&lt;="&amp;FINE_AC,DATA,"&gt;="&amp;INIZIO_A_PC))&gt;0,MAX($FP$2:FP260)+1,0)</f>
        <v>0</v>
      </c>
      <c r="FQ261" s="48" t="str">
        <f ca="1">IF(AND(ROW()-2&lt;&gt;1,ROW()-2&lt;=$FP$1),CONCATENATE(" - ",IFERROR(INDEX($FO$3:$FP$400,MATCH(ROWS($FQ$3:FQ261),$FP$3:$FP$400,0),1),"")),IFERROR(INDEX($FO$3:$FP$400,MATCH(ROWS($FQ$3:FQ261),$FP$3:$FP$400,0),1),""))</f>
        <v/>
      </c>
    </row>
    <row r="262" spans="1:173" x14ac:dyDescent="0.3">
      <c r="A262" s="48" t="str">
        <f ca="1">IFERROR(IF($A$1=2,INDEX($DH$3:$DN$401,MATCH(ROWS(A$3:A262),$DN$3:$DN$401,0),COLUMN()),IF($A$1=1,INDEX($DQ$3:$DW$401,MATCH(ROWS(A$3:A262),$DW$3:$DW$401,0),COLUMN()),"")),"")</f>
        <v>35.03</v>
      </c>
      <c r="B262" s="48" t="str">
        <f ca="1">IFERROR(IF($A$1=2,INDEX($DH$3:$DN$401,MATCH(ROWS(B$3:B262),$DN$3:$DN$401,0),COLUMN()),IF($A$1=1,INDEX($DQ$3:$DW$400,MATCH(ROWS(B$3:B262),$DW$3:$DW$401,0),COLUMN()),"")),"")</f>
        <v>AMMORTAMENTO ATTREZZATURE INDUSTRIALI</v>
      </c>
      <c r="C262" s="48" t="str">
        <f ca="1">IFERROR(IF($A$1=2,INDEX($DH$3:$DN$401,MATCH(ROWS(C$3:C262),$DN$3:$DN$401,0),COLUMN()),IF($A$1=1,INDEX($DQ$3:$DW$401,MATCH(ROWS(C$3:C262),$DW$3:$DW$401,0),COLUMN()),"")),"")</f>
        <v>E</v>
      </c>
      <c r="D262" s="48" t="str">
        <f ca="1">IFERROR(IF($A$1=2,INDEX($DH$3:$DN$401,MATCH(ROWS(D$3:D262),$DN$3:$DN$401,0),COLUMN()),IF($A$1=1,INDEX($DQ$3:$DW$401,MATCH(ROWS(D$3:D262),$DW$3:$DW$401,0),COLUMN()),"")),"")</f>
        <v>D</v>
      </c>
      <c r="E262" s="48" t="str">
        <f ca="1">IFERROR(IF($A$1=2,INDEX($DH$3:$DN$401,MATCH(ROWS(E$3:E262),$DN$3:$DN$401,0),COLUMN()),IF($A$1=1,INDEX($DQ$3:$DW$401,MATCH(ROWS(E$3:E262),$DW$3:$DW$401,0),COLUMN()),"")),"")</f>
        <v>COSTI D'ESERCIZIO</v>
      </c>
      <c r="F262" s="48" t="str">
        <f ca="1">IFERROR(IF($A$1=2,INDEX($DH$3:$DN$401,MATCH(ROWS(F$3:F262),$DN$3:$DN$401,0),COLUMN()),IF($A$1=1,INDEX($DQ$3:$DX$401,MATCH(ROWS(F$3:F262),$DW$3:$DW$401,0),COLUMN()),"")),"")</f>
        <v>SE DARE</v>
      </c>
      <c r="G262" s="48" t="str">
        <f t="shared" ca="1" si="561"/>
        <v>SE</v>
      </c>
      <c r="H262" s="48" t="str">
        <f ca="1">IFERROR(IF($A$1=2,INDEX($DH$3:$DO$400,MATCH(ROWS(H$3:H262),$DN$3:$DN$400,0),COLUMN()),IF($A$1=1,INDEX($DQ$3:$DX$400,MATCH(ROWS(H$3:H262),$DW$3:$DW$400,0),COLUMN()),"")),"")</f>
        <v>eb10a</v>
      </c>
      <c r="M262" s="48">
        <f ca="1">IFERROR(IF(IF(MID($A262,3,3)=".00",MID(A262,1,2),"")&lt;&gt;"",MAX($M$2:M261)+1,0),"")</f>
        <v>0</v>
      </c>
      <c r="N262" s="48" t="str">
        <f t="shared" ca="1" si="562"/>
        <v/>
      </c>
      <c r="O262" s="48" t="str">
        <f ca="1">IF(IFERROR(INDEX($N$3:$O$300,MATCH(ROWS($O$3:O262),$M$3:$M$300,0),1),"")&lt;&gt;"",CONCATENATE(INDEX($N$3:$O$300,MATCH(ROWS($O$3:O262),$M$3:$M$300,0),1),".00"),"")</f>
        <v/>
      </c>
      <c r="P262" s="48" t="str">
        <f t="shared" ca="1" si="563"/>
        <v/>
      </c>
      <c r="Q262" s="48">
        <f ca="1">IF(M262&gt;=1,0,MAX($Q$2:Q261)+1)</f>
        <v>233</v>
      </c>
      <c r="U262" s="48" t="str">
        <f ca="1">IFERROR(INDEX(PDC,MATCH(ROWS(U$3:U262),$V$3:$V$400,0),2),"")</f>
        <v>INTERESSI ATTIVI DA CONTROLLATE</v>
      </c>
      <c r="V262" s="48">
        <f ca="1">IF(AND($T$1="VISUALIZZA TUTTI I CONTI",AA262&lt;&gt;""),MAX($V$2:V261)+1,IF(AND($U$2=2,AI262=$T$1),MAX($V$2:V261)+1,IF(AND($U$2=1,$T$1=AF262),MAX($V$2:V261)+1,0)))</f>
        <v>260</v>
      </c>
      <c r="AA262" s="48" t="str">
        <f t="shared" ca="1" si="564"/>
        <v>40.00</v>
      </c>
      <c r="AB262" s="48" t="str">
        <f ca="1">IFERROR(INDEX($A$3:$G$400,MATCH(ROWS(AB$3:AB262),$Q$3:$Q$400,0),1),"")</f>
        <v>40.03</v>
      </c>
      <c r="AC262" s="48" t="str">
        <f ca="1">IFERROR(INDEX($A$3:$G$400,MATCH(ROWS($AC$3:AC262),$Q$3:$Q$400,0),2),"")</f>
        <v>INTERESSI ATTIVI DA CONTROLLATE</v>
      </c>
      <c r="AD262" s="48" t="str">
        <f ca="1">IFERROR(INDEX($A$3:$G$400,MATCH(ROWS(AD$3:AD262),$Q$3:$Q$400,0),3),"")</f>
        <v>E</v>
      </c>
      <c r="AE262" s="48" t="str">
        <f ca="1">IFERROR(INDEX($A$3:$G$400,MATCH(ROWS(AE$3:AE262),$Q$3:$Q$400,0),4),"")</f>
        <v>A</v>
      </c>
      <c r="AF262" s="48" t="str">
        <f ca="1">IFERROR(INDEX($A$3:$G$400,MATCH(ROWS(AF$3:AF262),$Q$3:$Q$400,0),5),"")</f>
        <v>RICAVI D'ESERCIZIO</v>
      </c>
      <c r="AG262" s="48" t="str">
        <f ca="1">IFERROR(INDEX($A$3:$G$400,MATCH(ROWS(AG$3:AG262),$Q$3:$Q$400,0),6),"")</f>
        <v>SE AVERE</v>
      </c>
      <c r="AH262" s="48" t="str">
        <f ca="1">IFERROR(INDEX($A$3:$G$400,MATCH(ROWS(AH$3:AH262),$Q$3:$Q$400,0),7),"")</f>
        <v>SE</v>
      </c>
      <c r="AI262" s="48" t="str">
        <f t="shared" ca="1" si="565"/>
        <v>PROVENTI FINANZIARI</v>
      </c>
      <c r="AJ262" s="48" t="str">
        <f ca="1">IFERROR(INDEX($A$3:$H$400,MATCH(ROWS(AJ$3:AJ262),$Q$3:$Q$400,0),8),"")</f>
        <v>ec16a</v>
      </c>
      <c r="AK262" s="48">
        <f t="shared" ca="1" si="548"/>
        <v>0</v>
      </c>
      <c r="AL262" s="48">
        <f t="shared" ca="1" si="515"/>
        <v>0</v>
      </c>
      <c r="AM262" s="48">
        <f t="shared" ca="1" si="516"/>
        <v>0</v>
      </c>
      <c r="AN262" s="48">
        <f t="shared" ca="1" si="517"/>
        <v>0</v>
      </c>
      <c r="AO262" s="48">
        <f t="shared" ca="1" si="518"/>
        <v>0</v>
      </c>
      <c r="AP262" s="48">
        <f t="shared" ca="1" si="518"/>
        <v>0</v>
      </c>
      <c r="AZ262" s="48" t="str">
        <f t="shared" ca="1" si="484"/>
        <v/>
      </c>
      <c r="BA262" s="48">
        <f t="shared" ca="1" si="520"/>
        <v>0</v>
      </c>
      <c r="BB262" s="48">
        <f t="shared" ca="1" si="521"/>
        <v>0</v>
      </c>
      <c r="BC262" s="48">
        <f t="shared" ca="1" si="522"/>
        <v>0</v>
      </c>
      <c r="BD262" s="48">
        <f t="shared" ca="1" si="523"/>
        <v>0</v>
      </c>
      <c r="BE262" s="48">
        <f t="shared" ca="1" si="524"/>
        <v>0</v>
      </c>
      <c r="BF262" s="48">
        <f t="shared" si="485"/>
        <v>62</v>
      </c>
      <c r="BG262" s="48">
        <f ca="1">IF(IF(AND(OR(INDEX(PDC,MATCH($AC262,DEN_PDC,0),6)="SP DARE",INDEX(PDC,MATCH($AC262,DEN_PDC,0),6)="SP DARE/AVERE"),SUMIFS(DARE,DEN_G,$AC262)&gt;=SUMIFS(AVERE,DEN_G,$AC262)),SUMIFS(DARE,DEN_G,$AC262)-SUMIFS(AVERE,DEN_G,$AC262),0)&gt;0,MAX($BG$2:BG261)+1,0)</f>
        <v>0</v>
      </c>
      <c r="BH262" s="48">
        <f ca="1">IF(IF(AND(OR(INDEX(PDC,MATCH($AC262,DEN_PDC,0),6)="SP AVERE",INDEX(PDC,MATCH($AC262,DEN_PDC,0),6)="SP DARE/AVERE"),SUMIFS(AVERE,DEN_G,$AC262)&gt;=SUMIFS(DARE,DEN_G,$AC262)),SUMIFS(AVERE,DEN_G,$AC262)-SUMIFS(DARE,DEN_G,$AC262),0)&gt;0,MAX(BH$2:BH261)+1,0)</f>
        <v>0</v>
      </c>
      <c r="BI262" s="48">
        <f ca="1">IF(IF(AND(OR(INDEX(PDC,MATCH($AC262,DEN_PDC,0),6)="SE DARE",INDEX(PDC,MATCH($AC262,DEN_PDC,0),6)="SE DARE/AVERE"),SUMIFS(DARE,DEN_G,$AC262)&gt;=SUMIFS(AVERE,DEN_G,$AC262)),SUMIFS(DARE,DEN_G,$AC262)-SUMIFS(AVERE,DEN_G,$AC262),0)&gt;0,MAX(BI$2:BI261)+1,0)</f>
        <v>0</v>
      </c>
      <c r="BJ262" s="48">
        <f ca="1">IF(IF(AND(OR(INDEX(PDC,MATCH($AC262,DEN_PDC,0),6)="SE AVERE",INDEX(PDC,MATCH($AC262,DEN_PDC,0),6)="SE DARE/AVERE"),SUMIFS(AVERE,DEN_G,$AC262)&gt;=SUMIFS(DARE,DEN_G,$AC262)),SUMIFS(AVERE,DEN_G,$AC262)-SUMIFS(DARE,DEN_G,$AC262),0)&gt;0,MAX(BJ$2:BJ261)+1,0)</f>
        <v>0</v>
      </c>
      <c r="BK262" s="48" t="str">
        <f ca="1">IF(AND(AND($DY$2=0,$DY$1=0),$I$1=2,ROW()&gt;$BG$1+2,ROW()&lt;=$BG$1+4),"………………..",IF(AND(OR($DY$2&gt;0,$DY$1&gt;0),$I$1=2,ROW()&gt;$BG$1+2,ROW()&lt;=$BG$1+4),"………………..",IFERROR(INDEX($AC$3:$AC$398,MATCH(ROWS(BK$3:BK262),BG$3:BG$398,0),1),"")))</f>
        <v/>
      </c>
      <c r="BL262" s="48">
        <f t="shared" ca="1" si="549"/>
        <v>0</v>
      </c>
      <c r="BM262" s="48" t="str">
        <f ca="1">IF(AND(OR($DY$2=0,$DY$1=0),$I$1=2,ROW()&gt;$BH$1+2,ROW()&lt;=$BH$1+4),"………………..",IF(AND(OR($DY$2&gt;0,$DY$1&gt;0),$I$1=2,ROW()&gt;$BH$1+2,ROW()&lt;=$BH$1+4),"………………..",IFERROR(INDEX($AC$3:$AC$400,MATCH(ROWS(BM$3:BM262),BH$3:BH$400,0),1),"")))</f>
        <v/>
      </c>
      <c r="BN262" s="48">
        <f t="shared" ca="1" si="550"/>
        <v>0</v>
      </c>
      <c r="BO262" s="48" t="str">
        <f ca="1">IF(AND(OR($DY$2=0,$DY$1=0),$I$1=2,ROW()&gt;$BI$1+2,ROW()&lt;=$BI$1+4),"………………..",IF(AND(OR($DY$2&gt;0,$DY$1&gt;0),$I$1=2,ROW()&gt;$BI$1+2,ROW()&lt;=$BI$1+4),"………………..",IFERROR(INDEX($AC$3:$AC$400,MATCH(ROWS(BO$3:BO262),BI$3:BI$400,0),1),"")))</f>
        <v/>
      </c>
      <c r="BP262" s="48">
        <f t="shared" ca="1" si="551"/>
        <v>0</v>
      </c>
      <c r="BQ262" s="48" t="str">
        <f ca="1">IF(AND(OR($DY$2=0,$DY$1=0),$I$1=2,ROW()&gt;$BJ$1+2,ROW()&lt;=$BJ$1+4),"………………..",IF(AND(OR($DY$2&gt;0,$DY$1&gt;0),$I$1=2,ROW()&gt;$BJ$1+2,ROW()&lt;=$BJ$1+4),"………………..",IFERROR(INDEX($AC$3:$AC$400,MATCH(ROWS(BQ$3:BQ262),BJ$3:BJ$400,0),1),"")))</f>
        <v/>
      </c>
      <c r="BR262" s="48">
        <f t="shared" ca="1" si="552"/>
        <v>0</v>
      </c>
      <c r="BS262" s="48">
        <f ca="1">IF(IF(AND(OR(INDEX(PDC,MATCH($AC262,DEN_PDC,0),4)="D",INDEX(PDC,MATCH($AC262,DEN_PDC,0),4)="D/A"),SUMIFS(DARE,DEN_G,$AC262)&gt;=SUMIFS(AVERE,DEN_G,$AC262)),SUMIFS(DARE,DEN_G,$AC262),IF(AND(OR(INDEX(PDC,MATCH($AC262,DEN_PDC,0),4)="A",INDEX(PDC,MATCH($AC262,DEN_PDC,0),4)="D/A"),SUMIFS(AVERE,DEN_G,$AC262)&gt;=SUMIFS(DARE,DEN_G,$AC262)),SUMIFS(AVERE,DEN_G,$AC262),))&gt;0,MAX($BS$2:BS261)+1,0)</f>
        <v>0</v>
      </c>
      <c r="BT262" s="48" t="str">
        <f ca="1">IF($CO$1=0,"",IF(AND($I$1=2,ROW()&gt;$BR$1,ROW()&lt;=$BS$1)," …………….",IF(AND($E$1=1,$BX$1=1,$I$1=2,ROW()=$BQ$1),"TOTALI",IFERROR(INDEX(PDC,MATCH(ROWS(BT$3:BT262),BS$3:BS659,0),2),""))))</f>
        <v/>
      </c>
      <c r="BU262" s="48">
        <f t="shared" ca="1" si="553"/>
        <v>0</v>
      </c>
      <c r="BV262" s="48">
        <f t="shared" ca="1" si="554"/>
        <v>0</v>
      </c>
      <c r="BW262" s="48">
        <f t="shared" ca="1" si="555"/>
        <v>0</v>
      </c>
      <c r="BX262" s="48">
        <f t="shared" ca="1" si="556"/>
        <v>0</v>
      </c>
      <c r="BY262" s="48">
        <f ca="1">IF(OR(BW262&gt;0,BX262&gt;0),MAX($BY$2:BY261)+1,0)</f>
        <v>0</v>
      </c>
      <c r="BZ262" s="48" t="str">
        <f ca="1">IFERROR(INDEX($BT$3:$BY$400,MATCH(ROWS(BZ$3:BZ262),$BY$3:$BY$400,0),1),"")</f>
        <v/>
      </c>
      <c r="CA262" s="48" t="str">
        <f ca="1">IFERROR(INDEX($BT$3:$BY$400,MATCH(ROWS(CA$3:CA262),$BY$3:$BY$400,0),4),"")</f>
        <v/>
      </c>
      <c r="CB262" s="48" t="str">
        <f ca="1">IFERROR(INDEX($BT$3:$BY$400,MATCH(ROWS(CB$3:CB262),$BY$3:$BY$400,0),5),"")</f>
        <v/>
      </c>
      <c r="CC262" s="48" t="str">
        <f t="shared" ca="1" si="557"/>
        <v/>
      </c>
      <c r="CM262" s="242" t="str">
        <f t="shared" ca="1" si="566"/>
        <v/>
      </c>
      <c r="CN262" s="243">
        <f t="shared" ca="1" si="567"/>
        <v>0</v>
      </c>
      <c r="CO262" s="48" t="str">
        <f t="shared" ca="1" si="568"/>
        <v/>
      </c>
      <c r="CU262" s="48">
        <f ca="1">IF(SUMIFS(AVERE,DEN_G,AC262,AVERE,"&gt;"&amp;0)+SUMIFS(DARE,DEN_G,AC262,DARE,"&gt;"&amp;0)&gt;0,MAX($CU$2:CU261)+1,0)</f>
        <v>0</v>
      </c>
      <c r="CV262" s="48" t="str">
        <f ca="1">IF(IFERROR(INDEX(PDC,MATCH(ROWS($CV$3:CV262),$CU$3:$CU$400,0),2),"")="CONTO DI RISULTATO ECONOMICO","",IFERROR(INDEX(PDC,MATCH(ROWS($CV$3:CV262),$CU$3:$CU$400,0),2),""))</f>
        <v/>
      </c>
      <c r="CW262" s="48">
        <f ca="1">IFERROR(IF(CV262&lt;&gt;"",MAX($CW$2:CW261)+1,0),0)</f>
        <v>0</v>
      </c>
      <c r="CY262" s="48" t="s">
        <v>500</v>
      </c>
      <c r="DB262" s="48" t="str">
        <f t="shared" ref="DB262" ca="1" si="575">IF(CX261=$DF$1,"","MASTRO")</f>
        <v>MASTRO</v>
      </c>
      <c r="DF262" s="48">
        <f ca="1">IF(AND(CX262=$DF$1,CX262&lt;&gt;""),0,IF(AND(DB262&lt;&gt;"",OR(DB261&lt;&gt;"",DB263&lt;&gt;"")),MAX($DF$2:DF261)+1,0))</f>
        <v>0</v>
      </c>
      <c r="DH262" s="244" t="s">
        <v>1105</v>
      </c>
      <c r="DI262" s="48" t="s">
        <v>432</v>
      </c>
      <c r="DJ262" s="48" t="s">
        <v>311</v>
      </c>
      <c r="DK262" s="48" t="s">
        <v>298</v>
      </c>
      <c r="DL262" s="48" t="s">
        <v>8</v>
      </c>
      <c r="DM262" s="48" t="s">
        <v>300</v>
      </c>
      <c r="DN262" s="48">
        <f ca="1">IF(DI262&lt;&gt;"",MAX($DN$2:DN261)+1,0)</f>
        <v>204</v>
      </c>
      <c r="DO262" s="48" t="s">
        <v>708</v>
      </c>
      <c r="DW262" s="48">
        <f>IF(DR262&lt;&gt;"",MAX($DW$2:DW261)+1,0)</f>
        <v>0</v>
      </c>
      <c r="DY262" s="48" t="str">
        <f t="shared" ca="1" si="558"/>
        <v/>
      </c>
      <c r="EL262" s="48">
        <f t="shared" ca="1" si="559"/>
        <v>0</v>
      </c>
      <c r="EM262" s="48">
        <f ca="1">IF(EL262&gt;=0,0,MAX($EM$2:EM261)+1)</f>
        <v>0</v>
      </c>
      <c r="EN262" s="48" t="str">
        <f t="shared" ca="1" si="569"/>
        <v/>
      </c>
      <c r="EO262" s="48" t="str">
        <f ca="1">IFERROR(INDEX($EM$3:$EN$400,MATCH(ROWS($EO$3:EO262),$EM$3:$EM$400,0),2),"")</f>
        <v/>
      </c>
      <c r="EP262" s="48">
        <f>ROW()</f>
        <v>262</v>
      </c>
      <c r="EQ262" s="48">
        <f t="shared" ca="1" si="560"/>
        <v>0</v>
      </c>
      <c r="ER262" s="48">
        <f ca="1">IF(ISNA(EQ262)=TRUE,MAX($ER$2:ER261)+1,0)</f>
        <v>0</v>
      </c>
      <c r="ES262" s="48" t="str">
        <f t="shared" ca="1" si="570"/>
        <v/>
      </c>
      <c r="ET262" s="48" t="str">
        <f ca="1">IFERROR(INDEX($ER$3:$ES$400,MATCH(ROWS($ET$3:ET262),$ER$3:$ER$400,0),2),"")</f>
        <v/>
      </c>
      <c r="EV262" s="48">
        <f ca="1">IFERROR(INDEX(LIBRO_GIORNALE!$O$11:$P$408,MATCH(ROWS($EV$2:EV261),LIBRO_GIORNALE!$P$11:$P$408,0),1),0)</f>
        <v>0</v>
      </c>
      <c r="EW262" s="48" t="str">
        <f t="shared" ca="1" si="544"/>
        <v>0</v>
      </c>
      <c r="EX262" s="48">
        <f t="shared" ca="1" si="571"/>
        <v>0</v>
      </c>
      <c r="EY262" s="48">
        <f ca="1">IF(EX262&gt;0,MAX($EY$2:EY261)+1,0)</f>
        <v>0</v>
      </c>
      <c r="EZ262" s="48">
        <f ca="1">IFERROR(INDEX($EX$3:$EX$400,MATCH(ROWS($EZ$3:EZ262),$EY$3:$EY$400,0),1),0)</f>
        <v>0</v>
      </c>
      <c r="FA262" s="48">
        <f ca="1">IF(EZ262&gt;0,0,MAX($FA$2:FA261)+1)</f>
        <v>260</v>
      </c>
      <c r="FB262" s="48">
        <f t="shared" ca="1" si="545"/>
        <v>0</v>
      </c>
      <c r="FC262" s="48">
        <f t="shared" ca="1" si="546"/>
        <v>260</v>
      </c>
      <c r="FD262" s="48">
        <f t="shared" ca="1" si="572"/>
        <v>260</v>
      </c>
      <c r="FE262" s="48">
        <f ca="1">IF(FD262=0,0,MAX($FE$2:FE261)+1)</f>
        <v>260</v>
      </c>
      <c r="FF262" s="48">
        <f ca="1">IFERROR(INDEX($FD$3:$FE$400,MATCH(ROWS($FF$3:FF262),$FE$3:$FE$400,0),1),"")</f>
        <v>260</v>
      </c>
      <c r="FG262" s="48">
        <f t="shared" ca="1" si="519"/>
        <v>0</v>
      </c>
      <c r="FH262" s="48">
        <f t="shared" ca="1" si="573"/>
        <v>0</v>
      </c>
      <c r="FI262" s="48">
        <f ca="1">IF(FH262&lt;&gt;0,MAX($FI$2:FI261)+1,0)</f>
        <v>0</v>
      </c>
      <c r="FJ262" s="48" t="str">
        <f ca="1">IFERROR(INDEX($FH$3:$FI$400,MATCH(ROWS($FJ$3:FJ262),$FI$3:$FI$400,0),1),"")</f>
        <v/>
      </c>
      <c r="FK262" s="48">
        <f ca="1">IF(ABS(SUMIFS(DARE,DEN_G,"="&amp;FJ262,DATA,"&lt;="&amp;FINE_AC,DATA,"&gt;="&amp;INIZIO_A_PC)-SUMIFS(AVERE,DEN_G,"="&amp;FJ262,DATA,"&lt;="&amp;FINE_AC,DATA,"&gt;="&amp;INIZIO_A_PC))&gt;0,MAX($FK$2:FK261)+1,0)</f>
        <v>0</v>
      </c>
      <c r="FL262" s="48" t="str">
        <f ca="1">IF(AND(ROW()-2&lt;&gt;1,ROW()-2&lt;=$FK$1),CONCATENATE(" - ",IFERROR(INDEX($FJ$3:$FK$400,MATCH(ROWS($FL$3:FL262),$FK$3:$FK$400,0),1),"")),IFERROR(INDEX($FJ$3:$FK$400,MATCH(ROWS($FL$3:FL262),$FK$3:$FK$400,0),1),""))</f>
        <v/>
      </c>
      <c r="FM262" s="48">
        <f ca="1">IF(OR(B262="IVA ns/credito",B262="IVA NS/DEBITO",B262="IVA C/ACCONTO",B262="IMPOSTE C/ACCONTO",B262="CREDITI PER RITENUTE SUBITE",B262="CREDITI D'IMPOSTA"),MAX($FM$2:FM261)+1,0)</f>
        <v>0</v>
      </c>
      <c r="FN262" s="48" t="str">
        <f t="shared" ca="1" si="574"/>
        <v/>
      </c>
      <c r="FO262" s="48" t="str">
        <f ca="1">IFERROR(INDEX($FM$3:$FN$400,MATCH(ROWS($FO$3:FO262),$FM$3:$FM$400,0),2),"")</f>
        <v/>
      </c>
      <c r="FP262" s="48">
        <f ca="1">IF(ABS(SUMIFS(DARE,DEN_G,"="&amp;FO262,DATA,"&lt;="&amp;FINE_AC,DATA,"&gt;="&amp;INIZIO_A_PC)-SUMIFS(AVERE,DEN_G,"="&amp;FO262,DATA,"&lt;="&amp;FINE_AC,DATA,"&gt;="&amp;INIZIO_A_PC))&gt;0,MAX($FP$2:FP261)+1,0)</f>
        <v>0</v>
      </c>
      <c r="FQ262" s="48" t="str">
        <f ca="1">IF(AND(ROW()-2&lt;&gt;1,ROW()-2&lt;=$FP$1),CONCATENATE(" - ",IFERROR(INDEX($FO$3:$FP$400,MATCH(ROWS($FQ$3:FQ262),$FP$3:$FP$400,0),1),"")),IFERROR(INDEX($FO$3:$FP$400,MATCH(ROWS($FQ$3:FQ262),$FP$3:$FP$400,0),1),""))</f>
        <v/>
      </c>
    </row>
    <row r="263" spans="1:173" x14ac:dyDescent="0.3">
      <c r="A263" s="48" t="str">
        <f ca="1">IFERROR(IF($A$1=2,INDEX($DH$3:$DN$401,MATCH(ROWS(A$3:A263),$DN$3:$DN$401,0),COLUMN()),IF($A$1=1,INDEX($DQ$3:$DW$401,MATCH(ROWS(A$3:A263),$DW$3:$DW$401,0),COLUMN()),"")),"")</f>
        <v>35.04</v>
      </c>
      <c r="B263" s="48" t="str">
        <f ca="1">IFERROR(IF($A$1=2,INDEX($DH$3:$DN$401,MATCH(ROWS(B$3:B263),$DN$3:$DN$401,0),COLUMN()),IF($A$1=1,INDEX($DQ$3:$DW$400,MATCH(ROWS(B$3:B263),$DW$3:$DW$401,0),COLUMN()),"")),"")</f>
        <v>AMMORTAMENTO ATTREZZATURE COMMERCIALI</v>
      </c>
      <c r="C263" s="48" t="str">
        <f ca="1">IFERROR(IF($A$1=2,INDEX($DH$3:$DN$401,MATCH(ROWS(C$3:C263),$DN$3:$DN$401,0),COLUMN()),IF($A$1=1,INDEX($DQ$3:$DW$401,MATCH(ROWS(C$3:C263),$DW$3:$DW$401,0),COLUMN()),"")),"")</f>
        <v>E</v>
      </c>
      <c r="D263" s="48" t="str">
        <f ca="1">IFERROR(IF($A$1=2,INDEX($DH$3:$DN$401,MATCH(ROWS(D$3:D263),$DN$3:$DN$401,0),COLUMN()),IF($A$1=1,INDEX($DQ$3:$DW$401,MATCH(ROWS(D$3:D263),$DW$3:$DW$401,0),COLUMN()),"")),"")</f>
        <v>D</v>
      </c>
      <c r="E263" s="48" t="str">
        <f ca="1">IFERROR(IF($A$1=2,INDEX($DH$3:$DN$401,MATCH(ROWS(E$3:E263),$DN$3:$DN$401,0),COLUMN()),IF($A$1=1,INDEX($DQ$3:$DW$401,MATCH(ROWS(E$3:E263),$DW$3:$DW$401,0),COLUMN()),"")),"")</f>
        <v>COSTI D'ESERCIZIO</v>
      </c>
      <c r="F263" s="48" t="str">
        <f ca="1">IFERROR(IF($A$1=2,INDEX($DH$3:$DN$401,MATCH(ROWS(F$3:F263),$DN$3:$DN$401,0),COLUMN()),IF($A$1=1,INDEX($DQ$3:$DX$401,MATCH(ROWS(F$3:F263),$DW$3:$DW$401,0),COLUMN()),"")),"")</f>
        <v>SE DARE</v>
      </c>
      <c r="G263" s="48" t="str">
        <f t="shared" ca="1" si="561"/>
        <v>SE</v>
      </c>
      <c r="H263" s="48" t="str">
        <f ca="1">IFERROR(IF($A$1=2,INDEX($DH$3:$DO$400,MATCH(ROWS(H$3:H263),$DN$3:$DN$400,0),COLUMN()),IF($A$1=1,INDEX($DQ$3:$DX$400,MATCH(ROWS(H$3:H263),$DW$3:$DW$400,0),COLUMN()),"")),"")</f>
        <v>eb10a</v>
      </c>
      <c r="M263" s="48">
        <f ca="1">IFERROR(IF(IF(MID($A263,3,3)=".00",MID(A263,1,2),"")&lt;&gt;"",MAX($M$2:M262)+1,0),"")</f>
        <v>0</v>
      </c>
      <c r="N263" s="48" t="str">
        <f t="shared" ca="1" si="562"/>
        <v/>
      </c>
      <c r="O263" s="48" t="str">
        <f ca="1">IF(IFERROR(INDEX($N$3:$O$300,MATCH(ROWS($O$3:O263),$M$3:$M$300,0),1),"")&lt;&gt;"",CONCATENATE(INDEX($N$3:$O$300,MATCH(ROWS($O$3:O263),$M$3:$M$300,0),1),".00"),"")</f>
        <v/>
      </c>
      <c r="P263" s="48" t="str">
        <f t="shared" ca="1" si="563"/>
        <v/>
      </c>
      <c r="Q263" s="48">
        <f ca="1">IF(M263&gt;=1,0,MAX($Q$2:Q262)+1)</f>
        <v>234</v>
      </c>
      <c r="U263" s="48" t="str">
        <f ca="1">IFERROR(INDEX(PDC,MATCH(ROWS(U$3:U263),$V$3:$V$400,0),2),"")</f>
        <v>INTERESSI ATTIVI DA COLLEGATE</v>
      </c>
      <c r="V263" s="48">
        <f ca="1">IF(AND($T$1="VISUALIZZA TUTTI I CONTI",AA263&lt;&gt;""),MAX($V$2:V262)+1,IF(AND($U$2=2,AI263=$T$1),MAX($V$2:V262)+1,IF(AND($U$2=1,$T$1=AF263),MAX($V$2:V262)+1,0)))</f>
        <v>261</v>
      </c>
      <c r="AA263" s="48" t="str">
        <f t="shared" ca="1" si="564"/>
        <v>40.00</v>
      </c>
      <c r="AB263" s="48" t="str">
        <f ca="1">IFERROR(INDEX($A$3:$G$400,MATCH(ROWS(AB$3:AB263),$Q$3:$Q$400,0),1),"")</f>
        <v>40.04</v>
      </c>
      <c r="AC263" s="48" t="str">
        <f ca="1">IFERROR(INDEX($A$3:$G$400,MATCH(ROWS($AC$3:AC263),$Q$3:$Q$400,0),2),"")</f>
        <v>INTERESSI ATTIVI DA COLLEGATE</v>
      </c>
      <c r="AD263" s="48" t="str">
        <f ca="1">IFERROR(INDEX($A$3:$G$400,MATCH(ROWS(AD$3:AD263),$Q$3:$Q$400,0),3),"")</f>
        <v>E</v>
      </c>
      <c r="AE263" s="48" t="str">
        <f ca="1">IFERROR(INDEX($A$3:$G$400,MATCH(ROWS(AE$3:AE263),$Q$3:$Q$400,0),4),"")</f>
        <v>A</v>
      </c>
      <c r="AF263" s="48" t="str">
        <f ca="1">IFERROR(INDEX($A$3:$G$400,MATCH(ROWS(AF$3:AF263),$Q$3:$Q$400,0),5),"")</f>
        <v>RICAVI D'ESERCIZIO</v>
      </c>
      <c r="AG263" s="48" t="str">
        <f ca="1">IFERROR(INDEX($A$3:$G$400,MATCH(ROWS(AG$3:AG263),$Q$3:$Q$400,0),6),"")</f>
        <v>SE AVERE</v>
      </c>
      <c r="AH263" s="48" t="str">
        <f ca="1">IFERROR(INDEX($A$3:$G$400,MATCH(ROWS(AH$3:AH263),$Q$3:$Q$400,0),7),"")</f>
        <v>SE</v>
      </c>
      <c r="AI263" s="48" t="str">
        <f t="shared" ca="1" si="565"/>
        <v>PROVENTI FINANZIARI</v>
      </c>
      <c r="AJ263" s="48" t="str">
        <f ca="1">IFERROR(INDEX($A$3:$H$400,MATCH(ROWS(AJ$3:AJ263),$Q$3:$Q$400,0),8),"")</f>
        <v>ec16a</v>
      </c>
      <c r="AK263" s="48">
        <f t="shared" ca="1" si="548"/>
        <v>0</v>
      </c>
      <c r="AL263" s="48">
        <f t="shared" ref="AL263:AL294" ca="1" si="576">IF(AND(AO263&gt;0,AP263&gt;0),0,IF(INDIRECT(ADDRESS(ROW()-92,COLUMN()-34,,,"LIBRO_GIORNALE"))&lt;INIZIO_A_PC,0,INDIRECT(ADDRESS(ROW()-92,COLUMN()-34,,,"LIBRO_GIORNALE"))))</f>
        <v>0</v>
      </c>
      <c r="AM263" s="48">
        <f t="shared" ca="1" si="516"/>
        <v>0</v>
      </c>
      <c r="AN263" s="48">
        <f t="shared" ca="1" si="517"/>
        <v>0</v>
      </c>
      <c r="AO263" s="48">
        <f t="shared" ca="1" si="518"/>
        <v>0</v>
      </c>
      <c r="AP263" s="48">
        <f t="shared" ca="1" si="518"/>
        <v>0</v>
      </c>
      <c r="AZ263" s="48" t="str">
        <f t="shared" ca="1" si="484"/>
        <v/>
      </c>
      <c r="BA263" s="48">
        <f t="shared" ca="1" si="520"/>
        <v>0</v>
      </c>
      <c r="BB263" s="48">
        <f t="shared" ca="1" si="521"/>
        <v>0</v>
      </c>
      <c r="BC263" s="48">
        <f t="shared" ca="1" si="522"/>
        <v>0</v>
      </c>
      <c r="BD263" s="48">
        <f t="shared" ca="1" si="523"/>
        <v>0</v>
      </c>
      <c r="BE263" s="48">
        <f t="shared" ca="1" si="524"/>
        <v>0</v>
      </c>
      <c r="BF263" s="48">
        <f t="shared" si="485"/>
        <v>63</v>
      </c>
      <c r="BG263" s="48">
        <f ca="1">IF(IF(AND(OR(INDEX(PDC,MATCH($AC263,DEN_PDC,0),6)="SP DARE",INDEX(PDC,MATCH($AC263,DEN_PDC,0),6)="SP DARE/AVERE"),SUMIFS(DARE,DEN_G,$AC263)&gt;=SUMIFS(AVERE,DEN_G,$AC263)),SUMIFS(DARE,DEN_G,$AC263)-SUMIFS(AVERE,DEN_G,$AC263),0)&gt;0,MAX($BG$2:BG262)+1,0)</f>
        <v>0</v>
      </c>
      <c r="BH263" s="48">
        <f ca="1">IF(IF(AND(OR(INDEX(PDC,MATCH($AC263,DEN_PDC,0),6)="SP AVERE",INDEX(PDC,MATCH($AC263,DEN_PDC,0),6)="SP DARE/AVERE"),SUMIFS(AVERE,DEN_G,$AC263)&gt;=SUMIFS(DARE,DEN_G,$AC263)),SUMIFS(AVERE,DEN_G,$AC263)-SUMIFS(DARE,DEN_G,$AC263),0)&gt;0,MAX(BH$2:BH262)+1,0)</f>
        <v>0</v>
      </c>
      <c r="BI263" s="48">
        <f ca="1">IF(IF(AND(OR(INDEX(PDC,MATCH($AC263,DEN_PDC,0),6)="SE DARE",INDEX(PDC,MATCH($AC263,DEN_PDC,0),6)="SE DARE/AVERE"),SUMIFS(DARE,DEN_G,$AC263)&gt;=SUMIFS(AVERE,DEN_G,$AC263)),SUMIFS(DARE,DEN_G,$AC263)-SUMIFS(AVERE,DEN_G,$AC263),0)&gt;0,MAX(BI$2:BI262)+1,0)</f>
        <v>0</v>
      </c>
      <c r="BJ263" s="48">
        <f ca="1">IF(IF(AND(OR(INDEX(PDC,MATCH($AC263,DEN_PDC,0),6)="SE AVERE",INDEX(PDC,MATCH($AC263,DEN_PDC,0),6)="SE DARE/AVERE"),SUMIFS(AVERE,DEN_G,$AC263)&gt;=SUMIFS(DARE,DEN_G,$AC263)),SUMIFS(AVERE,DEN_G,$AC263)-SUMIFS(DARE,DEN_G,$AC263),0)&gt;0,MAX(BJ$2:BJ262)+1,0)</f>
        <v>0</v>
      </c>
      <c r="BK263" s="48" t="str">
        <f ca="1">IF(AND(AND($DY$2=0,$DY$1=0),$I$1=2,ROW()&gt;$BG$1+2,ROW()&lt;=$BG$1+4),"………………..",IF(AND(OR($DY$2&gt;0,$DY$1&gt;0),$I$1=2,ROW()&gt;$BG$1+2,ROW()&lt;=$BG$1+4),"………………..",IFERROR(INDEX($AC$3:$AC$398,MATCH(ROWS(BK$3:BK263),BG$3:BG$398,0),1),"")))</f>
        <v/>
      </c>
      <c r="BL263" s="48">
        <f t="shared" ca="1" si="549"/>
        <v>0</v>
      </c>
      <c r="BM263" s="48" t="str">
        <f ca="1">IF(AND(OR($DY$2=0,$DY$1=0),$I$1=2,ROW()&gt;$BH$1+2,ROW()&lt;=$BH$1+4),"………………..",IF(AND(OR($DY$2&gt;0,$DY$1&gt;0),$I$1=2,ROW()&gt;$BH$1+2,ROW()&lt;=$BH$1+4),"………………..",IFERROR(INDEX($AC$3:$AC$400,MATCH(ROWS(BM$3:BM263),BH$3:BH$400,0),1),"")))</f>
        <v/>
      </c>
      <c r="BN263" s="48">
        <f t="shared" ca="1" si="550"/>
        <v>0</v>
      </c>
      <c r="BO263" s="48" t="str">
        <f ca="1">IF(AND(OR($DY$2=0,$DY$1=0),$I$1=2,ROW()&gt;$BI$1+2,ROW()&lt;=$BI$1+4),"………………..",IF(AND(OR($DY$2&gt;0,$DY$1&gt;0),$I$1=2,ROW()&gt;$BI$1+2,ROW()&lt;=$BI$1+4),"………………..",IFERROR(INDEX($AC$3:$AC$400,MATCH(ROWS(BO$3:BO263),BI$3:BI$400,0),1),"")))</f>
        <v/>
      </c>
      <c r="BP263" s="48">
        <f t="shared" ca="1" si="551"/>
        <v>0</v>
      </c>
      <c r="BQ263" s="48" t="str">
        <f ca="1">IF(AND(OR($DY$2=0,$DY$1=0),$I$1=2,ROW()&gt;$BJ$1+2,ROW()&lt;=$BJ$1+4),"………………..",IF(AND(OR($DY$2&gt;0,$DY$1&gt;0),$I$1=2,ROW()&gt;$BJ$1+2,ROW()&lt;=$BJ$1+4),"………………..",IFERROR(INDEX($AC$3:$AC$400,MATCH(ROWS(BQ$3:BQ263),BJ$3:BJ$400,0),1),"")))</f>
        <v/>
      </c>
      <c r="BR263" s="48">
        <f t="shared" ca="1" si="552"/>
        <v>0</v>
      </c>
      <c r="BS263" s="48">
        <f ca="1">IF(IF(AND(OR(INDEX(PDC,MATCH($AC263,DEN_PDC,0),4)="D",INDEX(PDC,MATCH($AC263,DEN_PDC,0),4)="D/A"),SUMIFS(DARE,DEN_G,$AC263)&gt;=SUMIFS(AVERE,DEN_G,$AC263)),SUMIFS(DARE,DEN_G,$AC263),IF(AND(OR(INDEX(PDC,MATCH($AC263,DEN_PDC,0),4)="A",INDEX(PDC,MATCH($AC263,DEN_PDC,0),4)="D/A"),SUMIFS(AVERE,DEN_G,$AC263)&gt;=SUMIFS(DARE,DEN_G,$AC263)),SUMIFS(AVERE,DEN_G,$AC263),))&gt;0,MAX($BS$2:BS262)+1,0)</f>
        <v>0</v>
      </c>
      <c r="BT263" s="48" t="str">
        <f ca="1">IF($CO$1=0,"",IF(AND($I$1=2,ROW()&gt;$BR$1,ROW()&lt;=$BS$1)," …………….",IF(AND($E$1=1,$BX$1=1,$I$1=2,ROW()=$BQ$1),"TOTALI",IFERROR(INDEX(PDC,MATCH(ROWS(BT$3:BT263),BS$3:BS660,0),2),""))))</f>
        <v/>
      </c>
      <c r="BU263" s="48">
        <f t="shared" ca="1" si="553"/>
        <v>0</v>
      </c>
      <c r="BV263" s="48">
        <f t="shared" ca="1" si="554"/>
        <v>0</v>
      </c>
      <c r="BW263" s="48">
        <f t="shared" ca="1" si="555"/>
        <v>0</v>
      </c>
      <c r="BX263" s="48">
        <f t="shared" ca="1" si="556"/>
        <v>0</v>
      </c>
      <c r="BY263" s="48">
        <f ca="1">IF(OR(BW263&gt;0,BX263&gt;0),MAX($BY$2:BY262)+1,0)</f>
        <v>0</v>
      </c>
      <c r="BZ263" s="48" t="str">
        <f ca="1">IFERROR(INDEX($BT$3:$BY$400,MATCH(ROWS(BZ$3:BZ263),$BY$3:$BY$400,0),1),"")</f>
        <v/>
      </c>
      <c r="CA263" s="48" t="str">
        <f ca="1">IFERROR(INDEX($BT$3:$BY$400,MATCH(ROWS(CA$3:CA263),$BY$3:$BY$400,0),4),"")</f>
        <v/>
      </c>
      <c r="CB263" s="48" t="str">
        <f ca="1">IFERROR(INDEX($BT$3:$BY$400,MATCH(ROWS(CB$3:CB263),$BY$3:$BY$400,0),5),"")</f>
        <v/>
      </c>
      <c r="CC263" s="48" t="str">
        <f t="shared" ca="1" si="557"/>
        <v/>
      </c>
      <c r="CM263" s="242" t="str">
        <f t="shared" ca="1" si="566"/>
        <v/>
      </c>
      <c r="CN263" s="243">
        <f t="shared" ca="1" si="567"/>
        <v>0</v>
      </c>
      <c r="CO263" s="48" t="str">
        <f t="shared" ca="1" si="568"/>
        <v/>
      </c>
      <c r="CU263" s="48">
        <f ca="1">IF(SUMIFS(AVERE,DEN_G,AC263,AVERE,"&gt;"&amp;0)+SUMIFS(DARE,DEN_G,AC263,DARE,"&gt;"&amp;0)&gt;0,MAX($CU$2:CU262)+1,0)</f>
        <v>0</v>
      </c>
      <c r="CV263" s="48" t="str">
        <f ca="1">IF(IFERROR(INDEX(PDC,MATCH(ROWS($CV$3:CV263),$CU$3:$CU$400,0),2),"")="CONTO DI RISULTATO ECONOMICO","",IFERROR(INDEX(PDC,MATCH(ROWS($CV$3:CV263),$CU$3:$CU$400,0),2),""))</f>
        <v/>
      </c>
      <c r="CW263" s="48">
        <f ca="1">IFERROR(IF(CV263&lt;&gt;"",MAX($CW$2:CW262)+1,0),0)</f>
        <v>0</v>
      </c>
      <c r="CX263" s="48">
        <f ca="1">$FF$23</f>
        <v>21</v>
      </c>
      <c r="CY263" s="48" t="str">
        <f t="shared" ref="CY263:CY274" ca="1" si="577">IF(ISERROR(INDEX($CV$3:$CX$1302,MATCH(CX263,$CW$3:$CW$1302,0),1)),"MASTRO",INDEX($CV$3:$CX$1302,MATCH(CX263,$CW$3:$CW$1302,0),1))</f>
        <v>MASTRO</v>
      </c>
      <c r="DA263" s="48" t="str">
        <f>IF(CY262="MASTRO","Conto n.","")</f>
        <v>Conto n.</v>
      </c>
      <c r="DB263" s="48" t="str">
        <f ca="1">IF(CY263=0,"",INDEX(PDC,MATCH(DC263,DEN_PDC,0),1))</f>
        <v/>
      </c>
      <c r="DC263" s="48" t="str">
        <f ca="1">IF(OR(CY263=0,CY263="mastro"),"",CY263)</f>
        <v/>
      </c>
      <c r="DD263" s="48" t="str">
        <f ca="1">IF(AND($DA$2=TRUE,OR(INDEX(PDC,MATCH($DC263,DEN_PDC,0),4)="A",INDEX(PDC,MATCH($DC263,DEN_PDC,0),4)="D/A"),SUMIFS(AVERE,DEN_G,"="&amp;$DC263,DATA,"&lt;="&amp;FINE_AC,DATA,"&gt;="&amp;INIZIO_AC)&gt;SUMIFS(DARE,DEN_G,"="&amp;$DC263,DATA,"&lt;="&amp;FINE_AC,DATA,"&gt;="&amp;INIZIO_AC)),CONCATENATE("s ",FIXED(ABS(SUMIFS(AVERE,DEN_G,"="&amp;$DC263,DATA,"&lt;="&amp;FINE_AC,DATA,"&gt;="&amp;INIZIO_AC)-SUMIFS(DARE,DEN_G,"="&amp;$DC263,DATA,"&lt;="&amp;FINE_AC,DATA,"&gt;="&amp;INIZIO_AC)),2)),"")</f>
        <v/>
      </c>
      <c r="DE263" s="48" t="str">
        <f ca="1">IF(AND($DA$2=TRUE,OR(INDEX(PDC,MATCH($DC263,DEN_PDC,0),4)="D",INDEX(PDC,MATCH($DC263,DEN_PDC,0),4)="D/A"),SUMIFS(DARE,DEN_G,"="&amp;$DC263,DATA,"&lt;="&amp;FINE_AC,DATA,"&gt;="&amp;INIZIO_AC)&gt;SUMIFS(AVERE,DEN_G,"="&amp;$DC263,DATA,"&lt;="&amp;FINE_AC,DATA,"&gt;="&amp;INIZIO_AC)),CONCATENATE("s ",FIXED(ABS(SUMIFS(DARE,DEN_G,"="&amp;$DC263,DATA,"&lt;="&amp;FINE_AC,DATA,"&gt;="&amp;INIZIO_AC)-SUMIFS(AVERE,DEN_G,"="&amp;$DC263,DATA,"&lt;="&amp;FINE_AC,DATA,"&gt;="&amp;INIZIO_AC)),2)),"")</f>
        <v/>
      </c>
      <c r="DF263" s="48">
        <f ca="1">IF(AND(CX263=$DF$1,CX263&lt;&gt;""),0,IF(AND(DB263&lt;&gt;"",OR(DB262&lt;&gt;"",DB264&lt;&gt;"")),MAX($DF$2:DF262)+1,0))</f>
        <v>0</v>
      </c>
      <c r="DH263" s="244" t="s">
        <v>1106</v>
      </c>
      <c r="DI263" s="48" t="s">
        <v>433</v>
      </c>
      <c r="DJ263" s="48" t="s">
        <v>311</v>
      </c>
      <c r="DK263" s="48" t="s">
        <v>298</v>
      </c>
      <c r="DL263" s="48" t="s">
        <v>8</v>
      </c>
      <c r="DM263" s="48" t="s">
        <v>300</v>
      </c>
      <c r="DN263" s="48">
        <f ca="1">IF(DI263&lt;&gt;"",MAX($DN$2:DN262)+1,0)</f>
        <v>205</v>
      </c>
      <c r="DO263" s="48" t="s">
        <v>708</v>
      </c>
      <c r="DQ263" s="227" t="s">
        <v>185</v>
      </c>
      <c r="DR263" s="228" t="s">
        <v>1067</v>
      </c>
      <c r="DW263" s="48">
        <f ca="1">IF(DR263&lt;&gt;"",MAX($DW$2:DW262)+1,0)</f>
        <v>154</v>
      </c>
      <c r="DY263" s="48" t="str">
        <f t="shared" ca="1" si="558"/>
        <v/>
      </c>
      <c r="EL263" s="48">
        <f t="shared" ca="1" si="559"/>
        <v>0</v>
      </c>
      <c r="EM263" s="48">
        <f ca="1">IF(EL263&gt;=0,0,MAX($EM$2:EM262)+1)</f>
        <v>0</v>
      </c>
      <c r="EN263" s="48" t="str">
        <f t="shared" ca="1" si="569"/>
        <v/>
      </c>
      <c r="EO263" s="48" t="str">
        <f ca="1">IFERROR(INDEX($EM$3:$EN$400,MATCH(ROWS($EO$3:EO263),$EM$3:$EM$400,0),2),"")</f>
        <v/>
      </c>
      <c r="EP263" s="48">
        <f>ROW()</f>
        <v>263</v>
      </c>
      <c r="EQ263" s="48">
        <f t="shared" ca="1" si="560"/>
        <v>0</v>
      </c>
      <c r="ER263" s="48">
        <f ca="1">IF(ISNA(EQ263)=TRUE,MAX($ER$2:ER262)+1,0)</f>
        <v>0</v>
      </c>
      <c r="ES263" s="48" t="str">
        <f t="shared" ca="1" si="570"/>
        <v/>
      </c>
      <c r="ET263" s="48" t="str">
        <f ca="1">IFERROR(INDEX($ER$3:$ES$400,MATCH(ROWS($ET$3:ET263),$ER$3:$ER$400,0),2),"")</f>
        <v/>
      </c>
      <c r="EV263" s="48">
        <f ca="1">IFERROR(INDEX(LIBRO_GIORNALE!$O$11:$P$408,MATCH(ROWS($EV$2:EV262),LIBRO_GIORNALE!$P$11:$P$408,0),1),0)</f>
        <v>0</v>
      </c>
      <c r="EW263" s="48" t="str">
        <f t="shared" ca="1" si="544"/>
        <v>0</v>
      </c>
      <c r="EX263" s="48">
        <f t="shared" ca="1" si="571"/>
        <v>0</v>
      </c>
      <c r="EY263" s="48">
        <f ca="1">IF(EX263&gt;0,MAX($EY$2:EY262)+1,0)</f>
        <v>0</v>
      </c>
      <c r="EZ263" s="48">
        <f ca="1">IFERROR(INDEX($EX$3:$EX$400,MATCH(ROWS($EZ$3:EZ263),$EY$3:$EY$400,0),1),0)</f>
        <v>0</v>
      </c>
      <c r="FA263" s="48">
        <f ca="1">IF(EZ263&gt;0,0,MAX($FA$2:FA262)+1)</f>
        <v>261</v>
      </c>
      <c r="FB263" s="48">
        <f t="shared" ca="1" si="545"/>
        <v>0</v>
      </c>
      <c r="FC263" s="48">
        <f t="shared" ca="1" si="546"/>
        <v>261</v>
      </c>
      <c r="FD263" s="48">
        <f t="shared" ca="1" si="572"/>
        <v>261</v>
      </c>
      <c r="FE263" s="48">
        <f ca="1">IF(FD263=0,0,MAX($FE$2:FE262)+1)</f>
        <v>261</v>
      </c>
      <c r="FF263" s="48">
        <f ca="1">IFERROR(INDEX($FD$3:$FE$400,MATCH(ROWS($FF$3:FF263),$FE$3:$FE$400,0),1),"")</f>
        <v>261</v>
      </c>
      <c r="FG263" s="48">
        <f t="shared" ca="1" si="519"/>
        <v>0</v>
      </c>
      <c r="FH263" s="48">
        <f t="shared" ca="1" si="573"/>
        <v>0</v>
      </c>
      <c r="FI263" s="48">
        <f ca="1">IF(FH263&lt;&gt;0,MAX($FI$2:FI262)+1,0)</f>
        <v>0</v>
      </c>
      <c r="FJ263" s="48" t="str">
        <f ca="1">IFERROR(INDEX($FH$3:$FI$400,MATCH(ROWS($FJ$3:FJ263),$FI$3:$FI$400,0),1),"")</f>
        <v/>
      </c>
      <c r="FK263" s="48">
        <f ca="1">IF(ABS(SUMIFS(DARE,DEN_G,"="&amp;FJ263,DATA,"&lt;="&amp;FINE_AC,DATA,"&gt;="&amp;INIZIO_A_PC)-SUMIFS(AVERE,DEN_G,"="&amp;FJ263,DATA,"&lt;="&amp;FINE_AC,DATA,"&gt;="&amp;INIZIO_A_PC))&gt;0,MAX($FK$2:FK262)+1,0)</f>
        <v>0</v>
      </c>
      <c r="FL263" s="48" t="str">
        <f ca="1">IF(AND(ROW()-2&lt;&gt;1,ROW()-2&lt;=$FK$1),CONCATENATE(" - ",IFERROR(INDEX($FJ$3:$FK$400,MATCH(ROWS($FL$3:FL263),$FK$3:$FK$400,0),1),"")),IFERROR(INDEX($FJ$3:$FK$400,MATCH(ROWS($FL$3:FL263),$FK$3:$FK$400,0),1),""))</f>
        <v/>
      </c>
      <c r="FM263" s="48">
        <f ca="1">IF(OR(B263="IVA ns/credito",B263="IVA NS/DEBITO",B263="IVA C/ACCONTO",B263="IMPOSTE C/ACCONTO",B263="CREDITI PER RITENUTE SUBITE",B263="CREDITI D'IMPOSTA"),MAX($FM$2:FM262)+1,0)</f>
        <v>0</v>
      </c>
      <c r="FN263" s="48" t="str">
        <f t="shared" ca="1" si="574"/>
        <v/>
      </c>
      <c r="FO263" s="48" t="str">
        <f ca="1">IFERROR(INDEX($FM$3:$FN$400,MATCH(ROWS($FO$3:FO263),$FM$3:$FM$400,0),2),"")</f>
        <v/>
      </c>
      <c r="FP263" s="48">
        <f ca="1">IF(ABS(SUMIFS(DARE,DEN_G,"="&amp;FO263,DATA,"&lt;="&amp;FINE_AC,DATA,"&gt;="&amp;INIZIO_A_PC)-SUMIFS(AVERE,DEN_G,"="&amp;FO263,DATA,"&lt;="&amp;FINE_AC,DATA,"&gt;="&amp;INIZIO_A_PC))&gt;0,MAX($FP$2:FP262)+1,0)</f>
        <v>0</v>
      </c>
      <c r="FQ263" s="48" t="str">
        <f ca="1">IF(AND(ROW()-2&lt;&gt;1,ROW()-2&lt;=$FP$1),CONCATENATE(" - ",IFERROR(INDEX($FO$3:$FP$400,MATCH(ROWS($FQ$3:FQ263),$FP$3:$FP$400,0),1),"")),IFERROR(INDEX($FO$3:$FP$400,MATCH(ROWS($FQ$3:FQ263),$FP$3:$FP$400,0),1),""))</f>
        <v/>
      </c>
    </row>
    <row r="264" spans="1:173" x14ac:dyDescent="0.3">
      <c r="A264" s="48" t="str">
        <f ca="1">IFERROR(IF($A$1=2,INDEX($DH$3:$DN$401,MATCH(ROWS(A$3:A264),$DN$3:$DN$401,0),COLUMN()),IF($A$1=1,INDEX($DQ$3:$DW$401,MATCH(ROWS(A$3:A264),$DW$3:$DW$401,0),COLUMN()),"")),"")</f>
        <v>35.05</v>
      </c>
      <c r="B264" s="48" t="str">
        <f ca="1">IFERROR(IF($A$1=2,INDEX($DH$3:$DN$401,MATCH(ROWS(B$3:B264),$DN$3:$DN$401,0),COLUMN()),IF($A$1=1,INDEX($DQ$3:$DW$400,MATCH(ROWS(B$3:B264),$DW$3:$DW$401,0),COLUMN()),"")),"")</f>
        <v>AMMORTAMENTO MACCHINE D'UFFICIO</v>
      </c>
      <c r="C264" s="48" t="str">
        <f ca="1">IFERROR(IF($A$1=2,INDEX($DH$3:$DN$401,MATCH(ROWS(C$3:C264),$DN$3:$DN$401,0),COLUMN()),IF($A$1=1,INDEX($DQ$3:$DW$401,MATCH(ROWS(C$3:C264),$DW$3:$DW$401,0),COLUMN()),"")),"")</f>
        <v>E</v>
      </c>
      <c r="D264" s="48" t="str">
        <f ca="1">IFERROR(IF($A$1=2,INDEX($DH$3:$DN$401,MATCH(ROWS(D$3:D264),$DN$3:$DN$401,0),COLUMN()),IF($A$1=1,INDEX($DQ$3:$DW$401,MATCH(ROWS(D$3:D264),$DW$3:$DW$401,0),COLUMN()),"")),"")</f>
        <v>D</v>
      </c>
      <c r="E264" s="48" t="str">
        <f ca="1">IFERROR(IF($A$1=2,INDEX($DH$3:$DN$401,MATCH(ROWS(E$3:E264),$DN$3:$DN$401,0),COLUMN()),IF($A$1=1,INDEX($DQ$3:$DW$401,MATCH(ROWS(E$3:E264),$DW$3:$DW$401,0),COLUMN()),"")),"")</f>
        <v>COSTI D'ESERCIZIO</v>
      </c>
      <c r="F264" s="48" t="str">
        <f ca="1">IFERROR(IF($A$1=2,INDEX($DH$3:$DN$401,MATCH(ROWS(F$3:F264),$DN$3:$DN$401,0),COLUMN()),IF($A$1=1,INDEX($DQ$3:$DX$401,MATCH(ROWS(F$3:F264),$DW$3:$DW$401,0),COLUMN()),"")),"")</f>
        <v>SE DARE</v>
      </c>
      <c r="G264" s="48" t="str">
        <f t="shared" ca="1" si="561"/>
        <v>SE</v>
      </c>
      <c r="H264" s="48" t="str">
        <f ca="1">IFERROR(IF($A$1=2,INDEX($DH$3:$DO$400,MATCH(ROWS(H$3:H264),$DN$3:$DN$400,0),COLUMN()),IF($A$1=1,INDEX($DQ$3:$DX$400,MATCH(ROWS(H$3:H264),$DW$3:$DW$400,0),COLUMN()),"")),"")</f>
        <v>eb10a</v>
      </c>
      <c r="M264" s="48">
        <f ca="1">IFERROR(IF(IF(MID($A264,3,3)=".00",MID(A264,1,2),"")&lt;&gt;"",MAX($M$2:M263)+1,0),"")</f>
        <v>0</v>
      </c>
      <c r="N264" s="48" t="str">
        <f t="shared" ca="1" si="562"/>
        <v/>
      </c>
      <c r="O264" s="48" t="str">
        <f ca="1">IF(IFERROR(INDEX($N$3:$O$300,MATCH(ROWS($O$3:O264),$M$3:$M$300,0),1),"")&lt;&gt;"",CONCATENATE(INDEX($N$3:$O$300,MATCH(ROWS($O$3:O264),$M$3:$M$300,0),1),".00"),"")</f>
        <v/>
      </c>
      <c r="P264" s="48" t="str">
        <f t="shared" ca="1" si="563"/>
        <v/>
      </c>
      <c r="Q264" s="48">
        <f ca="1">IF(M264&gt;=1,0,MAX($Q$2:Q263)+1)</f>
        <v>235</v>
      </c>
      <c r="U264" s="48" t="str">
        <f ca="1">IFERROR(INDEX(PDC,MATCH(ROWS(U$3:U264),$V$3:$V$400,0),2),"")</f>
        <v>INTERESSI ATTIVI DA CONTROLLANTE</v>
      </c>
      <c r="V264" s="48">
        <f ca="1">IF(AND($T$1="VISUALIZZA TUTTI I CONTI",AA264&lt;&gt;""),MAX($V$2:V263)+1,IF(AND($U$2=2,AI264=$T$1),MAX($V$2:V263)+1,IF(AND($U$2=1,$T$1=AF264),MAX($V$2:V263)+1,0)))</f>
        <v>262</v>
      </c>
      <c r="AA264" s="48" t="str">
        <f t="shared" ca="1" si="564"/>
        <v>40.00</v>
      </c>
      <c r="AB264" s="48" t="str">
        <f ca="1">IFERROR(INDEX($A$3:$G$400,MATCH(ROWS(AB$3:AB264),$Q$3:$Q$400,0),1),"")</f>
        <v>40.05</v>
      </c>
      <c r="AC264" s="48" t="str">
        <f ca="1">IFERROR(INDEX($A$3:$G$400,MATCH(ROWS($AC$3:AC264),$Q$3:$Q$400,0),2),"")</f>
        <v>INTERESSI ATTIVI DA CONTROLLANTE</v>
      </c>
      <c r="AD264" s="48" t="str">
        <f ca="1">IFERROR(INDEX($A$3:$G$400,MATCH(ROWS(AD$3:AD264),$Q$3:$Q$400,0),3),"")</f>
        <v>E</v>
      </c>
      <c r="AE264" s="48" t="str">
        <f ca="1">IFERROR(INDEX($A$3:$G$400,MATCH(ROWS(AE$3:AE264),$Q$3:$Q$400,0),4),"")</f>
        <v>A</v>
      </c>
      <c r="AF264" s="48" t="str">
        <f ca="1">IFERROR(INDEX($A$3:$G$400,MATCH(ROWS(AF$3:AF264),$Q$3:$Q$400,0),5),"")</f>
        <v>RICAVI D'ESERCIZIO</v>
      </c>
      <c r="AG264" s="48" t="str">
        <f ca="1">IFERROR(INDEX($A$3:$G$400,MATCH(ROWS(AG$3:AG264),$Q$3:$Q$400,0),6),"")</f>
        <v>SE AVERE</v>
      </c>
      <c r="AH264" s="48" t="str">
        <f ca="1">IFERROR(INDEX($A$3:$G$400,MATCH(ROWS(AH$3:AH264),$Q$3:$Q$400,0),7),"")</f>
        <v>SE</v>
      </c>
      <c r="AI264" s="48" t="str">
        <f t="shared" ca="1" si="565"/>
        <v>PROVENTI FINANZIARI</v>
      </c>
      <c r="AJ264" s="48" t="str">
        <f ca="1">IFERROR(INDEX($A$3:$H$400,MATCH(ROWS(AJ$3:AJ264),$Q$3:$Q$400,0),8),"")</f>
        <v>ec16a</v>
      </c>
      <c r="AK264" s="48">
        <f t="shared" ca="1" si="548"/>
        <v>0</v>
      </c>
      <c r="AL264" s="48">
        <f t="shared" ca="1" si="576"/>
        <v>0</v>
      </c>
      <c r="AM264" s="48">
        <f t="shared" ca="1" si="516"/>
        <v>0</v>
      </c>
      <c r="AN264" s="48">
        <f t="shared" ca="1" si="517"/>
        <v>0</v>
      </c>
      <c r="AO264" s="48">
        <f t="shared" ca="1" si="518"/>
        <v>0</v>
      </c>
      <c r="AP264" s="48">
        <f t="shared" ca="1" si="518"/>
        <v>0</v>
      </c>
      <c r="AZ264" s="48" t="str">
        <f t="shared" ca="1" si="484"/>
        <v/>
      </c>
      <c r="BA264" s="48">
        <f t="shared" ca="1" si="520"/>
        <v>0</v>
      </c>
      <c r="BB264" s="48">
        <f t="shared" ca="1" si="521"/>
        <v>0</v>
      </c>
      <c r="BC264" s="48">
        <f t="shared" ca="1" si="522"/>
        <v>0</v>
      </c>
      <c r="BD264" s="48">
        <f t="shared" ca="1" si="523"/>
        <v>0</v>
      </c>
      <c r="BE264" s="48">
        <f t="shared" ca="1" si="524"/>
        <v>0</v>
      </c>
      <c r="BF264" s="48">
        <f t="shared" si="485"/>
        <v>64</v>
      </c>
      <c r="BG264" s="48">
        <f ca="1">IF(IF(AND(OR(INDEX(PDC,MATCH($AC264,DEN_PDC,0),6)="SP DARE",INDEX(PDC,MATCH($AC264,DEN_PDC,0),6)="SP DARE/AVERE"),SUMIFS(DARE,DEN_G,$AC264)&gt;=SUMIFS(AVERE,DEN_G,$AC264)),SUMIFS(DARE,DEN_G,$AC264)-SUMIFS(AVERE,DEN_G,$AC264),0)&gt;0,MAX($BG$2:BG263)+1,0)</f>
        <v>0</v>
      </c>
      <c r="BH264" s="48">
        <f ca="1">IF(IF(AND(OR(INDEX(PDC,MATCH($AC264,DEN_PDC,0),6)="SP AVERE",INDEX(PDC,MATCH($AC264,DEN_PDC,0),6)="SP DARE/AVERE"),SUMIFS(AVERE,DEN_G,$AC264)&gt;=SUMIFS(DARE,DEN_G,$AC264)),SUMIFS(AVERE,DEN_G,$AC264)-SUMIFS(DARE,DEN_G,$AC264),0)&gt;0,MAX(BH$2:BH263)+1,0)</f>
        <v>0</v>
      </c>
      <c r="BI264" s="48">
        <f ca="1">IF(IF(AND(OR(INDEX(PDC,MATCH($AC264,DEN_PDC,0),6)="SE DARE",INDEX(PDC,MATCH($AC264,DEN_PDC,0),6)="SE DARE/AVERE"),SUMIFS(DARE,DEN_G,$AC264)&gt;=SUMIFS(AVERE,DEN_G,$AC264)),SUMIFS(DARE,DEN_G,$AC264)-SUMIFS(AVERE,DEN_G,$AC264),0)&gt;0,MAX(BI$2:BI263)+1,0)</f>
        <v>0</v>
      </c>
      <c r="BJ264" s="48">
        <f ca="1">IF(IF(AND(OR(INDEX(PDC,MATCH($AC264,DEN_PDC,0),6)="SE AVERE",INDEX(PDC,MATCH($AC264,DEN_PDC,0),6)="SE DARE/AVERE"),SUMIFS(AVERE,DEN_G,$AC264)&gt;=SUMIFS(DARE,DEN_G,$AC264)),SUMIFS(AVERE,DEN_G,$AC264)-SUMIFS(DARE,DEN_G,$AC264),0)&gt;0,MAX(BJ$2:BJ263)+1,0)</f>
        <v>0</v>
      </c>
      <c r="BK264" s="48" t="str">
        <f ca="1">IF(AND(AND($DY$2=0,$DY$1=0),$I$1=2,ROW()&gt;$BG$1+2,ROW()&lt;=$BG$1+4),"………………..",IF(AND(OR($DY$2&gt;0,$DY$1&gt;0),$I$1=2,ROW()&gt;$BG$1+2,ROW()&lt;=$BG$1+4),"………………..",IFERROR(INDEX($AC$3:$AC$398,MATCH(ROWS(BK$3:BK264),BG$3:BG$398,0),1),"")))</f>
        <v/>
      </c>
      <c r="BL264" s="48">
        <f t="shared" ca="1" si="549"/>
        <v>0</v>
      </c>
      <c r="BM264" s="48" t="str">
        <f ca="1">IF(AND(OR($DY$2=0,$DY$1=0),$I$1=2,ROW()&gt;$BH$1+2,ROW()&lt;=$BH$1+4),"………………..",IF(AND(OR($DY$2&gt;0,$DY$1&gt;0),$I$1=2,ROW()&gt;$BH$1+2,ROW()&lt;=$BH$1+4),"………………..",IFERROR(INDEX($AC$3:$AC$400,MATCH(ROWS(BM$3:BM264),BH$3:BH$400,0),1),"")))</f>
        <v/>
      </c>
      <c r="BN264" s="48">
        <f t="shared" ca="1" si="550"/>
        <v>0</v>
      </c>
      <c r="BO264" s="48" t="str">
        <f ca="1">IF(AND(OR($DY$2=0,$DY$1=0),$I$1=2,ROW()&gt;$BI$1+2,ROW()&lt;=$BI$1+4),"………………..",IF(AND(OR($DY$2&gt;0,$DY$1&gt;0),$I$1=2,ROW()&gt;$BI$1+2,ROW()&lt;=$BI$1+4),"………………..",IFERROR(INDEX($AC$3:$AC$400,MATCH(ROWS(BO$3:BO264),BI$3:BI$400,0),1),"")))</f>
        <v/>
      </c>
      <c r="BP264" s="48">
        <f t="shared" ca="1" si="551"/>
        <v>0</v>
      </c>
      <c r="BQ264" s="48" t="str">
        <f ca="1">IF(AND(OR($DY$2=0,$DY$1=0),$I$1=2,ROW()&gt;$BJ$1+2,ROW()&lt;=$BJ$1+4),"………………..",IF(AND(OR($DY$2&gt;0,$DY$1&gt;0),$I$1=2,ROW()&gt;$BJ$1+2,ROW()&lt;=$BJ$1+4),"………………..",IFERROR(INDEX($AC$3:$AC$400,MATCH(ROWS(BQ$3:BQ264),BJ$3:BJ$400,0),1),"")))</f>
        <v/>
      </c>
      <c r="BR264" s="48">
        <f t="shared" ca="1" si="552"/>
        <v>0</v>
      </c>
      <c r="BS264" s="48">
        <f ca="1">IF(IF(AND(OR(INDEX(PDC,MATCH($AC264,DEN_PDC,0),4)="D",INDEX(PDC,MATCH($AC264,DEN_PDC,0),4)="D/A"),SUMIFS(DARE,DEN_G,$AC264)&gt;=SUMIFS(AVERE,DEN_G,$AC264)),SUMIFS(DARE,DEN_G,$AC264),IF(AND(OR(INDEX(PDC,MATCH($AC264,DEN_PDC,0),4)="A",INDEX(PDC,MATCH($AC264,DEN_PDC,0),4)="D/A"),SUMIFS(AVERE,DEN_G,$AC264)&gt;=SUMIFS(DARE,DEN_G,$AC264)),SUMIFS(AVERE,DEN_G,$AC264),))&gt;0,MAX($BS$2:BS263)+1,0)</f>
        <v>0</v>
      </c>
      <c r="BT264" s="48" t="str">
        <f ca="1">IF($CO$1=0,"",IF(AND($I$1=2,ROW()&gt;$BR$1,ROW()&lt;=$BS$1)," …………….",IF(AND($E$1=1,$BX$1=1,$I$1=2,ROW()=$BQ$1),"TOTALI",IFERROR(INDEX(PDC,MATCH(ROWS(BT$3:BT264),BS$3:BS661,0),2),""))))</f>
        <v/>
      </c>
      <c r="BU264" s="48">
        <f t="shared" ca="1" si="553"/>
        <v>0</v>
      </c>
      <c r="BV264" s="48">
        <f t="shared" ca="1" si="554"/>
        <v>0</v>
      </c>
      <c r="BW264" s="48">
        <f t="shared" ca="1" si="555"/>
        <v>0</v>
      </c>
      <c r="BX264" s="48">
        <f t="shared" ca="1" si="556"/>
        <v>0</v>
      </c>
      <c r="BY264" s="48">
        <f ca="1">IF(OR(BW264&gt;0,BX264&gt;0),MAX($BY$2:BY263)+1,0)</f>
        <v>0</v>
      </c>
      <c r="BZ264" s="48" t="str">
        <f ca="1">IFERROR(INDEX($BT$3:$BY$400,MATCH(ROWS(BZ$3:BZ264),$BY$3:$BY$400,0),1),"")</f>
        <v/>
      </c>
      <c r="CA264" s="48" t="str">
        <f ca="1">IFERROR(INDEX($BT$3:$BY$400,MATCH(ROWS(CA$3:CA264),$BY$3:$BY$400,0),4),"")</f>
        <v/>
      </c>
      <c r="CB264" s="48" t="str">
        <f ca="1">IFERROR(INDEX($BT$3:$BY$400,MATCH(ROWS(CB$3:CB264),$BY$3:$BY$400,0),5),"")</f>
        <v/>
      </c>
      <c r="CC264" s="48" t="str">
        <f t="shared" ca="1" si="557"/>
        <v/>
      </c>
      <c r="CM264" s="242" t="str">
        <f t="shared" ca="1" si="566"/>
        <v/>
      </c>
      <c r="CN264" s="243">
        <f t="shared" ca="1" si="567"/>
        <v>0</v>
      </c>
      <c r="CO264" s="48" t="str">
        <f t="shared" ca="1" si="568"/>
        <v/>
      </c>
      <c r="CU264" s="48">
        <f ca="1">IF(SUMIFS(AVERE,DEN_G,AC264,AVERE,"&gt;"&amp;0)+SUMIFS(DARE,DEN_G,AC264,DARE,"&gt;"&amp;0)&gt;0,MAX($CU$2:CU263)+1,0)</f>
        <v>0</v>
      </c>
      <c r="CV264" s="48" t="str">
        <f ca="1">IF(IFERROR(INDEX(PDC,MATCH(ROWS($CV$3:CV264),$CU$3:$CU$400,0),2),"")="CONTO DI RISULTATO ECONOMICO","",IFERROR(INDEX(PDC,MATCH(ROWS($CV$3:CV264),$CU$3:$CU$400,0),2),""))</f>
        <v/>
      </c>
      <c r="CW264" s="48">
        <f ca="1">IFERROR(IF(CV264&lt;&gt;"",MAX($CW$2:CW263)+1,0),0)</f>
        <v>0</v>
      </c>
      <c r="CX264" s="48">
        <f t="shared" ref="CX264:CX274" ca="1" si="578">$FF$23</f>
        <v>21</v>
      </c>
      <c r="CY264" s="48" t="str">
        <f t="shared" ca="1" si="577"/>
        <v>MASTRO</v>
      </c>
      <c r="DA264" s="48" t="str">
        <f ca="1">IF(DB263="","","Num. riga")</f>
        <v/>
      </c>
      <c r="DB264" s="48" t="str">
        <f t="shared" ref="DB264" ca="1" si="579">IF(DB263="","","Data")</f>
        <v/>
      </c>
      <c r="DC264" s="48" t="str">
        <f ca="1">IF(DB263="","","Operazioni")</f>
        <v/>
      </c>
      <c r="DD264" s="48" t="str">
        <f ca="1">IF(DB263="","","Dare        ")</f>
        <v/>
      </c>
      <c r="DE264" s="48" t="str">
        <f ca="1">IF(DB263="","","Avere        ")</f>
        <v/>
      </c>
      <c r="DF264" s="48">
        <f ca="1">IF(AND(CX264=$DF$1,CX264&lt;&gt;""),0,IF(AND(DB264&lt;&gt;"",OR(DB263&lt;&gt;"",DB265&lt;&gt;"")),MAX($DF$2:DF263)+1,0))</f>
        <v>0</v>
      </c>
      <c r="DH264" s="244"/>
      <c r="DN264" s="48">
        <f>IF(DI264&lt;&gt;"",MAX($DN$2:DN263)+1,0)</f>
        <v>0</v>
      </c>
      <c r="DQ264" s="227" t="s">
        <v>190</v>
      </c>
      <c r="DR264" s="48" t="s">
        <v>186</v>
      </c>
      <c r="DS264" s="48" t="s">
        <v>311</v>
      </c>
      <c r="DT264" s="48" t="s">
        <v>275</v>
      </c>
      <c r="DU264" s="48" t="s">
        <v>7</v>
      </c>
      <c r="DV264" s="48" t="s">
        <v>301</v>
      </c>
      <c r="DW264" s="48">
        <f ca="1">IF(DR264&lt;&gt;"",MAX($DW$2:DW263)+1,0)</f>
        <v>155</v>
      </c>
      <c r="DX264" s="48" t="s">
        <v>709</v>
      </c>
      <c r="DY264" s="48" t="str">
        <f t="shared" ca="1" si="558"/>
        <v/>
      </c>
      <c r="EL264" s="48">
        <f t="shared" ca="1" si="559"/>
        <v>0</v>
      </c>
      <c r="EM264" s="48">
        <f ca="1">IF(EL264&gt;=0,0,MAX($EM$2:EM263)+1)</f>
        <v>0</v>
      </c>
      <c r="EN264" s="48" t="str">
        <f t="shared" ca="1" si="569"/>
        <v/>
      </c>
      <c r="EO264" s="48" t="str">
        <f ca="1">IFERROR(INDEX($EM$3:$EN$400,MATCH(ROWS($EO$3:EO264),$EM$3:$EM$400,0),2),"")</f>
        <v/>
      </c>
      <c r="EP264" s="48">
        <f>ROW()</f>
        <v>264</v>
      </c>
      <c r="EQ264" s="48">
        <f t="shared" ca="1" si="560"/>
        <v>0</v>
      </c>
      <c r="ER264" s="48">
        <f ca="1">IF(ISNA(EQ264)=TRUE,MAX($ER$2:ER263)+1,0)</f>
        <v>0</v>
      </c>
      <c r="ES264" s="48" t="str">
        <f t="shared" ca="1" si="570"/>
        <v/>
      </c>
      <c r="ET264" s="48" t="str">
        <f ca="1">IFERROR(INDEX($ER$3:$ES$400,MATCH(ROWS($ET$3:ET264),$ER$3:$ER$400,0),2),"")</f>
        <v/>
      </c>
      <c r="EV264" s="48">
        <f ca="1">IFERROR(INDEX(LIBRO_GIORNALE!$O$11:$P$408,MATCH(ROWS($EV$2:EV263),LIBRO_GIORNALE!$P$11:$P$408,0),1),0)</f>
        <v>0</v>
      </c>
      <c r="EW264" s="48" t="str">
        <f t="shared" ca="1" si="544"/>
        <v>0</v>
      </c>
      <c r="EX264" s="48">
        <f t="shared" ca="1" si="571"/>
        <v>0</v>
      </c>
      <c r="EY264" s="48">
        <f ca="1">IF(EX264&gt;0,MAX($EY$2:EY263)+1,0)</f>
        <v>0</v>
      </c>
      <c r="EZ264" s="48">
        <f ca="1">IFERROR(INDEX($EX$3:$EX$400,MATCH(ROWS($EZ$3:EZ264),$EY$3:$EY$400,0),1),0)</f>
        <v>0</v>
      </c>
      <c r="FA264" s="48">
        <f ca="1">IF(EZ264&gt;0,0,MAX($FA$2:FA263)+1)</f>
        <v>262</v>
      </c>
      <c r="FB264" s="48">
        <f t="shared" ca="1" si="545"/>
        <v>0</v>
      </c>
      <c r="FC264" s="48">
        <f t="shared" ca="1" si="546"/>
        <v>262</v>
      </c>
      <c r="FD264" s="48">
        <f t="shared" ca="1" si="572"/>
        <v>262</v>
      </c>
      <c r="FE264" s="48">
        <f ca="1">IF(FD264=0,0,MAX($FE$2:FE263)+1)</f>
        <v>262</v>
      </c>
      <c r="FF264" s="48">
        <f ca="1">IFERROR(INDEX($FD$3:$FE$400,MATCH(ROWS($FF$3:FF264),$FE$3:$FE$400,0),1),"")</f>
        <v>262</v>
      </c>
      <c r="FG264" s="48">
        <f t="shared" ca="1" si="519"/>
        <v>0</v>
      </c>
      <c r="FH264" s="48">
        <f t="shared" ca="1" si="573"/>
        <v>0</v>
      </c>
      <c r="FI264" s="48">
        <f ca="1">IF(FH264&lt;&gt;0,MAX($FI$2:FI263)+1,0)</f>
        <v>0</v>
      </c>
      <c r="FJ264" s="48" t="str">
        <f ca="1">IFERROR(INDEX($FH$3:$FI$400,MATCH(ROWS($FJ$3:FJ264),$FI$3:$FI$400,0),1),"")</f>
        <v/>
      </c>
      <c r="FK264" s="48">
        <f ca="1">IF(ABS(SUMIFS(DARE,DEN_G,"="&amp;FJ264,DATA,"&lt;="&amp;FINE_AC,DATA,"&gt;="&amp;INIZIO_A_PC)-SUMIFS(AVERE,DEN_G,"="&amp;FJ264,DATA,"&lt;="&amp;FINE_AC,DATA,"&gt;="&amp;INIZIO_A_PC))&gt;0,MAX($FK$2:FK263)+1,0)</f>
        <v>0</v>
      </c>
      <c r="FL264" s="48" t="str">
        <f ca="1">IF(AND(ROW()-2&lt;&gt;1,ROW()-2&lt;=$FK$1),CONCATENATE(" - ",IFERROR(INDEX($FJ$3:$FK$400,MATCH(ROWS($FL$3:FL264),$FK$3:$FK$400,0),1),"")),IFERROR(INDEX($FJ$3:$FK$400,MATCH(ROWS($FL$3:FL264),$FK$3:$FK$400,0),1),""))</f>
        <v/>
      </c>
      <c r="FM264" s="48">
        <f ca="1">IF(OR(B264="IVA ns/credito",B264="IVA NS/DEBITO",B264="IVA C/ACCONTO",B264="IMPOSTE C/ACCONTO",B264="CREDITI PER RITENUTE SUBITE",B264="CREDITI D'IMPOSTA"),MAX($FM$2:FM263)+1,0)</f>
        <v>0</v>
      </c>
      <c r="FN264" s="48" t="str">
        <f t="shared" ca="1" si="574"/>
        <v/>
      </c>
      <c r="FO264" s="48" t="str">
        <f ca="1">IFERROR(INDEX($FM$3:$FN$400,MATCH(ROWS($FO$3:FO264),$FM$3:$FM$400,0),2),"")</f>
        <v/>
      </c>
      <c r="FP264" s="48">
        <f ca="1">IF(ABS(SUMIFS(DARE,DEN_G,"="&amp;FO264,DATA,"&lt;="&amp;FINE_AC,DATA,"&gt;="&amp;INIZIO_A_PC)-SUMIFS(AVERE,DEN_G,"="&amp;FO264,DATA,"&lt;="&amp;FINE_AC,DATA,"&gt;="&amp;INIZIO_A_PC))&gt;0,MAX($FP$2:FP263)+1,0)</f>
        <v>0</v>
      </c>
      <c r="FQ264" s="48" t="str">
        <f ca="1">IF(AND(ROW()-2&lt;&gt;1,ROW()-2&lt;=$FP$1),CONCATENATE(" - ",IFERROR(INDEX($FO$3:$FP$400,MATCH(ROWS($FQ$3:FQ264),$FP$3:$FP$400,0),1),"")),IFERROR(INDEX($FO$3:$FP$400,MATCH(ROWS($FQ$3:FQ264),$FP$3:$FP$400,0),1),""))</f>
        <v/>
      </c>
    </row>
    <row r="265" spans="1:173" x14ac:dyDescent="0.3">
      <c r="A265" s="48" t="str">
        <f ca="1">IFERROR(IF($A$1=2,INDEX($DH$3:$DN$401,MATCH(ROWS(A$3:A265),$DN$3:$DN$401,0),COLUMN()),IF($A$1=1,INDEX($DQ$3:$DW$401,MATCH(ROWS(A$3:A265),$DW$3:$DW$401,0),COLUMN()),"")),"")</f>
        <v>35.06</v>
      </c>
      <c r="B265" s="48" t="str">
        <f ca="1">IFERROR(IF($A$1=2,INDEX($DH$3:$DN$401,MATCH(ROWS(B$3:B265),$DN$3:$DN$401,0),COLUMN()),IF($A$1=1,INDEX($DQ$3:$DW$400,MATCH(ROWS(B$3:B265),$DW$3:$DW$401,0),COLUMN()),"")),"")</f>
        <v>AMMORTAMENTO ARREDAMENTO</v>
      </c>
      <c r="C265" s="48" t="str">
        <f ca="1">IFERROR(IF($A$1=2,INDEX($DH$3:$DN$401,MATCH(ROWS(C$3:C265),$DN$3:$DN$401,0),COLUMN()),IF($A$1=1,INDEX($DQ$3:$DW$401,MATCH(ROWS(C$3:C265),$DW$3:$DW$401,0),COLUMN()),"")),"")</f>
        <v>E</v>
      </c>
      <c r="D265" s="48" t="str">
        <f ca="1">IFERROR(IF($A$1=2,INDEX($DH$3:$DN$401,MATCH(ROWS(D$3:D265),$DN$3:$DN$401,0),COLUMN()),IF($A$1=1,INDEX($DQ$3:$DW$401,MATCH(ROWS(D$3:D265),$DW$3:$DW$401,0),COLUMN()),"")),"")</f>
        <v>D</v>
      </c>
      <c r="E265" s="48" t="str">
        <f ca="1">IFERROR(IF($A$1=2,INDEX($DH$3:$DN$401,MATCH(ROWS(E$3:E265),$DN$3:$DN$401,0),COLUMN()),IF($A$1=1,INDEX($DQ$3:$DW$401,MATCH(ROWS(E$3:E265),$DW$3:$DW$401,0),COLUMN()),"")),"")</f>
        <v>COSTI D'ESERCIZIO</v>
      </c>
      <c r="F265" s="48" t="str">
        <f ca="1">IFERROR(IF($A$1=2,INDEX($DH$3:$DN$401,MATCH(ROWS(F$3:F265),$DN$3:$DN$401,0),COLUMN()),IF($A$1=1,INDEX($DQ$3:$DX$401,MATCH(ROWS(F$3:F265),$DW$3:$DW$401,0),COLUMN()),"")),"")</f>
        <v>SE DARE</v>
      </c>
      <c r="G265" s="48" t="str">
        <f t="shared" ca="1" si="561"/>
        <v>SE</v>
      </c>
      <c r="H265" s="48" t="str">
        <f ca="1">IFERROR(IF($A$1=2,INDEX($DH$3:$DO$400,MATCH(ROWS(H$3:H265),$DN$3:$DN$400,0),COLUMN()),IF($A$1=1,INDEX($DQ$3:$DX$400,MATCH(ROWS(H$3:H265),$DW$3:$DW$400,0),COLUMN()),"")),"")</f>
        <v>eb10a</v>
      </c>
      <c r="M265" s="48">
        <f ca="1">IFERROR(IF(IF(MID($A265,3,3)=".00",MID(A265,1,2),"")&lt;&gt;"",MAX($M$2:M264)+1,0),"")</f>
        <v>0</v>
      </c>
      <c r="N265" s="48" t="str">
        <f t="shared" ca="1" si="562"/>
        <v/>
      </c>
      <c r="O265" s="48" t="str">
        <f ca="1">IF(IFERROR(INDEX($N$3:$O$300,MATCH(ROWS($O$3:O265),$M$3:$M$300,0),1),"")&lt;&gt;"",CONCATENATE(INDEX($N$3:$O$300,MATCH(ROWS($O$3:O265),$M$3:$M$300,0),1),".00"),"")</f>
        <v/>
      </c>
      <c r="P265" s="48" t="str">
        <f t="shared" ca="1" si="563"/>
        <v/>
      </c>
      <c r="Q265" s="48">
        <f ca="1">IF(M265&gt;=1,0,MAX($Q$2:Q264)+1)</f>
        <v>236</v>
      </c>
      <c r="U265" s="48" t="str">
        <f ca="1">IFERROR(INDEX(PDC,MATCH(ROWS(U$3:U265),$V$3:$V$400,0),2),"")</f>
        <v>INTERESSI SU TITOLI</v>
      </c>
      <c r="V265" s="48">
        <f ca="1">IF(AND($T$1="VISUALIZZA TUTTI I CONTI",AA265&lt;&gt;""),MAX($V$2:V264)+1,IF(AND($U$2=2,AI265=$T$1),MAX($V$2:V264)+1,IF(AND($U$2=1,$T$1=AF265),MAX($V$2:V264)+1,0)))</f>
        <v>263</v>
      </c>
      <c r="AA265" s="48" t="str">
        <f t="shared" ca="1" si="564"/>
        <v>40.00</v>
      </c>
      <c r="AB265" s="48" t="str">
        <f ca="1">IFERROR(INDEX($A$3:$G$400,MATCH(ROWS(AB$3:AB265),$Q$3:$Q$400,0),1),"")</f>
        <v>40.20</v>
      </c>
      <c r="AC265" s="48" t="str">
        <f ca="1">IFERROR(INDEX($A$3:$G$400,MATCH(ROWS($AC$3:AC265),$Q$3:$Q$400,0),2),"")</f>
        <v>INTERESSI SU TITOLI</v>
      </c>
      <c r="AD265" s="48" t="str">
        <f ca="1">IFERROR(INDEX($A$3:$G$400,MATCH(ROWS(AD$3:AD265),$Q$3:$Q$400,0),3),"")</f>
        <v>E</v>
      </c>
      <c r="AE265" s="48" t="str">
        <f ca="1">IFERROR(INDEX($A$3:$G$400,MATCH(ROWS(AE$3:AE265),$Q$3:$Q$400,0),4),"")</f>
        <v>A</v>
      </c>
      <c r="AF265" s="48" t="str">
        <f ca="1">IFERROR(INDEX($A$3:$G$400,MATCH(ROWS(AF$3:AF265),$Q$3:$Q$400,0),5),"")</f>
        <v>RICAVI D'ESERCIZIO</v>
      </c>
      <c r="AG265" s="48" t="str">
        <f ca="1">IFERROR(INDEX($A$3:$G$400,MATCH(ROWS(AG$3:AG265),$Q$3:$Q$400,0),6),"")</f>
        <v>SE AVERE</v>
      </c>
      <c r="AH265" s="48" t="str">
        <f ca="1">IFERROR(INDEX($A$3:$G$400,MATCH(ROWS(AH$3:AH265),$Q$3:$Q$400,0),7),"")</f>
        <v>SE</v>
      </c>
      <c r="AI265" s="48" t="str">
        <f t="shared" ca="1" si="565"/>
        <v>PROVENTI FINANZIARI</v>
      </c>
      <c r="AJ265" s="48" t="str">
        <f ca="1">IFERROR(INDEX($A$3:$H$400,MATCH(ROWS(AJ$3:AJ265),$Q$3:$Q$400,0),8),"")</f>
        <v>ec16b</v>
      </c>
      <c r="AK265" s="48">
        <f t="shared" ca="1" si="548"/>
        <v>0</v>
      </c>
      <c r="AL265" s="48">
        <f t="shared" ca="1" si="576"/>
        <v>0</v>
      </c>
      <c r="AM265" s="48">
        <f t="shared" ca="1" si="516"/>
        <v>0</v>
      </c>
      <c r="AN265" s="48">
        <f t="shared" ca="1" si="517"/>
        <v>0</v>
      </c>
      <c r="AO265" s="48">
        <f t="shared" ca="1" si="518"/>
        <v>0</v>
      </c>
      <c r="AP265" s="48">
        <f t="shared" ca="1" si="518"/>
        <v>0</v>
      </c>
      <c r="AZ265" s="48" t="str">
        <f t="shared" ca="1" si="484"/>
        <v/>
      </c>
      <c r="BA265" s="48">
        <f t="shared" ca="1" si="520"/>
        <v>0</v>
      </c>
      <c r="BB265" s="48">
        <f t="shared" ca="1" si="521"/>
        <v>0</v>
      </c>
      <c r="BC265" s="48">
        <f t="shared" ca="1" si="522"/>
        <v>0</v>
      </c>
      <c r="BD265" s="48">
        <f t="shared" ca="1" si="523"/>
        <v>0</v>
      </c>
      <c r="BE265" s="48">
        <f t="shared" ca="1" si="524"/>
        <v>0</v>
      </c>
      <c r="BF265" s="48">
        <f t="shared" si="485"/>
        <v>65</v>
      </c>
      <c r="BG265" s="48">
        <f ca="1">IF(IF(AND(OR(INDEX(PDC,MATCH($AC265,DEN_PDC,0),6)="SP DARE",INDEX(PDC,MATCH($AC265,DEN_PDC,0),6)="SP DARE/AVERE"),SUMIFS(DARE,DEN_G,$AC265)&gt;=SUMIFS(AVERE,DEN_G,$AC265)),SUMIFS(DARE,DEN_G,$AC265)-SUMIFS(AVERE,DEN_G,$AC265),0)&gt;0,MAX($BG$2:BG264)+1,0)</f>
        <v>0</v>
      </c>
      <c r="BH265" s="48">
        <f ca="1">IF(IF(AND(OR(INDEX(PDC,MATCH($AC265,DEN_PDC,0),6)="SP AVERE",INDEX(PDC,MATCH($AC265,DEN_PDC,0),6)="SP DARE/AVERE"),SUMIFS(AVERE,DEN_G,$AC265)&gt;=SUMIFS(DARE,DEN_G,$AC265)),SUMIFS(AVERE,DEN_G,$AC265)-SUMIFS(DARE,DEN_G,$AC265),0)&gt;0,MAX(BH$2:BH264)+1,0)</f>
        <v>0</v>
      </c>
      <c r="BI265" s="48">
        <f ca="1">IF(IF(AND(OR(INDEX(PDC,MATCH($AC265,DEN_PDC,0),6)="SE DARE",INDEX(PDC,MATCH($AC265,DEN_PDC,0),6)="SE DARE/AVERE"),SUMIFS(DARE,DEN_G,$AC265)&gt;=SUMIFS(AVERE,DEN_G,$AC265)),SUMIFS(DARE,DEN_G,$AC265)-SUMIFS(AVERE,DEN_G,$AC265),0)&gt;0,MAX(BI$2:BI264)+1,0)</f>
        <v>0</v>
      </c>
      <c r="BJ265" s="48">
        <f ca="1">IF(IF(AND(OR(INDEX(PDC,MATCH($AC265,DEN_PDC,0),6)="SE AVERE",INDEX(PDC,MATCH($AC265,DEN_PDC,0),6)="SE DARE/AVERE"),SUMIFS(AVERE,DEN_G,$AC265)&gt;=SUMIFS(DARE,DEN_G,$AC265)),SUMIFS(AVERE,DEN_G,$AC265)-SUMIFS(DARE,DEN_G,$AC265),0)&gt;0,MAX(BJ$2:BJ264)+1,0)</f>
        <v>0</v>
      </c>
      <c r="BK265" s="48" t="str">
        <f ca="1">IF(AND(AND($DY$2=0,$DY$1=0),$I$1=2,ROW()&gt;$BG$1+2,ROW()&lt;=$BG$1+4),"………………..",IF(AND(OR($DY$2&gt;0,$DY$1&gt;0),$I$1=2,ROW()&gt;$BG$1+2,ROW()&lt;=$BG$1+4),"………………..",IFERROR(INDEX($AC$3:$AC$398,MATCH(ROWS(BK$3:BK265),BG$3:BG$398,0),1),"")))</f>
        <v/>
      </c>
      <c r="BL265" s="48">
        <f t="shared" ca="1" si="549"/>
        <v>0</v>
      </c>
      <c r="BM265" s="48" t="str">
        <f ca="1">IF(AND(OR($DY$2=0,$DY$1=0),$I$1=2,ROW()&gt;$BH$1+2,ROW()&lt;=$BH$1+4),"………………..",IF(AND(OR($DY$2&gt;0,$DY$1&gt;0),$I$1=2,ROW()&gt;$BH$1+2,ROW()&lt;=$BH$1+4),"………………..",IFERROR(INDEX($AC$3:$AC$400,MATCH(ROWS(BM$3:BM265),BH$3:BH$400,0),1),"")))</f>
        <v/>
      </c>
      <c r="BN265" s="48">
        <f t="shared" ca="1" si="550"/>
        <v>0</v>
      </c>
      <c r="BO265" s="48" t="str">
        <f ca="1">IF(AND(OR($DY$2=0,$DY$1=0),$I$1=2,ROW()&gt;$BI$1+2,ROW()&lt;=$BI$1+4),"………………..",IF(AND(OR($DY$2&gt;0,$DY$1&gt;0),$I$1=2,ROW()&gt;$BI$1+2,ROW()&lt;=$BI$1+4),"………………..",IFERROR(INDEX($AC$3:$AC$400,MATCH(ROWS(BO$3:BO265),BI$3:BI$400,0),1),"")))</f>
        <v/>
      </c>
      <c r="BP265" s="48">
        <f t="shared" ca="1" si="551"/>
        <v>0</v>
      </c>
      <c r="BQ265" s="48" t="str">
        <f ca="1">IF(AND(OR($DY$2=0,$DY$1=0),$I$1=2,ROW()&gt;$BJ$1+2,ROW()&lt;=$BJ$1+4),"………………..",IF(AND(OR($DY$2&gt;0,$DY$1&gt;0),$I$1=2,ROW()&gt;$BJ$1+2,ROW()&lt;=$BJ$1+4),"………………..",IFERROR(INDEX($AC$3:$AC$400,MATCH(ROWS(BQ$3:BQ265),BJ$3:BJ$400,0),1),"")))</f>
        <v/>
      </c>
      <c r="BR265" s="48">
        <f t="shared" ca="1" si="552"/>
        <v>0</v>
      </c>
      <c r="BS265" s="48">
        <f ca="1">IF(IF(AND(OR(INDEX(PDC,MATCH($AC265,DEN_PDC,0),4)="D",INDEX(PDC,MATCH($AC265,DEN_PDC,0),4)="D/A"),SUMIFS(DARE,DEN_G,$AC265)&gt;=SUMIFS(AVERE,DEN_G,$AC265)),SUMIFS(DARE,DEN_G,$AC265),IF(AND(OR(INDEX(PDC,MATCH($AC265,DEN_PDC,0),4)="A",INDEX(PDC,MATCH($AC265,DEN_PDC,0),4)="D/A"),SUMIFS(AVERE,DEN_G,$AC265)&gt;=SUMIFS(DARE,DEN_G,$AC265)),SUMIFS(AVERE,DEN_G,$AC265),))&gt;0,MAX($BS$2:BS264)+1,0)</f>
        <v>0</v>
      </c>
      <c r="BT265" s="48" t="str">
        <f ca="1">IF($CO$1=0,"",IF(AND($I$1=2,ROW()&gt;$BR$1,ROW()&lt;=$BS$1)," …………….",IF(AND($E$1=1,$BX$1=1,$I$1=2,ROW()=$BQ$1),"TOTALI",IFERROR(INDEX(PDC,MATCH(ROWS(BT$3:BT265),BS$3:BS662,0),2),""))))</f>
        <v/>
      </c>
      <c r="BU265" s="48">
        <f t="shared" ca="1" si="553"/>
        <v>0</v>
      </c>
      <c r="BV265" s="48">
        <f t="shared" ca="1" si="554"/>
        <v>0</v>
      </c>
      <c r="BW265" s="48">
        <f t="shared" ca="1" si="555"/>
        <v>0</v>
      </c>
      <c r="BX265" s="48">
        <f t="shared" ca="1" si="556"/>
        <v>0</v>
      </c>
      <c r="BY265" s="48">
        <f ca="1">IF(OR(BW265&gt;0,BX265&gt;0),MAX($BY$2:BY264)+1,0)</f>
        <v>0</v>
      </c>
      <c r="BZ265" s="48" t="str">
        <f ca="1">IFERROR(INDEX($BT$3:$BY$400,MATCH(ROWS(BZ$3:BZ265),$BY$3:$BY$400,0),1),"")</f>
        <v/>
      </c>
      <c r="CA265" s="48" t="str">
        <f ca="1">IFERROR(INDEX($BT$3:$BY$400,MATCH(ROWS(CA$3:CA265),$BY$3:$BY$400,0),4),"")</f>
        <v/>
      </c>
      <c r="CB265" s="48" t="str">
        <f ca="1">IFERROR(INDEX($BT$3:$BY$400,MATCH(ROWS(CB$3:CB265),$BY$3:$BY$400,0),5),"")</f>
        <v/>
      </c>
      <c r="CC265" s="48" t="str">
        <f t="shared" ca="1" si="557"/>
        <v/>
      </c>
      <c r="CM265" s="242" t="str">
        <f t="shared" ca="1" si="566"/>
        <v/>
      </c>
      <c r="CN265" s="243">
        <f t="shared" ca="1" si="567"/>
        <v>0</v>
      </c>
      <c r="CO265" s="48" t="str">
        <f t="shared" ca="1" si="568"/>
        <v/>
      </c>
      <c r="CU265" s="48">
        <f ca="1">IF(SUMIFS(AVERE,DEN_G,AC265,AVERE,"&gt;"&amp;0)+SUMIFS(DARE,DEN_G,AC265,DARE,"&gt;"&amp;0)&gt;0,MAX($CU$2:CU264)+1,0)</f>
        <v>0</v>
      </c>
      <c r="CV265" s="48" t="str">
        <f ca="1">IF(IFERROR(INDEX(PDC,MATCH(ROWS($CV$3:CV265),$CU$3:$CU$400,0),2),"")="CONTO DI RISULTATO ECONOMICO","",IFERROR(INDEX(PDC,MATCH(ROWS($CV$3:CV265),$CU$3:$CU$400,0),2),""))</f>
        <v/>
      </c>
      <c r="CW265" s="48">
        <f ca="1">IFERROR(IF(CV265&lt;&gt;"",MAX($CW$2:CW264)+1,0),0)</f>
        <v>0</v>
      </c>
      <c r="CX265" s="48">
        <f t="shared" ca="1" si="578"/>
        <v>21</v>
      </c>
      <c r="CY265" s="48" t="str">
        <f t="shared" ca="1" si="577"/>
        <v>MASTRO</v>
      </c>
      <c r="CZ265" s="48" t="e">
        <f t="shared" ref="CZ265:CZ274" ca="1" si="580">SUM(MATCH($CY265,INDIRECT(ADDRESS(SUM(CZ264)+3,54)&amp;":"&amp;ADDRESS(400,54)),0),CZ264)</f>
        <v>#N/A</v>
      </c>
      <c r="DA265" s="48" t="str">
        <f ca="1">IFERROR(INDEX(LIBRO_GIORNALE,CZ265,1),"")</f>
        <v/>
      </c>
      <c r="DB265" s="48" t="str">
        <f t="shared" ca="1" si="499"/>
        <v/>
      </c>
      <c r="DC265" s="48" t="str">
        <f t="shared" ref="DC265:DC274" ca="1" si="581">IF(IFERROR(INDEX(LIBRO_GIORNALE,CZ265,4),"")=0,"manca la descrizione dell'operazione",IFERROR(INDEX(LIBRO_GIORNALE,CZ265,4),""))</f>
        <v/>
      </c>
      <c r="DD265" s="48" t="str">
        <f t="shared" ref="DD265:DD274" ca="1" si="582">IFERROR(IF(INDEX(LIBRO_GIORNALE,CZ265,5)&gt;0,INDEX(LIBRO_GIORNALE,CZ265,5),""),"")</f>
        <v/>
      </c>
      <c r="DE265" s="48" t="str">
        <f t="shared" ref="DE265:DE274" ca="1" si="583">IFERROR(IF(INDEX(LIBRO_GIORNALE,CZ265,6)&gt;0,INDEX(LIBRO_GIORNALE,CZ265,6),""),"")</f>
        <v/>
      </c>
      <c r="DF265" s="48">
        <f ca="1">IF(AND(CX265=$DF$1,CX265&lt;&gt;""),0,IF(AND(DB265&lt;&gt;"",OR(DB264&lt;&gt;"",DB266&lt;&gt;"")),MAX($DF$2:DF264)+1,0))</f>
        <v>0</v>
      </c>
      <c r="DH265" s="244" t="s">
        <v>288</v>
      </c>
      <c r="DI265" s="228" t="s">
        <v>1141</v>
      </c>
      <c r="DN265" s="48">
        <f ca="1">IF(DI265&lt;&gt;"",MAX($DN$2:DN264)+1,0)</f>
        <v>206</v>
      </c>
      <c r="DQ265" s="227" t="s">
        <v>191</v>
      </c>
      <c r="DR265" s="48" t="s">
        <v>885</v>
      </c>
      <c r="DS265" s="48" t="s">
        <v>311</v>
      </c>
      <c r="DT265" s="48" t="s">
        <v>275</v>
      </c>
      <c r="DU265" s="48" t="s">
        <v>7</v>
      </c>
      <c r="DV265" s="48" t="s">
        <v>301</v>
      </c>
      <c r="DW265" s="48">
        <f ca="1">IF(DR265&lt;&gt;"",MAX($DW$2:DW264)+1,0)</f>
        <v>156</v>
      </c>
      <c r="DX265" s="48" t="s">
        <v>709</v>
      </c>
      <c r="DY265" s="48" t="str">
        <f t="shared" ca="1" si="558"/>
        <v/>
      </c>
      <c r="EL265" s="48">
        <f t="shared" ca="1" si="559"/>
        <v>0</v>
      </c>
      <c r="EM265" s="48">
        <f ca="1">IF(EL265&gt;=0,0,MAX($EM$2:EM264)+1)</f>
        <v>0</v>
      </c>
      <c r="EN265" s="48" t="str">
        <f t="shared" ca="1" si="569"/>
        <v/>
      </c>
      <c r="EO265" s="48" t="str">
        <f ca="1">IFERROR(INDEX($EM$3:$EN$400,MATCH(ROWS($EO$3:EO265),$EM$3:$EM$400,0),2),"")</f>
        <v/>
      </c>
      <c r="EP265" s="48">
        <f>ROW()</f>
        <v>265</v>
      </c>
      <c r="EQ265" s="48">
        <f t="shared" ca="1" si="560"/>
        <v>0</v>
      </c>
      <c r="ER265" s="48">
        <f ca="1">IF(ISNA(EQ265)=TRUE,MAX($ER$2:ER264)+1,0)</f>
        <v>0</v>
      </c>
      <c r="ES265" s="48" t="str">
        <f t="shared" ca="1" si="570"/>
        <v/>
      </c>
      <c r="ET265" s="48" t="str">
        <f ca="1">IFERROR(INDEX($ER$3:$ES$400,MATCH(ROWS($ET$3:ET265),$ER$3:$ER$400,0),2),"")</f>
        <v/>
      </c>
      <c r="EV265" s="48">
        <f ca="1">IFERROR(INDEX(LIBRO_GIORNALE!$O$11:$P$408,MATCH(ROWS($EV$2:EV264),LIBRO_GIORNALE!$P$11:$P$408,0),1),0)</f>
        <v>0</v>
      </c>
      <c r="EW265" s="48" t="str">
        <f t="shared" ca="1" si="544"/>
        <v>0</v>
      </c>
      <c r="EX265" s="48">
        <f t="shared" ca="1" si="571"/>
        <v>0</v>
      </c>
      <c r="EY265" s="48">
        <f ca="1">IF(EX265&gt;0,MAX($EY$2:EY264)+1,0)</f>
        <v>0</v>
      </c>
      <c r="EZ265" s="48">
        <f ca="1">IFERROR(INDEX($EX$3:$EX$400,MATCH(ROWS($EZ$3:EZ265),$EY$3:$EY$400,0),1),0)</f>
        <v>0</v>
      </c>
      <c r="FA265" s="48">
        <f ca="1">IF(EZ265&gt;0,0,MAX($FA$2:FA264)+1)</f>
        <v>263</v>
      </c>
      <c r="FB265" s="48">
        <f t="shared" ca="1" si="545"/>
        <v>0</v>
      </c>
      <c r="FC265" s="48">
        <f t="shared" ca="1" si="546"/>
        <v>263</v>
      </c>
      <c r="FD265" s="48">
        <f t="shared" ca="1" si="572"/>
        <v>263</v>
      </c>
      <c r="FE265" s="48">
        <f ca="1">IF(FD265=0,0,MAX($FE$2:FE264)+1)</f>
        <v>263</v>
      </c>
      <c r="FF265" s="48">
        <f ca="1">IFERROR(INDEX($FD$3:$FE$400,MATCH(ROWS($FF$3:FF265),$FE$3:$FE$400,0),1),"")</f>
        <v>263</v>
      </c>
      <c r="FG265" s="48">
        <f t="shared" ca="1" si="519"/>
        <v>0</v>
      </c>
      <c r="FH265" s="48">
        <f t="shared" ca="1" si="573"/>
        <v>0</v>
      </c>
      <c r="FI265" s="48">
        <f ca="1">IF(FH265&lt;&gt;0,MAX($FI$2:FI264)+1,0)</f>
        <v>0</v>
      </c>
      <c r="FJ265" s="48" t="str">
        <f ca="1">IFERROR(INDEX($FH$3:$FI$400,MATCH(ROWS($FJ$3:FJ265),$FI$3:$FI$400,0),1),"")</f>
        <v/>
      </c>
      <c r="FK265" s="48">
        <f ca="1">IF(ABS(SUMIFS(DARE,DEN_G,"="&amp;FJ265,DATA,"&lt;="&amp;FINE_AC,DATA,"&gt;="&amp;INIZIO_A_PC)-SUMIFS(AVERE,DEN_G,"="&amp;FJ265,DATA,"&lt;="&amp;FINE_AC,DATA,"&gt;="&amp;INIZIO_A_PC))&gt;0,MAX($FK$2:FK264)+1,0)</f>
        <v>0</v>
      </c>
      <c r="FL265" s="48" t="str">
        <f ca="1">IF(AND(ROW()-2&lt;&gt;1,ROW()-2&lt;=$FK$1),CONCATENATE(" - ",IFERROR(INDEX($FJ$3:$FK$400,MATCH(ROWS($FL$3:FL265),$FK$3:$FK$400,0),1),"")),IFERROR(INDEX($FJ$3:$FK$400,MATCH(ROWS($FL$3:FL265),$FK$3:$FK$400,0),1),""))</f>
        <v/>
      </c>
      <c r="FM265" s="48">
        <f ca="1">IF(OR(B265="IVA ns/credito",B265="IVA NS/DEBITO",B265="IVA C/ACCONTO",B265="IMPOSTE C/ACCONTO",B265="CREDITI PER RITENUTE SUBITE",B265="CREDITI D'IMPOSTA"),MAX($FM$2:FM264)+1,0)</f>
        <v>0</v>
      </c>
      <c r="FN265" s="48" t="str">
        <f t="shared" ca="1" si="574"/>
        <v/>
      </c>
      <c r="FO265" s="48" t="str">
        <f ca="1">IFERROR(INDEX($FM$3:$FN$400,MATCH(ROWS($FO$3:FO265),$FM$3:$FM$400,0),2),"")</f>
        <v/>
      </c>
      <c r="FP265" s="48">
        <f ca="1">IF(ABS(SUMIFS(DARE,DEN_G,"="&amp;FO265,DATA,"&lt;="&amp;FINE_AC,DATA,"&gt;="&amp;INIZIO_A_PC)-SUMIFS(AVERE,DEN_G,"="&amp;FO265,DATA,"&lt;="&amp;FINE_AC,DATA,"&gt;="&amp;INIZIO_A_PC))&gt;0,MAX($FP$2:FP264)+1,0)</f>
        <v>0</v>
      </c>
      <c r="FQ265" s="48" t="str">
        <f ca="1">IF(AND(ROW()-2&lt;&gt;1,ROW()-2&lt;=$FP$1),CONCATENATE(" - ",IFERROR(INDEX($FO$3:$FP$400,MATCH(ROWS($FQ$3:FQ265),$FP$3:$FP$400,0),1),"")),IFERROR(INDEX($FO$3:$FP$400,MATCH(ROWS($FQ$3:FQ265),$FP$3:$FP$400,0),1),""))</f>
        <v/>
      </c>
    </row>
    <row r="266" spans="1:173" x14ac:dyDescent="0.3">
      <c r="A266" s="48" t="str">
        <f ca="1">IFERROR(IF($A$1=2,INDEX($DH$3:$DN$401,MATCH(ROWS(A$3:A266),$DN$3:$DN$401,0),COLUMN()),IF($A$1=1,INDEX($DQ$3:$DW$401,MATCH(ROWS(A$3:A266),$DW$3:$DW$401,0),COLUMN()),"")),"")</f>
        <v>35.07</v>
      </c>
      <c r="B266" s="48" t="str">
        <f ca="1">IFERROR(IF($A$1=2,INDEX($DH$3:$DN$401,MATCH(ROWS(B$3:B266),$DN$3:$DN$401,0),COLUMN()),IF($A$1=1,INDEX($DQ$3:$DW$400,MATCH(ROWS(B$3:B266),$DW$3:$DW$401,0),COLUMN()),"")),"")</f>
        <v>AMMORTAMENTO AUTOMEZZI</v>
      </c>
      <c r="C266" s="48" t="str">
        <f ca="1">IFERROR(IF($A$1=2,INDEX($DH$3:$DN$401,MATCH(ROWS(C$3:C266),$DN$3:$DN$401,0),COLUMN()),IF($A$1=1,INDEX($DQ$3:$DW$401,MATCH(ROWS(C$3:C266),$DW$3:$DW$401,0),COLUMN()),"")),"")</f>
        <v>E</v>
      </c>
      <c r="D266" s="48" t="str">
        <f ca="1">IFERROR(IF($A$1=2,INDEX($DH$3:$DN$401,MATCH(ROWS(D$3:D266),$DN$3:$DN$401,0),COLUMN()),IF($A$1=1,INDEX($DQ$3:$DW$401,MATCH(ROWS(D$3:D266),$DW$3:$DW$401,0),COLUMN()),"")),"")</f>
        <v>D</v>
      </c>
      <c r="E266" s="48" t="str">
        <f ca="1">IFERROR(IF($A$1=2,INDEX($DH$3:$DN$401,MATCH(ROWS(E$3:E266),$DN$3:$DN$401,0),COLUMN()),IF($A$1=1,INDEX($DQ$3:$DW$401,MATCH(ROWS(E$3:E266),$DW$3:$DW$401,0),COLUMN()),"")),"")</f>
        <v>COSTI D'ESERCIZIO</v>
      </c>
      <c r="F266" s="48" t="str">
        <f ca="1">IFERROR(IF($A$1=2,INDEX($DH$3:$DN$401,MATCH(ROWS(F$3:F266),$DN$3:$DN$401,0),COLUMN()),IF($A$1=1,INDEX($DQ$3:$DX$401,MATCH(ROWS(F$3:F266),$DW$3:$DW$401,0),COLUMN()),"")),"")</f>
        <v>SE DARE</v>
      </c>
      <c r="G266" s="48" t="str">
        <f t="shared" ca="1" si="561"/>
        <v>SE</v>
      </c>
      <c r="H266" s="48" t="str">
        <f ca="1">IFERROR(IF($A$1=2,INDEX($DH$3:$DO$400,MATCH(ROWS(H$3:H266),$DN$3:$DN$400,0),COLUMN()),IF($A$1=1,INDEX($DQ$3:$DX$400,MATCH(ROWS(H$3:H266),$DW$3:$DW$400,0),COLUMN()),"")),"")</f>
        <v>eb10a</v>
      </c>
      <c r="M266" s="48">
        <f ca="1">IFERROR(IF(IF(MID($A266,3,3)=".00",MID(A266,1,2),"")&lt;&gt;"",MAX($M$2:M265)+1,0),"")</f>
        <v>0</v>
      </c>
      <c r="N266" s="48" t="str">
        <f t="shared" ca="1" si="562"/>
        <v/>
      </c>
      <c r="O266" s="48" t="str">
        <f ca="1">IF(IFERROR(INDEX($N$3:$O$300,MATCH(ROWS($O$3:O266),$M$3:$M$300,0),1),"")&lt;&gt;"",CONCATENATE(INDEX($N$3:$O$300,MATCH(ROWS($O$3:O266),$M$3:$M$300,0),1),".00"),"")</f>
        <v/>
      </c>
      <c r="P266" s="48" t="str">
        <f t="shared" ca="1" si="563"/>
        <v/>
      </c>
      <c r="Q266" s="48">
        <f ca="1">IF(M266&gt;=1,0,MAX($Q$2:Q265)+1)</f>
        <v>237</v>
      </c>
      <c r="U266" s="48" t="str">
        <f ca="1">IFERROR(INDEX(PDC,MATCH(ROWS(U$3:U266),$V$3:$V$400,0),2),"")</f>
        <v>UTILE SU TITOLI</v>
      </c>
      <c r="V266" s="48">
        <f ca="1">IF(AND($T$1="VISUALIZZA TUTTI I CONTI",AA266&lt;&gt;""),MAX($V$2:V265)+1,IF(AND($U$2=2,AI266=$T$1),MAX($V$2:V265)+1,IF(AND($U$2=1,$T$1=AF266),MAX($V$2:V265)+1,0)))</f>
        <v>264</v>
      </c>
      <c r="AA266" s="48" t="str">
        <f t="shared" ca="1" si="564"/>
        <v>40.00</v>
      </c>
      <c r="AB266" s="48" t="str">
        <f ca="1">IFERROR(INDEX($A$3:$G$400,MATCH(ROWS(AB$3:AB266),$Q$3:$Q$400,0),1),"")</f>
        <v>40.21</v>
      </c>
      <c r="AC266" s="48" t="str">
        <f ca="1">IFERROR(INDEX($A$3:$G$400,MATCH(ROWS($AC$3:AC266),$Q$3:$Q$400,0),2),"")</f>
        <v>UTILE SU TITOLI</v>
      </c>
      <c r="AD266" s="48" t="str">
        <f ca="1">IFERROR(INDEX($A$3:$G$400,MATCH(ROWS(AD$3:AD266),$Q$3:$Q$400,0),3),"")</f>
        <v>E</v>
      </c>
      <c r="AE266" s="48" t="str">
        <f ca="1">IFERROR(INDEX($A$3:$G$400,MATCH(ROWS(AE$3:AE266),$Q$3:$Q$400,0),4),"")</f>
        <v>A</v>
      </c>
      <c r="AF266" s="48" t="str">
        <f ca="1">IFERROR(INDEX($A$3:$G$400,MATCH(ROWS(AF$3:AF266),$Q$3:$Q$400,0),5),"")</f>
        <v>RICAVI D'ESERCIZIO</v>
      </c>
      <c r="AG266" s="48" t="str">
        <f ca="1">IFERROR(INDEX($A$3:$G$400,MATCH(ROWS(AG$3:AG266),$Q$3:$Q$400,0),6),"")</f>
        <v>SE AVERE</v>
      </c>
      <c r="AH266" s="48" t="str">
        <f ca="1">IFERROR(INDEX($A$3:$G$400,MATCH(ROWS(AH$3:AH266),$Q$3:$Q$400,0),7),"")</f>
        <v>SE</v>
      </c>
      <c r="AI266" s="48" t="str">
        <f t="shared" ca="1" si="565"/>
        <v>PROVENTI FINANZIARI</v>
      </c>
      <c r="AJ266" s="48" t="str">
        <f ca="1">IFERROR(INDEX($A$3:$H$400,MATCH(ROWS(AJ$3:AJ266),$Q$3:$Q$400,0),8),"")</f>
        <v>ec16b</v>
      </c>
      <c r="AK266" s="48">
        <f t="shared" ca="1" si="548"/>
        <v>0</v>
      </c>
      <c r="AL266" s="48">
        <f t="shared" ca="1" si="576"/>
        <v>0</v>
      </c>
      <c r="AM266" s="48">
        <f t="shared" ca="1" si="516"/>
        <v>0</v>
      </c>
      <c r="AN266" s="48">
        <f t="shared" ca="1" si="517"/>
        <v>0</v>
      </c>
      <c r="AO266" s="48">
        <f t="shared" ca="1" si="518"/>
        <v>0</v>
      </c>
      <c r="AP266" s="48">
        <f t="shared" ca="1" si="518"/>
        <v>0</v>
      </c>
      <c r="AZ266" s="48" t="str">
        <f t="shared" ref="AZ266:AZ329" ca="1" si="584">IF(BB266=0,"",ROW()-200)</f>
        <v/>
      </c>
      <c r="BA266" s="48">
        <f t="shared" ca="1" si="520"/>
        <v>0</v>
      </c>
      <c r="BB266" s="48">
        <f t="shared" ca="1" si="521"/>
        <v>0</v>
      </c>
      <c r="BC266" s="48">
        <f t="shared" ca="1" si="522"/>
        <v>0</v>
      </c>
      <c r="BD266" s="48">
        <f t="shared" ca="1" si="523"/>
        <v>0</v>
      </c>
      <c r="BE266" s="48">
        <f t="shared" ca="1" si="524"/>
        <v>0</v>
      </c>
      <c r="BF266" s="48">
        <f t="shared" ref="BF266:BF329" si="585">ROW()-200</f>
        <v>66</v>
      </c>
      <c r="BG266" s="48">
        <f ca="1">IF(IF(AND(OR(INDEX(PDC,MATCH($AC266,DEN_PDC,0),6)="SP DARE",INDEX(PDC,MATCH($AC266,DEN_PDC,0),6)="SP DARE/AVERE"),SUMIFS(DARE,DEN_G,$AC266)&gt;=SUMIFS(AVERE,DEN_G,$AC266)),SUMIFS(DARE,DEN_G,$AC266)-SUMIFS(AVERE,DEN_G,$AC266),0)&gt;0,MAX($BG$2:BG265)+1,0)</f>
        <v>0</v>
      </c>
      <c r="BH266" s="48">
        <f ca="1">IF(IF(AND(OR(INDEX(PDC,MATCH($AC266,DEN_PDC,0),6)="SP AVERE",INDEX(PDC,MATCH($AC266,DEN_PDC,0),6)="SP DARE/AVERE"),SUMIFS(AVERE,DEN_G,$AC266)&gt;=SUMIFS(DARE,DEN_G,$AC266)),SUMIFS(AVERE,DEN_G,$AC266)-SUMIFS(DARE,DEN_G,$AC266),0)&gt;0,MAX(BH$2:BH265)+1,0)</f>
        <v>0</v>
      </c>
      <c r="BI266" s="48">
        <f ca="1">IF(IF(AND(OR(INDEX(PDC,MATCH($AC266,DEN_PDC,0),6)="SE DARE",INDEX(PDC,MATCH($AC266,DEN_PDC,0),6)="SE DARE/AVERE"),SUMIFS(DARE,DEN_G,$AC266)&gt;=SUMIFS(AVERE,DEN_G,$AC266)),SUMIFS(DARE,DEN_G,$AC266)-SUMIFS(AVERE,DEN_G,$AC266),0)&gt;0,MAX(BI$2:BI265)+1,0)</f>
        <v>0</v>
      </c>
      <c r="BJ266" s="48">
        <f ca="1">IF(IF(AND(OR(INDEX(PDC,MATCH($AC266,DEN_PDC,0),6)="SE AVERE",INDEX(PDC,MATCH($AC266,DEN_PDC,0),6)="SE DARE/AVERE"),SUMIFS(AVERE,DEN_G,$AC266)&gt;=SUMIFS(DARE,DEN_G,$AC266)),SUMIFS(AVERE,DEN_G,$AC266)-SUMIFS(DARE,DEN_G,$AC266),0)&gt;0,MAX(BJ$2:BJ265)+1,0)</f>
        <v>0</v>
      </c>
      <c r="BK266" s="48" t="str">
        <f ca="1">IF(AND(AND($DY$2=0,$DY$1=0),$I$1=2,ROW()&gt;$BG$1+2,ROW()&lt;=$BG$1+4),"………………..",IF(AND(OR($DY$2&gt;0,$DY$1&gt;0),$I$1=2,ROW()&gt;$BG$1+2,ROW()&lt;=$BG$1+4),"………………..",IFERROR(INDEX($AC$3:$AC$398,MATCH(ROWS(BK$3:BK266),BG$3:BG$398,0),1),"")))</f>
        <v/>
      </c>
      <c r="BL266" s="48">
        <f t="shared" ca="1" si="549"/>
        <v>0</v>
      </c>
      <c r="BM266" s="48" t="str">
        <f ca="1">IF(AND(OR($DY$2=0,$DY$1=0),$I$1=2,ROW()&gt;$BH$1+2,ROW()&lt;=$BH$1+4),"………………..",IF(AND(OR($DY$2&gt;0,$DY$1&gt;0),$I$1=2,ROW()&gt;$BH$1+2,ROW()&lt;=$BH$1+4),"………………..",IFERROR(INDEX($AC$3:$AC$400,MATCH(ROWS(BM$3:BM266),BH$3:BH$400,0),1),"")))</f>
        <v/>
      </c>
      <c r="BN266" s="48">
        <f t="shared" ca="1" si="550"/>
        <v>0</v>
      </c>
      <c r="BO266" s="48" t="str">
        <f ca="1">IF(AND(OR($DY$2=0,$DY$1=0),$I$1=2,ROW()&gt;$BI$1+2,ROW()&lt;=$BI$1+4),"………………..",IF(AND(OR($DY$2&gt;0,$DY$1&gt;0),$I$1=2,ROW()&gt;$BI$1+2,ROW()&lt;=$BI$1+4),"………………..",IFERROR(INDEX($AC$3:$AC$400,MATCH(ROWS(BO$3:BO266),BI$3:BI$400,0),1),"")))</f>
        <v/>
      </c>
      <c r="BP266" s="48">
        <f t="shared" ca="1" si="551"/>
        <v>0</v>
      </c>
      <c r="BQ266" s="48" t="str">
        <f ca="1">IF(AND(OR($DY$2=0,$DY$1=0),$I$1=2,ROW()&gt;$BJ$1+2,ROW()&lt;=$BJ$1+4),"………………..",IF(AND(OR($DY$2&gt;0,$DY$1&gt;0),$I$1=2,ROW()&gt;$BJ$1+2,ROW()&lt;=$BJ$1+4),"………………..",IFERROR(INDEX($AC$3:$AC$400,MATCH(ROWS(BQ$3:BQ266),BJ$3:BJ$400,0),1),"")))</f>
        <v/>
      </c>
      <c r="BR266" s="48">
        <f t="shared" ca="1" si="552"/>
        <v>0</v>
      </c>
      <c r="BS266" s="48">
        <f ca="1">IF(IF(AND(OR(INDEX(PDC,MATCH($AC266,DEN_PDC,0),4)="D",INDEX(PDC,MATCH($AC266,DEN_PDC,0),4)="D/A"),SUMIFS(DARE,DEN_G,$AC266)&gt;=SUMIFS(AVERE,DEN_G,$AC266)),SUMIFS(DARE,DEN_G,$AC266),IF(AND(OR(INDEX(PDC,MATCH($AC266,DEN_PDC,0),4)="A",INDEX(PDC,MATCH($AC266,DEN_PDC,0),4)="D/A"),SUMIFS(AVERE,DEN_G,$AC266)&gt;=SUMIFS(DARE,DEN_G,$AC266)),SUMIFS(AVERE,DEN_G,$AC266),))&gt;0,MAX($BS$2:BS265)+1,0)</f>
        <v>0</v>
      </c>
      <c r="BT266" s="48" t="str">
        <f ca="1">IF($CO$1=0,"",IF(AND($I$1=2,ROW()&gt;$BR$1,ROW()&lt;=$BS$1)," …………….",IF(AND($E$1=1,$BX$1=1,$I$1=2,ROW()=$BQ$1),"TOTALI",IFERROR(INDEX(PDC,MATCH(ROWS(BT$3:BT266),BS$3:BS663,0),2),""))))</f>
        <v/>
      </c>
      <c r="BU266" s="48">
        <f t="shared" ca="1" si="553"/>
        <v>0</v>
      </c>
      <c r="BV266" s="48">
        <f t="shared" ca="1" si="554"/>
        <v>0</v>
      </c>
      <c r="BW266" s="48">
        <f t="shared" ca="1" si="555"/>
        <v>0</v>
      </c>
      <c r="BX266" s="48">
        <f t="shared" ca="1" si="556"/>
        <v>0</v>
      </c>
      <c r="BY266" s="48">
        <f ca="1">IF(OR(BW266&gt;0,BX266&gt;0),MAX($BY$2:BY265)+1,0)</f>
        <v>0</v>
      </c>
      <c r="BZ266" s="48" t="str">
        <f ca="1">IFERROR(INDEX($BT$3:$BY$400,MATCH(ROWS(BZ$3:BZ266),$BY$3:$BY$400,0),1),"")</f>
        <v/>
      </c>
      <c r="CA266" s="48" t="str">
        <f ca="1">IFERROR(INDEX($BT$3:$BY$400,MATCH(ROWS(CA$3:CA266),$BY$3:$BY$400,0),4),"")</f>
        <v/>
      </c>
      <c r="CB266" s="48" t="str">
        <f ca="1">IFERROR(INDEX($BT$3:$BY$400,MATCH(ROWS(CB$3:CB266),$BY$3:$BY$400,0),5),"")</f>
        <v/>
      </c>
      <c r="CC266" s="48" t="str">
        <f t="shared" ca="1" si="557"/>
        <v/>
      </c>
      <c r="CM266" s="242" t="str">
        <f t="shared" ca="1" si="566"/>
        <v/>
      </c>
      <c r="CN266" s="243">
        <f t="shared" ca="1" si="567"/>
        <v>0</v>
      </c>
      <c r="CO266" s="48" t="str">
        <f t="shared" ca="1" si="568"/>
        <v/>
      </c>
      <c r="CU266" s="48">
        <f ca="1">IF(SUMIFS(AVERE,DEN_G,AC266,AVERE,"&gt;"&amp;0)+SUMIFS(DARE,DEN_G,AC266,DARE,"&gt;"&amp;0)&gt;0,MAX($CU$2:CU265)+1,0)</f>
        <v>0</v>
      </c>
      <c r="CV266" s="48" t="str">
        <f ca="1">IF(IFERROR(INDEX(PDC,MATCH(ROWS($CV$3:CV266),$CU$3:$CU$400,0),2),"")="CONTO DI RISULTATO ECONOMICO","",IFERROR(INDEX(PDC,MATCH(ROWS($CV$3:CV266),$CU$3:$CU$400,0),2),""))</f>
        <v/>
      </c>
      <c r="CW266" s="48">
        <f ca="1">IFERROR(IF(CV266&lt;&gt;"",MAX($CW$2:CW265)+1,0),0)</f>
        <v>0</v>
      </c>
      <c r="CX266" s="48">
        <f t="shared" ca="1" si="578"/>
        <v>21</v>
      </c>
      <c r="CY266" s="48" t="str">
        <f t="shared" ca="1" si="577"/>
        <v>MASTRO</v>
      </c>
      <c r="CZ266" s="48" t="e">
        <f t="shared" ca="1" si="580"/>
        <v>#N/A</v>
      </c>
      <c r="DA266" s="48" t="str">
        <f t="shared" ref="DA266:DA274" ca="1" si="586">IFERROR(INDEX(LIBRO_GIORNALE,CZ266,1),"")</f>
        <v/>
      </c>
      <c r="DB266" s="48" t="str">
        <f t="shared" ca="1" si="499"/>
        <v/>
      </c>
      <c r="DC266" s="48" t="str">
        <f t="shared" ca="1" si="581"/>
        <v/>
      </c>
      <c r="DD266" s="48" t="str">
        <f t="shared" ca="1" si="582"/>
        <v/>
      </c>
      <c r="DE266" s="48" t="str">
        <f t="shared" ca="1" si="583"/>
        <v/>
      </c>
      <c r="DF266" s="48">
        <f ca="1">IF(AND(CX266=$DF$1,CX266&lt;&gt;""),0,IF(AND(DB266&lt;&gt;"",OR(DB265&lt;&gt;"",DB267&lt;&gt;"")),MAX($DF$2:DF265)+1,0))</f>
        <v>0</v>
      </c>
      <c r="DH266" s="244" t="s">
        <v>1107</v>
      </c>
      <c r="DI266" s="48" t="s">
        <v>434</v>
      </c>
      <c r="DJ266" s="48" t="s">
        <v>311</v>
      </c>
      <c r="DK266" s="48" t="s">
        <v>275</v>
      </c>
      <c r="DL266" s="48" t="s">
        <v>7</v>
      </c>
      <c r="DM266" s="48" t="s">
        <v>301</v>
      </c>
      <c r="DN266" s="48">
        <f ca="1">IF(DI266&lt;&gt;"",MAX($DN$2:DN265)+1,0)</f>
        <v>207</v>
      </c>
      <c r="DO266" s="48" t="s">
        <v>706</v>
      </c>
      <c r="DQ266" s="227" t="s">
        <v>963</v>
      </c>
      <c r="DR266" s="48" t="s">
        <v>187</v>
      </c>
      <c r="DS266" s="48" t="s">
        <v>311</v>
      </c>
      <c r="DT266" s="48" t="s">
        <v>275</v>
      </c>
      <c r="DU266" s="48" t="s">
        <v>7</v>
      </c>
      <c r="DV266" s="48" t="s">
        <v>301</v>
      </c>
      <c r="DW266" s="48">
        <f ca="1">IF(DR266&lt;&gt;"",MAX($DW$2:DW265)+1,0)</f>
        <v>157</v>
      </c>
      <c r="DX266" s="48" t="s">
        <v>709</v>
      </c>
      <c r="DY266" s="48" t="str">
        <f t="shared" ca="1" si="558"/>
        <v/>
      </c>
      <c r="EL266" s="48">
        <f t="shared" ca="1" si="559"/>
        <v>0</v>
      </c>
      <c r="EM266" s="48">
        <f ca="1">IF(EL266&gt;=0,0,MAX($EM$2:EM265)+1)</f>
        <v>0</v>
      </c>
      <c r="EN266" s="48" t="str">
        <f t="shared" ca="1" si="569"/>
        <v/>
      </c>
      <c r="EO266" s="48" t="str">
        <f ca="1">IFERROR(INDEX($EM$3:$EN$400,MATCH(ROWS($EO$3:EO266),$EM$3:$EM$400,0),2),"")</f>
        <v/>
      </c>
      <c r="EP266" s="48">
        <f>ROW()</f>
        <v>266</v>
      </c>
      <c r="EQ266" s="48">
        <f t="shared" ca="1" si="560"/>
        <v>0</v>
      </c>
      <c r="ER266" s="48">
        <f ca="1">IF(ISNA(EQ266)=TRUE,MAX($ER$2:ER265)+1,0)</f>
        <v>0</v>
      </c>
      <c r="ES266" s="48" t="str">
        <f t="shared" ca="1" si="570"/>
        <v/>
      </c>
      <c r="ET266" s="48" t="str">
        <f ca="1">IFERROR(INDEX($ER$3:$ES$400,MATCH(ROWS($ET$3:ET266),$ER$3:$ER$400,0),2),"")</f>
        <v/>
      </c>
      <c r="EV266" s="48">
        <f ca="1">IFERROR(INDEX(LIBRO_GIORNALE!$O$11:$P$408,MATCH(ROWS($EV$2:EV265),LIBRO_GIORNALE!$P$11:$P$408,0),1),0)</f>
        <v>0</v>
      </c>
      <c r="EW266" s="48" t="str">
        <f t="shared" ca="1" si="544"/>
        <v>0</v>
      </c>
      <c r="EX266" s="48">
        <f t="shared" ca="1" si="571"/>
        <v>0</v>
      </c>
      <c r="EY266" s="48">
        <f ca="1">IF(EX266&gt;0,MAX($EY$2:EY265)+1,0)</f>
        <v>0</v>
      </c>
      <c r="EZ266" s="48">
        <f ca="1">IFERROR(INDEX($EX$3:$EX$400,MATCH(ROWS($EZ$3:EZ266),$EY$3:$EY$400,0),1),0)</f>
        <v>0</v>
      </c>
      <c r="FA266" s="48">
        <f ca="1">IF(EZ266&gt;0,0,MAX($FA$2:FA265)+1)</f>
        <v>264</v>
      </c>
      <c r="FB266" s="48">
        <f t="shared" ca="1" si="545"/>
        <v>0</v>
      </c>
      <c r="FC266" s="48">
        <f t="shared" ca="1" si="546"/>
        <v>264</v>
      </c>
      <c r="FD266" s="48">
        <f t="shared" ca="1" si="572"/>
        <v>264</v>
      </c>
      <c r="FE266" s="48">
        <f ca="1">IF(FD266=0,0,MAX($FE$2:FE265)+1)</f>
        <v>264</v>
      </c>
      <c r="FF266" s="48">
        <f ca="1">IFERROR(INDEX($FD$3:$FE$400,MATCH(ROWS($FF$3:FF266),$FE$3:$FE$400,0),1),"")</f>
        <v>264</v>
      </c>
      <c r="FG266" s="48">
        <f t="shared" ca="1" si="519"/>
        <v>0</v>
      </c>
      <c r="FH266" s="48">
        <f t="shared" ca="1" si="573"/>
        <v>0</v>
      </c>
      <c r="FI266" s="48">
        <f ca="1">IF(FH266&lt;&gt;0,MAX($FI$2:FI265)+1,0)</f>
        <v>0</v>
      </c>
      <c r="FJ266" s="48" t="str">
        <f ca="1">IFERROR(INDEX($FH$3:$FI$400,MATCH(ROWS($FJ$3:FJ266),$FI$3:$FI$400,0),1),"")</f>
        <v/>
      </c>
      <c r="FK266" s="48">
        <f ca="1">IF(ABS(SUMIFS(DARE,DEN_G,"="&amp;FJ266,DATA,"&lt;="&amp;FINE_AC,DATA,"&gt;="&amp;INIZIO_A_PC)-SUMIFS(AVERE,DEN_G,"="&amp;FJ266,DATA,"&lt;="&amp;FINE_AC,DATA,"&gt;="&amp;INIZIO_A_PC))&gt;0,MAX($FK$2:FK265)+1,0)</f>
        <v>0</v>
      </c>
      <c r="FL266" s="48" t="str">
        <f ca="1">IF(AND(ROW()-2&lt;&gt;1,ROW()-2&lt;=$FK$1),CONCATENATE(" - ",IFERROR(INDEX($FJ$3:$FK$400,MATCH(ROWS($FL$3:FL266),$FK$3:$FK$400,0),1),"")),IFERROR(INDEX($FJ$3:$FK$400,MATCH(ROWS($FL$3:FL266),$FK$3:$FK$400,0),1),""))</f>
        <v/>
      </c>
      <c r="FM266" s="48">
        <f ca="1">IF(OR(B266="IVA ns/credito",B266="IVA NS/DEBITO",B266="IVA C/ACCONTO",B266="IMPOSTE C/ACCONTO",B266="CREDITI PER RITENUTE SUBITE",B266="CREDITI D'IMPOSTA"),MAX($FM$2:FM265)+1,0)</f>
        <v>0</v>
      </c>
      <c r="FN266" s="48" t="str">
        <f t="shared" ca="1" si="574"/>
        <v/>
      </c>
      <c r="FO266" s="48" t="str">
        <f ca="1">IFERROR(INDEX($FM$3:$FN$400,MATCH(ROWS($FO$3:FO266),$FM$3:$FM$400,0),2),"")</f>
        <v/>
      </c>
      <c r="FP266" s="48">
        <f ca="1">IF(ABS(SUMIFS(DARE,DEN_G,"="&amp;FO266,DATA,"&lt;="&amp;FINE_AC,DATA,"&gt;="&amp;INIZIO_A_PC)-SUMIFS(AVERE,DEN_G,"="&amp;FO266,DATA,"&lt;="&amp;FINE_AC,DATA,"&gt;="&amp;INIZIO_A_PC))&gt;0,MAX($FP$2:FP265)+1,0)</f>
        <v>0</v>
      </c>
      <c r="FQ266" s="48" t="str">
        <f ca="1">IF(AND(ROW()-2&lt;&gt;1,ROW()-2&lt;=$FP$1),CONCATENATE(" - ",IFERROR(INDEX($FO$3:$FP$400,MATCH(ROWS($FQ$3:FQ266),$FP$3:$FP$400,0),1),"")),IFERROR(INDEX($FO$3:$FP$400,MATCH(ROWS($FQ$3:FQ266),$FP$3:$FP$400,0),1),""))</f>
        <v/>
      </c>
    </row>
    <row r="267" spans="1:173" x14ac:dyDescent="0.3">
      <c r="A267" s="48" t="str">
        <f ca="1">IFERROR(IF($A$1=2,INDEX($DH$3:$DN$401,MATCH(ROWS(A$3:A267),$DN$3:$DN$401,0),COLUMN()),IF($A$1=1,INDEX($DQ$3:$DW$401,MATCH(ROWS(A$3:A267),$DW$3:$DW$401,0),COLUMN()),"")),"")</f>
        <v>35.08</v>
      </c>
      <c r="B267" s="48" t="str">
        <f ca="1">IFERROR(IF($A$1=2,INDEX($DH$3:$DN$401,MATCH(ROWS(B$3:B267),$DN$3:$DN$401,0),COLUMN()),IF($A$1=1,INDEX($DQ$3:$DW$400,MATCH(ROWS(B$3:B267),$DW$3:$DW$401,0),COLUMN()),"")),"")</f>
        <v>AMMORTAMENTO IMBALLAGGI DUREVOLI</v>
      </c>
      <c r="C267" s="48" t="str">
        <f ca="1">IFERROR(IF($A$1=2,INDEX($DH$3:$DN$401,MATCH(ROWS(C$3:C267),$DN$3:$DN$401,0),COLUMN()),IF($A$1=1,INDEX($DQ$3:$DW$401,MATCH(ROWS(C$3:C267),$DW$3:$DW$401,0),COLUMN()),"")),"")</f>
        <v>E</v>
      </c>
      <c r="D267" s="48" t="str">
        <f ca="1">IFERROR(IF($A$1=2,INDEX($DH$3:$DN$401,MATCH(ROWS(D$3:D267),$DN$3:$DN$401,0),COLUMN()),IF($A$1=1,INDEX($DQ$3:$DW$401,MATCH(ROWS(D$3:D267),$DW$3:$DW$401,0),COLUMN()),"")),"")</f>
        <v>D</v>
      </c>
      <c r="E267" s="48" t="str">
        <f ca="1">IFERROR(IF($A$1=2,INDEX($DH$3:$DN$401,MATCH(ROWS(E$3:E267),$DN$3:$DN$401,0),COLUMN()),IF($A$1=1,INDEX($DQ$3:$DW$401,MATCH(ROWS(E$3:E267),$DW$3:$DW$401,0),COLUMN()),"")),"")</f>
        <v>COSTI D'ESERCIZIO</v>
      </c>
      <c r="F267" s="48" t="str">
        <f ca="1">IFERROR(IF($A$1=2,INDEX($DH$3:$DN$401,MATCH(ROWS(F$3:F267),$DN$3:$DN$401,0),COLUMN()),IF($A$1=1,INDEX($DQ$3:$DX$401,MATCH(ROWS(F$3:F267),$DW$3:$DW$401,0),COLUMN()),"")),"")</f>
        <v>SE DARE</v>
      </c>
      <c r="G267" s="48" t="str">
        <f t="shared" ca="1" si="561"/>
        <v>SE</v>
      </c>
      <c r="H267" s="48" t="str">
        <f ca="1">IFERROR(IF($A$1=2,INDEX($DH$3:$DO$400,MATCH(ROWS(H$3:H267),$DN$3:$DN$400,0),COLUMN()),IF($A$1=1,INDEX($DQ$3:$DX$400,MATCH(ROWS(H$3:H267),$DW$3:$DW$400,0),COLUMN()),"")),"")</f>
        <v>eb10a</v>
      </c>
      <c r="M267" s="48">
        <f ca="1">IFERROR(IF(IF(MID($A267,3,3)=".00",MID(A267,1,2),"")&lt;&gt;"",MAX($M$2:M266)+1,0),"")</f>
        <v>0</v>
      </c>
      <c r="N267" s="48" t="str">
        <f t="shared" ca="1" si="562"/>
        <v/>
      </c>
      <c r="O267" s="48" t="str">
        <f ca="1">IF(IFERROR(INDEX($N$3:$O$300,MATCH(ROWS($O$3:O267),$M$3:$M$300,0),1),"")&lt;&gt;"",CONCATENATE(INDEX($N$3:$O$300,MATCH(ROWS($O$3:O267),$M$3:$M$300,0),1),".00"),"")</f>
        <v/>
      </c>
      <c r="P267" s="48" t="str">
        <f t="shared" ca="1" si="563"/>
        <v/>
      </c>
      <c r="Q267" s="48">
        <f ca="1">IF(M267&gt;=1,0,MAX($Q$2:Q266)+1)</f>
        <v>238</v>
      </c>
      <c r="U267" s="48" t="str">
        <f ca="1">IFERROR(INDEX(PDC,MATCH(ROWS(U$3:U267),$V$3:$V$400,0),2),"")</f>
        <v>INTERESSI ATTIVI DA CLIENTI</v>
      </c>
      <c r="V267" s="48">
        <f ca="1">IF(AND($T$1="VISUALIZZA TUTTI I CONTI",AA267&lt;&gt;""),MAX($V$2:V266)+1,IF(AND($U$2=2,AI267=$T$1),MAX($V$2:V266)+1,IF(AND($U$2=1,$T$1=AF267),MAX($V$2:V266)+1,0)))</f>
        <v>265</v>
      </c>
      <c r="AA267" s="48" t="str">
        <f t="shared" ca="1" si="564"/>
        <v>40.00</v>
      </c>
      <c r="AB267" s="48" t="str">
        <f ca="1">IFERROR(INDEX($A$3:$G$400,MATCH(ROWS(AB$3:AB267),$Q$3:$Q$400,0),1),"")</f>
        <v>40.31</v>
      </c>
      <c r="AC267" s="48" t="str">
        <f ca="1">IFERROR(INDEX($A$3:$G$400,MATCH(ROWS($AC$3:AC267),$Q$3:$Q$400,0),2),"")</f>
        <v>INTERESSI ATTIVI DA CLIENTI</v>
      </c>
      <c r="AD267" s="48" t="str">
        <f ca="1">IFERROR(INDEX($A$3:$G$400,MATCH(ROWS(AD$3:AD267),$Q$3:$Q$400,0),3),"")</f>
        <v>E</v>
      </c>
      <c r="AE267" s="48" t="str">
        <f ca="1">IFERROR(INDEX($A$3:$G$400,MATCH(ROWS(AE$3:AE267),$Q$3:$Q$400,0),4),"")</f>
        <v>A</v>
      </c>
      <c r="AF267" s="48" t="str">
        <f ca="1">IFERROR(INDEX($A$3:$G$400,MATCH(ROWS(AF$3:AF267),$Q$3:$Q$400,0),5),"")</f>
        <v>RICAVI D'ESERCIZIO</v>
      </c>
      <c r="AG267" s="48" t="str">
        <f ca="1">IFERROR(INDEX($A$3:$G$400,MATCH(ROWS(AG$3:AG267),$Q$3:$Q$400,0),6),"")</f>
        <v>SE AVERE</v>
      </c>
      <c r="AH267" s="48" t="str">
        <f ca="1">IFERROR(INDEX($A$3:$G$400,MATCH(ROWS(AH$3:AH267),$Q$3:$Q$400,0),7),"")</f>
        <v>SE</v>
      </c>
      <c r="AI267" s="48" t="str">
        <f t="shared" ca="1" si="565"/>
        <v>PROVENTI FINANZIARI</v>
      </c>
      <c r="AJ267" s="48" t="str">
        <f ca="1">IFERROR(INDEX($A$3:$H$400,MATCH(ROWS(AJ$3:AJ267),$Q$3:$Q$400,0),8),"")</f>
        <v>ec16d</v>
      </c>
      <c r="AK267" s="48">
        <f t="shared" ca="1" si="548"/>
        <v>0</v>
      </c>
      <c r="AL267" s="48">
        <f t="shared" ca="1" si="576"/>
        <v>0</v>
      </c>
      <c r="AM267" s="48">
        <f t="shared" ca="1" si="516"/>
        <v>0</v>
      </c>
      <c r="AN267" s="48">
        <f t="shared" ca="1" si="517"/>
        <v>0</v>
      </c>
      <c r="AO267" s="48">
        <f t="shared" ca="1" si="518"/>
        <v>0</v>
      </c>
      <c r="AP267" s="48">
        <f t="shared" ca="1" si="518"/>
        <v>0</v>
      </c>
      <c r="AZ267" s="48" t="str">
        <f t="shared" ca="1" si="584"/>
        <v/>
      </c>
      <c r="BA267" s="48">
        <f t="shared" ca="1" si="520"/>
        <v>0</v>
      </c>
      <c r="BB267" s="48">
        <f t="shared" ca="1" si="521"/>
        <v>0</v>
      </c>
      <c r="BC267" s="48">
        <f t="shared" ca="1" si="522"/>
        <v>0</v>
      </c>
      <c r="BD267" s="48">
        <f t="shared" ca="1" si="523"/>
        <v>0</v>
      </c>
      <c r="BE267" s="48">
        <f t="shared" ca="1" si="524"/>
        <v>0</v>
      </c>
      <c r="BF267" s="48">
        <f t="shared" si="585"/>
        <v>67</v>
      </c>
      <c r="BG267" s="48">
        <f ca="1">IF(IF(AND(OR(INDEX(PDC,MATCH($AC267,DEN_PDC,0),6)="SP DARE",INDEX(PDC,MATCH($AC267,DEN_PDC,0),6)="SP DARE/AVERE"),SUMIFS(DARE,DEN_G,$AC267)&gt;=SUMIFS(AVERE,DEN_G,$AC267)),SUMIFS(DARE,DEN_G,$AC267)-SUMIFS(AVERE,DEN_G,$AC267),0)&gt;0,MAX($BG$2:BG266)+1,0)</f>
        <v>0</v>
      </c>
      <c r="BH267" s="48">
        <f ca="1">IF(IF(AND(OR(INDEX(PDC,MATCH($AC267,DEN_PDC,0),6)="SP AVERE",INDEX(PDC,MATCH($AC267,DEN_PDC,0),6)="SP DARE/AVERE"),SUMIFS(AVERE,DEN_G,$AC267)&gt;=SUMIFS(DARE,DEN_G,$AC267)),SUMIFS(AVERE,DEN_G,$AC267)-SUMIFS(DARE,DEN_G,$AC267),0)&gt;0,MAX(BH$2:BH266)+1,0)</f>
        <v>0</v>
      </c>
      <c r="BI267" s="48">
        <f ca="1">IF(IF(AND(OR(INDEX(PDC,MATCH($AC267,DEN_PDC,0),6)="SE DARE",INDEX(PDC,MATCH($AC267,DEN_PDC,0),6)="SE DARE/AVERE"),SUMIFS(DARE,DEN_G,$AC267)&gt;=SUMIFS(AVERE,DEN_G,$AC267)),SUMIFS(DARE,DEN_G,$AC267)-SUMIFS(AVERE,DEN_G,$AC267),0)&gt;0,MAX(BI$2:BI266)+1,0)</f>
        <v>0</v>
      </c>
      <c r="BJ267" s="48">
        <f ca="1">IF(IF(AND(OR(INDEX(PDC,MATCH($AC267,DEN_PDC,0),6)="SE AVERE",INDEX(PDC,MATCH($AC267,DEN_PDC,0),6)="SE DARE/AVERE"),SUMIFS(AVERE,DEN_G,$AC267)&gt;=SUMIFS(DARE,DEN_G,$AC267)),SUMIFS(AVERE,DEN_G,$AC267)-SUMIFS(DARE,DEN_G,$AC267),0)&gt;0,MAX(BJ$2:BJ266)+1,0)</f>
        <v>0</v>
      </c>
      <c r="BK267" s="48" t="str">
        <f ca="1">IF(AND(AND($DY$2=0,$DY$1=0),$I$1=2,ROW()&gt;$BG$1+2,ROW()&lt;=$BG$1+4),"………………..",IF(AND(OR($DY$2&gt;0,$DY$1&gt;0),$I$1=2,ROW()&gt;$BG$1+2,ROW()&lt;=$BG$1+4),"………………..",IFERROR(INDEX($AC$3:$AC$398,MATCH(ROWS(BK$3:BK267),BG$3:BG$398,0),1),"")))</f>
        <v/>
      </c>
      <c r="BL267" s="48">
        <f t="shared" ca="1" si="549"/>
        <v>0</v>
      </c>
      <c r="BM267" s="48" t="str">
        <f ca="1">IF(AND(OR($DY$2=0,$DY$1=0),$I$1=2,ROW()&gt;$BH$1+2,ROW()&lt;=$BH$1+4),"………………..",IF(AND(OR($DY$2&gt;0,$DY$1&gt;0),$I$1=2,ROW()&gt;$BH$1+2,ROW()&lt;=$BH$1+4),"………………..",IFERROR(INDEX($AC$3:$AC$400,MATCH(ROWS(BM$3:BM267),BH$3:BH$400,0),1),"")))</f>
        <v/>
      </c>
      <c r="BN267" s="48">
        <f t="shared" ca="1" si="550"/>
        <v>0</v>
      </c>
      <c r="BO267" s="48" t="str">
        <f ca="1">IF(AND(OR($DY$2=0,$DY$1=0),$I$1=2,ROW()&gt;$BI$1+2,ROW()&lt;=$BI$1+4),"………………..",IF(AND(OR($DY$2&gt;0,$DY$1&gt;0),$I$1=2,ROW()&gt;$BI$1+2,ROW()&lt;=$BI$1+4),"………………..",IFERROR(INDEX($AC$3:$AC$400,MATCH(ROWS(BO$3:BO267),BI$3:BI$400,0),1),"")))</f>
        <v/>
      </c>
      <c r="BP267" s="48">
        <f t="shared" ca="1" si="551"/>
        <v>0</v>
      </c>
      <c r="BQ267" s="48" t="str">
        <f ca="1">IF(AND(OR($DY$2=0,$DY$1=0),$I$1=2,ROW()&gt;$BJ$1+2,ROW()&lt;=$BJ$1+4),"………………..",IF(AND(OR($DY$2&gt;0,$DY$1&gt;0),$I$1=2,ROW()&gt;$BJ$1+2,ROW()&lt;=$BJ$1+4),"………………..",IFERROR(INDEX($AC$3:$AC$400,MATCH(ROWS(BQ$3:BQ267),BJ$3:BJ$400,0),1),"")))</f>
        <v/>
      </c>
      <c r="BR267" s="48">
        <f t="shared" ca="1" si="552"/>
        <v>0</v>
      </c>
      <c r="BS267" s="48">
        <f ca="1">IF(IF(AND(OR(INDEX(PDC,MATCH($AC267,DEN_PDC,0),4)="D",INDEX(PDC,MATCH($AC267,DEN_PDC,0),4)="D/A"),SUMIFS(DARE,DEN_G,$AC267)&gt;=SUMIFS(AVERE,DEN_G,$AC267)),SUMIFS(DARE,DEN_G,$AC267),IF(AND(OR(INDEX(PDC,MATCH($AC267,DEN_PDC,0),4)="A",INDEX(PDC,MATCH($AC267,DEN_PDC,0),4)="D/A"),SUMIFS(AVERE,DEN_G,$AC267)&gt;=SUMIFS(DARE,DEN_G,$AC267)),SUMIFS(AVERE,DEN_G,$AC267),))&gt;0,MAX($BS$2:BS266)+1,0)</f>
        <v>0</v>
      </c>
      <c r="BT267" s="48" t="str">
        <f ca="1">IF($CO$1=0,"",IF(AND($I$1=2,ROW()&gt;$BR$1,ROW()&lt;=$BS$1)," …………….",IF(AND($E$1=1,$BX$1=1,$I$1=2,ROW()=$BQ$1),"TOTALI",IFERROR(INDEX(PDC,MATCH(ROWS(BT$3:BT267),BS$3:BS664,0),2),""))))</f>
        <v/>
      </c>
      <c r="BU267" s="48">
        <f t="shared" ca="1" si="553"/>
        <v>0</v>
      </c>
      <c r="BV267" s="48">
        <f t="shared" ca="1" si="554"/>
        <v>0</v>
      </c>
      <c r="BW267" s="48">
        <f t="shared" ca="1" si="555"/>
        <v>0</v>
      </c>
      <c r="BX267" s="48">
        <f t="shared" ca="1" si="556"/>
        <v>0</v>
      </c>
      <c r="BY267" s="48">
        <f ca="1">IF(OR(BW267&gt;0,BX267&gt;0),MAX($BY$2:BY266)+1,0)</f>
        <v>0</v>
      </c>
      <c r="BZ267" s="48" t="str">
        <f ca="1">IFERROR(INDEX($BT$3:$BY$400,MATCH(ROWS(BZ$3:BZ267),$BY$3:$BY$400,0),1),"")</f>
        <v/>
      </c>
      <c r="CA267" s="48" t="str">
        <f ca="1">IFERROR(INDEX($BT$3:$BY$400,MATCH(ROWS(CA$3:CA267),$BY$3:$BY$400,0),4),"")</f>
        <v/>
      </c>
      <c r="CB267" s="48" t="str">
        <f ca="1">IFERROR(INDEX($BT$3:$BY$400,MATCH(ROWS(CB$3:CB267),$BY$3:$BY$400,0),5),"")</f>
        <v/>
      </c>
      <c r="CC267" s="48" t="str">
        <f t="shared" ca="1" si="557"/>
        <v/>
      </c>
      <c r="CM267" s="242" t="str">
        <f t="shared" ca="1" si="566"/>
        <v/>
      </c>
      <c r="CN267" s="243">
        <f t="shared" ca="1" si="567"/>
        <v>0</v>
      </c>
      <c r="CO267" s="48" t="str">
        <f t="shared" ca="1" si="568"/>
        <v/>
      </c>
      <c r="CU267" s="48">
        <f ca="1">IF(SUMIFS(AVERE,DEN_G,AC267,AVERE,"&gt;"&amp;0)+SUMIFS(DARE,DEN_G,AC267,DARE,"&gt;"&amp;0)&gt;0,MAX($CU$2:CU266)+1,0)</f>
        <v>0</v>
      </c>
      <c r="CV267" s="48" t="str">
        <f ca="1">IF(IFERROR(INDEX(PDC,MATCH(ROWS($CV$3:CV267),$CU$3:$CU$400,0),2),"")="CONTO DI RISULTATO ECONOMICO","",IFERROR(INDEX(PDC,MATCH(ROWS($CV$3:CV267),$CU$3:$CU$400,0),2),""))</f>
        <v/>
      </c>
      <c r="CW267" s="48">
        <f ca="1">IFERROR(IF(CV267&lt;&gt;"",MAX($CW$2:CW266)+1,0),0)</f>
        <v>0</v>
      </c>
      <c r="CX267" s="48">
        <f t="shared" ca="1" si="578"/>
        <v>21</v>
      </c>
      <c r="CY267" s="48" t="str">
        <f t="shared" ca="1" si="577"/>
        <v>MASTRO</v>
      </c>
      <c r="CZ267" s="48" t="e">
        <f t="shared" ca="1" si="580"/>
        <v>#N/A</v>
      </c>
      <c r="DA267" s="48" t="str">
        <f t="shared" ca="1" si="586"/>
        <v/>
      </c>
      <c r="DB267" s="48" t="str">
        <f t="shared" ca="1" si="499"/>
        <v/>
      </c>
      <c r="DC267" s="48" t="str">
        <f t="shared" ca="1" si="581"/>
        <v/>
      </c>
      <c r="DD267" s="48" t="str">
        <f t="shared" ca="1" si="582"/>
        <v/>
      </c>
      <c r="DE267" s="48" t="str">
        <f t="shared" ca="1" si="583"/>
        <v/>
      </c>
      <c r="DF267" s="48">
        <f ca="1">IF(AND(CX267=$DF$1,CX267&lt;&gt;""),0,IF(AND(DB267&lt;&gt;"",OR(DB266&lt;&gt;"",DB268&lt;&gt;"")),MAX($DF$2:DF266)+1,0))</f>
        <v>0</v>
      </c>
      <c r="DH267" s="244" t="s">
        <v>1108</v>
      </c>
      <c r="DI267" s="48" t="s">
        <v>435</v>
      </c>
      <c r="DJ267" s="48" t="s">
        <v>311</v>
      </c>
      <c r="DK267" s="48" t="s">
        <v>275</v>
      </c>
      <c r="DL267" s="48" t="s">
        <v>7</v>
      </c>
      <c r="DM267" s="48" t="s">
        <v>301</v>
      </c>
      <c r="DN267" s="48">
        <f ca="1">IF(DI267&lt;&gt;"",MAX($DN$2:DN266)+1,0)</f>
        <v>208</v>
      </c>
      <c r="DO267" s="48" t="s">
        <v>706</v>
      </c>
      <c r="DQ267" s="227" t="s">
        <v>884</v>
      </c>
      <c r="DR267" s="48" t="s">
        <v>188</v>
      </c>
      <c r="DS267" s="48" t="s">
        <v>311</v>
      </c>
      <c r="DT267" s="48" t="s">
        <v>298</v>
      </c>
      <c r="DU267" s="48" t="s">
        <v>320</v>
      </c>
      <c r="DV267" s="48" t="s">
        <v>300</v>
      </c>
      <c r="DW267" s="48">
        <f ca="1">IF(DR267&lt;&gt;"",MAX($DW$2:DW266)+1,0)</f>
        <v>158</v>
      </c>
      <c r="DX267" s="48" t="s">
        <v>709</v>
      </c>
      <c r="DY267" s="48" t="str">
        <f t="shared" ca="1" si="558"/>
        <v/>
      </c>
      <c r="EL267" s="48">
        <f t="shared" ca="1" si="559"/>
        <v>0</v>
      </c>
      <c r="EM267" s="48">
        <f ca="1">IF(EL267&gt;=0,0,MAX($EM$2:EM266)+1)</f>
        <v>0</v>
      </c>
      <c r="EN267" s="48" t="str">
        <f t="shared" ca="1" si="569"/>
        <v/>
      </c>
      <c r="EO267" s="48" t="str">
        <f ca="1">IFERROR(INDEX($EM$3:$EN$400,MATCH(ROWS($EO$3:EO267),$EM$3:$EM$400,0),2),"")</f>
        <v/>
      </c>
      <c r="EP267" s="48">
        <f>ROW()</f>
        <v>267</v>
      </c>
      <c r="EQ267" s="48">
        <f t="shared" ca="1" si="560"/>
        <v>0</v>
      </c>
      <c r="ER267" s="48">
        <f ca="1">IF(ISNA(EQ267)=TRUE,MAX($ER$2:ER266)+1,0)</f>
        <v>0</v>
      </c>
      <c r="ES267" s="48" t="str">
        <f t="shared" ca="1" si="570"/>
        <v/>
      </c>
      <c r="ET267" s="48" t="str">
        <f ca="1">IFERROR(INDEX($ER$3:$ES$400,MATCH(ROWS($ET$3:ET267),$ER$3:$ER$400,0),2),"")</f>
        <v/>
      </c>
      <c r="EV267" s="48">
        <f ca="1">IFERROR(INDEX(LIBRO_GIORNALE!$O$11:$P$408,MATCH(ROWS($EV$2:EV266),LIBRO_GIORNALE!$P$11:$P$408,0),1),0)</f>
        <v>0</v>
      </c>
      <c r="EW267" s="48" t="str">
        <f t="shared" ca="1" si="544"/>
        <v>0</v>
      </c>
      <c r="EX267" s="48">
        <f t="shared" ca="1" si="571"/>
        <v>0</v>
      </c>
      <c r="EY267" s="48">
        <f ca="1">IF(EX267&gt;0,MAX($EY$2:EY266)+1,0)</f>
        <v>0</v>
      </c>
      <c r="EZ267" s="48">
        <f ca="1">IFERROR(INDEX($EX$3:$EX$400,MATCH(ROWS($EZ$3:EZ267),$EY$3:$EY$400,0),1),0)</f>
        <v>0</v>
      </c>
      <c r="FA267" s="48">
        <f ca="1">IF(EZ267&gt;0,0,MAX($FA$2:FA266)+1)</f>
        <v>265</v>
      </c>
      <c r="FB267" s="48">
        <f t="shared" ca="1" si="545"/>
        <v>0</v>
      </c>
      <c r="FC267" s="48">
        <f t="shared" ca="1" si="546"/>
        <v>265</v>
      </c>
      <c r="FD267" s="48">
        <f t="shared" ca="1" si="572"/>
        <v>265</v>
      </c>
      <c r="FE267" s="48">
        <f ca="1">IF(FD267=0,0,MAX($FE$2:FE266)+1)</f>
        <v>265</v>
      </c>
      <c r="FF267" s="48">
        <f ca="1">IFERROR(INDEX($FD$3:$FE$400,MATCH(ROWS($FF$3:FF267),$FE$3:$FE$400,0),1),"")</f>
        <v>265</v>
      </c>
      <c r="FG267" s="48">
        <f t="shared" ca="1" si="519"/>
        <v>0</v>
      </c>
      <c r="FH267" s="48">
        <f t="shared" ca="1" si="573"/>
        <v>0</v>
      </c>
      <c r="FI267" s="48">
        <f ca="1">IF(FH267&lt;&gt;0,MAX($FI$2:FI266)+1,0)</f>
        <v>0</v>
      </c>
      <c r="FJ267" s="48" t="str">
        <f ca="1">IFERROR(INDEX($FH$3:$FI$400,MATCH(ROWS($FJ$3:FJ267),$FI$3:$FI$400,0),1),"")</f>
        <v/>
      </c>
      <c r="FK267" s="48">
        <f ca="1">IF(ABS(SUMIFS(DARE,DEN_G,"="&amp;FJ267,DATA,"&lt;="&amp;FINE_AC,DATA,"&gt;="&amp;INIZIO_A_PC)-SUMIFS(AVERE,DEN_G,"="&amp;FJ267,DATA,"&lt;="&amp;FINE_AC,DATA,"&gt;="&amp;INIZIO_A_PC))&gt;0,MAX($FK$2:FK266)+1,0)</f>
        <v>0</v>
      </c>
      <c r="FL267" s="48" t="str">
        <f ca="1">IF(AND(ROW()-2&lt;&gt;1,ROW()-2&lt;=$FK$1),CONCATENATE(" - ",IFERROR(INDEX($FJ$3:$FK$400,MATCH(ROWS($FL$3:FL267),$FK$3:$FK$400,0),1),"")),IFERROR(INDEX($FJ$3:$FK$400,MATCH(ROWS($FL$3:FL267),$FK$3:$FK$400,0),1),""))</f>
        <v/>
      </c>
      <c r="FM267" s="48">
        <f ca="1">IF(OR(B267="IVA ns/credito",B267="IVA NS/DEBITO",B267="IVA C/ACCONTO",B267="IMPOSTE C/ACCONTO",B267="CREDITI PER RITENUTE SUBITE",B267="CREDITI D'IMPOSTA"),MAX($FM$2:FM266)+1,0)</f>
        <v>0</v>
      </c>
      <c r="FN267" s="48" t="str">
        <f t="shared" ca="1" si="574"/>
        <v/>
      </c>
      <c r="FO267" s="48" t="str">
        <f ca="1">IFERROR(INDEX($FM$3:$FN$400,MATCH(ROWS($FO$3:FO267),$FM$3:$FM$400,0),2),"")</f>
        <v/>
      </c>
      <c r="FP267" s="48">
        <f ca="1">IF(ABS(SUMIFS(DARE,DEN_G,"="&amp;FO267,DATA,"&lt;="&amp;FINE_AC,DATA,"&gt;="&amp;INIZIO_A_PC)-SUMIFS(AVERE,DEN_G,"="&amp;FO267,DATA,"&lt;="&amp;FINE_AC,DATA,"&gt;="&amp;INIZIO_A_PC))&gt;0,MAX($FP$2:FP266)+1,0)</f>
        <v>0</v>
      </c>
      <c r="FQ267" s="48" t="str">
        <f ca="1">IF(AND(ROW()-2&lt;&gt;1,ROW()-2&lt;=$FP$1),CONCATENATE(" - ",IFERROR(INDEX($FO$3:$FP$400,MATCH(ROWS($FQ$3:FQ267),$FP$3:$FP$400,0),1),"")),IFERROR(INDEX($FO$3:$FP$400,MATCH(ROWS($FQ$3:FQ267),$FP$3:$FP$400,0),1),""))</f>
        <v/>
      </c>
    </row>
    <row r="268" spans="1:173" x14ac:dyDescent="0.3">
      <c r="A268" s="48" t="str">
        <f ca="1">IFERROR(IF($A$1=2,INDEX($DH$3:$DN$401,MATCH(ROWS(A$3:A268),$DN$3:$DN$401,0),COLUMN()),IF($A$1=1,INDEX($DQ$3:$DW$401,MATCH(ROWS(A$3:A268),$DW$3:$DW$401,0),COLUMN()),"")),"")</f>
        <v>36.00</v>
      </c>
      <c r="B268" s="48" t="str">
        <f ca="1">IFERROR(IF($A$1=2,INDEX($DH$3:$DN$401,MATCH(ROWS(B$3:B268),$DN$3:$DN$401,0),COLUMN()),IF($A$1=1,INDEX($DQ$3:$DW$400,MATCH(ROWS(B$3:B268),$DW$3:$DW$401,0),COLUMN()),"")),"")</f>
        <v>SVALUTAZIONI</v>
      </c>
      <c r="C268" s="48">
        <f ca="1">IFERROR(IF($A$1=2,INDEX($DH$3:$DN$401,MATCH(ROWS(C$3:C268),$DN$3:$DN$401,0),COLUMN()),IF($A$1=1,INDEX($DQ$3:$DW$401,MATCH(ROWS(C$3:C268),$DW$3:$DW$401,0),COLUMN()),"")),"")</f>
        <v>0</v>
      </c>
      <c r="D268" s="48">
        <f ca="1">IFERROR(IF($A$1=2,INDEX($DH$3:$DN$401,MATCH(ROWS(D$3:D268),$DN$3:$DN$401,0),COLUMN()),IF($A$1=1,INDEX($DQ$3:$DW$401,MATCH(ROWS(D$3:D268),$DW$3:$DW$401,0),COLUMN()),"")),"")</f>
        <v>0</v>
      </c>
      <c r="E268" s="48">
        <f ca="1">IFERROR(IF($A$1=2,INDEX($DH$3:$DN$401,MATCH(ROWS(E$3:E268),$DN$3:$DN$401,0),COLUMN()),IF($A$1=1,INDEX($DQ$3:$DW$401,MATCH(ROWS(E$3:E268),$DW$3:$DW$401,0),COLUMN()),"")),"")</f>
        <v>0</v>
      </c>
      <c r="F268" s="48">
        <f ca="1">IFERROR(IF($A$1=2,INDEX($DH$3:$DN$401,MATCH(ROWS(F$3:F268),$DN$3:$DN$401,0),COLUMN()),IF($A$1=1,INDEX($DQ$3:$DX$401,MATCH(ROWS(F$3:F268),$DW$3:$DW$401,0),COLUMN()),"")),"")</f>
        <v>0</v>
      </c>
      <c r="G268" s="48" t="str">
        <f t="shared" ca="1" si="561"/>
        <v>0</v>
      </c>
      <c r="H268" s="48">
        <f ca="1">IFERROR(IF($A$1=2,INDEX($DH$3:$DO$400,MATCH(ROWS(H$3:H268),$DN$3:$DN$400,0),COLUMN()),IF($A$1=1,INDEX($DQ$3:$DX$400,MATCH(ROWS(H$3:H268),$DW$3:$DW$400,0),COLUMN()),"")),"")</f>
        <v>0</v>
      </c>
      <c r="M268" s="48">
        <f ca="1">IFERROR(IF(IF(MID($A268,3,3)=".00",MID(A268,1,2),"")&lt;&gt;"",MAX($M$2:M267)+1,0),"")</f>
        <v>28</v>
      </c>
      <c r="N268" s="48" t="str">
        <f t="shared" ca="1" si="562"/>
        <v>36</v>
      </c>
      <c r="O268" s="48" t="str">
        <f ca="1">IF(IFERROR(INDEX($N$3:$O$300,MATCH(ROWS($O$3:O268),$M$3:$M$300,0),1),"")&lt;&gt;"",CONCATENATE(INDEX($N$3:$O$300,MATCH(ROWS($O$3:O268),$M$3:$M$300,0),1),".00"),"")</f>
        <v/>
      </c>
      <c r="P268" s="48" t="str">
        <f t="shared" ca="1" si="563"/>
        <v/>
      </c>
      <c r="Q268" s="48">
        <f ca="1">IF(M268&gt;=1,0,MAX($Q$2:Q267)+1)</f>
        <v>0</v>
      </c>
      <c r="U268" s="48" t="str">
        <f ca="1">IFERROR(INDEX(PDC,MATCH(ROWS(U$3:U268),$V$3:$V$400,0),2),"")</f>
        <v>INTERESSI ATTIVI BANCARI</v>
      </c>
      <c r="V268" s="48">
        <f ca="1">IF(AND($T$1="VISUALIZZA TUTTI I CONTI",AA268&lt;&gt;""),MAX($V$2:V267)+1,IF(AND($U$2=2,AI268=$T$1),MAX($V$2:V267)+1,IF(AND($U$2=1,$T$1=AF268),MAX($V$2:V267)+1,0)))</f>
        <v>266</v>
      </c>
      <c r="AA268" s="48" t="str">
        <f t="shared" ca="1" si="564"/>
        <v>40.00</v>
      </c>
      <c r="AB268" s="48" t="str">
        <f ca="1">IFERROR(INDEX($A$3:$G$400,MATCH(ROWS(AB$3:AB268),$Q$3:$Q$400,0),1),"")</f>
        <v>40.32</v>
      </c>
      <c r="AC268" s="48" t="str">
        <f ca="1">IFERROR(INDEX($A$3:$G$400,MATCH(ROWS($AC$3:AC268),$Q$3:$Q$400,0),2),"")</f>
        <v>INTERESSI ATTIVI BANCARI</v>
      </c>
      <c r="AD268" s="48" t="str">
        <f ca="1">IFERROR(INDEX($A$3:$G$400,MATCH(ROWS(AD$3:AD268),$Q$3:$Q$400,0),3),"")</f>
        <v>E</v>
      </c>
      <c r="AE268" s="48" t="str">
        <f ca="1">IFERROR(INDEX($A$3:$G$400,MATCH(ROWS(AE$3:AE268),$Q$3:$Q$400,0),4),"")</f>
        <v>A</v>
      </c>
      <c r="AF268" s="48" t="str">
        <f ca="1">IFERROR(INDEX($A$3:$G$400,MATCH(ROWS(AF$3:AF268),$Q$3:$Q$400,0),5),"")</f>
        <v>RICAVI D'ESERCIZIO</v>
      </c>
      <c r="AG268" s="48" t="str">
        <f ca="1">IFERROR(INDEX($A$3:$G$400,MATCH(ROWS(AG$3:AG268),$Q$3:$Q$400,0),6),"")</f>
        <v>SE AVERE</v>
      </c>
      <c r="AH268" s="48" t="str">
        <f ca="1">IFERROR(INDEX($A$3:$G$400,MATCH(ROWS(AH$3:AH268),$Q$3:$Q$400,0),7),"")</f>
        <v>SE</v>
      </c>
      <c r="AI268" s="48" t="str">
        <f t="shared" ca="1" si="565"/>
        <v>PROVENTI FINANZIARI</v>
      </c>
      <c r="AJ268" s="48" t="str">
        <f ca="1">IFERROR(INDEX($A$3:$H$400,MATCH(ROWS(AJ$3:AJ268),$Q$3:$Q$400,0),8),"")</f>
        <v>ec16d</v>
      </c>
      <c r="AK268" s="48">
        <f t="shared" ca="1" si="548"/>
        <v>0</v>
      </c>
      <c r="AL268" s="48">
        <f t="shared" ca="1" si="576"/>
        <v>0</v>
      </c>
      <c r="AM268" s="48">
        <f t="shared" ca="1" si="516"/>
        <v>0</v>
      </c>
      <c r="AN268" s="48">
        <f t="shared" ca="1" si="517"/>
        <v>0</v>
      </c>
      <c r="AO268" s="48">
        <f t="shared" ca="1" si="518"/>
        <v>0</v>
      </c>
      <c r="AP268" s="48">
        <f t="shared" ca="1" si="518"/>
        <v>0</v>
      </c>
      <c r="AZ268" s="48" t="str">
        <f t="shared" ca="1" si="584"/>
        <v/>
      </c>
      <c r="BA268" s="48">
        <f t="shared" ca="1" si="520"/>
        <v>0</v>
      </c>
      <c r="BB268" s="48">
        <f t="shared" ca="1" si="521"/>
        <v>0</v>
      </c>
      <c r="BC268" s="48">
        <f t="shared" ca="1" si="522"/>
        <v>0</v>
      </c>
      <c r="BD268" s="48">
        <f t="shared" ca="1" si="523"/>
        <v>0</v>
      </c>
      <c r="BE268" s="48">
        <f t="shared" ca="1" si="524"/>
        <v>0</v>
      </c>
      <c r="BF268" s="48">
        <f t="shared" si="585"/>
        <v>68</v>
      </c>
      <c r="BG268" s="48">
        <f ca="1">IF(IF(AND(OR(INDEX(PDC,MATCH($AC268,DEN_PDC,0),6)="SP DARE",INDEX(PDC,MATCH($AC268,DEN_PDC,0),6)="SP DARE/AVERE"),SUMIFS(DARE,DEN_G,$AC268)&gt;=SUMIFS(AVERE,DEN_G,$AC268)),SUMIFS(DARE,DEN_G,$AC268)-SUMIFS(AVERE,DEN_G,$AC268),0)&gt;0,MAX($BG$2:BG267)+1,0)</f>
        <v>0</v>
      </c>
      <c r="BH268" s="48">
        <f ca="1">IF(IF(AND(OR(INDEX(PDC,MATCH($AC268,DEN_PDC,0),6)="SP AVERE",INDEX(PDC,MATCH($AC268,DEN_PDC,0),6)="SP DARE/AVERE"),SUMIFS(AVERE,DEN_G,$AC268)&gt;=SUMIFS(DARE,DEN_G,$AC268)),SUMIFS(AVERE,DEN_G,$AC268)-SUMIFS(DARE,DEN_G,$AC268),0)&gt;0,MAX(BH$2:BH267)+1,0)</f>
        <v>0</v>
      </c>
      <c r="BI268" s="48">
        <f ca="1">IF(IF(AND(OR(INDEX(PDC,MATCH($AC268,DEN_PDC,0),6)="SE DARE",INDEX(PDC,MATCH($AC268,DEN_PDC,0),6)="SE DARE/AVERE"),SUMIFS(DARE,DEN_G,$AC268)&gt;=SUMIFS(AVERE,DEN_G,$AC268)),SUMIFS(DARE,DEN_G,$AC268)-SUMIFS(AVERE,DEN_G,$AC268),0)&gt;0,MAX(BI$2:BI267)+1,0)</f>
        <v>0</v>
      </c>
      <c r="BJ268" s="48">
        <f ca="1">IF(IF(AND(OR(INDEX(PDC,MATCH($AC268,DEN_PDC,0),6)="SE AVERE",INDEX(PDC,MATCH($AC268,DEN_PDC,0),6)="SE DARE/AVERE"),SUMIFS(AVERE,DEN_G,$AC268)&gt;=SUMIFS(DARE,DEN_G,$AC268)),SUMIFS(AVERE,DEN_G,$AC268)-SUMIFS(DARE,DEN_G,$AC268),0)&gt;0,MAX(BJ$2:BJ267)+1,0)</f>
        <v>0</v>
      </c>
      <c r="BK268" s="48" t="str">
        <f ca="1">IF(AND(AND($DY$2=0,$DY$1=0),$I$1=2,ROW()&gt;$BG$1+2,ROW()&lt;=$BG$1+4),"………………..",IF(AND(OR($DY$2&gt;0,$DY$1&gt;0),$I$1=2,ROW()&gt;$BG$1+2,ROW()&lt;=$BG$1+4),"………………..",IFERROR(INDEX($AC$3:$AC$398,MATCH(ROWS(BK$3:BK268),BG$3:BG$398,0),1),"")))</f>
        <v/>
      </c>
      <c r="BL268" s="48">
        <f t="shared" ca="1" si="549"/>
        <v>0</v>
      </c>
      <c r="BM268" s="48" t="str">
        <f ca="1">IF(AND(OR($DY$2=0,$DY$1=0),$I$1=2,ROW()&gt;$BH$1+2,ROW()&lt;=$BH$1+4),"………………..",IF(AND(OR($DY$2&gt;0,$DY$1&gt;0),$I$1=2,ROW()&gt;$BH$1+2,ROW()&lt;=$BH$1+4),"………………..",IFERROR(INDEX($AC$3:$AC$400,MATCH(ROWS(BM$3:BM268),BH$3:BH$400,0),1),"")))</f>
        <v/>
      </c>
      <c r="BN268" s="48">
        <f t="shared" ca="1" si="550"/>
        <v>0</v>
      </c>
      <c r="BO268" s="48" t="str">
        <f ca="1">IF(AND(OR($DY$2=0,$DY$1=0),$I$1=2,ROW()&gt;$BI$1+2,ROW()&lt;=$BI$1+4),"………………..",IF(AND(OR($DY$2&gt;0,$DY$1&gt;0),$I$1=2,ROW()&gt;$BI$1+2,ROW()&lt;=$BI$1+4),"………………..",IFERROR(INDEX($AC$3:$AC$400,MATCH(ROWS(BO$3:BO268),BI$3:BI$400,0),1),"")))</f>
        <v/>
      </c>
      <c r="BP268" s="48">
        <f t="shared" ca="1" si="551"/>
        <v>0</v>
      </c>
      <c r="BQ268" s="48" t="str">
        <f ca="1">IF(AND(OR($DY$2=0,$DY$1=0),$I$1=2,ROW()&gt;$BJ$1+2,ROW()&lt;=$BJ$1+4),"………………..",IF(AND(OR($DY$2&gt;0,$DY$1&gt;0),$I$1=2,ROW()&gt;$BJ$1+2,ROW()&lt;=$BJ$1+4),"………………..",IFERROR(INDEX($AC$3:$AC$400,MATCH(ROWS(BQ$3:BQ268),BJ$3:BJ$400,0),1),"")))</f>
        <v/>
      </c>
      <c r="BR268" s="48">
        <f t="shared" ca="1" si="552"/>
        <v>0</v>
      </c>
      <c r="BS268" s="48">
        <f ca="1">IF(IF(AND(OR(INDEX(PDC,MATCH($AC268,DEN_PDC,0),4)="D",INDEX(PDC,MATCH($AC268,DEN_PDC,0),4)="D/A"),SUMIFS(DARE,DEN_G,$AC268)&gt;=SUMIFS(AVERE,DEN_G,$AC268)),SUMIFS(DARE,DEN_G,$AC268),IF(AND(OR(INDEX(PDC,MATCH($AC268,DEN_PDC,0),4)="A",INDEX(PDC,MATCH($AC268,DEN_PDC,0),4)="D/A"),SUMIFS(AVERE,DEN_G,$AC268)&gt;=SUMIFS(DARE,DEN_G,$AC268)),SUMIFS(AVERE,DEN_G,$AC268),))&gt;0,MAX($BS$2:BS267)+1,0)</f>
        <v>0</v>
      </c>
      <c r="BT268" s="48" t="str">
        <f ca="1">IF($CO$1=0,"",IF(AND($I$1=2,ROW()&gt;$BR$1,ROW()&lt;=$BS$1)," …………….",IF(AND($E$1=1,$BX$1=1,$I$1=2,ROW()=$BQ$1),"TOTALI",IFERROR(INDEX(PDC,MATCH(ROWS(BT$3:BT268),BS$3:BS665,0),2),""))))</f>
        <v/>
      </c>
      <c r="BU268" s="48">
        <f t="shared" ca="1" si="553"/>
        <v>0</v>
      </c>
      <c r="BV268" s="48">
        <f t="shared" ca="1" si="554"/>
        <v>0</v>
      </c>
      <c r="BW268" s="48">
        <f t="shared" ca="1" si="555"/>
        <v>0</v>
      </c>
      <c r="BX268" s="48">
        <f t="shared" ca="1" si="556"/>
        <v>0</v>
      </c>
      <c r="BY268" s="48">
        <f ca="1">IF(OR(BW268&gt;0,BX268&gt;0),MAX($BY$2:BY267)+1,0)</f>
        <v>0</v>
      </c>
      <c r="BZ268" s="48" t="str">
        <f ca="1">IFERROR(INDEX($BT$3:$BY$400,MATCH(ROWS(BZ$3:BZ268),$BY$3:$BY$400,0),1),"")</f>
        <v/>
      </c>
      <c r="CA268" s="48" t="str">
        <f ca="1">IFERROR(INDEX($BT$3:$BY$400,MATCH(ROWS(CA$3:CA268),$BY$3:$BY$400,0),4),"")</f>
        <v/>
      </c>
      <c r="CB268" s="48" t="str">
        <f ca="1">IFERROR(INDEX($BT$3:$BY$400,MATCH(ROWS(CB$3:CB268),$BY$3:$BY$400,0),5),"")</f>
        <v/>
      </c>
      <c r="CC268" s="48" t="str">
        <f t="shared" ca="1" si="557"/>
        <v/>
      </c>
      <c r="CM268" s="242" t="str">
        <f t="shared" ca="1" si="566"/>
        <v/>
      </c>
      <c r="CN268" s="243">
        <f t="shared" ca="1" si="567"/>
        <v>0</v>
      </c>
      <c r="CO268" s="48" t="str">
        <f t="shared" ca="1" si="568"/>
        <v/>
      </c>
      <c r="CU268" s="48">
        <f ca="1">IF(SUMIFS(AVERE,DEN_G,AC268,AVERE,"&gt;"&amp;0)+SUMIFS(DARE,DEN_G,AC268,DARE,"&gt;"&amp;0)&gt;0,MAX($CU$2:CU267)+1,0)</f>
        <v>0</v>
      </c>
      <c r="CV268" s="48" t="str">
        <f ca="1">IF(IFERROR(INDEX(PDC,MATCH(ROWS($CV$3:CV268),$CU$3:$CU$400,0),2),"")="CONTO DI RISULTATO ECONOMICO","",IFERROR(INDEX(PDC,MATCH(ROWS($CV$3:CV268),$CU$3:$CU$400,0),2),""))</f>
        <v/>
      </c>
      <c r="CW268" s="48">
        <f ca="1">IFERROR(IF(CV268&lt;&gt;"",MAX($CW$2:CW267)+1,0),0)</f>
        <v>0</v>
      </c>
      <c r="CX268" s="48">
        <f t="shared" ca="1" si="578"/>
        <v>21</v>
      </c>
      <c r="CY268" s="48" t="str">
        <f t="shared" ca="1" si="577"/>
        <v>MASTRO</v>
      </c>
      <c r="CZ268" s="48" t="e">
        <f t="shared" ca="1" si="580"/>
        <v>#N/A</v>
      </c>
      <c r="DA268" s="48" t="str">
        <f t="shared" ca="1" si="586"/>
        <v/>
      </c>
      <c r="DB268" s="48" t="str">
        <f t="shared" ca="1" si="499"/>
        <v/>
      </c>
      <c r="DC268" s="48" t="str">
        <f t="shared" ca="1" si="581"/>
        <v/>
      </c>
      <c r="DD268" s="48" t="str">
        <f t="shared" ca="1" si="582"/>
        <v/>
      </c>
      <c r="DE268" s="48" t="str">
        <f t="shared" ca="1" si="583"/>
        <v/>
      </c>
      <c r="DF268" s="48">
        <f ca="1">IF(AND(CX268=$DF$1,CX268&lt;&gt;""),0,IF(AND(DB268&lt;&gt;"",OR(DB267&lt;&gt;"",DB269&lt;&gt;"")),MAX($DF$2:DF267)+1,0))</f>
        <v>0</v>
      </c>
      <c r="DH268" s="244" t="s">
        <v>1109</v>
      </c>
      <c r="DI268" s="48" t="s">
        <v>1110</v>
      </c>
      <c r="DJ268" s="48" t="s">
        <v>311</v>
      </c>
      <c r="DK268" s="48" t="s">
        <v>275</v>
      </c>
      <c r="DL268" s="48" t="s">
        <v>7</v>
      </c>
      <c r="DM268" s="48" t="s">
        <v>301</v>
      </c>
      <c r="DN268" s="48">
        <f ca="1">IF(DI268&lt;&gt;"",MAX($DN$2:DN267)+1,0)</f>
        <v>209</v>
      </c>
      <c r="DO268" s="48" t="s">
        <v>706</v>
      </c>
      <c r="DQ268" s="227" t="s">
        <v>887</v>
      </c>
      <c r="DR268" s="48" t="s">
        <v>189</v>
      </c>
      <c r="DS268" s="48" t="s">
        <v>311</v>
      </c>
      <c r="DT268" s="48" t="s">
        <v>298</v>
      </c>
      <c r="DU268" s="48" t="s">
        <v>320</v>
      </c>
      <c r="DV268" s="48" t="s">
        <v>300</v>
      </c>
      <c r="DW268" s="48">
        <f ca="1">IF(DR268&lt;&gt;"",MAX($DW$2:DW267)+1,0)</f>
        <v>159</v>
      </c>
      <c r="DX268" s="48" t="s">
        <v>709</v>
      </c>
      <c r="DY268" s="48" t="str">
        <f t="shared" ca="1" si="558"/>
        <v/>
      </c>
      <c r="EL268" s="48">
        <f t="shared" ca="1" si="559"/>
        <v>0</v>
      </c>
      <c r="EM268" s="48">
        <f ca="1">IF(EL268&gt;=0,0,MAX($EM$2:EM267)+1)</f>
        <v>0</v>
      </c>
      <c r="EN268" s="48" t="str">
        <f t="shared" ca="1" si="569"/>
        <v/>
      </c>
      <c r="EO268" s="48" t="str">
        <f ca="1">IFERROR(INDEX($EM$3:$EN$400,MATCH(ROWS($EO$3:EO268),$EM$3:$EM$400,0),2),"")</f>
        <v/>
      </c>
      <c r="EP268" s="48">
        <f>ROW()</f>
        <v>268</v>
      </c>
      <c r="EQ268" s="48">
        <f t="shared" ca="1" si="560"/>
        <v>0</v>
      </c>
      <c r="ER268" s="48">
        <f ca="1">IF(ISNA(EQ268)=TRUE,MAX($ER$2:ER267)+1,0)</f>
        <v>0</v>
      </c>
      <c r="ES268" s="48" t="str">
        <f t="shared" ca="1" si="570"/>
        <v/>
      </c>
      <c r="ET268" s="48" t="str">
        <f ca="1">IFERROR(INDEX($ER$3:$ES$400,MATCH(ROWS($ET$3:ET268),$ER$3:$ER$400,0),2),"")</f>
        <v/>
      </c>
      <c r="EV268" s="48">
        <f ca="1">IFERROR(INDEX(LIBRO_GIORNALE!$O$11:$P$408,MATCH(ROWS($EV$2:EV267),LIBRO_GIORNALE!$P$11:$P$408,0),1),0)</f>
        <v>0</v>
      </c>
      <c r="EW268" s="48" t="str">
        <f t="shared" ca="1" si="544"/>
        <v>0</v>
      </c>
      <c r="EX268" s="48">
        <f t="shared" ca="1" si="571"/>
        <v>0</v>
      </c>
      <c r="EY268" s="48">
        <f ca="1">IF(EX268&gt;0,MAX($EY$2:EY267)+1,0)</f>
        <v>0</v>
      </c>
      <c r="EZ268" s="48">
        <f ca="1">IFERROR(INDEX($EX$3:$EX$400,MATCH(ROWS($EZ$3:EZ268),$EY$3:$EY$400,0),1),0)</f>
        <v>0</v>
      </c>
      <c r="FA268" s="48">
        <f ca="1">IF(EZ268&gt;0,0,MAX($FA$2:FA267)+1)</f>
        <v>266</v>
      </c>
      <c r="FB268" s="48">
        <f t="shared" ca="1" si="545"/>
        <v>0</v>
      </c>
      <c r="FC268" s="48">
        <f t="shared" ca="1" si="546"/>
        <v>266</v>
      </c>
      <c r="FD268" s="48">
        <f t="shared" ca="1" si="572"/>
        <v>266</v>
      </c>
      <c r="FE268" s="48">
        <f ca="1">IF(FD268=0,0,MAX($FE$2:FE267)+1)</f>
        <v>266</v>
      </c>
      <c r="FF268" s="48">
        <f ca="1">IFERROR(INDEX($FD$3:$FE$400,MATCH(ROWS($FF$3:FF268),$FE$3:$FE$400,0),1),"")</f>
        <v>266</v>
      </c>
      <c r="FG268" s="48">
        <f t="shared" ca="1" si="519"/>
        <v>0</v>
      </c>
      <c r="FH268" s="48">
        <f t="shared" ca="1" si="573"/>
        <v>0</v>
      </c>
      <c r="FI268" s="48">
        <f ca="1">IF(FH268&lt;&gt;0,MAX($FI$2:FI267)+1,0)</f>
        <v>0</v>
      </c>
      <c r="FJ268" s="48" t="str">
        <f ca="1">IFERROR(INDEX($FH$3:$FI$400,MATCH(ROWS($FJ$3:FJ268),$FI$3:$FI$400,0),1),"")</f>
        <v/>
      </c>
      <c r="FK268" s="48">
        <f ca="1">IF(ABS(SUMIFS(DARE,DEN_G,"="&amp;FJ268,DATA,"&lt;="&amp;FINE_AC,DATA,"&gt;="&amp;INIZIO_A_PC)-SUMIFS(AVERE,DEN_G,"="&amp;FJ268,DATA,"&lt;="&amp;FINE_AC,DATA,"&gt;="&amp;INIZIO_A_PC))&gt;0,MAX($FK$2:FK267)+1,0)</f>
        <v>0</v>
      </c>
      <c r="FL268" s="48" t="str">
        <f ca="1">IF(AND(ROW()-2&lt;&gt;1,ROW()-2&lt;=$FK$1),CONCATENATE(" - ",IFERROR(INDEX($FJ$3:$FK$400,MATCH(ROWS($FL$3:FL268),$FK$3:$FK$400,0),1),"")),IFERROR(INDEX($FJ$3:$FK$400,MATCH(ROWS($FL$3:FL268),$FK$3:$FK$400,0),1),""))</f>
        <v/>
      </c>
      <c r="FM268" s="48">
        <f ca="1">IF(OR(B268="IVA ns/credito",B268="IVA NS/DEBITO",B268="IVA C/ACCONTO",B268="IMPOSTE C/ACCONTO",B268="CREDITI PER RITENUTE SUBITE",B268="CREDITI D'IMPOSTA"),MAX($FM$2:FM267)+1,0)</f>
        <v>0</v>
      </c>
      <c r="FN268" s="48" t="str">
        <f t="shared" ca="1" si="574"/>
        <v/>
      </c>
      <c r="FO268" s="48" t="str">
        <f ca="1">IFERROR(INDEX($FM$3:$FN$400,MATCH(ROWS($FO$3:FO268),$FM$3:$FM$400,0),2),"")</f>
        <v/>
      </c>
      <c r="FP268" s="48">
        <f ca="1">IF(ABS(SUMIFS(DARE,DEN_G,"="&amp;FO268,DATA,"&lt;="&amp;FINE_AC,DATA,"&gt;="&amp;INIZIO_A_PC)-SUMIFS(AVERE,DEN_G,"="&amp;FO268,DATA,"&lt;="&amp;FINE_AC,DATA,"&gt;="&amp;INIZIO_A_PC))&gt;0,MAX($FP$2:FP267)+1,0)</f>
        <v>0</v>
      </c>
      <c r="FQ268" s="48" t="str">
        <f ca="1">IF(AND(ROW()-2&lt;&gt;1,ROW()-2&lt;=$FP$1),CONCATENATE(" - ",IFERROR(INDEX($FO$3:$FP$400,MATCH(ROWS($FQ$3:FQ268),$FP$3:$FP$400,0),1),"")),IFERROR(INDEX($FO$3:$FP$400,MATCH(ROWS($FQ$3:FQ268),$FP$3:$FP$400,0),1),""))</f>
        <v/>
      </c>
    </row>
    <row r="269" spans="1:173" x14ac:dyDescent="0.3">
      <c r="A269" s="48" t="str">
        <f ca="1">IFERROR(IF($A$1=2,INDEX($DH$3:$DN$401,MATCH(ROWS(A$3:A269),$DN$3:$DN$401,0),COLUMN()),IF($A$1=1,INDEX($DQ$3:$DW$401,MATCH(ROWS(A$3:A269),$DW$3:$DW$401,0),COLUMN()),"")),"")</f>
        <v>36.01</v>
      </c>
      <c r="B269" s="48" t="str">
        <f ca="1">IFERROR(IF($A$1=2,INDEX($DH$3:$DN$401,MATCH(ROWS(B$3:B269),$DN$3:$DN$401,0),COLUMN()),IF($A$1=1,INDEX($DQ$3:$DW$400,MATCH(ROWS(B$3:B269),$DW$3:$DW$401,0),COLUMN()),"")),"")</f>
        <v>SVALUTAZIONE TERRENI E FABBRICATI</v>
      </c>
      <c r="C269" s="48" t="str">
        <f ca="1">IFERROR(IF($A$1=2,INDEX($DH$3:$DN$401,MATCH(ROWS(C$3:C269),$DN$3:$DN$401,0),COLUMN()),IF($A$1=1,INDEX($DQ$3:$DW$401,MATCH(ROWS(C$3:C269),$DW$3:$DW$401,0),COLUMN()),"")),"")</f>
        <v>E</v>
      </c>
      <c r="D269" s="48" t="str">
        <f ca="1">IFERROR(IF($A$1=2,INDEX($DH$3:$DN$401,MATCH(ROWS(D$3:D269),$DN$3:$DN$401,0),COLUMN()),IF($A$1=1,INDEX($DQ$3:$DW$401,MATCH(ROWS(D$3:D269),$DW$3:$DW$401,0),COLUMN()),"")),"")</f>
        <v>D</v>
      </c>
      <c r="E269" s="48" t="str">
        <f ca="1">IFERROR(IF($A$1=2,INDEX($DH$3:$DN$401,MATCH(ROWS(E$3:E269),$DN$3:$DN$401,0),COLUMN()),IF($A$1=1,INDEX($DQ$3:$DW$401,MATCH(ROWS(E$3:E269),$DW$3:$DW$401,0),COLUMN()),"")),"")</f>
        <v>COSTI D'ESERCIZIO</v>
      </c>
      <c r="F269" s="48" t="str">
        <f ca="1">IFERROR(IF($A$1=2,INDEX($DH$3:$DN$401,MATCH(ROWS(F$3:F269),$DN$3:$DN$401,0),COLUMN()),IF($A$1=1,INDEX($DQ$3:$DX$401,MATCH(ROWS(F$3:F269),$DW$3:$DW$401,0),COLUMN()),"")),"")</f>
        <v>SE DARE</v>
      </c>
      <c r="G269" s="48" t="str">
        <f t="shared" ca="1" si="561"/>
        <v>SE</v>
      </c>
      <c r="H269" s="48" t="str">
        <f ca="1">IFERROR(IF($A$1=2,INDEX($DH$3:$DO$400,MATCH(ROWS(H$3:H269),$DN$3:$DN$400,0),COLUMN()),IF($A$1=1,INDEX($DQ$3:$DX$400,MATCH(ROWS(H$3:H269),$DW$3:$DW$400,0),COLUMN()),"")),"")</f>
        <v>eb10a</v>
      </c>
      <c r="M269" s="48">
        <f ca="1">IFERROR(IF(IF(MID($A269,3,3)=".00",MID(A269,1,2),"")&lt;&gt;"",MAX($M$2:M268)+1,0),"")</f>
        <v>0</v>
      </c>
      <c r="N269" s="48" t="str">
        <f t="shared" ca="1" si="562"/>
        <v/>
      </c>
      <c r="O269" s="48" t="str">
        <f ca="1">IF(IFERROR(INDEX($N$3:$O$300,MATCH(ROWS($O$3:O269),$M$3:$M$300,0),1),"")&lt;&gt;"",CONCATENATE(INDEX($N$3:$O$300,MATCH(ROWS($O$3:O269),$M$3:$M$300,0),1),".00"),"")</f>
        <v/>
      </c>
      <c r="P269" s="48" t="str">
        <f t="shared" ca="1" si="563"/>
        <v/>
      </c>
      <c r="Q269" s="48">
        <f ca="1">IF(M269&gt;=1,0,MAX($Q$2:Q268)+1)</f>
        <v>239</v>
      </c>
      <c r="U269" s="48" t="str">
        <f ca="1">IFERROR(INDEX(PDC,MATCH(ROWS(U$3:U269),$V$3:$V$400,0),2),"")</f>
        <v>INTERESSI ATTIVI POSTALI</v>
      </c>
      <c r="V269" s="48">
        <f ca="1">IF(AND($T$1="VISUALIZZA TUTTI I CONTI",AA269&lt;&gt;""),MAX($V$2:V268)+1,IF(AND($U$2=2,AI269=$T$1),MAX($V$2:V268)+1,IF(AND($U$2=1,$T$1=AF269),MAX($V$2:V268)+1,0)))</f>
        <v>267</v>
      </c>
      <c r="AA269" s="48" t="str">
        <f t="shared" ca="1" si="564"/>
        <v>40.00</v>
      </c>
      <c r="AB269" s="48" t="str">
        <f ca="1">IFERROR(INDEX($A$3:$G$400,MATCH(ROWS(AB$3:AB269),$Q$3:$Q$400,0),1),"")</f>
        <v>40.33</v>
      </c>
      <c r="AC269" s="48" t="str">
        <f ca="1">IFERROR(INDEX($A$3:$G$400,MATCH(ROWS($AC$3:AC269),$Q$3:$Q$400,0),2),"")</f>
        <v>INTERESSI ATTIVI POSTALI</v>
      </c>
      <c r="AD269" s="48" t="str">
        <f ca="1">IFERROR(INDEX($A$3:$G$400,MATCH(ROWS(AD$3:AD269),$Q$3:$Q$400,0),3),"")</f>
        <v>E</v>
      </c>
      <c r="AE269" s="48" t="str">
        <f ca="1">IFERROR(INDEX($A$3:$G$400,MATCH(ROWS(AE$3:AE269),$Q$3:$Q$400,0),4),"")</f>
        <v>A</v>
      </c>
      <c r="AF269" s="48" t="str">
        <f ca="1">IFERROR(INDEX($A$3:$G$400,MATCH(ROWS(AF$3:AF269),$Q$3:$Q$400,0),5),"")</f>
        <v>RICAVI D'ESERCIZIO</v>
      </c>
      <c r="AG269" s="48" t="str">
        <f ca="1">IFERROR(INDEX($A$3:$G$400,MATCH(ROWS(AG$3:AG269),$Q$3:$Q$400,0),6),"")</f>
        <v>SE AVERE</v>
      </c>
      <c r="AH269" s="48" t="str">
        <f ca="1">IFERROR(INDEX($A$3:$G$400,MATCH(ROWS(AH$3:AH269),$Q$3:$Q$400,0),7),"")</f>
        <v>SE</v>
      </c>
      <c r="AI269" s="48" t="str">
        <f t="shared" ca="1" si="565"/>
        <v>PROVENTI FINANZIARI</v>
      </c>
      <c r="AJ269" s="48" t="str">
        <f ca="1">IFERROR(INDEX($A$3:$H$400,MATCH(ROWS(AJ$3:AJ269),$Q$3:$Q$400,0),8),"")</f>
        <v>ec16d</v>
      </c>
      <c r="AK269" s="48">
        <f t="shared" ca="1" si="548"/>
        <v>0</v>
      </c>
      <c r="AL269" s="48">
        <f t="shared" ca="1" si="576"/>
        <v>0</v>
      </c>
      <c r="AM269" s="48">
        <f t="shared" ca="1" si="516"/>
        <v>0</v>
      </c>
      <c r="AN269" s="48">
        <f t="shared" ca="1" si="517"/>
        <v>0</v>
      </c>
      <c r="AO269" s="48">
        <f t="shared" ca="1" si="518"/>
        <v>0</v>
      </c>
      <c r="AP269" s="48">
        <f t="shared" ca="1" si="518"/>
        <v>0</v>
      </c>
      <c r="AZ269" s="48" t="str">
        <f t="shared" ca="1" si="584"/>
        <v/>
      </c>
      <c r="BA269" s="48">
        <f t="shared" ca="1" si="520"/>
        <v>0</v>
      </c>
      <c r="BB269" s="48">
        <f t="shared" ca="1" si="521"/>
        <v>0</v>
      </c>
      <c r="BC269" s="48">
        <f t="shared" ca="1" si="522"/>
        <v>0</v>
      </c>
      <c r="BD269" s="48">
        <f t="shared" ca="1" si="523"/>
        <v>0</v>
      </c>
      <c r="BE269" s="48">
        <f t="shared" ca="1" si="524"/>
        <v>0</v>
      </c>
      <c r="BF269" s="48">
        <f t="shared" si="585"/>
        <v>69</v>
      </c>
      <c r="BG269" s="48">
        <f ca="1">IF(IF(AND(OR(INDEX(PDC,MATCH($AC269,DEN_PDC,0),6)="SP DARE",INDEX(PDC,MATCH($AC269,DEN_PDC,0),6)="SP DARE/AVERE"),SUMIFS(DARE,DEN_G,$AC269)&gt;=SUMIFS(AVERE,DEN_G,$AC269)),SUMIFS(DARE,DEN_G,$AC269)-SUMIFS(AVERE,DEN_G,$AC269),0)&gt;0,MAX($BG$2:BG268)+1,0)</f>
        <v>0</v>
      </c>
      <c r="BH269" s="48">
        <f ca="1">IF(IF(AND(OR(INDEX(PDC,MATCH($AC269,DEN_PDC,0),6)="SP AVERE",INDEX(PDC,MATCH($AC269,DEN_PDC,0),6)="SP DARE/AVERE"),SUMIFS(AVERE,DEN_G,$AC269)&gt;=SUMIFS(DARE,DEN_G,$AC269)),SUMIFS(AVERE,DEN_G,$AC269)-SUMIFS(DARE,DEN_G,$AC269),0)&gt;0,MAX(BH$2:BH268)+1,0)</f>
        <v>0</v>
      </c>
      <c r="BI269" s="48">
        <f ca="1">IF(IF(AND(OR(INDEX(PDC,MATCH($AC269,DEN_PDC,0),6)="SE DARE",INDEX(PDC,MATCH($AC269,DEN_PDC,0),6)="SE DARE/AVERE"),SUMIFS(DARE,DEN_G,$AC269)&gt;=SUMIFS(AVERE,DEN_G,$AC269)),SUMIFS(DARE,DEN_G,$AC269)-SUMIFS(AVERE,DEN_G,$AC269),0)&gt;0,MAX(BI$2:BI268)+1,0)</f>
        <v>0</v>
      </c>
      <c r="BJ269" s="48">
        <f ca="1">IF(IF(AND(OR(INDEX(PDC,MATCH($AC269,DEN_PDC,0),6)="SE AVERE",INDEX(PDC,MATCH($AC269,DEN_PDC,0),6)="SE DARE/AVERE"),SUMIFS(AVERE,DEN_G,$AC269)&gt;=SUMIFS(DARE,DEN_G,$AC269)),SUMIFS(AVERE,DEN_G,$AC269)-SUMIFS(DARE,DEN_G,$AC269),0)&gt;0,MAX(BJ$2:BJ268)+1,0)</f>
        <v>0</v>
      </c>
      <c r="BK269" s="48" t="str">
        <f ca="1">IF(AND(AND($DY$2=0,$DY$1=0),$I$1=2,ROW()&gt;$BG$1+2,ROW()&lt;=$BG$1+4),"………………..",IF(AND(OR($DY$2&gt;0,$DY$1&gt;0),$I$1=2,ROW()&gt;$BG$1+2,ROW()&lt;=$BG$1+4),"………………..",IFERROR(INDEX($AC$3:$AC$398,MATCH(ROWS(BK$3:BK269),BG$3:BG$398,0),1),"")))</f>
        <v/>
      </c>
      <c r="BL269" s="48">
        <f t="shared" ca="1" si="549"/>
        <v>0</v>
      </c>
      <c r="BM269" s="48" t="str">
        <f ca="1">IF(AND(OR($DY$2=0,$DY$1=0),$I$1=2,ROW()&gt;$BH$1+2,ROW()&lt;=$BH$1+4),"………………..",IF(AND(OR($DY$2&gt;0,$DY$1&gt;0),$I$1=2,ROW()&gt;$BH$1+2,ROW()&lt;=$BH$1+4),"………………..",IFERROR(INDEX($AC$3:$AC$400,MATCH(ROWS(BM$3:BM269),BH$3:BH$400,0),1),"")))</f>
        <v/>
      </c>
      <c r="BN269" s="48">
        <f t="shared" ca="1" si="550"/>
        <v>0</v>
      </c>
      <c r="BO269" s="48" t="str">
        <f ca="1">IF(AND(OR($DY$2=0,$DY$1=0),$I$1=2,ROW()&gt;$BI$1+2,ROW()&lt;=$BI$1+4),"………………..",IF(AND(OR($DY$2&gt;0,$DY$1&gt;0),$I$1=2,ROW()&gt;$BI$1+2,ROW()&lt;=$BI$1+4),"………………..",IFERROR(INDEX($AC$3:$AC$400,MATCH(ROWS(BO$3:BO269),BI$3:BI$400,0),1),"")))</f>
        <v/>
      </c>
      <c r="BP269" s="48">
        <f t="shared" ca="1" si="551"/>
        <v>0</v>
      </c>
      <c r="BQ269" s="48" t="str">
        <f ca="1">IF(AND(OR($DY$2=0,$DY$1=0),$I$1=2,ROW()&gt;$BJ$1+2,ROW()&lt;=$BJ$1+4),"………………..",IF(AND(OR($DY$2&gt;0,$DY$1&gt;0),$I$1=2,ROW()&gt;$BJ$1+2,ROW()&lt;=$BJ$1+4),"………………..",IFERROR(INDEX($AC$3:$AC$400,MATCH(ROWS(BQ$3:BQ269),BJ$3:BJ$400,0),1),"")))</f>
        <v/>
      </c>
      <c r="BR269" s="48">
        <f t="shared" ca="1" si="552"/>
        <v>0</v>
      </c>
      <c r="BS269" s="48">
        <f ca="1">IF(IF(AND(OR(INDEX(PDC,MATCH($AC269,DEN_PDC,0),4)="D",INDEX(PDC,MATCH($AC269,DEN_PDC,0),4)="D/A"),SUMIFS(DARE,DEN_G,$AC269)&gt;=SUMIFS(AVERE,DEN_G,$AC269)),SUMIFS(DARE,DEN_G,$AC269),IF(AND(OR(INDEX(PDC,MATCH($AC269,DEN_PDC,0),4)="A",INDEX(PDC,MATCH($AC269,DEN_PDC,0),4)="D/A"),SUMIFS(AVERE,DEN_G,$AC269)&gt;=SUMIFS(DARE,DEN_G,$AC269)),SUMIFS(AVERE,DEN_G,$AC269),))&gt;0,MAX($BS$2:BS268)+1,0)</f>
        <v>0</v>
      </c>
      <c r="BT269" s="48" t="str">
        <f ca="1">IF($CO$1=0,"",IF(AND($I$1=2,ROW()&gt;$BR$1,ROW()&lt;=$BS$1)," …………….",IF(AND($E$1=1,$BX$1=1,$I$1=2,ROW()=$BQ$1),"TOTALI",IFERROR(INDEX(PDC,MATCH(ROWS(BT$3:BT269),BS$3:BS666,0),2),""))))</f>
        <v/>
      </c>
      <c r="BU269" s="48">
        <f t="shared" ca="1" si="553"/>
        <v>0</v>
      </c>
      <c r="BV269" s="48">
        <f t="shared" ca="1" si="554"/>
        <v>0</v>
      </c>
      <c r="BW269" s="48">
        <f t="shared" ca="1" si="555"/>
        <v>0</v>
      </c>
      <c r="BX269" s="48">
        <f t="shared" ca="1" si="556"/>
        <v>0</v>
      </c>
      <c r="BY269" s="48">
        <f ca="1">IF(OR(BW269&gt;0,BX269&gt;0),MAX($BY$2:BY268)+1,0)</f>
        <v>0</v>
      </c>
      <c r="BZ269" s="48" t="str">
        <f ca="1">IFERROR(INDEX($BT$3:$BY$400,MATCH(ROWS(BZ$3:BZ269),$BY$3:$BY$400,0),1),"")</f>
        <v/>
      </c>
      <c r="CA269" s="48" t="str">
        <f ca="1">IFERROR(INDEX($BT$3:$BY$400,MATCH(ROWS(CA$3:CA269),$BY$3:$BY$400,0),4),"")</f>
        <v/>
      </c>
      <c r="CB269" s="48" t="str">
        <f ca="1">IFERROR(INDEX($BT$3:$BY$400,MATCH(ROWS(CB$3:CB269),$BY$3:$BY$400,0),5),"")</f>
        <v/>
      </c>
      <c r="CC269" s="48" t="str">
        <f t="shared" ca="1" si="557"/>
        <v/>
      </c>
      <c r="CM269" s="242" t="str">
        <f t="shared" ca="1" si="566"/>
        <v/>
      </c>
      <c r="CN269" s="243">
        <f t="shared" ca="1" si="567"/>
        <v>0</v>
      </c>
      <c r="CO269" s="48" t="str">
        <f t="shared" ca="1" si="568"/>
        <v/>
      </c>
      <c r="CU269" s="48">
        <f ca="1">IF(SUMIFS(AVERE,DEN_G,AC269,AVERE,"&gt;"&amp;0)+SUMIFS(DARE,DEN_G,AC269,DARE,"&gt;"&amp;0)&gt;0,MAX($CU$2:CU268)+1,0)</f>
        <v>0</v>
      </c>
      <c r="CV269" s="48" t="str">
        <f ca="1">IF(IFERROR(INDEX(PDC,MATCH(ROWS($CV$3:CV269),$CU$3:$CU$400,0),2),"")="CONTO DI RISULTATO ECONOMICO","",IFERROR(INDEX(PDC,MATCH(ROWS($CV$3:CV269),$CU$3:$CU$400,0),2),""))</f>
        <v/>
      </c>
      <c r="CW269" s="48">
        <f ca="1">IFERROR(IF(CV269&lt;&gt;"",MAX($CW$2:CW268)+1,0),0)</f>
        <v>0</v>
      </c>
      <c r="CX269" s="48">
        <f t="shared" ca="1" si="578"/>
        <v>21</v>
      </c>
      <c r="CY269" s="48" t="str">
        <f t="shared" ca="1" si="577"/>
        <v>MASTRO</v>
      </c>
      <c r="CZ269" s="48" t="e">
        <f t="shared" ca="1" si="580"/>
        <v>#N/A</v>
      </c>
      <c r="DA269" s="48" t="str">
        <f t="shared" ca="1" si="586"/>
        <v/>
      </c>
      <c r="DB269" s="48" t="str">
        <f t="shared" ca="1" si="499"/>
        <v/>
      </c>
      <c r="DC269" s="48" t="str">
        <f t="shared" ca="1" si="581"/>
        <v/>
      </c>
      <c r="DD269" s="48" t="str">
        <f t="shared" ca="1" si="582"/>
        <v/>
      </c>
      <c r="DE269" s="48" t="str">
        <f t="shared" ca="1" si="583"/>
        <v/>
      </c>
      <c r="DF269" s="48">
        <f ca="1">IF(AND(CX269=$DF$1,CX269&lt;&gt;""),0,IF(AND(DB269&lt;&gt;"",OR(DB268&lt;&gt;"",DB270&lt;&gt;"")),MAX($DF$2:DF268)+1,0))</f>
        <v>0</v>
      </c>
      <c r="DH269" s="244" t="s">
        <v>935</v>
      </c>
      <c r="DI269" s="48" t="s">
        <v>703</v>
      </c>
      <c r="DJ269" s="48" t="s">
        <v>311</v>
      </c>
      <c r="DK269" s="48" t="s">
        <v>298</v>
      </c>
      <c r="DL269" s="48" t="s">
        <v>320</v>
      </c>
      <c r="DM269" s="48" t="s">
        <v>300</v>
      </c>
      <c r="DN269" s="48">
        <f ca="1">IF(DI269&lt;&gt;"",MAX($DN$2:DN268)+1,0)</f>
        <v>210</v>
      </c>
      <c r="DO269" s="48" t="s">
        <v>706</v>
      </c>
      <c r="DQ269" s="227" t="s">
        <v>888</v>
      </c>
      <c r="DR269" s="48" t="s">
        <v>886</v>
      </c>
      <c r="DS269" s="48" t="s">
        <v>311</v>
      </c>
      <c r="DT269" s="48" t="s">
        <v>298</v>
      </c>
      <c r="DU269" s="48" t="s">
        <v>320</v>
      </c>
      <c r="DV269" s="48" t="s">
        <v>300</v>
      </c>
      <c r="DW269" s="48">
        <f ca="1">IF(DR269&lt;&gt;"",MAX($DW$2:DW268)+1,0)</f>
        <v>160</v>
      </c>
      <c r="DX269" s="48" t="s">
        <v>709</v>
      </c>
      <c r="DY269" s="48" t="str">
        <f t="shared" ca="1" si="558"/>
        <v/>
      </c>
      <c r="EL269" s="48">
        <f t="shared" ca="1" si="559"/>
        <v>0</v>
      </c>
      <c r="EM269" s="48">
        <f ca="1">IF(EL269&gt;=0,0,MAX($EM$2:EM268)+1)</f>
        <v>0</v>
      </c>
      <c r="EN269" s="48" t="str">
        <f t="shared" ca="1" si="569"/>
        <v/>
      </c>
      <c r="EO269" s="48" t="str">
        <f ca="1">IFERROR(INDEX($EM$3:$EN$400,MATCH(ROWS($EO$3:EO269),$EM$3:$EM$400,0),2),"")</f>
        <v/>
      </c>
      <c r="EP269" s="48">
        <f>ROW()</f>
        <v>269</v>
      </c>
      <c r="EQ269" s="48">
        <f t="shared" ca="1" si="560"/>
        <v>0</v>
      </c>
      <c r="ER269" s="48">
        <f ca="1">IF(ISNA(EQ269)=TRUE,MAX($ER$2:ER268)+1,0)</f>
        <v>0</v>
      </c>
      <c r="ES269" s="48" t="str">
        <f t="shared" ca="1" si="570"/>
        <v/>
      </c>
      <c r="ET269" s="48" t="str">
        <f ca="1">IFERROR(INDEX($ER$3:$ES$400,MATCH(ROWS($ET$3:ET269),$ER$3:$ER$400,0),2),"")</f>
        <v/>
      </c>
      <c r="EV269" s="48">
        <f ca="1">IFERROR(INDEX(LIBRO_GIORNALE!$O$11:$P$408,MATCH(ROWS($EV$2:EV268),LIBRO_GIORNALE!$P$11:$P$408,0),1),0)</f>
        <v>0</v>
      </c>
      <c r="EW269" s="48" t="str">
        <f t="shared" ca="1" si="544"/>
        <v>0</v>
      </c>
      <c r="EX269" s="48">
        <f t="shared" ca="1" si="571"/>
        <v>0</v>
      </c>
      <c r="EY269" s="48">
        <f ca="1">IF(EX269&gt;0,MAX($EY$2:EY268)+1,0)</f>
        <v>0</v>
      </c>
      <c r="EZ269" s="48">
        <f ca="1">IFERROR(INDEX($EX$3:$EX$400,MATCH(ROWS($EZ$3:EZ269),$EY$3:$EY$400,0),1),0)</f>
        <v>0</v>
      </c>
      <c r="FA269" s="48">
        <f ca="1">IF(EZ269&gt;0,0,MAX($FA$2:FA268)+1)</f>
        <v>267</v>
      </c>
      <c r="FB269" s="48">
        <f t="shared" ca="1" si="545"/>
        <v>0</v>
      </c>
      <c r="FC269" s="48">
        <f t="shared" ca="1" si="546"/>
        <v>267</v>
      </c>
      <c r="FD269" s="48">
        <f t="shared" ca="1" si="572"/>
        <v>267</v>
      </c>
      <c r="FE269" s="48">
        <f ca="1">IF(FD269=0,0,MAX($FE$2:FE268)+1)</f>
        <v>267</v>
      </c>
      <c r="FF269" s="48">
        <f ca="1">IFERROR(INDEX($FD$3:$FE$400,MATCH(ROWS($FF$3:FF269),$FE$3:$FE$400,0),1),"")</f>
        <v>267</v>
      </c>
      <c r="FG269" s="48">
        <f t="shared" ca="1" si="519"/>
        <v>0</v>
      </c>
      <c r="FH269" s="48">
        <f t="shared" ca="1" si="573"/>
        <v>0</v>
      </c>
      <c r="FI269" s="48">
        <f ca="1">IF(FH269&lt;&gt;0,MAX($FI$2:FI268)+1,0)</f>
        <v>0</v>
      </c>
      <c r="FJ269" s="48" t="str">
        <f ca="1">IFERROR(INDEX($FH$3:$FI$400,MATCH(ROWS($FJ$3:FJ269),$FI$3:$FI$400,0),1),"")</f>
        <v/>
      </c>
      <c r="FK269" s="48">
        <f ca="1">IF(ABS(SUMIFS(DARE,DEN_G,"="&amp;FJ269,DATA,"&lt;="&amp;FINE_AC,DATA,"&gt;="&amp;INIZIO_A_PC)-SUMIFS(AVERE,DEN_G,"="&amp;FJ269,DATA,"&lt;="&amp;FINE_AC,DATA,"&gt;="&amp;INIZIO_A_PC))&gt;0,MAX($FK$2:FK268)+1,0)</f>
        <v>0</v>
      </c>
      <c r="FL269" s="48" t="str">
        <f ca="1">IF(AND(ROW()-2&lt;&gt;1,ROW()-2&lt;=$FK$1),CONCATENATE(" - ",IFERROR(INDEX($FJ$3:$FK$400,MATCH(ROWS($FL$3:FL269),$FK$3:$FK$400,0),1),"")),IFERROR(INDEX($FJ$3:$FK$400,MATCH(ROWS($FL$3:FL269),$FK$3:$FK$400,0),1),""))</f>
        <v/>
      </c>
      <c r="FM269" s="48">
        <f ca="1">IF(OR(B269="IVA ns/credito",B269="IVA NS/DEBITO",B269="IVA C/ACCONTO",B269="IMPOSTE C/ACCONTO",B269="CREDITI PER RITENUTE SUBITE",B269="CREDITI D'IMPOSTA"),MAX($FM$2:FM268)+1,0)</f>
        <v>0</v>
      </c>
      <c r="FN269" s="48" t="str">
        <f t="shared" ca="1" si="574"/>
        <v/>
      </c>
      <c r="FO269" s="48" t="str">
        <f ca="1">IFERROR(INDEX($FM$3:$FN$400,MATCH(ROWS($FO$3:FO269),$FM$3:$FM$400,0),2),"")</f>
        <v/>
      </c>
      <c r="FP269" s="48">
        <f ca="1">IF(ABS(SUMIFS(DARE,DEN_G,"="&amp;FO269,DATA,"&lt;="&amp;FINE_AC,DATA,"&gt;="&amp;INIZIO_A_PC)-SUMIFS(AVERE,DEN_G,"="&amp;FO269,DATA,"&lt;="&amp;FINE_AC,DATA,"&gt;="&amp;INIZIO_A_PC))&gt;0,MAX($FP$2:FP268)+1,0)</f>
        <v>0</v>
      </c>
      <c r="FQ269" s="48" t="str">
        <f ca="1">IF(AND(ROW()-2&lt;&gt;1,ROW()-2&lt;=$FP$1),CONCATENATE(" - ",IFERROR(INDEX($FO$3:$FP$400,MATCH(ROWS($FQ$3:FQ269),$FP$3:$FP$400,0),1),"")),IFERROR(INDEX($FO$3:$FP$400,MATCH(ROWS($FQ$3:FQ269),$FP$3:$FP$400,0),1),""))</f>
        <v/>
      </c>
    </row>
    <row r="270" spans="1:173" x14ac:dyDescent="0.3">
      <c r="A270" s="48" t="str">
        <f ca="1">IFERROR(IF($A$1=2,INDEX($DH$3:$DN$401,MATCH(ROWS(A$3:A270),$DN$3:$DN$401,0),COLUMN()),IF($A$1=1,INDEX($DQ$3:$DW$401,MATCH(ROWS(A$3:A270),$DW$3:$DW$401,0),COLUMN()),"")),"")</f>
        <v>36.02</v>
      </c>
      <c r="B270" s="48" t="str">
        <f ca="1">IFERROR(IF($A$1=2,INDEX($DH$3:$DN$401,MATCH(ROWS(B$3:B270),$DN$3:$DN$401,0),COLUMN()),IF($A$1=1,INDEX($DQ$3:$DW$400,MATCH(ROWS(B$3:B270),$DW$3:$DW$401,0),COLUMN()),"")),"")</f>
        <v>SVALUTAZIONE IMPIANTI E MACCHINARI</v>
      </c>
      <c r="C270" s="48" t="str">
        <f ca="1">IFERROR(IF($A$1=2,INDEX($DH$3:$DN$401,MATCH(ROWS(C$3:C270),$DN$3:$DN$401,0),COLUMN()),IF($A$1=1,INDEX($DQ$3:$DW$401,MATCH(ROWS(C$3:C270),$DW$3:$DW$401,0),COLUMN()),"")),"")</f>
        <v>E</v>
      </c>
      <c r="D270" s="48" t="str">
        <f ca="1">IFERROR(IF($A$1=2,INDEX($DH$3:$DN$401,MATCH(ROWS(D$3:D270),$DN$3:$DN$401,0),COLUMN()),IF($A$1=1,INDEX($DQ$3:$DW$401,MATCH(ROWS(D$3:D270),$DW$3:$DW$401,0),COLUMN()),"")),"")</f>
        <v>D</v>
      </c>
      <c r="E270" s="48" t="str">
        <f ca="1">IFERROR(IF($A$1=2,INDEX($DH$3:$DN$401,MATCH(ROWS(E$3:E270),$DN$3:$DN$401,0),COLUMN()),IF($A$1=1,INDEX($DQ$3:$DW$401,MATCH(ROWS(E$3:E270),$DW$3:$DW$401,0),COLUMN()),"")),"")</f>
        <v>COSTI D'ESERCIZIO</v>
      </c>
      <c r="F270" s="48" t="str">
        <f ca="1">IFERROR(IF($A$1=2,INDEX($DH$3:$DN$401,MATCH(ROWS(F$3:F270),$DN$3:$DN$401,0),COLUMN()),IF($A$1=1,INDEX($DQ$3:$DX$401,MATCH(ROWS(F$3:F270),$DW$3:$DW$401,0),COLUMN()),"")),"")</f>
        <v>SE DARE</v>
      </c>
      <c r="G270" s="48" t="str">
        <f t="shared" ca="1" si="561"/>
        <v>SE</v>
      </c>
      <c r="H270" s="48" t="str">
        <f ca="1">IFERROR(IF($A$1=2,INDEX($DH$3:$DO$400,MATCH(ROWS(H$3:H270),$DN$3:$DN$400,0),COLUMN()),IF($A$1=1,INDEX($DQ$3:$DX$400,MATCH(ROWS(H$3:H270),$DW$3:$DW$400,0),COLUMN()),"")),"")</f>
        <v>eb10a</v>
      </c>
      <c r="M270" s="48">
        <f ca="1">IFERROR(IF(IF(MID($A270,3,3)=".00",MID(A270,1,2),"")&lt;&gt;"",MAX($M$2:M269)+1,0),"")</f>
        <v>0</v>
      </c>
      <c r="N270" s="48" t="str">
        <f t="shared" ca="1" si="562"/>
        <v/>
      </c>
      <c r="O270" s="48" t="str">
        <f ca="1">IF(IFERROR(INDEX($N$3:$O$300,MATCH(ROWS($O$3:O270),$M$3:$M$300,0),1),"")&lt;&gt;"",CONCATENATE(INDEX($N$3:$O$300,MATCH(ROWS($O$3:O270),$M$3:$M$300,0),1),".00"),"")</f>
        <v/>
      </c>
      <c r="P270" s="48" t="str">
        <f t="shared" ca="1" si="563"/>
        <v/>
      </c>
      <c r="Q270" s="48">
        <f ca="1">IF(M270&gt;=1,0,MAX($Q$2:Q269)+1)</f>
        <v>240</v>
      </c>
      <c r="U270" s="48" t="str">
        <f ca="1">IFERROR(INDEX(PDC,MATCH(ROWS(U$3:U270),$V$3:$V$400,0),2),"")</f>
        <v>INTERESSI ATTIVI DA SOCI</v>
      </c>
      <c r="V270" s="48">
        <f ca="1">IF(AND($T$1="VISUALIZZA TUTTI I CONTI",AA270&lt;&gt;""),MAX($V$2:V269)+1,IF(AND($U$2=2,AI270=$T$1),MAX($V$2:V269)+1,IF(AND($U$2=1,$T$1=AF270),MAX($V$2:V269)+1,0)))</f>
        <v>268</v>
      </c>
      <c r="AA270" s="48" t="str">
        <f t="shared" ca="1" si="564"/>
        <v>40.00</v>
      </c>
      <c r="AB270" s="48" t="str">
        <f ca="1">IFERROR(INDEX($A$3:$G$400,MATCH(ROWS(AB$3:AB270),$Q$3:$Q$400,0),1),"")</f>
        <v>40.34</v>
      </c>
      <c r="AC270" s="48" t="str">
        <f ca="1">IFERROR(INDEX($A$3:$G$400,MATCH(ROWS($AC$3:AC270),$Q$3:$Q$400,0),2),"")</f>
        <v>INTERESSI ATTIVI DA SOCI</v>
      </c>
      <c r="AD270" s="48" t="str">
        <f ca="1">IFERROR(INDEX($A$3:$G$400,MATCH(ROWS(AD$3:AD270),$Q$3:$Q$400,0),3),"")</f>
        <v>E</v>
      </c>
      <c r="AE270" s="48" t="str">
        <f ca="1">IFERROR(INDEX($A$3:$G$400,MATCH(ROWS(AE$3:AE270),$Q$3:$Q$400,0),4),"")</f>
        <v>A</v>
      </c>
      <c r="AF270" s="48" t="str">
        <f ca="1">IFERROR(INDEX($A$3:$G$400,MATCH(ROWS(AF$3:AF270),$Q$3:$Q$400,0),5),"")</f>
        <v>RICAVI D'ESERCIZIO</v>
      </c>
      <c r="AG270" s="48" t="str">
        <f ca="1">IFERROR(INDEX($A$3:$G$400,MATCH(ROWS(AG$3:AG270),$Q$3:$Q$400,0),6),"")</f>
        <v>SE AVERE</v>
      </c>
      <c r="AH270" s="48" t="str">
        <f ca="1">IFERROR(INDEX($A$3:$G$400,MATCH(ROWS(AH$3:AH270),$Q$3:$Q$400,0),7),"")</f>
        <v>SE</v>
      </c>
      <c r="AI270" s="48" t="str">
        <f t="shared" ca="1" si="565"/>
        <v>PROVENTI FINANZIARI</v>
      </c>
      <c r="AJ270" s="48" t="str">
        <f ca="1">IFERROR(INDEX($A$3:$H$400,MATCH(ROWS(AJ$3:AJ270),$Q$3:$Q$400,0),8),"")</f>
        <v>ec16d</v>
      </c>
      <c r="AK270" s="48">
        <f t="shared" ca="1" si="548"/>
        <v>0</v>
      </c>
      <c r="AL270" s="48">
        <f t="shared" ca="1" si="576"/>
        <v>0</v>
      </c>
      <c r="AM270" s="48">
        <f t="shared" ca="1" si="516"/>
        <v>0</v>
      </c>
      <c r="AN270" s="48">
        <f t="shared" ca="1" si="517"/>
        <v>0</v>
      </c>
      <c r="AO270" s="48">
        <f t="shared" ca="1" si="518"/>
        <v>0</v>
      </c>
      <c r="AP270" s="48">
        <f t="shared" ca="1" si="518"/>
        <v>0</v>
      </c>
      <c r="AZ270" s="48" t="str">
        <f t="shared" ca="1" si="584"/>
        <v/>
      </c>
      <c r="BA270" s="48">
        <f t="shared" ca="1" si="520"/>
        <v>0</v>
      </c>
      <c r="BB270" s="48">
        <f t="shared" ca="1" si="521"/>
        <v>0</v>
      </c>
      <c r="BC270" s="48">
        <f t="shared" ca="1" si="522"/>
        <v>0</v>
      </c>
      <c r="BD270" s="48">
        <f t="shared" ca="1" si="523"/>
        <v>0</v>
      </c>
      <c r="BE270" s="48">
        <f t="shared" ca="1" si="524"/>
        <v>0</v>
      </c>
      <c r="BF270" s="48">
        <f t="shared" si="585"/>
        <v>70</v>
      </c>
      <c r="BG270" s="48">
        <f ca="1">IF(IF(AND(OR(INDEX(PDC,MATCH($AC270,DEN_PDC,0),6)="SP DARE",INDEX(PDC,MATCH($AC270,DEN_PDC,0),6)="SP DARE/AVERE"),SUMIFS(DARE,DEN_G,$AC270)&gt;=SUMIFS(AVERE,DEN_G,$AC270)),SUMIFS(DARE,DEN_G,$AC270)-SUMIFS(AVERE,DEN_G,$AC270),0)&gt;0,MAX($BG$2:BG269)+1,0)</f>
        <v>0</v>
      </c>
      <c r="BH270" s="48">
        <f ca="1">IF(IF(AND(OR(INDEX(PDC,MATCH($AC270,DEN_PDC,0),6)="SP AVERE",INDEX(PDC,MATCH($AC270,DEN_PDC,0),6)="SP DARE/AVERE"),SUMIFS(AVERE,DEN_G,$AC270)&gt;=SUMIFS(DARE,DEN_G,$AC270)),SUMIFS(AVERE,DEN_G,$AC270)-SUMIFS(DARE,DEN_G,$AC270),0)&gt;0,MAX(BH$2:BH269)+1,0)</f>
        <v>0</v>
      </c>
      <c r="BI270" s="48">
        <f ca="1">IF(IF(AND(OR(INDEX(PDC,MATCH($AC270,DEN_PDC,0),6)="SE DARE",INDEX(PDC,MATCH($AC270,DEN_PDC,0),6)="SE DARE/AVERE"),SUMIFS(DARE,DEN_G,$AC270)&gt;=SUMIFS(AVERE,DEN_G,$AC270)),SUMIFS(DARE,DEN_G,$AC270)-SUMIFS(AVERE,DEN_G,$AC270),0)&gt;0,MAX(BI$2:BI269)+1,0)</f>
        <v>0</v>
      </c>
      <c r="BJ270" s="48">
        <f ca="1">IF(IF(AND(OR(INDEX(PDC,MATCH($AC270,DEN_PDC,0),6)="SE AVERE",INDEX(PDC,MATCH($AC270,DEN_PDC,0),6)="SE DARE/AVERE"),SUMIFS(AVERE,DEN_G,$AC270)&gt;=SUMIFS(DARE,DEN_G,$AC270)),SUMIFS(AVERE,DEN_G,$AC270)-SUMIFS(DARE,DEN_G,$AC270),0)&gt;0,MAX(BJ$2:BJ269)+1,0)</f>
        <v>0</v>
      </c>
      <c r="BK270" s="48" t="str">
        <f ca="1">IF(AND(AND($DY$2=0,$DY$1=0),$I$1=2,ROW()&gt;$BG$1+2,ROW()&lt;=$BG$1+4),"………………..",IF(AND(OR($DY$2&gt;0,$DY$1&gt;0),$I$1=2,ROW()&gt;$BG$1+2,ROW()&lt;=$BG$1+4),"………………..",IFERROR(INDEX($AC$3:$AC$398,MATCH(ROWS(BK$3:BK270),BG$3:BG$398,0),1),"")))</f>
        <v/>
      </c>
      <c r="BL270" s="48">
        <f t="shared" ca="1" si="549"/>
        <v>0</v>
      </c>
      <c r="BM270" s="48" t="str">
        <f ca="1">IF(AND(OR($DY$2=0,$DY$1=0),$I$1=2,ROW()&gt;$BH$1+2,ROW()&lt;=$BH$1+4),"………………..",IF(AND(OR($DY$2&gt;0,$DY$1&gt;0),$I$1=2,ROW()&gt;$BH$1+2,ROW()&lt;=$BH$1+4),"………………..",IFERROR(INDEX($AC$3:$AC$400,MATCH(ROWS(BM$3:BM270),BH$3:BH$400,0),1),"")))</f>
        <v/>
      </c>
      <c r="BN270" s="48">
        <f t="shared" ca="1" si="550"/>
        <v>0</v>
      </c>
      <c r="BO270" s="48" t="str">
        <f ca="1">IF(AND(OR($DY$2=0,$DY$1=0),$I$1=2,ROW()&gt;$BI$1+2,ROW()&lt;=$BI$1+4),"………………..",IF(AND(OR($DY$2&gt;0,$DY$1&gt;0),$I$1=2,ROW()&gt;$BI$1+2,ROW()&lt;=$BI$1+4),"………………..",IFERROR(INDEX($AC$3:$AC$400,MATCH(ROWS(BO$3:BO270),BI$3:BI$400,0),1),"")))</f>
        <v/>
      </c>
      <c r="BP270" s="48">
        <f t="shared" ca="1" si="551"/>
        <v>0</v>
      </c>
      <c r="BQ270" s="48" t="str">
        <f ca="1">IF(AND(OR($DY$2=0,$DY$1=0),$I$1=2,ROW()&gt;$BJ$1+2,ROW()&lt;=$BJ$1+4),"………………..",IF(AND(OR($DY$2&gt;0,$DY$1&gt;0),$I$1=2,ROW()&gt;$BJ$1+2,ROW()&lt;=$BJ$1+4),"………………..",IFERROR(INDEX($AC$3:$AC$400,MATCH(ROWS(BQ$3:BQ270),BJ$3:BJ$400,0),1),"")))</f>
        <v/>
      </c>
      <c r="BR270" s="48">
        <f t="shared" ca="1" si="552"/>
        <v>0</v>
      </c>
      <c r="BS270" s="48">
        <f ca="1">IF(IF(AND(OR(INDEX(PDC,MATCH($AC270,DEN_PDC,0),4)="D",INDEX(PDC,MATCH($AC270,DEN_PDC,0),4)="D/A"),SUMIFS(DARE,DEN_G,$AC270)&gt;=SUMIFS(AVERE,DEN_G,$AC270)),SUMIFS(DARE,DEN_G,$AC270),IF(AND(OR(INDEX(PDC,MATCH($AC270,DEN_PDC,0),4)="A",INDEX(PDC,MATCH($AC270,DEN_PDC,0),4)="D/A"),SUMIFS(AVERE,DEN_G,$AC270)&gt;=SUMIFS(DARE,DEN_G,$AC270)),SUMIFS(AVERE,DEN_G,$AC270),))&gt;0,MAX($BS$2:BS269)+1,0)</f>
        <v>0</v>
      </c>
      <c r="BT270" s="48" t="str">
        <f ca="1">IF($CO$1=0,"",IF(AND($I$1=2,ROW()&gt;$BR$1,ROW()&lt;=$BS$1)," …………….",IF(AND($E$1=1,$BX$1=1,$I$1=2,ROW()=$BQ$1),"TOTALI",IFERROR(INDEX(PDC,MATCH(ROWS(BT$3:BT270),BS$3:BS667,0),2),""))))</f>
        <v/>
      </c>
      <c r="BU270" s="48">
        <f t="shared" ca="1" si="553"/>
        <v>0</v>
      </c>
      <c r="BV270" s="48">
        <f t="shared" ca="1" si="554"/>
        <v>0</v>
      </c>
      <c r="BW270" s="48">
        <f t="shared" ca="1" si="555"/>
        <v>0</v>
      </c>
      <c r="BX270" s="48">
        <f t="shared" ca="1" si="556"/>
        <v>0</v>
      </c>
      <c r="BY270" s="48">
        <f ca="1">IF(OR(BW270&gt;0,BX270&gt;0),MAX($BY$2:BY269)+1,0)</f>
        <v>0</v>
      </c>
      <c r="BZ270" s="48" t="str">
        <f ca="1">IFERROR(INDEX($BT$3:$BY$400,MATCH(ROWS(BZ$3:BZ270),$BY$3:$BY$400,0),1),"")</f>
        <v/>
      </c>
      <c r="CA270" s="48" t="str">
        <f ca="1">IFERROR(INDEX($BT$3:$BY$400,MATCH(ROWS(CA$3:CA270),$BY$3:$BY$400,0),4),"")</f>
        <v/>
      </c>
      <c r="CB270" s="48" t="str">
        <f ca="1">IFERROR(INDEX($BT$3:$BY$400,MATCH(ROWS(CB$3:CB270),$BY$3:$BY$400,0),5),"")</f>
        <v/>
      </c>
      <c r="CC270" s="48" t="str">
        <f t="shared" ca="1" si="557"/>
        <v/>
      </c>
      <c r="CM270" s="242" t="str">
        <f t="shared" ca="1" si="566"/>
        <v/>
      </c>
      <c r="CN270" s="243">
        <f t="shared" ca="1" si="567"/>
        <v>0</v>
      </c>
      <c r="CO270" s="48" t="str">
        <f t="shared" ca="1" si="568"/>
        <v/>
      </c>
      <c r="CU270" s="48">
        <f ca="1">IF(SUMIFS(AVERE,DEN_G,AC270,AVERE,"&gt;"&amp;0)+SUMIFS(DARE,DEN_G,AC270,DARE,"&gt;"&amp;0)&gt;0,MAX($CU$2:CU269)+1,0)</f>
        <v>0</v>
      </c>
      <c r="CV270" s="48" t="str">
        <f ca="1">IF(IFERROR(INDEX(PDC,MATCH(ROWS($CV$3:CV270),$CU$3:$CU$400,0),2),"")="CONTO DI RISULTATO ECONOMICO","",IFERROR(INDEX(PDC,MATCH(ROWS($CV$3:CV270),$CU$3:$CU$400,0),2),""))</f>
        <v/>
      </c>
      <c r="CW270" s="48">
        <f ca="1">IFERROR(IF(CV270&lt;&gt;"",MAX($CW$2:CW269)+1,0),0)</f>
        <v>0</v>
      </c>
      <c r="CX270" s="48">
        <f t="shared" ca="1" si="578"/>
        <v>21</v>
      </c>
      <c r="CY270" s="48" t="str">
        <f t="shared" ca="1" si="577"/>
        <v>MASTRO</v>
      </c>
      <c r="CZ270" s="48" t="e">
        <f t="shared" ca="1" si="580"/>
        <v>#N/A</v>
      </c>
      <c r="DA270" s="48" t="str">
        <f t="shared" ca="1" si="586"/>
        <v/>
      </c>
      <c r="DB270" s="48" t="str">
        <f t="shared" ca="1" si="499"/>
        <v/>
      </c>
      <c r="DC270" s="48" t="str">
        <f t="shared" ca="1" si="581"/>
        <v/>
      </c>
      <c r="DD270" s="48" t="str">
        <f t="shared" ca="1" si="582"/>
        <v/>
      </c>
      <c r="DE270" s="48" t="str">
        <f t="shared" ca="1" si="583"/>
        <v/>
      </c>
      <c r="DF270" s="48">
        <f ca="1">IF(AND(CX270=$DF$1,CX270&lt;&gt;""),0,IF(AND(DB270&lt;&gt;"",OR(DB269&lt;&gt;"",DB271&lt;&gt;"")),MAX($DF$2:DF269)+1,0))</f>
        <v>0</v>
      </c>
      <c r="DH270" s="244" t="s">
        <v>1112</v>
      </c>
      <c r="DI270" s="48" t="s">
        <v>704</v>
      </c>
      <c r="DJ270" s="48" t="s">
        <v>311</v>
      </c>
      <c r="DK270" s="48" t="s">
        <v>298</v>
      </c>
      <c r="DL270" s="48" t="s">
        <v>320</v>
      </c>
      <c r="DM270" s="48" t="s">
        <v>300</v>
      </c>
      <c r="DN270" s="48">
        <f ca="1">IF(DI270&lt;&gt;"",MAX($DN$2:DN269)+1,0)</f>
        <v>211</v>
      </c>
      <c r="DO270" s="48" t="s">
        <v>706</v>
      </c>
      <c r="DW270" s="48">
        <f>IF(DR270&lt;&gt;"",MAX($DW$2:DW269)+1,0)</f>
        <v>0</v>
      </c>
      <c r="DY270" s="48" t="str">
        <f t="shared" ca="1" si="558"/>
        <v/>
      </c>
      <c r="EL270" s="48">
        <f t="shared" ca="1" si="559"/>
        <v>0</v>
      </c>
      <c r="EM270" s="48">
        <f ca="1">IF(EL270&gt;=0,0,MAX($EM$2:EM269)+1)</f>
        <v>0</v>
      </c>
      <c r="EN270" s="48" t="str">
        <f t="shared" ca="1" si="569"/>
        <v/>
      </c>
      <c r="EO270" s="48" t="str">
        <f ca="1">IFERROR(INDEX($EM$3:$EN$400,MATCH(ROWS($EO$3:EO270),$EM$3:$EM$400,0),2),"")</f>
        <v/>
      </c>
      <c r="EP270" s="48">
        <f>ROW()</f>
        <v>270</v>
      </c>
      <c r="EQ270" s="48">
        <f t="shared" ca="1" si="560"/>
        <v>0</v>
      </c>
      <c r="ER270" s="48">
        <f ca="1">IF(ISNA(EQ270)=TRUE,MAX($ER$2:ER269)+1,0)</f>
        <v>0</v>
      </c>
      <c r="ES270" s="48" t="str">
        <f t="shared" ca="1" si="570"/>
        <v/>
      </c>
      <c r="ET270" s="48" t="str">
        <f ca="1">IFERROR(INDEX($ER$3:$ES$400,MATCH(ROWS($ET$3:ET270),$ER$3:$ER$400,0),2),"")</f>
        <v/>
      </c>
      <c r="EV270" s="48">
        <f ca="1">IFERROR(INDEX(LIBRO_GIORNALE!$O$11:$P$408,MATCH(ROWS($EV$2:EV269),LIBRO_GIORNALE!$P$11:$P$408,0),1),0)</f>
        <v>0</v>
      </c>
      <c r="EW270" s="48" t="str">
        <f t="shared" ca="1" si="544"/>
        <v>0</v>
      </c>
      <c r="EX270" s="48">
        <f t="shared" ca="1" si="571"/>
        <v>0</v>
      </c>
      <c r="EY270" s="48">
        <f ca="1">IF(EX270&gt;0,MAX($EY$2:EY269)+1,0)</f>
        <v>0</v>
      </c>
      <c r="EZ270" s="48">
        <f ca="1">IFERROR(INDEX($EX$3:$EX$400,MATCH(ROWS($EZ$3:EZ270),$EY$3:$EY$400,0),1),0)</f>
        <v>0</v>
      </c>
      <c r="FA270" s="48">
        <f ca="1">IF(EZ270&gt;0,0,MAX($FA$2:FA269)+1)</f>
        <v>268</v>
      </c>
      <c r="FB270" s="48">
        <f t="shared" ca="1" si="545"/>
        <v>0</v>
      </c>
      <c r="FC270" s="48">
        <f t="shared" ca="1" si="546"/>
        <v>268</v>
      </c>
      <c r="FD270" s="48">
        <f t="shared" ca="1" si="572"/>
        <v>268</v>
      </c>
      <c r="FE270" s="48">
        <f ca="1">IF(FD270=0,0,MAX($FE$2:FE269)+1)</f>
        <v>268</v>
      </c>
      <c r="FF270" s="48">
        <f ca="1">IFERROR(INDEX($FD$3:$FE$400,MATCH(ROWS($FF$3:FF270),$FE$3:$FE$400,0),1),"")</f>
        <v>268</v>
      </c>
      <c r="FG270" s="48">
        <f t="shared" ca="1" si="519"/>
        <v>0</v>
      </c>
      <c r="FH270" s="48">
        <f t="shared" ca="1" si="573"/>
        <v>0</v>
      </c>
      <c r="FI270" s="48">
        <f ca="1">IF(FH270&lt;&gt;0,MAX($FI$2:FI269)+1,0)</f>
        <v>0</v>
      </c>
      <c r="FJ270" s="48" t="str">
        <f ca="1">IFERROR(INDEX($FH$3:$FI$400,MATCH(ROWS($FJ$3:FJ270),$FI$3:$FI$400,0),1),"")</f>
        <v/>
      </c>
      <c r="FK270" s="48">
        <f ca="1">IF(ABS(SUMIFS(DARE,DEN_G,"="&amp;FJ270,DATA,"&lt;="&amp;FINE_AC,DATA,"&gt;="&amp;INIZIO_A_PC)-SUMIFS(AVERE,DEN_G,"="&amp;FJ270,DATA,"&lt;="&amp;FINE_AC,DATA,"&gt;="&amp;INIZIO_A_PC))&gt;0,MAX($FK$2:FK269)+1,0)</f>
        <v>0</v>
      </c>
      <c r="FL270" s="48" t="str">
        <f ca="1">IF(AND(ROW()-2&lt;&gt;1,ROW()-2&lt;=$FK$1),CONCATENATE(" - ",IFERROR(INDEX($FJ$3:$FK$400,MATCH(ROWS($FL$3:FL270),$FK$3:$FK$400,0),1),"")),IFERROR(INDEX($FJ$3:$FK$400,MATCH(ROWS($FL$3:FL270),$FK$3:$FK$400,0),1),""))</f>
        <v/>
      </c>
      <c r="FM270" s="48">
        <f ca="1">IF(OR(B270="IVA ns/credito",B270="IVA NS/DEBITO",B270="IVA C/ACCONTO",B270="IMPOSTE C/ACCONTO",B270="CREDITI PER RITENUTE SUBITE",B270="CREDITI D'IMPOSTA"),MAX($FM$2:FM269)+1,0)</f>
        <v>0</v>
      </c>
      <c r="FN270" s="48" t="str">
        <f t="shared" ca="1" si="574"/>
        <v/>
      </c>
      <c r="FO270" s="48" t="str">
        <f ca="1">IFERROR(INDEX($FM$3:$FN$400,MATCH(ROWS($FO$3:FO270),$FM$3:$FM$400,0),2),"")</f>
        <v/>
      </c>
      <c r="FP270" s="48">
        <f ca="1">IF(ABS(SUMIFS(DARE,DEN_G,"="&amp;FO270,DATA,"&lt;="&amp;FINE_AC,DATA,"&gt;="&amp;INIZIO_A_PC)-SUMIFS(AVERE,DEN_G,"="&amp;FO270,DATA,"&lt;="&amp;FINE_AC,DATA,"&gt;="&amp;INIZIO_A_PC))&gt;0,MAX($FP$2:FP269)+1,0)</f>
        <v>0</v>
      </c>
      <c r="FQ270" s="48" t="str">
        <f ca="1">IF(AND(ROW()-2&lt;&gt;1,ROW()-2&lt;=$FP$1),CONCATENATE(" - ",IFERROR(INDEX($FO$3:$FP$400,MATCH(ROWS($FQ$3:FQ270),$FP$3:$FP$400,0),1),"")),IFERROR(INDEX($FO$3:$FP$400,MATCH(ROWS($FQ$3:FQ270),$FP$3:$FP$400,0),1),""))</f>
        <v/>
      </c>
    </row>
    <row r="271" spans="1:173" x14ac:dyDescent="0.3">
      <c r="A271" s="48" t="str">
        <f ca="1">IFERROR(IF($A$1=2,INDEX($DH$3:$DN$401,MATCH(ROWS(A$3:A271),$DN$3:$DN$401,0),COLUMN()),IF($A$1=1,INDEX($DQ$3:$DW$401,MATCH(ROWS(A$3:A271),$DW$3:$DW$401,0),COLUMN()),"")),"")</f>
        <v>36.20</v>
      </c>
      <c r="B271" s="48" t="str">
        <f ca="1">IFERROR(IF($A$1=2,INDEX($DH$3:$DN$401,MATCH(ROWS(B$3:B271),$DN$3:$DN$401,0),COLUMN()),IF($A$1=1,INDEX($DQ$3:$DW$400,MATCH(ROWS(B$3:B271),$DW$3:$DW$401,0),COLUMN()),"")),"")</f>
        <v>SVALUTAZIONE CREDITI</v>
      </c>
      <c r="C271" s="48" t="str">
        <f ca="1">IFERROR(IF($A$1=2,INDEX($DH$3:$DN$401,MATCH(ROWS(C$3:C271),$DN$3:$DN$401,0),COLUMN()),IF($A$1=1,INDEX($DQ$3:$DW$401,MATCH(ROWS(C$3:C271),$DW$3:$DW$401,0),COLUMN()),"")),"")</f>
        <v>E</v>
      </c>
      <c r="D271" s="48" t="str">
        <f ca="1">IFERROR(IF($A$1=2,INDEX($DH$3:$DN$401,MATCH(ROWS(D$3:D271),$DN$3:$DN$401,0),COLUMN()),IF($A$1=1,INDEX($DQ$3:$DW$401,MATCH(ROWS(D$3:D271),$DW$3:$DW$401,0),COLUMN()),"")),"")</f>
        <v>D</v>
      </c>
      <c r="E271" s="48" t="str">
        <f ca="1">IFERROR(IF($A$1=2,INDEX($DH$3:$DN$401,MATCH(ROWS(E$3:E271),$DN$3:$DN$401,0),COLUMN()),IF($A$1=1,INDEX($DQ$3:$DW$401,MATCH(ROWS(E$3:E271),$DW$3:$DW$401,0),COLUMN()),"")),"")</f>
        <v>COSTI D'ESERCIZIO</v>
      </c>
      <c r="F271" s="48" t="str">
        <f ca="1">IFERROR(IF($A$1=2,INDEX($DH$3:$DN$401,MATCH(ROWS(F$3:F271),$DN$3:$DN$401,0),COLUMN()),IF($A$1=1,INDEX($DQ$3:$DX$401,MATCH(ROWS(F$3:F271),$DW$3:$DW$401,0),COLUMN()),"")),"")</f>
        <v>SE DARE</v>
      </c>
      <c r="G271" s="48" t="str">
        <f t="shared" ca="1" si="561"/>
        <v>SE</v>
      </c>
      <c r="H271" s="48" t="str">
        <f ca="1">IFERROR(IF($A$1=2,INDEX($DH$3:$DO$400,MATCH(ROWS(H$3:H271),$DN$3:$DN$400,0),COLUMN()),IF($A$1=1,INDEX($DQ$3:$DX$400,MATCH(ROWS(H$3:H271),$DW$3:$DW$400,0),COLUMN()),"")),"")</f>
        <v>eb10d</v>
      </c>
      <c r="M271" s="48">
        <f ca="1">IFERROR(IF(IF(MID($A271,3,3)=".00",MID(A271,1,2),"")&lt;&gt;"",MAX($M$2:M270)+1,0),"")</f>
        <v>0</v>
      </c>
      <c r="N271" s="48" t="str">
        <f t="shared" ca="1" si="562"/>
        <v/>
      </c>
      <c r="O271" s="48" t="str">
        <f ca="1">IF(IFERROR(INDEX($N$3:$O$300,MATCH(ROWS($O$3:O271),$M$3:$M$300,0),1),"")&lt;&gt;"",CONCATENATE(INDEX($N$3:$O$300,MATCH(ROWS($O$3:O271),$M$3:$M$300,0),1),".00"),"")</f>
        <v/>
      </c>
      <c r="P271" s="48" t="str">
        <f t="shared" ca="1" si="563"/>
        <v/>
      </c>
      <c r="Q271" s="48">
        <f ca="1">IF(M271&gt;=1,0,MAX($Q$2:Q270)+1)</f>
        <v>241</v>
      </c>
      <c r="U271" s="48" t="str">
        <f ca="1">IFERROR(INDEX(PDC,MATCH(ROWS(U$3:U271),$V$3:$V$400,0),2),"")</f>
        <v>PROVENTI FINANZIARI DIVERSI</v>
      </c>
      <c r="V271" s="48">
        <f ca="1">IF(AND($T$1="VISUALIZZA TUTTI I CONTI",AA271&lt;&gt;""),MAX($V$2:V270)+1,IF(AND($U$2=2,AI271=$T$1),MAX($V$2:V270)+1,IF(AND($U$2=1,$T$1=AF271),MAX($V$2:V270)+1,0)))</f>
        <v>269</v>
      </c>
      <c r="AA271" s="48" t="str">
        <f t="shared" ca="1" si="564"/>
        <v>40.00</v>
      </c>
      <c r="AB271" s="48" t="str">
        <f ca="1">IFERROR(INDEX($A$3:$G$400,MATCH(ROWS(AB$3:AB271),$Q$3:$Q$400,0),1),"")</f>
        <v>40.40</v>
      </c>
      <c r="AC271" s="48" t="str">
        <f ca="1">IFERROR(INDEX($A$3:$G$400,MATCH(ROWS($AC$3:AC271),$Q$3:$Q$400,0),2),"")</f>
        <v>PROVENTI FINANZIARI DIVERSI</v>
      </c>
      <c r="AD271" s="48" t="str">
        <f ca="1">IFERROR(INDEX($A$3:$G$400,MATCH(ROWS(AD$3:AD271),$Q$3:$Q$400,0),3),"")</f>
        <v>E</v>
      </c>
      <c r="AE271" s="48" t="str">
        <f ca="1">IFERROR(INDEX($A$3:$G$400,MATCH(ROWS(AE$3:AE271),$Q$3:$Q$400,0),4),"")</f>
        <v>A</v>
      </c>
      <c r="AF271" s="48" t="str">
        <f ca="1">IFERROR(INDEX($A$3:$G$400,MATCH(ROWS(AF$3:AF271),$Q$3:$Q$400,0),5),"")</f>
        <v>RICAVI D'ESERCIZIO</v>
      </c>
      <c r="AG271" s="48" t="str">
        <f ca="1">IFERROR(INDEX($A$3:$G$400,MATCH(ROWS(AG$3:AG271),$Q$3:$Q$400,0),6),"")</f>
        <v>SE AVERE</v>
      </c>
      <c r="AH271" s="48" t="str">
        <f ca="1">IFERROR(INDEX($A$3:$G$400,MATCH(ROWS(AH$3:AH271),$Q$3:$Q$400,0),7),"")</f>
        <v>SE</v>
      </c>
      <c r="AI271" s="48" t="str">
        <f t="shared" ca="1" si="565"/>
        <v>PROVENTI FINANZIARI</v>
      </c>
      <c r="AJ271" s="48" t="str">
        <f ca="1">IFERROR(INDEX($A$3:$H$400,MATCH(ROWS(AJ$3:AJ271),$Q$3:$Q$400,0),8),"")</f>
        <v>ec16d</v>
      </c>
      <c r="AK271" s="48">
        <f t="shared" ca="1" si="548"/>
        <v>0</v>
      </c>
      <c r="AL271" s="48">
        <f t="shared" ca="1" si="576"/>
        <v>0</v>
      </c>
      <c r="AM271" s="48">
        <f t="shared" ca="1" si="516"/>
        <v>0</v>
      </c>
      <c r="AN271" s="48">
        <f t="shared" ca="1" si="517"/>
        <v>0</v>
      </c>
      <c r="AO271" s="48">
        <f t="shared" ca="1" si="518"/>
        <v>0</v>
      </c>
      <c r="AP271" s="48">
        <f t="shared" ca="1" si="518"/>
        <v>0</v>
      </c>
      <c r="AZ271" s="48" t="str">
        <f t="shared" ca="1" si="584"/>
        <v/>
      </c>
      <c r="BA271" s="48">
        <f t="shared" ca="1" si="520"/>
        <v>0</v>
      </c>
      <c r="BB271" s="48">
        <f t="shared" ca="1" si="521"/>
        <v>0</v>
      </c>
      <c r="BC271" s="48">
        <f t="shared" ca="1" si="522"/>
        <v>0</v>
      </c>
      <c r="BD271" s="48">
        <f t="shared" ca="1" si="523"/>
        <v>0</v>
      </c>
      <c r="BE271" s="48">
        <f t="shared" ca="1" si="524"/>
        <v>0</v>
      </c>
      <c r="BF271" s="48">
        <f t="shared" si="585"/>
        <v>71</v>
      </c>
      <c r="BG271" s="48">
        <f ca="1">IF(IF(AND(OR(INDEX(PDC,MATCH($AC271,DEN_PDC,0),6)="SP DARE",INDEX(PDC,MATCH($AC271,DEN_PDC,0),6)="SP DARE/AVERE"),SUMIFS(DARE,DEN_G,$AC271)&gt;=SUMIFS(AVERE,DEN_G,$AC271)),SUMIFS(DARE,DEN_G,$AC271)-SUMIFS(AVERE,DEN_G,$AC271),0)&gt;0,MAX($BG$2:BG270)+1,0)</f>
        <v>0</v>
      </c>
      <c r="BH271" s="48">
        <f ca="1">IF(IF(AND(OR(INDEX(PDC,MATCH($AC271,DEN_PDC,0),6)="SP AVERE",INDEX(PDC,MATCH($AC271,DEN_PDC,0),6)="SP DARE/AVERE"),SUMIFS(AVERE,DEN_G,$AC271)&gt;=SUMIFS(DARE,DEN_G,$AC271)),SUMIFS(AVERE,DEN_G,$AC271)-SUMIFS(DARE,DEN_G,$AC271),0)&gt;0,MAX(BH$2:BH270)+1,0)</f>
        <v>0</v>
      </c>
      <c r="BI271" s="48">
        <f ca="1">IF(IF(AND(OR(INDEX(PDC,MATCH($AC271,DEN_PDC,0),6)="SE DARE",INDEX(PDC,MATCH($AC271,DEN_PDC,0),6)="SE DARE/AVERE"),SUMIFS(DARE,DEN_G,$AC271)&gt;=SUMIFS(AVERE,DEN_G,$AC271)),SUMIFS(DARE,DEN_G,$AC271)-SUMIFS(AVERE,DEN_G,$AC271),0)&gt;0,MAX(BI$2:BI270)+1,0)</f>
        <v>0</v>
      </c>
      <c r="BJ271" s="48">
        <f ca="1">IF(IF(AND(OR(INDEX(PDC,MATCH($AC271,DEN_PDC,0),6)="SE AVERE",INDEX(PDC,MATCH($AC271,DEN_PDC,0),6)="SE DARE/AVERE"),SUMIFS(AVERE,DEN_G,$AC271)&gt;=SUMIFS(DARE,DEN_G,$AC271)),SUMIFS(AVERE,DEN_G,$AC271)-SUMIFS(DARE,DEN_G,$AC271),0)&gt;0,MAX(BJ$2:BJ270)+1,0)</f>
        <v>0</v>
      </c>
      <c r="BK271" s="48" t="str">
        <f ca="1">IF(AND(AND($DY$2=0,$DY$1=0),$I$1=2,ROW()&gt;$BG$1+2,ROW()&lt;=$BG$1+4),"………………..",IF(AND(OR($DY$2&gt;0,$DY$1&gt;0),$I$1=2,ROW()&gt;$BG$1+2,ROW()&lt;=$BG$1+4),"………………..",IFERROR(INDEX($AC$3:$AC$398,MATCH(ROWS(BK$3:BK271),BG$3:BG$398,0),1),"")))</f>
        <v/>
      </c>
      <c r="BL271" s="48">
        <f t="shared" ca="1" si="549"/>
        <v>0</v>
      </c>
      <c r="BM271" s="48" t="str">
        <f ca="1">IF(AND(OR($DY$2=0,$DY$1=0),$I$1=2,ROW()&gt;$BH$1+2,ROW()&lt;=$BH$1+4),"………………..",IF(AND(OR($DY$2&gt;0,$DY$1&gt;0),$I$1=2,ROW()&gt;$BH$1+2,ROW()&lt;=$BH$1+4),"………………..",IFERROR(INDEX($AC$3:$AC$400,MATCH(ROWS(BM$3:BM271),BH$3:BH$400,0),1),"")))</f>
        <v/>
      </c>
      <c r="BN271" s="48">
        <f t="shared" ca="1" si="550"/>
        <v>0</v>
      </c>
      <c r="BO271" s="48" t="str">
        <f ca="1">IF(AND(OR($DY$2=0,$DY$1=0),$I$1=2,ROW()&gt;$BI$1+2,ROW()&lt;=$BI$1+4),"………………..",IF(AND(OR($DY$2&gt;0,$DY$1&gt;0),$I$1=2,ROW()&gt;$BI$1+2,ROW()&lt;=$BI$1+4),"………………..",IFERROR(INDEX($AC$3:$AC$400,MATCH(ROWS(BO$3:BO271),BI$3:BI$400,0),1),"")))</f>
        <v/>
      </c>
      <c r="BP271" s="48">
        <f t="shared" ca="1" si="551"/>
        <v>0</v>
      </c>
      <c r="BQ271" s="48" t="str">
        <f ca="1">IF(AND(OR($DY$2=0,$DY$1=0),$I$1=2,ROW()&gt;$BJ$1+2,ROW()&lt;=$BJ$1+4),"………………..",IF(AND(OR($DY$2&gt;0,$DY$1&gt;0),$I$1=2,ROW()&gt;$BJ$1+2,ROW()&lt;=$BJ$1+4),"………………..",IFERROR(INDEX($AC$3:$AC$400,MATCH(ROWS(BQ$3:BQ271),BJ$3:BJ$400,0),1),"")))</f>
        <v/>
      </c>
      <c r="BR271" s="48">
        <f t="shared" ca="1" si="552"/>
        <v>0</v>
      </c>
      <c r="BS271" s="48">
        <f ca="1">IF(IF(AND(OR(INDEX(PDC,MATCH($AC271,DEN_PDC,0),4)="D",INDEX(PDC,MATCH($AC271,DEN_PDC,0),4)="D/A"),SUMIFS(DARE,DEN_G,$AC271)&gt;=SUMIFS(AVERE,DEN_G,$AC271)),SUMIFS(DARE,DEN_G,$AC271),IF(AND(OR(INDEX(PDC,MATCH($AC271,DEN_PDC,0),4)="A",INDEX(PDC,MATCH($AC271,DEN_PDC,0),4)="D/A"),SUMIFS(AVERE,DEN_G,$AC271)&gt;=SUMIFS(DARE,DEN_G,$AC271)),SUMIFS(AVERE,DEN_G,$AC271),))&gt;0,MAX($BS$2:BS270)+1,0)</f>
        <v>0</v>
      </c>
      <c r="BT271" s="48" t="str">
        <f ca="1">IF($CO$1=0,"",IF(AND($I$1=2,ROW()&gt;$BR$1,ROW()&lt;=$BS$1)," …………….",IF(AND($E$1=1,$BX$1=1,$I$1=2,ROW()=$BQ$1),"TOTALI",IFERROR(INDEX(PDC,MATCH(ROWS(BT$3:BT271),BS$3:BS668,0),2),""))))</f>
        <v/>
      </c>
      <c r="BU271" s="48">
        <f t="shared" ca="1" si="553"/>
        <v>0</v>
      </c>
      <c r="BV271" s="48">
        <f t="shared" ca="1" si="554"/>
        <v>0</v>
      </c>
      <c r="BW271" s="48">
        <f t="shared" ca="1" si="555"/>
        <v>0</v>
      </c>
      <c r="BX271" s="48">
        <f t="shared" ca="1" si="556"/>
        <v>0</v>
      </c>
      <c r="BY271" s="48">
        <f ca="1">IF(OR(BW271&gt;0,BX271&gt;0),MAX($BY$2:BY270)+1,0)</f>
        <v>0</v>
      </c>
      <c r="BZ271" s="48" t="str">
        <f ca="1">IFERROR(INDEX($BT$3:$BY$400,MATCH(ROWS(BZ$3:BZ271),$BY$3:$BY$400,0),1),"")</f>
        <v/>
      </c>
      <c r="CA271" s="48" t="str">
        <f ca="1">IFERROR(INDEX($BT$3:$BY$400,MATCH(ROWS(CA$3:CA271),$BY$3:$BY$400,0),4),"")</f>
        <v/>
      </c>
      <c r="CB271" s="48" t="str">
        <f ca="1">IFERROR(INDEX($BT$3:$BY$400,MATCH(ROWS(CB$3:CB271),$BY$3:$BY$400,0),5),"")</f>
        <v/>
      </c>
      <c r="CC271" s="48" t="str">
        <f t="shared" ca="1" si="557"/>
        <v/>
      </c>
      <c r="CM271" s="242" t="str">
        <f t="shared" ca="1" si="566"/>
        <v/>
      </c>
      <c r="CN271" s="243">
        <f t="shared" ca="1" si="567"/>
        <v>0</v>
      </c>
      <c r="CO271" s="48" t="str">
        <f t="shared" ca="1" si="568"/>
        <v/>
      </c>
      <c r="CU271" s="48">
        <f ca="1">IF(SUMIFS(AVERE,DEN_G,AC271,AVERE,"&gt;"&amp;0)+SUMIFS(DARE,DEN_G,AC271,DARE,"&gt;"&amp;0)&gt;0,MAX($CU$2:CU270)+1,0)</f>
        <v>0</v>
      </c>
      <c r="CV271" s="48" t="str">
        <f ca="1">IF(IFERROR(INDEX(PDC,MATCH(ROWS($CV$3:CV271),$CU$3:$CU$400,0),2),"")="CONTO DI RISULTATO ECONOMICO","",IFERROR(INDEX(PDC,MATCH(ROWS($CV$3:CV271),$CU$3:$CU$400,0),2),""))</f>
        <v/>
      </c>
      <c r="CW271" s="48">
        <f ca="1">IFERROR(IF(CV271&lt;&gt;"",MAX($CW$2:CW270)+1,0),0)</f>
        <v>0</v>
      </c>
      <c r="CX271" s="48">
        <f t="shared" ca="1" si="578"/>
        <v>21</v>
      </c>
      <c r="CY271" s="48" t="str">
        <f t="shared" ca="1" si="577"/>
        <v>MASTRO</v>
      </c>
      <c r="CZ271" s="48" t="e">
        <f t="shared" ca="1" si="580"/>
        <v>#N/A</v>
      </c>
      <c r="DA271" s="48" t="str">
        <f t="shared" ca="1" si="586"/>
        <v/>
      </c>
      <c r="DB271" s="48" t="str">
        <f t="shared" ca="1" si="499"/>
        <v/>
      </c>
      <c r="DC271" s="48" t="str">
        <f t="shared" ca="1" si="581"/>
        <v/>
      </c>
      <c r="DD271" s="48" t="str">
        <f t="shared" ca="1" si="582"/>
        <v/>
      </c>
      <c r="DE271" s="48" t="str">
        <f t="shared" ca="1" si="583"/>
        <v/>
      </c>
      <c r="DF271" s="48">
        <f ca="1">IF(AND(CX271=$DF$1,CX271&lt;&gt;""),0,IF(AND(DB271&lt;&gt;"",OR(DB270&lt;&gt;"",DB272&lt;&gt;"")),MAX($DF$2:DF270)+1,0))</f>
        <v>0</v>
      </c>
      <c r="DH271" s="244" t="s">
        <v>1113</v>
      </c>
      <c r="DI271" s="48" t="s">
        <v>1111</v>
      </c>
      <c r="DJ271" s="48" t="s">
        <v>311</v>
      </c>
      <c r="DK271" s="48" t="s">
        <v>298</v>
      </c>
      <c r="DL271" s="48" t="s">
        <v>320</v>
      </c>
      <c r="DM271" s="48" t="s">
        <v>300</v>
      </c>
      <c r="DN271" s="48">
        <f ca="1">IF(DI271&lt;&gt;"",MAX($DN$2:DN270)+1,0)</f>
        <v>212</v>
      </c>
      <c r="DO271" s="48" t="s">
        <v>706</v>
      </c>
      <c r="DW271" s="48">
        <f>IF(DR271&lt;&gt;"",MAX($DW$2:DW270)+1,0)</f>
        <v>0</v>
      </c>
      <c r="DY271" s="48" t="str">
        <f t="shared" ca="1" si="558"/>
        <v/>
      </c>
      <c r="EL271" s="48">
        <f t="shared" ca="1" si="559"/>
        <v>0</v>
      </c>
      <c r="EM271" s="48">
        <f ca="1">IF(EL271&gt;=0,0,MAX($EM$2:EM270)+1)</f>
        <v>0</v>
      </c>
      <c r="EN271" s="48" t="str">
        <f t="shared" ca="1" si="569"/>
        <v/>
      </c>
      <c r="EO271" s="48" t="str">
        <f ca="1">IFERROR(INDEX($EM$3:$EN$400,MATCH(ROWS($EO$3:EO271),$EM$3:$EM$400,0),2),"")</f>
        <v/>
      </c>
      <c r="EP271" s="48">
        <f>ROW()</f>
        <v>271</v>
      </c>
      <c r="EQ271" s="48">
        <f t="shared" ca="1" si="560"/>
        <v>0</v>
      </c>
      <c r="ER271" s="48">
        <f ca="1">IF(ISNA(EQ271)=TRUE,MAX($ER$2:ER270)+1,0)</f>
        <v>0</v>
      </c>
      <c r="ES271" s="48" t="str">
        <f t="shared" ca="1" si="570"/>
        <v/>
      </c>
      <c r="ET271" s="48" t="str">
        <f ca="1">IFERROR(INDEX($ER$3:$ES$400,MATCH(ROWS($ET$3:ET271),$ER$3:$ER$400,0),2),"")</f>
        <v/>
      </c>
      <c r="EV271" s="48">
        <f ca="1">IFERROR(INDEX(LIBRO_GIORNALE!$O$11:$P$408,MATCH(ROWS($EV$2:EV270),LIBRO_GIORNALE!$P$11:$P$408,0),1),0)</f>
        <v>0</v>
      </c>
      <c r="EW271" s="48" t="str">
        <f t="shared" ca="1" si="544"/>
        <v>0</v>
      </c>
      <c r="EX271" s="48">
        <f t="shared" ca="1" si="571"/>
        <v>0</v>
      </c>
      <c r="EY271" s="48">
        <f ca="1">IF(EX271&gt;0,MAX($EY$2:EY270)+1,0)</f>
        <v>0</v>
      </c>
      <c r="EZ271" s="48">
        <f ca="1">IFERROR(INDEX($EX$3:$EX$400,MATCH(ROWS($EZ$3:EZ271),$EY$3:$EY$400,0),1),0)</f>
        <v>0</v>
      </c>
      <c r="FA271" s="48">
        <f ca="1">IF(EZ271&gt;0,0,MAX($FA$2:FA270)+1)</f>
        <v>269</v>
      </c>
      <c r="FB271" s="48">
        <f t="shared" ca="1" si="545"/>
        <v>0</v>
      </c>
      <c r="FC271" s="48">
        <f t="shared" ca="1" si="546"/>
        <v>269</v>
      </c>
      <c r="FD271" s="48">
        <f t="shared" ca="1" si="572"/>
        <v>269</v>
      </c>
      <c r="FE271" s="48">
        <f ca="1">IF(FD271=0,0,MAX($FE$2:FE270)+1)</f>
        <v>269</v>
      </c>
      <c r="FF271" s="48">
        <f ca="1">IFERROR(INDEX($FD$3:$FE$400,MATCH(ROWS($FF$3:FF271),$FE$3:$FE$400,0),1),"")</f>
        <v>269</v>
      </c>
      <c r="FG271" s="48">
        <f t="shared" ca="1" si="519"/>
        <v>0</v>
      </c>
      <c r="FH271" s="48">
        <f t="shared" ca="1" si="573"/>
        <v>0</v>
      </c>
      <c r="FI271" s="48">
        <f ca="1">IF(FH271&lt;&gt;0,MAX($FI$2:FI270)+1,0)</f>
        <v>0</v>
      </c>
      <c r="FJ271" s="48" t="str">
        <f ca="1">IFERROR(INDEX($FH$3:$FI$400,MATCH(ROWS($FJ$3:FJ271),$FI$3:$FI$400,0),1),"")</f>
        <v/>
      </c>
      <c r="FK271" s="48">
        <f ca="1">IF(ABS(SUMIFS(DARE,DEN_G,"="&amp;FJ271,DATA,"&lt;="&amp;FINE_AC,DATA,"&gt;="&amp;INIZIO_A_PC)-SUMIFS(AVERE,DEN_G,"="&amp;FJ271,DATA,"&lt;="&amp;FINE_AC,DATA,"&gt;="&amp;INIZIO_A_PC))&gt;0,MAX($FK$2:FK270)+1,0)</f>
        <v>0</v>
      </c>
      <c r="FL271" s="48" t="str">
        <f ca="1">IF(AND(ROW()-2&lt;&gt;1,ROW()-2&lt;=$FK$1),CONCATENATE(" - ",IFERROR(INDEX($FJ$3:$FK$400,MATCH(ROWS($FL$3:FL271),$FK$3:$FK$400,0),1),"")),IFERROR(INDEX($FJ$3:$FK$400,MATCH(ROWS($FL$3:FL271),$FK$3:$FK$400,0),1),""))</f>
        <v/>
      </c>
      <c r="FM271" s="48">
        <f ca="1">IF(OR(B271="IVA ns/credito",B271="IVA NS/DEBITO",B271="IVA C/ACCONTO",B271="IMPOSTE C/ACCONTO",B271="CREDITI PER RITENUTE SUBITE",B271="CREDITI D'IMPOSTA"),MAX($FM$2:FM270)+1,0)</f>
        <v>0</v>
      </c>
      <c r="FN271" s="48" t="str">
        <f t="shared" ca="1" si="574"/>
        <v/>
      </c>
      <c r="FO271" s="48" t="str">
        <f ca="1">IFERROR(INDEX($FM$3:$FN$400,MATCH(ROWS($FO$3:FO271),$FM$3:$FM$400,0),2),"")</f>
        <v/>
      </c>
      <c r="FP271" s="48">
        <f ca="1">IF(ABS(SUMIFS(DARE,DEN_G,"="&amp;FO271,DATA,"&lt;="&amp;FINE_AC,DATA,"&gt;="&amp;INIZIO_A_PC)-SUMIFS(AVERE,DEN_G,"="&amp;FO271,DATA,"&lt;="&amp;FINE_AC,DATA,"&gt;="&amp;INIZIO_A_PC))&gt;0,MAX($FP$2:FP270)+1,0)</f>
        <v>0</v>
      </c>
      <c r="FQ271" s="48" t="str">
        <f ca="1">IF(AND(ROW()-2&lt;&gt;1,ROW()-2&lt;=$FP$1),CONCATENATE(" - ",IFERROR(INDEX($FO$3:$FP$400,MATCH(ROWS($FQ$3:FQ271),$FP$3:$FP$400,0),1),"")),IFERROR(INDEX($FO$3:$FP$400,MATCH(ROWS($FQ$3:FQ271),$FP$3:$FP$400,0),1),""))</f>
        <v/>
      </c>
    </row>
    <row r="272" spans="1:173" x14ac:dyDescent="0.3">
      <c r="A272" s="48" t="str">
        <f ca="1">IFERROR(IF($A$1=2,INDEX($DH$3:$DN$401,MATCH(ROWS(A$3:A272),$DN$3:$DN$401,0),COLUMN()),IF($A$1=1,INDEX($DQ$3:$DW$401,MATCH(ROWS(A$3:A272),$DW$3:$DW$401,0),COLUMN()),"")),"")</f>
        <v>37.00</v>
      </c>
      <c r="B272" s="48" t="str">
        <f ca="1">IFERROR(IF($A$1=2,INDEX($DH$3:$DN$401,MATCH(ROWS(B$3:B272),$DN$3:$DN$401,0),COLUMN()),IF($A$1=1,INDEX($DQ$3:$DW$400,MATCH(ROWS(B$3:B272),$DW$3:$DW$401,0),COLUMN()),"")),"")</f>
        <v>VARIAZIONI DELLE RIMANZENZE DI MATERIE</v>
      </c>
      <c r="C272" s="48">
        <f ca="1">IFERROR(IF($A$1=2,INDEX($DH$3:$DN$401,MATCH(ROWS(C$3:C272),$DN$3:$DN$401,0),COLUMN()),IF($A$1=1,INDEX($DQ$3:$DW$401,MATCH(ROWS(C$3:C272),$DW$3:$DW$401,0),COLUMN()),"")),"")</f>
        <v>0</v>
      </c>
      <c r="D272" s="48">
        <f ca="1">IFERROR(IF($A$1=2,INDEX($DH$3:$DN$401,MATCH(ROWS(D$3:D272),$DN$3:$DN$401,0),COLUMN()),IF($A$1=1,INDEX($DQ$3:$DW$401,MATCH(ROWS(D$3:D272),$DW$3:$DW$401,0),COLUMN()),"")),"")</f>
        <v>0</v>
      </c>
      <c r="E272" s="48">
        <f ca="1">IFERROR(IF($A$1=2,INDEX($DH$3:$DN$401,MATCH(ROWS(E$3:E272),$DN$3:$DN$401,0),COLUMN()),IF($A$1=1,INDEX($DQ$3:$DW$401,MATCH(ROWS(E$3:E272),$DW$3:$DW$401,0),COLUMN()),"")),"")</f>
        <v>0</v>
      </c>
      <c r="F272" s="48">
        <f ca="1">IFERROR(IF($A$1=2,INDEX($DH$3:$DN$401,MATCH(ROWS(F$3:F272),$DN$3:$DN$401,0),COLUMN()),IF($A$1=1,INDEX($DQ$3:$DX$401,MATCH(ROWS(F$3:F272),$DW$3:$DW$401,0),COLUMN()),"")),"")</f>
        <v>0</v>
      </c>
      <c r="G272" s="48" t="str">
        <f t="shared" ca="1" si="561"/>
        <v>0</v>
      </c>
      <c r="H272" s="48">
        <f ca="1">IFERROR(IF($A$1=2,INDEX($DH$3:$DO$400,MATCH(ROWS(H$3:H272),$DN$3:$DN$400,0),COLUMN()),IF($A$1=1,INDEX($DQ$3:$DX$400,MATCH(ROWS(H$3:H272),$DW$3:$DW$400,0),COLUMN()),"")),"")</f>
        <v>0</v>
      </c>
      <c r="M272" s="48">
        <f ca="1">IFERROR(IF(IF(MID($A272,3,3)=".00",MID(A272,1,2),"")&lt;&gt;"",MAX($M$2:M271)+1,0),"")</f>
        <v>29</v>
      </c>
      <c r="N272" s="48" t="str">
        <f t="shared" ca="1" si="562"/>
        <v>37</v>
      </c>
      <c r="O272" s="48" t="str">
        <f ca="1">IF(IFERROR(INDEX($N$3:$O$300,MATCH(ROWS($O$3:O272),$M$3:$M$300,0),1),"")&lt;&gt;"",CONCATENATE(INDEX($N$3:$O$300,MATCH(ROWS($O$3:O272),$M$3:$M$300,0),1),".00"),"")</f>
        <v/>
      </c>
      <c r="P272" s="48" t="str">
        <f t="shared" ca="1" si="563"/>
        <v/>
      </c>
      <c r="Q272" s="48">
        <f ca="1">IF(M272&gt;=1,0,MAX($Q$2:Q271)+1)</f>
        <v>0</v>
      </c>
      <c r="U272" s="48" t="str">
        <f ca="1">IFERROR(INDEX(PDC,MATCH(ROWS(U$3:U272),$V$3:$V$400,0),2),"")</f>
        <v>AGGIO SU PRESTITI</v>
      </c>
      <c r="V272" s="48">
        <f ca="1">IF(AND($T$1="VISUALIZZA TUTTI I CONTI",AA272&lt;&gt;""),MAX($V$2:V271)+1,IF(AND($U$2=2,AI272=$T$1),MAX($V$2:V271)+1,IF(AND($U$2=1,$T$1=AF272),MAX($V$2:V271)+1,0)))</f>
        <v>270</v>
      </c>
      <c r="AA272" s="48" t="str">
        <f t="shared" ca="1" si="564"/>
        <v>40.00</v>
      </c>
      <c r="AB272" s="48" t="str">
        <f ca="1">IFERROR(INDEX($A$3:$G$400,MATCH(ROWS(AB$3:AB272),$Q$3:$Q$400,0),1),"")</f>
        <v>40.61</v>
      </c>
      <c r="AC272" s="48" t="str">
        <f ca="1">IFERROR(INDEX($A$3:$G$400,MATCH(ROWS($AC$3:AC272),$Q$3:$Q$400,0),2),"")</f>
        <v>AGGIO SU PRESTITI</v>
      </c>
      <c r="AD272" s="48" t="str">
        <f ca="1">IFERROR(INDEX($A$3:$G$400,MATCH(ROWS(AD$3:AD272),$Q$3:$Q$400,0),3),"")</f>
        <v>E</v>
      </c>
      <c r="AE272" s="48" t="str">
        <f ca="1">IFERROR(INDEX($A$3:$G$400,MATCH(ROWS(AE$3:AE272),$Q$3:$Q$400,0),4),"")</f>
        <v>A</v>
      </c>
      <c r="AF272" s="48" t="str">
        <f ca="1">IFERROR(INDEX($A$3:$G$400,MATCH(ROWS(AF$3:AF272),$Q$3:$Q$400,0),5),"")</f>
        <v>RICAVI D'ESERCIZIO</v>
      </c>
      <c r="AG272" s="48" t="str">
        <f ca="1">IFERROR(INDEX($A$3:$G$400,MATCH(ROWS(AG$3:AG272),$Q$3:$Q$400,0),6),"")</f>
        <v>SE AVERE</v>
      </c>
      <c r="AH272" s="48" t="str">
        <f ca="1">IFERROR(INDEX($A$3:$G$400,MATCH(ROWS(AH$3:AH272),$Q$3:$Q$400,0),7),"")</f>
        <v>SE</v>
      </c>
      <c r="AI272" s="48" t="str">
        <f t="shared" ca="1" si="565"/>
        <v>PROVENTI FINANZIARI</v>
      </c>
      <c r="AJ272" s="48" t="str">
        <f ca="1">IFERROR(INDEX($A$3:$H$400,MATCH(ROWS(AJ$3:AJ272),$Q$3:$Q$400,0),8),"")</f>
        <v>ec17</v>
      </c>
      <c r="AK272" s="48">
        <f t="shared" ca="1" si="548"/>
        <v>0</v>
      </c>
      <c r="AL272" s="48">
        <f t="shared" ca="1" si="576"/>
        <v>0</v>
      </c>
      <c r="AM272" s="48">
        <f t="shared" ca="1" si="516"/>
        <v>0</v>
      </c>
      <c r="AN272" s="48">
        <f t="shared" ca="1" si="517"/>
        <v>0</v>
      </c>
      <c r="AO272" s="48">
        <f t="shared" ca="1" si="518"/>
        <v>0</v>
      </c>
      <c r="AP272" s="48">
        <f t="shared" ca="1" si="518"/>
        <v>0</v>
      </c>
      <c r="AZ272" s="48" t="str">
        <f t="shared" ca="1" si="584"/>
        <v/>
      </c>
      <c r="BA272" s="48">
        <f t="shared" ca="1" si="520"/>
        <v>0</v>
      </c>
      <c r="BB272" s="48">
        <f t="shared" ca="1" si="521"/>
        <v>0</v>
      </c>
      <c r="BC272" s="48">
        <f t="shared" ca="1" si="522"/>
        <v>0</v>
      </c>
      <c r="BD272" s="48">
        <f t="shared" ca="1" si="523"/>
        <v>0</v>
      </c>
      <c r="BE272" s="48">
        <f t="shared" ca="1" si="524"/>
        <v>0</v>
      </c>
      <c r="BF272" s="48">
        <f t="shared" si="585"/>
        <v>72</v>
      </c>
      <c r="BG272" s="48">
        <f ca="1">IF(IF(AND(OR(INDEX(PDC,MATCH($AC272,DEN_PDC,0),6)="SP DARE",INDEX(PDC,MATCH($AC272,DEN_PDC,0),6)="SP DARE/AVERE"),SUMIFS(DARE,DEN_G,$AC272)&gt;=SUMIFS(AVERE,DEN_G,$AC272)),SUMIFS(DARE,DEN_G,$AC272)-SUMIFS(AVERE,DEN_G,$AC272),0)&gt;0,MAX($BG$2:BG271)+1,0)</f>
        <v>0</v>
      </c>
      <c r="BH272" s="48">
        <f ca="1">IF(IF(AND(OR(INDEX(PDC,MATCH($AC272,DEN_PDC,0),6)="SP AVERE",INDEX(PDC,MATCH($AC272,DEN_PDC,0),6)="SP DARE/AVERE"),SUMIFS(AVERE,DEN_G,$AC272)&gt;=SUMIFS(DARE,DEN_G,$AC272)),SUMIFS(AVERE,DEN_G,$AC272)-SUMIFS(DARE,DEN_G,$AC272),0)&gt;0,MAX(BH$2:BH271)+1,0)</f>
        <v>0</v>
      </c>
      <c r="BI272" s="48">
        <f ca="1">IF(IF(AND(OR(INDEX(PDC,MATCH($AC272,DEN_PDC,0),6)="SE DARE",INDEX(PDC,MATCH($AC272,DEN_PDC,0),6)="SE DARE/AVERE"),SUMIFS(DARE,DEN_G,$AC272)&gt;=SUMIFS(AVERE,DEN_G,$AC272)),SUMIFS(DARE,DEN_G,$AC272)-SUMIFS(AVERE,DEN_G,$AC272),0)&gt;0,MAX(BI$2:BI271)+1,0)</f>
        <v>0</v>
      </c>
      <c r="BJ272" s="48">
        <f ca="1">IF(IF(AND(OR(INDEX(PDC,MATCH($AC272,DEN_PDC,0),6)="SE AVERE",INDEX(PDC,MATCH($AC272,DEN_PDC,0),6)="SE DARE/AVERE"),SUMIFS(AVERE,DEN_G,$AC272)&gt;=SUMIFS(DARE,DEN_G,$AC272)),SUMIFS(AVERE,DEN_G,$AC272)-SUMIFS(DARE,DEN_G,$AC272),0)&gt;0,MAX(BJ$2:BJ271)+1,0)</f>
        <v>0</v>
      </c>
      <c r="BK272" s="48" t="str">
        <f ca="1">IF(AND(AND($DY$2=0,$DY$1=0),$I$1=2,ROW()&gt;$BG$1+2,ROW()&lt;=$BG$1+4),"………………..",IF(AND(OR($DY$2&gt;0,$DY$1&gt;0),$I$1=2,ROW()&gt;$BG$1+2,ROW()&lt;=$BG$1+4),"………………..",IFERROR(INDEX($AC$3:$AC$398,MATCH(ROWS(BK$3:BK272),BG$3:BG$398,0),1),"")))</f>
        <v/>
      </c>
      <c r="BL272" s="48">
        <f t="shared" ca="1" si="549"/>
        <v>0</v>
      </c>
      <c r="BM272" s="48" t="str">
        <f ca="1">IF(AND(OR($DY$2=0,$DY$1=0),$I$1=2,ROW()&gt;$BH$1+2,ROW()&lt;=$BH$1+4),"………………..",IF(AND(OR($DY$2&gt;0,$DY$1&gt;0),$I$1=2,ROW()&gt;$BH$1+2,ROW()&lt;=$BH$1+4),"………………..",IFERROR(INDEX($AC$3:$AC$400,MATCH(ROWS(BM$3:BM272),BH$3:BH$400,0),1),"")))</f>
        <v/>
      </c>
      <c r="BN272" s="48">
        <f t="shared" ca="1" si="550"/>
        <v>0</v>
      </c>
      <c r="BO272" s="48" t="str">
        <f ca="1">IF(AND(OR($DY$2=0,$DY$1=0),$I$1=2,ROW()&gt;$BI$1+2,ROW()&lt;=$BI$1+4),"………………..",IF(AND(OR($DY$2&gt;0,$DY$1&gt;0),$I$1=2,ROW()&gt;$BI$1+2,ROW()&lt;=$BI$1+4),"………………..",IFERROR(INDEX($AC$3:$AC$400,MATCH(ROWS(BO$3:BO272),BI$3:BI$400,0),1),"")))</f>
        <v/>
      </c>
      <c r="BP272" s="48">
        <f t="shared" ca="1" si="551"/>
        <v>0</v>
      </c>
      <c r="BQ272" s="48" t="str">
        <f ca="1">IF(AND(OR($DY$2=0,$DY$1=0),$I$1=2,ROW()&gt;$BJ$1+2,ROW()&lt;=$BJ$1+4),"………………..",IF(AND(OR($DY$2&gt;0,$DY$1&gt;0),$I$1=2,ROW()&gt;$BJ$1+2,ROW()&lt;=$BJ$1+4),"………………..",IFERROR(INDEX($AC$3:$AC$400,MATCH(ROWS(BQ$3:BQ272),BJ$3:BJ$400,0),1),"")))</f>
        <v/>
      </c>
      <c r="BR272" s="48">
        <f t="shared" ca="1" si="552"/>
        <v>0</v>
      </c>
      <c r="BS272" s="48">
        <f ca="1">IF(IF(AND(OR(INDEX(PDC,MATCH($AC272,DEN_PDC,0),4)="D",INDEX(PDC,MATCH($AC272,DEN_PDC,0),4)="D/A"),SUMIFS(DARE,DEN_G,$AC272)&gt;=SUMIFS(AVERE,DEN_G,$AC272)),SUMIFS(DARE,DEN_G,$AC272),IF(AND(OR(INDEX(PDC,MATCH($AC272,DEN_PDC,0),4)="A",INDEX(PDC,MATCH($AC272,DEN_PDC,0),4)="D/A"),SUMIFS(AVERE,DEN_G,$AC272)&gt;=SUMIFS(DARE,DEN_G,$AC272)),SUMIFS(AVERE,DEN_G,$AC272),))&gt;0,MAX($BS$2:BS271)+1,0)</f>
        <v>0</v>
      </c>
      <c r="BT272" s="48" t="str">
        <f ca="1">IF($CO$1=0,"",IF(AND($I$1=2,ROW()&gt;$BR$1,ROW()&lt;=$BS$1)," …………….",IF(AND($E$1=1,$BX$1=1,$I$1=2,ROW()=$BQ$1),"TOTALI",IFERROR(INDEX(PDC,MATCH(ROWS(BT$3:BT272),BS$3:BS669,0),2),""))))</f>
        <v/>
      </c>
      <c r="BU272" s="48">
        <f t="shared" ca="1" si="553"/>
        <v>0</v>
      </c>
      <c r="BV272" s="48">
        <f t="shared" ca="1" si="554"/>
        <v>0</v>
      </c>
      <c r="BW272" s="48">
        <f t="shared" ca="1" si="555"/>
        <v>0</v>
      </c>
      <c r="BX272" s="48">
        <f t="shared" ca="1" si="556"/>
        <v>0</v>
      </c>
      <c r="BY272" s="48">
        <f ca="1">IF(OR(BW272&gt;0,BX272&gt;0),MAX($BY$2:BY271)+1,0)</f>
        <v>0</v>
      </c>
      <c r="BZ272" s="48" t="str">
        <f ca="1">IFERROR(INDEX($BT$3:$BY$400,MATCH(ROWS(BZ$3:BZ272),$BY$3:$BY$400,0),1),"")</f>
        <v/>
      </c>
      <c r="CA272" s="48" t="str">
        <f ca="1">IFERROR(INDEX($BT$3:$BY$400,MATCH(ROWS(CA$3:CA272),$BY$3:$BY$400,0),4),"")</f>
        <v/>
      </c>
      <c r="CB272" s="48" t="str">
        <f ca="1">IFERROR(INDEX($BT$3:$BY$400,MATCH(ROWS(CB$3:CB272),$BY$3:$BY$400,0),5),"")</f>
        <v/>
      </c>
      <c r="CC272" s="48" t="str">
        <f t="shared" ca="1" si="557"/>
        <v/>
      </c>
      <c r="CM272" s="242" t="str">
        <f t="shared" ca="1" si="566"/>
        <v/>
      </c>
      <c r="CN272" s="243">
        <f t="shared" ca="1" si="567"/>
        <v>0</v>
      </c>
      <c r="CO272" s="48" t="str">
        <f t="shared" ca="1" si="568"/>
        <v/>
      </c>
      <c r="CU272" s="48">
        <f ca="1">IF(SUMIFS(AVERE,DEN_G,AC272,AVERE,"&gt;"&amp;0)+SUMIFS(DARE,DEN_G,AC272,DARE,"&gt;"&amp;0)&gt;0,MAX($CU$2:CU271)+1,0)</f>
        <v>0</v>
      </c>
      <c r="CV272" s="48" t="str">
        <f ca="1">IF(IFERROR(INDEX(PDC,MATCH(ROWS($CV$3:CV272),$CU$3:$CU$400,0),2),"")="CONTO DI RISULTATO ECONOMICO","",IFERROR(INDEX(PDC,MATCH(ROWS($CV$3:CV272),$CU$3:$CU$400,0),2),""))</f>
        <v/>
      </c>
      <c r="CW272" s="48">
        <f ca="1">IFERROR(IF(CV272&lt;&gt;"",MAX($CW$2:CW271)+1,0),0)</f>
        <v>0</v>
      </c>
      <c r="CX272" s="48">
        <f t="shared" ca="1" si="578"/>
        <v>21</v>
      </c>
      <c r="CY272" s="48" t="str">
        <f t="shared" ca="1" si="577"/>
        <v>MASTRO</v>
      </c>
      <c r="CZ272" s="48" t="e">
        <f t="shared" ca="1" si="580"/>
        <v>#N/A</v>
      </c>
      <c r="DA272" s="48" t="str">
        <f t="shared" ca="1" si="586"/>
        <v/>
      </c>
      <c r="DB272" s="48" t="str">
        <f t="shared" ca="1" si="499"/>
        <v/>
      </c>
      <c r="DC272" s="48" t="str">
        <f t="shared" ca="1" si="581"/>
        <v/>
      </c>
      <c r="DD272" s="48" t="str">
        <f t="shared" ca="1" si="582"/>
        <v/>
      </c>
      <c r="DE272" s="48" t="str">
        <f t="shared" ca="1" si="583"/>
        <v/>
      </c>
      <c r="DF272" s="48">
        <f ca="1">IF(AND(CX272=$DF$1,CX272&lt;&gt;""),0,IF(AND(DB272&lt;&gt;"",OR(DB271&lt;&gt;"",DB273&lt;&gt;"")),MAX($DF$2:DF271)+1,0))</f>
        <v>0</v>
      </c>
      <c r="DH272" s="244"/>
      <c r="DN272" s="48">
        <f>IF(DI272&lt;&gt;"",MAX($DN$2:DN271)+1,0)</f>
        <v>0</v>
      </c>
      <c r="DW272" s="48">
        <f>IF(DR272&lt;&gt;"",MAX($DW$2:DW271)+1,0)</f>
        <v>0</v>
      </c>
      <c r="DY272" s="48" t="str">
        <f t="shared" ca="1" si="558"/>
        <v/>
      </c>
      <c r="EL272" s="48">
        <f t="shared" ca="1" si="559"/>
        <v>0</v>
      </c>
      <c r="EM272" s="48">
        <f ca="1">IF(EL272&gt;=0,0,MAX($EM$2:EM271)+1)</f>
        <v>0</v>
      </c>
      <c r="EN272" s="48" t="str">
        <f t="shared" ca="1" si="569"/>
        <v/>
      </c>
      <c r="EO272" s="48" t="str">
        <f ca="1">IFERROR(INDEX($EM$3:$EN$400,MATCH(ROWS($EO$3:EO272),$EM$3:$EM$400,0),2),"")</f>
        <v/>
      </c>
      <c r="EP272" s="48">
        <f>ROW()</f>
        <v>272</v>
      </c>
      <c r="EQ272" s="48">
        <f t="shared" ca="1" si="560"/>
        <v>0</v>
      </c>
      <c r="ER272" s="48">
        <f ca="1">IF(ISNA(EQ272)=TRUE,MAX($ER$2:ER271)+1,0)</f>
        <v>0</v>
      </c>
      <c r="ES272" s="48" t="str">
        <f t="shared" ca="1" si="570"/>
        <v/>
      </c>
      <c r="ET272" s="48" t="str">
        <f ca="1">IFERROR(INDEX($ER$3:$ES$400,MATCH(ROWS($ET$3:ET272),$ER$3:$ER$400,0),2),"")</f>
        <v/>
      </c>
      <c r="EV272" s="48">
        <f ca="1">IFERROR(INDEX(LIBRO_GIORNALE!$O$11:$P$408,MATCH(ROWS($EV$2:EV271),LIBRO_GIORNALE!$P$11:$P$408,0),1),0)</f>
        <v>0</v>
      </c>
      <c r="EW272" s="48" t="str">
        <f t="shared" ca="1" si="544"/>
        <v>0</v>
      </c>
      <c r="EX272" s="48">
        <f t="shared" ca="1" si="571"/>
        <v>0</v>
      </c>
      <c r="EY272" s="48">
        <f ca="1">IF(EX272&gt;0,MAX($EY$2:EY271)+1,0)</f>
        <v>0</v>
      </c>
      <c r="EZ272" s="48">
        <f ca="1">IFERROR(INDEX($EX$3:$EX$400,MATCH(ROWS($EZ$3:EZ272),$EY$3:$EY$400,0),1),0)</f>
        <v>0</v>
      </c>
      <c r="FA272" s="48">
        <f ca="1">IF(EZ272&gt;0,0,MAX($FA$2:FA271)+1)</f>
        <v>270</v>
      </c>
      <c r="FB272" s="48">
        <f t="shared" ca="1" si="545"/>
        <v>0</v>
      </c>
      <c r="FC272" s="48">
        <f t="shared" ca="1" si="546"/>
        <v>270</v>
      </c>
      <c r="FD272" s="48">
        <f t="shared" ca="1" si="572"/>
        <v>270</v>
      </c>
      <c r="FE272" s="48">
        <f ca="1">IF(FD272=0,0,MAX($FE$2:FE271)+1)</f>
        <v>270</v>
      </c>
      <c r="FF272" s="48">
        <f ca="1">IFERROR(INDEX($FD$3:$FE$400,MATCH(ROWS($FF$3:FF272),$FE$3:$FE$400,0),1),"")</f>
        <v>270</v>
      </c>
      <c r="FG272" s="48">
        <f t="shared" ca="1" si="519"/>
        <v>0</v>
      </c>
      <c r="FH272" s="48">
        <f t="shared" ca="1" si="573"/>
        <v>0</v>
      </c>
      <c r="FI272" s="48">
        <f ca="1">IF(FH272&lt;&gt;0,MAX($FI$2:FI271)+1,0)</f>
        <v>0</v>
      </c>
      <c r="FJ272" s="48" t="str">
        <f ca="1">IFERROR(INDEX($FH$3:$FI$400,MATCH(ROWS($FJ$3:FJ272),$FI$3:$FI$400,0),1),"")</f>
        <v/>
      </c>
      <c r="FK272" s="48">
        <f ca="1">IF(ABS(SUMIFS(DARE,DEN_G,"="&amp;FJ272,DATA,"&lt;="&amp;FINE_AC,DATA,"&gt;="&amp;INIZIO_A_PC)-SUMIFS(AVERE,DEN_G,"="&amp;FJ272,DATA,"&lt;="&amp;FINE_AC,DATA,"&gt;="&amp;INIZIO_A_PC))&gt;0,MAX($FK$2:FK271)+1,0)</f>
        <v>0</v>
      </c>
      <c r="FL272" s="48" t="str">
        <f ca="1">IF(AND(ROW()-2&lt;&gt;1,ROW()-2&lt;=$FK$1),CONCATENATE(" - ",IFERROR(INDEX($FJ$3:$FK$400,MATCH(ROWS($FL$3:FL272),$FK$3:$FK$400,0),1),"")),IFERROR(INDEX($FJ$3:$FK$400,MATCH(ROWS($FL$3:FL272),$FK$3:$FK$400,0),1),""))</f>
        <v/>
      </c>
      <c r="FM272" s="48">
        <f ca="1">IF(OR(B272="IVA ns/credito",B272="IVA NS/DEBITO",B272="IVA C/ACCONTO",B272="IMPOSTE C/ACCONTO",B272="CREDITI PER RITENUTE SUBITE",B272="CREDITI D'IMPOSTA"),MAX($FM$2:FM271)+1,0)</f>
        <v>0</v>
      </c>
      <c r="FN272" s="48" t="str">
        <f t="shared" ca="1" si="574"/>
        <v/>
      </c>
      <c r="FO272" s="48" t="str">
        <f ca="1">IFERROR(INDEX($FM$3:$FN$400,MATCH(ROWS($FO$3:FO272),$FM$3:$FM$400,0),2),"")</f>
        <v/>
      </c>
      <c r="FP272" s="48">
        <f ca="1">IF(ABS(SUMIFS(DARE,DEN_G,"="&amp;FO272,DATA,"&lt;="&amp;FINE_AC,DATA,"&gt;="&amp;INIZIO_A_PC)-SUMIFS(AVERE,DEN_G,"="&amp;FO272,DATA,"&lt;="&amp;FINE_AC,DATA,"&gt;="&amp;INIZIO_A_PC))&gt;0,MAX($FP$2:FP271)+1,0)</f>
        <v>0</v>
      </c>
      <c r="FQ272" s="48" t="str">
        <f ca="1">IF(AND(ROW()-2&lt;&gt;1,ROW()-2&lt;=$FP$1),CONCATENATE(" - ",IFERROR(INDEX($FO$3:$FP$400,MATCH(ROWS($FQ$3:FQ272),$FP$3:$FP$400,0),1),"")),IFERROR(INDEX($FO$3:$FP$400,MATCH(ROWS($FQ$3:FQ272),$FP$3:$FP$400,0),1),""))</f>
        <v/>
      </c>
    </row>
    <row r="273" spans="1:173" x14ac:dyDescent="0.3">
      <c r="A273" s="48" t="str">
        <f ca="1">IFERROR(IF($A$1=2,INDEX($DH$3:$DN$401,MATCH(ROWS(A$3:A273),$DN$3:$DN$401,0),COLUMN()),IF($A$1=1,INDEX($DQ$3:$DW$401,MATCH(ROWS(A$3:A273),$DW$3:$DW$401,0),COLUMN()),"")),"")</f>
        <v>37.01</v>
      </c>
      <c r="B273" s="48" t="str">
        <f ca="1">IFERROR(IF($A$1=2,INDEX($DH$3:$DN$401,MATCH(ROWS(B$3:B273),$DN$3:$DN$401,0),COLUMN()),IF($A$1=1,INDEX($DQ$3:$DW$400,MATCH(ROWS(B$3:B273),$DW$3:$DW$401,0),COLUMN()),"")),"")</f>
        <v>MATERIE PRIME C/ESISTENZE INIZIALI</v>
      </c>
      <c r="C273" s="48" t="str">
        <f ca="1">IFERROR(IF($A$1=2,INDEX($DH$3:$DN$401,MATCH(ROWS(C$3:C273),$DN$3:$DN$401,0),COLUMN()),IF($A$1=1,INDEX($DQ$3:$DW$401,MATCH(ROWS(C$3:C273),$DW$3:$DW$401,0),COLUMN()),"")),"")</f>
        <v>E</v>
      </c>
      <c r="D273" s="48" t="str">
        <f ca="1">IFERROR(IF($A$1=2,INDEX($DH$3:$DN$401,MATCH(ROWS(D$3:D273),$DN$3:$DN$401,0),COLUMN()),IF($A$1=1,INDEX($DQ$3:$DW$401,MATCH(ROWS(D$3:D273),$DW$3:$DW$401,0),COLUMN()),"")),"")</f>
        <v>D</v>
      </c>
      <c r="E273" s="48" t="str">
        <f ca="1">IFERROR(IF($A$1=2,INDEX($DH$3:$DN$401,MATCH(ROWS(E$3:E273),$DN$3:$DN$401,0),COLUMN()),IF($A$1=1,INDEX($DQ$3:$DW$401,MATCH(ROWS(E$3:E273),$DW$3:$DW$401,0),COLUMN()),"")),"")</f>
        <v>COSTI D'ESERCIZIO</v>
      </c>
      <c r="F273" s="48" t="str">
        <f ca="1">IFERROR(IF($A$1=2,INDEX($DH$3:$DN$401,MATCH(ROWS(F$3:F273),$DN$3:$DN$401,0),COLUMN()),IF($A$1=1,INDEX($DQ$3:$DX$401,MATCH(ROWS(F$3:F273),$DW$3:$DW$401,0),COLUMN()),"")),"")</f>
        <v>SE DARE</v>
      </c>
      <c r="G273" s="48" t="str">
        <f t="shared" ca="1" si="561"/>
        <v>SE</v>
      </c>
      <c r="H273" s="48" t="str">
        <f ca="1">IFERROR(IF($A$1=2,INDEX($DH$3:$DO$400,MATCH(ROWS(H$3:H273),$DN$3:$DN$400,0),COLUMN()),IF($A$1=1,INDEX($DQ$3:$DX$400,MATCH(ROWS(H$3:H273),$DW$3:$DW$400,0),COLUMN()),"")),"")</f>
        <v>eb11</v>
      </c>
      <c r="M273" s="48">
        <f ca="1">IFERROR(IF(IF(MID($A273,3,3)=".00",MID(A273,1,2),"")&lt;&gt;"",MAX($M$2:M272)+1,0),"")</f>
        <v>0</v>
      </c>
      <c r="N273" s="48" t="str">
        <f t="shared" ca="1" si="562"/>
        <v/>
      </c>
      <c r="O273" s="48" t="str">
        <f ca="1">IF(IFERROR(INDEX($N$3:$O$300,MATCH(ROWS($O$3:O273),$M$3:$M$300,0),1),"")&lt;&gt;"",CONCATENATE(INDEX($N$3:$O$300,MATCH(ROWS($O$3:O273),$M$3:$M$300,0),1),".00"),"")</f>
        <v/>
      </c>
      <c r="P273" s="48" t="str">
        <f t="shared" ca="1" si="563"/>
        <v/>
      </c>
      <c r="Q273" s="48">
        <f ca="1">IF(M273&gt;=1,0,MAX($Q$2:Q272)+1)</f>
        <v>242</v>
      </c>
      <c r="U273" s="48" t="str">
        <f ca="1">IFERROR(INDEX(PDC,MATCH(ROWS(U$3:U273),$V$3:$V$400,0),2),"")</f>
        <v>INTERESSI PASSIVI A FORNITORI</v>
      </c>
      <c r="V273" s="48">
        <f ca="1">IF(AND($T$1="VISUALIZZA TUTTI I CONTI",AA273&lt;&gt;""),MAX($V$2:V272)+1,IF(AND($U$2=2,AI273=$T$1),MAX($V$2:V272)+1,IF(AND($U$2=1,$T$1=AF273),MAX($V$2:V272)+1,0)))</f>
        <v>271</v>
      </c>
      <c r="AA273" s="48" t="str">
        <f t="shared" ca="1" si="564"/>
        <v>41.00</v>
      </c>
      <c r="AB273" s="48" t="str">
        <f ca="1">IFERROR(INDEX($A$3:$G$400,MATCH(ROWS(AB$3:AB273),$Q$3:$Q$400,0),1),"")</f>
        <v>41.01</v>
      </c>
      <c r="AC273" s="48" t="str">
        <f ca="1">IFERROR(INDEX($A$3:$G$400,MATCH(ROWS($AC$3:AC273),$Q$3:$Q$400,0),2),"")</f>
        <v>INTERESSI PASSIVI A FORNITORI</v>
      </c>
      <c r="AD273" s="48" t="str">
        <f ca="1">IFERROR(INDEX($A$3:$G$400,MATCH(ROWS(AD$3:AD273),$Q$3:$Q$400,0),3),"")</f>
        <v>E</v>
      </c>
      <c r="AE273" s="48" t="str">
        <f ca="1">IFERROR(INDEX($A$3:$G$400,MATCH(ROWS(AE$3:AE273),$Q$3:$Q$400,0),4),"")</f>
        <v>D</v>
      </c>
      <c r="AF273" s="48" t="str">
        <f ca="1">IFERROR(INDEX($A$3:$G$400,MATCH(ROWS(AF$3:AF273),$Q$3:$Q$400,0),5),"")</f>
        <v>COSTI D'ESERCIZIO</v>
      </c>
      <c r="AG273" s="48" t="str">
        <f ca="1">IFERROR(INDEX($A$3:$G$400,MATCH(ROWS(AG$3:AG273),$Q$3:$Q$400,0),6),"")</f>
        <v>SE DARE</v>
      </c>
      <c r="AH273" s="48" t="str">
        <f ca="1">IFERROR(INDEX($A$3:$G$400,MATCH(ROWS(AH$3:AH273),$Q$3:$Q$400,0),7),"")</f>
        <v>SE</v>
      </c>
      <c r="AI273" s="48" t="str">
        <f t="shared" ca="1" si="565"/>
        <v>ONERI FINANZIARI</v>
      </c>
      <c r="AJ273" s="48" t="str">
        <f ca="1">IFERROR(INDEX($A$3:$H$400,MATCH(ROWS(AJ$3:AJ273),$Q$3:$Q$400,0),8),"")</f>
        <v>ec17</v>
      </c>
      <c r="AK273" s="48">
        <f t="shared" ca="1" si="548"/>
        <v>0</v>
      </c>
      <c r="AL273" s="48">
        <f t="shared" ca="1" si="576"/>
        <v>0</v>
      </c>
      <c r="AM273" s="48">
        <f t="shared" ca="1" si="516"/>
        <v>0</v>
      </c>
      <c r="AN273" s="48">
        <f t="shared" ca="1" si="517"/>
        <v>0</v>
      </c>
      <c r="AO273" s="48">
        <f t="shared" ca="1" si="518"/>
        <v>0</v>
      </c>
      <c r="AP273" s="48">
        <f t="shared" ca="1" si="518"/>
        <v>0</v>
      </c>
      <c r="AZ273" s="48" t="str">
        <f t="shared" ca="1" si="584"/>
        <v/>
      </c>
      <c r="BA273" s="48">
        <f t="shared" ca="1" si="520"/>
        <v>0</v>
      </c>
      <c r="BB273" s="48">
        <f t="shared" ca="1" si="521"/>
        <v>0</v>
      </c>
      <c r="BC273" s="48">
        <f t="shared" ca="1" si="522"/>
        <v>0</v>
      </c>
      <c r="BD273" s="48">
        <f t="shared" ca="1" si="523"/>
        <v>0</v>
      </c>
      <c r="BE273" s="48">
        <f t="shared" ca="1" si="524"/>
        <v>0</v>
      </c>
      <c r="BF273" s="48">
        <f t="shared" si="585"/>
        <v>73</v>
      </c>
      <c r="BG273" s="48">
        <f ca="1">IF(IF(AND(OR(INDEX(PDC,MATCH($AC273,DEN_PDC,0),6)="SP DARE",INDEX(PDC,MATCH($AC273,DEN_PDC,0),6)="SP DARE/AVERE"),SUMIFS(DARE,DEN_G,$AC273)&gt;=SUMIFS(AVERE,DEN_G,$AC273)),SUMIFS(DARE,DEN_G,$AC273)-SUMIFS(AVERE,DEN_G,$AC273),0)&gt;0,MAX($BG$2:BG272)+1,0)</f>
        <v>0</v>
      </c>
      <c r="BH273" s="48">
        <f ca="1">IF(IF(AND(OR(INDEX(PDC,MATCH($AC273,DEN_PDC,0),6)="SP AVERE",INDEX(PDC,MATCH($AC273,DEN_PDC,0),6)="SP DARE/AVERE"),SUMIFS(AVERE,DEN_G,$AC273)&gt;=SUMIFS(DARE,DEN_G,$AC273)),SUMIFS(AVERE,DEN_G,$AC273)-SUMIFS(DARE,DEN_G,$AC273),0)&gt;0,MAX(BH$2:BH272)+1,0)</f>
        <v>0</v>
      </c>
      <c r="BI273" s="48">
        <f ca="1">IF(IF(AND(OR(INDEX(PDC,MATCH($AC273,DEN_PDC,0),6)="SE DARE",INDEX(PDC,MATCH($AC273,DEN_PDC,0),6)="SE DARE/AVERE"),SUMIFS(DARE,DEN_G,$AC273)&gt;=SUMIFS(AVERE,DEN_G,$AC273)),SUMIFS(DARE,DEN_G,$AC273)-SUMIFS(AVERE,DEN_G,$AC273),0)&gt;0,MAX(BI$2:BI272)+1,0)</f>
        <v>0</v>
      </c>
      <c r="BJ273" s="48">
        <f ca="1">IF(IF(AND(OR(INDEX(PDC,MATCH($AC273,DEN_PDC,0),6)="SE AVERE",INDEX(PDC,MATCH($AC273,DEN_PDC,0),6)="SE DARE/AVERE"),SUMIFS(AVERE,DEN_G,$AC273)&gt;=SUMIFS(DARE,DEN_G,$AC273)),SUMIFS(AVERE,DEN_G,$AC273)-SUMIFS(DARE,DEN_G,$AC273),0)&gt;0,MAX(BJ$2:BJ272)+1,0)</f>
        <v>0</v>
      </c>
      <c r="BK273" s="48" t="str">
        <f ca="1">IF(AND(AND($DY$2=0,$DY$1=0),$I$1=2,ROW()&gt;$BG$1+2,ROW()&lt;=$BG$1+4),"………………..",IF(AND(OR($DY$2&gt;0,$DY$1&gt;0),$I$1=2,ROW()&gt;$BG$1+2,ROW()&lt;=$BG$1+4),"………………..",IFERROR(INDEX($AC$3:$AC$398,MATCH(ROWS(BK$3:BK273),BG$3:BG$398,0),1),"")))</f>
        <v/>
      </c>
      <c r="BL273" s="48">
        <f t="shared" ca="1" si="549"/>
        <v>0</v>
      </c>
      <c r="BM273" s="48" t="str">
        <f ca="1">IF(AND(OR($DY$2=0,$DY$1=0),$I$1=2,ROW()&gt;$BH$1+2,ROW()&lt;=$BH$1+4),"………………..",IF(AND(OR($DY$2&gt;0,$DY$1&gt;0),$I$1=2,ROW()&gt;$BH$1+2,ROW()&lt;=$BH$1+4),"………………..",IFERROR(INDEX($AC$3:$AC$400,MATCH(ROWS(BM$3:BM273),BH$3:BH$400,0),1),"")))</f>
        <v/>
      </c>
      <c r="BN273" s="48">
        <f t="shared" ca="1" si="550"/>
        <v>0</v>
      </c>
      <c r="BO273" s="48" t="str">
        <f ca="1">IF(AND(OR($DY$2=0,$DY$1=0),$I$1=2,ROW()&gt;$BI$1+2,ROW()&lt;=$BI$1+4),"………………..",IF(AND(OR($DY$2&gt;0,$DY$1&gt;0),$I$1=2,ROW()&gt;$BI$1+2,ROW()&lt;=$BI$1+4),"………………..",IFERROR(INDEX($AC$3:$AC$400,MATCH(ROWS(BO$3:BO273),BI$3:BI$400,0),1),"")))</f>
        <v/>
      </c>
      <c r="BP273" s="48">
        <f t="shared" ca="1" si="551"/>
        <v>0</v>
      </c>
      <c r="BQ273" s="48" t="str">
        <f ca="1">IF(AND(OR($DY$2=0,$DY$1=0),$I$1=2,ROW()&gt;$BJ$1+2,ROW()&lt;=$BJ$1+4),"………………..",IF(AND(OR($DY$2&gt;0,$DY$1&gt;0),$I$1=2,ROW()&gt;$BJ$1+2,ROW()&lt;=$BJ$1+4),"………………..",IFERROR(INDEX($AC$3:$AC$400,MATCH(ROWS(BQ$3:BQ273),BJ$3:BJ$400,0),1),"")))</f>
        <v/>
      </c>
      <c r="BR273" s="48">
        <f t="shared" ca="1" si="552"/>
        <v>0</v>
      </c>
      <c r="BS273" s="48">
        <f ca="1">IF(IF(AND(OR(INDEX(PDC,MATCH($AC273,DEN_PDC,0),4)="D",INDEX(PDC,MATCH($AC273,DEN_PDC,0),4)="D/A"),SUMIFS(DARE,DEN_G,$AC273)&gt;=SUMIFS(AVERE,DEN_G,$AC273)),SUMIFS(DARE,DEN_G,$AC273),IF(AND(OR(INDEX(PDC,MATCH($AC273,DEN_PDC,0),4)="A",INDEX(PDC,MATCH($AC273,DEN_PDC,0),4)="D/A"),SUMIFS(AVERE,DEN_G,$AC273)&gt;=SUMIFS(DARE,DEN_G,$AC273)),SUMIFS(AVERE,DEN_G,$AC273),))&gt;0,MAX($BS$2:BS272)+1,0)</f>
        <v>0</v>
      </c>
      <c r="BT273" s="48" t="str">
        <f ca="1">IF($CO$1=0,"",IF(AND($I$1=2,ROW()&gt;$BR$1,ROW()&lt;=$BS$1)," …………….",IF(AND($E$1=1,$BX$1=1,$I$1=2,ROW()=$BQ$1),"TOTALI",IFERROR(INDEX(PDC,MATCH(ROWS(BT$3:BT273),BS$3:BS670,0),2),""))))</f>
        <v/>
      </c>
      <c r="BU273" s="48">
        <f t="shared" ca="1" si="553"/>
        <v>0</v>
      </c>
      <c r="BV273" s="48">
        <f t="shared" ca="1" si="554"/>
        <v>0</v>
      </c>
      <c r="BW273" s="48">
        <f t="shared" ca="1" si="555"/>
        <v>0</v>
      </c>
      <c r="BX273" s="48">
        <f t="shared" ca="1" si="556"/>
        <v>0</v>
      </c>
      <c r="BY273" s="48">
        <f ca="1">IF(OR(BW273&gt;0,BX273&gt;0),MAX($BY$2:BY272)+1,0)</f>
        <v>0</v>
      </c>
      <c r="BZ273" s="48" t="str">
        <f ca="1">IFERROR(INDEX($BT$3:$BY$400,MATCH(ROWS(BZ$3:BZ273),$BY$3:$BY$400,0),1),"")</f>
        <v/>
      </c>
      <c r="CA273" s="48" t="str">
        <f ca="1">IFERROR(INDEX($BT$3:$BY$400,MATCH(ROWS(CA$3:CA273),$BY$3:$BY$400,0),4),"")</f>
        <v/>
      </c>
      <c r="CB273" s="48" t="str">
        <f ca="1">IFERROR(INDEX($BT$3:$BY$400,MATCH(ROWS(CB$3:CB273),$BY$3:$BY$400,0),5),"")</f>
        <v/>
      </c>
      <c r="CC273" s="48" t="str">
        <f t="shared" ca="1" si="557"/>
        <v/>
      </c>
      <c r="CM273" s="242" t="str">
        <f t="shared" ca="1" si="566"/>
        <v/>
      </c>
      <c r="CN273" s="243">
        <f t="shared" ca="1" si="567"/>
        <v>0</v>
      </c>
      <c r="CO273" s="48" t="str">
        <f t="shared" ca="1" si="568"/>
        <v/>
      </c>
      <c r="CU273" s="48">
        <f ca="1">IF(SUMIFS(AVERE,DEN_G,AC273,AVERE,"&gt;"&amp;0)+SUMIFS(DARE,DEN_G,AC273,DARE,"&gt;"&amp;0)&gt;0,MAX($CU$2:CU272)+1,0)</f>
        <v>0</v>
      </c>
      <c r="CV273" s="48" t="str">
        <f ca="1">IF(IFERROR(INDEX(PDC,MATCH(ROWS($CV$3:CV273),$CU$3:$CU$400,0),2),"")="CONTO DI RISULTATO ECONOMICO","",IFERROR(INDEX(PDC,MATCH(ROWS($CV$3:CV273),$CU$3:$CU$400,0),2),""))</f>
        <v/>
      </c>
      <c r="CW273" s="48">
        <f ca="1">IFERROR(IF(CV273&lt;&gt;"",MAX($CW$2:CW272)+1,0),0)</f>
        <v>0</v>
      </c>
      <c r="CX273" s="48">
        <f t="shared" ca="1" si="578"/>
        <v>21</v>
      </c>
      <c r="CY273" s="48" t="str">
        <f t="shared" ca="1" si="577"/>
        <v>MASTRO</v>
      </c>
      <c r="CZ273" s="48" t="e">
        <f t="shared" ca="1" si="580"/>
        <v>#N/A</v>
      </c>
      <c r="DA273" s="48" t="str">
        <f t="shared" ca="1" si="586"/>
        <v/>
      </c>
      <c r="DB273" s="48" t="str">
        <f t="shared" ca="1" si="499"/>
        <v/>
      </c>
      <c r="DC273" s="48" t="str">
        <f t="shared" ca="1" si="581"/>
        <v/>
      </c>
      <c r="DD273" s="48" t="str">
        <f t="shared" ca="1" si="582"/>
        <v/>
      </c>
      <c r="DE273" s="48" t="str">
        <f t="shared" ca="1" si="583"/>
        <v/>
      </c>
      <c r="DF273" s="48">
        <f ca="1">IF(AND(CX273=$DF$1,CX273&lt;&gt;""),0,IF(AND(DB273&lt;&gt;"",OR(DB272&lt;&gt;"",DB274&lt;&gt;"")),MAX($DF$2:DF272)+1,0))</f>
        <v>0</v>
      </c>
      <c r="DH273" s="244"/>
      <c r="DN273" s="48">
        <f>IF(DI273&lt;&gt;"",MAX($DN$2:DN272)+1,0)</f>
        <v>0</v>
      </c>
      <c r="DQ273" s="227" t="s">
        <v>192</v>
      </c>
      <c r="DR273" s="228" t="s">
        <v>193</v>
      </c>
      <c r="DW273" s="48">
        <f ca="1">IF(DR273&lt;&gt;"",MAX($DW$2:DW272)+1,0)</f>
        <v>161</v>
      </c>
      <c r="DY273" s="48" t="str">
        <f t="shared" ca="1" si="558"/>
        <v/>
      </c>
      <c r="EL273" s="48">
        <f t="shared" ca="1" si="559"/>
        <v>0</v>
      </c>
      <c r="EM273" s="48">
        <f ca="1">IF(EL273&gt;=0,0,MAX($EM$2:EM272)+1)</f>
        <v>0</v>
      </c>
      <c r="EN273" s="48" t="str">
        <f t="shared" ca="1" si="569"/>
        <v/>
      </c>
      <c r="EO273" s="48" t="str">
        <f ca="1">IFERROR(INDEX($EM$3:$EN$400,MATCH(ROWS($EO$3:EO273),$EM$3:$EM$400,0),2),"")</f>
        <v/>
      </c>
      <c r="EP273" s="48">
        <f>ROW()</f>
        <v>273</v>
      </c>
      <c r="EQ273" s="48">
        <f t="shared" ca="1" si="560"/>
        <v>0</v>
      </c>
      <c r="ER273" s="48">
        <f ca="1">IF(ISNA(EQ273)=TRUE,MAX($ER$2:ER272)+1,0)</f>
        <v>0</v>
      </c>
      <c r="ES273" s="48" t="str">
        <f t="shared" ca="1" si="570"/>
        <v/>
      </c>
      <c r="ET273" s="48" t="str">
        <f ca="1">IFERROR(INDEX($ER$3:$ES$400,MATCH(ROWS($ET$3:ET273),$ER$3:$ER$400,0),2),"")</f>
        <v/>
      </c>
      <c r="EV273" s="48">
        <f ca="1">IFERROR(INDEX(LIBRO_GIORNALE!$O$11:$P$408,MATCH(ROWS($EV$2:EV272),LIBRO_GIORNALE!$P$11:$P$408,0),1),0)</f>
        <v>0</v>
      </c>
      <c r="EW273" s="48" t="str">
        <f t="shared" ca="1" si="544"/>
        <v>0</v>
      </c>
      <c r="EX273" s="48">
        <f t="shared" ca="1" si="571"/>
        <v>0</v>
      </c>
      <c r="EY273" s="48">
        <f ca="1">IF(EX273&gt;0,MAX($EY$2:EY272)+1,0)</f>
        <v>0</v>
      </c>
      <c r="EZ273" s="48">
        <f ca="1">IFERROR(INDEX($EX$3:$EX$400,MATCH(ROWS($EZ$3:EZ273),$EY$3:$EY$400,0),1),0)</f>
        <v>0</v>
      </c>
      <c r="FA273" s="48">
        <f ca="1">IF(EZ273&gt;0,0,MAX($FA$2:FA272)+1)</f>
        <v>271</v>
      </c>
      <c r="FB273" s="48">
        <f t="shared" ca="1" si="545"/>
        <v>0</v>
      </c>
      <c r="FC273" s="48">
        <f t="shared" ca="1" si="546"/>
        <v>271</v>
      </c>
      <c r="FD273" s="48">
        <f t="shared" ca="1" si="572"/>
        <v>271</v>
      </c>
      <c r="FE273" s="48">
        <f ca="1">IF(FD273=0,0,MAX($FE$2:FE272)+1)</f>
        <v>271</v>
      </c>
      <c r="FF273" s="48">
        <f ca="1">IFERROR(INDEX($FD$3:$FE$400,MATCH(ROWS($FF$3:FF273),$FE$3:$FE$400,0),1),"")</f>
        <v>271</v>
      </c>
      <c r="FG273" s="48">
        <f t="shared" ca="1" si="519"/>
        <v>0</v>
      </c>
      <c r="FH273" s="48">
        <f t="shared" ca="1" si="573"/>
        <v>0</v>
      </c>
      <c r="FI273" s="48">
        <f ca="1">IF(FH273&lt;&gt;0,MAX($FI$2:FI272)+1,0)</f>
        <v>0</v>
      </c>
      <c r="FJ273" s="48" t="str">
        <f ca="1">IFERROR(INDEX($FH$3:$FI$400,MATCH(ROWS($FJ$3:FJ273),$FI$3:$FI$400,0),1),"")</f>
        <v/>
      </c>
      <c r="FK273" s="48">
        <f ca="1">IF(ABS(SUMIFS(DARE,DEN_G,"="&amp;FJ273,DATA,"&lt;="&amp;FINE_AC,DATA,"&gt;="&amp;INIZIO_A_PC)-SUMIFS(AVERE,DEN_G,"="&amp;FJ273,DATA,"&lt;="&amp;FINE_AC,DATA,"&gt;="&amp;INIZIO_A_PC))&gt;0,MAX($FK$2:FK272)+1,0)</f>
        <v>0</v>
      </c>
      <c r="FL273" s="48" t="str">
        <f ca="1">IF(AND(ROW()-2&lt;&gt;1,ROW()-2&lt;=$FK$1),CONCATENATE(" - ",IFERROR(INDEX($FJ$3:$FK$400,MATCH(ROWS($FL$3:FL273),$FK$3:$FK$400,0),1),"")),IFERROR(INDEX($FJ$3:$FK$400,MATCH(ROWS($FL$3:FL273),$FK$3:$FK$400,0),1),""))</f>
        <v/>
      </c>
      <c r="FM273" s="48">
        <f ca="1">IF(OR(B273="IVA ns/credito",B273="IVA NS/DEBITO",B273="IVA C/ACCONTO",B273="IMPOSTE C/ACCONTO",B273="CREDITI PER RITENUTE SUBITE",B273="CREDITI D'IMPOSTA"),MAX($FM$2:FM272)+1,0)</f>
        <v>0</v>
      </c>
      <c r="FN273" s="48" t="str">
        <f t="shared" ca="1" si="574"/>
        <v/>
      </c>
      <c r="FO273" s="48" t="str">
        <f ca="1">IFERROR(INDEX($FM$3:$FN$400,MATCH(ROWS($FO$3:FO273),$FM$3:$FM$400,0),2),"")</f>
        <v/>
      </c>
      <c r="FP273" s="48">
        <f ca="1">IF(ABS(SUMIFS(DARE,DEN_G,"="&amp;FO273,DATA,"&lt;="&amp;FINE_AC,DATA,"&gt;="&amp;INIZIO_A_PC)-SUMIFS(AVERE,DEN_G,"="&amp;FO273,DATA,"&lt;="&amp;FINE_AC,DATA,"&gt;="&amp;INIZIO_A_PC))&gt;0,MAX($FP$2:FP272)+1,0)</f>
        <v>0</v>
      </c>
      <c r="FQ273" s="48" t="str">
        <f ca="1">IF(AND(ROW()-2&lt;&gt;1,ROW()-2&lt;=$FP$1),CONCATENATE(" - ",IFERROR(INDEX($FO$3:$FP$400,MATCH(ROWS($FQ$3:FQ273),$FP$3:$FP$400,0),1),"")),IFERROR(INDEX($FO$3:$FP$400,MATCH(ROWS($FQ$3:FQ273),$FP$3:$FP$400,0),1),""))</f>
        <v/>
      </c>
    </row>
    <row r="274" spans="1:173" x14ac:dyDescent="0.3">
      <c r="A274" s="48" t="str">
        <f ca="1">IFERROR(IF($A$1=2,INDEX($DH$3:$DN$401,MATCH(ROWS(A$3:A274),$DN$3:$DN$401,0),COLUMN()),IF($A$1=1,INDEX($DQ$3:$DW$401,MATCH(ROWS(A$3:A274),$DW$3:$DW$401,0),COLUMN()),"")),"")</f>
        <v>37.02</v>
      </c>
      <c r="B274" s="48" t="str">
        <f ca="1">IFERROR(IF($A$1=2,INDEX($DH$3:$DN$401,MATCH(ROWS(B$3:B274),$DN$3:$DN$401,0),COLUMN()),IF($A$1=1,INDEX($DQ$3:$DW$400,MATCH(ROWS(B$3:B274),$DW$3:$DW$401,0),COLUMN()),"")),"")</f>
        <v>MATERIE SUSSIDIARIE C/ESISTENZE INIZIALI</v>
      </c>
      <c r="C274" s="48" t="str">
        <f ca="1">IFERROR(IF($A$1=2,INDEX($DH$3:$DN$401,MATCH(ROWS(C$3:C274),$DN$3:$DN$401,0),COLUMN()),IF($A$1=1,INDEX($DQ$3:$DW$401,MATCH(ROWS(C$3:C274),$DW$3:$DW$401,0),COLUMN()),"")),"")</f>
        <v>E</v>
      </c>
      <c r="D274" s="48" t="str">
        <f ca="1">IFERROR(IF($A$1=2,INDEX($DH$3:$DN$401,MATCH(ROWS(D$3:D274),$DN$3:$DN$401,0),COLUMN()),IF($A$1=1,INDEX($DQ$3:$DW$401,MATCH(ROWS(D$3:D274),$DW$3:$DW$401,0),COLUMN()),"")),"")</f>
        <v>D</v>
      </c>
      <c r="E274" s="48" t="str">
        <f ca="1">IFERROR(IF($A$1=2,INDEX($DH$3:$DN$401,MATCH(ROWS(E$3:E274),$DN$3:$DN$401,0),COLUMN()),IF($A$1=1,INDEX($DQ$3:$DW$401,MATCH(ROWS(E$3:E274),$DW$3:$DW$401,0),COLUMN()),"")),"")</f>
        <v>COSTI D'ESERCIZIO</v>
      </c>
      <c r="F274" s="48" t="str">
        <f ca="1">IFERROR(IF($A$1=2,INDEX($DH$3:$DN$401,MATCH(ROWS(F$3:F274),$DN$3:$DN$401,0),COLUMN()),IF($A$1=1,INDEX($DQ$3:$DX$401,MATCH(ROWS(F$3:F274),$DW$3:$DW$401,0),COLUMN()),"")),"")</f>
        <v>SE DARE</v>
      </c>
      <c r="G274" s="48" t="str">
        <f t="shared" ca="1" si="561"/>
        <v>SE</v>
      </c>
      <c r="H274" s="48" t="str">
        <f ca="1">IFERROR(IF($A$1=2,INDEX($DH$3:$DO$400,MATCH(ROWS(H$3:H274),$DN$3:$DN$400,0),COLUMN()),IF($A$1=1,INDEX($DQ$3:$DX$400,MATCH(ROWS(H$3:H274),$DW$3:$DW$400,0),COLUMN()),"")),"")</f>
        <v>eb11</v>
      </c>
      <c r="M274" s="48">
        <f ca="1">IFERROR(IF(IF(MID($A274,3,3)=".00",MID(A274,1,2),"")&lt;&gt;"",MAX($M$2:M273)+1,0),"")</f>
        <v>0</v>
      </c>
      <c r="N274" s="48" t="str">
        <f t="shared" ca="1" si="562"/>
        <v/>
      </c>
      <c r="O274" s="48" t="str">
        <f ca="1">IF(IFERROR(INDEX($N$3:$O$300,MATCH(ROWS($O$3:O274),$M$3:$M$300,0),1),"")&lt;&gt;"",CONCATENATE(INDEX($N$3:$O$300,MATCH(ROWS($O$3:O274),$M$3:$M$300,0),1),".00"),"")</f>
        <v/>
      </c>
      <c r="P274" s="48" t="str">
        <f t="shared" ca="1" si="563"/>
        <v/>
      </c>
      <c r="Q274" s="48">
        <f ca="1">IF(M274&gt;=1,0,MAX($Q$2:Q273)+1)</f>
        <v>243</v>
      </c>
      <c r="U274" s="48" t="str">
        <f ca="1">IFERROR(INDEX(PDC,MATCH(ROWS(U$3:U274),$V$3:$V$400,0),2),"")</f>
        <v>INTERESSI PASSIVI BANCARI</v>
      </c>
      <c r="V274" s="48">
        <f ca="1">IF(AND($T$1="VISUALIZZA TUTTI I CONTI",AA274&lt;&gt;""),MAX($V$2:V273)+1,IF(AND($U$2=2,AI274=$T$1),MAX($V$2:V273)+1,IF(AND($U$2=1,$T$1=AF274),MAX($V$2:V273)+1,0)))</f>
        <v>272</v>
      </c>
      <c r="AA274" s="48" t="str">
        <f t="shared" ca="1" si="564"/>
        <v>41.00</v>
      </c>
      <c r="AB274" s="48" t="str">
        <f ca="1">IFERROR(INDEX($A$3:$G$400,MATCH(ROWS(AB$3:AB274),$Q$3:$Q$400,0),1),"")</f>
        <v>41.02</v>
      </c>
      <c r="AC274" s="48" t="str">
        <f ca="1">IFERROR(INDEX($A$3:$G$400,MATCH(ROWS($AC$3:AC274),$Q$3:$Q$400,0),2),"")</f>
        <v>INTERESSI PASSIVI BANCARI</v>
      </c>
      <c r="AD274" s="48" t="str">
        <f ca="1">IFERROR(INDEX($A$3:$G$400,MATCH(ROWS(AD$3:AD274),$Q$3:$Q$400,0),3),"")</f>
        <v>E</v>
      </c>
      <c r="AE274" s="48" t="str">
        <f ca="1">IFERROR(INDEX($A$3:$G$400,MATCH(ROWS(AE$3:AE274),$Q$3:$Q$400,0),4),"")</f>
        <v>D</v>
      </c>
      <c r="AF274" s="48" t="str">
        <f ca="1">IFERROR(INDEX($A$3:$G$400,MATCH(ROWS(AF$3:AF274),$Q$3:$Q$400,0),5),"")</f>
        <v>COSTI D'ESERCIZIO</v>
      </c>
      <c r="AG274" s="48" t="str">
        <f ca="1">IFERROR(INDEX($A$3:$G$400,MATCH(ROWS(AG$3:AG274),$Q$3:$Q$400,0),6),"")</f>
        <v>SE DARE</v>
      </c>
      <c r="AH274" s="48" t="str">
        <f ca="1">IFERROR(INDEX($A$3:$G$400,MATCH(ROWS(AH$3:AH274),$Q$3:$Q$400,0),7),"")</f>
        <v>SE</v>
      </c>
      <c r="AI274" s="48" t="str">
        <f t="shared" ca="1" si="565"/>
        <v>ONERI FINANZIARI</v>
      </c>
      <c r="AJ274" s="48" t="str">
        <f ca="1">IFERROR(INDEX($A$3:$H$400,MATCH(ROWS(AJ$3:AJ274),$Q$3:$Q$400,0),8),"")</f>
        <v>ec17</v>
      </c>
      <c r="AK274" s="48">
        <f t="shared" ca="1" si="548"/>
        <v>0</v>
      </c>
      <c r="AL274" s="48">
        <f t="shared" ca="1" si="576"/>
        <v>0</v>
      </c>
      <c r="AM274" s="48">
        <f t="shared" ca="1" si="516"/>
        <v>0</v>
      </c>
      <c r="AN274" s="48">
        <f t="shared" ca="1" si="517"/>
        <v>0</v>
      </c>
      <c r="AO274" s="48">
        <f t="shared" ca="1" si="518"/>
        <v>0</v>
      </c>
      <c r="AP274" s="48">
        <f t="shared" ca="1" si="518"/>
        <v>0</v>
      </c>
      <c r="AZ274" s="48" t="str">
        <f t="shared" ca="1" si="584"/>
        <v/>
      </c>
      <c r="BA274" s="48">
        <f t="shared" ca="1" si="520"/>
        <v>0</v>
      </c>
      <c r="BB274" s="48">
        <f t="shared" ca="1" si="521"/>
        <v>0</v>
      </c>
      <c r="BC274" s="48">
        <f t="shared" ca="1" si="522"/>
        <v>0</v>
      </c>
      <c r="BD274" s="48">
        <f t="shared" ca="1" si="523"/>
        <v>0</v>
      </c>
      <c r="BE274" s="48">
        <f t="shared" ca="1" si="524"/>
        <v>0</v>
      </c>
      <c r="BF274" s="48">
        <f t="shared" si="585"/>
        <v>74</v>
      </c>
      <c r="BG274" s="48">
        <f ca="1">IF(IF(AND(OR(INDEX(PDC,MATCH($AC274,DEN_PDC,0),6)="SP DARE",INDEX(PDC,MATCH($AC274,DEN_PDC,0),6)="SP DARE/AVERE"),SUMIFS(DARE,DEN_G,$AC274)&gt;=SUMIFS(AVERE,DEN_G,$AC274)),SUMIFS(DARE,DEN_G,$AC274)-SUMIFS(AVERE,DEN_G,$AC274),0)&gt;0,MAX($BG$2:BG273)+1,0)</f>
        <v>0</v>
      </c>
      <c r="BH274" s="48">
        <f ca="1">IF(IF(AND(OR(INDEX(PDC,MATCH($AC274,DEN_PDC,0),6)="SP AVERE",INDEX(PDC,MATCH($AC274,DEN_PDC,0),6)="SP DARE/AVERE"),SUMIFS(AVERE,DEN_G,$AC274)&gt;=SUMIFS(DARE,DEN_G,$AC274)),SUMIFS(AVERE,DEN_G,$AC274)-SUMIFS(DARE,DEN_G,$AC274),0)&gt;0,MAX(BH$2:BH273)+1,0)</f>
        <v>0</v>
      </c>
      <c r="BI274" s="48">
        <f ca="1">IF(IF(AND(OR(INDEX(PDC,MATCH($AC274,DEN_PDC,0),6)="SE DARE",INDEX(PDC,MATCH($AC274,DEN_PDC,0),6)="SE DARE/AVERE"),SUMIFS(DARE,DEN_G,$AC274)&gt;=SUMIFS(AVERE,DEN_G,$AC274)),SUMIFS(DARE,DEN_G,$AC274)-SUMIFS(AVERE,DEN_G,$AC274),0)&gt;0,MAX(BI$2:BI273)+1,0)</f>
        <v>0</v>
      </c>
      <c r="BJ274" s="48">
        <f ca="1">IF(IF(AND(OR(INDEX(PDC,MATCH($AC274,DEN_PDC,0),6)="SE AVERE",INDEX(PDC,MATCH($AC274,DEN_PDC,0),6)="SE DARE/AVERE"),SUMIFS(AVERE,DEN_G,$AC274)&gt;=SUMIFS(DARE,DEN_G,$AC274)),SUMIFS(AVERE,DEN_G,$AC274)-SUMIFS(DARE,DEN_G,$AC274),0)&gt;0,MAX(BJ$2:BJ273)+1,0)</f>
        <v>0</v>
      </c>
      <c r="BK274" s="48" t="str">
        <f ca="1">IF(AND(AND($DY$2=0,$DY$1=0),$I$1=2,ROW()&gt;$BG$1+2,ROW()&lt;=$BG$1+4),"………………..",IF(AND(OR($DY$2&gt;0,$DY$1&gt;0),$I$1=2,ROW()&gt;$BG$1+2,ROW()&lt;=$BG$1+4),"………………..",IFERROR(INDEX($AC$3:$AC$398,MATCH(ROWS(BK$3:BK274),BG$3:BG$398,0),1),"")))</f>
        <v/>
      </c>
      <c r="BL274" s="48">
        <f t="shared" ca="1" si="549"/>
        <v>0</v>
      </c>
      <c r="BM274" s="48" t="str">
        <f ca="1">IF(AND(OR($DY$2=0,$DY$1=0),$I$1=2,ROW()&gt;$BH$1+2,ROW()&lt;=$BH$1+4),"………………..",IF(AND(OR($DY$2&gt;0,$DY$1&gt;0),$I$1=2,ROW()&gt;$BH$1+2,ROW()&lt;=$BH$1+4),"………………..",IFERROR(INDEX($AC$3:$AC$400,MATCH(ROWS(BM$3:BM274),BH$3:BH$400,0),1),"")))</f>
        <v/>
      </c>
      <c r="BN274" s="48">
        <f t="shared" ca="1" si="550"/>
        <v>0</v>
      </c>
      <c r="BO274" s="48" t="str">
        <f ca="1">IF(AND(OR($DY$2=0,$DY$1=0),$I$1=2,ROW()&gt;$BI$1+2,ROW()&lt;=$BI$1+4),"………………..",IF(AND(OR($DY$2&gt;0,$DY$1&gt;0),$I$1=2,ROW()&gt;$BI$1+2,ROW()&lt;=$BI$1+4),"………………..",IFERROR(INDEX($AC$3:$AC$400,MATCH(ROWS(BO$3:BO274),BI$3:BI$400,0),1),"")))</f>
        <v/>
      </c>
      <c r="BP274" s="48">
        <f t="shared" ca="1" si="551"/>
        <v>0</v>
      </c>
      <c r="BQ274" s="48" t="str">
        <f ca="1">IF(AND(OR($DY$2=0,$DY$1=0),$I$1=2,ROW()&gt;$BJ$1+2,ROW()&lt;=$BJ$1+4),"………………..",IF(AND(OR($DY$2&gt;0,$DY$1&gt;0),$I$1=2,ROW()&gt;$BJ$1+2,ROW()&lt;=$BJ$1+4),"………………..",IFERROR(INDEX($AC$3:$AC$400,MATCH(ROWS(BQ$3:BQ274),BJ$3:BJ$400,0),1),"")))</f>
        <v/>
      </c>
      <c r="BR274" s="48">
        <f t="shared" ca="1" si="552"/>
        <v>0</v>
      </c>
      <c r="BS274" s="48">
        <f ca="1">IF(IF(AND(OR(INDEX(PDC,MATCH($AC274,DEN_PDC,0),4)="D",INDEX(PDC,MATCH($AC274,DEN_PDC,0),4)="D/A"),SUMIFS(DARE,DEN_G,$AC274)&gt;=SUMIFS(AVERE,DEN_G,$AC274)),SUMIFS(DARE,DEN_G,$AC274),IF(AND(OR(INDEX(PDC,MATCH($AC274,DEN_PDC,0),4)="A",INDEX(PDC,MATCH($AC274,DEN_PDC,0),4)="D/A"),SUMIFS(AVERE,DEN_G,$AC274)&gt;=SUMIFS(DARE,DEN_G,$AC274)),SUMIFS(AVERE,DEN_G,$AC274),))&gt;0,MAX($BS$2:BS273)+1,0)</f>
        <v>0</v>
      </c>
      <c r="BT274" s="48" t="str">
        <f ca="1">IF($CO$1=0,"",IF(AND($I$1=2,ROW()&gt;$BR$1,ROW()&lt;=$BS$1)," …………….",IF(AND($E$1=1,$BX$1=1,$I$1=2,ROW()=$BQ$1),"TOTALI",IFERROR(INDEX(PDC,MATCH(ROWS(BT$3:BT274),BS$3:BS671,0),2),""))))</f>
        <v/>
      </c>
      <c r="BU274" s="48">
        <f t="shared" ca="1" si="553"/>
        <v>0</v>
      </c>
      <c r="BV274" s="48">
        <f t="shared" ca="1" si="554"/>
        <v>0</v>
      </c>
      <c r="BW274" s="48">
        <f t="shared" ca="1" si="555"/>
        <v>0</v>
      </c>
      <c r="BX274" s="48">
        <f t="shared" ca="1" si="556"/>
        <v>0</v>
      </c>
      <c r="BY274" s="48">
        <f ca="1">IF(OR(BW274&gt;0,BX274&gt;0),MAX($BY$2:BY273)+1,0)</f>
        <v>0</v>
      </c>
      <c r="BZ274" s="48" t="str">
        <f ca="1">IFERROR(INDEX($BT$3:$BY$400,MATCH(ROWS(BZ$3:BZ274),$BY$3:$BY$400,0),1),"")</f>
        <v/>
      </c>
      <c r="CA274" s="48" t="str">
        <f ca="1">IFERROR(INDEX($BT$3:$BY$400,MATCH(ROWS(CA$3:CA274),$BY$3:$BY$400,0),4),"")</f>
        <v/>
      </c>
      <c r="CB274" s="48" t="str">
        <f ca="1">IFERROR(INDEX($BT$3:$BY$400,MATCH(ROWS(CB$3:CB274),$BY$3:$BY$400,0),5),"")</f>
        <v/>
      </c>
      <c r="CC274" s="48" t="str">
        <f t="shared" ca="1" si="557"/>
        <v/>
      </c>
      <c r="CM274" s="242" t="str">
        <f t="shared" ca="1" si="566"/>
        <v/>
      </c>
      <c r="CN274" s="243">
        <f t="shared" ca="1" si="567"/>
        <v>0</v>
      </c>
      <c r="CO274" s="48" t="str">
        <f t="shared" ca="1" si="568"/>
        <v/>
      </c>
      <c r="CU274" s="48">
        <f ca="1">IF(SUMIFS(AVERE,DEN_G,AC274,AVERE,"&gt;"&amp;0)+SUMIFS(DARE,DEN_G,AC274,DARE,"&gt;"&amp;0)&gt;0,MAX($CU$2:CU273)+1,0)</f>
        <v>0</v>
      </c>
      <c r="CV274" s="48" t="str">
        <f ca="1">IF(IFERROR(INDEX(PDC,MATCH(ROWS($CV$3:CV274),$CU$3:$CU$400,0),2),"")="CONTO DI RISULTATO ECONOMICO","",IFERROR(INDEX(PDC,MATCH(ROWS($CV$3:CV274),$CU$3:$CU$400,0),2),""))</f>
        <v/>
      </c>
      <c r="CW274" s="48">
        <f ca="1">IFERROR(IF(CV274&lt;&gt;"",MAX($CW$2:CW273)+1,0),0)</f>
        <v>0</v>
      </c>
      <c r="CX274" s="48">
        <f t="shared" ca="1" si="578"/>
        <v>21</v>
      </c>
      <c r="CY274" s="48" t="str">
        <f t="shared" ca="1" si="577"/>
        <v>MASTRO</v>
      </c>
      <c r="CZ274" s="48" t="e">
        <f t="shared" ca="1" si="580"/>
        <v>#N/A</v>
      </c>
      <c r="DA274" s="48" t="str">
        <f t="shared" ca="1" si="586"/>
        <v/>
      </c>
      <c r="DB274" s="48" t="str">
        <f t="shared" ca="1" si="499"/>
        <v/>
      </c>
      <c r="DC274" s="48" t="str">
        <f t="shared" ca="1" si="581"/>
        <v/>
      </c>
      <c r="DD274" s="48" t="str">
        <f t="shared" ca="1" si="582"/>
        <v/>
      </c>
      <c r="DE274" s="48" t="str">
        <f t="shared" ca="1" si="583"/>
        <v/>
      </c>
      <c r="DF274" s="48">
        <f ca="1">IF(AND(CX274=$DF$1,CX274&lt;&gt;""),0,IF(AND(DB274&lt;&gt;"",OR(DB273&lt;&gt;"",DB275&lt;&gt;"")),MAX($DF$2:DF273)+1,0))</f>
        <v>0</v>
      </c>
      <c r="DH274" s="244"/>
      <c r="DN274" s="48">
        <f>IF(DI274&lt;&gt;"",MAX($DN$2:DN273)+1,0)</f>
        <v>0</v>
      </c>
      <c r="DQ274" s="227" t="s">
        <v>204</v>
      </c>
      <c r="DR274" s="48" t="s">
        <v>194</v>
      </c>
      <c r="DS274" s="48" t="s">
        <v>311</v>
      </c>
      <c r="DT274" s="48" t="s">
        <v>275</v>
      </c>
      <c r="DU274" s="48" t="s">
        <v>7</v>
      </c>
      <c r="DV274" s="48" t="s">
        <v>301</v>
      </c>
      <c r="DW274" s="48">
        <f ca="1">IF(DR274&lt;&gt;"",MAX($DW$2:DW273)+1,0)</f>
        <v>162</v>
      </c>
      <c r="DX274" s="48" t="s">
        <v>710</v>
      </c>
      <c r="DY274" s="48" t="str">
        <f t="shared" ca="1" si="558"/>
        <v/>
      </c>
      <c r="EL274" s="48">
        <f t="shared" ca="1" si="559"/>
        <v>0</v>
      </c>
      <c r="EM274" s="48">
        <f ca="1">IF(EL274&gt;=0,0,MAX($EM$2:EM273)+1)</f>
        <v>0</v>
      </c>
      <c r="EN274" s="48" t="str">
        <f t="shared" ca="1" si="569"/>
        <v/>
      </c>
      <c r="EO274" s="48" t="str">
        <f ca="1">IFERROR(INDEX($EM$3:$EN$400,MATCH(ROWS($EO$3:EO274),$EM$3:$EM$400,0),2),"")</f>
        <v/>
      </c>
      <c r="EP274" s="48">
        <f>ROW()</f>
        <v>274</v>
      </c>
      <c r="EQ274" s="48">
        <f t="shared" ca="1" si="560"/>
        <v>0</v>
      </c>
      <c r="ER274" s="48">
        <f ca="1">IF(ISNA(EQ274)=TRUE,MAX($ER$2:ER273)+1,0)</f>
        <v>0</v>
      </c>
      <c r="ES274" s="48" t="str">
        <f t="shared" ca="1" si="570"/>
        <v/>
      </c>
      <c r="ET274" s="48" t="str">
        <f ca="1">IFERROR(INDEX($ER$3:$ES$400,MATCH(ROWS($ET$3:ET274),$ER$3:$ER$400,0),2),"")</f>
        <v/>
      </c>
      <c r="EV274" s="48">
        <f ca="1">IFERROR(INDEX(LIBRO_GIORNALE!$O$11:$P$408,MATCH(ROWS($EV$2:EV273),LIBRO_GIORNALE!$P$11:$P$408,0),1),0)</f>
        <v>0</v>
      </c>
      <c r="EW274" s="48" t="str">
        <f t="shared" ca="1" si="544"/>
        <v>0</v>
      </c>
      <c r="EX274" s="48">
        <f t="shared" ca="1" si="571"/>
        <v>0</v>
      </c>
      <c r="EY274" s="48">
        <f ca="1">IF(EX274&gt;0,MAX($EY$2:EY273)+1,0)</f>
        <v>0</v>
      </c>
      <c r="EZ274" s="48">
        <f ca="1">IFERROR(INDEX($EX$3:$EX$400,MATCH(ROWS($EZ$3:EZ274),$EY$3:$EY$400,0),1),0)</f>
        <v>0</v>
      </c>
      <c r="FA274" s="48">
        <f ca="1">IF(EZ274&gt;0,0,MAX($FA$2:FA273)+1)</f>
        <v>272</v>
      </c>
      <c r="FB274" s="48">
        <f t="shared" ca="1" si="545"/>
        <v>0</v>
      </c>
      <c r="FC274" s="48">
        <f t="shared" ca="1" si="546"/>
        <v>272</v>
      </c>
      <c r="FD274" s="48">
        <f t="shared" ca="1" si="572"/>
        <v>272</v>
      </c>
      <c r="FE274" s="48">
        <f ca="1">IF(FD274=0,0,MAX($FE$2:FE273)+1)</f>
        <v>272</v>
      </c>
      <c r="FF274" s="48">
        <f ca="1">IFERROR(INDEX($FD$3:$FE$400,MATCH(ROWS($FF$3:FF274),$FE$3:$FE$400,0),1),"")</f>
        <v>272</v>
      </c>
      <c r="FG274" s="48">
        <f t="shared" ca="1" si="519"/>
        <v>0</v>
      </c>
      <c r="FH274" s="48">
        <f t="shared" ca="1" si="573"/>
        <v>0</v>
      </c>
      <c r="FI274" s="48">
        <f ca="1">IF(FH274&lt;&gt;0,MAX($FI$2:FI273)+1,0)</f>
        <v>0</v>
      </c>
      <c r="FJ274" s="48" t="str">
        <f ca="1">IFERROR(INDEX($FH$3:$FI$400,MATCH(ROWS($FJ$3:FJ274),$FI$3:$FI$400,0),1),"")</f>
        <v/>
      </c>
      <c r="FK274" s="48">
        <f ca="1">IF(ABS(SUMIFS(DARE,DEN_G,"="&amp;FJ274,DATA,"&lt;="&amp;FINE_AC,DATA,"&gt;="&amp;INIZIO_A_PC)-SUMIFS(AVERE,DEN_G,"="&amp;FJ274,DATA,"&lt;="&amp;FINE_AC,DATA,"&gt;="&amp;INIZIO_A_PC))&gt;0,MAX($FK$2:FK273)+1,0)</f>
        <v>0</v>
      </c>
      <c r="FL274" s="48" t="str">
        <f ca="1">IF(AND(ROW()-2&lt;&gt;1,ROW()-2&lt;=$FK$1),CONCATENATE(" - ",IFERROR(INDEX($FJ$3:$FK$400,MATCH(ROWS($FL$3:FL274),$FK$3:$FK$400,0),1),"")),IFERROR(INDEX($FJ$3:$FK$400,MATCH(ROWS($FL$3:FL274),$FK$3:$FK$400,0),1),""))</f>
        <v/>
      </c>
      <c r="FM274" s="48">
        <f ca="1">IF(OR(B274="IVA ns/credito",B274="IVA NS/DEBITO",B274="IVA C/ACCONTO",B274="IMPOSTE C/ACCONTO",B274="CREDITI PER RITENUTE SUBITE",B274="CREDITI D'IMPOSTA"),MAX($FM$2:FM273)+1,0)</f>
        <v>0</v>
      </c>
      <c r="FN274" s="48" t="str">
        <f t="shared" ca="1" si="574"/>
        <v/>
      </c>
      <c r="FO274" s="48" t="str">
        <f ca="1">IFERROR(INDEX($FM$3:$FN$400,MATCH(ROWS($FO$3:FO274),$FM$3:$FM$400,0),2),"")</f>
        <v/>
      </c>
      <c r="FP274" s="48">
        <f ca="1">IF(ABS(SUMIFS(DARE,DEN_G,"="&amp;FO274,DATA,"&lt;="&amp;FINE_AC,DATA,"&gt;="&amp;INIZIO_A_PC)-SUMIFS(AVERE,DEN_G,"="&amp;FO274,DATA,"&lt;="&amp;FINE_AC,DATA,"&gt;="&amp;INIZIO_A_PC))&gt;0,MAX($FP$2:FP273)+1,0)</f>
        <v>0</v>
      </c>
      <c r="FQ274" s="48" t="str">
        <f ca="1">IF(AND(ROW()-2&lt;&gt;1,ROW()-2&lt;=$FP$1),CONCATENATE(" - ",IFERROR(INDEX($FO$3:$FP$400,MATCH(ROWS($FQ$3:FQ274),$FP$3:$FP$400,0),1),"")),IFERROR(INDEX($FO$3:$FP$400,MATCH(ROWS($FQ$3:FQ274),$FP$3:$FP$400,0),1),""))</f>
        <v/>
      </c>
    </row>
    <row r="275" spans="1:173" x14ac:dyDescent="0.3">
      <c r="A275" s="48" t="str">
        <f ca="1">IFERROR(IF($A$1=2,INDEX($DH$3:$DN$401,MATCH(ROWS(A$3:A275),$DN$3:$DN$401,0),COLUMN()),IF($A$1=1,INDEX($DQ$3:$DW$401,MATCH(ROWS(A$3:A275),$DW$3:$DW$401,0),COLUMN()),"")),"")</f>
        <v>37.03</v>
      </c>
      <c r="B275" s="48" t="str">
        <f ca="1">IFERROR(IF($A$1=2,INDEX($DH$3:$DN$401,MATCH(ROWS(B$3:B275),$DN$3:$DN$401,0),COLUMN()),IF($A$1=1,INDEX($DQ$3:$DW$400,MATCH(ROWS(B$3:B275),$DW$3:$DW$401,0),COLUMN()),"")),"")</f>
        <v>MATERIE DI CONSUMO C/ESISTENZE INIZIALI</v>
      </c>
      <c r="C275" s="48" t="str">
        <f ca="1">IFERROR(IF($A$1=2,INDEX($DH$3:$DN$401,MATCH(ROWS(C$3:C275),$DN$3:$DN$401,0),COLUMN()),IF($A$1=1,INDEX($DQ$3:$DW$401,MATCH(ROWS(C$3:C275),$DW$3:$DW$401,0),COLUMN()),"")),"")</f>
        <v>E</v>
      </c>
      <c r="D275" s="48" t="str">
        <f ca="1">IFERROR(IF($A$1=2,INDEX($DH$3:$DN$401,MATCH(ROWS(D$3:D275),$DN$3:$DN$401,0),COLUMN()),IF($A$1=1,INDEX($DQ$3:$DW$401,MATCH(ROWS(D$3:D275),$DW$3:$DW$401,0),COLUMN()),"")),"")</f>
        <v>D</v>
      </c>
      <c r="E275" s="48" t="str">
        <f ca="1">IFERROR(IF($A$1=2,INDEX($DH$3:$DN$401,MATCH(ROWS(E$3:E275),$DN$3:$DN$401,0),COLUMN()),IF($A$1=1,INDEX($DQ$3:$DW$401,MATCH(ROWS(E$3:E275),$DW$3:$DW$401,0),COLUMN()),"")),"")</f>
        <v>COSTI D'ESERCIZIO</v>
      </c>
      <c r="F275" s="48" t="str">
        <f ca="1">IFERROR(IF($A$1=2,INDEX($DH$3:$DN$401,MATCH(ROWS(F$3:F275),$DN$3:$DN$401,0),COLUMN()),IF($A$1=1,INDEX($DQ$3:$DX$401,MATCH(ROWS(F$3:F275),$DW$3:$DW$401,0),COLUMN()),"")),"")</f>
        <v>SE DARE</v>
      </c>
      <c r="G275" s="48" t="str">
        <f t="shared" ca="1" si="561"/>
        <v>SE</v>
      </c>
      <c r="H275" s="48" t="str">
        <f ca="1">IFERROR(IF($A$1=2,INDEX($DH$3:$DO$400,MATCH(ROWS(H$3:H275),$DN$3:$DN$400,0),COLUMN()),IF($A$1=1,INDEX($DQ$3:$DX$400,MATCH(ROWS(H$3:H275),$DW$3:$DW$400,0),COLUMN()),"")),"")</f>
        <v>eb11</v>
      </c>
      <c r="M275" s="48">
        <f ca="1">IFERROR(IF(IF(MID($A275,3,3)=".00",MID(A275,1,2),"")&lt;&gt;"",MAX($M$2:M274)+1,0),"")</f>
        <v>0</v>
      </c>
      <c r="N275" s="48" t="str">
        <f t="shared" ca="1" si="562"/>
        <v/>
      </c>
      <c r="O275" s="48" t="str">
        <f ca="1">IF(IFERROR(INDEX($N$3:$O$300,MATCH(ROWS($O$3:O275),$M$3:$M$300,0),1),"")&lt;&gt;"",CONCATENATE(INDEX($N$3:$O$300,MATCH(ROWS($O$3:O275),$M$3:$M$300,0),1),".00"),"")</f>
        <v/>
      </c>
      <c r="P275" s="48" t="str">
        <f t="shared" ca="1" si="563"/>
        <v/>
      </c>
      <c r="Q275" s="48">
        <f ca="1">IF(M275&gt;=1,0,MAX($Q$2:Q274)+1)</f>
        <v>244</v>
      </c>
      <c r="U275" s="48" t="str">
        <f ca="1">IFERROR(INDEX(PDC,MATCH(ROWS(U$3:U275),$V$3:$V$400,0),2),"")</f>
        <v>SCONTI PASSIVI BANCARI</v>
      </c>
      <c r="V275" s="48">
        <f ca="1">IF(AND($T$1="VISUALIZZA TUTTI I CONTI",AA275&lt;&gt;""),MAX($V$2:V274)+1,IF(AND($U$2=2,AI275=$T$1),MAX($V$2:V274)+1,IF(AND($U$2=1,$T$1=AF275),MAX($V$2:V274)+1,0)))</f>
        <v>273</v>
      </c>
      <c r="AA275" s="48" t="str">
        <f t="shared" ca="1" si="564"/>
        <v>41.00</v>
      </c>
      <c r="AB275" s="48" t="str">
        <f ca="1">IFERROR(INDEX($A$3:$G$400,MATCH(ROWS(AB$3:AB275),$Q$3:$Q$400,0),1),"")</f>
        <v>41.03</v>
      </c>
      <c r="AC275" s="48" t="str">
        <f ca="1">IFERROR(INDEX($A$3:$G$400,MATCH(ROWS($AC$3:AC275),$Q$3:$Q$400,0),2),"")</f>
        <v>SCONTI PASSIVI BANCARI</v>
      </c>
      <c r="AD275" s="48" t="str">
        <f ca="1">IFERROR(INDEX($A$3:$G$400,MATCH(ROWS(AD$3:AD275),$Q$3:$Q$400,0),3),"")</f>
        <v>E</v>
      </c>
      <c r="AE275" s="48" t="str">
        <f ca="1">IFERROR(INDEX($A$3:$G$400,MATCH(ROWS(AE$3:AE275),$Q$3:$Q$400,0),4),"")</f>
        <v>D</v>
      </c>
      <c r="AF275" s="48" t="str">
        <f ca="1">IFERROR(INDEX($A$3:$G$400,MATCH(ROWS(AF$3:AF275),$Q$3:$Q$400,0),5),"")</f>
        <v>COSTI D'ESERCIZIO</v>
      </c>
      <c r="AG275" s="48" t="str">
        <f ca="1">IFERROR(INDEX($A$3:$G$400,MATCH(ROWS(AG$3:AG275),$Q$3:$Q$400,0),6),"")</f>
        <v>SE DARE</v>
      </c>
      <c r="AH275" s="48" t="str">
        <f ca="1">IFERROR(INDEX($A$3:$G$400,MATCH(ROWS(AH$3:AH275),$Q$3:$Q$400,0),7),"")</f>
        <v>SE</v>
      </c>
      <c r="AI275" s="48" t="str">
        <f t="shared" ca="1" si="565"/>
        <v>ONERI FINANZIARI</v>
      </c>
      <c r="AJ275" s="48" t="str">
        <f ca="1">IFERROR(INDEX($A$3:$H$400,MATCH(ROWS(AJ$3:AJ275),$Q$3:$Q$400,0),8),"")</f>
        <v>ec17</v>
      </c>
      <c r="AK275" s="48">
        <f t="shared" ca="1" si="548"/>
        <v>0</v>
      </c>
      <c r="AL275" s="48">
        <f t="shared" ca="1" si="576"/>
        <v>0</v>
      </c>
      <c r="AM275" s="48">
        <f t="shared" ca="1" si="516"/>
        <v>0</v>
      </c>
      <c r="AN275" s="48">
        <f t="shared" ca="1" si="517"/>
        <v>0</v>
      </c>
      <c r="AO275" s="48">
        <f t="shared" ca="1" si="518"/>
        <v>0</v>
      </c>
      <c r="AP275" s="48">
        <f t="shared" ca="1" si="518"/>
        <v>0</v>
      </c>
      <c r="AZ275" s="48" t="str">
        <f t="shared" ca="1" si="584"/>
        <v/>
      </c>
      <c r="BA275" s="48">
        <f t="shared" ca="1" si="520"/>
        <v>0</v>
      </c>
      <c r="BB275" s="48">
        <f t="shared" ca="1" si="521"/>
        <v>0</v>
      </c>
      <c r="BC275" s="48">
        <f t="shared" ca="1" si="522"/>
        <v>0</v>
      </c>
      <c r="BD275" s="48">
        <f t="shared" ca="1" si="523"/>
        <v>0</v>
      </c>
      <c r="BE275" s="48">
        <f t="shared" ca="1" si="524"/>
        <v>0</v>
      </c>
      <c r="BF275" s="48">
        <f t="shared" si="585"/>
        <v>75</v>
      </c>
      <c r="BG275" s="48">
        <f ca="1">IF(IF(AND(OR(INDEX(PDC,MATCH($AC275,DEN_PDC,0),6)="SP DARE",INDEX(PDC,MATCH($AC275,DEN_PDC,0),6)="SP DARE/AVERE"),SUMIFS(DARE,DEN_G,$AC275)&gt;=SUMIFS(AVERE,DEN_G,$AC275)),SUMIFS(DARE,DEN_G,$AC275)-SUMIFS(AVERE,DEN_G,$AC275),0)&gt;0,MAX($BG$2:BG274)+1,0)</f>
        <v>0</v>
      </c>
      <c r="BH275" s="48">
        <f ca="1">IF(IF(AND(OR(INDEX(PDC,MATCH($AC275,DEN_PDC,0),6)="SP AVERE",INDEX(PDC,MATCH($AC275,DEN_PDC,0),6)="SP DARE/AVERE"),SUMIFS(AVERE,DEN_G,$AC275)&gt;=SUMIFS(DARE,DEN_G,$AC275)),SUMIFS(AVERE,DEN_G,$AC275)-SUMIFS(DARE,DEN_G,$AC275),0)&gt;0,MAX(BH$2:BH274)+1,0)</f>
        <v>0</v>
      </c>
      <c r="BI275" s="48">
        <f ca="1">IF(IF(AND(OR(INDEX(PDC,MATCH($AC275,DEN_PDC,0),6)="SE DARE",INDEX(PDC,MATCH($AC275,DEN_PDC,0),6)="SE DARE/AVERE"),SUMIFS(DARE,DEN_G,$AC275)&gt;=SUMIFS(AVERE,DEN_G,$AC275)),SUMIFS(DARE,DEN_G,$AC275)-SUMIFS(AVERE,DEN_G,$AC275),0)&gt;0,MAX(BI$2:BI274)+1,0)</f>
        <v>0</v>
      </c>
      <c r="BJ275" s="48">
        <f ca="1">IF(IF(AND(OR(INDEX(PDC,MATCH($AC275,DEN_PDC,0),6)="SE AVERE",INDEX(PDC,MATCH($AC275,DEN_PDC,0),6)="SE DARE/AVERE"),SUMIFS(AVERE,DEN_G,$AC275)&gt;=SUMIFS(DARE,DEN_G,$AC275)),SUMIFS(AVERE,DEN_G,$AC275)-SUMIFS(DARE,DEN_G,$AC275),0)&gt;0,MAX(BJ$2:BJ274)+1,0)</f>
        <v>0</v>
      </c>
      <c r="BK275" s="48" t="str">
        <f ca="1">IF(AND(AND($DY$2=0,$DY$1=0),$I$1=2,ROW()&gt;$BG$1+2,ROW()&lt;=$BG$1+4),"………………..",IF(AND(OR($DY$2&gt;0,$DY$1&gt;0),$I$1=2,ROW()&gt;$BG$1+2,ROW()&lt;=$BG$1+4),"………………..",IFERROR(INDEX($AC$3:$AC$398,MATCH(ROWS(BK$3:BK275),BG$3:BG$398,0),1),"")))</f>
        <v/>
      </c>
      <c r="BL275" s="48">
        <f t="shared" ca="1" si="549"/>
        <v>0</v>
      </c>
      <c r="BM275" s="48" t="str">
        <f ca="1">IF(AND(OR($DY$2=0,$DY$1=0),$I$1=2,ROW()&gt;$BH$1+2,ROW()&lt;=$BH$1+4),"………………..",IF(AND(OR($DY$2&gt;0,$DY$1&gt;0),$I$1=2,ROW()&gt;$BH$1+2,ROW()&lt;=$BH$1+4),"………………..",IFERROR(INDEX($AC$3:$AC$400,MATCH(ROWS(BM$3:BM275),BH$3:BH$400,0),1),"")))</f>
        <v/>
      </c>
      <c r="BN275" s="48">
        <f t="shared" ca="1" si="550"/>
        <v>0</v>
      </c>
      <c r="BO275" s="48" t="str">
        <f ca="1">IF(AND(OR($DY$2=0,$DY$1=0),$I$1=2,ROW()&gt;$BI$1+2,ROW()&lt;=$BI$1+4),"………………..",IF(AND(OR($DY$2&gt;0,$DY$1&gt;0),$I$1=2,ROW()&gt;$BI$1+2,ROW()&lt;=$BI$1+4),"………………..",IFERROR(INDEX($AC$3:$AC$400,MATCH(ROWS(BO$3:BO275),BI$3:BI$400,0),1),"")))</f>
        <v/>
      </c>
      <c r="BP275" s="48">
        <f t="shared" ca="1" si="551"/>
        <v>0</v>
      </c>
      <c r="BQ275" s="48" t="str">
        <f ca="1">IF(AND(OR($DY$2=0,$DY$1=0),$I$1=2,ROW()&gt;$BJ$1+2,ROW()&lt;=$BJ$1+4),"………………..",IF(AND(OR($DY$2&gt;0,$DY$1&gt;0),$I$1=2,ROW()&gt;$BJ$1+2,ROW()&lt;=$BJ$1+4),"………………..",IFERROR(INDEX($AC$3:$AC$400,MATCH(ROWS(BQ$3:BQ275),BJ$3:BJ$400,0),1),"")))</f>
        <v/>
      </c>
      <c r="BR275" s="48">
        <f t="shared" ca="1" si="552"/>
        <v>0</v>
      </c>
      <c r="BS275" s="48">
        <f ca="1">IF(IF(AND(OR(INDEX(PDC,MATCH($AC275,DEN_PDC,0),4)="D",INDEX(PDC,MATCH($AC275,DEN_PDC,0),4)="D/A"),SUMIFS(DARE,DEN_G,$AC275)&gt;=SUMIFS(AVERE,DEN_G,$AC275)),SUMIFS(DARE,DEN_G,$AC275),IF(AND(OR(INDEX(PDC,MATCH($AC275,DEN_PDC,0),4)="A",INDEX(PDC,MATCH($AC275,DEN_PDC,0),4)="D/A"),SUMIFS(AVERE,DEN_G,$AC275)&gt;=SUMIFS(DARE,DEN_G,$AC275)),SUMIFS(AVERE,DEN_G,$AC275),))&gt;0,MAX($BS$2:BS274)+1,0)</f>
        <v>0</v>
      </c>
      <c r="BT275" s="48" t="str">
        <f ca="1">IF($CO$1=0,"",IF(AND($I$1=2,ROW()&gt;$BR$1,ROW()&lt;=$BS$1)," …………….",IF(AND($E$1=1,$BX$1=1,$I$1=2,ROW()=$BQ$1),"TOTALI",IFERROR(INDEX(PDC,MATCH(ROWS(BT$3:BT275),BS$3:BS672,0),2),""))))</f>
        <v/>
      </c>
      <c r="BU275" s="48">
        <f t="shared" ca="1" si="553"/>
        <v>0</v>
      </c>
      <c r="BV275" s="48">
        <f t="shared" ca="1" si="554"/>
        <v>0</v>
      </c>
      <c r="BW275" s="48">
        <f t="shared" ca="1" si="555"/>
        <v>0</v>
      </c>
      <c r="BX275" s="48">
        <f t="shared" ca="1" si="556"/>
        <v>0</v>
      </c>
      <c r="BY275" s="48">
        <f ca="1">IF(OR(BW275&gt;0,BX275&gt;0),MAX($BY$2:BY274)+1,0)</f>
        <v>0</v>
      </c>
      <c r="BZ275" s="48" t="str">
        <f ca="1">IFERROR(INDEX($BT$3:$BY$400,MATCH(ROWS(BZ$3:BZ275),$BY$3:$BY$400,0),1),"")</f>
        <v/>
      </c>
      <c r="CA275" s="48" t="str">
        <f ca="1">IFERROR(INDEX($BT$3:$BY$400,MATCH(ROWS(CA$3:CA275),$BY$3:$BY$400,0),4),"")</f>
        <v/>
      </c>
      <c r="CB275" s="48" t="str">
        <f ca="1">IFERROR(INDEX($BT$3:$BY$400,MATCH(ROWS(CB$3:CB275),$BY$3:$BY$400,0),5),"")</f>
        <v/>
      </c>
      <c r="CC275" s="48" t="str">
        <f t="shared" ca="1" si="557"/>
        <v/>
      </c>
      <c r="CM275" s="242" t="str">
        <f t="shared" ca="1" si="566"/>
        <v/>
      </c>
      <c r="CN275" s="243">
        <f t="shared" ca="1" si="567"/>
        <v>0</v>
      </c>
      <c r="CO275" s="48" t="str">
        <f t="shared" ca="1" si="568"/>
        <v/>
      </c>
      <c r="CU275" s="48">
        <f ca="1">IF(SUMIFS(AVERE,DEN_G,AC275,AVERE,"&gt;"&amp;0)+SUMIFS(DARE,DEN_G,AC275,DARE,"&gt;"&amp;0)&gt;0,MAX($CU$2:CU274)+1,0)</f>
        <v>0</v>
      </c>
      <c r="CV275" s="48" t="str">
        <f ca="1">IF(IFERROR(INDEX(PDC,MATCH(ROWS($CV$3:CV275),$CU$3:$CU$400,0),2),"")="CONTO DI RISULTATO ECONOMICO","",IFERROR(INDEX(PDC,MATCH(ROWS($CV$3:CV275),$CU$3:$CU$400,0),2),""))</f>
        <v/>
      </c>
      <c r="CW275" s="48">
        <f ca="1">IFERROR(IF(CV275&lt;&gt;"",MAX($CW$2:CW274)+1,0),0)</f>
        <v>0</v>
      </c>
      <c r="CY275" s="48" t="s">
        <v>500</v>
      </c>
      <c r="DB275" s="48" t="str">
        <f t="shared" ref="DB275" ca="1" si="587">IF(CX274=$DF$1,"","MASTRO")</f>
        <v>MASTRO</v>
      </c>
      <c r="DF275" s="48">
        <f ca="1">IF(AND(CX275=$DF$1,CX275&lt;&gt;""),0,IF(AND(DB275&lt;&gt;"",OR(DB274&lt;&gt;"",DB276&lt;&gt;"")),MAX($DF$2:DF274)+1,0))</f>
        <v>0</v>
      </c>
      <c r="DH275" s="244"/>
      <c r="DN275" s="48">
        <f>IF(DI275&lt;&gt;"",MAX($DN$2:DN274)+1,0)</f>
        <v>0</v>
      </c>
      <c r="DQ275" s="227" t="s">
        <v>205</v>
      </c>
      <c r="DR275" s="48" t="s">
        <v>195</v>
      </c>
      <c r="DS275" s="48" t="s">
        <v>311</v>
      </c>
      <c r="DT275" s="48" t="s">
        <v>275</v>
      </c>
      <c r="DU275" s="48" t="s">
        <v>7</v>
      </c>
      <c r="DV275" s="48" t="s">
        <v>301</v>
      </c>
      <c r="DW275" s="48">
        <f ca="1">IF(DR275&lt;&gt;"",MAX($DW$2:DW274)+1,0)</f>
        <v>163</v>
      </c>
      <c r="DX275" s="48" t="s">
        <v>710</v>
      </c>
      <c r="DY275" s="48" t="str">
        <f t="shared" ca="1" si="558"/>
        <v/>
      </c>
      <c r="EL275" s="48">
        <f t="shared" ca="1" si="559"/>
        <v>0</v>
      </c>
      <c r="EM275" s="48">
        <f ca="1">IF(EL275&gt;=0,0,MAX($EM$2:EM274)+1)</f>
        <v>0</v>
      </c>
      <c r="EN275" s="48" t="str">
        <f t="shared" ca="1" si="569"/>
        <v/>
      </c>
      <c r="EO275" s="48" t="str">
        <f ca="1">IFERROR(INDEX($EM$3:$EN$400,MATCH(ROWS($EO$3:EO275),$EM$3:$EM$400,0),2),"")</f>
        <v/>
      </c>
      <c r="EP275" s="48">
        <f>ROW()</f>
        <v>275</v>
      </c>
      <c r="EQ275" s="48">
        <f t="shared" ca="1" si="560"/>
        <v>0</v>
      </c>
      <c r="ER275" s="48">
        <f ca="1">IF(ISNA(EQ275)=TRUE,MAX($ER$2:ER274)+1,0)</f>
        <v>0</v>
      </c>
      <c r="ES275" s="48" t="str">
        <f t="shared" ca="1" si="570"/>
        <v/>
      </c>
      <c r="ET275" s="48" t="str">
        <f ca="1">IFERROR(INDEX($ER$3:$ES$400,MATCH(ROWS($ET$3:ET275),$ER$3:$ER$400,0),2),"")</f>
        <v/>
      </c>
      <c r="EV275" s="48">
        <f ca="1">IFERROR(INDEX(LIBRO_GIORNALE!$O$11:$P$408,MATCH(ROWS($EV$2:EV274),LIBRO_GIORNALE!$P$11:$P$408,0),1),0)</f>
        <v>0</v>
      </c>
      <c r="EW275" s="48" t="str">
        <f t="shared" ca="1" si="544"/>
        <v>0</v>
      </c>
      <c r="EX275" s="48">
        <f t="shared" ca="1" si="571"/>
        <v>0</v>
      </c>
      <c r="EY275" s="48">
        <f ca="1">IF(EX275&gt;0,MAX($EY$2:EY274)+1,0)</f>
        <v>0</v>
      </c>
      <c r="EZ275" s="48">
        <f ca="1">IFERROR(INDEX($EX$3:$EX$400,MATCH(ROWS($EZ$3:EZ275),$EY$3:$EY$400,0),1),0)</f>
        <v>0</v>
      </c>
      <c r="FA275" s="48">
        <f ca="1">IF(EZ275&gt;0,0,MAX($FA$2:FA274)+1)</f>
        <v>273</v>
      </c>
      <c r="FB275" s="48">
        <f t="shared" ca="1" si="545"/>
        <v>0</v>
      </c>
      <c r="FC275" s="48">
        <f t="shared" ca="1" si="546"/>
        <v>273</v>
      </c>
      <c r="FD275" s="48">
        <f t="shared" ca="1" si="572"/>
        <v>273</v>
      </c>
      <c r="FE275" s="48">
        <f ca="1">IF(FD275=0,0,MAX($FE$2:FE274)+1)</f>
        <v>273</v>
      </c>
      <c r="FF275" s="48">
        <f ca="1">IFERROR(INDEX($FD$3:$FE$400,MATCH(ROWS($FF$3:FF275),$FE$3:$FE$400,0),1),"")</f>
        <v>273</v>
      </c>
      <c r="FG275" s="48">
        <f t="shared" ca="1" si="519"/>
        <v>0</v>
      </c>
      <c r="FH275" s="48">
        <f t="shared" ca="1" si="573"/>
        <v>0</v>
      </c>
      <c r="FI275" s="48">
        <f ca="1">IF(FH275&lt;&gt;0,MAX($FI$2:FI274)+1,0)</f>
        <v>0</v>
      </c>
      <c r="FJ275" s="48" t="str">
        <f ca="1">IFERROR(INDEX($FH$3:$FI$400,MATCH(ROWS($FJ$3:FJ275),$FI$3:$FI$400,0),1),"")</f>
        <v/>
      </c>
      <c r="FK275" s="48">
        <f ca="1">IF(ABS(SUMIFS(DARE,DEN_G,"="&amp;FJ275,DATA,"&lt;="&amp;FINE_AC,DATA,"&gt;="&amp;INIZIO_A_PC)-SUMIFS(AVERE,DEN_G,"="&amp;FJ275,DATA,"&lt;="&amp;FINE_AC,DATA,"&gt;="&amp;INIZIO_A_PC))&gt;0,MAX($FK$2:FK274)+1,0)</f>
        <v>0</v>
      </c>
      <c r="FL275" s="48" t="str">
        <f ca="1">IF(AND(ROW()-2&lt;&gt;1,ROW()-2&lt;=$FK$1),CONCATENATE(" - ",IFERROR(INDEX($FJ$3:$FK$400,MATCH(ROWS($FL$3:FL275),$FK$3:$FK$400,0),1),"")),IFERROR(INDEX($FJ$3:$FK$400,MATCH(ROWS($FL$3:FL275),$FK$3:$FK$400,0),1),""))</f>
        <v/>
      </c>
      <c r="FM275" s="48">
        <f ca="1">IF(OR(B275="IVA ns/credito",B275="IVA NS/DEBITO",B275="IVA C/ACCONTO",B275="IMPOSTE C/ACCONTO",B275="CREDITI PER RITENUTE SUBITE",B275="CREDITI D'IMPOSTA"),MAX($FM$2:FM274)+1,0)</f>
        <v>0</v>
      </c>
      <c r="FN275" s="48" t="str">
        <f t="shared" ca="1" si="574"/>
        <v/>
      </c>
      <c r="FO275" s="48" t="str">
        <f ca="1">IFERROR(INDEX($FM$3:$FN$400,MATCH(ROWS($FO$3:FO275),$FM$3:$FM$400,0),2),"")</f>
        <v/>
      </c>
      <c r="FP275" s="48">
        <f ca="1">IF(ABS(SUMIFS(DARE,DEN_G,"="&amp;FO275,DATA,"&lt;="&amp;FINE_AC,DATA,"&gt;="&amp;INIZIO_A_PC)-SUMIFS(AVERE,DEN_G,"="&amp;FO275,DATA,"&lt;="&amp;FINE_AC,DATA,"&gt;="&amp;INIZIO_A_PC))&gt;0,MAX($FP$2:FP274)+1,0)</f>
        <v>0</v>
      </c>
      <c r="FQ275" s="48" t="str">
        <f ca="1">IF(AND(ROW()-2&lt;&gt;1,ROW()-2&lt;=$FP$1),CONCATENATE(" - ",IFERROR(INDEX($FO$3:$FP$400,MATCH(ROWS($FQ$3:FQ275),$FP$3:$FP$400,0),1),"")),IFERROR(INDEX($FO$3:$FP$400,MATCH(ROWS($FQ$3:FQ275),$FP$3:$FP$400,0),1),""))</f>
        <v/>
      </c>
    </row>
    <row r="276" spans="1:173" x14ac:dyDescent="0.3">
      <c r="A276" s="48" t="str">
        <f ca="1">IFERROR(IF($A$1=2,INDEX($DH$3:$DN$401,MATCH(ROWS(A$3:A276),$DN$3:$DN$401,0),COLUMN()),IF($A$1=1,INDEX($DQ$3:$DW$401,MATCH(ROWS(A$3:A276),$DW$3:$DW$401,0),COLUMN()),"")),"")</f>
        <v>37.10</v>
      </c>
      <c r="B276" s="48" t="str">
        <f ca="1">IFERROR(IF($A$1=2,INDEX($DH$3:$DN$401,MATCH(ROWS(B$3:B276),$DN$3:$DN$401,0),COLUMN()),IF($A$1=1,INDEX($DQ$3:$DW$400,MATCH(ROWS(B$3:B276),$DW$3:$DW$401,0),COLUMN()),"")),"")</f>
        <v>MATERIE PRIME C/RIMANENZE FINALI</v>
      </c>
      <c r="C276" s="48" t="str">
        <f ca="1">IFERROR(IF($A$1=2,INDEX($DH$3:$DN$401,MATCH(ROWS(C$3:C276),$DN$3:$DN$401,0),COLUMN()),IF($A$1=1,INDEX($DQ$3:$DW$401,MATCH(ROWS(C$3:C276),$DW$3:$DW$401,0),COLUMN()),"")),"")</f>
        <v>E</v>
      </c>
      <c r="D276" s="48" t="str">
        <f ca="1">IFERROR(IF($A$1=2,INDEX($DH$3:$DN$401,MATCH(ROWS(D$3:D276),$DN$3:$DN$401,0),COLUMN()),IF($A$1=1,INDEX($DQ$3:$DW$401,MATCH(ROWS(D$3:D276),$DW$3:$DW$401,0),COLUMN()),"")),"")</f>
        <v>A</v>
      </c>
      <c r="E276" s="48" t="str">
        <f ca="1">IFERROR(IF($A$1=2,INDEX($DH$3:$DN$401,MATCH(ROWS(E$3:E276),$DN$3:$DN$401,0),COLUMN()),IF($A$1=1,INDEX($DQ$3:$DW$401,MATCH(ROWS(E$3:E276),$DW$3:$DW$401,0),COLUMN()),"")),"")</f>
        <v>RETTIFICHE COSTI D'ESERCIZIO</v>
      </c>
      <c r="F276" s="48" t="str">
        <f ca="1">IFERROR(IF($A$1=2,INDEX($DH$3:$DN$401,MATCH(ROWS(F$3:F276),$DN$3:$DN$401,0),COLUMN()),IF($A$1=1,INDEX($DQ$3:$DX$401,MATCH(ROWS(F$3:F276),$DW$3:$DW$401,0),COLUMN()),"")),"")</f>
        <v>SE AVERE</v>
      </c>
      <c r="G276" s="48" t="str">
        <f t="shared" ca="1" si="561"/>
        <v>SE</v>
      </c>
      <c r="H276" s="48" t="str">
        <f ca="1">IFERROR(IF($A$1=2,INDEX($DH$3:$DO$400,MATCH(ROWS(H$3:H276),$DN$3:$DN$400,0),COLUMN()),IF($A$1=1,INDEX($DQ$3:$DX$400,MATCH(ROWS(H$3:H276),$DW$3:$DW$400,0),COLUMN()),"")),"")</f>
        <v>eb11</v>
      </c>
      <c r="M276" s="48">
        <f ca="1">IFERROR(IF(IF(MID($A276,3,3)=".00",MID(A276,1,2),"")&lt;&gt;"",MAX($M$2:M275)+1,0),"")</f>
        <v>0</v>
      </c>
      <c r="N276" s="48" t="str">
        <f t="shared" ca="1" si="562"/>
        <v/>
      </c>
      <c r="O276" s="48" t="str">
        <f ca="1">IF(IFERROR(INDEX($N$3:$O$300,MATCH(ROWS($O$3:O276),$M$3:$M$300,0),1),"")&lt;&gt;"",CONCATENATE(INDEX($N$3:$O$300,MATCH(ROWS($O$3:O276),$M$3:$M$300,0),1),".00"),"")</f>
        <v/>
      </c>
      <c r="P276" s="48" t="str">
        <f t="shared" ca="1" si="563"/>
        <v/>
      </c>
      <c r="Q276" s="48">
        <f ca="1">IF(M276&gt;=1,0,MAX($Q$2:Q275)+1)</f>
        <v>245</v>
      </c>
      <c r="U276" s="48" t="str">
        <f ca="1">IFERROR(INDEX(PDC,MATCH(ROWS(U$3:U276),$V$3:$V$400,0),2),"")</f>
        <v>INTERESSI PASSIVI SU MUTUI</v>
      </c>
      <c r="V276" s="48">
        <f ca="1">IF(AND($T$1="VISUALIZZA TUTTI I CONTI",AA276&lt;&gt;""),MAX($V$2:V275)+1,IF(AND($U$2=2,AI276=$T$1),MAX($V$2:V275)+1,IF(AND($U$2=1,$T$1=AF276),MAX($V$2:V275)+1,0)))</f>
        <v>274</v>
      </c>
      <c r="AA276" s="48" t="str">
        <f t="shared" ca="1" si="564"/>
        <v>41.00</v>
      </c>
      <c r="AB276" s="48" t="str">
        <f ca="1">IFERROR(INDEX($A$3:$G$400,MATCH(ROWS(AB$3:AB276),$Q$3:$Q$400,0),1),"")</f>
        <v>41.04</v>
      </c>
      <c r="AC276" s="48" t="str">
        <f ca="1">IFERROR(INDEX($A$3:$G$400,MATCH(ROWS($AC$3:AC276),$Q$3:$Q$400,0),2),"")</f>
        <v>INTERESSI PASSIVI SU MUTUI</v>
      </c>
      <c r="AD276" s="48" t="str">
        <f ca="1">IFERROR(INDEX($A$3:$G$400,MATCH(ROWS(AD$3:AD276),$Q$3:$Q$400,0),3),"")</f>
        <v>E</v>
      </c>
      <c r="AE276" s="48" t="str">
        <f ca="1">IFERROR(INDEX($A$3:$G$400,MATCH(ROWS(AE$3:AE276),$Q$3:$Q$400,0),4),"")</f>
        <v>D</v>
      </c>
      <c r="AF276" s="48" t="str">
        <f ca="1">IFERROR(INDEX($A$3:$G$400,MATCH(ROWS(AF$3:AF276),$Q$3:$Q$400,0),5),"")</f>
        <v>COSTI D'ESERCIZIO</v>
      </c>
      <c r="AG276" s="48" t="str">
        <f ca="1">IFERROR(INDEX($A$3:$G$400,MATCH(ROWS(AG$3:AG276),$Q$3:$Q$400,0),6),"")</f>
        <v>SE DARE</v>
      </c>
      <c r="AH276" s="48" t="str">
        <f ca="1">IFERROR(INDEX($A$3:$G$400,MATCH(ROWS(AH$3:AH276),$Q$3:$Q$400,0),7),"")</f>
        <v>SE</v>
      </c>
      <c r="AI276" s="48" t="str">
        <f t="shared" ca="1" si="565"/>
        <v>ONERI FINANZIARI</v>
      </c>
      <c r="AJ276" s="48" t="str">
        <f ca="1">IFERROR(INDEX($A$3:$H$400,MATCH(ROWS(AJ$3:AJ276),$Q$3:$Q$400,0),8),"")</f>
        <v>ec17</v>
      </c>
      <c r="AK276" s="48">
        <f t="shared" ca="1" si="548"/>
        <v>0</v>
      </c>
      <c r="AL276" s="48">
        <f t="shared" ca="1" si="576"/>
        <v>0</v>
      </c>
      <c r="AM276" s="48">
        <f t="shared" ca="1" si="516"/>
        <v>0</v>
      </c>
      <c r="AN276" s="48">
        <f t="shared" ca="1" si="517"/>
        <v>0</v>
      </c>
      <c r="AO276" s="48">
        <f t="shared" ca="1" si="518"/>
        <v>0</v>
      </c>
      <c r="AP276" s="48">
        <f t="shared" ca="1" si="518"/>
        <v>0</v>
      </c>
      <c r="AZ276" s="48" t="str">
        <f t="shared" ca="1" si="584"/>
        <v/>
      </c>
      <c r="BA276" s="48">
        <f t="shared" ca="1" si="520"/>
        <v>0</v>
      </c>
      <c r="BB276" s="48">
        <f t="shared" ca="1" si="521"/>
        <v>0</v>
      </c>
      <c r="BC276" s="48">
        <f t="shared" ca="1" si="522"/>
        <v>0</v>
      </c>
      <c r="BD276" s="48">
        <f t="shared" ca="1" si="523"/>
        <v>0</v>
      </c>
      <c r="BE276" s="48">
        <f t="shared" ca="1" si="524"/>
        <v>0</v>
      </c>
      <c r="BF276" s="48">
        <f t="shared" si="585"/>
        <v>76</v>
      </c>
      <c r="BG276" s="48">
        <f ca="1">IF(IF(AND(OR(INDEX(PDC,MATCH($AC276,DEN_PDC,0),6)="SP DARE",INDEX(PDC,MATCH($AC276,DEN_PDC,0),6)="SP DARE/AVERE"),SUMIFS(DARE,DEN_G,$AC276)&gt;=SUMIFS(AVERE,DEN_G,$AC276)),SUMIFS(DARE,DEN_G,$AC276)-SUMIFS(AVERE,DEN_G,$AC276),0)&gt;0,MAX($BG$2:BG275)+1,0)</f>
        <v>0</v>
      </c>
      <c r="BH276" s="48">
        <f ca="1">IF(IF(AND(OR(INDEX(PDC,MATCH($AC276,DEN_PDC,0),6)="SP AVERE",INDEX(PDC,MATCH($AC276,DEN_PDC,0),6)="SP DARE/AVERE"),SUMIFS(AVERE,DEN_G,$AC276)&gt;=SUMIFS(DARE,DEN_G,$AC276)),SUMIFS(AVERE,DEN_G,$AC276)-SUMIFS(DARE,DEN_G,$AC276),0)&gt;0,MAX(BH$2:BH275)+1,0)</f>
        <v>0</v>
      </c>
      <c r="BI276" s="48">
        <f ca="1">IF(IF(AND(OR(INDEX(PDC,MATCH($AC276,DEN_PDC,0),6)="SE DARE",INDEX(PDC,MATCH($AC276,DEN_PDC,0),6)="SE DARE/AVERE"),SUMIFS(DARE,DEN_G,$AC276)&gt;=SUMIFS(AVERE,DEN_G,$AC276)),SUMIFS(DARE,DEN_G,$AC276)-SUMIFS(AVERE,DEN_G,$AC276),0)&gt;0,MAX(BI$2:BI275)+1,0)</f>
        <v>0</v>
      </c>
      <c r="BJ276" s="48">
        <f ca="1">IF(IF(AND(OR(INDEX(PDC,MATCH($AC276,DEN_PDC,0),6)="SE AVERE",INDEX(PDC,MATCH($AC276,DEN_PDC,0),6)="SE DARE/AVERE"),SUMIFS(AVERE,DEN_G,$AC276)&gt;=SUMIFS(DARE,DEN_G,$AC276)),SUMIFS(AVERE,DEN_G,$AC276)-SUMIFS(DARE,DEN_G,$AC276),0)&gt;0,MAX(BJ$2:BJ275)+1,0)</f>
        <v>0</v>
      </c>
      <c r="BK276" s="48" t="str">
        <f ca="1">IF(AND(AND($DY$2=0,$DY$1=0),$I$1=2,ROW()&gt;$BG$1+2,ROW()&lt;=$BG$1+4),"………………..",IF(AND(OR($DY$2&gt;0,$DY$1&gt;0),$I$1=2,ROW()&gt;$BG$1+2,ROW()&lt;=$BG$1+4),"………………..",IFERROR(INDEX($AC$3:$AC$398,MATCH(ROWS(BK$3:BK276),BG$3:BG$398,0),1),"")))</f>
        <v/>
      </c>
      <c r="BL276" s="48">
        <f t="shared" ca="1" si="549"/>
        <v>0</v>
      </c>
      <c r="BM276" s="48" t="str">
        <f ca="1">IF(AND(OR($DY$2=0,$DY$1=0),$I$1=2,ROW()&gt;$BH$1+2,ROW()&lt;=$BH$1+4),"………………..",IF(AND(OR($DY$2&gt;0,$DY$1&gt;0),$I$1=2,ROW()&gt;$BH$1+2,ROW()&lt;=$BH$1+4),"………………..",IFERROR(INDEX($AC$3:$AC$400,MATCH(ROWS(BM$3:BM276),BH$3:BH$400,0),1),"")))</f>
        <v/>
      </c>
      <c r="BN276" s="48">
        <f t="shared" ca="1" si="550"/>
        <v>0</v>
      </c>
      <c r="BO276" s="48" t="str">
        <f ca="1">IF(AND(OR($DY$2=0,$DY$1=0),$I$1=2,ROW()&gt;$BI$1+2,ROW()&lt;=$BI$1+4),"………………..",IF(AND(OR($DY$2&gt;0,$DY$1&gt;0),$I$1=2,ROW()&gt;$BI$1+2,ROW()&lt;=$BI$1+4),"………………..",IFERROR(INDEX($AC$3:$AC$400,MATCH(ROWS(BO$3:BO276),BI$3:BI$400,0),1),"")))</f>
        <v/>
      </c>
      <c r="BP276" s="48">
        <f t="shared" ca="1" si="551"/>
        <v>0</v>
      </c>
      <c r="BQ276" s="48" t="str">
        <f ca="1">IF(AND(OR($DY$2=0,$DY$1=0),$I$1=2,ROW()&gt;$BJ$1+2,ROW()&lt;=$BJ$1+4),"………………..",IF(AND(OR($DY$2&gt;0,$DY$1&gt;0),$I$1=2,ROW()&gt;$BJ$1+2,ROW()&lt;=$BJ$1+4),"………………..",IFERROR(INDEX($AC$3:$AC$400,MATCH(ROWS(BQ$3:BQ276),BJ$3:BJ$400,0),1),"")))</f>
        <v/>
      </c>
      <c r="BR276" s="48">
        <f t="shared" ca="1" si="552"/>
        <v>0</v>
      </c>
      <c r="BS276" s="48">
        <f ca="1">IF(IF(AND(OR(INDEX(PDC,MATCH($AC276,DEN_PDC,0),4)="D",INDEX(PDC,MATCH($AC276,DEN_PDC,0),4)="D/A"),SUMIFS(DARE,DEN_G,$AC276)&gt;=SUMIFS(AVERE,DEN_G,$AC276)),SUMIFS(DARE,DEN_G,$AC276),IF(AND(OR(INDEX(PDC,MATCH($AC276,DEN_PDC,0),4)="A",INDEX(PDC,MATCH($AC276,DEN_PDC,0),4)="D/A"),SUMIFS(AVERE,DEN_G,$AC276)&gt;=SUMIFS(DARE,DEN_G,$AC276)),SUMIFS(AVERE,DEN_G,$AC276),))&gt;0,MAX($BS$2:BS275)+1,0)</f>
        <v>0</v>
      </c>
      <c r="BT276" s="48" t="str">
        <f ca="1">IF($CO$1=0,"",IF(AND($I$1=2,ROW()&gt;$BR$1,ROW()&lt;=$BS$1)," …………….",IF(AND($E$1=1,$BX$1=1,$I$1=2,ROW()=$BQ$1),"TOTALI",IFERROR(INDEX(PDC,MATCH(ROWS(BT$3:BT276),BS$3:BS673,0),2),""))))</f>
        <v/>
      </c>
      <c r="BU276" s="48">
        <f t="shared" ca="1" si="553"/>
        <v>0</v>
      </c>
      <c r="BV276" s="48">
        <f t="shared" ca="1" si="554"/>
        <v>0</v>
      </c>
      <c r="BW276" s="48">
        <f t="shared" ca="1" si="555"/>
        <v>0</v>
      </c>
      <c r="BX276" s="48">
        <f t="shared" ca="1" si="556"/>
        <v>0</v>
      </c>
      <c r="BY276" s="48">
        <f ca="1">IF(OR(BW276&gt;0,BX276&gt;0),MAX($BY$2:BY275)+1,0)</f>
        <v>0</v>
      </c>
      <c r="BZ276" s="48" t="str">
        <f ca="1">IFERROR(INDEX($BT$3:$BY$400,MATCH(ROWS(BZ$3:BZ276),$BY$3:$BY$400,0),1),"")</f>
        <v/>
      </c>
      <c r="CA276" s="48" t="str">
        <f ca="1">IFERROR(INDEX($BT$3:$BY$400,MATCH(ROWS(CA$3:CA276),$BY$3:$BY$400,0),4),"")</f>
        <v/>
      </c>
      <c r="CB276" s="48" t="str">
        <f ca="1">IFERROR(INDEX($BT$3:$BY$400,MATCH(ROWS(CB$3:CB276),$BY$3:$BY$400,0),5),"")</f>
        <v/>
      </c>
      <c r="CC276" s="48" t="str">
        <f t="shared" ca="1" si="557"/>
        <v/>
      </c>
      <c r="CM276" s="242" t="str">
        <f t="shared" ca="1" si="566"/>
        <v/>
      </c>
      <c r="CN276" s="243">
        <f t="shared" ca="1" si="567"/>
        <v>0</v>
      </c>
      <c r="CO276" s="48" t="str">
        <f t="shared" ca="1" si="568"/>
        <v/>
      </c>
      <c r="CU276" s="48">
        <f ca="1">IF(SUMIFS(AVERE,DEN_G,AC276,AVERE,"&gt;"&amp;0)+SUMIFS(DARE,DEN_G,AC276,DARE,"&gt;"&amp;0)&gt;0,MAX($CU$2:CU275)+1,0)</f>
        <v>0</v>
      </c>
      <c r="CV276" s="48" t="str">
        <f ca="1">IF(IFERROR(INDEX(PDC,MATCH(ROWS($CV$3:CV276),$CU$3:$CU$400,0),2),"")="CONTO DI RISULTATO ECONOMICO","",IFERROR(INDEX(PDC,MATCH(ROWS($CV$3:CV276),$CU$3:$CU$400,0),2),""))</f>
        <v/>
      </c>
      <c r="CW276" s="48">
        <f ca="1">IFERROR(IF(CV276&lt;&gt;"",MAX($CW$2:CW275)+1,0),0)</f>
        <v>0</v>
      </c>
      <c r="CX276" s="48">
        <f ca="1">$FF$24</f>
        <v>22</v>
      </c>
      <c r="CY276" s="48" t="str">
        <f t="shared" ref="CY276:CY287" ca="1" si="588">IF(ISERROR(INDEX($CV$3:$CX$1302,MATCH(CX276,$CW$3:$CW$1302,0),1)),"MASTRO",INDEX($CV$3:$CX$1302,MATCH(CX276,$CW$3:$CW$1302,0),1))</f>
        <v>MASTRO</v>
      </c>
      <c r="DA276" s="48" t="str">
        <f>IF(CY275="MASTRO","Conto n.","")</f>
        <v>Conto n.</v>
      </c>
      <c r="DB276" s="48" t="str">
        <f ca="1">IF(CY276=0,"",INDEX(PDC,MATCH(DC276,DEN_PDC,0),1))</f>
        <v/>
      </c>
      <c r="DC276" s="48" t="str">
        <f ca="1">IF(OR(CY276=0,CY276="mastro"),"",CY276)</f>
        <v/>
      </c>
      <c r="DD276" s="48" t="str">
        <f ca="1">IF(AND($DA$2=TRUE,OR(INDEX(PDC,MATCH($DC276,DEN_PDC,0),4)="A",INDEX(PDC,MATCH($DC276,DEN_PDC,0),4)="D/A"),SUMIFS(AVERE,DEN_G,"="&amp;$DC276,DATA,"&lt;="&amp;FINE_AC,DATA,"&gt;="&amp;INIZIO_AC)&gt;SUMIFS(DARE,DEN_G,"="&amp;$DC276,DATA,"&lt;="&amp;FINE_AC,DATA,"&gt;="&amp;INIZIO_AC)),CONCATENATE("s ",FIXED(ABS(SUMIFS(AVERE,DEN_G,"="&amp;$DC276,DATA,"&lt;="&amp;FINE_AC,DATA,"&gt;="&amp;INIZIO_AC)-SUMIFS(DARE,DEN_G,"="&amp;$DC276,DATA,"&lt;="&amp;FINE_AC,DATA,"&gt;="&amp;INIZIO_AC)),2)),"")</f>
        <v/>
      </c>
      <c r="DE276" s="48" t="str">
        <f ca="1">IF(AND($DA$2=TRUE,OR(INDEX(PDC,MATCH($DC276,DEN_PDC,0),4)="D",INDEX(PDC,MATCH($DC276,DEN_PDC,0),4)="D/A"),SUMIFS(DARE,DEN_G,"="&amp;$DC276,DATA,"&lt;="&amp;FINE_AC,DATA,"&gt;="&amp;INIZIO_AC)&gt;SUMIFS(AVERE,DEN_G,"="&amp;$DC276,DATA,"&lt;="&amp;FINE_AC,DATA,"&gt;="&amp;INIZIO_AC)),CONCATENATE("s ",FIXED(ABS(SUMIFS(DARE,DEN_G,"="&amp;$DC276,DATA,"&lt;="&amp;FINE_AC,DATA,"&gt;="&amp;INIZIO_AC)-SUMIFS(AVERE,DEN_G,"="&amp;$DC276,DATA,"&lt;="&amp;FINE_AC,DATA,"&gt;="&amp;INIZIO_AC)),2)),"")</f>
        <v/>
      </c>
      <c r="DF276" s="48">
        <f ca="1">IF(AND(CX276=$DF$1,CX276&lt;&gt;""),0,IF(AND(DB276&lt;&gt;"",OR(DB275&lt;&gt;"",DB277&lt;&gt;"")),MAX($DF$2:DF275)+1,0))</f>
        <v>0</v>
      </c>
      <c r="DH276" s="244"/>
      <c r="DN276" s="48">
        <f>IF(DI276&lt;&gt;"",MAX($DN$2:DN275)+1,0)</f>
        <v>0</v>
      </c>
      <c r="DQ276" s="227" t="s">
        <v>206</v>
      </c>
      <c r="DR276" s="48" t="s">
        <v>893</v>
      </c>
      <c r="DS276" s="48" t="s">
        <v>311</v>
      </c>
      <c r="DT276" s="48" t="s">
        <v>275</v>
      </c>
      <c r="DU276" s="48" t="s">
        <v>7</v>
      </c>
      <c r="DV276" s="48" t="s">
        <v>301</v>
      </c>
      <c r="DW276" s="48">
        <f ca="1">IF(DR276&lt;&gt;"",MAX($DW$2:DW275)+1,0)</f>
        <v>164</v>
      </c>
      <c r="DX276" s="48" t="s">
        <v>710</v>
      </c>
      <c r="DY276" s="48" t="str">
        <f t="shared" ca="1" si="558"/>
        <v/>
      </c>
      <c r="EL276" s="48">
        <f t="shared" ca="1" si="559"/>
        <v>0</v>
      </c>
      <c r="EM276" s="48">
        <f ca="1">IF(EL276&gt;=0,0,MAX($EM$2:EM275)+1)</f>
        <v>0</v>
      </c>
      <c r="EN276" s="48" t="str">
        <f t="shared" ca="1" si="569"/>
        <v/>
      </c>
      <c r="EO276" s="48" t="str">
        <f ca="1">IFERROR(INDEX($EM$3:$EN$400,MATCH(ROWS($EO$3:EO276),$EM$3:$EM$400,0),2),"")</f>
        <v/>
      </c>
      <c r="EP276" s="48">
        <f>ROW()</f>
        <v>276</v>
      </c>
      <c r="EQ276" s="48">
        <f t="shared" ca="1" si="560"/>
        <v>0</v>
      </c>
      <c r="ER276" s="48">
        <f ca="1">IF(ISNA(EQ276)=TRUE,MAX($ER$2:ER275)+1,0)</f>
        <v>0</v>
      </c>
      <c r="ES276" s="48" t="str">
        <f t="shared" ca="1" si="570"/>
        <v/>
      </c>
      <c r="ET276" s="48" t="str">
        <f ca="1">IFERROR(INDEX($ER$3:$ES$400,MATCH(ROWS($ET$3:ET276),$ER$3:$ER$400,0),2),"")</f>
        <v/>
      </c>
      <c r="EV276" s="48">
        <f ca="1">IFERROR(INDEX(LIBRO_GIORNALE!$O$11:$P$408,MATCH(ROWS($EV$2:EV275),LIBRO_GIORNALE!$P$11:$P$408,0),1),0)</f>
        <v>0</v>
      </c>
      <c r="EW276" s="48" t="str">
        <f t="shared" ca="1" si="544"/>
        <v>0</v>
      </c>
      <c r="EX276" s="48">
        <f t="shared" ca="1" si="571"/>
        <v>0</v>
      </c>
      <c r="EY276" s="48">
        <f ca="1">IF(EX276&gt;0,MAX($EY$2:EY275)+1,0)</f>
        <v>0</v>
      </c>
      <c r="EZ276" s="48">
        <f ca="1">IFERROR(INDEX($EX$3:$EX$400,MATCH(ROWS($EZ$3:EZ276),$EY$3:$EY$400,0),1),0)</f>
        <v>0</v>
      </c>
      <c r="FA276" s="48">
        <f ca="1">IF(EZ276&gt;0,0,MAX($FA$2:FA275)+1)</f>
        <v>274</v>
      </c>
      <c r="FB276" s="48">
        <f t="shared" ca="1" si="545"/>
        <v>0</v>
      </c>
      <c r="FC276" s="48">
        <f t="shared" ca="1" si="546"/>
        <v>274</v>
      </c>
      <c r="FD276" s="48">
        <f t="shared" ca="1" si="572"/>
        <v>274</v>
      </c>
      <c r="FE276" s="48">
        <f ca="1">IF(FD276=0,0,MAX($FE$2:FE275)+1)</f>
        <v>274</v>
      </c>
      <c r="FF276" s="48">
        <f ca="1">IFERROR(INDEX($FD$3:$FE$400,MATCH(ROWS($FF$3:FF276),$FE$3:$FE$400,0),1),"")</f>
        <v>274</v>
      </c>
      <c r="FG276" s="48">
        <f t="shared" ca="1" si="519"/>
        <v>0</v>
      </c>
      <c r="FH276" s="48">
        <f t="shared" ca="1" si="573"/>
        <v>0</v>
      </c>
      <c r="FI276" s="48">
        <f ca="1">IF(FH276&lt;&gt;0,MAX($FI$2:FI275)+1,0)</f>
        <v>0</v>
      </c>
      <c r="FJ276" s="48" t="str">
        <f ca="1">IFERROR(INDEX($FH$3:$FI$400,MATCH(ROWS($FJ$3:FJ276),$FI$3:$FI$400,0),1),"")</f>
        <v/>
      </c>
      <c r="FK276" s="48">
        <f ca="1">IF(ABS(SUMIFS(DARE,DEN_G,"="&amp;FJ276,DATA,"&lt;="&amp;FINE_AC,DATA,"&gt;="&amp;INIZIO_A_PC)-SUMIFS(AVERE,DEN_G,"="&amp;FJ276,DATA,"&lt;="&amp;FINE_AC,DATA,"&gt;="&amp;INIZIO_A_PC))&gt;0,MAX($FK$2:FK275)+1,0)</f>
        <v>0</v>
      </c>
      <c r="FL276" s="48" t="str">
        <f ca="1">IF(AND(ROW()-2&lt;&gt;1,ROW()-2&lt;=$FK$1),CONCATENATE(" - ",IFERROR(INDEX($FJ$3:$FK$400,MATCH(ROWS($FL$3:FL276),$FK$3:$FK$400,0),1),"")),IFERROR(INDEX($FJ$3:$FK$400,MATCH(ROWS($FL$3:FL276),$FK$3:$FK$400,0),1),""))</f>
        <v/>
      </c>
      <c r="FM276" s="48">
        <f ca="1">IF(OR(B276="IVA ns/credito",B276="IVA NS/DEBITO",B276="IVA C/ACCONTO",B276="IMPOSTE C/ACCONTO",B276="CREDITI PER RITENUTE SUBITE",B276="CREDITI D'IMPOSTA"),MAX($FM$2:FM275)+1,0)</f>
        <v>0</v>
      </c>
      <c r="FN276" s="48" t="str">
        <f t="shared" ca="1" si="574"/>
        <v/>
      </c>
      <c r="FO276" s="48" t="str">
        <f ca="1">IFERROR(INDEX($FM$3:$FN$400,MATCH(ROWS($FO$3:FO276),$FM$3:$FM$400,0),2),"")</f>
        <v/>
      </c>
      <c r="FP276" s="48">
        <f ca="1">IF(ABS(SUMIFS(DARE,DEN_G,"="&amp;FO276,DATA,"&lt;="&amp;FINE_AC,DATA,"&gt;="&amp;INIZIO_A_PC)-SUMIFS(AVERE,DEN_G,"="&amp;FO276,DATA,"&lt;="&amp;FINE_AC,DATA,"&gt;="&amp;INIZIO_A_PC))&gt;0,MAX($FP$2:FP275)+1,0)</f>
        <v>0</v>
      </c>
      <c r="FQ276" s="48" t="str">
        <f ca="1">IF(AND(ROW()-2&lt;&gt;1,ROW()-2&lt;=$FP$1),CONCATENATE(" - ",IFERROR(INDEX($FO$3:$FP$400,MATCH(ROWS($FQ$3:FQ276),$FP$3:$FP$400,0),1),"")),IFERROR(INDEX($FO$3:$FP$400,MATCH(ROWS($FQ$3:FQ276),$FP$3:$FP$400,0),1),""))</f>
        <v/>
      </c>
    </row>
    <row r="277" spans="1:173" x14ac:dyDescent="0.3">
      <c r="A277" s="48" t="str">
        <f ca="1">IFERROR(IF($A$1=2,INDEX($DH$3:$DN$401,MATCH(ROWS(A$3:A277),$DN$3:$DN$401,0),COLUMN()),IF($A$1=1,INDEX($DQ$3:$DW$401,MATCH(ROWS(A$3:A277),$DW$3:$DW$401,0),COLUMN()),"")),"")</f>
        <v>37.11</v>
      </c>
      <c r="B277" s="48" t="str">
        <f ca="1">IFERROR(IF($A$1=2,INDEX($DH$3:$DN$401,MATCH(ROWS(B$3:B277),$DN$3:$DN$401,0),COLUMN()),IF($A$1=1,INDEX($DQ$3:$DW$400,MATCH(ROWS(B$3:B277),$DW$3:$DW$401,0),COLUMN()),"")),"")</f>
        <v>MATERIE SUSSIDIARIE C/RIMANENZE FINALI</v>
      </c>
      <c r="C277" s="48" t="str">
        <f ca="1">IFERROR(IF($A$1=2,INDEX($DH$3:$DN$401,MATCH(ROWS(C$3:C277),$DN$3:$DN$401,0),COLUMN()),IF($A$1=1,INDEX($DQ$3:$DW$401,MATCH(ROWS(C$3:C277),$DW$3:$DW$401,0),COLUMN()),"")),"")</f>
        <v>E</v>
      </c>
      <c r="D277" s="48" t="str">
        <f ca="1">IFERROR(IF($A$1=2,INDEX($DH$3:$DN$401,MATCH(ROWS(D$3:D277),$DN$3:$DN$401,0),COLUMN()),IF($A$1=1,INDEX($DQ$3:$DW$401,MATCH(ROWS(D$3:D277),$DW$3:$DW$401,0),COLUMN()),"")),"")</f>
        <v>A</v>
      </c>
      <c r="E277" s="48" t="str">
        <f ca="1">IFERROR(IF($A$1=2,INDEX($DH$3:$DN$401,MATCH(ROWS(E$3:E277),$DN$3:$DN$401,0),COLUMN()),IF($A$1=1,INDEX($DQ$3:$DW$401,MATCH(ROWS(E$3:E277),$DW$3:$DW$401,0),COLUMN()),"")),"")</f>
        <v>RETTIFICHE COSTI D'ESERCIZIO</v>
      </c>
      <c r="F277" s="48" t="str">
        <f ca="1">IFERROR(IF($A$1=2,INDEX($DH$3:$DN$401,MATCH(ROWS(F$3:F277),$DN$3:$DN$401,0),COLUMN()),IF($A$1=1,INDEX($DQ$3:$DX$401,MATCH(ROWS(F$3:F277),$DW$3:$DW$401,0),COLUMN()),"")),"")</f>
        <v>SE AVERE</v>
      </c>
      <c r="G277" s="48" t="str">
        <f t="shared" ca="1" si="561"/>
        <v>SE</v>
      </c>
      <c r="H277" s="48" t="str">
        <f ca="1">IFERROR(IF($A$1=2,INDEX($DH$3:$DO$400,MATCH(ROWS(H$3:H277),$DN$3:$DN$400,0),COLUMN()),IF($A$1=1,INDEX($DQ$3:$DX$400,MATCH(ROWS(H$3:H277),$DW$3:$DW$400,0),COLUMN()),"")),"")</f>
        <v>eb11</v>
      </c>
      <c r="M277" s="48">
        <f ca="1">IFERROR(IF(IF(MID($A277,3,3)=".00",MID(A277,1,2),"")&lt;&gt;"",MAX($M$2:M276)+1,0),"")</f>
        <v>0</v>
      </c>
      <c r="N277" s="48" t="str">
        <f t="shared" ca="1" si="562"/>
        <v/>
      </c>
      <c r="O277" s="48" t="str">
        <f ca="1">IF(IFERROR(INDEX($N$3:$O$300,MATCH(ROWS($O$3:O277),$M$3:$M$300,0),1),"")&lt;&gt;"",CONCATENATE(INDEX($N$3:$O$300,MATCH(ROWS($O$3:O277),$M$3:$M$300,0),1),".00"),"")</f>
        <v/>
      </c>
      <c r="P277" s="48" t="str">
        <f t="shared" ca="1" si="563"/>
        <v/>
      </c>
      <c r="Q277" s="48">
        <f ca="1">IF(M277&gt;=1,0,MAX($Q$2:Q276)+1)</f>
        <v>246</v>
      </c>
      <c r="U277" s="48" t="str">
        <f ca="1">IFERROR(INDEX(PDC,MATCH(ROWS(U$3:U277),$V$3:$V$400,0),2),"")</f>
        <v>DISAGGIO SU PRESTITI</v>
      </c>
      <c r="V277" s="48">
        <f ca="1">IF(AND($T$1="VISUALIZZA TUTTI I CONTI",AA277&lt;&gt;""),MAX($V$2:V276)+1,IF(AND($U$2=2,AI277=$T$1),MAX($V$2:V276)+1,IF(AND($U$2=1,$T$1=AF277),MAX($V$2:V276)+1,0)))</f>
        <v>275</v>
      </c>
      <c r="AA277" s="48" t="str">
        <f t="shared" ca="1" si="564"/>
        <v>41.00</v>
      </c>
      <c r="AB277" s="48" t="str">
        <f ca="1">IFERROR(INDEX($A$3:$G$400,MATCH(ROWS(AB$3:AB277),$Q$3:$Q$400,0),1),"")</f>
        <v>41.09</v>
      </c>
      <c r="AC277" s="48" t="str">
        <f ca="1">IFERROR(INDEX($A$3:$G$400,MATCH(ROWS($AC$3:AC277),$Q$3:$Q$400,0),2),"")</f>
        <v>DISAGGIO SU PRESTITI</v>
      </c>
      <c r="AD277" s="48" t="str">
        <f ca="1">IFERROR(INDEX($A$3:$G$400,MATCH(ROWS(AD$3:AD277),$Q$3:$Q$400,0),3),"")</f>
        <v>E</v>
      </c>
      <c r="AE277" s="48" t="str">
        <f ca="1">IFERROR(INDEX($A$3:$G$400,MATCH(ROWS(AE$3:AE277),$Q$3:$Q$400,0),4),"")</f>
        <v>D</v>
      </c>
      <c r="AF277" s="48" t="str">
        <f ca="1">IFERROR(INDEX($A$3:$G$400,MATCH(ROWS(AF$3:AF277),$Q$3:$Q$400,0),5),"")</f>
        <v>COSTI D'ESERCIZIO</v>
      </c>
      <c r="AG277" s="48" t="str">
        <f ca="1">IFERROR(INDEX($A$3:$G$400,MATCH(ROWS(AG$3:AG277),$Q$3:$Q$400,0),6),"")</f>
        <v>SE DARE</v>
      </c>
      <c r="AH277" s="48" t="str">
        <f ca="1">IFERROR(INDEX($A$3:$G$400,MATCH(ROWS(AH$3:AH277),$Q$3:$Q$400,0),7),"")</f>
        <v>SE</v>
      </c>
      <c r="AI277" s="48" t="str">
        <f t="shared" ca="1" si="565"/>
        <v>ONERI FINANZIARI</v>
      </c>
      <c r="AJ277" s="48" t="str">
        <f ca="1">IFERROR(INDEX($A$3:$H$400,MATCH(ROWS(AJ$3:AJ277),$Q$3:$Q$400,0),8),"")</f>
        <v>ec17</v>
      </c>
      <c r="AK277" s="48">
        <f t="shared" ca="1" si="548"/>
        <v>0</v>
      </c>
      <c r="AL277" s="48">
        <f t="shared" ca="1" si="576"/>
        <v>0</v>
      </c>
      <c r="AM277" s="48">
        <f t="shared" ca="1" si="516"/>
        <v>0</v>
      </c>
      <c r="AN277" s="48">
        <f t="shared" ca="1" si="517"/>
        <v>0</v>
      </c>
      <c r="AO277" s="48">
        <f t="shared" ca="1" si="518"/>
        <v>0</v>
      </c>
      <c r="AP277" s="48">
        <f t="shared" ca="1" si="518"/>
        <v>0</v>
      </c>
      <c r="AZ277" s="48" t="str">
        <f t="shared" ca="1" si="584"/>
        <v/>
      </c>
      <c r="BA277" s="48">
        <f t="shared" ca="1" si="520"/>
        <v>0</v>
      </c>
      <c r="BB277" s="48">
        <f t="shared" ca="1" si="521"/>
        <v>0</v>
      </c>
      <c r="BC277" s="48">
        <f t="shared" ca="1" si="522"/>
        <v>0</v>
      </c>
      <c r="BD277" s="48">
        <f t="shared" ca="1" si="523"/>
        <v>0</v>
      </c>
      <c r="BE277" s="48">
        <f t="shared" ca="1" si="524"/>
        <v>0</v>
      </c>
      <c r="BF277" s="48">
        <f t="shared" si="585"/>
        <v>77</v>
      </c>
      <c r="BG277" s="48">
        <f ca="1">IF(IF(AND(OR(INDEX(PDC,MATCH($AC277,DEN_PDC,0),6)="SP DARE",INDEX(PDC,MATCH($AC277,DEN_PDC,0),6)="SP DARE/AVERE"),SUMIFS(DARE,DEN_G,$AC277)&gt;=SUMIFS(AVERE,DEN_G,$AC277)),SUMIFS(DARE,DEN_G,$AC277)-SUMIFS(AVERE,DEN_G,$AC277),0)&gt;0,MAX($BG$2:BG276)+1,0)</f>
        <v>0</v>
      </c>
      <c r="BH277" s="48">
        <f ca="1">IF(IF(AND(OR(INDEX(PDC,MATCH($AC277,DEN_PDC,0),6)="SP AVERE",INDEX(PDC,MATCH($AC277,DEN_PDC,0),6)="SP DARE/AVERE"),SUMIFS(AVERE,DEN_G,$AC277)&gt;=SUMIFS(DARE,DEN_G,$AC277)),SUMIFS(AVERE,DEN_G,$AC277)-SUMIFS(DARE,DEN_G,$AC277),0)&gt;0,MAX(BH$2:BH276)+1,0)</f>
        <v>0</v>
      </c>
      <c r="BI277" s="48">
        <f ca="1">IF(IF(AND(OR(INDEX(PDC,MATCH($AC277,DEN_PDC,0),6)="SE DARE",INDEX(PDC,MATCH($AC277,DEN_PDC,0),6)="SE DARE/AVERE"),SUMIFS(DARE,DEN_G,$AC277)&gt;=SUMIFS(AVERE,DEN_G,$AC277)),SUMIFS(DARE,DEN_G,$AC277)-SUMIFS(AVERE,DEN_G,$AC277),0)&gt;0,MAX(BI$2:BI276)+1,0)</f>
        <v>0</v>
      </c>
      <c r="BJ277" s="48">
        <f ca="1">IF(IF(AND(OR(INDEX(PDC,MATCH($AC277,DEN_PDC,0),6)="SE AVERE",INDEX(PDC,MATCH($AC277,DEN_PDC,0),6)="SE DARE/AVERE"),SUMIFS(AVERE,DEN_G,$AC277)&gt;=SUMIFS(DARE,DEN_G,$AC277)),SUMIFS(AVERE,DEN_G,$AC277)-SUMIFS(DARE,DEN_G,$AC277),0)&gt;0,MAX(BJ$2:BJ276)+1,0)</f>
        <v>0</v>
      </c>
      <c r="BK277" s="48" t="str">
        <f ca="1">IF(AND(AND($DY$2=0,$DY$1=0),$I$1=2,ROW()&gt;$BG$1+2,ROW()&lt;=$BG$1+4),"………………..",IF(AND(OR($DY$2&gt;0,$DY$1&gt;0),$I$1=2,ROW()&gt;$BG$1+2,ROW()&lt;=$BG$1+4),"………………..",IFERROR(INDEX($AC$3:$AC$398,MATCH(ROWS(BK$3:BK277),BG$3:BG$398,0),1),"")))</f>
        <v/>
      </c>
      <c r="BL277" s="48">
        <f t="shared" ca="1" si="549"/>
        <v>0</v>
      </c>
      <c r="BM277" s="48" t="str">
        <f ca="1">IF(AND(OR($DY$2=0,$DY$1=0),$I$1=2,ROW()&gt;$BH$1+2,ROW()&lt;=$BH$1+4),"………………..",IF(AND(OR($DY$2&gt;0,$DY$1&gt;0),$I$1=2,ROW()&gt;$BH$1+2,ROW()&lt;=$BH$1+4),"………………..",IFERROR(INDEX($AC$3:$AC$400,MATCH(ROWS(BM$3:BM277),BH$3:BH$400,0),1),"")))</f>
        <v/>
      </c>
      <c r="BN277" s="48">
        <f t="shared" ca="1" si="550"/>
        <v>0</v>
      </c>
      <c r="BO277" s="48" t="str">
        <f ca="1">IF(AND(OR($DY$2=0,$DY$1=0),$I$1=2,ROW()&gt;$BI$1+2,ROW()&lt;=$BI$1+4),"………………..",IF(AND(OR($DY$2&gt;0,$DY$1&gt;0),$I$1=2,ROW()&gt;$BI$1+2,ROW()&lt;=$BI$1+4),"………………..",IFERROR(INDEX($AC$3:$AC$400,MATCH(ROWS(BO$3:BO277),BI$3:BI$400,0),1),"")))</f>
        <v/>
      </c>
      <c r="BP277" s="48">
        <f t="shared" ca="1" si="551"/>
        <v>0</v>
      </c>
      <c r="BQ277" s="48" t="str">
        <f ca="1">IF(AND(OR($DY$2=0,$DY$1=0),$I$1=2,ROW()&gt;$BJ$1+2,ROW()&lt;=$BJ$1+4),"………………..",IF(AND(OR($DY$2&gt;0,$DY$1&gt;0),$I$1=2,ROW()&gt;$BJ$1+2,ROW()&lt;=$BJ$1+4),"………………..",IFERROR(INDEX($AC$3:$AC$400,MATCH(ROWS(BQ$3:BQ277),BJ$3:BJ$400,0),1),"")))</f>
        <v/>
      </c>
      <c r="BR277" s="48">
        <f t="shared" ca="1" si="552"/>
        <v>0</v>
      </c>
      <c r="BS277" s="48">
        <f ca="1">IF(IF(AND(OR(INDEX(PDC,MATCH($AC277,DEN_PDC,0),4)="D",INDEX(PDC,MATCH($AC277,DEN_PDC,0),4)="D/A"),SUMIFS(DARE,DEN_G,$AC277)&gt;=SUMIFS(AVERE,DEN_G,$AC277)),SUMIFS(DARE,DEN_G,$AC277),IF(AND(OR(INDEX(PDC,MATCH($AC277,DEN_PDC,0),4)="A",INDEX(PDC,MATCH($AC277,DEN_PDC,0),4)="D/A"),SUMIFS(AVERE,DEN_G,$AC277)&gt;=SUMIFS(DARE,DEN_G,$AC277)),SUMIFS(AVERE,DEN_G,$AC277),))&gt;0,MAX($BS$2:BS276)+1,0)</f>
        <v>0</v>
      </c>
      <c r="BT277" s="48" t="str">
        <f ca="1">IF($CO$1=0,"",IF(AND($I$1=2,ROW()&gt;$BR$1,ROW()&lt;=$BS$1)," …………….",IF(AND($E$1=1,$BX$1=1,$I$1=2,ROW()=$BQ$1),"TOTALI",IFERROR(INDEX(PDC,MATCH(ROWS(BT$3:BT277),BS$3:BS674,0),2),""))))</f>
        <v/>
      </c>
      <c r="BU277" s="48">
        <f t="shared" ca="1" si="553"/>
        <v>0</v>
      </c>
      <c r="BV277" s="48">
        <f t="shared" ca="1" si="554"/>
        <v>0</v>
      </c>
      <c r="BW277" s="48">
        <f t="shared" ca="1" si="555"/>
        <v>0</v>
      </c>
      <c r="BX277" s="48">
        <f t="shared" ca="1" si="556"/>
        <v>0</v>
      </c>
      <c r="BY277" s="48">
        <f ca="1">IF(OR(BW277&gt;0,BX277&gt;0),MAX($BY$2:BY276)+1,0)</f>
        <v>0</v>
      </c>
      <c r="BZ277" s="48" t="str">
        <f ca="1">IFERROR(INDEX($BT$3:$BY$400,MATCH(ROWS(BZ$3:BZ277),$BY$3:$BY$400,0),1),"")</f>
        <v/>
      </c>
      <c r="CA277" s="48" t="str">
        <f ca="1">IFERROR(INDEX($BT$3:$BY$400,MATCH(ROWS(CA$3:CA277),$BY$3:$BY$400,0),4),"")</f>
        <v/>
      </c>
      <c r="CB277" s="48" t="str">
        <f ca="1">IFERROR(INDEX($BT$3:$BY$400,MATCH(ROWS(CB$3:CB277),$BY$3:$BY$400,0),5),"")</f>
        <v/>
      </c>
      <c r="CC277" s="48" t="str">
        <f t="shared" ca="1" si="557"/>
        <v/>
      </c>
      <c r="CM277" s="242" t="str">
        <f t="shared" ca="1" si="566"/>
        <v/>
      </c>
      <c r="CN277" s="243">
        <f t="shared" ca="1" si="567"/>
        <v>0</v>
      </c>
      <c r="CO277" s="48" t="str">
        <f t="shared" ca="1" si="568"/>
        <v/>
      </c>
      <c r="CU277" s="48">
        <f ca="1">IF(SUMIFS(AVERE,DEN_G,AC277,AVERE,"&gt;"&amp;0)+SUMIFS(DARE,DEN_G,AC277,DARE,"&gt;"&amp;0)&gt;0,MAX($CU$2:CU276)+1,0)</f>
        <v>0</v>
      </c>
      <c r="CV277" s="48" t="str">
        <f ca="1">IF(IFERROR(INDEX(PDC,MATCH(ROWS($CV$3:CV277),$CU$3:$CU$400,0),2),"")="CONTO DI RISULTATO ECONOMICO","",IFERROR(INDEX(PDC,MATCH(ROWS($CV$3:CV277),$CU$3:$CU$400,0),2),""))</f>
        <v/>
      </c>
      <c r="CW277" s="48">
        <f ca="1">IFERROR(IF(CV277&lt;&gt;"",MAX($CW$2:CW276)+1,0),0)</f>
        <v>0</v>
      </c>
      <c r="CX277" s="48">
        <f t="shared" ref="CX277:CX287" ca="1" si="589">$FF$24</f>
        <v>22</v>
      </c>
      <c r="CY277" s="48" t="str">
        <f t="shared" ca="1" si="588"/>
        <v>MASTRO</v>
      </c>
      <c r="DA277" s="48" t="str">
        <f ca="1">IF(DB276="","","Num. riga")</f>
        <v/>
      </c>
      <c r="DB277" s="48" t="str">
        <f t="shared" ref="DB277" ca="1" si="590">IF(DB276="","","Data")</f>
        <v/>
      </c>
      <c r="DC277" s="48" t="str">
        <f ca="1">IF(DB276="","","Operazioni")</f>
        <v/>
      </c>
      <c r="DD277" s="48" t="str">
        <f ca="1">IF(DB276="","","Dare        ")</f>
        <v/>
      </c>
      <c r="DE277" s="48" t="str">
        <f ca="1">IF(DB276="","","Avere        ")</f>
        <v/>
      </c>
      <c r="DF277" s="48">
        <f ca="1">IF(AND(CX277=$DF$1,CX277&lt;&gt;""),0,IF(AND(DB277&lt;&gt;"",OR(DB276&lt;&gt;"",DB278&lt;&gt;"")),MAX($DF$2:DF276)+1,0))</f>
        <v>0</v>
      </c>
      <c r="DH277" s="244"/>
      <c r="DN277" s="48">
        <f>IF(DI277&lt;&gt;"",MAX($DN$2:DN276)+1,0)</f>
        <v>0</v>
      </c>
      <c r="DQ277" s="227" t="s">
        <v>207</v>
      </c>
      <c r="DR277" s="48" t="s">
        <v>196</v>
      </c>
      <c r="DS277" s="48" t="s">
        <v>311</v>
      </c>
      <c r="DT277" s="48" t="s">
        <v>275</v>
      </c>
      <c r="DU277" s="48" t="s">
        <v>7</v>
      </c>
      <c r="DV277" s="48" t="s">
        <v>301</v>
      </c>
      <c r="DW277" s="48">
        <f ca="1">IF(DR277&lt;&gt;"",MAX($DW$2:DW276)+1,0)</f>
        <v>165</v>
      </c>
      <c r="DX277" s="48" t="s">
        <v>710</v>
      </c>
      <c r="DY277" s="48" t="str">
        <f t="shared" ca="1" si="558"/>
        <v/>
      </c>
      <c r="EL277" s="48">
        <f t="shared" ca="1" si="559"/>
        <v>0</v>
      </c>
      <c r="EM277" s="48">
        <f ca="1">IF(EL277&gt;=0,0,MAX($EM$2:EM276)+1)</f>
        <v>0</v>
      </c>
      <c r="EN277" s="48" t="str">
        <f t="shared" ca="1" si="569"/>
        <v/>
      </c>
      <c r="EO277" s="48" t="str">
        <f ca="1">IFERROR(INDEX($EM$3:$EN$400,MATCH(ROWS($EO$3:EO277),$EM$3:$EM$400,0),2),"")</f>
        <v/>
      </c>
      <c r="EP277" s="48">
        <f>ROW()</f>
        <v>277</v>
      </c>
      <c r="EQ277" s="48">
        <f t="shared" ca="1" si="560"/>
        <v>0</v>
      </c>
      <c r="ER277" s="48">
        <f ca="1">IF(ISNA(EQ277)=TRUE,MAX($ER$2:ER276)+1,0)</f>
        <v>0</v>
      </c>
      <c r="ES277" s="48" t="str">
        <f t="shared" ca="1" si="570"/>
        <v/>
      </c>
      <c r="ET277" s="48" t="str">
        <f ca="1">IFERROR(INDEX($ER$3:$ES$400,MATCH(ROWS($ET$3:ET277),$ER$3:$ER$400,0),2),"")</f>
        <v/>
      </c>
      <c r="EV277" s="48">
        <f ca="1">IFERROR(INDEX(LIBRO_GIORNALE!$O$11:$P$408,MATCH(ROWS($EV$2:EV276),LIBRO_GIORNALE!$P$11:$P$408,0),1),0)</f>
        <v>0</v>
      </c>
      <c r="EW277" s="48" t="str">
        <f t="shared" ca="1" si="544"/>
        <v>0</v>
      </c>
      <c r="EX277" s="48">
        <f t="shared" ca="1" si="571"/>
        <v>0</v>
      </c>
      <c r="EY277" s="48">
        <f ca="1">IF(EX277&gt;0,MAX($EY$2:EY276)+1,0)</f>
        <v>0</v>
      </c>
      <c r="EZ277" s="48">
        <f ca="1">IFERROR(INDEX($EX$3:$EX$400,MATCH(ROWS($EZ$3:EZ277),$EY$3:$EY$400,0),1),0)</f>
        <v>0</v>
      </c>
      <c r="FA277" s="48">
        <f ca="1">IF(EZ277&gt;0,0,MAX($FA$2:FA276)+1)</f>
        <v>275</v>
      </c>
      <c r="FB277" s="48">
        <f t="shared" ca="1" si="545"/>
        <v>0</v>
      </c>
      <c r="FC277" s="48">
        <f t="shared" ca="1" si="546"/>
        <v>275</v>
      </c>
      <c r="FD277" s="48">
        <f t="shared" ca="1" si="572"/>
        <v>275</v>
      </c>
      <c r="FE277" s="48">
        <f ca="1">IF(FD277=0,0,MAX($FE$2:FE276)+1)</f>
        <v>275</v>
      </c>
      <c r="FF277" s="48">
        <f ca="1">IFERROR(INDEX($FD$3:$FE$400,MATCH(ROWS($FF$3:FF277),$FE$3:$FE$400,0),1),"")</f>
        <v>275</v>
      </c>
      <c r="FG277" s="48">
        <f t="shared" ca="1" si="519"/>
        <v>0</v>
      </c>
      <c r="FH277" s="48">
        <f t="shared" ca="1" si="573"/>
        <v>0</v>
      </c>
      <c r="FI277" s="48">
        <f ca="1">IF(FH277&lt;&gt;0,MAX($FI$2:FI276)+1,0)</f>
        <v>0</v>
      </c>
      <c r="FJ277" s="48" t="str">
        <f ca="1">IFERROR(INDEX($FH$3:$FI$400,MATCH(ROWS($FJ$3:FJ277),$FI$3:$FI$400,0),1),"")</f>
        <v/>
      </c>
      <c r="FK277" s="48">
        <f ca="1">IF(ABS(SUMIFS(DARE,DEN_G,"="&amp;FJ277,DATA,"&lt;="&amp;FINE_AC,DATA,"&gt;="&amp;INIZIO_A_PC)-SUMIFS(AVERE,DEN_G,"="&amp;FJ277,DATA,"&lt;="&amp;FINE_AC,DATA,"&gt;="&amp;INIZIO_A_PC))&gt;0,MAX($FK$2:FK276)+1,0)</f>
        <v>0</v>
      </c>
      <c r="FL277" s="48" t="str">
        <f ca="1">IF(AND(ROW()-2&lt;&gt;1,ROW()-2&lt;=$FK$1),CONCATENATE(" - ",IFERROR(INDEX($FJ$3:$FK$400,MATCH(ROWS($FL$3:FL277),$FK$3:$FK$400,0),1),"")),IFERROR(INDEX($FJ$3:$FK$400,MATCH(ROWS($FL$3:FL277),$FK$3:$FK$400,0),1),""))</f>
        <v/>
      </c>
      <c r="FM277" s="48">
        <f ca="1">IF(OR(B277="IVA ns/credito",B277="IVA NS/DEBITO",B277="IVA C/ACCONTO",B277="IMPOSTE C/ACCONTO",B277="CREDITI PER RITENUTE SUBITE",B277="CREDITI D'IMPOSTA"),MAX($FM$2:FM276)+1,0)</f>
        <v>0</v>
      </c>
      <c r="FN277" s="48" t="str">
        <f t="shared" ca="1" si="574"/>
        <v/>
      </c>
      <c r="FO277" s="48" t="str">
        <f ca="1">IFERROR(INDEX($FM$3:$FN$400,MATCH(ROWS($FO$3:FO277),$FM$3:$FM$400,0),2),"")</f>
        <v/>
      </c>
      <c r="FP277" s="48">
        <f ca="1">IF(ABS(SUMIFS(DARE,DEN_G,"="&amp;FO277,DATA,"&lt;="&amp;FINE_AC,DATA,"&gt;="&amp;INIZIO_A_PC)-SUMIFS(AVERE,DEN_G,"="&amp;FO277,DATA,"&lt;="&amp;FINE_AC,DATA,"&gt;="&amp;INIZIO_A_PC))&gt;0,MAX($FP$2:FP276)+1,0)</f>
        <v>0</v>
      </c>
      <c r="FQ277" s="48" t="str">
        <f ca="1">IF(AND(ROW()-2&lt;&gt;1,ROW()-2&lt;=$FP$1),CONCATENATE(" - ",IFERROR(INDEX($FO$3:$FP$400,MATCH(ROWS($FQ$3:FQ277),$FP$3:$FP$400,0),1),"")),IFERROR(INDEX($FO$3:$FP$400,MATCH(ROWS($FQ$3:FQ277),$FP$3:$FP$400,0),1),""))</f>
        <v/>
      </c>
    </row>
    <row r="278" spans="1:173" x14ac:dyDescent="0.3">
      <c r="A278" s="48" t="str">
        <f ca="1">IFERROR(IF($A$1=2,INDEX($DH$3:$DN$401,MATCH(ROWS(A$3:A278),$DN$3:$DN$401,0),COLUMN()),IF($A$1=1,INDEX($DQ$3:$DW$401,MATCH(ROWS(A$3:A278),$DW$3:$DW$401,0),COLUMN()),"")),"")</f>
        <v>37.12</v>
      </c>
      <c r="B278" s="48" t="str">
        <f ca="1">IFERROR(IF($A$1=2,INDEX($DH$3:$DN$401,MATCH(ROWS(B$3:B278),$DN$3:$DN$401,0),COLUMN()),IF($A$1=1,INDEX($DQ$3:$DW$400,MATCH(ROWS(B$3:B278),$DW$3:$DW$401,0),COLUMN()),"")),"")</f>
        <v>MATERIE DI CONSUMO C/RIMANENZE FINALI</v>
      </c>
      <c r="C278" s="48" t="str">
        <f ca="1">IFERROR(IF($A$1=2,INDEX($DH$3:$DN$401,MATCH(ROWS(C$3:C278),$DN$3:$DN$401,0),COLUMN()),IF($A$1=1,INDEX($DQ$3:$DW$401,MATCH(ROWS(C$3:C278),$DW$3:$DW$401,0),COLUMN()),"")),"")</f>
        <v>E</v>
      </c>
      <c r="D278" s="48" t="str">
        <f ca="1">IFERROR(IF($A$1=2,INDEX($DH$3:$DN$401,MATCH(ROWS(D$3:D278),$DN$3:$DN$401,0),COLUMN()),IF($A$1=1,INDEX($DQ$3:$DW$401,MATCH(ROWS(D$3:D278),$DW$3:$DW$401,0),COLUMN()),"")),"")</f>
        <v>A</v>
      </c>
      <c r="E278" s="48" t="str">
        <f ca="1">IFERROR(IF($A$1=2,INDEX($DH$3:$DN$401,MATCH(ROWS(E$3:E278),$DN$3:$DN$401,0),COLUMN()),IF($A$1=1,INDEX($DQ$3:$DW$401,MATCH(ROWS(E$3:E278),$DW$3:$DW$401,0),COLUMN()),"")),"")</f>
        <v>RETTIFICHE COSTI D'ESERCIZIO</v>
      </c>
      <c r="F278" s="48" t="str">
        <f ca="1">IFERROR(IF($A$1=2,INDEX($DH$3:$DN$401,MATCH(ROWS(F$3:F278),$DN$3:$DN$401,0),COLUMN()),IF($A$1=1,INDEX($DQ$3:$DX$401,MATCH(ROWS(F$3:F278),$DW$3:$DW$401,0),COLUMN()),"")),"")</f>
        <v>SE AVERE</v>
      </c>
      <c r="G278" s="48" t="str">
        <f t="shared" ca="1" si="561"/>
        <v>SE</v>
      </c>
      <c r="H278" s="48" t="str">
        <f ca="1">IFERROR(IF($A$1=2,INDEX($DH$3:$DO$400,MATCH(ROWS(H$3:H278),$DN$3:$DN$400,0),COLUMN()),IF($A$1=1,INDEX($DQ$3:$DX$400,MATCH(ROWS(H$3:H278),$DW$3:$DW$400,0),COLUMN()),"")),"")</f>
        <v>eb11</v>
      </c>
      <c r="M278" s="48">
        <f ca="1">IFERROR(IF(IF(MID($A278,3,3)=".00",MID(A278,1,2),"")&lt;&gt;"",MAX($M$2:M277)+1,0),"")</f>
        <v>0</v>
      </c>
      <c r="N278" s="48" t="str">
        <f t="shared" ca="1" si="562"/>
        <v/>
      </c>
      <c r="O278" s="48" t="str">
        <f ca="1">IF(IFERROR(INDEX($N$3:$O$300,MATCH(ROWS($O$3:O278),$M$3:$M$300,0),1),"")&lt;&gt;"",CONCATENATE(INDEX($N$3:$O$300,MATCH(ROWS($O$3:O278),$M$3:$M$300,0),1),".00"),"")</f>
        <v/>
      </c>
      <c r="P278" s="48" t="str">
        <f t="shared" ca="1" si="563"/>
        <v/>
      </c>
      <c r="Q278" s="48">
        <f ca="1">IF(M278&gt;=1,0,MAX($Q$2:Q277)+1)</f>
        <v>247</v>
      </c>
      <c r="U278" s="48" t="str">
        <f ca="1">IFERROR(INDEX(PDC,MATCH(ROWS(U$3:U278),$V$3:$V$400,0),2),"")</f>
        <v>INTERESSI SU OBBLIGAZIONI</v>
      </c>
      <c r="V278" s="48">
        <f ca="1">IF(AND($T$1="VISUALIZZA TUTTI I CONTI",AA278&lt;&gt;""),MAX($V$2:V277)+1,IF(AND($U$2=2,AI278=$T$1),MAX($V$2:V277)+1,IF(AND($U$2=1,$T$1=AF278),MAX($V$2:V277)+1,0)))</f>
        <v>276</v>
      </c>
      <c r="AA278" s="48" t="str">
        <f t="shared" ca="1" si="564"/>
        <v>41.00</v>
      </c>
      <c r="AB278" s="48" t="str">
        <f ca="1">IFERROR(INDEX($A$3:$G$400,MATCH(ROWS(AB$3:AB278),$Q$3:$Q$400,0),1),"")</f>
        <v>41.10</v>
      </c>
      <c r="AC278" s="48" t="str">
        <f ca="1">IFERROR(INDEX($A$3:$G$400,MATCH(ROWS($AC$3:AC278),$Q$3:$Q$400,0),2),"")</f>
        <v>INTERESSI SU OBBLIGAZIONI</v>
      </c>
      <c r="AD278" s="48" t="str">
        <f ca="1">IFERROR(INDEX($A$3:$G$400,MATCH(ROWS(AD$3:AD278),$Q$3:$Q$400,0),3),"")</f>
        <v>E</v>
      </c>
      <c r="AE278" s="48" t="str">
        <f ca="1">IFERROR(INDEX($A$3:$G$400,MATCH(ROWS(AE$3:AE278),$Q$3:$Q$400,0),4),"")</f>
        <v>D</v>
      </c>
      <c r="AF278" s="48" t="str">
        <f ca="1">IFERROR(INDEX($A$3:$G$400,MATCH(ROWS(AF$3:AF278),$Q$3:$Q$400,0),5),"")</f>
        <v>COSTI D'ESERCIZIO</v>
      </c>
      <c r="AG278" s="48" t="str">
        <f ca="1">IFERROR(INDEX($A$3:$G$400,MATCH(ROWS(AG$3:AG278),$Q$3:$Q$400,0),6),"")</f>
        <v>SE DARE</v>
      </c>
      <c r="AH278" s="48" t="str">
        <f ca="1">IFERROR(INDEX($A$3:$G$400,MATCH(ROWS(AH$3:AH278),$Q$3:$Q$400,0),7),"")</f>
        <v>SE</v>
      </c>
      <c r="AI278" s="48" t="str">
        <f t="shared" ca="1" si="565"/>
        <v>ONERI FINANZIARI</v>
      </c>
      <c r="AJ278" s="48" t="str">
        <f ca="1">IFERROR(INDEX($A$3:$H$400,MATCH(ROWS(AJ$3:AJ278),$Q$3:$Q$400,0),8),"")</f>
        <v>ec17</v>
      </c>
      <c r="AK278" s="48">
        <f t="shared" ca="1" si="548"/>
        <v>0</v>
      </c>
      <c r="AL278" s="48">
        <f t="shared" ca="1" si="576"/>
        <v>0</v>
      </c>
      <c r="AM278" s="48">
        <f t="shared" ca="1" si="516"/>
        <v>0</v>
      </c>
      <c r="AN278" s="48">
        <f t="shared" ca="1" si="517"/>
        <v>0</v>
      </c>
      <c r="AO278" s="48">
        <f t="shared" ca="1" si="518"/>
        <v>0</v>
      </c>
      <c r="AP278" s="48">
        <f t="shared" ca="1" si="518"/>
        <v>0</v>
      </c>
      <c r="AZ278" s="48" t="str">
        <f t="shared" ca="1" si="584"/>
        <v/>
      </c>
      <c r="BA278" s="48">
        <f t="shared" ca="1" si="520"/>
        <v>0</v>
      </c>
      <c r="BB278" s="48">
        <f t="shared" ca="1" si="521"/>
        <v>0</v>
      </c>
      <c r="BC278" s="48">
        <f t="shared" ca="1" si="522"/>
        <v>0</v>
      </c>
      <c r="BD278" s="48">
        <f t="shared" ca="1" si="523"/>
        <v>0</v>
      </c>
      <c r="BE278" s="48">
        <f t="shared" ca="1" si="524"/>
        <v>0</v>
      </c>
      <c r="BF278" s="48">
        <f t="shared" si="585"/>
        <v>78</v>
      </c>
      <c r="BG278" s="48">
        <f ca="1">IF(IF(AND(OR(INDEX(PDC,MATCH($AC278,DEN_PDC,0),6)="SP DARE",INDEX(PDC,MATCH($AC278,DEN_PDC,0),6)="SP DARE/AVERE"),SUMIFS(DARE,DEN_G,$AC278)&gt;=SUMIFS(AVERE,DEN_G,$AC278)),SUMIFS(DARE,DEN_G,$AC278)-SUMIFS(AVERE,DEN_G,$AC278),0)&gt;0,MAX($BG$2:BG277)+1,0)</f>
        <v>0</v>
      </c>
      <c r="BH278" s="48">
        <f ca="1">IF(IF(AND(OR(INDEX(PDC,MATCH($AC278,DEN_PDC,0),6)="SP AVERE",INDEX(PDC,MATCH($AC278,DEN_PDC,0),6)="SP DARE/AVERE"),SUMIFS(AVERE,DEN_G,$AC278)&gt;=SUMIFS(DARE,DEN_G,$AC278)),SUMIFS(AVERE,DEN_G,$AC278)-SUMIFS(DARE,DEN_G,$AC278),0)&gt;0,MAX(BH$2:BH277)+1,0)</f>
        <v>0</v>
      </c>
      <c r="BI278" s="48">
        <f ca="1">IF(IF(AND(OR(INDEX(PDC,MATCH($AC278,DEN_PDC,0),6)="SE DARE",INDEX(PDC,MATCH($AC278,DEN_PDC,0),6)="SE DARE/AVERE"),SUMIFS(DARE,DEN_G,$AC278)&gt;=SUMIFS(AVERE,DEN_G,$AC278)),SUMIFS(DARE,DEN_G,$AC278)-SUMIFS(AVERE,DEN_G,$AC278),0)&gt;0,MAX(BI$2:BI277)+1,0)</f>
        <v>0</v>
      </c>
      <c r="BJ278" s="48">
        <f ca="1">IF(IF(AND(OR(INDEX(PDC,MATCH($AC278,DEN_PDC,0),6)="SE AVERE",INDEX(PDC,MATCH($AC278,DEN_PDC,0),6)="SE DARE/AVERE"),SUMIFS(AVERE,DEN_G,$AC278)&gt;=SUMIFS(DARE,DEN_G,$AC278)),SUMIFS(AVERE,DEN_G,$AC278)-SUMIFS(DARE,DEN_G,$AC278),0)&gt;0,MAX(BJ$2:BJ277)+1,0)</f>
        <v>0</v>
      </c>
      <c r="BK278" s="48" t="str">
        <f ca="1">IF(AND(AND($DY$2=0,$DY$1=0),$I$1=2,ROW()&gt;$BG$1+2,ROW()&lt;=$BG$1+4),"………………..",IF(AND(OR($DY$2&gt;0,$DY$1&gt;0),$I$1=2,ROW()&gt;$BG$1+2,ROW()&lt;=$BG$1+4),"………………..",IFERROR(INDEX($AC$3:$AC$398,MATCH(ROWS(BK$3:BK278),BG$3:BG$398,0),1),"")))</f>
        <v/>
      </c>
      <c r="BL278" s="48">
        <f t="shared" ca="1" si="549"/>
        <v>0</v>
      </c>
      <c r="BM278" s="48" t="str">
        <f ca="1">IF(AND(OR($DY$2=0,$DY$1=0),$I$1=2,ROW()&gt;$BH$1+2,ROW()&lt;=$BH$1+4),"………………..",IF(AND(OR($DY$2&gt;0,$DY$1&gt;0),$I$1=2,ROW()&gt;$BH$1+2,ROW()&lt;=$BH$1+4),"………………..",IFERROR(INDEX($AC$3:$AC$400,MATCH(ROWS(BM$3:BM278),BH$3:BH$400,0),1),"")))</f>
        <v/>
      </c>
      <c r="BN278" s="48">
        <f t="shared" ca="1" si="550"/>
        <v>0</v>
      </c>
      <c r="BO278" s="48" t="str">
        <f ca="1">IF(AND(OR($DY$2=0,$DY$1=0),$I$1=2,ROW()&gt;$BI$1+2,ROW()&lt;=$BI$1+4),"………………..",IF(AND(OR($DY$2&gt;0,$DY$1&gt;0),$I$1=2,ROW()&gt;$BI$1+2,ROW()&lt;=$BI$1+4),"………………..",IFERROR(INDEX($AC$3:$AC$400,MATCH(ROWS(BO$3:BO278),BI$3:BI$400,0),1),"")))</f>
        <v/>
      </c>
      <c r="BP278" s="48">
        <f t="shared" ca="1" si="551"/>
        <v>0</v>
      </c>
      <c r="BQ278" s="48" t="str">
        <f ca="1">IF(AND(OR($DY$2=0,$DY$1=0),$I$1=2,ROW()&gt;$BJ$1+2,ROW()&lt;=$BJ$1+4),"………………..",IF(AND(OR($DY$2&gt;0,$DY$1&gt;0),$I$1=2,ROW()&gt;$BJ$1+2,ROW()&lt;=$BJ$1+4),"………………..",IFERROR(INDEX($AC$3:$AC$400,MATCH(ROWS(BQ$3:BQ278),BJ$3:BJ$400,0),1),"")))</f>
        <v/>
      </c>
      <c r="BR278" s="48">
        <f t="shared" ca="1" si="552"/>
        <v>0</v>
      </c>
      <c r="BS278" s="48">
        <f ca="1">IF(IF(AND(OR(INDEX(PDC,MATCH($AC278,DEN_PDC,0),4)="D",INDEX(PDC,MATCH($AC278,DEN_PDC,0),4)="D/A"),SUMIFS(DARE,DEN_G,$AC278)&gt;=SUMIFS(AVERE,DEN_G,$AC278)),SUMIFS(DARE,DEN_G,$AC278),IF(AND(OR(INDEX(PDC,MATCH($AC278,DEN_PDC,0),4)="A",INDEX(PDC,MATCH($AC278,DEN_PDC,0),4)="D/A"),SUMIFS(AVERE,DEN_G,$AC278)&gt;=SUMIFS(DARE,DEN_G,$AC278)),SUMIFS(AVERE,DEN_G,$AC278),))&gt;0,MAX($BS$2:BS277)+1,0)</f>
        <v>0</v>
      </c>
      <c r="BT278" s="48" t="str">
        <f ca="1">IF($CO$1=0,"",IF(AND($I$1=2,ROW()&gt;$BR$1,ROW()&lt;=$BS$1)," …………….",IF(AND($E$1=1,$BX$1=1,$I$1=2,ROW()=$BQ$1),"TOTALI",IFERROR(INDEX(PDC,MATCH(ROWS(BT$3:BT278),BS$3:BS675,0),2),""))))</f>
        <v/>
      </c>
      <c r="BU278" s="48">
        <f t="shared" ca="1" si="553"/>
        <v>0</v>
      </c>
      <c r="BV278" s="48">
        <f t="shared" ca="1" si="554"/>
        <v>0</v>
      </c>
      <c r="BW278" s="48">
        <f t="shared" ca="1" si="555"/>
        <v>0</v>
      </c>
      <c r="BX278" s="48">
        <f t="shared" ca="1" si="556"/>
        <v>0</v>
      </c>
      <c r="BY278" s="48">
        <f ca="1">IF(OR(BW278&gt;0,BX278&gt;0),MAX($BY$2:BY277)+1,0)</f>
        <v>0</v>
      </c>
      <c r="BZ278" s="48" t="str">
        <f ca="1">IFERROR(INDEX($BT$3:$BY$400,MATCH(ROWS(BZ$3:BZ278),$BY$3:$BY$400,0),1),"")</f>
        <v/>
      </c>
      <c r="CA278" s="48" t="str">
        <f ca="1">IFERROR(INDEX($BT$3:$BY$400,MATCH(ROWS(CA$3:CA278),$BY$3:$BY$400,0),4),"")</f>
        <v/>
      </c>
      <c r="CB278" s="48" t="str">
        <f ca="1">IFERROR(INDEX($BT$3:$BY$400,MATCH(ROWS(CB$3:CB278),$BY$3:$BY$400,0),5),"")</f>
        <v/>
      </c>
      <c r="CC278" s="48" t="str">
        <f t="shared" ca="1" si="557"/>
        <v/>
      </c>
      <c r="CM278" s="242" t="str">
        <f t="shared" ca="1" si="566"/>
        <v/>
      </c>
      <c r="CN278" s="243">
        <f t="shared" ca="1" si="567"/>
        <v>0</v>
      </c>
      <c r="CO278" s="48" t="str">
        <f t="shared" ca="1" si="568"/>
        <v/>
      </c>
      <c r="CU278" s="48">
        <f ca="1">IF(SUMIFS(AVERE,DEN_G,AC278,AVERE,"&gt;"&amp;0)+SUMIFS(DARE,DEN_G,AC278,DARE,"&gt;"&amp;0)&gt;0,MAX($CU$2:CU277)+1,0)</f>
        <v>0</v>
      </c>
      <c r="CV278" s="48" t="str">
        <f ca="1">IF(IFERROR(INDEX(PDC,MATCH(ROWS($CV$3:CV278),$CU$3:$CU$400,0),2),"")="CONTO DI RISULTATO ECONOMICO","",IFERROR(INDEX(PDC,MATCH(ROWS($CV$3:CV278),$CU$3:$CU$400,0),2),""))</f>
        <v/>
      </c>
      <c r="CW278" s="48">
        <f ca="1">IFERROR(IF(CV278&lt;&gt;"",MAX($CW$2:CW277)+1,0),0)</f>
        <v>0</v>
      </c>
      <c r="CX278" s="48">
        <f t="shared" ca="1" si="589"/>
        <v>22</v>
      </c>
      <c r="CY278" s="48" t="str">
        <f t="shared" ca="1" si="588"/>
        <v>MASTRO</v>
      </c>
      <c r="CZ278" s="48" t="e">
        <f t="shared" ref="CZ278:CZ287" ca="1" si="591">SUM(MATCH($CY278,INDIRECT(ADDRESS(SUM(CZ277)+3,54)&amp;":"&amp;ADDRESS(400,54)),0),CZ277)</f>
        <v>#N/A</v>
      </c>
      <c r="DA278" s="48" t="str">
        <f ca="1">IFERROR(INDEX(LIBRO_GIORNALE,CZ278,1),"")</f>
        <v/>
      </c>
      <c r="DB278" s="48" t="str">
        <f t="shared" ref="DB278:DB339" ca="1" si="592">IF(RIGHT(TEXT(IFERROR(INDEX(LIBRO_GIORNALE,CZ278,2),""),"gg/mm/aa"),1)="a",TEXT(IFERROR(INDEX(LIBRO_GIORNALE,CZ278,2),""),"dd/mm/yy"),TEXT(IFERROR(INDEX(LIBRO_GIORNALE,CZ278,2),""),"gg/mm/aa"))</f>
        <v/>
      </c>
      <c r="DC278" s="48" t="str">
        <f t="shared" ref="DC278:DC287" ca="1" si="593">IF(IFERROR(INDEX(LIBRO_GIORNALE,CZ278,4),"")=0,"manca la descrizione dell'operazione",IFERROR(INDEX(LIBRO_GIORNALE,CZ278,4),""))</f>
        <v/>
      </c>
      <c r="DD278" s="48" t="str">
        <f t="shared" ref="DD278:DD287" ca="1" si="594">IFERROR(IF(INDEX(LIBRO_GIORNALE,CZ278,5)&gt;0,INDEX(LIBRO_GIORNALE,CZ278,5),""),"")</f>
        <v/>
      </c>
      <c r="DE278" s="48" t="str">
        <f t="shared" ref="DE278:DE287" ca="1" si="595">IFERROR(IF(INDEX(LIBRO_GIORNALE,CZ278,6)&gt;0,INDEX(LIBRO_GIORNALE,CZ278,6),""),"")</f>
        <v/>
      </c>
      <c r="DF278" s="48">
        <f ca="1">IF(AND(CX278=$DF$1,CX278&lt;&gt;""),0,IF(AND(DB278&lt;&gt;"",OR(DB277&lt;&gt;"",DB279&lt;&gt;"")),MAX($DF$2:DF277)+1,0))</f>
        <v>0</v>
      </c>
      <c r="DH278" s="244" t="s">
        <v>185</v>
      </c>
      <c r="DI278" s="228" t="s">
        <v>1027</v>
      </c>
      <c r="DN278" s="48">
        <f ca="1">IF(DI278&lt;&gt;"",MAX($DN$2:DN277)+1,0)</f>
        <v>213</v>
      </c>
      <c r="DQ278" s="227" t="s">
        <v>208</v>
      </c>
      <c r="DR278" s="48" t="s">
        <v>197</v>
      </c>
      <c r="DS278" s="48" t="s">
        <v>311</v>
      </c>
      <c r="DT278" s="48" t="s">
        <v>275</v>
      </c>
      <c r="DU278" s="48" t="s">
        <v>7</v>
      </c>
      <c r="DV278" s="48" t="s">
        <v>301</v>
      </c>
      <c r="DW278" s="48">
        <f ca="1">IF(DR278&lt;&gt;"",MAX($DW$2:DW277)+1,0)</f>
        <v>166</v>
      </c>
      <c r="DX278" s="48" t="s">
        <v>710</v>
      </c>
      <c r="DY278" s="48" t="str">
        <f t="shared" ca="1" si="558"/>
        <v/>
      </c>
      <c r="EL278" s="48">
        <f t="shared" ca="1" si="559"/>
        <v>0</v>
      </c>
      <c r="EM278" s="48">
        <f ca="1">IF(EL278&gt;=0,0,MAX($EM$2:EM277)+1)</f>
        <v>0</v>
      </c>
      <c r="EN278" s="48" t="str">
        <f t="shared" ca="1" si="569"/>
        <v/>
      </c>
      <c r="EO278" s="48" t="str">
        <f ca="1">IFERROR(INDEX($EM$3:$EN$400,MATCH(ROWS($EO$3:EO278),$EM$3:$EM$400,0),2),"")</f>
        <v/>
      </c>
      <c r="EP278" s="48">
        <f>ROW()</f>
        <v>278</v>
      </c>
      <c r="EQ278" s="48">
        <f t="shared" ca="1" si="560"/>
        <v>0</v>
      </c>
      <c r="ER278" s="48">
        <f ca="1">IF(ISNA(EQ278)=TRUE,MAX($ER$2:ER277)+1,0)</f>
        <v>0</v>
      </c>
      <c r="ES278" s="48" t="str">
        <f t="shared" ca="1" si="570"/>
        <v/>
      </c>
      <c r="ET278" s="48" t="str">
        <f ca="1">IFERROR(INDEX($ER$3:$ES$400,MATCH(ROWS($ET$3:ET278),$ER$3:$ER$400,0),2),"")</f>
        <v/>
      </c>
      <c r="EV278" s="48">
        <f ca="1">IFERROR(INDEX(LIBRO_GIORNALE!$O$11:$P$408,MATCH(ROWS($EV$2:EV277),LIBRO_GIORNALE!$P$11:$P$408,0),1),0)</f>
        <v>0</v>
      </c>
      <c r="EW278" s="48" t="str">
        <f t="shared" ca="1" si="544"/>
        <v>0</v>
      </c>
      <c r="EX278" s="48">
        <f t="shared" ca="1" si="571"/>
        <v>0</v>
      </c>
      <c r="EY278" s="48">
        <f ca="1">IF(EX278&gt;0,MAX($EY$2:EY277)+1,0)</f>
        <v>0</v>
      </c>
      <c r="EZ278" s="48">
        <f ca="1">IFERROR(INDEX($EX$3:$EX$400,MATCH(ROWS($EZ$3:EZ278),$EY$3:$EY$400,0),1),0)</f>
        <v>0</v>
      </c>
      <c r="FA278" s="48">
        <f ca="1">IF(EZ278&gt;0,0,MAX($FA$2:FA277)+1)</f>
        <v>276</v>
      </c>
      <c r="FB278" s="48">
        <f t="shared" ca="1" si="545"/>
        <v>0</v>
      </c>
      <c r="FC278" s="48">
        <f t="shared" ca="1" si="546"/>
        <v>276</v>
      </c>
      <c r="FD278" s="48">
        <f t="shared" ca="1" si="572"/>
        <v>276</v>
      </c>
      <c r="FE278" s="48">
        <f ca="1">IF(FD278=0,0,MAX($FE$2:FE277)+1)</f>
        <v>276</v>
      </c>
      <c r="FF278" s="48">
        <f ca="1">IFERROR(INDEX($FD$3:$FE$400,MATCH(ROWS($FF$3:FF278),$FE$3:$FE$400,0),1),"")</f>
        <v>276</v>
      </c>
      <c r="FG278" s="48">
        <f t="shared" ca="1" si="519"/>
        <v>0</v>
      </c>
      <c r="FH278" s="48">
        <f t="shared" ca="1" si="573"/>
        <v>0</v>
      </c>
      <c r="FI278" s="48">
        <f ca="1">IF(FH278&lt;&gt;0,MAX($FI$2:FI277)+1,0)</f>
        <v>0</v>
      </c>
      <c r="FJ278" s="48" t="str">
        <f ca="1">IFERROR(INDEX($FH$3:$FI$400,MATCH(ROWS($FJ$3:FJ278),$FI$3:$FI$400,0),1),"")</f>
        <v/>
      </c>
      <c r="FK278" s="48">
        <f ca="1">IF(ABS(SUMIFS(DARE,DEN_G,"="&amp;FJ278,DATA,"&lt;="&amp;FINE_AC,DATA,"&gt;="&amp;INIZIO_A_PC)-SUMIFS(AVERE,DEN_G,"="&amp;FJ278,DATA,"&lt;="&amp;FINE_AC,DATA,"&gt;="&amp;INIZIO_A_PC))&gt;0,MAX($FK$2:FK277)+1,0)</f>
        <v>0</v>
      </c>
      <c r="FL278" s="48" t="str">
        <f ca="1">IF(AND(ROW()-2&lt;&gt;1,ROW()-2&lt;=$FK$1),CONCATENATE(" - ",IFERROR(INDEX($FJ$3:$FK$400,MATCH(ROWS($FL$3:FL278),$FK$3:$FK$400,0),1),"")),IFERROR(INDEX($FJ$3:$FK$400,MATCH(ROWS($FL$3:FL278),$FK$3:$FK$400,0),1),""))</f>
        <v/>
      </c>
      <c r="FM278" s="48">
        <f ca="1">IF(OR(B278="IVA ns/credito",B278="IVA NS/DEBITO",B278="IVA C/ACCONTO",B278="IMPOSTE C/ACCONTO",B278="CREDITI PER RITENUTE SUBITE",B278="CREDITI D'IMPOSTA"),MAX($FM$2:FM277)+1,0)</f>
        <v>0</v>
      </c>
      <c r="FN278" s="48" t="str">
        <f t="shared" ca="1" si="574"/>
        <v/>
      </c>
      <c r="FO278" s="48" t="str">
        <f ca="1">IFERROR(INDEX($FM$3:$FN$400,MATCH(ROWS($FO$3:FO278),$FM$3:$FM$400,0),2),"")</f>
        <v/>
      </c>
      <c r="FP278" s="48">
        <f ca="1">IF(ABS(SUMIFS(DARE,DEN_G,"="&amp;FO278,DATA,"&lt;="&amp;FINE_AC,DATA,"&gt;="&amp;INIZIO_A_PC)-SUMIFS(AVERE,DEN_G,"="&amp;FO278,DATA,"&lt;="&amp;FINE_AC,DATA,"&gt;="&amp;INIZIO_A_PC))&gt;0,MAX($FP$2:FP277)+1,0)</f>
        <v>0</v>
      </c>
      <c r="FQ278" s="48" t="str">
        <f ca="1">IF(AND(ROW()-2&lt;&gt;1,ROW()-2&lt;=$FP$1),CONCATENATE(" - ",IFERROR(INDEX($FO$3:$FP$400,MATCH(ROWS($FQ$3:FQ278),$FP$3:$FP$400,0),1),"")),IFERROR(INDEX($FO$3:$FP$400,MATCH(ROWS($FQ$3:FQ278),$FP$3:$FP$400,0),1),""))</f>
        <v/>
      </c>
    </row>
    <row r="279" spans="1:173" x14ac:dyDescent="0.3">
      <c r="A279" s="48" t="str">
        <f ca="1">IFERROR(IF($A$1=2,INDEX($DH$3:$DN$401,MATCH(ROWS(A$3:A279),$DN$3:$DN$401,0),COLUMN()),IF($A$1=1,INDEX($DQ$3:$DW$401,MATCH(ROWS(A$3:A279),$DW$3:$DW$401,0),COLUMN()),"")),"")</f>
        <v>38.00</v>
      </c>
      <c r="B279" s="48" t="str">
        <f ca="1">IFERROR(IF($A$1=2,INDEX($DH$3:$DN$401,MATCH(ROWS(B$3:B279),$DN$3:$DN$401,0),COLUMN()),IF($A$1=1,INDEX($DQ$3:$DW$400,MATCH(ROWS(B$3:B279),$DW$3:$DW$401,0),COLUMN()),"")),"")</f>
        <v>ACCANTONAMENTI</v>
      </c>
      <c r="C279" s="48">
        <f ca="1">IFERROR(IF($A$1=2,INDEX($DH$3:$DN$401,MATCH(ROWS(C$3:C279),$DN$3:$DN$401,0),COLUMN()),IF($A$1=1,INDEX($DQ$3:$DW$401,MATCH(ROWS(C$3:C279),$DW$3:$DW$401,0),COLUMN()),"")),"")</f>
        <v>0</v>
      </c>
      <c r="D279" s="48">
        <f ca="1">IFERROR(IF($A$1=2,INDEX($DH$3:$DN$401,MATCH(ROWS(D$3:D279),$DN$3:$DN$401,0),COLUMN()),IF($A$1=1,INDEX($DQ$3:$DW$401,MATCH(ROWS(D$3:D279),$DW$3:$DW$401,0),COLUMN()),"")),"")</f>
        <v>0</v>
      </c>
      <c r="E279" s="48">
        <f ca="1">IFERROR(IF($A$1=2,INDEX($DH$3:$DN$401,MATCH(ROWS(E$3:E279),$DN$3:$DN$401,0),COLUMN()),IF($A$1=1,INDEX($DQ$3:$DW$401,MATCH(ROWS(E$3:E279),$DW$3:$DW$401,0),COLUMN()),"")),"")</f>
        <v>0</v>
      </c>
      <c r="F279" s="48">
        <f ca="1">IFERROR(IF($A$1=2,INDEX($DH$3:$DN$401,MATCH(ROWS(F$3:F279),$DN$3:$DN$401,0),COLUMN()),IF($A$1=1,INDEX($DQ$3:$DX$401,MATCH(ROWS(F$3:F279),$DW$3:$DW$401,0),COLUMN()),"")),"")</f>
        <v>0</v>
      </c>
      <c r="G279" s="48" t="str">
        <f t="shared" ca="1" si="561"/>
        <v>0</v>
      </c>
      <c r="H279" s="48">
        <f ca="1">IFERROR(IF($A$1=2,INDEX($DH$3:$DO$400,MATCH(ROWS(H$3:H279),$DN$3:$DN$400,0),COLUMN()),IF($A$1=1,INDEX($DQ$3:$DX$400,MATCH(ROWS(H$3:H279),$DW$3:$DW$400,0),COLUMN()),"")),"")</f>
        <v>0</v>
      </c>
      <c r="M279" s="48">
        <f ca="1">IFERROR(IF(IF(MID($A279,3,3)=".00",MID(A279,1,2),"")&lt;&gt;"",MAX($M$2:M278)+1,0),"")</f>
        <v>30</v>
      </c>
      <c r="N279" s="48" t="str">
        <f t="shared" ca="1" si="562"/>
        <v>38</v>
      </c>
      <c r="O279" s="48" t="str">
        <f ca="1">IF(IFERROR(INDEX($N$3:$O$300,MATCH(ROWS($O$3:O279),$M$3:$M$300,0),1),"")&lt;&gt;"",CONCATENATE(INDEX($N$3:$O$300,MATCH(ROWS($O$3:O279),$M$3:$M$300,0),1),".00"),"")</f>
        <v/>
      </c>
      <c r="P279" s="48" t="str">
        <f t="shared" ca="1" si="563"/>
        <v/>
      </c>
      <c r="Q279" s="48">
        <f ca="1">IF(M279&gt;=1,0,MAX($Q$2:Q278)+1)</f>
        <v>0</v>
      </c>
      <c r="U279" s="48" t="str">
        <f ca="1">IFERROR(INDEX(PDC,MATCH(ROWS(U$3:U279),$V$3:$V$400,0),2),"")</f>
        <v>MINUSVALENZE DA PARTECIPAZIONI</v>
      </c>
      <c r="V279" s="48">
        <f ca="1">IF(AND($T$1="VISUALIZZA TUTTI I CONTI",AA279&lt;&gt;""),MAX($V$2:V278)+1,IF(AND($U$2=2,AI279=$T$1),MAX($V$2:V278)+1,IF(AND($U$2=1,$T$1=AF279),MAX($V$2:V278)+1,0)))</f>
        <v>277</v>
      </c>
      <c r="AA279" s="48" t="str">
        <f t="shared" ca="1" si="564"/>
        <v>41.00</v>
      </c>
      <c r="AB279" s="48" t="str">
        <f ca="1">IFERROR(INDEX($A$3:$G$400,MATCH(ROWS(AB$3:AB279),$Q$3:$Q$400,0),1),"")</f>
        <v>41.11</v>
      </c>
      <c r="AC279" s="48" t="str">
        <f ca="1">IFERROR(INDEX($A$3:$G$400,MATCH(ROWS($AC$3:AC279),$Q$3:$Q$400,0),2),"")</f>
        <v>MINUSVALENZE DA PARTECIPAZIONI</v>
      </c>
      <c r="AD279" s="48" t="str">
        <f ca="1">IFERROR(INDEX($A$3:$G$400,MATCH(ROWS(AD$3:AD279),$Q$3:$Q$400,0),3),"")</f>
        <v>E</v>
      </c>
      <c r="AE279" s="48" t="str">
        <f ca="1">IFERROR(INDEX($A$3:$G$400,MATCH(ROWS(AE$3:AE279),$Q$3:$Q$400,0),4),"")</f>
        <v>D</v>
      </c>
      <c r="AF279" s="48" t="str">
        <f ca="1">IFERROR(INDEX($A$3:$G$400,MATCH(ROWS(AF$3:AF279),$Q$3:$Q$400,0),5),"")</f>
        <v>COSTI D'ESERCIZIO</v>
      </c>
      <c r="AG279" s="48" t="str">
        <f ca="1">IFERROR(INDEX($A$3:$G$400,MATCH(ROWS(AG$3:AG279),$Q$3:$Q$400,0),6),"")</f>
        <v>SE DARE</v>
      </c>
      <c r="AH279" s="48" t="str">
        <f ca="1">IFERROR(INDEX($A$3:$G$400,MATCH(ROWS(AH$3:AH279),$Q$3:$Q$400,0),7),"")</f>
        <v>SE</v>
      </c>
      <c r="AI279" s="48" t="str">
        <f t="shared" ca="1" si="565"/>
        <v>ONERI FINANZIARI</v>
      </c>
      <c r="AJ279" s="48" t="str">
        <f ca="1">IFERROR(INDEX($A$3:$H$400,MATCH(ROWS(AJ$3:AJ279),$Q$3:$Q$400,0),8),"")</f>
        <v>ec17</v>
      </c>
      <c r="AK279" s="48">
        <f t="shared" ca="1" si="548"/>
        <v>0</v>
      </c>
      <c r="AL279" s="48">
        <f t="shared" ca="1" si="576"/>
        <v>0</v>
      </c>
      <c r="AM279" s="48">
        <f t="shared" ca="1" si="516"/>
        <v>0</v>
      </c>
      <c r="AN279" s="48">
        <f t="shared" ca="1" si="517"/>
        <v>0</v>
      </c>
      <c r="AO279" s="48">
        <f t="shared" ca="1" si="518"/>
        <v>0</v>
      </c>
      <c r="AP279" s="48">
        <f t="shared" ca="1" si="518"/>
        <v>0</v>
      </c>
      <c r="AZ279" s="48" t="str">
        <f t="shared" ca="1" si="584"/>
        <v/>
      </c>
      <c r="BA279" s="48">
        <f t="shared" ca="1" si="520"/>
        <v>0</v>
      </c>
      <c r="BB279" s="48">
        <f t="shared" ca="1" si="521"/>
        <v>0</v>
      </c>
      <c r="BC279" s="48">
        <f t="shared" ca="1" si="522"/>
        <v>0</v>
      </c>
      <c r="BD279" s="48">
        <f t="shared" ca="1" si="523"/>
        <v>0</v>
      </c>
      <c r="BE279" s="48">
        <f t="shared" ca="1" si="524"/>
        <v>0</v>
      </c>
      <c r="BF279" s="48">
        <f t="shared" si="585"/>
        <v>79</v>
      </c>
      <c r="BG279" s="48">
        <f ca="1">IF(IF(AND(OR(INDEX(PDC,MATCH($AC279,DEN_PDC,0),6)="SP DARE",INDEX(PDC,MATCH($AC279,DEN_PDC,0),6)="SP DARE/AVERE"),SUMIFS(DARE,DEN_G,$AC279)&gt;=SUMIFS(AVERE,DEN_G,$AC279)),SUMIFS(DARE,DEN_G,$AC279)-SUMIFS(AVERE,DEN_G,$AC279),0)&gt;0,MAX($BG$2:BG278)+1,0)</f>
        <v>0</v>
      </c>
      <c r="BH279" s="48">
        <f ca="1">IF(IF(AND(OR(INDEX(PDC,MATCH($AC279,DEN_PDC,0),6)="SP AVERE",INDEX(PDC,MATCH($AC279,DEN_PDC,0),6)="SP DARE/AVERE"),SUMIFS(AVERE,DEN_G,$AC279)&gt;=SUMIFS(DARE,DEN_G,$AC279)),SUMIFS(AVERE,DEN_G,$AC279)-SUMIFS(DARE,DEN_G,$AC279),0)&gt;0,MAX(BH$2:BH278)+1,0)</f>
        <v>0</v>
      </c>
      <c r="BI279" s="48">
        <f ca="1">IF(IF(AND(OR(INDEX(PDC,MATCH($AC279,DEN_PDC,0),6)="SE DARE",INDEX(PDC,MATCH($AC279,DEN_PDC,0),6)="SE DARE/AVERE"),SUMIFS(DARE,DEN_G,$AC279)&gt;=SUMIFS(AVERE,DEN_G,$AC279)),SUMIFS(DARE,DEN_G,$AC279)-SUMIFS(AVERE,DEN_G,$AC279),0)&gt;0,MAX(BI$2:BI278)+1,0)</f>
        <v>0</v>
      </c>
      <c r="BJ279" s="48">
        <f ca="1">IF(IF(AND(OR(INDEX(PDC,MATCH($AC279,DEN_PDC,0),6)="SE AVERE",INDEX(PDC,MATCH($AC279,DEN_PDC,0),6)="SE DARE/AVERE"),SUMIFS(AVERE,DEN_G,$AC279)&gt;=SUMIFS(DARE,DEN_G,$AC279)),SUMIFS(AVERE,DEN_G,$AC279)-SUMIFS(DARE,DEN_G,$AC279),0)&gt;0,MAX(BJ$2:BJ278)+1,0)</f>
        <v>0</v>
      </c>
      <c r="BK279" s="48" t="str">
        <f ca="1">IF(AND(AND($DY$2=0,$DY$1=0),$I$1=2,ROW()&gt;$BG$1+2,ROW()&lt;=$BG$1+4),"………………..",IF(AND(OR($DY$2&gt;0,$DY$1&gt;0),$I$1=2,ROW()&gt;$BG$1+2,ROW()&lt;=$BG$1+4),"………………..",IFERROR(INDEX($AC$3:$AC$398,MATCH(ROWS(BK$3:BK279),BG$3:BG$398,0),1),"")))</f>
        <v/>
      </c>
      <c r="BL279" s="48">
        <f t="shared" ca="1" si="549"/>
        <v>0</v>
      </c>
      <c r="BM279" s="48" t="str">
        <f ca="1">IF(AND(OR($DY$2=0,$DY$1=0),$I$1=2,ROW()&gt;$BH$1+2,ROW()&lt;=$BH$1+4),"………………..",IF(AND(OR($DY$2&gt;0,$DY$1&gt;0),$I$1=2,ROW()&gt;$BH$1+2,ROW()&lt;=$BH$1+4),"………………..",IFERROR(INDEX($AC$3:$AC$400,MATCH(ROWS(BM$3:BM279),BH$3:BH$400,0),1),"")))</f>
        <v/>
      </c>
      <c r="BN279" s="48">
        <f t="shared" ca="1" si="550"/>
        <v>0</v>
      </c>
      <c r="BO279" s="48" t="str">
        <f ca="1">IF(AND(OR($DY$2=0,$DY$1=0),$I$1=2,ROW()&gt;$BI$1+2,ROW()&lt;=$BI$1+4),"………………..",IF(AND(OR($DY$2&gt;0,$DY$1&gt;0),$I$1=2,ROW()&gt;$BI$1+2,ROW()&lt;=$BI$1+4),"………………..",IFERROR(INDEX($AC$3:$AC$400,MATCH(ROWS(BO$3:BO279),BI$3:BI$400,0),1),"")))</f>
        <v/>
      </c>
      <c r="BP279" s="48">
        <f t="shared" ca="1" si="551"/>
        <v>0</v>
      </c>
      <c r="BQ279" s="48" t="str">
        <f ca="1">IF(AND(OR($DY$2=0,$DY$1=0),$I$1=2,ROW()&gt;$BJ$1+2,ROW()&lt;=$BJ$1+4),"………………..",IF(AND(OR($DY$2&gt;0,$DY$1&gt;0),$I$1=2,ROW()&gt;$BJ$1+2,ROW()&lt;=$BJ$1+4),"………………..",IFERROR(INDEX($AC$3:$AC$400,MATCH(ROWS(BQ$3:BQ279),BJ$3:BJ$400,0),1),"")))</f>
        <v/>
      </c>
      <c r="BR279" s="48">
        <f t="shared" ca="1" si="552"/>
        <v>0</v>
      </c>
      <c r="BS279" s="48">
        <f ca="1">IF(IF(AND(OR(INDEX(PDC,MATCH($AC279,DEN_PDC,0),4)="D",INDEX(PDC,MATCH($AC279,DEN_PDC,0),4)="D/A"),SUMIFS(DARE,DEN_G,$AC279)&gt;=SUMIFS(AVERE,DEN_G,$AC279)),SUMIFS(DARE,DEN_G,$AC279),IF(AND(OR(INDEX(PDC,MATCH($AC279,DEN_PDC,0),4)="A",INDEX(PDC,MATCH($AC279,DEN_PDC,0),4)="D/A"),SUMIFS(AVERE,DEN_G,$AC279)&gt;=SUMIFS(DARE,DEN_G,$AC279)),SUMIFS(AVERE,DEN_G,$AC279),))&gt;0,MAX($BS$2:BS278)+1,0)</f>
        <v>0</v>
      </c>
      <c r="BT279" s="48" t="str">
        <f ca="1">IF($CO$1=0,"",IF(AND($I$1=2,ROW()&gt;$BR$1,ROW()&lt;=$BS$1)," …………….",IF(AND($E$1=1,$BX$1=1,$I$1=2,ROW()=$BQ$1),"TOTALI",IFERROR(INDEX(PDC,MATCH(ROWS(BT$3:BT279),BS$3:BS676,0),2),""))))</f>
        <v/>
      </c>
      <c r="BU279" s="48">
        <f t="shared" ca="1" si="553"/>
        <v>0</v>
      </c>
      <c r="BV279" s="48">
        <f t="shared" ca="1" si="554"/>
        <v>0</v>
      </c>
      <c r="BW279" s="48">
        <f t="shared" ca="1" si="555"/>
        <v>0</v>
      </c>
      <c r="BX279" s="48">
        <f t="shared" ca="1" si="556"/>
        <v>0</v>
      </c>
      <c r="BY279" s="48">
        <f ca="1">IF(OR(BW279&gt;0,BX279&gt;0),MAX($BY$2:BY278)+1,0)</f>
        <v>0</v>
      </c>
      <c r="BZ279" s="48" t="str">
        <f ca="1">IFERROR(INDEX($BT$3:$BY$400,MATCH(ROWS(BZ$3:BZ279),$BY$3:$BY$400,0),1),"")</f>
        <v/>
      </c>
      <c r="CA279" s="48" t="str">
        <f ca="1">IFERROR(INDEX($BT$3:$BY$400,MATCH(ROWS(CA$3:CA279),$BY$3:$BY$400,0),4),"")</f>
        <v/>
      </c>
      <c r="CB279" s="48" t="str">
        <f ca="1">IFERROR(INDEX($BT$3:$BY$400,MATCH(ROWS(CB$3:CB279),$BY$3:$BY$400,0),5),"")</f>
        <v/>
      </c>
      <c r="CC279" s="48" t="str">
        <f t="shared" ca="1" si="557"/>
        <v/>
      </c>
      <c r="CM279" s="242" t="str">
        <f t="shared" ca="1" si="566"/>
        <v/>
      </c>
      <c r="CN279" s="243">
        <f t="shared" ca="1" si="567"/>
        <v>0</v>
      </c>
      <c r="CO279" s="48" t="str">
        <f t="shared" ca="1" si="568"/>
        <v/>
      </c>
      <c r="CU279" s="48">
        <f ca="1">IF(SUMIFS(AVERE,DEN_G,AC279,AVERE,"&gt;"&amp;0)+SUMIFS(DARE,DEN_G,AC279,DARE,"&gt;"&amp;0)&gt;0,MAX($CU$2:CU278)+1,0)</f>
        <v>0</v>
      </c>
      <c r="CV279" s="48" t="str">
        <f ca="1">IF(IFERROR(INDEX(PDC,MATCH(ROWS($CV$3:CV279),$CU$3:$CU$400,0),2),"")="CONTO DI RISULTATO ECONOMICO","",IFERROR(INDEX(PDC,MATCH(ROWS($CV$3:CV279),$CU$3:$CU$400,0),2),""))</f>
        <v/>
      </c>
      <c r="CW279" s="48">
        <f ca="1">IFERROR(IF(CV279&lt;&gt;"",MAX($CW$2:CW278)+1,0),0)</f>
        <v>0</v>
      </c>
      <c r="CX279" s="48">
        <f t="shared" ca="1" si="589"/>
        <v>22</v>
      </c>
      <c r="CY279" s="48" t="str">
        <f t="shared" ca="1" si="588"/>
        <v>MASTRO</v>
      </c>
      <c r="CZ279" s="48" t="e">
        <f t="shared" ca="1" si="591"/>
        <v>#N/A</v>
      </c>
      <c r="DA279" s="48" t="str">
        <f t="shared" ref="DA279:DA287" ca="1" si="596">IFERROR(INDEX(LIBRO_GIORNALE,CZ279,1),"")</f>
        <v/>
      </c>
      <c r="DB279" s="48" t="str">
        <f t="shared" ca="1" si="592"/>
        <v/>
      </c>
      <c r="DC279" s="48" t="str">
        <f t="shared" ca="1" si="593"/>
        <v/>
      </c>
      <c r="DD279" s="48" t="str">
        <f t="shared" ca="1" si="594"/>
        <v/>
      </c>
      <c r="DE279" s="48" t="str">
        <f t="shared" ca="1" si="595"/>
        <v/>
      </c>
      <c r="DF279" s="48">
        <f ca="1">IF(AND(CX279=$DF$1,CX279&lt;&gt;""),0,IF(AND(DB279&lt;&gt;"",OR(DB278&lt;&gt;"",DB280&lt;&gt;"")),MAX($DF$2:DF278)+1,0))</f>
        <v>0</v>
      </c>
      <c r="DH279" s="244" t="s">
        <v>190</v>
      </c>
      <c r="DI279" s="48" t="s">
        <v>436</v>
      </c>
      <c r="DJ279" s="48" t="s">
        <v>311</v>
      </c>
      <c r="DK279" s="48" t="s">
        <v>275</v>
      </c>
      <c r="DL279" s="48" t="s">
        <v>7</v>
      </c>
      <c r="DM279" s="48" t="s">
        <v>301</v>
      </c>
      <c r="DN279" s="48">
        <f ca="1">IF(DI279&lt;&gt;"",MAX($DN$2:DN278)+1,0)</f>
        <v>214</v>
      </c>
      <c r="DO279" s="48" t="s">
        <v>709</v>
      </c>
      <c r="DQ279" s="227" t="s">
        <v>209</v>
      </c>
      <c r="DR279" s="48" t="s">
        <v>198</v>
      </c>
      <c r="DS279" s="48" t="s">
        <v>311</v>
      </c>
      <c r="DT279" s="48" t="s">
        <v>275</v>
      </c>
      <c r="DU279" s="48" t="s">
        <v>7</v>
      </c>
      <c r="DV279" s="48" t="s">
        <v>301</v>
      </c>
      <c r="DW279" s="48">
        <f ca="1">IF(DR279&lt;&gt;"",MAX($DW$2:DW278)+1,0)</f>
        <v>167</v>
      </c>
      <c r="DX279" s="48" t="s">
        <v>710</v>
      </c>
      <c r="DY279" s="48" t="str">
        <f t="shared" ca="1" si="558"/>
        <v/>
      </c>
      <c r="EL279" s="48">
        <f t="shared" ca="1" si="559"/>
        <v>0</v>
      </c>
      <c r="EM279" s="48">
        <f ca="1">IF(EL279&gt;=0,0,MAX($EM$2:EM278)+1)</f>
        <v>0</v>
      </c>
      <c r="EN279" s="48" t="str">
        <f t="shared" ca="1" si="569"/>
        <v/>
      </c>
      <c r="EO279" s="48" t="str">
        <f ca="1">IFERROR(INDEX($EM$3:$EN$400,MATCH(ROWS($EO$3:EO279),$EM$3:$EM$400,0),2),"")</f>
        <v/>
      </c>
      <c r="EP279" s="48">
        <f>ROW()</f>
        <v>279</v>
      </c>
      <c r="EQ279" s="48">
        <f t="shared" ca="1" si="560"/>
        <v>0</v>
      </c>
      <c r="ER279" s="48">
        <f ca="1">IF(ISNA(EQ279)=TRUE,MAX($ER$2:ER278)+1,0)</f>
        <v>0</v>
      </c>
      <c r="ES279" s="48" t="str">
        <f t="shared" ca="1" si="570"/>
        <v/>
      </c>
      <c r="ET279" s="48" t="str">
        <f ca="1">IFERROR(INDEX($ER$3:$ES$400,MATCH(ROWS($ET$3:ET279),$ER$3:$ER$400,0),2),"")</f>
        <v/>
      </c>
      <c r="EV279" s="48">
        <f ca="1">IFERROR(INDEX(LIBRO_GIORNALE!$O$11:$P$408,MATCH(ROWS($EV$2:EV278),LIBRO_GIORNALE!$P$11:$P$408,0),1),0)</f>
        <v>0</v>
      </c>
      <c r="EW279" s="48" t="str">
        <f t="shared" ca="1" si="544"/>
        <v>0</v>
      </c>
      <c r="EX279" s="48">
        <f t="shared" ca="1" si="571"/>
        <v>0</v>
      </c>
      <c r="EY279" s="48">
        <f ca="1">IF(EX279&gt;0,MAX($EY$2:EY278)+1,0)</f>
        <v>0</v>
      </c>
      <c r="EZ279" s="48">
        <f ca="1">IFERROR(INDEX($EX$3:$EX$400,MATCH(ROWS($EZ$3:EZ279),$EY$3:$EY$400,0),1),0)</f>
        <v>0</v>
      </c>
      <c r="FA279" s="48">
        <f ca="1">IF(EZ279&gt;0,0,MAX($FA$2:FA278)+1)</f>
        <v>277</v>
      </c>
      <c r="FB279" s="48">
        <f t="shared" ca="1" si="545"/>
        <v>0</v>
      </c>
      <c r="FC279" s="48">
        <f t="shared" ca="1" si="546"/>
        <v>277</v>
      </c>
      <c r="FD279" s="48">
        <f t="shared" ca="1" si="572"/>
        <v>277</v>
      </c>
      <c r="FE279" s="48">
        <f ca="1">IF(FD279=0,0,MAX($FE$2:FE278)+1)</f>
        <v>277</v>
      </c>
      <c r="FF279" s="48">
        <f ca="1">IFERROR(INDEX($FD$3:$FE$400,MATCH(ROWS($FF$3:FF279),$FE$3:$FE$400,0),1),"")</f>
        <v>277</v>
      </c>
      <c r="FG279" s="48">
        <f t="shared" ca="1" si="519"/>
        <v>0</v>
      </c>
      <c r="FH279" s="48">
        <f t="shared" ca="1" si="573"/>
        <v>0</v>
      </c>
      <c r="FI279" s="48">
        <f ca="1">IF(FH279&lt;&gt;0,MAX($FI$2:FI278)+1,0)</f>
        <v>0</v>
      </c>
      <c r="FJ279" s="48" t="str">
        <f ca="1">IFERROR(INDEX($FH$3:$FI$400,MATCH(ROWS($FJ$3:FJ279),$FI$3:$FI$400,0),1),"")</f>
        <v/>
      </c>
      <c r="FK279" s="48">
        <f ca="1">IF(ABS(SUMIFS(DARE,DEN_G,"="&amp;FJ279,DATA,"&lt;="&amp;FINE_AC,DATA,"&gt;="&amp;INIZIO_A_PC)-SUMIFS(AVERE,DEN_G,"="&amp;FJ279,DATA,"&lt;="&amp;FINE_AC,DATA,"&gt;="&amp;INIZIO_A_PC))&gt;0,MAX($FK$2:FK278)+1,0)</f>
        <v>0</v>
      </c>
      <c r="FL279" s="48" t="str">
        <f ca="1">IF(AND(ROW()-2&lt;&gt;1,ROW()-2&lt;=$FK$1),CONCATENATE(" - ",IFERROR(INDEX($FJ$3:$FK$400,MATCH(ROWS($FL$3:FL279),$FK$3:$FK$400,0),1),"")),IFERROR(INDEX($FJ$3:$FK$400,MATCH(ROWS($FL$3:FL279),$FK$3:$FK$400,0),1),""))</f>
        <v/>
      </c>
      <c r="FM279" s="48">
        <f ca="1">IF(OR(B279="IVA ns/credito",B279="IVA NS/DEBITO",B279="IVA C/ACCONTO",B279="IMPOSTE C/ACCONTO",B279="CREDITI PER RITENUTE SUBITE",B279="CREDITI D'IMPOSTA"),MAX($FM$2:FM278)+1,0)</f>
        <v>0</v>
      </c>
      <c r="FN279" s="48" t="str">
        <f t="shared" ca="1" si="574"/>
        <v/>
      </c>
      <c r="FO279" s="48" t="str">
        <f ca="1">IFERROR(INDEX($FM$3:$FN$400,MATCH(ROWS($FO$3:FO279),$FM$3:$FM$400,0),2),"")</f>
        <v/>
      </c>
      <c r="FP279" s="48">
        <f ca="1">IF(ABS(SUMIFS(DARE,DEN_G,"="&amp;FO279,DATA,"&lt;="&amp;FINE_AC,DATA,"&gt;="&amp;INIZIO_A_PC)-SUMIFS(AVERE,DEN_G,"="&amp;FO279,DATA,"&lt;="&amp;FINE_AC,DATA,"&gt;="&amp;INIZIO_A_PC))&gt;0,MAX($FP$2:FP278)+1,0)</f>
        <v>0</v>
      </c>
      <c r="FQ279" s="48" t="str">
        <f ca="1">IF(AND(ROW()-2&lt;&gt;1,ROW()-2&lt;=$FP$1),CONCATENATE(" - ",IFERROR(INDEX($FO$3:$FP$400,MATCH(ROWS($FQ$3:FQ279),$FP$3:$FP$400,0),1),"")),IFERROR(INDEX($FO$3:$FP$400,MATCH(ROWS($FQ$3:FQ279),$FP$3:$FP$400,0),1),""))</f>
        <v/>
      </c>
    </row>
    <row r="280" spans="1:173" x14ac:dyDescent="0.3">
      <c r="A280" s="48" t="str">
        <f ca="1">IFERROR(IF($A$1=2,INDEX($DH$3:$DN$401,MATCH(ROWS(A$3:A280),$DN$3:$DN$401,0),COLUMN()),IF($A$1=1,INDEX($DQ$3:$DW$401,MATCH(ROWS(A$3:A280),$DW$3:$DW$401,0),COLUMN()),"")),"")</f>
        <v>38.01</v>
      </c>
      <c r="B280" s="48" t="str">
        <f ca="1">IFERROR(IF($A$1=2,INDEX($DH$3:$DN$401,MATCH(ROWS(B$3:B280),$DN$3:$DN$401,0),COLUMN()),IF($A$1=1,INDEX($DQ$3:$DW$400,MATCH(ROWS(B$3:B280),$DW$3:$DW$401,0),COLUMN()),"")),"")</f>
        <v>ACCANTONAMENTO PER RESPONSABILITÀ CIVILE</v>
      </c>
      <c r="C280" s="48" t="str">
        <f ca="1">IFERROR(IF($A$1=2,INDEX($DH$3:$DN$401,MATCH(ROWS(C$3:C280),$DN$3:$DN$401,0),COLUMN()),IF($A$1=1,INDEX($DQ$3:$DW$401,MATCH(ROWS(C$3:C280),$DW$3:$DW$401,0),COLUMN()),"")),"")</f>
        <v>E</v>
      </c>
      <c r="D280" s="48" t="str">
        <f ca="1">IFERROR(IF($A$1=2,INDEX($DH$3:$DN$401,MATCH(ROWS(D$3:D280),$DN$3:$DN$401,0),COLUMN()),IF($A$1=1,INDEX($DQ$3:$DW$401,MATCH(ROWS(D$3:D280),$DW$3:$DW$401,0),COLUMN()),"")),"")</f>
        <v>D</v>
      </c>
      <c r="E280" s="48" t="str">
        <f ca="1">IFERROR(IF($A$1=2,INDEX($DH$3:$DN$401,MATCH(ROWS(E$3:E280),$DN$3:$DN$401,0),COLUMN()),IF($A$1=1,INDEX($DQ$3:$DW$401,MATCH(ROWS(E$3:E280),$DW$3:$DW$401,0),COLUMN()),"")),"")</f>
        <v>COSTI D'ESERCIZIO</v>
      </c>
      <c r="F280" s="48" t="str">
        <f ca="1">IFERROR(IF($A$1=2,INDEX($DH$3:$DN$401,MATCH(ROWS(F$3:F280),$DN$3:$DN$401,0),COLUMN()),IF($A$1=1,INDEX($DQ$3:$DX$401,MATCH(ROWS(F$3:F280),$DW$3:$DW$401,0),COLUMN()),"")),"")</f>
        <v>SE DARE</v>
      </c>
      <c r="G280" s="48" t="str">
        <f t="shared" ca="1" si="561"/>
        <v>SE</v>
      </c>
      <c r="H280" s="48" t="str">
        <f ca="1">IFERROR(IF($A$1=2,INDEX($DH$3:$DO$400,MATCH(ROWS(H$3:H280),$DN$3:$DN$400,0),COLUMN()),IF($A$1=1,INDEX($DQ$3:$DX$400,MATCH(ROWS(H$3:H280),$DW$3:$DW$400,0),COLUMN()),"")),"")</f>
        <v>eb12</v>
      </c>
      <c r="M280" s="48">
        <f ca="1">IFERROR(IF(IF(MID($A280,3,3)=".00",MID(A280,1,2),"")&lt;&gt;"",MAX($M$2:M279)+1,0),"")</f>
        <v>0</v>
      </c>
      <c r="N280" s="48" t="str">
        <f t="shared" ca="1" si="562"/>
        <v/>
      </c>
      <c r="O280" s="48" t="str">
        <f ca="1">IF(IFERROR(INDEX($N$3:$O$300,MATCH(ROWS($O$3:O280),$M$3:$M$300,0),1),"")&lt;&gt;"",CONCATENATE(INDEX($N$3:$O$300,MATCH(ROWS($O$3:O280),$M$3:$M$300,0),1),".00"),"")</f>
        <v/>
      </c>
      <c r="P280" s="48" t="str">
        <f t="shared" ca="1" si="563"/>
        <v/>
      </c>
      <c r="Q280" s="48">
        <f ca="1">IF(M280&gt;=1,0,MAX($Q$2:Q279)+1)</f>
        <v>248</v>
      </c>
      <c r="U280" s="48" t="str">
        <f ca="1">IFERROR(INDEX(PDC,MATCH(ROWS(U$3:U280),$V$3:$V$400,0),2),"")</f>
        <v>INTERESSI PASSIVI A CONTROLLATE</v>
      </c>
      <c r="V280" s="48">
        <f ca="1">IF(AND($T$1="VISUALIZZA TUTTI I CONTI",AA280&lt;&gt;""),MAX($V$2:V279)+1,IF(AND($U$2=2,AI280=$T$1),MAX($V$2:V279)+1,IF(AND($U$2=1,$T$1=AF280),MAX($V$2:V279)+1,0)))</f>
        <v>278</v>
      </c>
      <c r="AA280" s="48" t="str">
        <f t="shared" ca="1" si="564"/>
        <v>41.00</v>
      </c>
      <c r="AB280" s="48" t="str">
        <f ca="1">IFERROR(INDEX($A$3:$G$400,MATCH(ROWS(AB$3:AB280),$Q$3:$Q$400,0),1),"")</f>
        <v>41.30</v>
      </c>
      <c r="AC280" s="48" t="str">
        <f ca="1">IFERROR(INDEX($A$3:$G$400,MATCH(ROWS($AC$3:AC280),$Q$3:$Q$400,0),2),"")</f>
        <v>INTERESSI PASSIVI A CONTROLLATE</v>
      </c>
      <c r="AD280" s="48" t="str">
        <f ca="1">IFERROR(INDEX($A$3:$G$400,MATCH(ROWS(AD$3:AD280),$Q$3:$Q$400,0),3),"")</f>
        <v>E</v>
      </c>
      <c r="AE280" s="48" t="str">
        <f ca="1">IFERROR(INDEX($A$3:$G$400,MATCH(ROWS(AE$3:AE280),$Q$3:$Q$400,0),4),"")</f>
        <v>D</v>
      </c>
      <c r="AF280" s="48" t="str">
        <f ca="1">IFERROR(INDEX($A$3:$G$400,MATCH(ROWS(AF$3:AF280),$Q$3:$Q$400,0),5),"")</f>
        <v>COSTI D'ESERCIZIO</v>
      </c>
      <c r="AG280" s="48" t="str">
        <f ca="1">IFERROR(INDEX($A$3:$G$400,MATCH(ROWS(AG$3:AG280),$Q$3:$Q$400,0),6),"")</f>
        <v>SE DARE</v>
      </c>
      <c r="AH280" s="48" t="str">
        <f ca="1">IFERROR(INDEX($A$3:$G$400,MATCH(ROWS(AH$3:AH280),$Q$3:$Q$400,0),7),"")</f>
        <v>SE</v>
      </c>
      <c r="AI280" s="48" t="str">
        <f t="shared" ca="1" si="565"/>
        <v>ONERI FINANZIARI</v>
      </c>
      <c r="AJ280" s="48" t="str">
        <f ca="1">IFERROR(INDEX($A$3:$H$400,MATCH(ROWS(AJ$3:AJ280),$Q$3:$Q$400,0),8),"")</f>
        <v>ec17</v>
      </c>
      <c r="AK280" s="48">
        <f t="shared" ca="1" si="548"/>
        <v>0</v>
      </c>
      <c r="AL280" s="48">
        <f t="shared" ca="1" si="576"/>
        <v>0</v>
      </c>
      <c r="AM280" s="48">
        <f t="shared" ca="1" si="516"/>
        <v>0</v>
      </c>
      <c r="AN280" s="48">
        <f t="shared" ca="1" si="517"/>
        <v>0</v>
      </c>
      <c r="AO280" s="48">
        <f t="shared" ca="1" si="518"/>
        <v>0</v>
      </c>
      <c r="AP280" s="48">
        <f t="shared" ca="1" si="518"/>
        <v>0</v>
      </c>
      <c r="AZ280" s="48" t="str">
        <f t="shared" ca="1" si="584"/>
        <v/>
      </c>
      <c r="BA280" s="48">
        <f t="shared" ca="1" si="520"/>
        <v>0</v>
      </c>
      <c r="BB280" s="48">
        <f t="shared" ca="1" si="521"/>
        <v>0</v>
      </c>
      <c r="BC280" s="48">
        <f t="shared" ca="1" si="522"/>
        <v>0</v>
      </c>
      <c r="BD280" s="48">
        <f t="shared" ca="1" si="523"/>
        <v>0</v>
      </c>
      <c r="BE280" s="48">
        <f t="shared" ca="1" si="524"/>
        <v>0</v>
      </c>
      <c r="BF280" s="48">
        <f t="shared" si="585"/>
        <v>80</v>
      </c>
      <c r="BG280" s="48">
        <f ca="1">IF(IF(AND(OR(INDEX(PDC,MATCH($AC280,DEN_PDC,0),6)="SP DARE",INDEX(PDC,MATCH($AC280,DEN_PDC,0),6)="SP DARE/AVERE"),SUMIFS(DARE,DEN_G,$AC280)&gt;=SUMIFS(AVERE,DEN_G,$AC280)),SUMIFS(DARE,DEN_G,$AC280)-SUMIFS(AVERE,DEN_G,$AC280),0)&gt;0,MAX($BG$2:BG279)+1,0)</f>
        <v>0</v>
      </c>
      <c r="BH280" s="48">
        <f ca="1">IF(IF(AND(OR(INDEX(PDC,MATCH($AC280,DEN_PDC,0),6)="SP AVERE",INDEX(PDC,MATCH($AC280,DEN_PDC,0),6)="SP DARE/AVERE"),SUMIFS(AVERE,DEN_G,$AC280)&gt;=SUMIFS(DARE,DEN_G,$AC280)),SUMIFS(AVERE,DEN_G,$AC280)-SUMIFS(DARE,DEN_G,$AC280),0)&gt;0,MAX(BH$2:BH279)+1,0)</f>
        <v>0</v>
      </c>
      <c r="BI280" s="48">
        <f ca="1">IF(IF(AND(OR(INDEX(PDC,MATCH($AC280,DEN_PDC,0),6)="SE DARE",INDEX(PDC,MATCH($AC280,DEN_PDC,0),6)="SE DARE/AVERE"),SUMIFS(DARE,DEN_G,$AC280)&gt;=SUMIFS(AVERE,DEN_G,$AC280)),SUMIFS(DARE,DEN_G,$AC280)-SUMIFS(AVERE,DEN_G,$AC280),0)&gt;0,MAX(BI$2:BI279)+1,0)</f>
        <v>0</v>
      </c>
      <c r="BJ280" s="48">
        <f ca="1">IF(IF(AND(OR(INDEX(PDC,MATCH($AC280,DEN_PDC,0),6)="SE AVERE",INDEX(PDC,MATCH($AC280,DEN_PDC,0),6)="SE DARE/AVERE"),SUMIFS(AVERE,DEN_G,$AC280)&gt;=SUMIFS(DARE,DEN_G,$AC280)),SUMIFS(AVERE,DEN_G,$AC280)-SUMIFS(DARE,DEN_G,$AC280),0)&gt;0,MAX(BJ$2:BJ279)+1,0)</f>
        <v>0</v>
      </c>
      <c r="BK280" s="48" t="str">
        <f ca="1">IF(AND(AND($DY$2=0,$DY$1=0),$I$1=2,ROW()&gt;$BG$1+2,ROW()&lt;=$BG$1+4),"………………..",IF(AND(OR($DY$2&gt;0,$DY$1&gt;0),$I$1=2,ROW()&gt;$BG$1+2,ROW()&lt;=$BG$1+4),"………………..",IFERROR(INDEX($AC$3:$AC$398,MATCH(ROWS(BK$3:BK280),BG$3:BG$398,0),1),"")))</f>
        <v/>
      </c>
      <c r="BL280" s="48">
        <f t="shared" ca="1" si="549"/>
        <v>0</v>
      </c>
      <c r="BM280" s="48" t="str">
        <f ca="1">IF(AND(OR($DY$2=0,$DY$1=0),$I$1=2,ROW()&gt;$BH$1+2,ROW()&lt;=$BH$1+4),"………………..",IF(AND(OR($DY$2&gt;0,$DY$1&gt;0),$I$1=2,ROW()&gt;$BH$1+2,ROW()&lt;=$BH$1+4),"………………..",IFERROR(INDEX($AC$3:$AC$400,MATCH(ROWS(BM$3:BM280),BH$3:BH$400,0),1),"")))</f>
        <v/>
      </c>
      <c r="BN280" s="48">
        <f t="shared" ca="1" si="550"/>
        <v>0</v>
      </c>
      <c r="BO280" s="48" t="str">
        <f ca="1">IF(AND(OR($DY$2=0,$DY$1=0),$I$1=2,ROW()&gt;$BI$1+2,ROW()&lt;=$BI$1+4),"………………..",IF(AND(OR($DY$2&gt;0,$DY$1&gt;0),$I$1=2,ROW()&gt;$BI$1+2,ROW()&lt;=$BI$1+4),"………………..",IFERROR(INDEX($AC$3:$AC$400,MATCH(ROWS(BO$3:BO280),BI$3:BI$400,0),1),"")))</f>
        <v/>
      </c>
      <c r="BP280" s="48">
        <f t="shared" ca="1" si="551"/>
        <v>0</v>
      </c>
      <c r="BQ280" s="48" t="str">
        <f ca="1">IF(AND(OR($DY$2=0,$DY$1=0),$I$1=2,ROW()&gt;$BJ$1+2,ROW()&lt;=$BJ$1+4),"………………..",IF(AND(OR($DY$2&gt;0,$DY$1&gt;0),$I$1=2,ROW()&gt;$BJ$1+2,ROW()&lt;=$BJ$1+4),"………………..",IFERROR(INDEX($AC$3:$AC$400,MATCH(ROWS(BQ$3:BQ280),BJ$3:BJ$400,0),1),"")))</f>
        <v/>
      </c>
      <c r="BR280" s="48">
        <f t="shared" ca="1" si="552"/>
        <v>0</v>
      </c>
      <c r="BS280" s="48">
        <f ca="1">IF(IF(AND(OR(INDEX(PDC,MATCH($AC280,DEN_PDC,0),4)="D",INDEX(PDC,MATCH($AC280,DEN_PDC,0),4)="D/A"),SUMIFS(DARE,DEN_G,$AC280)&gt;=SUMIFS(AVERE,DEN_G,$AC280)),SUMIFS(DARE,DEN_G,$AC280),IF(AND(OR(INDEX(PDC,MATCH($AC280,DEN_PDC,0),4)="A",INDEX(PDC,MATCH($AC280,DEN_PDC,0),4)="D/A"),SUMIFS(AVERE,DEN_G,$AC280)&gt;=SUMIFS(DARE,DEN_G,$AC280)),SUMIFS(AVERE,DEN_G,$AC280),))&gt;0,MAX($BS$2:BS279)+1,0)</f>
        <v>0</v>
      </c>
      <c r="BT280" s="48" t="str">
        <f ca="1">IF($CO$1=0,"",IF(AND($I$1=2,ROW()&gt;$BR$1,ROW()&lt;=$BS$1)," …………….",IF(AND($E$1=1,$BX$1=1,$I$1=2,ROW()=$BQ$1),"TOTALI",IFERROR(INDEX(PDC,MATCH(ROWS(BT$3:BT280),BS$3:BS677,0),2),""))))</f>
        <v/>
      </c>
      <c r="BU280" s="48">
        <f t="shared" ca="1" si="553"/>
        <v>0</v>
      </c>
      <c r="BV280" s="48">
        <f t="shared" ca="1" si="554"/>
        <v>0</v>
      </c>
      <c r="BW280" s="48">
        <f t="shared" ca="1" si="555"/>
        <v>0</v>
      </c>
      <c r="BX280" s="48">
        <f t="shared" ca="1" si="556"/>
        <v>0</v>
      </c>
      <c r="BY280" s="48">
        <f ca="1">IF(OR(BW280&gt;0,BX280&gt;0),MAX($BY$2:BY279)+1,0)</f>
        <v>0</v>
      </c>
      <c r="BZ280" s="48" t="str">
        <f ca="1">IFERROR(INDEX($BT$3:$BY$400,MATCH(ROWS(BZ$3:BZ280),$BY$3:$BY$400,0),1),"")</f>
        <v/>
      </c>
      <c r="CA280" s="48" t="str">
        <f ca="1">IFERROR(INDEX($BT$3:$BY$400,MATCH(ROWS(CA$3:CA280),$BY$3:$BY$400,0),4),"")</f>
        <v/>
      </c>
      <c r="CB280" s="48" t="str">
        <f ca="1">IFERROR(INDEX($BT$3:$BY$400,MATCH(ROWS(CB$3:CB280),$BY$3:$BY$400,0),5),"")</f>
        <v/>
      </c>
      <c r="CC280" s="48" t="str">
        <f t="shared" ca="1" si="557"/>
        <v/>
      </c>
      <c r="CM280" s="242" t="str">
        <f t="shared" ca="1" si="566"/>
        <v/>
      </c>
      <c r="CN280" s="243">
        <f t="shared" ca="1" si="567"/>
        <v>0</v>
      </c>
      <c r="CO280" s="48" t="str">
        <f t="shared" ca="1" si="568"/>
        <v/>
      </c>
      <c r="CU280" s="48">
        <f ca="1">IF(SUMIFS(AVERE,DEN_G,AC280,AVERE,"&gt;"&amp;0)+SUMIFS(DARE,DEN_G,AC280,DARE,"&gt;"&amp;0)&gt;0,MAX($CU$2:CU279)+1,0)</f>
        <v>0</v>
      </c>
      <c r="CV280" s="48" t="str">
        <f ca="1">IF(IFERROR(INDEX(PDC,MATCH(ROWS($CV$3:CV280),$CU$3:$CU$400,0),2),"")="CONTO DI RISULTATO ECONOMICO","",IFERROR(INDEX(PDC,MATCH(ROWS($CV$3:CV280),$CU$3:$CU$400,0),2),""))</f>
        <v/>
      </c>
      <c r="CW280" s="48">
        <f ca="1">IFERROR(IF(CV280&lt;&gt;"",MAX($CW$2:CW279)+1,0),0)</f>
        <v>0</v>
      </c>
      <c r="CX280" s="48">
        <f t="shared" ca="1" si="589"/>
        <v>22</v>
      </c>
      <c r="CY280" s="48" t="str">
        <f t="shared" ca="1" si="588"/>
        <v>MASTRO</v>
      </c>
      <c r="CZ280" s="48" t="e">
        <f t="shared" ca="1" si="591"/>
        <v>#N/A</v>
      </c>
      <c r="DA280" s="48" t="str">
        <f t="shared" ca="1" si="596"/>
        <v/>
      </c>
      <c r="DB280" s="48" t="str">
        <f t="shared" ca="1" si="592"/>
        <v/>
      </c>
      <c r="DC280" s="48" t="str">
        <f t="shared" ca="1" si="593"/>
        <v/>
      </c>
      <c r="DD280" s="48" t="str">
        <f t="shared" ca="1" si="594"/>
        <v/>
      </c>
      <c r="DE280" s="48" t="str">
        <f t="shared" ca="1" si="595"/>
        <v/>
      </c>
      <c r="DF280" s="48">
        <f ca="1">IF(AND(CX280=$DF$1,CX280&lt;&gt;""),0,IF(AND(DB280&lt;&gt;"",OR(DB279&lt;&gt;"",DB281&lt;&gt;"")),MAX($DF$2:DF279)+1,0))</f>
        <v>0</v>
      </c>
      <c r="DH280" s="244" t="s">
        <v>191</v>
      </c>
      <c r="DI280" s="48" t="s">
        <v>437</v>
      </c>
      <c r="DJ280" s="48" t="s">
        <v>311</v>
      </c>
      <c r="DK280" s="48" t="s">
        <v>275</v>
      </c>
      <c r="DL280" s="48" t="s">
        <v>7</v>
      </c>
      <c r="DM280" s="48" t="s">
        <v>301</v>
      </c>
      <c r="DN280" s="48">
        <f ca="1">IF(DI280&lt;&gt;"",MAX($DN$2:DN279)+1,0)</f>
        <v>215</v>
      </c>
      <c r="DO280" s="48" t="s">
        <v>709</v>
      </c>
      <c r="DQ280" s="227" t="s">
        <v>210</v>
      </c>
      <c r="DR280" s="48" t="s">
        <v>199</v>
      </c>
      <c r="DS280" s="48" t="s">
        <v>311</v>
      </c>
      <c r="DT280" s="48" t="s">
        <v>275</v>
      </c>
      <c r="DU280" s="48" t="s">
        <v>7</v>
      </c>
      <c r="DV280" s="48" t="s">
        <v>301</v>
      </c>
      <c r="DW280" s="48">
        <f ca="1">IF(DR280&lt;&gt;"",MAX($DW$2:DW279)+1,0)</f>
        <v>168</v>
      </c>
      <c r="DX280" s="48" t="s">
        <v>710</v>
      </c>
      <c r="DY280" s="48" t="str">
        <f t="shared" ca="1" si="558"/>
        <v/>
      </c>
      <c r="EL280" s="48">
        <f t="shared" ca="1" si="559"/>
        <v>0</v>
      </c>
      <c r="EM280" s="48">
        <f ca="1">IF(EL280&gt;=0,0,MAX($EM$2:EM279)+1)</f>
        <v>0</v>
      </c>
      <c r="EN280" s="48" t="str">
        <f t="shared" ca="1" si="569"/>
        <v/>
      </c>
      <c r="EO280" s="48" t="str">
        <f ca="1">IFERROR(INDEX($EM$3:$EN$400,MATCH(ROWS($EO$3:EO280),$EM$3:$EM$400,0),2),"")</f>
        <v/>
      </c>
      <c r="EP280" s="48">
        <f>ROW()</f>
        <v>280</v>
      </c>
      <c r="EQ280" s="48">
        <f t="shared" ca="1" si="560"/>
        <v>0</v>
      </c>
      <c r="ER280" s="48">
        <f ca="1">IF(ISNA(EQ280)=TRUE,MAX($ER$2:ER279)+1,0)</f>
        <v>0</v>
      </c>
      <c r="ES280" s="48" t="str">
        <f t="shared" ca="1" si="570"/>
        <v/>
      </c>
      <c r="ET280" s="48" t="str">
        <f ca="1">IFERROR(INDEX($ER$3:$ES$400,MATCH(ROWS($ET$3:ET280),$ER$3:$ER$400,0),2),"")</f>
        <v/>
      </c>
      <c r="EV280" s="48">
        <f ca="1">IFERROR(INDEX(LIBRO_GIORNALE!$O$11:$P$408,MATCH(ROWS($EV$2:EV279),LIBRO_GIORNALE!$P$11:$P$408,0),1),0)</f>
        <v>0</v>
      </c>
      <c r="EW280" s="48" t="str">
        <f t="shared" ca="1" si="544"/>
        <v>0</v>
      </c>
      <c r="EX280" s="48">
        <f t="shared" ca="1" si="571"/>
        <v>0</v>
      </c>
      <c r="EY280" s="48">
        <f ca="1">IF(EX280&gt;0,MAX($EY$2:EY279)+1,0)</f>
        <v>0</v>
      </c>
      <c r="EZ280" s="48">
        <f ca="1">IFERROR(INDEX($EX$3:$EX$400,MATCH(ROWS($EZ$3:EZ280),$EY$3:$EY$400,0),1),0)</f>
        <v>0</v>
      </c>
      <c r="FA280" s="48">
        <f ca="1">IF(EZ280&gt;0,0,MAX($FA$2:FA279)+1)</f>
        <v>278</v>
      </c>
      <c r="FB280" s="48">
        <f t="shared" ca="1" si="545"/>
        <v>0</v>
      </c>
      <c r="FC280" s="48">
        <f t="shared" ca="1" si="546"/>
        <v>278</v>
      </c>
      <c r="FD280" s="48">
        <f t="shared" ca="1" si="572"/>
        <v>278</v>
      </c>
      <c r="FE280" s="48">
        <f ca="1">IF(FD280=0,0,MAX($FE$2:FE279)+1)</f>
        <v>278</v>
      </c>
      <c r="FF280" s="48">
        <f ca="1">IFERROR(INDEX($FD$3:$FE$400,MATCH(ROWS($FF$3:FF280),$FE$3:$FE$400,0),1),"")</f>
        <v>278</v>
      </c>
      <c r="FG280" s="48">
        <f t="shared" ca="1" si="519"/>
        <v>0</v>
      </c>
      <c r="FH280" s="48">
        <f t="shared" ca="1" si="573"/>
        <v>0</v>
      </c>
      <c r="FI280" s="48">
        <f ca="1">IF(FH280&lt;&gt;0,MAX($FI$2:FI279)+1,0)</f>
        <v>0</v>
      </c>
      <c r="FJ280" s="48" t="str">
        <f ca="1">IFERROR(INDEX($FH$3:$FI$400,MATCH(ROWS($FJ$3:FJ280),$FI$3:$FI$400,0),1),"")</f>
        <v/>
      </c>
      <c r="FK280" s="48">
        <f ca="1">IF(ABS(SUMIFS(DARE,DEN_G,"="&amp;FJ280,DATA,"&lt;="&amp;FINE_AC,DATA,"&gt;="&amp;INIZIO_A_PC)-SUMIFS(AVERE,DEN_G,"="&amp;FJ280,DATA,"&lt;="&amp;FINE_AC,DATA,"&gt;="&amp;INIZIO_A_PC))&gt;0,MAX($FK$2:FK279)+1,0)</f>
        <v>0</v>
      </c>
      <c r="FL280" s="48" t="str">
        <f ca="1">IF(AND(ROW()-2&lt;&gt;1,ROW()-2&lt;=$FK$1),CONCATENATE(" - ",IFERROR(INDEX($FJ$3:$FK$400,MATCH(ROWS($FL$3:FL280),$FK$3:$FK$400,0),1),"")),IFERROR(INDEX($FJ$3:$FK$400,MATCH(ROWS($FL$3:FL280),$FK$3:$FK$400,0),1),""))</f>
        <v/>
      </c>
      <c r="FM280" s="48">
        <f ca="1">IF(OR(B280="IVA ns/credito",B280="IVA NS/DEBITO",B280="IVA C/ACCONTO",B280="IMPOSTE C/ACCONTO",B280="CREDITI PER RITENUTE SUBITE",B280="CREDITI D'IMPOSTA"),MAX($FM$2:FM279)+1,0)</f>
        <v>0</v>
      </c>
      <c r="FN280" s="48" t="str">
        <f t="shared" ca="1" si="574"/>
        <v/>
      </c>
      <c r="FO280" s="48" t="str">
        <f ca="1">IFERROR(INDEX($FM$3:$FN$400,MATCH(ROWS($FO$3:FO280),$FM$3:$FM$400,0),2),"")</f>
        <v/>
      </c>
      <c r="FP280" s="48">
        <f ca="1">IF(ABS(SUMIFS(DARE,DEN_G,"="&amp;FO280,DATA,"&lt;="&amp;FINE_AC,DATA,"&gt;="&amp;INIZIO_A_PC)-SUMIFS(AVERE,DEN_G,"="&amp;FO280,DATA,"&lt;="&amp;FINE_AC,DATA,"&gt;="&amp;INIZIO_A_PC))&gt;0,MAX($FP$2:FP279)+1,0)</f>
        <v>0</v>
      </c>
      <c r="FQ280" s="48" t="str">
        <f ca="1">IF(AND(ROW()-2&lt;&gt;1,ROW()-2&lt;=$FP$1),CONCATENATE(" - ",IFERROR(INDEX($FO$3:$FP$400,MATCH(ROWS($FQ$3:FQ280),$FP$3:$FP$400,0),1),"")),IFERROR(INDEX($FO$3:$FP$400,MATCH(ROWS($FQ$3:FQ280),$FP$3:$FP$400,0),1),""))</f>
        <v/>
      </c>
    </row>
    <row r="281" spans="1:173" x14ac:dyDescent="0.3">
      <c r="A281" s="48" t="str">
        <f ca="1">IFERROR(IF($A$1=2,INDEX($DH$3:$DN$401,MATCH(ROWS(A$3:A281),$DN$3:$DN$401,0),COLUMN()),IF($A$1=1,INDEX($DQ$3:$DW$401,MATCH(ROWS(A$3:A281),$DW$3:$DW$401,0),COLUMN()),"")),"")</f>
        <v>38.10</v>
      </c>
      <c r="B281" s="48" t="str">
        <f ca="1">IFERROR(IF($A$1=2,INDEX($DH$3:$DN$401,MATCH(ROWS(B$3:B281),$DN$3:$DN$401,0),COLUMN()),IF($A$1=1,INDEX($DQ$3:$DW$400,MATCH(ROWS(B$3:B281),$DW$3:$DW$401,0),COLUMN()),"")),"")</f>
        <v>ACCANTONAMENTO PER MANUTENZIONI PROGRAMMATE</v>
      </c>
      <c r="C281" s="48" t="str">
        <f ca="1">IFERROR(IF($A$1=2,INDEX($DH$3:$DN$401,MATCH(ROWS(C$3:C281),$DN$3:$DN$401,0),COLUMN()),IF($A$1=1,INDEX($DQ$3:$DW$401,MATCH(ROWS(C$3:C281),$DW$3:$DW$401,0),COLUMN()),"")),"")</f>
        <v>E</v>
      </c>
      <c r="D281" s="48" t="str">
        <f ca="1">IFERROR(IF($A$1=2,INDEX($DH$3:$DN$401,MATCH(ROWS(D$3:D281),$DN$3:$DN$401,0),COLUMN()),IF($A$1=1,INDEX($DQ$3:$DW$401,MATCH(ROWS(D$3:D281),$DW$3:$DW$401,0),COLUMN()),"")),"")</f>
        <v>D</v>
      </c>
      <c r="E281" s="48" t="str">
        <f ca="1">IFERROR(IF($A$1=2,INDEX($DH$3:$DN$401,MATCH(ROWS(E$3:E281),$DN$3:$DN$401,0),COLUMN()),IF($A$1=1,INDEX($DQ$3:$DW$401,MATCH(ROWS(E$3:E281),$DW$3:$DW$401,0),COLUMN()),"")),"")</f>
        <v>COSTI D'ESERCIZIO</v>
      </c>
      <c r="F281" s="48" t="str">
        <f ca="1">IFERROR(IF($A$1=2,INDEX($DH$3:$DN$401,MATCH(ROWS(F$3:F281),$DN$3:$DN$401,0),COLUMN()),IF($A$1=1,INDEX($DQ$3:$DX$401,MATCH(ROWS(F$3:F281),$DW$3:$DW$401,0),COLUMN()),"")),"")</f>
        <v>SE DARE</v>
      </c>
      <c r="G281" s="48" t="str">
        <f t="shared" ca="1" si="561"/>
        <v>SE</v>
      </c>
      <c r="H281" s="48" t="str">
        <f ca="1">IFERROR(IF($A$1=2,INDEX($DH$3:$DO$400,MATCH(ROWS(H$3:H281),$DN$3:$DN$400,0),COLUMN()),IF($A$1=1,INDEX($DQ$3:$DX$400,MATCH(ROWS(H$3:H281),$DW$3:$DW$400,0),COLUMN()),"")),"")</f>
        <v>eb13</v>
      </c>
      <c r="M281" s="48">
        <f ca="1">IFERROR(IF(IF(MID($A281,3,3)=".00",MID(A281,1,2),"")&lt;&gt;"",MAX($M$2:M280)+1,0),"")</f>
        <v>0</v>
      </c>
      <c r="N281" s="48" t="str">
        <f t="shared" ca="1" si="562"/>
        <v/>
      </c>
      <c r="O281" s="48" t="str">
        <f ca="1">IF(IFERROR(INDEX($N$3:$O$300,MATCH(ROWS($O$3:O281),$M$3:$M$300,0),1),"")&lt;&gt;"",CONCATENATE(INDEX($N$3:$O$300,MATCH(ROWS($O$3:O281),$M$3:$M$300,0),1),".00"),"")</f>
        <v/>
      </c>
      <c r="P281" s="48" t="str">
        <f t="shared" ca="1" si="563"/>
        <v/>
      </c>
      <c r="Q281" s="48">
        <f ca="1">IF(M281&gt;=1,0,MAX($Q$2:Q280)+1)</f>
        <v>249</v>
      </c>
      <c r="U281" s="48" t="str">
        <f ca="1">IFERROR(INDEX(PDC,MATCH(ROWS(U$3:U281),$V$3:$V$400,0),2),"")</f>
        <v>INTERESSI PASSIVI A COLLEGATE</v>
      </c>
      <c r="V281" s="48">
        <f ca="1">IF(AND($T$1="VISUALIZZA TUTTI I CONTI",AA281&lt;&gt;""),MAX($V$2:V280)+1,IF(AND($U$2=2,AI281=$T$1),MAX($V$2:V280)+1,IF(AND($U$2=1,$T$1=AF281),MAX($V$2:V280)+1,0)))</f>
        <v>279</v>
      </c>
      <c r="AA281" s="48" t="str">
        <f t="shared" ca="1" si="564"/>
        <v>41.00</v>
      </c>
      <c r="AB281" s="48" t="str">
        <f ca="1">IFERROR(INDEX($A$3:$G$400,MATCH(ROWS(AB$3:AB281),$Q$3:$Q$400,0),1),"")</f>
        <v>41.31</v>
      </c>
      <c r="AC281" s="48" t="str">
        <f ca="1">IFERROR(INDEX($A$3:$G$400,MATCH(ROWS($AC$3:AC281),$Q$3:$Q$400,0),2),"")</f>
        <v>INTERESSI PASSIVI A COLLEGATE</v>
      </c>
      <c r="AD281" s="48" t="str">
        <f ca="1">IFERROR(INDEX($A$3:$G$400,MATCH(ROWS(AD$3:AD281),$Q$3:$Q$400,0),3),"")</f>
        <v>E</v>
      </c>
      <c r="AE281" s="48" t="str">
        <f ca="1">IFERROR(INDEX($A$3:$G$400,MATCH(ROWS(AE$3:AE281),$Q$3:$Q$400,0),4),"")</f>
        <v>D</v>
      </c>
      <c r="AF281" s="48" t="str">
        <f ca="1">IFERROR(INDEX($A$3:$G$400,MATCH(ROWS(AF$3:AF281),$Q$3:$Q$400,0),5),"")</f>
        <v>COSTI D'ESERCIZIO</v>
      </c>
      <c r="AG281" s="48" t="str">
        <f ca="1">IFERROR(INDEX($A$3:$G$400,MATCH(ROWS(AG$3:AG281),$Q$3:$Q$400,0),6),"")</f>
        <v>SE DARE</v>
      </c>
      <c r="AH281" s="48" t="str">
        <f ca="1">IFERROR(INDEX($A$3:$G$400,MATCH(ROWS(AH$3:AH281),$Q$3:$Q$400,0),7),"")</f>
        <v>SE</v>
      </c>
      <c r="AI281" s="48" t="str">
        <f t="shared" ca="1" si="565"/>
        <v>ONERI FINANZIARI</v>
      </c>
      <c r="AJ281" s="48" t="str">
        <f ca="1">IFERROR(INDEX($A$3:$H$400,MATCH(ROWS(AJ$3:AJ281),$Q$3:$Q$400,0),8),"")</f>
        <v>ec17</v>
      </c>
      <c r="AK281" s="48">
        <f t="shared" ca="1" si="548"/>
        <v>0</v>
      </c>
      <c r="AL281" s="48">
        <f t="shared" ca="1" si="576"/>
        <v>0</v>
      </c>
      <c r="AM281" s="48">
        <f t="shared" ca="1" si="516"/>
        <v>0</v>
      </c>
      <c r="AN281" s="48">
        <f t="shared" ca="1" si="517"/>
        <v>0</v>
      </c>
      <c r="AO281" s="48">
        <f t="shared" ca="1" si="518"/>
        <v>0</v>
      </c>
      <c r="AP281" s="48">
        <f t="shared" ca="1" si="518"/>
        <v>0</v>
      </c>
      <c r="AZ281" s="48" t="str">
        <f t="shared" ca="1" si="584"/>
        <v/>
      </c>
      <c r="BA281" s="48">
        <f t="shared" ca="1" si="520"/>
        <v>0</v>
      </c>
      <c r="BB281" s="48">
        <f t="shared" ca="1" si="521"/>
        <v>0</v>
      </c>
      <c r="BC281" s="48">
        <f t="shared" ca="1" si="522"/>
        <v>0</v>
      </c>
      <c r="BD281" s="48">
        <f t="shared" ca="1" si="523"/>
        <v>0</v>
      </c>
      <c r="BE281" s="48">
        <f t="shared" ca="1" si="524"/>
        <v>0</v>
      </c>
      <c r="BF281" s="48">
        <f t="shared" si="585"/>
        <v>81</v>
      </c>
      <c r="BG281" s="48">
        <f ca="1">IF(IF(AND(OR(INDEX(PDC,MATCH($AC281,DEN_PDC,0),6)="SP DARE",INDEX(PDC,MATCH($AC281,DEN_PDC,0),6)="SP DARE/AVERE"),SUMIFS(DARE,DEN_G,$AC281)&gt;=SUMIFS(AVERE,DEN_G,$AC281)),SUMIFS(DARE,DEN_G,$AC281)-SUMIFS(AVERE,DEN_G,$AC281),0)&gt;0,MAX($BG$2:BG280)+1,0)</f>
        <v>0</v>
      </c>
      <c r="BH281" s="48">
        <f ca="1">IF(IF(AND(OR(INDEX(PDC,MATCH($AC281,DEN_PDC,0),6)="SP AVERE",INDEX(PDC,MATCH($AC281,DEN_PDC,0),6)="SP DARE/AVERE"),SUMIFS(AVERE,DEN_G,$AC281)&gt;=SUMIFS(DARE,DEN_G,$AC281)),SUMIFS(AVERE,DEN_G,$AC281)-SUMIFS(DARE,DEN_G,$AC281),0)&gt;0,MAX(BH$2:BH280)+1,0)</f>
        <v>0</v>
      </c>
      <c r="BI281" s="48">
        <f ca="1">IF(IF(AND(OR(INDEX(PDC,MATCH($AC281,DEN_PDC,0),6)="SE DARE",INDEX(PDC,MATCH($AC281,DEN_PDC,0),6)="SE DARE/AVERE"),SUMIFS(DARE,DEN_G,$AC281)&gt;=SUMIFS(AVERE,DEN_G,$AC281)),SUMIFS(DARE,DEN_G,$AC281)-SUMIFS(AVERE,DEN_G,$AC281),0)&gt;0,MAX(BI$2:BI280)+1,0)</f>
        <v>0</v>
      </c>
      <c r="BJ281" s="48">
        <f ca="1">IF(IF(AND(OR(INDEX(PDC,MATCH($AC281,DEN_PDC,0),6)="SE AVERE",INDEX(PDC,MATCH($AC281,DEN_PDC,0),6)="SE DARE/AVERE"),SUMIFS(AVERE,DEN_G,$AC281)&gt;=SUMIFS(DARE,DEN_G,$AC281)),SUMIFS(AVERE,DEN_G,$AC281)-SUMIFS(DARE,DEN_G,$AC281),0)&gt;0,MAX(BJ$2:BJ280)+1,0)</f>
        <v>0</v>
      </c>
      <c r="BK281" s="48" t="str">
        <f ca="1">IF(AND(AND($DY$2=0,$DY$1=0),$I$1=2,ROW()&gt;$BG$1+2,ROW()&lt;=$BG$1+4),"………………..",IF(AND(OR($DY$2&gt;0,$DY$1&gt;0),$I$1=2,ROW()&gt;$BG$1+2,ROW()&lt;=$BG$1+4),"………………..",IFERROR(INDEX($AC$3:$AC$398,MATCH(ROWS(BK$3:BK281),BG$3:BG$398,0),1),"")))</f>
        <v/>
      </c>
      <c r="BL281" s="48">
        <f t="shared" ca="1" si="549"/>
        <v>0</v>
      </c>
      <c r="BM281" s="48" t="str">
        <f ca="1">IF(AND(OR($DY$2=0,$DY$1=0),$I$1=2,ROW()&gt;$BH$1+2,ROW()&lt;=$BH$1+4),"………………..",IF(AND(OR($DY$2&gt;0,$DY$1&gt;0),$I$1=2,ROW()&gt;$BH$1+2,ROW()&lt;=$BH$1+4),"………………..",IFERROR(INDEX($AC$3:$AC$400,MATCH(ROWS(BM$3:BM281),BH$3:BH$400,0),1),"")))</f>
        <v/>
      </c>
      <c r="BN281" s="48">
        <f t="shared" ca="1" si="550"/>
        <v>0</v>
      </c>
      <c r="BO281" s="48" t="str">
        <f ca="1">IF(AND(OR($DY$2=0,$DY$1=0),$I$1=2,ROW()&gt;$BI$1+2,ROW()&lt;=$BI$1+4),"………………..",IF(AND(OR($DY$2&gt;0,$DY$1&gt;0),$I$1=2,ROW()&gt;$BI$1+2,ROW()&lt;=$BI$1+4),"………………..",IFERROR(INDEX($AC$3:$AC$400,MATCH(ROWS(BO$3:BO281),BI$3:BI$400,0),1),"")))</f>
        <v/>
      </c>
      <c r="BP281" s="48">
        <f t="shared" ca="1" si="551"/>
        <v>0</v>
      </c>
      <c r="BQ281" s="48" t="str">
        <f ca="1">IF(AND(OR($DY$2=0,$DY$1=0),$I$1=2,ROW()&gt;$BJ$1+2,ROW()&lt;=$BJ$1+4),"………………..",IF(AND(OR($DY$2&gt;0,$DY$1&gt;0),$I$1=2,ROW()&gt;$BJ$1+2,ROW()&lt;=$BJ$1+4),"………………..",IFERROR(INDEX($AC$3:$AC$400,MATCH(ROWS(BQ$3:BQ281),BJ$3:BJ$400,0),1),"")))</f>
        <v/>
      </c>
      <c r="BR281" s="48">
        <f t="shared" ca="1" si="552"/>
        <v>0</v>
      </c>
      <c r="BS281" s="48">
        <f ca="1">IF(IF(AND(OR(INDEX(PDC,MATCH($AC281,DEN_PDC,0),4)="D",INDEX(PDC,MATCH($AC281,DEN_PDC,0),4)="D/A"),SUMIFS(DARE,DEN_G,$AC281)&gt;=SUMIFS(AVERE,DEN_G,$AC281)),SUMIFS(DARE,DEN_G,$AC281),IF(AND(OR(INDEX(PDC,MATCH($AC281,DEN_PDC,0),4)="A",INDEX(PDC,MATCH($AC281,DEN_PDC,0),4)="D/A"),SUMIFS(AVERE,DEN_G,$AC281)&gt;=SUMIFS(DARE,DEN_G,$AC281)),SUMIFS(AVERE,DEN_G,$AC281),))&gt;0,MAX($BS$2:BS280)+1,0)</f>
        <v>0</v>
      </c>
      <c r="BT281" s="48" t="str">
        <f ca="1">IF($CO$1=0,"",IF(AND($I$1=2,ROW()&gt;$BR$1,ROW()&lt;=$BS$1)," …………….",IF(AND($E$1=1,$BX$1=1,$I$1=2,ROW()=$BQ$1),"TOTALI",IFERROR(INDEX(PDC,MATCH(ROWS(BT$3:BT281),BS$3:BS678,0),2),""))))</f>
        <v/>
      </c>
      <c r="BU281" s="48">
        <f t="shared" ca="1" si="553"/>
        <v>0</v>
      </c>
      <c r="BV281" s="48">
        <f t="shared" ca="1" si="554"/>
        <v>0</v>
      </c>
      <c r="BW281" s="48">
        <f t="shared" ca="1" si="555"/>
        <v>0</v>
      </c>
      <c r="BX281" s="48">
        <f t="shared" ca="1" si="556"/>
        <v>0</v>
      </c>
      <c r="BY281" s="48">
        <f ca="1">IF(OR(BW281&gt;0,BX281&gt;0),MAX($BY$2:BY280)+1,0)</f>
        <v>0</v>
      </c>
      <c r="BZ281" s="48" t="str">
        <f ca="1">IFERROR(INDEX($BT$3:$BY$400,MATCH(ROWS(BZ$3:BZ281),$BY$3:$BY$400,0),1),"")</f>
        <v/>
      </c>
      <c r="CA281" s="48" t="str">
        <f ca="1">IFERROR(INDEX($BT$3:$BY$400,MATCH(ROWS(CA$3:CA281),$BY$3:$BY$400,0),4),"")</f>
        <v/>
      </c>
      <c r="CB281" s="48" t="str">
        <f ca="1">IFERROR(INDEX($BT$3:$BY$400,MATCH(ROWS(CB$3:CB281),$BY$3:$BY$400,0),5),"")</f>
        <v/>
      </c>
      <c r="CC281" s="48" t="str">
        <f t="shared" ca="1" si="557"/>
        <v/>
      </c>
      <c r="CM281" s="242" t="str">
        <f t="shared" ca="1" si="566"/>
        <v/>
      </c>
      <c r="CN281" s="243">
        <f t="shared" ca="1" si="567"/>
        <v>0</v>
      </c>
      <c r="CO281" s="48" t="str">
        <f t="shared" ca="1" si="568"/>
        <v/>
      </c>
      <c r="CU281" s="48">
        <f ca="1">IF(SUMIFS(AVERE,DEN_G,AC281,AVERE,"&gt;"&amp;0)+SUMIFS(DARE,DEN_G,AC281,DARE,"&gt;"&amp;0)&gt;0,MAX($CU$2:CU280)+1,0)</f>
        <v>0</v>
      </c>
      <c r="CV281" s="48" t="str">
        <f ca="1">IF(IFERROR(INDEX(PDC,MATCH(ROWS($CV$3:CV281),$CU$3:$CU$400,0),2),"")="CONTO DI RISULTATO ECONOMICO","",IFERROR(INDEX(PDC,MATCH(ROWS($CV$3:CV281),$CU$3:$CU$400,0),2),""))</f>
        <v/>
      </c>
      <c r="CW281" s="48">
        <f ca="1">IFERROR(IF(CV281&lt;&gt;"",MAX($CW$2:CW280)+1,0),0)</f>
        <v>0</v>
      </c>
      <c r="CX281" s="48">
        <f t="shared" ca="1" si="589"/>
        <v>22</v>
      </c>
      <c r="CY281" s="48" t="str">
        <f t="shared" ca="1" si="588"/>
        <v>MASTRO</v>
      </c>
      <c r="CZ281" s="48" t="e">
        <f t="shared" ca="1" si="591"/>
        <v>#N/A</v>
      </c>
      <c r="DA281" s="48" t="str">
        <f t="shared" ca="1" si="596"/>
        <v/>
      </c>
      <c r="DB281" s="48" t="str">
        <f t="shared" ca="1" si="592"/>
        <v/>
      </c>
      <c r="DC281" s="48" t="str">
        <f t="shared" ca="1" si="593"/>
        <v/>
      </c>
      <c r="DD281" s="48" t="str">
        <f t="shared" ca="1" si="594"/>
        <v/>
      </c>
      <c r="DE281" s="48" t="str">
        <f t="shared" ca="1" si="595"/>
        <v/>
      </c>
      <c r="DF281" s="48">
        <f ca="1">IF(AND(CX281=$DF$1,CX281&lt;&gt;""),0,IF(AND(DB281&lt;&gt;"",OR(DB280&lt;&gt;"",DB282&lt;&gt;"")),MAX($DF$2:DF280)+1,0))</f>
        <v>0</v>
      </c>
      <c r="DH281" s="244" t="s">
        <v>438</v>
      </c>
      <c r="DI281" s="48" t="s">
        <v>885</v>
      </c>
      <c r="DJ281" s="48" t="s">
        <v>311</v>
      </c>
      <c r="DK281" s="48" t="s">
        <v>275</v>
      </c>
      <c r="DL281" s="48" t="s">
        <v>7</v>
      </c>
      <c r="DM281" s="48" t="s">
        <v>301</v>
      </c>
      <c r="DN281" s="48">
        <f ca="1">IF(DI281&lt;&gt;"",MAX($DN$2:DN280)+1,0)</f>
        <v>216</v>
      </c>
      <c r="DO281" s="48" t="s">
        <v>709</v>
      </c>
      <c r="DQ281" s="227" t="s">
        <v>211</v>
      </c>
      <c r="DR281" s="48" t="s">
        <v>894</v>
      </c>
      <c r="DS281" s="48" t="s">
        <v>311</v>
      </c>
      <c r="DT281" s="48" t="s">
        <v>275</v>
      </c>
      <c r="DU281" s="48" t="s">
        <v>7</v>
      </c>
      <c r="DV281" s="48" t="s">
        <v>301</v>
      </c>
      <c r="DW281" s="48">
        <f ca="1">IF(DR281&lt;&gt;"",MAX($DW$2:DW280)+1,0)</f>
        <v>169</v>
      </c>
      <c r="DX281" s="48" t="s">
        <v>710</v>
      </c>
      <c r="DY281" s="48" t="str">
        <f t="shared" ca="1" si="558"/>
        <v/>
      </c>
      <c r="EL281" s="48">
        <f t="shared" ca="1" si="559"/>
        <v>0</v>
      </c>
      <c r="EM281" s="48">
        <f ca="1">IF(EL281&gt;=0,0,MAX($EM$2:EM280)+1)</f>
        <v>0</v>
      </c>
      <c r="EN281" s="48" t="str">
        <f t="shared" ca="1" si="569"/>
        <v/>
      </c>
      <c r="EO281" s="48" t="str">
        <f ca="1">IFERROR(INDEX($EM$3:$EN$400,MATCH(ROWS($EO$3:EO281),$EM$3:$EM$400,0),2),"")</f>
        <v/>
      </c>
      <c r="EP281" s="48">
        <f>ROW()</f>
        <v>281</v>
      </c>
      <c r="EQ281" s="48">
        <f t="shared" ca="1" si="560"/>
        <v>0</v>
      </c>
      <c r="ER281" s="48">
        <f ca="1">IF(ISNA(EQ281)=TRUE,MAX($ER$2:ER280)+1,0)</f>
        <v>0</v>
      </c>
      <c r="ES281" s="48" t="str">
        <f t="shared" ca="1" si="570"/>
        <v/>
      </c>
      <c r="ET281" s="48" t="str">
        <f ca="1">IFERROR(INDEX($ER$3:$ES$400,MATCH(ROWS($ET$3:ET281),$ER$3:$ER$400,0),2),"")</f>
        <v/>
      </c>
      <c r="EV281" s="48">
        <f ca="1">IFERROR(INDEX(LIBRO_GIORNALE!$O$11:$P$408,MATCH(ROWS($EV$2:EV280),LIBRO_GIORNALE!$P$11:$P$408,0),1),0)</f>
        <v>0</v>
      </c>
      <c r="EW281" s="48" t="str">
        <f t="shared" ca="1" si="544"/>
        <v>0</v>
      </c>
      <c r="EX281" s="48">
        <f t="shared" ca="1" si="571"/>
        <v>0</v>
      </c>
      <c r="EY281" s="48">
        <f ca="1">IF(EX281&gt;0,MAX($EY$2:EY280)+1,0)</f>
        <v>0</v>
      </c>
      <c r="EZ281" s="48">
        <f ca="1">IFERROR(INDEX($EX$3:$EX$400,MATCH(ROWS($EZ$3:EZ281),$EY$3:$EY$400,0),1),0)</f>
        <v>0</v>
      </c>
      <c r="FA281" s="48">
        <f ca="1">IF(EZ281&gt;0,0,MAX($FA$2:FA280)+1)</f>
        <v>279</v>
      </c>
      <c r="FB281" s="48">
        <f t="shared" ca="1" si="545"/>
        <v>0</v>
      </c>
      <c r="FC281" s="48">
        <f t="shared" ca="1" si="546"/>
        <v>279</v>
      </c>
      <c r="FD281" s="48">
        <f t="shared" ca="1" si="572"/>
        <v>279</v>
      </c>
      <c r="FE281" s="48">
        <f ca="1">IF(FD281=0,0,MAX($FE$2:FE280)+1)</f>
        <v>279</v>
      </c>
      <c r="FF281" s="48">
        <f ca="1">IFERROR(INDEX($FD$3:$FE$400,MATCH(ROWS($FF$3:FF281),$FE$3:$FE$400,0),1),"")</f>
        <v>279</v>
      </c>
      <c r="FG281" s="48">
        <f t="shared" ca="1" si="519"/>
        <v>0</v>
      </c>
      <c r="FH281" s="48">
        <f t="shared" ca="1" si="573"/>
        <v>0</v>
      </c>
      <c r="FI281" s="48">
        <f ca="1">IF(FH281&lt;&gt;0,MAX($FI$2:FI280)+1,0)</f>
        <v>0</v>
      </c>
      <c r="FJ281" s="48" t="str">
        <f ca="1">IFERROR(INDEX($FH$3:$FI$400,MATCH(ROWS($FJ$3:FJ281),$FI$3:$FI$400,0),1),"")</f>
        <v/>
      </c>
      <c r="FK281" s="48">
        <f ca="1">IF(ABS(SUMIFS(DARE,DEN_G,"="&amp;FJ281,DATA,"&lt;="&amp;FINE_AC,DATA,"&gt;="&amp;INIZIO_A_PC)-SUMIFS(AVERE,DEN_G,"="&amp;FJ281,DATA,"&lt;="&amp;FINE_AC,DATA,"&gt;="&amp;INIZIO_A_PC))&gt;0,MAX($FK$2:FK280)+1,0)</f>
        <v>0</v>
      </c>
      <c r="FL281" s="48" t="str">
        <f ca="1">IF(AND(ROW()-2&lt;&gt;1,ROW()-2&lt;=$FK$1),CONCATENATE(" - ",IFERROR(INDEX($FJ$3:$FK$400,MATCH(ROWS($FL$3:FL281),$FK$3:$FK$400,0),1),"")),IFERROR(INDEX($FJ$3:$FK$400,MATCH(ROWS($FL$3:FL281),$FK$3:$FK$400,0),1),""))</f>
        <v/>
      </c>
      <c r="FM281" s="48">
        <f ca="1">IF(OR(B281="IVA ns/credito",B281="IVA NS/DEBITO",B281="IVA C/ACCONTO",B281="IMPOSTE C/ACCONTO",B281="CREDITI PER RITENUTE SUBITE",B281="CREDITI D'IMPOSTA"),MAX($FM$2:FM280)+1,0)</f>
        <v>0</v>
      </c>
      <c r="FN281" s="48" t="str">
        <f t="shared" ca="1" si="574"/>
        <v/>
      </c>
      <c r="FO281" s="48" t="str">
        <f ca="1">IFERROR(INDEX($FM$3:$FN$400,MATCH(ROWS($FO$3:FO281),$FM$3:$FM$400,0),2),"")</f>
        <v/>
      </c>
      <c r="FP281" s="48">
        <f ca="1">IF(ABS(SUMIFS(DARE,DEN_G,"="&amp;FO281,DATA,"&lt;="&amp;FINE_AC,DATA,"&gt;="&amp;INIZIO_A_PC)-SUMIFS(AVERE,DEN_G,"="&amp;FO281,DATA,"&lt;="&amp;FINE_AC,DATA,"&gt;="&amp;INIZIO_A_PC))&gt;0,MAX($FP$2:FP280)+1,0)</f>
        <v>0</v>
      </c>
      <c r="FQ281" s="48" t="str">
        <f ca="1">IF(AND(ROW()-2&lt;&gt;1,ROW()-2&lt;=$FP$1),CONCATENATE(" - ",IFERROR(INDEX($FO$3:$FP$400,MATCH(ROWS($FQ$3:FQ281),$FP$3:$FP$400,0),1),"")),IFERROR(INDEX($FO$3:$FP$400,MATCH(ROWS($FQ$3:FQ281),$FP$3:$FP$400,0),1),""))</f>
        <v/>
      </c>
    </row>
    <row r="282" spans="1:173" x14ac:dyDescent="0.3">
      <c r="A282" s="48" t="str">
        <f ca="1">IFERROR(IF($A$1=2,INDEX($DH$3:$DN$401,MATCH(ROWS(A$3:A282),$DN$3:$DN$401,0),COLUMN()),IF($A$1=1,INDEX($DQ$3:$DW$401,MATCH(ROWS(A$3:A282),$DW$3:$DW$401,0),COLUMN()),"")),"")</f>
        <v>38.11</v>
      </c>
      <c r="B282" s="48" t="str">
        <f ca="1">IFERROR(IF($A$1=2,INDEX($DH$3:$DN$401,MATCH(ROWS(B$3:B282),$DN$3:$DN$401,0),COLUMN()),IF($A$1=1,INDEX($DQ$3:$DW$400,MATCH(ROWS(B$3:B282),$DW$3:$DW$401,0),COLUMN()),"")),"")</f>
        <v>ACCANTONAMENTO PER GARANZIA PRODOTTI</v>
      </c>
      <c r="C282" s="48" t="str">
        <f ca="1">IFERROR(IF($A$1=2,INDEX($DH$3:$DN$401,MATCH(ROWS(C$3:C282),$DN$3:$DN$401,0),COLUMN()),IF($A$1=1,INDEX($DQ$3:$DW$401,MATCH(ROWS(C$3:C282),$DW$3:$DW$401,0),COLUMN()),"")),"")</f>
        <v>E</v>
      </c>
      <c r="D282" s="48" t="str">
        <f ca="1">IFERROR(IF($A$1=2,INDEX($DH$3:$DN$401,MATCH(ROWS(D$3:D282),$DN$3:$DN$401,0),COLUMN()),IF($A$1=1,INDEX($DQ$3:$DW$401,MATCH(ROWS(D$3:D282),$DW$3:$DW$401,0),COLUMN()),"")),"")</f>
        <v>D</v>
      </c>
      <c r="E282" s="48" t="str">
        <f ca="1">IFERROR(IF($A$1=2,INDEX($DH$3:$DN$401,MATCH(ROWS(E$3:E282),$DN$3:$DN$401,0),COLUMN()),IF($A$1=1,INDEX($DQ$3:$DW$401,MATCH(ROWS(E$3:E282),$DW$3:$DW$401,0),COLUMN()),"")),"")</f>
        <v>COSTI D'ESERCIZIO</v>
      </c>
      <c r="F282" s="48" t="str">
        <f ca="1">IFERROR(IF($A$1=2,INDEX($DH$3:$DN$401,MATCH(ROWS(F$3:F282),$DN$3:$DN$401,0),COLUMN()),IF($A$1=1,INDEX($DQ$3:$DX$401,MATCH(ROWS(F$3:F282),$DW$3:$DW$401,0),COLUMN()),"")),"")</f>
        <v>SE DARE</v>
      </c>
      <c r="G282" s="48" t="str">
        <f t="shared" ca="1" si="561"/>
        <v>SE</v>
      </c>
      <c r="H282" s="48" t="str">
        <f ca="1">IFERROR(IF($A$1=2,INDEX($DH$3:$DO$400,MATCH(ROWS(H$3:H282),$DN$3:$DN$400,0),COLUMN()),IF($A$1=1,INDEX($DQ$3:$DX$400,MATCH(ROWS(H$3:H282),$DW$3:$DW$400,0),COLUMN()),"")),"")</f>
        <v>eb13</v>
      </c>
      <c r="M282" s="48">
        <f ca="1">IFERROR(IF(IF(MID($A282,3,3)=".00",MID(A282,1,2),"")&lt;&gt;"",MAX($M$2:M281)+1,0),"")</f>
        <v>0</v>
      </c>
      <c r="N282" s="48" t="str">
        <f t="shared" ca="1" si="562"/>
        <v/>
      </c>
      <c r="O282" s="48" t="str">
        <f ca="1">IF(IFERROR(INDEX($N$3:$O$300,MATCH(ROWS($O$3:O282),$M$3:$M$300,0),1),"")&lt;&gt;"",CONCATENATE(INDEX($N$3:$O$300,MATCH(ROWS($O$3:O282),$M$3:$M$300,0),1),".00"),"")</f>
        <v/>
      </c>
      <c r="P282" s="48" t="str">
        <f t="shared" ca="1" si="563"/>
        <v/>
      </c>
      <c r="Q282" s="48">
        <f ca="1">IF(M282&gt;=1,0,MAX($Q$2:Q281)+1)</f>
        <v>250</v>
      </c>
      <c r="U282" s="48" t="str">
        <f ca="1">IFERROR(INDEX(PDC,MATCH(ROWS(U$3:U282),$V$3:$V$400,0),2),"")</f>
        <v>INTERESSI PASSIVI A CONTROLLANTE</v>
      </c>
      <c r="V282" s="48">
        <f ca="1">IF(AND($T$1="VISUALIZZA TUTTI I CONTI",AA282&lt;&gt;""),MAX($V$2:V281)+1,IF(AND($U$2=2,AI282=$T$1),MAX($V$2:V281)+1,IF(AND($U$2=1,$T$1=AF282),MAX($V$2:V281)+1,0)))</f>
        <v>280</v>
      </c>
      <c r="AA282" s="48" t="str">
        <f t="shared" ca="1" si="564"/>
        <v>41.00</v>
      </c>
      <c r="AB282" s="48" t="str">
        <f ca="1">IFERROR(INDEX($A$3:$G$400,MATCH(ROWS(AB$3:AB282),$Q$3:$Q$400,0),1),"")</f>
        <v>41.32</v>
      </c>
      <c r="AC282" s="48" t="str">
        <f ca="1">IFERROR(INDEX($A$3:$G$400,MATCH(ROWS($AC$3:AC282),$Q$3:$Q$400,0),2),"")</f>
        <v>INTERESSI PASSIVI A CONTROLLANTE</v>
      </c>
      <c r="AD282" s="48" t="str">
        <f ca="1">IFERROR(INDEX($A$3:$G$400,MATCH(ROWS(AD$3:AD282),$Q$3:$Q$400,0),3),"")</f>
        <v>E</v>
      </c>
      <c r="AE282" s="48" t="str">
        <f ca="1">IFERROR(INDEX($A$3:$G$400,MATCH(ROWS(AE$3:AE282),$Q$3:$Q$400,0),4),"")</f>
        <v>D</v>
      </c>
      <c r="AF282" s="48" t="str">
        <f ca="1">IFERROR(INDEX($A$3:$G$400,MATCH(ROWS(AF$3:AF282),$Q$3:$Q$400,0),5),"")</f>
        <v>COSTI D'ESERCIZIO</v>
      </c>
      <c r="AG282" s="48" t="str">
        <f ca="1">IFERROR(INDEX($A$3:$G$400,MATCH(ROWS(AG$3:AG282),$Q$3:$Q$400,0),6),"")</f>
        <v>SE DARE</v>
      </c>
      <c r="AH282" s="48" t="str">
        <f ca="1">IFERROR(INDEX($A$3:$G$400,MATCH(ROWS(AH$3:AH282),$Q$3:$Q$400,0),7),"")</f>
        <v>SE</v>
      </c>
      <c r="AI282" s="48" t="str">
        <f t="shared" ca="1" si="565"/>
        <v>ONERI FINANZIARI</v>
      </c>
      <c r="AJ282" s="48" t="str">
        <f ca="1">IFERROR(INDEX($A$3:$H$400,MATCH(ROWS(AJ$3:AJ282),$Q$3:$Q$400,0),8),"")</f>
        <v>ec17</v>
      </c>
      <c r="AK282" s="48">
        <f t="shared" ca="1" si="548"/>
        <v>0</v>
      </c>
      <c r="AL282" s="48">
        <f t="shared" ca="1" si="576"/>
        <v>0</v>
      </c>
      <c r="AM282" s="48">
        <f t="shared" ca="1" si="516"/>
        <v>0</v>
      </c>
      <c r="AN282" s="48">
        <f t="shared" ca="1" si="517"/>
        <v>0</v>
      </c>
      <c r="AO282" s="48">
        <f t="shared" ca="1" si="518"/>
        <v>0</v>
      </c>
      <c r="AP282" s="48">
        <f t="shared" ca="1" si="518"/>
        <v>0</v>
      </c>
      <c r="AZ282" s="48" t="str">
        <f t="shared" ca="1" si="584"/>
        <v/>
      </c>
      <c r="BA282" s="48">
        <f t="shared" ca="1" si="520"/>
        <v>0</v>
      </c>
      <c r="BB282" s="48">
        <f t="shared" ca="1" si="521"/>
        <v>0</v>
      </c>
      <c r="BC282" s="48">
        <f t="shared" ca="1" si="522"/>
        <v>0</v>
      </c>
      <c r="BD282" s="48">
        <f t="shared" ca="1" si="523"/>
        <v>0</v>
      </c>
      <c r="BE282" s="48">
        <f t="shared" ca="1" si="524"/>
        <v>0</v>
      </c>
      <c r="BF282" s="48">
        <f t="shared" si="585"/>
        <v>82</v>
      </c>
      <c r="BG282" s="48">
        <f ca="1">IF(IF(AND(OR(INDEX(PDC,MATCH($AC282,DEN_PDC,0),6)="SP DARE",INDEX(PDC,MATCH($AC282,DEN_PDC,0),6)="SP DARE/AVERE"),SUMIFS(DARE,DEN_G,$AC282)&gt;=SUMIFS(AVERE,DEN_G,$AC282)),SUMIFS(DARE,DEN_G,$AC282)-SUMIFS(AVERE,DEN_G,$AC282),0)&gt;0,MAX($BG$2:BG281)+1,0)</f>
        <v>0</v>
      </c>
      <c r="BH282" s="48">
        <f ca="1">IF(IF(AND(OR(INDEX(PDC,MATCH($AC282,DEN_PDC,0),6)="SP AVERE",INDEX(PDC,MATCH($AC282,DEN_PDC,0),6)="SP DARE/AVERE"),SUMIFS(AVERE,DEN_G,$AC282)&gt;=SUMIFS(DARE,DEN_G,$AC282)),SUMIFS(AVERE,DEN_G,$AC282)-SUMIFS(DARE,DEN_G,$AC282),0)&gt;0,MAX(BH$2:BH281)+1,0)</f>
        <v>0</v>
      </c>
      <c r="BI282" s="48">
        <f ca="1">IF(IF(AND(OR(INDEX(PDC,MATCH($AC282,DEN_PDC,0),6)="SE DARE",INDEX(PDC,MATCH($AC282,DEN_PDC,0),6)="SE DARE/AVERE"),SUMIFS(DARE,DEN_G,$AC282)&gt;=SUMIFS(AVERE,DEN_G,$AC282)),SUMIFS(DARE,DEN_G,$AC282)-SUMIFS(AVERE,DEN_G,$AC282),0)&gt;0,MAX(BI$2:BI281)+1,0)</f>
        <v>0</v>
      </c>
      <c r="BJ282" s="48">
        <f ca="1">IF(IF(AND(OR(INDEX(PDC,MATCH($AC282,DEN_PDC,0),6)="SE AVERE",INDEX(PDC,MATCH($AC282,DEN_PDC,0),6)="SE DARE/AVERE"),SUMIFS(AVERE,DEN_G,$AC282)&gt;=SUMIFS(DARE,DEN_G,$AC282)),SUMIFS(AVERE,DEN_G,$AC282)-SUMIFS(DARE,DEN_G,$AC282),0)&gt;0,MAX(BJ$2:BJ281)+1,0)</f>
        <v>0</v>
      </c>
      <c r="BK282" s="48" t="str">
        <f ca="1">IF(AND(AND($DY$2=0,$DY$1=0),$I$1=2,ROW()&gt;$BG$1+2,ROW()&lt;=$BG$1+4),"………………..",IF(AND(OR($DY$2&gt;0,$DY$1&gt;0),$I$1=2,ROW()&gt;$BG$1+2,ROW()&lt;=$BG$1+4),"………………..",IFERROR(INDEX($AC$3:$AC$398,MATCH(ROWS(BK$3:BK282),BG$3:BG$398,0),1),"")))</f>
        <v/>
      </c>
      <c r="BL282" s="48">
        <f t="shared" ca="1" si="549"/>
        <v>0</v>
      </c>
      <c r="BM282" s="48" t="str">
        <f ca="1">IF(AND(OR($DY$2=0,$DY$1=0),$I$1=2,ROW()&gt;$BH$1+2,ROW()&lt;=$BH$1+4),"………………..",IF(AND(OR($DY$2&gt;0,$DY$1&gt;0),$I$1=2,ROW()&gt;$BH$1+2,ROW()&lt;=$BH$1+4),"………………..",IFERROR(INDEX($AC$3:$AC$400,MATCH(ROWS(BM$3:BM282),BH$3:BH$400,0),1),"")))</f>
        <v/>
      </c>
      <c r="BN282" s="48">
        <f t="shared" ca="1" si="550"/>
        <v>0</v>
      </c>
      <c r="BO282" s="48" t="str">
        <f ca="1">IF(AND(OR($DY$2=0,$DY$1=0),$I$1=2,ROW()&gt;$BI$1+2,ROW()&lt;=$BI$1+4),"………………..",IF(AND(OR($DY$2&gt;0,$DY$1&gt;0),$I$1=2,ROW()&gt;$BI$1+2,ROW()&lt;=$BI$1+4),"………………..",IFERROR(INDEX($AC$3:$AC$400,MATCH(ROWS(BO$3:BO282),BI$3:BI$400,0),1),"")))</f>
        <v/>
      </c>
      <c r="BP282" s="48">
        <f t="shared" ca="1" si="551"/>
        <v>0</v>
      </c>
      <c r="BQ282" s="48" t="str">
        <f ca="1">IF(AND(OR($DY$2=0,$DY$1=0),$I$1=2,ROW()&gt;$BJ$1+2,ROW()&lt;=$BJ$1+4),"………………..",IF(AND(OR($DY$2&gt;0,$DY$1&gt;0),$I$1=2,ROW()&gt;$BJ$1+2,ROW()&lt;=$BJ$1+4),"………………..",IFERROR(INDEX($AC$3:$AC$400,MATCH(ROWS(BQ$3:BQ282),BJ$3:BJ$400,0),1),"")))</f>
        <v/>
      </c>
      <c r="BR282" s="48">
        <f t="shared" ca="1" si="552"/>
        <v>0</v>
      </c>
      <c r="BS282" s="48">
        <f ca="1">IF(IF(AND(OR(INDEX(PDC,MATCH($AC282,DEN_PDC,0),4)="D",INDEX(PDC,MATCH($AC282,DEN_PDC,0),4)="D/A"),SUMIFS(DARE,DEN_G,$AC282)&gt;=SUMIFS(AVERE,DEN_G,$AC282)),SUMIFS(DARE,DEN_G,$AC282),IF(AND(OR(INDEX(PDC,MATCH($AC282,DEN_PDC,0),4)="A",INDEX(PDC,MATCH($AC282,DEN_PDC,0),4)="D/A"),SUMIFS(AVERE,DEN_G,$AC282)&gt;=SUMIFS(DARE,DEN_G,$AC282)),SUMIFS(AVERE,DEN_G,$AC282),))&gt;0,MAX($BS$2:BS281)+1,0)</f>
        <v>0</v>
      </c>
      <c r="BT282" s="48" t="str">
        <f ca="1">IF($CO$1=0,"",IF(AND($I$1=2,ROW()&gt;$BR$1,ROW()&lt;=$BS$1)," …………….",IF(AND($E$1=1,$BX$1=1,$I$1=2,ROW()=$BQ$1),"TOTALI",IFERROR(INDEX(PDC,MATCH(ROWS(BT$3:BT282),BS$3:BS679,0),2),""))))</f>
        <v/>
      </c>
      <c r="BU282" s="48">
        <f t="shared" ca="1" si="553"/>
        <v>0</v>
      </c>
      <c r="BV282" s="48">
        <f t="shared" ca="1" si="554"/>
        <v>0</v>
      </c>
      <c r="BW282" s="48">
        <f t="shared" ca="1" si="555"/>
        <v>0</v>
      </c>
      <c r="BX282" s="48">
        <f t="shared" ca="1" si="556"/>
        <v>0</v>
      </c>
      <c r="BY282" s="48">
        <f ca="1">IF(OR(BW282&gt;0,BX282&gt;0),MAX($BY$2:BY281)+1,0)</f>
        <v>0</v>
      </c>
      <c r="BZ282" s="48" t="str">
        <f ca="1">IFERROR(INDEX($BT$3:$BY$400,MATCH(ROWS(BZ$3:BZ282),$BY$3:$BY$400,0),1),"")</f>
        <v/>
      </c>
      <c r="CA282" s="48" t="str">
        <f ca="1">IFERROR(INDEX($BT$3:$BY$400,MATCH(ROWS(CA$3:CA282),$BY$3:$BY$400,0),4),"")</f>
        <v/>
      </c>
      <c r="CB282" s="48" t="str">
        <f ca="1">IFERROR(INDEX($BT$3:$BY$400,MATCH(ROWS(CB$3:CB282),$BY$3:$BY$400,0),5),"")</f>
        <v/>
      </c>
      <c r="CC282" s="48" t="str">
        <f t="shared" ca="1" si="557"/>
        <v/>
      </c>
      <c r="CM282" s="242" t="str">
        <f t="shared" ca="1" si="566"/>
        <v/>
      </c>
      <c r="CN282" s="243">
        <f t="shared" ca="1" si="567"/>
        <v>0</v>
      </c>
      <c r="CO282" s="48" t="str">
        <f t="shared" ca="1" si="568"/>
        <v/>
      </c>
      <c r="CU282" s="48">
        <f ca="1">IF(SUMIFS(AVERE,DEN_G,AC282,AVERE,"&gt;"&amp;0)+SUMIFS(DARE,DEN_G,AC282,DARE,"&gt;"&amp;0)&gt;0,MAX($CU$2:CU281)+1,0)</f>
        <v>0</v>
      </c>
      <c r="CV282" s="48" t="str">
        <f ca="1">IF(IFERROR(INDEX(PDC,MATCH(ROWS($CV$3:CV282),$CU$3:$CU$400,0),2),"")="CONTO DI RISULTATO ECONOMICO","",IFERROR(INDEX(PDC,MATCH(ROWS($CV$3:CV282),$CU$3:$CU$400,0),2),""))</f>
        <v/>
      </c>
      <c r="CW282" s="48">
        <f ca="1">IFERROR(IF(CV282&lt;&gt;"",MAX($CW$2:CW281)+1,0),0)</f>
        <v>0</v>
      </c>
      <c r="CX282" s="48">
        <f t="shared" ca="1" si="589"/>
        <v>22</v>
      </c>
      <c r="CY282" s="48" t="str">
        <f t="shared" ca="1" si="588"/>
        <v>MASTRO</v>
      </c>
      <c r="CZ282" s="48" t="e">
        <f t="shared" ca="1" si="591"/>
        <v>#N/A</v>
      </c>
      <c r="DA282" s="48" t="str">
        <f t="shared" ca="1" si="596"/>
        <v/>
      </c>
      <c r="DB282" s="48" t="str">
        <f t="shared" ca="1" si="592"/>
        <v/>
      </c>
      <c r="DC282" s="48" t="str">
        <f t="shared" ca="1" si="593"/>
        <v/>
      </c>
      <c r="DD282" s="48" t="str">
        <f t="shared" ca="1" si="594"/>
        <v/>
      </c>
      <c r="DE282" s="48" t="str">
        <f t="shared" ca="1" si="595"/>
        <v/>
      </c>
      <c r="DF282" s="48">
        <f ca="1">IF(AND(CX282=$DF$1,CX282&lt;&gt;""),0,IF(AND(DB282&lt;&gt;"",OR(DB281&lt;&gt;"",DB283&lt;&gt;"")),MAX($DF$2:DF281)+1,0))</f>
        <v>0</v>
      </c>
      <c r="DH282" s="244" t="s">
        <v>1115</v>
      </c>
      <c r="DI282" s="48" t="s">
        <v>1114</v>
      </c>
      <c r="DJ282" s="48" t="s">
        <v>311</v>
      </c>
      <c r="DK282" s="48" t="s">
        <v>275</v>
      </c>
      <c r="DL282" s="48" t="s">
        <v>7</v>
      </c>
      <c r="DM282" s="48" t="s">
        <v>301</v>
      </c>
      <c r="DN282" s="48">
        <f ca="1">IF(DI282&lt;&gt;"",MAX($DN$2:DN281)+1,0)</f>
        <v>217</v>
      </c>
      <c r="DO282" s="48" t="s">
        <v>709</v>
      </c>
      <c r="DQ282" s="227" t="s">
        <v>889</v>
      </c>
      <c r="DR282" s="48" t="s">
        <v>200</v>
      </c>
      <c r="DS282" s="48" t="s">
        <v>311</v>
      </c>
      <c r="DT282" s="48" t="s">
        <v>275</v>
      </c>
      <c r="DU282" s="48" t="s">
        <v>7</v>
      </c>
      <c r="DV282" s="48" t="s">
        <v>301</v>
      </c>
      <c r="DW282" s="48">
        <f ca="1">IF(DR282&lt;&gt;"",MAX($DW$2:DW281)+1,0)</f>
        <v>170</v>
      </c>
      <c r="DX282" s="48" t="s">
        <v>710</v>
      </c>
      <c r="DY282" s="48" t="str">
        <f t="shared" ca="1" si="558"/>
        <v/>
      </c>
      <c r="EL282" s="48">
        <f t="shared" ca="1" si="559"/>
        <v>0</v>
      </c>
      <c r="EM282" s="48">
        <f ca="1">IF(EL282&gt;=0,0,MAX($EM$2:EM281)+1)</f>
        <v>0</v>
      </c>
      <c r="EN282" s="48" t="str">
        <f t="shared" ca="1" si="569"/>
        <v/>
      </c>
      <c r="EO282" s="48" t="str">
        <f ca="1">IFERROR(INDEX($EM$3:$EN$400,MATCH(ROWS($EO$3:EO282),$EM$3:$EM$400,0),2),"")</f>
        <v/>
      </c>
      <c r="EP282" s="48">
        <f>ROW()</f>
        <v>282</v>
      </c>
      <c r="EQ282" s="48">
        <f t="shared" ca="1" si="560"/>
        <v>0</v>
      </c>
      <c r="ER282" s="48">
        <f ca="1">IF(ISNA(EQ282)=TRUE,MAX($ER$2:ER281)+1,0)</f>
        <v>0</v>
      </c>
      <c r="ES282" s="48" t="str">
        <f t="shared" ca="1" si="570"/>
        <v/>
      </c>
      <c r="ET282" s="48" t="str">
        <f ca="1">IFERROR(INDEX($ER$3:$ES$400,MATCH(ROWS($ET$3:ET282),$ER$3:$ER$400,0),2),"")</f>
        <v/>
      </c>
      <c r="EV282" s="48">
        <f ca="1">IFERROR(INDEX(LIBRO_GIORNALE!$O$11:$P$408,MATCH(ROWS($EV$2:EV281),LIBRO_GIORNALE!$P$11:$P$408,0),1),0)</f>
        <v>0</v>
      </c>
      <c r="EW282" s="48" t="str">
        <f t="shared" ca="1" si="544"/>
        <v>0</v>
      </c>
      <c r="EX282" s="48">
        <f t="shared" ca="1" si="571"/>
        <v>0</v>
      </c>
      <c r="EY282" s="48">
        <f ca="1">IF(EX282&gt;0,MAX($EY$2:EY281)+1,0)</f>
        <v>0</v>
      </c>
      <c r="EZ282" s="48">
        <f ca="1">IFERROR(INDEX($EX$3:$EX$400,MATCH(ROWS($EZ$3:EZ282),$EY$3:$EY$400,0),1),0)</f>
        <v>0</v>
      </c>
      <c r="FA282" s="48">
        <f ca="1">IF(EZ282&gt;0,0,MAX($FA$2:FA281)+1)</f>
        <v>280</v>
      </c>
      <c r="FB282" s="48">
        <f t="shared" ca="1" si="545"/>
        <v>0</v>
      </c>
      <c r="FC282" s="48">
        <f t="shared" ca="1" si="546"/>
        <v>280</v>
      </c>
      <c r="FD282" s="48">
        <f t="shared" ca="1" si="572"/>
        <v>280</v>
      </c>
      <c r="FE282" s="48">
        <f ca="1">IF(FD282=0,0,MAX($FE$2:FE281)+1)</f>
        <v>280</v>
      </c>
      <c r="FF282" s="48">
        <f ca="1">IFERROR(INDEX($FD$3:$FE$400,MATCH(ROWS($FF$3:FF282),$FE$3:$FE$400,0),1),"")</f>
        <v>280</v>
      </c>
      <c r="FG282" s="48">
        <f t="shared" ca="1" si="519"/>
        <v>0</v>
      </c>
      <c r="FH282" s="48">
        <f t="shared" ca="1" si="573"/>
        <v>0</v>
      </c>
      <c r="FI282" s="48">
        <f ca="1">IF(FH282&lt;&gt;0,MAX($FI$2:FI281)+1,0)</f>
        <v>0</v>
      </c>
      <c r="FJ282" s="48" t="str">
        <f ca="1">IFERROR(INDEX($FH$3:$FI$400,MATCH(ROWS($FJ$3:FJ282),$FI$3:$FI$400,0),1),"")</f>
        <v/>
      </c>
      <c r="FK282" s="48">
        <f ca="1">IF(ABS(SUMIFS(DARE,DEN_G,"="&amp;FJ282,DATA,"&lt;="&amp;FINE_AC,DATA,"&gt;="&amp;INIZIO_A_PC)-SUMIFS(AVERE,DEN_G,"="&amp;FJ282,DATA,"&lt;="&amp;FINE_AC,DATA,"&gt;="&amp;INIZIO_A_PC))&gt;0,MAX($FK$2:FK281)+1,0)</f>
        <v>0</v>
      </c>
      <c r="FL282" s="48" t="str">
        <f ca="1">IF(AND(ROW()-2&lt;&gt;1,ROW()-2&lt;=$FK$1),CONCATENATE(" - ",IFERROR(INDEX($FJ$3:$FK$400,MATCH(ROWS($FL$3:FL282),$FK$3:$FK$400,0),1),"")),IFERROR(INDEX($FJ$3:$FK$400,MATCH(ROWS($FL$3:FL282),$FK$3:$FK$400,0),1),""))</f>
        <v/>
      </c>
      <c r="FM282" s="48">
        <f ca="1">IF(OR(B282="IVA ns/credito",B282="IVA NS/DEBITO",B282="IVA C/ACCONTO",B282="IMPOSTE C/ACCONTO",B282="CREDITI PER RITENUTE SUBITE",B282="CREDITI D'IMPOSTA"),MAX($FM$2:FM281)+1,0)</f>
        <v>0</v>
      </c>
      <c r="FN282" s="48" t="str">
        <f t="shared" ca="1" si="574"/>
        <v/>
      </c>
      <c r="FO282" s="48" t="str">
        <f ca="1">IFERROR(INDEX($FM$3:$FN$400,MATCH(ROWS($FO$3:FO282),$FM$3:$FM$400,0),2),"")</f>
        <v/>
      </c>
      <c r="FP282" s="48">
        <f ca="1">IF(ABS(SUMIFS(DARE,DEN_G,"="&amp;FO282,DATA,"&lt;="&amp;FINE_AC,DATA,"&gt;="&amp;INIZIO_A_PC)-SUMIFS(AVERE,DEN_G,"="&amp;FO282,DATA,"&lt;="&amp;FINE_AC,DATA,"&gt;="&amp;INIZIO_A_PC))&gt;0,MAX($FP$2:FP281)+1,0)</f>
        <v>0</v>
      </c>
      <c r="FQ282" s="48" t="str">
        <f ca="1">IF(AND(ROW()-2&lt;&gt;1,ROW()-2&lt;=$FP$1),CONCATENATE(" - ",IFERROR(INDEX($FO$3:$FP$400,MATCH(ROWS($FQ$3:FQ282),$FP$3:$FP$400,0),1),"")),IFERROR(INDEX($FO$3:$FP$400,MATCH(ROWS($FQ$3:FQ282),$FP$3:$FP$400,0),1),""))</f>
        <v/>
      </c>
    </row>
    <row r="283" spans="1:173" x14ac:dyDescent="0.3">
      <c r="A283" s="48" t="str">
        <f ca="1">IFERROR(IF($A$1=2,INDEX($DH$3:$DN$401,MATCH(ROWS(A$3:A283),$DN$3:$DN$401,0),COLUMN()),IF($A$1=1,INDEX($DQ$3:$DW$401,MATCH(ROWS(A$3:A283),$DW$3:$DW$401,0),COLUMN()),"")),"")</f>
        <v>39.00</v>
      </c>
      <c r="B283" s="48" t="str">
        <f ca="1">IFERROR(IF($A$1=2,INDEX($DH$3:$DN$401,MATCH(ROWS(B$3:B283),$DN$3:$DN$401,0),COLUMN()),IF($A$1=1,INDEX($DQ$3:$DW$400,MATCH(ROWS(B$3:B283),$DW$3:$DW$401,0),COLUMN()),"")),"")</f>
        <v>ONERI DIVERSI</v>
      </c>
      <c r="C283" s="48">
        <f ca="1">IFERROR(IF($A$1=2,INDEX($DH$3:$DN$401,MATCH(ROWS(C$3:C283),$DN$3:$DN$401,0),COLUMN()),IF($A$1=1,INDEX($DQ$3:$DW$401,MATCH(ROWS(C$3:C283),$DW$3:$DW$401,0),COLUMN()),"")),"")</f>
        <v>0</v>
      </c>
      <c r="D283" s="48">
        <f ca="1">IFERROR(IF($A$1=2,INDEX($DH$3:$DN$401,MATCH(ROWS(D$3:D283),$DN$3:$DN$401,0),COLUMN()),IF($A$1=1,INDEX($DQ$3:$DW$401,MATCH(ROWS(D$3:D283),$DW$3:$DW$401,0),COLUMN()),"")),"")</f>
        <v>0</v>
      </c>
      <c r="E283" s="48">
        <f ca="1">IFERROR(IF($A$1=2,INDEX($DH$3:$DN$401,MATCH(ROWS(E$3:E283),$DN$3:$DN$401,0),COLUMN()),IF($A$1=1,INDEX($DQ$3:$DW$401,MATCH(ROWS(E$3:E283),$DW$3:$DW$401,0),COLUMN()),"")),"")</f>
        <v>0</v>
      </c>
      <c r="F283" s="48">
        <f ca="1">IFERROR(IF($A$1=2,INDEX($DH$3:$DN$401,MATCH(ROWS(F$3:F283),$DN$3:$DN$401,0),COLUMN()),IF($A$1=1,INDEX($DQ$3:$DX$401,MATCH(ROWS(F$3:F283),$DW$3:$DW$401,0),COLUMN()),"")),"")</f>
        <v>0</v>
      </c>
      <c r="G283" s="48" t="str">
        <f t="shared" ca="1" si="561"/>
        <v>0</v>
      </c>
      <c r="H283" s="48">
        <f ca="1">IFERROR(IF($A$1=2,INDEX($DH$3:$DO$400,MATCH(ROWS(H$3:H283),$DN$3:$DN$400,0),COLUMN()),IF($A$1=1,INDEX($DQ$3:$DX$400,MATCH(ROWS(H$3:H283),$DW$3:$DW$400,0),COLUMN()),"")),"")</f>
        <v>0</v>
      </c>
      <c r="M283" s="48">
        <f ca="1">IFERROR(IF(IF(MID($A283,3,3)=".00",MID(A283,1,2),"")&lt;&gt;"",MAX($M$2:M282)+1,0),"")</f>
        <v>31</v>
      </c>
      <c r="N283" s="48" t="str">
        <f t="shared" ca="1" si="562"/>
        <v>39</v>
      </c>
      <c r="O283" s="48" t="str">
        <f ca="1">IF(IFERROR(INDEX($N$3:$O$300,MATCH(ROWS($O$3:O283),$M$3:$M$300,0),1),"")&lt;&gt;"",CONCATENATE(INDEX($N$3:$O$300,MATCH(ROWS($O$3:O283),$M$3:$M$300,0),1),".00"),"")</f>
        <v/>
      </c>
      <c r="P283" s="48" t="str">
        <f t="shared" ca="1" si="563"/>
        <v/>
      </c>
      <c r="Q283" s="48">
        <f ca="1">IF(M283&gt;=1,0,MAX($Q$2:Q282)+1)</f>
        <v>0</v>
      </c>
      <c r="U283" s="48" t="str">
        <f ca="1">IFERROR(INDEX(PDC,MATCH(ROWS(U$3:U283),$V$3:$V$400,0),2),"")</f>
        <v>PERDITA SU TITOLI</v>
      </c>
      <c r="V283" s="48">
        <f ca="1">IF(AND($T$1="VISUALIZZA TUTTI I CONTI",AA283&lt;&gt;""),MAX($V$2:V282)+1,IF(AND($U$2=2,AI283=$T$1),MAX($V$2:V282)+1,IF(AND($U$2=1,$T$1=AF283),MAX($V$2:V282)+1,0)))</f>
        <v>281</v>
      </c>
      <c r="AA283" s="48" t="str">
        <f t="shared" ca="1" si="564"/>
        <v>41.00</v>
      </c>
      <c r="AB283" s="48" t="str">
        <f ca="1">IFERROR(INDEX($A$3:$G$400,MATCH(ROWS(AB$3:AB283),$Q$3:$Q$400,0),1),"")</f>
        <v>41.40</v>
      </c>
      <c r="AC283" s="48" t="str">
        <f ca="1">IFERROR(INDEX($A$3:$G$400,MATCH(ROWS($AC$3:AC283),$Q$3:$Q$400,0),2),"")</f>
        <v>PERDITA SU TITOLI</v>
      </c>
      <c r="AD283" s="48" t="str">
        <f ca="1">IFERROR(INDEX($A$3:$G$400,MATCH(ROWS(AD$3:AD283),$Q$3:$Q$400,0),3),"")</f>
        <v>E</v>
      </c>
      <c r="AE283" s="48" t="str">
        <f ca="1">IFERROR(INDEX($A$3:$G$400,MATCH(ROWS(AE$3:AE283),$Q$3:$Q$400,0),4),"")</f>
        <v>D</v>
      </c>
      <c r="AF283" s="48" t="str">
        <f ca="1">IFERROR(INDEX($A$3:$G$400,MATCH(ROWS(AF$3:AF283),$Q$3:$Q$400,0),5),"")</f>
        <v>COSTI D'ESERCIZIO</v>
      </c>
      <c r="AG283" s="48" t="str">
        <f ca="1">IFERROR(INDEX($A$3:$G$400,MATCH(ROWS(AG$3:AG283),$Q$3:$Q$400,0),6),"")</f>
        <v>SE DARE</v>
      </c>
      <c r="AH283" s="48" t="str">
        <f ca="1">IFERROR(INDEX($A$3:$G$400,MATCH(ROWS(AH$3:AH283),$Q$3:$Q$400,0),7),"")</f>
        <v>SE</v>
      </c>
      <c r="AI283" s="48" t="str">
        <f t="shared" ca="1" si="565"/>
        <v>ONERI FINANZIARI</v>
      </c>
      <c r="AJ283" s="48" t="str">
        <f ca="1">IFERROR(INDEX($A$3:$H$400,MATCH(ROWS(AJ$3:AJ283),$Q$3:$Q$400,0),8),"")</f>
        <v>ec17</v>
      </c>
      <c r="AK283" s="48">
        <f t="shared" ca="1" si="548"/>
        <v>0</v>
      </c>
      <c r="AL283" s="48">
        <f t="shared" ca="1" si="576"/>
        <v>0</v>
      </c>
      <c r="AM283" s="48">
        <f t="shared" ca="1" si="516"/>
        <v>0</v>
      </c>
      <c r="AN283" s="48">
        <f t="shared" ca="1" si="517"/>
        <v>0</v>
      </c>
      <c r="AO283" s="48">
        <f t="shared" ca="1" si="518"/>
        <v>0</v>
      </c>
      <c r="AP283" s="48">
        <f t="shared" ca="1" si="518"/>
        <v>0</v>
      </c>
      <c r="AZ283" s="48" t="str">
        <f t="shared" ca="1" si="584"/>
        <v/>
      </c>
      <c r="BA283" s="48">
        <f t="shared" ca="1" si="520"/>
        <v>0</v>
      </c>
      <c r="BB283" s="48">
        <f t="shared" ca="1" si="521"/>
        <v>0</v>
      </c>
      <c r="BC283" s="48">
        <f t="shared" ca="1" si="522"/>
        <v>0</v>
      </c>
      <c r="BD283" s="48">
        <f t="shared" ca="1" si="523"/>
        <v>0</v>
      </c>
      <c r="BE283" s="48">
        <f t="shared" ca="1" si="524"/>
        <v>0</v>
      </c>
      <c r="BF283" s="48">
        <f t="shared" si="585"/>
        <v>83</v>
      </c>
      <c r="BG283" s="48">
        <f ca="1">IF(IF(AND(OR(INDEX(PDC,MATCH($AC283,DEN_PDC,0),6)="SP DARE",INDEX(PDC,MATCH($AC283,DEN_PDC,0),6)="SP DARE/AVERE"),SUMIFS(DARE,DEN_G,$AC283)&gt;=SUMIFS(AVERE,DEN_G,$AC283)),SUMIFS(DARE,DEN_G,$AC283)-SUMIFS(AVERE,DEN_G,$AC283),0)&gt;0,MAX($BG$2:BG282)+1,0)</f>
        <v>0</v>
      </c>
      <c r="BH283" s="48">
        <f ca="1">IF(IF(AND(OR(INDEX(PDC,MATCH($AC283,DEN_PDC,0),6)="SP AVERE",INDEX(PDC,MATCH($AC283,DEN_PDC,0),6)="SP DARE/AVERE"),SUMIFS(AVERE,DEN_G,$AC283)&gt;=SUMIFS(DARE,DEN_G,$AC283)),SUMIFS(AVERE,DEN_G,$AC283)-SUMIFS(DARE,DEN_G,$AC283),0)&gt;0,MAX(BH$2:BH282)+1,0)</f>
        <v>0</v>
      </c>
      <c r="BI283" s="48">
        <f ca="1">IF(IF(AND(OR(INDEX(PDC,MATCH($AC283,DEN_PDC,0),6)="SE DARE",INDEX(PDC,MATCH($AC283,DEN_PDC,0),6)="SE DARE/AVERE"),SUMIFS(DARE,DEN_G,$AC283)&gt;=SUMIFS(AVERE,DEN_G,$AC283)),SUMIFS(DARE,DEN_G,$AC283)-SUMIFS(AVERE,DEN_G,$AC283),0)&gt;0,MAX(BI$2:BI282)+1,0)</f>
        <v>0</v>
      </c>
      <c r="BJ283" s="48">
        <f ca="1">IF(IF(AND(OR(INDEX(PDC,MATCH($AC283,DEN_PDC,0),6)="SE AVERE",INDEX(PDC,MATCH($AC283,DEN_PDC,0),6)="SE DARE/AVERE"),SUMIFS(AVERE,DEN_G,$AC283)&gt;=SUMIFS(DARE,DEN_G,$AC283)),SUMIFS(AVERE,DEN_G,$AC283)-SUMIFS(DARE,DEN_G,$AC283),0)&gt;0,MAX(BJ$2:BJ282)+1,0)</f>
        <v>0</v>
      </c>
      <c r="BK283" s="48" t="str">
        <f ca="1">IF(AND(AND($DY$2=0,$DY$1=0),$I$1=2,ROW()&gt;$BG$1+2,ROW()&lt;=$BG$1+4),"………………..",IF(AND(OR($DY$2&gt;0,$DY$1&gt;0),$I$1=2,ROW()&gt;$BG$1+2,ROW()&lt;=$BG$1+4),"………………..",IFERROR(INDEX($AC$3:$AC$398,MATCH(ROWS(BK$3:BK283),BG$3:BG$398,0),1),"")))</f>
        <v/>
      </c>
      <c r="BL283" s="48">
        <f t="shared" ca="1" si="549"/>
        <v>0</v>
      </c>
      <c r="BM283" s="48" t="str">
        <f ca="1">IF(AND(OR($DY$2=0,$DY$1=0),$I$1=2,ROW()&gt;$BH$1+2,ROW()&lt;=$BH$1+4),"………………..",IF(AND(OR($DY$2&gt;0,$DY$1&gt;0),$I$1=2,ROW()&gt;$BH$1+2,ROW()&lt;=$BH$1+4),"………………..",IFERROR(INDEX($AC$3:$AC$400,MATCH(ROWS(BM$3:BM283),BH$3:BH$400,0),1),"")))</f>
        <v/>
      </c>
      <c r="BN283" s="48">
        <f t="shared" ca="1" si="550"/>
        <v>0</v>
      </c>
      <c r="BO283" s="48" t="str">
        <f ca="1">IF(AND(OR($DY$2=0,$DY$1=0),$I$1=2,ROW()&gt;$BI$1+2,ROW()&lt;=$BI$1+4),"………………..",IF(AND(OR($DY$2&gt;0,$DY$1&gt;0),$I$1=2,ROW()&gt;$BI$1+2,ROW()&lt;=$BI$1+4),"………………..",IFERROR(INDEX($AC$3:$AC$400,MATCH(ROWS(BO$3:BO283),BI$3:BI$400,0),1),"")))</f>
        <v/>
      </c>
      <c r="BP283" s="48">
        <f t="shared" ca="1" si="551"/>
        <v>0</v>
      </c>
      <c r="BQ283" s="48" t="str">
        <f ca="1">IF(AND(OR($DY$2=0,$DY$1=0),$I$1=2,ROW()&gt;$BJ$1+2,ROW()&lt;=$BJ$1+4),"………………..",IF(AND(OR($DY$2&gt;0,$DY$1&gt;0),$I$1=2,ROW()&gt;$BJ$1+2,ROW()&lt;=$BJ$1+4),"………………..",IFERROR(INDEX($AC$3:$AC$400,MATCH(ROWS(BQ$3:BQ283),BJ$3:BJ$400,0),1),"")))</f>
        <v/>
      </c>
      <c r="BR283" s="48">
        <f t="shared" ca="1" si="552"/>
        <v>0</v>
      </c>
      <c r="BS283" s="48">
        <f ca="1">IF(IF(AND(OR(INDEX(PDC,MATCH($AC283,DEN_PDC,0),4)="D",INDEX(PDC,MATCH($AC283,DEN_PDC,0),4)="D/A"),SUMIFS(DARE,DEN_G,$AC283)&gt;=SUMIFS(AVERE,DEN_G,$AC283)),SUMIFS(DARE,DEN_G,$AC283),IF(AND(OR(INDEX(PDC,MATCH($AC283,DEN_PDC,0),4)="A",INDEX(PDC,MATCH($AC283,DEN_PDC,0),4)="D/A"),SUMIFS(AVERE,DEN_G,$AC283)&gt;=SUMIFS(DARE,DEN_G,$AC283)),SUMIFS(AVERE,DEN_G,$AC283),))&gt;0,MAX($BS$2:BS282)+1,0)</f>
        <v>0</v>
      </c>
      <c r="BT283" s="48" t="str">
        <f ca="1">IF($CO$1=0,"",IF(AND($I$1=2,ROW()&gt;$BR$1,ROW()&lt;=$BS$1)," …………….",IF(AND($E$1=1,$BX$1=1,$I$1=2,ROW()=$BQ$1),"TOTALI",IFERROR(INDEX(PDC,MATCH(ROWS(BT$3:BT283),BS$3:BS680,0),2),""))))</f>
        <v/>
      </c>
      <c r="BU283" s="48">
        <f t="shared" ca="1" si="553"/>
        <v>0</v>
      </c>
      <c r="BV283" s="48">
        <f t="shared" ca="1" si="554"/>
        <v>0</v>
      </c>
      <c r="BW283" s="48">
        <f t="shared" ca="1" si="555"/>
        <v>0</v>
      </c>
      <c r="BX283" s="48">
        <f t="shared" ca="1" si="556"/>
        <v>0</v>
      </c>
      <c r="BY283" s="48">
        <f ca="1">IF(OR(BW283&gt;0,BX283&gt;0),MAX($BY$2:BY282)+1,0)</f>
        <v>0</v>
      </c>
      <c r="BZ283" s="48" t="str">
        <f ca="1">IFERROR(INDEX($BT$3:$BY$400,MATCH(ROWS(BZ$3:BZ283),$BY$3:$BY$400,0),1),"")</f>
        <v/>
      </c>
      <c r="CA283" s="48" t="str">
        <f ca="1">IFERROR(INDEX($BT$3:$BY$400,MATCH(ROWS(CA$3:CA283),$BY$3:$BY$400,0),4),"")</f>
        <v/>
      </c>
      <c r="CB283" s="48" t="str">
        <f ca="1">IFERROR(INDEX($BT$3:$BY$400,MATCH(ROWS(CB$3:CB283),$BY$3:$BY$400,0),5),"")</f>
        <v/>
      </c>
      <c r="CC283" s="48" t="str">
        <f t="shared" ca="1" si="557"/>
        <v/>
      </c>
      <c r="CM283" s="242" t="str">
        <f t="shared" ca="1" si="566"/>
        <v/>
      </c>
      <c r="CN283" s="243">
        <f t="shared" ca="1" si="567"/>
        <v>0</v>
      </c>
      <c r="CO283" s="48" t="str">
        <f t="shared" ca="1" si="568"/>
        <v/>
      </c>
      <c r="CU283" s="48">
        <f ca="1">IF(SUMIFS(AVERE,DEN_G,AC283,AVERE,"&gt;"&amp;0)+SUMIFS(DARE,DEN_G,AC283,DARE,"&gt;"&amp;0)&gt;0,MAX($CU$2:CU282)+1,0)</f>
        <v>0</v>
      </c>
      <c r="CV283" s="48" t="str">
        <f ca="1">IF(IFERROR(INDEX(PDC,MATCH(ROWS($CV$3:CV283),$CU$3:$CU$400,0),2),"")="CONTO DI RISULTATO ECONOMICO","",IFERROR(INDEX(PDC,MATCH(ROWS($CV$3:CV283),$CU$3:$CU$400,0),2),""))</f>
        <v/>
      </c>
      <c r="CW283" s="48">
        <f ca="1">IFERROR(IF(CV283&lt;&gt;"",MAX($CW$2:CW282)+1,0),0)</f>
        <v>0</v>
      </c>
      <c r="CX283" s="48">
        <f t="shared" ca="1" si="589"/>
        <v>22</v>
      </c>
      <c r="CY283" s="48" t="str">
        <f t="shared" ca="1" si="588"/>
        <v>MASTRO</v>
      </c>
      <c r="CZ283" s="48" t="e">
        <f t="shared" ca="1" si="591"/>
        <v>#N/A</v>
      </c>
      <c r="DA283" s="48" t="str">
        <f t="shared" ca="1" si="596"/>
        <v/>
      </c>
      <c r="DB283" s="48" t="str">
        <f t="shared" ca="1" si="592"/>
        <v/>
      </c>
      <c r="DC283" s="48" t="str">
        <f t="shared" ca="1" si="593"/>
        <v/>
      </c>
      <c r="DD283" s="48" t="str">
        <f t="shared" ca="1" si="594"/>
        <v/>
      </c>
      <c r="DE283" s="48" t="str">
        <f t="shared" ca="1" si="595"/>
        <v/>
      </c>
      <c r="DF283" s="48">
        <f ca="1">IF(AND(CX283=$DF$1,CX283&lt;&gt;""),0,IF(AND(DB283&lt;&gt;"",OR(DB282&lt;&gt;"",DB284&lt;&gt;"")),MAX($DF$2:DF282)+1,0))</f>
        <v>0</v>
      </c>
      <c r="DH283" s="244" t="s">
        <v>884</v>
      </c>
      <c r="DI283" s="48" t="s">
        <v>188</v>
      </c>
      <c r="DJ283" s="48" t="s">
        <v>311</v>
      </c>
      <c r="DK283" s="48" t="s">
        <v>298</v>
      </c>
      <c r="DL283" s="48" t="s">
        <v>320</v>
      </c>
      <c r="DM283" s="48" t="s">
        <v>300</v>
      </c>
      <c r="DN283" s="48">
        <f ca="1">IF(DI283&lt;&gt;"",MAX($DN$2:DN282)+1,0)</f>
        <v>218</v>
      </c>
      <c r="DO283" s="48" t="s">
        <v>709</v>
      </c>
      <c r="DQ283" s="227" t="s">
        <v>212</v>
      </c>
      <c r="DR283" s="48" t="s">
        <v>895</v>
      </c>
      <c r="DS283" s="48" t="s">
        <v>311</v>
      </c>
      <c r="DT283" s="48" t="s">
        <v>275</v>
      </c>
      <c r="DU283" s="48" t="s">
        <v>7</v>
      </c>
      <c r="DV283" s="48" t="s">
        <v>301</v>
      </c>
      <c r="DW283" s="48">
        <f ca="1">IF(DR283&lt;&gt;"",MAX($DW$2:DW282)+1,0)</f>
        <v>171</v>
      </c>
      <c r="DX283" s="48" t="s">
        <v>710</v>
      </c>
      <c r="DY283" s="48" t="str">
        <f t="shared" ca="1" si="558"/>
        <v/>
      </c>
      <c r="EL283" s="48">
        <f t="shared" ca="1" si="559"/>
        <v>0</v>
      </c>
      <c r="EM283" s="48">
        <f ca="1">IF(EL283&gt;=0,0,MAX($EM$2:EM282)+1)</f>
        <v>0</v>
      </c>
      <c r="EN283" s="48" t="str">
        <f t="shared" ca="1" si="569"/>
        <v/>
      </c>
      <c r="EO283" s="48" t="str">
        <f ca="1">IFERROR(INDEX($EM$3:$EN$400,MATCH(ROWS($EO$3:EO283),$EM$3:$EM$400,0),2),"")</f>
        <v/>
      </c>
      <c r="EP283" s="48">
        <f>ROW()</f>
        <v>283</v>
      </c>
      <c r="EQ283" s="48">
        <f t="shared" ca="1" si="560"/>
        <v>0</v>
      </c>
      <c r="ER283" s="48">
        <f ca="1">IF(ISNA(EQ283)=TRUE,MAX($ER$2:ER282)+1,0)</f>
        <v>0</v>
      </c>
      <c r="ES283" s="48" t="str">
        <f t="shared" ca="1" si="570"/>
        <v/>
      </c>
      <c r="ET283" s="48" t="str">
        <f ca="1">IFERROR(INDEX($ER$3:$ES$400,MATCH(ROWS($ET$3:ET283),$ER$3:$ER$400,0),2),"")</f>
        <v/>
      </c>
      <c r="EV283" s="48">
        <f ca="1">IFERROR(INDEX(LIBRO_GIORNALE!$O$11:$P$408,MATCH(ROWS($EV$2:EV282),LIBRO_GIORNALE!$P$11:$P$408,0),1),0)</f>
        <v>0</v>
      </c>
      <c r="EW283" s="48" t="str">
        <f t="shared" ca="1" si="544"/>
        <v>0</v>
      </c>
      <c r="EX283" s="48">
        <f t="shared" ca="1" si="571"/>
        <v>0</v>
      </c>
      <c r="EY283" s="48">
        <f ca="1">IF(EX283&gt;0,MAX($EY$2:EY282)+1,0)</f>
        <v>0</v>
      </c>
      <c r="EZ283" s="48">
        <f ca="1">IFERROR(INDEX($EX$3:$EX$400,MATCH(ROWS($EZ$3:EZ283),$EY$3:$EY$400,0),1),0)</f>
        <v>0</v>
      </c>
      <c r="FA283" s="48">
        <f ca="1">IF(EZ283&gt;0,0,MAX($FA$2:FA282)+1)</f>
        <v>281</v>
      </c>
      <c r="FB283" s="48">
        <f t="shared" ca="1" si="545"/>
        <v>0</v>
      </c>
      <c r="FC283" s="48">
        <f t="shared" ca="1" si="546"/>
        <v>281</v>
      </c>
      <c r="FD283" s="48">
        <f t="shared" ca="1" si="572"/>
        <v>281</v>
      </c>
      <c r="FE283" s="48">
        <f ca="1">IF(FD283=0,0,MAX($FE$2:FE282)+1)</f>
        <v>281</v>
      </c>
      <c r="FF283" s="48">
        <f ca="1">IFERROR(INDEX($FD$3:$FE$400,MATCH(ROWS($FF$3:FF283),$FE$3:$FE$400,0),1),"")</f>
        <v>281</v>
      </c>
      <c r="FG283" s="48">
        <f t="shared" ca="1" si="519"/>
        <v>0</v>
      </c>
      <c r="FH283" s="48">
        <f t="shared" ca="1" si="573"/>
        <v>0</v>
      </c>
      <c r="FI283" s="48">
        <f ca="1">IF(FH283&lt;&gt;0,MAX($FI$2:FI282)+1,0)</f>
        <v>0</v>
      </c>
      <c r="FJ283" s="48" t="str">
        <f ca="1">IFERROR(INDEX($FH$3:$FI$400,MATCH(ROWS($FJ$3:FJ283),$FI$3:$FI$400,0),1),"")</f>
        <v/>
      </c>
      <c r="FK283" s="48">
        <f ca="1">IF(ABS(SUMIFS(DARE,DEN_G,"="&amp;FJ283,DATA,"&lt;="&amp;FINE_AC,DATA,"&gt;="&amp;INIZIO_A_PC)-SUMIFS(AVERE,DEN_G,"="&amp;FJ283,DATA,"&lt;="&amp;FINE_AC,DATA,"&gt;="&amp;INIZIO_A_PC))&gt;0,MAX($FK$2:FK282)+1,0)</f>
        <v>0</v>
      </c>
      <c r="FL283" s="48" t="str">
        <f ca="1">IF(AND(ROW()-2&lt;&gt;1,ROW()-2&lt;=$FK$1),CONCATENATE(" - ",IFERROR(INDEX($FJ$3:$FK$400,MATCH(ROWS($FL$3:FL283),$FK$3:$FK$400,0),1),"")),IFERROR(INDEX($FJ$3:$FK$400,MATCH(ROWS($FL$3:FL283),$FK$3:$FK$400,0),1),""))</f>
        <v/>
      </c>
      <c r="FM283" s="48">
        <f ca="1">IF(OR(B283="IVA ns/credito",B283="IVA NS/DEBITO",B283="IVA C/ACCONTO",B283="IMPOSTE C/ACCONTO",B283="CREDITI PER RITENUTE SUBITE",B283="CREDITI D'IMPOSTA"),MAX($FM$2:FM282)+1,0)</f>
        <v>0</v>
      </c>
      <c r="FN283" s="48" t="str">
        <f t="shared" ca="1" si="574"/>
        <v/>
      </c>
      <c r="FO283" s="48" t="str">
        <f ca="1">IFERROR(INDEX($FM$3:$FN$400,MATCH(ROWS($FO$3:FO283),$FM$3:$FM$400,0),2),"")</f>
        <v/>
      </c>
      <c r="FP283" s="48">
        <f ca="1">IF(ABS(SUMIFS(DARE,DEN_G,"="&amp;FO283,DATA,"&lt;="&amp;FINE_AC,DATA,"&gt;="&amp;INIZIO_A_PC)-SUMIFS(AVERE,DEN_G,"="&amp;FO283,DATA,"&lt;="&amp;FINE_AC,DATA,"&gt;="&amp;INIZIO_A_PC))&gt;0,MAX($FP$2:FP282)+1,0)</f>
        <v>0</v>
      </c>
      <c r="FQ283" s="48" t="str">
        <f ca="1">IF(AND(ROW()-2&lt;&gt;1,ROW()-2&lt;=$FP$1),CONCATENATE(" - ",IFERROR(INDEX($FO$3:$FP$400,MATCH(ROWS($FQ$3:FQ283),$FP$3:$FP$400,0),1),"")),IFERROR(INDEX($FO$3:$FP$400,MATCH(ROWS($FQ$3:FQ283),$FP$3:$FP$400,0),1),""))</f>
        <v/>
      </c>
    </row>
    <row r="284" spans="1:173" x14ac:dyDescent="0.3">
      <c r="A284" s="48" t="str">
        <f ca="1">IFERROR(IF($A$1=2,INDEX($DH$3:$DN$401,MATCH(ROWS(A$3:A284),$DN$3:$DN$401,0),COLUMN()),IF($A$1=1,INDEX($DQ$3:$DW$401,MATCH(ROWS(A$3:A284),$DW$3:$DW$401,0),COLUMN()),"")),"")</f>
        <v>39.01</v>
      </c>
      <c r="B284" s="48" t="str">
        <f ca="1">IFERROR(IF($A$1=2,INDEX($DH$3:$DN$401,MATCH(ROWS(B$3:B284),$DN$3:$DN$401,0),COLUMN()),IF($A$1=1,INDEX($DQ$3:$DW$400,MATCH(ROWS(B$3:B284),$DW$3:$DW$401,0),COLUMN()),"")),"")</f>
        <v>ARROTONDAMENTI PASSIVI</v>
      </c>
      <c r="C284" s="48" t="str">
        <f ca="1">IFERROR(IF($A$1=2,INDEX($DH$3:$DN$401,MATCH(ROWS(C$3:C284),$DN$3:$DN$401,0),COLUMN()),IF($A$1=1,INDEX($DQ$3:$DW$401,MATCH(ROWS(C$3:C284),$DW$3:$DW$401,0),COLUMN()),"")),"")</f>
        <v>E</v>
      </c>
      <c r="D284" s="48" t="str">
        <f ca="1">IFERROR(IF($A$1=2,INDEX($DH$3:$DN$401,MATCH(ROWS(D$3:D284),$DN$3:$DN$401,0),COLUMN()),IF($A$1=1,INDEX($DQ$3:$DW$401,MATCH(ROWS(D$3:D284),$DW$3:$DW$401,0),COLUMN()),"")),"")</f>
        <v>D</v>
      </c>
      <c r="E284" s="48" t="str">
        <f ca="1">IFERROR(IF($A$1=2,INDEX($DH$3:$DN$401,MATCH(ROWS(E$3:E284),$DN$3:$DN$401,0),COLUMN()),IF($A$1=1,INDEX($DQ$3:$DW$401,MATCH(ROWS(E$3:E284),$DW$3:$DW$401,0),COLUMN()),"")),"")</f>
        <v>COSTI D'ESERCIZIO</v>
      </c>
      <c r="F284" s="48" t="str">
        <f ca="1">IFERROR(IF($A$1=2,INDEX($DH$3:$DN$401,MATCH(ROWS(F$3:F284),$DN$3:$DN$401,0),COLUMN()),IF($A$1=1,INDEX($DQ$3:$DX$401,MATCH(ROWS(F$3:F284),$DW$3:$DW$401,0),COLUMN()),"")),"")</f>
        <v>SE DARE</v>
      </c>
      <c r="G284" s="48" t="str">
        <f t="shared" ca="1" si="561"/>
        <v>SE</v>
      </c>
      <c r="H284" s="48" t="str">
        <f ca="1">IFERROR(IF($A$1=2,INDEX($DH$3:$DO$400,MATCH(ROWS(H$3:H284),$DN$3:$DN$400,0),COLUMN()),IF($A$1=1,INDEX($DQ$3:$DX$400,MATCH(ROWS(H$3:H284),$DW$3:$DW$400,0),COLUMN()),"")),"")</f>
        <v>eb14</v>
      </c>
      <c r="M284" s="48">
        <f ca="1">IFERROR(IF(IF(MID($A284,3,3)=".00",MID(A284,1,2),"")&lt;&gt;"",MAX($M$2:M283)+1,0),"")</f>
        <v>0</v>
      </c>
      <c r="N284" s="48" t="str">
        <f t="shared" ca="1" si="562"/>
        <v/>
      </c>
      <c r="O284" s="48" t="str">
        <f ca="1">IF(IFERROR(INDEX($N$3:$O$300,MATCH(ROWS($O$3:O284),$M$3:$M$300,0),1),"")&lt;&gt;"",CONCATENATE(INDEX($N$3:$O$300,MATCH(ROWS($O$3:O284),$M$3:$M$300,0),1),".00"),"")</f>
        <v/>
      </c>
      <c r="P284" s="48" t="str">
        <f t="shared" ca="1" si="563"/>
        <v/>
      </c>
      <c r="Q284" s="48">
        <f ca="1">IF(M284&gt;=1,0,MAX($Q$2:Q283)+1)</f>
        <v>251</v>
      </c>
      <c r="U284" s="48" t="str">
        <f ca="1">IFERROR(INDEX(PDC,MATCH(ROWS(U$3:U284),$V$3:$V$400,0),2),"")</f>
        <v>ONERI FINANZIARI DIVERSI</v>
      </c>
      <c r="V284" s="48">
        <f ca="1">IF(AND($T$1="VISUALIZZA TUTTI I CONTI",AA284&lt;&gt;""),MAX($V$2:V283)+1,IF(AND($U$2=2,AI284=$T$1),MAX($V$2:V283)+1,IF(AND($U$2=1,$T$1=AF284),MAX($V$2:V283)+1,0)))</f>
        <v>282</v>
      </c>
      <c r="AA284" s="48" t="str">
        <f t="shared" ca="1" si="564"/>
        <v>41.00</v>
      </c>
      <c r="AB284" s="48" t="str">
        <f ca="1">IFERROR(INDEX($A$3:$G$400,MATCH(ROWS(AB$3:AB284),$Q$3:$Q$400,0),1),"")</f>
        <v>41.50</v>
      </c>
      <c r="AC284" s="48" t="str">
        <f ca="1">IFERROR(INDEX($A$3:$G$400,MATCH(ROWS($AC$3:AC284),$Q$3:$Q$400,0),2),"")</f>
        <v>ONERI FINANZIARI DIVERSI</v>
      </c>
      <c r="AD284" s="48" t="str">
        <f ca="1">IFERROR(INDEX($A$3:$G$400,MATCH(ROWS(AD$3:AD284),$Q$3:$Q$400,0),3),"")</f>
        <v>E</v>
      </c>
      <c r="AE284" s="48" t="str">
        <f ca="1">IFERROR(INDEX($A$3:$G$400,MATCH(ROWS(AE$3:AE284),$Q$3:$Q$400,0),4),"")</f>
        <v>D</v>
      </c>
      <c r="AF284" s="48" t="str">
        <f ca="1">IFERROR(INDEX($A$3:$G$400,MATCH(ROWS(AF$3:AF284),$Q$3:$Q$400,0),5),"")</f>
        <v>COSTI D'ESERCIZIO</v>
      </c>
      <c r="AG284" s="48" t="str">
        <f ca="1">IFERROR(INDEX($A$3:$G$400,MATCH(ROWS(AG$3:AG284),$Q$3:$Q$400,0),6),"")</f>
        <v>SE DARE</v>
      </c>
      <c r="AH284" s="48" t="str">
        <f ca="1">IFERROR(INDEX($A$3:$G$400,MATCH(ROWS(AH$3:AH284),$Q$3:$Q$400,0),7),"")</f>
        <v>SE</v>
      </c>
      <c r="AI284" s="48" t="str">
        <f t="shared" ca="1" si="565"/>
        <v>ONERI FINANZIARI</v>
      </c>
      <c r="AJ284" s="48" t="str">
        <f ca="1">IFERROR(INDEX($A$3:$H$400,MATCH(ROWS(AJ$3:AJ284),$Q$3:$Q$400,0),8),"")</f>
        <v>ec17</v>
      </c>
      <c r="AK284" s="48">
        <f t="shared" ca="1" si="548"/>
        <v>0</v>
      </c>
      <c r="AL284" s="48">
        <f t="shared" ca="1" si="576"/>
        <v>0</v>
      </c>
      <c r="AM284" s="48">
        <f t="shared" ca="1" si="516"/>
        <v>0</v>
      </c>
      <c r="AN284" s="48">
        <f t="shared" ca="1" si="517"/>
        <v>0</v>
      </c>
      <c r="AO284" s="48">
        <f t="shared" ca="1" si="518"/>
        <v>0</v>
      </c>
      <c r="AP284" s="48">
        <f t="shared" ca="1" si="518"/>
        <v>0</v>
      </c>
      <c r="AZ284" s="48" t="str">
        <f t="shared" ca="1" si="584"/>
        <v/>
      </c>
      <c r="BA284" s="48">
        <f t="shared" ca="1" si="520"/>
        <v>0</v>
      </c>
      <c r="BB284" s="48">
        <f t="shared" ca="1" si="521"/>
        <v>0</v>
      </c>
      <c r="BC284" s="48">
        <f t="shared" ca="1" si="522"/>
        <v>0</v>
      </c>
      <c r="BD284" s="48">
        <f t="shared" ca="1" si="523"/>
        <v>0</v>
      </c>
      <c r="BE284" s="48">
        <f t="shared" ca="1" si="524"/>
        <v>0</v>
      </c>
      <c r="BF284" s="48">
        <f t="shared" si="585"/>
        <v>84</v>
      </c>
      <c r="BG284" s="48">
        <f ca="1">IF(IF(AND(OR(INDEX(PDC,MATCH($AC284,DEN_PDC,0),6)="SP DARE",INDEX(PDC,MATCH($AC284,DEN_PDC,0),6)="SP DARE/AVERE"),SUMIFS(DARE,DEN_G,$AC284)&gt;=SUMIFS(AVERE,DEN_G,$AC284)),SUMIFS(DARE,DEN_G,$AC284)-SUMIFS(AVERE,DEN_G,$AC284),0)&gt;0,MAX($BG$2:BG283)+1,0)</f>
        <v>0</v>
      </c>
      <c r="BH284" s="48">
        <f ca="1">IF(IF(AND(OR(INDEX(PDC,MATCH($AC284,DEN_PDC,0),6)="SP AVERE",INDEX(PDC,MATCH($AC284,DEN_PDC,0),6)="SP DARE/AVERE"),SUMIFS(AVERE,DEN_G,$AC284)&gt;=SUMIFS(DARE,DEN_G,$AC284)),SUMIFS(AVERE,DEN_G,$AC284)-SUMIFS(DARE,DEN_G,$AC284),0)&gt;0,MAX(BH$2:BH283)+1,0)</f>
        <v>0</v>
      </c>
      <c r="BI284" s="48">
        <f ca="1">IF(IF(AND(OR(INDEX(PDC,MATCH($AC284,DEN_PDC,0),6)="SE DARE",INDEX(PDC,MATCH($AC284,DEN_PDC,0),6)="SE DARE/AVERE"),SUMIFS(DARE,DEN_G,$AC284)&gt;=SUMIFS(AVERE,DEN_G,$AC284)),SUMIFS(DARE,DEN_G,$AC284)-SUMIFS(AVERE,DEN_G,$AC284),0)&gt;0,MAX(BI$2:BI283)+1,0)</f>
        <v>0</v>
      </c>
      <c r="BJ284" s="48">
        <f ca="1">IF(IF(AND(OR(INDEX(PDC,MATCH($AC284,DEN_PDC,0),6)="SE AVERE",INDEX(PDC,MATCH($AC284,DEN_PDC,0),6)="SE DARE/AVERE"),SUMIFS(AVERE,DEN_G,$AC284)&gt;=SUMIFS(DARE,DEN_G,$AC284)),SUMIFS(AVERE,DEN_G,$AC284)-SUMIFS(DARE,DEN_G,$AC284),0)&gt;0,MAX(BJ$2:BJ283)+1,0)</f>
        <v>0</v>
      </c>
      <c r="BK284" s="48" t="str">
        <f ca="1">IF(AND(AND($DY$2=0,$DY$1=0),$I$1=2,ROW()&gt;$BG$1+2,ROW()&lt;=$BG$1+4),"………………..",IF(AND(OR($DY$2&gt;0,$DY$1&gt;0),$I$1=2,ROW()&gt;$BG$1+2,ROW()&lt;=$BG$1+4),"………………..",IFERROR(INDEX($AC$3:$AC$398,MATCH(ROWS(BK$3:BK284),BG$3:BG$398,0),1),"")))</f>
        <v/>
      </c>
      <c r="BL284" s="48">
        <f t="shared" ca="1" si="549"/>
        <v>0</v>
      </c>
      <c r="BM284" s="48" t="str">
        <f ca="1">IF(AND(OR($DY$2=0,$DY$1=0),$I$1=2,ROW()&gt;$BH$1+2,ROW()&lt;=$BH$1+4),"………………..",IF(AND(OR($DY$2&gt;0,$DY$1&gt;0),$I$1=2,ROW()&gt;$BH$1+2,ROW()&lt;=$BH$1+4),"………………..",IFERROR(INDEX($AC$3:$AC$400,MATCH(ROWS(BM$3:BM284),BH$3:BH$400,0),1),"")))</f>
        <v/>
      </c>
      <c r="BN284" s="48">
        <f t="shared" ca="1" si="550"/>
        <v>0</v>
      </c>
      <c r="BO284" s="48" t="str">
        <f ca="1">IF(AND(OR($DY$2=0,$DY$1=0),$I$1=2,ROW()&gt;$BI$1+2,ROW()&lt;=$BI$1+4),"………………..",IF(AND(OR($DY$2&gt;0,$DY$1&gt;0),$I$1=2,ROW()&gt;$BI$1+2,ROW()&lt;=$BI$1+4),"………………..",IFERROR(INDEX($AC$3:$AC$400,MATCH(ROWS(BO$3:BO284),BI$3:BI$400,0),1),"")))</f>
        <v/>
      </c>
      <c r="BP284" s="48">
        <f t="shared" ca="1" si="551"/>
        <v>0</v>
      </c>
      <c r="BQ284" s="48" t="str">
        <f ca="1">IF(AND(OR($DY$2=0,$DY$1=0),$I$1=2,ROW()&gt;$BJ$1+2,ROW()&lt;=$BJ$1+4),"………………..",IF(AND(OR($DY$2&gt;0,$DY$1&gt;0),$I$1=2,ROW()&gt;$BJ$1+2,ROW()&lt;=$BJ$1+4),"………………..",IFERROR(INDEX($AC$3:$AC$400,MATCH(ROWS(BQ$3:BQ284),BJ$3:BJ$400,0),1),"")))</f>
        <v/>
      </c>
      <c r="BR284" s="48">
        <f t="shared" ca="1" si="552"/>
        <v>0</v>
      </c>
      <c r="BS284" s="48">
        <f ca="1">IF(IF(AND(OR(INDEX(PDC,MATCH($AC284,DEN_PDC,0),4)="D",INDEX(PDC,MATCH($AC284,DEN_PDC,0),4)="D/A"),SUMIFS(DARE,DEN_G,$AC284)&gt;=SUMIFS(AVERE,DEN_G,$AC284)),SUMIFS(DARE,DEN_G,$AC284),IF(AND(OR(INDEX(PDC,MATCH($AC284,DEN_PDC,0),4)="A",INDEX(PDC,MATCH($AC284,DEN_PDC,0),4)="D/A"),SUMIFS(AVERE,DEN_G,$AC284)&gt;=SUMIFS(DARE,DEN_G,$AC284)),SUMIFS(AVERE,DEN_G,$AC284),))&gt;0,MAX($BS$2:BS283)+1,0)</f>
        <v>0</v>
      </c>
      <c r="BT284" s="48" t="str">
        <f ca="1">IF($CO$1=0,"",IF(AND($I$1=2,ROW()&gt;$BR$1,ROW()&lt;=$BS$1)," …………….",IF(AND($E$1=1,$BX$1=1,$I$1=2,ROW()=$BQ$1),"TOTALI",IFERROR(INDEX(PDC,MATCH(ROWS(BT$3:BT284),BS$3:BS681,0),2),""))))</f>
        <v/>
      </c>
      <c r="BU284" s="48">
        <f t="shared" ca="1" si="553"/>
        <v>0</v>
      </c>
      <c r="BV284" s="48">
        <f t="shared" ca="1" si="554"/>
        <v>0</v>
      </c>
      <c r="BW284" s="48">
        <f t="shared" ca="1" si="555"/>
        <v>0</v>
      </c>
      <c r="BX284" s="48">
        <f t="shared" ca="1" si="556"/>
        <v>0</v>
      </c>
      <c r="BY284" s="48">
        <f ca="1">IF(OR(BW284&gt;0,BX284&gt;0),MAX($BY$2:BY283)+1,0)</f>
        <v>0</v>
      </c>
      <c r="BZ284" s="48" t="str">
        <f ca="1">IFERROR(INDEX($BT$3:$BY$400,MATCH(ROWS(BZ$3:BZ284),$BY$3:$BY$400,0),1),"")</f>
        <v/>
      </c>
      <c r="CA284" s="48" t="str">
        <f ca="1">IFERROR(INDEX($BT$3:$BY$400,MATCH(ROWS(CA$3:CA284),$BY$3:$BY$400,0),4),"")</f>
        <v/>
      </c>
      <c r="CB284" s="48" t="str">
        <f ca="1">IFERROR(INDEX($BT$3:$BY$400,MATCH(ROWS(CB$3:CB284),$BY$3:$BY$400,0),5),"")</f>
        <v/>
      </c>
      <c r="CC284" s="48" t="str">
        <f t="shared" ca="1" si="557"/>
        <v/>
      </c>
      <c r="CM284" s="242" t="str">
        <f t="shared" ca="1" si="566"/>
        <v/>
      </c>
      <c r="CN284" s="243">
        <f t="shared" ca="1" si="567"/>
        <v>0</v>
      </c>
      <c r="CO284" s="48" t="str">
        <f t="shared" ca="1" si="568"/>
        <v/>
      </c>
      <c r="CU284" s="48">
        <f ca="1">IF(SUMIFS(AVERE,DEN_G,AC284,AVERE,"&gt;"&amp;0)+SUMIFS(DARE,DEN_G,AC284,DARE,"&gt;"&amp;0)&gt;0,MAX($CU$2:CU283)+1,0)</f>
        <v>0</v>
      </c>
      <c r="CV284" s="48" t="str">
        <f ca="1">IF(IFERROR(INDEX(PDC,MATCH(ROWS($CV$3:CV284),$CU$3:$CU$400,0),2),"")="CONTO DI RISULTATO ECONOMICO","",IFERROR(INDEX(PDC,MATCH(ROWS($CV$3:CV284),$CU$3:$CU$400,0),2),""))</f>
        <v/>
      </c>
      <c r="CW284" s="48">
        <f ca="1">IFERROR(IF(CV284&lt;&gt;"",MAX($CW$2:CW283)+1,0),0)</f>
        <v>0</v>
      </c>
      <c r="CX284" s="48">
        <f t="shared" ca="1" si="589"/>
        <v>22</v>
      </c>
      <c r="CY284" s="48" t="str">
        <f t="shared" ca="1" si="588"/>
        <v>MASTRO</v>
      </c>
      <c r="CZ284" s="48" t="e">
        <f t="shared" ca="1" si="591"/>
        <v>#N/A</v>
      </c>
      <c r="DA284" s="48" t="str">
        <f t="shared" ca="1" si="596"/>
        <v/>
      </c>
      <c r="DB284" s="48" t="str">
        <f t="shared" ca="1" si="592"/>
        <v/>
      </c>
      <c r="DC284" s="48" t="str">
        <f t="shared" ca="1" si="593"/>
        <v/>
      </c>
      <c r="DD284" s="48" t="str">
        <f t="shared" ca="1" si="594"/>
        <v/>
      </c>
      <c r="DE284" s="48" t="str">
        <f t="shared" ca="1" si="595"/>
        <v/>
      </c>
      <c r="DF284" s="48">
        <f ca="1">IF(AND(CX284=$DF$1,CX284&lt;&gt;""),0,IF(AND(DB284&lt;&gt;"",OR(DB283&lt;&gt;"",DB285&lt;&gt;"")),MAX($DF$2:DF283)+1,0))</f>
        <v>0</v>
      </c>
      <c r="DH284" s="244" t="s">
        <v>887</v>
      </c>
      <c r="DI284" s="48" t="s">
        <v>189</v>
      </c>
      <c r="DJ284" s="48" t="s">
        <v>311</v>
      </c>
      <c r="DK284" s="48" t="s">
        <v>298</v>
      </c>
      <c r="DL284" s="48" t="s">
        <v>320</v>
      </c>
      <c r="DM284" s="48" t="s">
        <v>300</v>
      </c>
      <c r="DN284" s="48">
        <f ca="1">IF(DI284&lt;&gt;"",MAX($DN$2:DN283)+1,0)</f>
        <v>219</v>
      </c>
      <c r="DO284" s="48" t="s">
        <v>709</v>
      </c>
      <c r="DQ284" s="227" t="s">
        <v>213</v>
      </c>
      <c r="DR284" s="48" t="s">
        <v>201</v>
      </c>
      <c r="DS284" s="48" t="s">
        <v>311</v>
      </c>
      <c r="DT284" s="48" t="s">
        <v>275</v>
      </c>
      <c r="DU284" s="48" t="s">
        <v>7</v>
      </c>
      <c r="DV284" s="48" t="s">
        <v>301</v>
      </c>
      <c r="DW284" s="48">
        <f ca="1">IF(DR284&lt;&gt;"",MAX($DW$2:DW283)+1,0)</f>
        <v>172</v>
      </c>
      <c r="DX284" s="48" t="s">
        <v>710</v>
      </c>
      <c r="DY284" s="48" t="str">
        <f t="shared" ca="1" si="558"/>
        <v/>
      </c>
      <c r="EL284" s="48">
        <f t="shared" ca="1" si="559"/>
        <v>0</v>
      </c>
      <c r="EM284" s="48">
        <f ca="1">IF(EL284&gt;=0,0,MAX($EM$2:EM283)+1)</f>
        <v>0</v>
      </c>
      <c r="EN284" s="48" t="str">
        <f t="shared" ca="1" si="569"/>
        <v/>
      </c>
      <c r="EO284" s="48" t="str">
        <f ca="1">IFERROR(INDEX($EM$3:$EN$400,MATCH(ROWS($EO$3:EO284),$EM$3:$EM$400,0),2),"")</f>
        <v/>
      </c>
      <c r="EP284" s="48">
        <f>ROW()</f>
        <v>284</v>
      </c>
      <c r="EQ284" s="48">
        <f t="shared" ca="1" si="560"/>
        <v>0</v>
      </c>
      <c r="ER284" s="48">
        <f ca="1">IF(ISNA(EQ284)=TRUE,MAX($ER$2:ER283)+1,0)</f>
        <v>0</v>
      </c>
      <c r="ES284" s="48" t="str">
        <f t="shared" ca="1" si="570"/>
        <v/>
      </c>
      <c r="ET284" s="48" t="str">
        <f ca="1">IFERROR(INDEX($ER$3:$ES$400,MATCH(ROWS($ET$3:ET284),$ER$3:$ER$400,0),2),"")</f>
        <v/>
      </c>
      <c r="EV284" s="48">
        <f ca="1">IFERROR(INDEX(LIBRO_GIORNALE!$O$11:$P$408,MATCH(ROWS($EV$2:EV283),LIBRO_GIORNALE!$P$11:$P$408,0),1),0)</f>
        <v>0</v>
      </c>
      <c r="EW284" s="48" t="str">
        <f t="shared" ca="1" si="544"/>
        <v>0</v>
      </c>
      <c r="EX284" s="48">
        <f t="shared" ca="1" si="571"/>
        <v>0</v>
      </c>
      <c r="EY284" s="48">
        <f ca="1">IF(EX284&gt;0,MAX($EY$2:EY283)+1,0)</f>
        <v>0</v>
      </c>
      <c r="EZ284" s="48">
        <f ca="1">IFERROR(INDEX($EX$3:$EX$400,MATCH(ROWS($EZ$3:EZ284),$EY$3:$EY$400,0),1),0)</f>
        <v>0</v>
      </c>
      <c r="FA284" s="48">
        <f ca="1">IF(EZ284&gt;0,0,MAX($FA$2:FA283)+1)</f>
        <v>282</v>
      </c>
      <c r="FB284" s="48">
        <f t="shared" ca="1" si="545"/>
        <v>0</v>
      </c>
      <c r="FC284" s="48">
        <f t="shared" ca="1" si="546"/>
        <v>282</v>
      </c>
      <c r="FD284" s="48">
        <f t="shared" ca="1" si="572"/>
        <v>282</v>
      </c>
      <c r="FE284" s="48">
        <f ca="1">IF(FD284=0,0,MAX($FE$2:FE283)+1)</f>
        <v>282</v>
      </c>
      <c r="FF284" s="48">
        <f ca="1">IFERROR(INDEX($FD$3:$FE$400,MATCH(ROWS($FF$3:FF284),$FE$3:$FE$400,0),1),"")</f>
        <v>282</v>
      </c>
      <c r="FG284" s="48">
        <f t="shared" ca="1" si="519"/>
        <v>0</v>
      </c>
      <c r="FH284" s="48">
        <f t="shared" ca="1" si="573"/>
        <v>0</v>
      </c>
      <c r="FI284" s="48">
        <f ca="1">IF(FH284&lt;&gt;0,MAX($FI$2:FI283)+1,0)</f>
        <v>0</v>
      </c>
      <c r="FJ284" s="48" t="str">
        <f ca="1">IFERROR(INDEX($FH$3:$FI$400,MATCH(ROWS($FJ$3:FJ284),$FI$3:$FI$400,0),1),"")</f>
        <v/>
      </c>
      <c r="FK284" s="48">
        <f ca="1">IF(ABS(SUMIFS(DARE,DEN_G,"="&amp;FJ284,DATA,"&lt;="&amp;FINE_AC,DATA,"&gt;="&amp;INIZIO_A_PC)-SUMIFS(AVERE,DEN_G,"="&amp;FJ284,DATA,"&lt;="&amp;FINE_AC,DATA,"&gt;="&amp;INIZIO_A_PC))&gt;0,MAX($FK$2:FK283)+1,0)</f>
        <v>0</v>
      </c>
      <c r="FL284" s="48" t="str">
        <f ca="1">IF(AND(ROW()-2&lt;&gt;1,ROW()-2&lt;=$FK$1),CONCATENATE(" - ",IFERROR(INDEX($FJ$3:$FK$400,MATCH(ROWS($FL$3:FL284),$FK$3:$FK$400,0),1),"")),IFERROR(INDEX($FJ$3:$FK$400,MATCH(ROWS($FL$3:FL284),$FK$3:$FK$400,0),1),""))</f>
        <v/>
      </c>
      <c r="FM284" s="48">
        <f ca="1">IF(OR(B284="IVA ns/credito",B284="IVA NS/DEBITO",B284="IVA C/ACCONTO",B284="IMPOSTE C/ACCONTO",B284="CREDITI PER RITENUTE SUBITE",B284="CREDITI D'IMPOSTA"),MAX($FM$2:FM283)+1,0)</f>
        <v>0</v>
      </c>
      <c r="FN284" s="48" t="str">
        <f t="shared" ca="1" si="574"/>
        <v/>
      </c>
      <c r="FO284" s="48" t="str">
        <f ca="1">IFERROR(INDEX($FM$3:$FN$400,MATCH(ROWS($FO$3:FO284),$FM$3:$FM$400,0),2),"")</f>
        <v/>
      </c>
      <c r="FP284" s="48">
        <f ca="1">IF(ABS(SUMIFS(DARE,DEN_G,"="&amp;FO284,DATA,"&lt;="&amp;FINE_AC,DATA,"&gt;="&amp;INIZIO_A_PC)-SUMIFS(AVERE,DEN_G,"="&amp;FO284,DATA,"&lt;="&amp;FINE_AC,DATA,"&gt;="&amp;INIZIO_A_PC))&gt;0,MAX($FP$2:FP283)+1,0)</f>
        <v>0</v>
      </c>
      <c r="FQ284" s="48" t="str">
        <f ca="1">IF(AND(ROW()-2&lt;&gt;1,ROW()-2&lt;=$FP$1),CONCATENATE(" - ",IFERROR(INDEX($FO$3:$FP$400,MATCH(ROWS($FQ$3:FQ284),$FP$3:$FP$400,0),1),"")),IFERROR(INDEX($FO$3:$FP$400,MATCH(ROWS($FQ$3:FQ284),$FP$3:$FP$400,0),1),""))</f>
        <v/>
      </c>
    </row>
    <row r="285" spans="1:173" x14ac:dyDescent="0.3">
      <c r="A285" s="48" t="str">
        <f ca="1">IFERROR(IF($A$1=2,INDEX($DH$3:$DN$401,MATCH(ROWS(A$3:A285),$DN$3:$DN$401,0),COLUMN()),IF($A$1=1,INDEX($DQ$3:$DW$401,MATCH(ROWS(A$3:A285),$DW$3:$DW$401,0),COLUMN()),"")),"")</f>
        <v>39.02</v>
      </c>
      <c r="B285" s="48" t="str">
        <f ca="1">IFERROR(IF($A$1=2,INDEX($DH$3:$DN$401,MATCH(ROWS(B$3:B285),$DN$3:$DN$401,0),COLUMN()),IF($A$1=1,INDEX($DQ$3:$DW$400,MATCH(ROWS(B$3:B285),$DW$3:$DW$401,0),COLUMN()),"")),"")</f>
        <v>ONERI FISCALI DIVERSI</v>
      </c>
      <c r="C285" s="48" t="str">
        <f ca="1">IFERROR(IF($A$1=2,INDEX($DH$3:$DN$401,MATCH(ROWS(C$3:C285),$DN$3:$DN$401,0),COLUMN()),IF($A$1=1,INDEX($DQ$3:$DW$401,MATCH(ROWS(C$3:C285),$DW$3:$DW$401,0),COLUMN()),"")),"")</f>
        <v>E</v>
      </c>
      <c r="D285" s="48" t="str">
        <f ca="1">IFERROR(IF($A$1=2,INDEX($DH$3:$DN$401,MATCH(ROWS(D$3:D285),$DN$3:$DN$401,0),COLUMN()),IF($A$1=1,INDEX($DQ$3:$DW$401,MATCH(ROWS(D$3:D285),$DW$3:$DW$401,0),COLUMN()),"")),"")</f>
        <v>D</v>
      </c>
      <c r="E285" s="48" t="str">
        <f ca="1">IFERROR(IF($A$1=2,INDEX($DH$3:$DN$401,MATCH(ROWS(E$3:E285),$DN$3:$DN$401,0),COLUMN()),IF($A$1=1,INDEX($DQ$3:$DW$401,MATCH(ROWS(E$3:E285),$DW$3:$DW$401,0),COLUMN()),"")),"")</f>
        <v>COSTI D'ESERCIZIO</v>
      </c>
      <c r="F285" s="48" t="str">
        <f ca="1">IFERROR(IF($A$1=2,INDEX($DH$3:$DN$401,MATCH(ROWS(F$3:F285),$DN$3:$DN$401,0),COLUMN()),IF($A$1=1,INDEX($DQ$3:$DX$401,MATCH(ROWS(F$3:F285),$DW$3:$DW$401,0),COLUMN()),"")),"")</f>
        <v>SE DARE</v>
      </c>
      <c r="G285" s="48" t="str">
        <f t="shared" ca="1" si="561"/>
        <v>SE</v>
      </c>
      <c r="H285" s="48" t="str">
        <f ca="1">IFERROR(IF($A$1=2,INDEX($DH$3:$DO$400,MATCH(ROWS(H$3:H285),$DN$3:$DN$400,0),COLUMN()),IF($A$1=1,INDEX($DQ$3:$DX$400,MATCH(ROWS(H$3:H285),$DW$3:$DW$400,0),COLUMN()),"")),"")</f>
        <v>eb14</v>
      </c>
      <c r="M285" s="48">
        <f ca="1">IFERROR(IF(IF(MID($A285,3,3)=".00",MID(A285,1,2),"")&lt;&gt;"",MAX($M$2:M284)+1,0),"")</f>
        <v>0</v>
      </c>
      <c r="N285" s="48" t="str">
        <f t="shared" ca="1" si="562"/>
        <v/>
      </c>
      <c r="O285" s="48" t="str">
        <f ca="1">IF(IFERROR(INDEX($N$3:$O$300,MATCH(ROWS($O$3:O285),$M$3:$M$300,0),1),"")&lt;&gt;"",CONCATENATE(INDEX($N$3:$O$300,MATCH(ROWS($O$3:O285),$M$3:$M$300,0),1),".00"),"")</f>
        <v/>
      </c>
      <c r="P285" s="48" t="str">
        <f t="shared" ca="1" si="563"/>
        <v/>
      </c>
      <c r="Q285" s="48">
        <f ca="1">IF(M285&gt;=1,0,MAX($Q$2:Q284)+1)</f>
        <v>252</v>
      </c>
      <c r="U285" s="48" t="str">
        <f ca="1">IFERROR(INDEX(PDC,MATCH(ROWS(U$3:U285),$V$3:$V$400,0),2),"")</f>
        <v>CONTRIBUTI IN C/INTERESSI</v>
      </c>
      <c r="V285" s="48">
        <f ca="1">IF(AND($T$1="VISUALIZZA TUTTI I CONTI",AA285&lt;&gt;""),MAX($V$2:V284)+1,IF(AND($U$2=2,AI285=$T$1),MAX($V$2:V284)+1,IF(AND($U$2=1,$T$1=AF285),MAX($V$2:V284)+1,0)))</f>
        <v>283</v>
      </c>
      <c r="AA285" s="48" t="str">
        <f t="shared" ca="1" si="564"/>
        <v>41.00</v>
      </c>
      <c r="AB285" s="48" t="str">
        <f ca="1">IFERROR(INDEX($A$3:$G$400,MATCH(ROWS(AB$3:AB285),$Q$3:$Q$400,0),1),"")</f>
        <v>41.60</v>
      </c>
      <c r="AC285" s="48" t="str">
        <f ca="1">IFERROR(INDEX($A$3:$G$400,MATCH(ROWS($AC$3:AC285),$Q$3:$Q$400,0),2),"")</f>
        <v>CONTRIBUTI IN C/INTERESSI</v>
      </c>
      <c r="AD285" s="48" t="str">
        <f ca="1">IFERROR(INDEX($A$3:$G$400,MATCH(ROWS(AD$3:AD285),$Q$3:$Q$400,0),3),"")</f>
        <v>E</v>
      </c>
      <c r="AE285" s="48" t="str">
        <f ca="1">IFERROR(INDEX($A$3:$G$400,MATCH(ROWS(AE$3:AE285),$Q$3:$Q$400,0),4),"")</f>
        <v>A</v>
      </c>
      <c r="AF285" s="48" t="str">
        <f ca="1">IFERROR(INDEX($A$3:$G$400,MATCH(ROWS(AF$3:AF285),$Q$3:$Q$400,0),5),"")</f>
        <v>RETTIFICHE COSTI D'ESERCIZIO</v>
      </c>
      <c r="AG285" s="48" t="str">
        <f ca="1">IFERROR(INDEX($A$3:$G$400,MATCH(ROWS(AG$3:AG285),$Q$3:$Q$400,0),6),"")</f>
        <v>SE AVERE</v>
      </c>
      <c r="AH285" s="48" t="str">
        <f ca="1">IFERROR(INDEX($A$3:$G$400,MATCH(ROWS(AH$3:AH285),$Q$3:$Q$400,0),7),"")</f>
        <v>SE</v>
      </c>
      <c r="AI285" s="48" t="str">
        <f t="shared" ca="1" si="565"/>
        <v>ONERI FINANZIARI</v>
      </c>
      <c r="AJ285" s="48" t="str">
        <f ca="1">IFERROR(INDEX($A$3:$H$400,MATCH(ROWS(AJ$3:AJ285),$Q$3:$Q$400,0),8),"")</f>
        <v>ec17</v>
      </c>
      <c r="AK285" s="48">
        <f t="shared" ca="1" si="548"/>
        <v>0</v>
      </c>
      <c r="AL285" s="48">
        <f t="shared" ca="1" si="576"/>
        <v>0</v>
      </c>
      <c r="AM285" s="48">
        <f t="shared" ca="1" si="516"/>
        <v>0</v>
      </c>
      <c r="AN285" s="48">
        <f t="shared" ca="1" si="517"/>
        <v>0</v>
      </c>
      <c r="AO285" s="48">
        <f t="shared" ca="1" si="518"/>
        <v>0</v>
      </c>
      <c r="AP285" s="48">
        <f t="shared" ca="1" si="518"/>
        <v>0</v>
      </c>
      <c r="AZ285" s="48" t="str">
        <f t="shared" ca="1" si="584"/>
        <v/>
      </c>
      <c r="BA285" s="48">
        <f t="shared" ca="1" si="520"/>
        <v>0</v>
      </c>
      <c r="BB285" s="48">
        <f t="shared" ca="1" si="521"/>
        <v>0</v>
      </c>
      <c r="BC285" s="48">
        <f t="shared" ca="1" si="522"/>
        <v>0</v>
      </c>
      <c r="BD285" s="48">
        <f t="shared" ca="1" si="523"/>
        <v>0</v>
      </c>
      <c r="BE285" s="48">
        <f t="shared" ca="1" si="524"/>
        <v>0</v>
      </c>
      <c r="BF285" s="48">
        <f t="shared" si="585"/>
        <v>85</v>
      </c>
      <c r="BG285" s="48">
        <f ca="1">IF(IF(AND(OR(INDEX(PDC,MATCH($AC285,DEN_PDC,0),6)="SP DARE",INDEX(PDC,MATCH($AC285,DEN_PDC,0),6)="SP DARE/AVERE"),SUMIFS(DARE,DEN_G,$AC285)&gt;=SUMIFS(AVERE,DEN_G,$AC285)),SUMIFS(DARE,DEN_G,$AC285)-SUMIFS(AVERE,DEN_G,$AC285),0)&gt;0,MAX($BG$2:BG284)+1,0)</f>
        <v>0</v>
      </c>
      <c r="BH285" s="48">
        <f ca="1">IF(IF(AND(OR(INDEX(PDC,MATCH($AC285,DEN_PDC,0),6)="SP AVERE",INDEX(PDC,MATCH($AC285,DEN_PDC,0),6)="SP DARE/AVERE"),SUMIFS(AVERE,DEN_G,$AC285)&gt;=SUMIFS(DARE,DEN_G,$AC285)),SUMIFS(AVERE,DEN_G,$AC285)-SUMIFS(DARE,DEN_G,$AC285),0)&gt;0,MAX(BH$2:BH284)+1,0)</f>
        <v>0</v>
      </c>
      <c r="BI285" s="48">
        <f ca="1">IF(IF(AND(OR(INDEX(PDC,MATCH($AC285,DEN_PDC,0),6)="SE DARE",INDEX(PDC,MATCH($AC285,DEN_PDC,0),6)="SE DARE/AVERE"),SUMIFS(DARE,DEN_G,$AC285)&gt;=SUMIFS(AVERE,DEN_G,$AC285)),SUMIFS(DARE,DEN_G,$AC285)-SUMIFS(AVERE,DEN_G,$AC285),0)&gt;0,MAX(BI$2:BI284)+1,0)</f>
        <v>0</v>
      </c>
      <c r="BJ285" s="48">
        <f ca="1">IF(IF(AND(OR(INDEX(PDC,MATCH($AC285,DEN_PDC,0),6)="SE AVERE",INDEX(PDC,MATCH($AC285,DEN_PDC,0),6)="SE DARE/AVERE"),SUMIFS(AVERE,DEN_G,$AC285)&gt;=SUMIFS(DARE,DEN_G,$AC285)),SUMIFS(AVERE,DEN_G,$AC285)-SUMIFS(DARE,DEN_G,$AC285),0)&gt;0,MAX(BJ$2:BJ284)+1,0)</f>
        <v>0</v>
      </c>
      <c r="BK285" s="48" t="str">
        <f ca="1">IF(AND(AND($DY$2=0,$DY$1=0),$I$1=2,ROW()&gt;$BG$1+2,ROW()&lt;=$BG$1+4),"………………..",IF(AND(OR($DY$2&gt;0,$DY$1&gt;0),$I$1=2,ROW()&gt;$BG$1+2,ROW()&lt;=$BG$1+4),"………………..",IFERROR(INDEX($AC$3:$AC$398,MATCH(ROWS(BK$3:BK285),BG$3:BG$398,0),1),"")))</f>
        <v/>
      </c>
      <c r="BL285" s="48">
        <f t="shared" ca="1" si="549"/>
        <v>0</v>
      </c>
      <c r="BM285" s="48" t="str">
        <f ca="1">IF(AND(OR($DY$2=0,$DY$1=0),$I$1=2,ROW()&gt;$BH$1+2,ROW()&lt;=$BH$1+4),"………………..",IF(AND(OR($DY$2&gt;0,$DY$1&gt;0),$I$1=2,ROW()&gt;$BH$1+2,ROW()&lt;=$BH$1+4),"………………..",IFERROR(INDEX($AC$3:$AC$400,MATCH(ROWS(BM$3:BM285),BH$3:BH$400,0),1),"")))</f>
        <v/>
      </c>
      <c r="BN285" s="48">
        <f t="shared" ca="1" si="550"/>
        <v>0</v>
      </c>
      <c r="BO285" s="48" t="str">
        <f ca="1">IF(AND(OR($DY$2=0,$DY$1=0),$I$1=2,ROW()&gt;$BI$1+2,ROW()&lt;=$BI$1+4),"………………..",IF(AND(OR($DY$2&gt;0,$DY$1&gt;0),$I$1=2,ROW()&gt;$BI$1+2,ROW()&lt;=$BI$1+4),"………………..",IFERROR(INDEX($AC$3:$AC$400,MATCH(ROWS(BO$3:BO285),BI$3:BI$400,0),1),"")))</f>
        <v/>
      </c>
      <c r="BP285" s="48">
        <f t="shared" ca="1" si="551"/>
        <v>0</v>
      </c>
      <c r="BQ285" s="48" t="str">
        <f ca="1">IF(AND(OR($DY$2=0,$DY$1=0),$I$1=2,ROW()&gt;$BJ$1+2,ROW()&lt;=$BJ$1+4),"………………..",IF(AND(OR($DY$2&gt;0,$DY$1&gt;0),$I$1=2,ROW()&gt;$BJ$1+2,ROW()&lt;=$BJ$1+4),"………………..",IFERROR(INDEX($AC$3:$AC$400,MATCH(ROWS(BQ$3:BQ285),BJ$3:BJ$400,0),1),"")))</f>
        <v/>
      </c>
      <c r="BR285" s="48">
        <f t="shared" ca="1" si="552"/>
        <v>0</v>
      </c>
      <c r="BS285" s="48">
        <f ca="1">IF(IF(AND(OR(INDEX(PDC,MATCH($AC285,DEN_PDC,0),4)="D",INDEX(PDC,MATCH($AC285,DEN_PDC,0),4)="D/A"),SUMIFS(DARE,DEN_G,$AC285)&gt;=SUMIFS(AVERE,DEN_G,$AC285)),SUMIFS(DARE,DEN_G,$AC285),IF(AND(OR(INDEX(PDC,MATCH($AC285,DEN_PDC,0),4)="A",INDEX(PDC,MATCH($AC285,DEN_PDC,0),4)="D/A"),SUMIFS(AVERE,DEN_G,$AC285)&gt;=SUMIFS(DARE,DEN_G,$AC285)),SUMIFS(AVERE,DEN_G,$AC285),))&gt;0,MAX($BS$2:BS284)+1,0)</f>
        <v>0</v>
      </c>
      <c r="BT285" s="48" t="str">
        <f ca="1">IF($CO$1=0,"",IF(AND($I$1=2,ROW()&gt;$BR$1,ROW()&lt;=$BS$1)," …………….",IF(AND($E$1=1,$BX$1=1,$I$1=2,ROW()=$BQ$1),"TOTALI",IFERROR(INDEX(PDC,MATCH(ROWS(BT$3:BT285),BS$3:BS682,0),2),""))))</f>
        <v/>
      </c>
      <c r="BU285" s="48">
        <f t="shared" ca="1" si="553"/>
        <v>0</v>
      </c>
      <c r="BV285" s="48">
        <f t="shared" ca="1" si="554"/>
        <v>0</v>
      </c>
      <c r="BW285" s="48">
        <f t="shared" ca="1" si="555"/>
        <v>0</v>
      </c>
      <c r="BX285" s="48">
        <f t="shared" ca="1" si="556"/>
        <v>0</v>
      </c>
      <c r="BY285" s="48">
        <f ca="1">IF(OR(BW285&gt;0,BX285&gt;0),MAX($BY$2:BY284)+1,0)</f>
        <v>0</v>
      </c>
      <c r="BZ285" s="48" t="str">
        <f ca="1">IFERROR(INDEX($BT$3:$BY$400,MATCH(ROWS(BZ$3:BZ285),$BY$3:$BY$400,0),1),"")</f>
        <v/>
      </c>
      <c r="CA285" s="48" t="str">
        <f ca="1">IFERROR(INDEX($BT$3:$BY$400,MATCH(ROWS(CA$3:CA285),$BY$3:$BY$400,0),4),"")</f>
        <v/>
      </c>
      <c r="CB285" s="48" t="str">
        <f ca="1">IFERROR(INDEX($BT$3:$BY$400,MATCH(ROWS(CB$3:CB285),$BY$3:$BY$400,0),5),"")</f>
        <v/>
      </c>
      <c r="CC285" s="48" t="str">
        <f t="shared" ca="1" si="557"/>
        <v/>
      </c>
      <c r="CM285" s="242" t="str">
        <f t="shared" ca="1" si="566"/>
        <v/>
      </c>
      <c r="CN285" s="243">
        <f t="shared" ca="1" si="567"/>
        <v>0</v>
      </c>
      <c r="CO285" s="48" t="str">
        <f t="shared" ca="1" si="568"/>
        <v/>
      </c>
      <c r="CU285" s="48">
        <f ca="1">IF(SUMIFS(AVERE,DEN_G,AC285,AVERE,"&gt;"&amp;0)+SUMIFS(DARE,DEN_G,AC285,DARE,"&gt;"&amp;0)&gt;0,MAX($CU$2:CU284)+1,0)</f>
        <v>0</v>
      </c>
      <c r="CV285" s="48" t="str">
        <f ca="1">IF(IFERROR(INDEX(PDC,MATCH(ROWS($CV$3:CV285),$CU$3:$CU$400,0),2),"")="CONTO DI RISULTATO ECONOMICO","",IFERROR(INDEX(PDC,MATCH(ROWS($CV$3:CV285),$CU$3:$CU$400,0),2),""))</f>
        <v/>
      </c>
      <c r="CW285" s="48">
        <f ca="1">IFERROR(IF(CV285&lt;&gt;"",MAX($CW$2:CW284)+1,0),0)</f>
        <v>0</v>
      </c>
      <c r="CX285" s="48">
        <f t="shared" ca="1" si="589"/>
        <v>22</v>
      </c>
      <c r="CY285" s="48" t="str">
        <f t="shared" ca="1" si="588"/>
        <v>MASTRO</v>
      </c>
      <c r="CZ285" s="48" t="e">
        <f t="shared" ca="1" si="591"/>
        <v>#N/A</v>
      </c>
      <c r="DA285" s="48" t="str">
        <f t="shared" ca="1" si="596"/>
        <v/>
      </c>
      <c r="DB285" s="48" t="str">
        <f t="shared" ca="1" si="592"/>
        <v/>
      </c>
      <c r="DC285" s="48" t="str">
        <f t="shared" ca="1" si="593"/>
        <v/>
      </c>
      <c r="DD285" s="48" t="str">
        <f t="shared" ca="1" si="594"/>
        <v/>
      </c>
      <c r="DE285" s="48" t="str">
        <f t="shared" ca="1" si="595"/>
        <v/>
      </c>
      <c r="DF285" s="48">
        <f ca="1">IF(AND(CX285=$DF$1,CX285&lt;&gt;""),0,IF(AND(DB285&lt;&gt;"",OR(DB284&lt;&gt;"",DB286&lt;&gt;"")),MAX($DF$2:DF284)+1,0))</f>
        <v>0</v>
      </c>
      <c r="DH285" s="244" t="s">
        <v>888</v>
      </c>
      <c r="DI285" s="48" t="s">
        <v>886</v>
      </c>
      <c r="DJ285" s="48" t="s">
        <v>311</v>
      </c>
      <c r="DK285" s="48" t="s">
        <v>298</v>
      </c>
      <c r="DL285" s="48" t="s">
        <v>320</v>
      </c>
      <c r="DM285" s="48" t="s">
        <v>300</v>
      </c>
      <c r="DN285" s="48">
        <f ca="1">IF(DI285&lt;&gt;"",MAX($DN$2:DN284)+1,0)</f>
        <v>220</v>
      </c>
      <c r="DO285" s="48" t="s">
        <v>709</v>
      </c>
      <c r="DQ285" s="227" t="s">
        <v>215</v>
      </c>
      <c r="DR285" s="48" t="s">
        <v>202</v>
      </c>
      <c r="DS285" s="48" t="s">
        <v>311</v>
      </c>
      <c r="DT285" s="48" t="s">
        <v>275</v>
      </c>
      <c r="DU285" s="48" t="s">
        <v>7</v>
      </c>
      <c r="DV285" s="48" t="s">
        <v>301</v>
      </c>
      <c r="DW285" s="48">
        <f ca="1">IF(DR285&lt;&gt;"",MAX($DW$2:DW284)+1,0)</f>
        <v>173</v>
      </c>
      <c r="DX285" s="48" t="s">
        <v>710</v>
      </c>
      <c r="DY285" s="48" t="str">
        <f t="shared" ca="1" si="558"/>
        <v/>
      </c>
      <c r="EL285" s="48">
        <f t="shared" ca="1" si="559"/>
        <v>0</v>
      </c>
      <c r="EM285" s="48">
        <f ca="1">IF(EL285&gt;=0,0,MAX($EM$2:EM284)+1)</f>
        <v>0</v>
      </c>
      <c r="EN285" s="48" t="str">
        <f t="shared" ca="1" si="569"/>
        <v/>
      </c>
      <c r="EO285" s="48" t="str">
        <f ca="1">IFERROR(INDEX($EM$3:$EN$400,MATCH(ROWS($EO$3:EO285),$EM$3:$EM$400,0),2),"")</f>
        <v/>
      </c>
      <c r="EP285" s="48">
        <f>ROW()</f>
        <v>285</v>
      </c>
      <c r="EQ285" s="48">
        <f t="shared" ca="1" si="560"/>
        <v>0</v>
      </c>
      <c r="ER285" s="48">
        <f ca="1">IF(ISNA(EQ285)=TRUE,MAX($ER$2:ER284)+1,0)</f>
        <v>0</v>
      </c>
      <c r="ES285" s="48" t="str">
        <f t="shared" ca="1" si="570"/>
        <v/>
      </c>
      <c r="ET285" s="48" t="str">
        <f ca="1">IFERROR(INDEX($ER$3:$ES$400,MATCH(ROWS($ET$3:ET285),$ER$3:$ER$400,0),2),"")</f>
        <v/>
      </c>
      <c r="EV285" s="48">
        <f ca="1">IFERROR(INDEX(LIBRO_GIORNALE!$O$11:$P$408,MATCH(ROWS($EV$2:EV284),LIBRO_GIORNALE!$P$11:$P$408,0),1),0)</f>
        <v>0</v>
      </c>
      <c r="EW285" s="48" t="str">
        <f t="shared" ca="1" si="544"/>
        <v>0</v>
      </c>
      <c r="EX285" s="48">
        <f t="shared" ca="1" si="571"/>
        <v>0</v>
      </c>
      <c r="EY285" s="48">
        <f ca="1">IF(EX285&gt;0,MAX($EY$2:EY284)+1,0)</f>
        <v>0</v>
      </c>
      <c r="EZ285" s="48">
        <f ca="1">IFERROR(INDEX($EX$3:$EX$400,MATCH(ROWS($EZ$3:EZ285),$EY$3:$EY$400,0),1),0)</f>
        <v>0</v>
      </c>
      <c r="FA285" s="48">
        <f ca="1">IF(EZ285&gt;0,0,MAX($FA$2:FA284)+1)</f>
        <v>283</v>
      </c>
      <c r="FB285" s="48">
        <f t="shared" ca="1" si="545"/>
        <v>0</v>
      </c>
      <c r="FC285" s="48">
        <f t="shared" ca="1" si="546"/>
        <v>283</v>
      </c>
      <c r="FD285" s="48">
        <f t="shared" ca="1" si="572"/>
        <v>283</v>
      </c>
      <c r="FE285" s="48">
        <f ca="1">IF(FD285=0,0,MAX($FE$2:FE284)+1)</f>
        <v>283</v>
      </c>
      <c r="FF285" s="48">
        <f ca="1">IFERROR(INDEX($FD$3:$FE$400,MATCH(ROWS($FF$3:FF285),$FE$3:$FE$400,0),1),"")</f>
        <v>283</v>
      </c>
      <c r="FG285" s="48">
        <f t="shared" ca="1" si="519"/>
        <v>0</v>
      </c>
      <c r="FH285" s="48">
        <f t="shared" ca="1" si="573"/>
        <v>0</v>
      </c>
      <c r="FI285" s="48">
        <f ca="1">IF(FH285&lt;&gt;0,MAX($FI$2:FI284)+1,0)</f>
        <v>0</v>
      </c>
      <c r="FJ285" s="48" t="str">
        <f ca="1">IFERROR(INDEX($FH$3:$FI$400,MATCH(ROWS($FJ$3:FJ285),$FI$3:$FI$400,0),1),"")</f>
        <v/>
      </c>
      <c r="FK285" s="48">
        <f ca="1">IF(ABS(SUMIFS(DARE,DEN_G,"="&amp;FJ285,DATA,"&lt;="&amp;FINE_AC,DATA,"&gt;="&amp;INIZIO_A_PC)-SUMIFS(AVERE,DEN_G,"="&amp;FJ285,DATA,"&lt;="&amp;FINE_AC,DATA,"&gt;="&amp;INIZIO_A_PC))&gt;0,MAX($FK$2:FK284)+1,0)</f>
        <v>0</v>
      </c>
      <c r="FL285" s="48" t="str">
        <f ca="1">IF(AND(ROW()-2&lt;&gt;1,ROW()-2&lt;=$FK$1),CONCATENATE(" - ",IFERROR(INDEX($FJ$3:$FK$400,MATCH(ROWS($FL$3:FL285),$FK$3:$FK$400,0),1),"")),IFERROR(INDEX($FJ$3:$FK$400,MATCH(ROWS($FL$3:FL285),$FK$3:$FK$400,0),1),""))</f>
        <v/>
      </c>
      <c r="FM285" s="48">
        <f ca="1">IF(OR(B285="IVA ns/credito",B285="IVA NS/DEBITO",B285="IVA C/ACCONTO",B285="IMPOSTE C/ACCONTO",B285="CREDITI PER RITENUTE SUBITE",B285="CREDITI D'IMPOSTA"),MAX($FM$2:FM284)+1,0)</f>
        <v>0</v>
      </c>
      <c r="FN285" s="48" t="str">
        <f t="shared" ca="1" si="574"/>
        <v/>
      </c>
      <c r="FO285" s="48" t="str">
        <f ca="1">IFERROR(INDEX($FM$3:$FN$400,MATCH(ROWS($FO$3:FO285),$FM$3:$FM$400,0),2),"")</f>
        <v/>
      </c>
      <c r="FP285" s="48">
        <f ca="1">IF(ABS(SUMIFS(DARE,DEN_G,"="&amp;FO285,DATA,"&lt;="&amp;FINE_AC,DATA,"&gt;="&amp;INIZIO_A_PC)-SUMIFS(AVERE,DEN_G,"="&amp;FO285,DATA,"&lt;="&amp;FINE_AC,DATA,"&gt;="&amp;INIZIO_A_PC))&gt;0,MAX($FP$2:FP284)+1,0)</f>
        <v>0</v>
      </c>
      <c r="FQ285" s="48" t="str">
        <f ca="1">IF(AND(ROW()-2&lt;&gt;1,ROW()-2&lt;=$FP$1),CONCATENATE(" - ",IFERROR(INDEX($FO$3:$FP$400,MATCH(ROWS($FQ$3:FQ285),$FP$3:$FP$400,0),1),"")),IFERROR(INDEX($FO$3:$FP$400,MATCH(ROWS($FQ$3:FQ285),$FP$3:$FP$400,0),1),""))</f>
        <v/>
      </c>
    </row>
    <row r="286" spans="1:173" x14ac:dyDescent="0.3">
      <c r="A286" s="48" t="str">
        <f ca="1">IFERROR(IF($A$1=2,INDEX($DH$3:$DN$401,MATCH(ROWS(A$3:A286),$DN$3:$DN$401,0),COLUMN()),IF($A$1=1,INDEX($DQ$3:$DW$401,MATCH(ROWS(A$3:A286),$DW$3:$DW$401,0),COLUMN()),"")),"")</f>
        <v>39.03</v>
      </c>
      <c r="B286" s="48" t="str">
        <f ca="1">IFERROR(IF($A$1=2,INDEX($DH$3:$DN$401,MATCH(ROWS(B$3:B286),$DN$3:$DN$401,0),COLUMN()),IF($A$1=1,INDEX($DQ$3:$DW$400,MATCH(ROWS(B$3:B286),$DW$3:$DW$401,0),COLUMN()),"")),"")</f>
        <v>ACCANTONAMENTO PER IMPOSTE INDIRETTE</v>
      </c>
      <c r="C286" s="48" t="str">
        <f ca="1">IFERROR(IF($A$1=2,INDEX($DH$3:$DN$401,MATCH(ROWS(C$3:C286),$DN$3:$DN$401,0),COLUMN()),IF($A$1=1,INDEX($DQ$3:$DW$401,MATCH(ROWS(C$3:C286),$DW$3:$DW$401,0),COLUMN()),"")),"")</f>
        <v>E</v>
      </c>
      <c r="D286" s="48" t="str">
        <f ca="1">IFERROR(IF($A$1=2,INDEX($DH$3:$DN$401,MATCH(ROWS(D$3:D286),$DN$3:$DN$401,0),COLUMN()),IF($A$1=1,INDEX($DQ$3:$DW$401,MATCH(ROWS(D$3:D286),$DW$3:$DW$401,0),COLUMN()),"")),"")</f>
        <v>D</v>
      </c>
      <c r="E286" s="48" t="str">
        <f ca="1">IFERROR(IF($A$1=2,INDEX($DH$3:$DN$401,MATCH(ROWS(E$3:E286),$DN$3:$DN$401,0),COLUMN()),IF($A$1=1,INDEX($DQ$3:$DW$401,MATCH(ROWS(E$3:E286),$DW$3:$DW$401,0),COLUMN()),"")),"")</f>
        <v>COSTI D'ESERCIZIO</v>
      </c>
      <c r="F286" s="48" t="str">
        <f ca="1">IFERROR(IF($A$1=2,INDEX($DH$3:$DN$401,MATCH(ROWS(F$3:F286),$DN$3:$DN$401,0),COLUMN()),IF($A$1=1,INDEX($DQ$3:$DX$401,MATCH(ROWS(F$3:F286),$DW$3:$DW$401,0),COLUMN()),"")),"")</f>
        <v>SE DARE</v>
      </c>
      <c r="G286" s="48" t="str">
        <f t="shared" ca="1" si="561"/>
        <v>SE</v>
      </c>
      <c r="H286" s="48" t="str">
        <f ca="1">IFERROR(IF($A$1=2,INDEX($DH$3:$DO$400,MATCH(ROWS(H$3:H286),$DN$3:$DN$400,0),COLUMN()),IF($A$1=1,INDEX($DQ$3:$DX$400,MATCH(ROWS(H$3:H286),$DW$3:$DW$400,0),COLUMN()),"")),"")</f>
        <v>eb14</v>
      </c>
      <c r="M286" s="48">
        <f ca="1">IFERROR(IF(IF(MID($A286,3,3)=".00",MID(A286,1,2),"")&lt;&gt;"",MAX($M$2:M285)+1,0),"")</f>
        <v>0</v>
      </c>
      <c r="N286" s="48" t="str">
        <f t="shared" ca="1" si="562"/>
        <v/>
      </c>
      <c r="O286" s="48" t="str">
        <f ca="1">IF(IFERROR(INDEX($N$3:$O$300,MATCH(ROWS($O$3:O286),$M$3:$M$300,0),1),"")&lt;&gt;"",CONCATENATE(INDEX($N$3:$O$300,MATCH(ROWS($O$3:O286),$M$3:$M$300,0),1),".00"),"")</f>
        <v/>
      </c>
      <c r="P286" s="48" t="str">
        <f t="shared" ca="1" si="563"/>
        <v/>
      </c>
      <c r="Q286" s="48">
        <f ca="1">IF(M286&gt;=1,0,MAX($Q$2:Q285)+1)</f>
        <v>253</v>
      </c>
      <c r="U286" s="48" t="str">
        <f ca="1">IFERROR(INDEX(PDC,MATCH(ROWS(U$3:U286),$V$3:$V$400,0),2),"")</f>
        <v>RIVALUTAZIONE PARTECIPAZIONI</v>
      </c>
      <c r="V286" s="48">
        <f ca="1">IF(AND($T$1="VISUALIZZA TUTTI I CONTI",AA286&lt;&gt;""),MAX($V$2:V285)+1,IF(AND($U$2=2,AI286=$T$1),MAX($V$2:V285)+1,IF(AND($U$2=1,$T$1=AF286),MAX($V$2:V285)+1,0)))</f>
        <v>284</v>
      </c>
      <c r="AA286" s="48" t="str">
        <f t="shared" ca="1" si="564"/>
        <v>50.00</v>
      </c>
      <c r="AB286" s="48" t="str">
        <f ca="1">IFERROR(INDEX($A$3:$G$400,MATCH(ROWS(AB$3:AB286),$Q$3:$Q$400,0),1),"")</f>
        <v>50.01</v>
      </c>
      <c r="AC286" s="48" t="str">
        <f ca="1">IFERROR(INDEX($A$3:$G$400,MATCH(ROWS($AC$3:AC286),$Q$3:$Q$400,0),2),"")</f>
        <v>RIVALUTAZIONE PARTECIPAZIONI</v>
      </c>
      <c r="AD286" s="48" t="str">
        <f ca="1">IFERROR(INDEX($A$3:$G$400,MATCH(ROWS(AD$3:AD286),$Q$3:$Q$400,0),3),"")</f>
        <v>E</v>
      </c>
      <c r="AE286" s="48" t="str">
        <f ca="1">IFERROR(INDEX($A$3:$G$400,MATCH(ROWS(AE$3:AE286),$Q$3:$Q$400,0),4),"")</f>
        <v>A</v>
      </c>
      <c r="AF286" s="48" t="str">
        <f ca="1">IFERROR(INDEX($A$3:$G$400,MATCH(ROWS(AF$3:AF286),$Q$3:$Q$400,0),5),"")</f>
        <v>RICAVI D'ESERCIZIO</v>
      </c>
      <c r="AG286" s="48" t="str">
        <f ca="1">IFERROR(INDEX($A$3:$G$400,MATCH(ROWS(AG$3:AG286),$Q$3:$Q$400,0),6),"")</f>
        <v>SE AVERE</v>
      </c>
      <c r="AH286" s="48" t="str">
        <f ca="1">IFERROR(INDEX($A$3:$G$400,MATCH(ROWS(AH$3:AH286),$Q$3:$Q$400,0),7),"")</f>
        <v>SE</v>
      </c>
      <c r="AI286" s="48" t="str">
        <f t="shared" ca="1" si="565"/>
        <v>RIVALUTAZIONI DI ATTIVITÀ FINANZIARIE</v>
      </c>
      <c r="AJ286" s="48" t="str">
        <f ca="1">IFERROR(INDEX($A$3:$H$400,MATCH(ROWS(AJ$3:AJ286),$Q$3:$Q$400,0),8),"")</f>
        <v>ed18a</v>
      </c>
      <c r="AK286" s="48">
        <f t="shared" ca="1" si="548"/>
        <v>0</v>
      </c>
      <c r="AL286" s="48">
        <f t="shared" ca="1" si="576"/>
        <v>0</v>
      </c>
      <c r="AM286" s="48">
        <f t="shared" ca="1" si="516"/>
        <v>0</v>
      </c>
      <c r="AN286" s="48">
        <f t="shared" ca="1" si="517"/>
        <v>0</v>
      </c>
      <c r="AO286" s="48">
        <f t="shared" ca="1" si="518"/>
        <v>0</v>
      </c>
      <c r="AP286" s="48">
        <f t="shared" ca="1" si="518"/>
        <v>0</v>
      </c>
      <c r="AZ286" s="48" t="str">
        <f t="shared" ca="1" si="584"/>
        <v/>
      </c>
      <c r="BA286" s="48">
        <f t="shared" ca="1" si="520"/>
        <v>0</v>
      </c>
      <c r="BB286" s="48">
        <f t="shared" ca="1" si="521"/>
        <v>0</v>
      </c>
      <c r="BC286" s="48">
        <f t="shared" ca="1" si="522"/>
        <v>0</v>
      </c>
      <c r="BD286" s="48">
        <f t="shared" ca="1" si="523"/>
        <v>0</v>
      </c>
      <c r="BE286" s="48">
        <f t="shared" ca="1" si="524"/>
        <v>0</v>
      </c>
      <c r="BF286" s="48">
        <f t="shared" si="585"/>
        <v>86</v>
      </c>
      <c r="BG286" s="48">
        <f ca="1">IF(IF(AND(OR(INDEX(PDC,MATCH($AC286,DEN_PDC,0),6)="SP DARE",INDEX(PDC,MATCH($AC286,DEN_PDC,0),6)="SP DARE/AVERE"),SUMIFS(DARE,DEN_G,$AC286)&gt;=SUMIFS(AVERE,DEN_G,$AC286)),SUMIFS(DARE,DEN_G,$AC286)-SUMIFS(AVERE,DEN_G,$AC286),0)&gt;0,MAX($BG$2:BG285)+1,0)</f>
        <v>0</v>
      </c>
      <c r="BH286" s="48">
        <f ca="1">IF(IF(AND(OR(INDEX(PDC,MATCH($AC286,DEN_PDC,0),6)="SP AVERE",INDEX(PDC,MATCH($AC286,DEN_PDC,0),6)="SP DARE/AVERE"),SUMIFS(AVERE,DEN_G,$AC286)&gt;=SUMIFS(DARE,DEN_G,$AC286)),SUMIFS(AVERE,DEN_G,$AC286)-SUMIFS(DARE,DEN_G,$AC286),0)&gt;0,MAX(BH$2:BH285)+1,0)</f>
        <v>0</v>
      </c>
      <c r="BI286" s="48">
        <f ca="1">IF(IF(AND(OR(INDEX(PDC,MATCH($AC286,DEN_PDC,0),6)="SE DARE",INDEX(PDC,MATCH($AC286,DEN_PDC,0),6)="SE DARE/AVERE"),SUMIFS(DARE,DEN_G,$AC286)&gt;=SUMIFS(AVERE,DEN_G,$AC286)),SUMIFS(DARE,DEN_G,$AC286)-SUMIFS(AVERE,DEN_G,$AC286),0)&gt;0,MAX(BI$2:BI285)+1,0)</f>
        <v>0</v>
      </c>
      <c r="BJ286" s="48">
        <f ca="1">IF(IF(AND(OR(INDEX(PDC,MATCH($AC286,DEN_PDC,0),6)="SE AVERE",INDEX(PDC,MATCH($AC286,DEN_PDC,0),6)="SE DARE/AVERE"),SUMIFS(AVERE,DEN_G,$AC286)&gt;=SUMIFS(DARE,DEN_G,$AC286)),SUMIFS(AVERE,DEN_G,$AC286)-SUMIFS(DARE,DEN_G,$AC286),0)&gt;0,MAX(BJ$2:BJ285)+1,0)</f>
        <v>0</v>
      </c>
      <c r="BK286" s="48" t="str">
        <f ca="1">IF(AND(AND($DY$2=0,$DY$1=0),$I$1=2,ROW()&gt;$BG$1+2,ROW()&lt;=$BG$1+4),"………………..",IF(AND(OR($DY$2&gt;0,$DY$1&gt;0),$I$1=2,ROW()&gt;$BG$1+2,ROW()&lt;=$BG$1+4),"………………..",IFERROR(INDEX($AC$3:$AC$398,MATCH(ROWS(BK$3:BK286),BG$3:BG$398,0),1),"")))</f>
        <v/>
      </c>
      <c r="BL286" s="48">
        <f t="shared" ca="1" si="549"/>
        <v>0</v>
      </c>
      <c r="BM286" s="48" t="str">
        <f ca="1">IF(AND(OR($DY$2=0,$DY$1=0),$I$1=2,ROW()&gt;$BH$1+2,ROW()&lt;=$BH$1+4),"………………..",IF(AND(OR($DY$2&gt;0,$DY$1&gt;0),$I$1=2,ROW()&gt;$BH$1+2,ROW()&lt;=$BH$1+4),"………………..",IFERROR(INDEX($AC$3:$AC$400,MATCH(ROWS(BM$3:BM286),BH$3:BH$400,0),1),"")))</f>
        <v/>
      </c>
      <c r="BN286" s="48">
        <f t="shared" ca="1" si="550"/>
        <v>0</v>
      </c>
      <c r="BO286" s="48" t="str">
        <f ca="1">IF(AND(OR($DY$2=0,$DY$1=0),$I$1=2,ROW()&gt;$BI$1+2,ROW()&lt;=$BI$1+4),"………………..",IF(AND(OR($DY$2&gt;0,$DY$1&gt;0),$I$1=2,ROW()&gt;$BI$1+2,ROW()&lt;=$BI$1+4),"………………..",IFERROR(INDEX($AC$3:$AC$400,MATCH(ROWS(BO$3:BO286),BI$3:BI$400,0),1),"")))</f>
        <v/>
      </c>
      <c r="BP286" s="48">
        <f t="shared" ca="1" si="551"/>
        <v>0</v>
      </c>
      <c r="BQ286" s="48" t="str">
        <f ca="1">IF(AND(OR($DY$2=0,$DY$1=0),$I$1=2,ROW()&gt;$BJ$1+2,ROW()&lt;=$BJ$1+4),"………………..",IF(AND(OR($DY$2&gt;0,$DY$1&gt;0),$I$1=2,ROW()&gt;$BJ$1+2,ROW()&lt;=$BJ$1+4),"………………..",IFERROR(INDEX($AC$3:$AC$400,MATCH(ROWS(BQ$3:BQ286),BJ$3:BJ$400,0),1),"")))</f>
        <v/>
      </c>
      <c r="BR286" s="48">
        <f t="shared" ca="1" si="552"/>
        <v>0</v>
      </c>
      <c r="BS286" s="48">
        <f ca="1">IF(IF(AND(OR(INDEX(PDC,MATCH($AC286,DEN_PDC,0),4)="D",INDEX(PDC,MATCH($AC286,DEN_PDC,0),4)="D/A"),SUMIFS(DARE,DEN_G,$AC286)&gt;=SUMIFS(AVERE,DEN_G,$AC286)),SUMIFS(DARE,DEN_G,$AC286),IF(AND(OR(INDEX(PDC,MATCH($AC286,DEN_PDC,0),4)="A",INDEX(PDC,MATCH($AC286,DEN_PDC,0),4)="D/A"),SUMIFS(AVERE,DEN_G,$AC286)&gt;=SUMIFS(DARE,DEN_G,$AC286)),SUMIFS(AVERE,DEN_G,$AC286),))&gt;0,MAX($BS$2:BS285)+1,0)</f>
        <v>0</v>
      </c>
      <c r="BT286" s="48" t="str">
        <f ca="1">IF($CO$1=0,"",IF(AND($I$1=2,ROW()&gt;$BR$1,ROW()&lt;=$BS$1)," …………….",IF(AND($E$1=1,$BX$1=1,$I$1=2,ROW()=$BQ$1),"TOTALI",IFERROR(INDEX(PDC,MATCH(ROWS(BT$3:BT286),BS$3:BS683,0),2),""))))</f>
        <v/>
      </c>
      <c r="BU286" s="48">
        <f t="shared" ca="1" si="553"/>
        <v>0</v>
      </c>
      <c r="BV286" s="48">
        <f t="shared" ca="1" si="554"/>
        <v>0</v>
      </c>
      <c r="BW286" s="48">
        <f t="shared" ca="1" si="555"/>
        <v>0</v>
      </c>
      <c r="BX286" s="48">
        <f t="shared" ca="1" si="556"/>
        <v>0</v>
      </c>
      <c r="BY286" s="48">
        <f ca="1">IF(OR(BW286&gt;0,BX286&gt;0),MAX($BY$2:BY285)+1,0)</f>
        <v>0</v>
      </c>
      <c r="BZ286" s="48" t="str">
        <f ca="1">IFERROR(INDEX($BT$3:$BY$400,MATCH(ROWS(BZ$3:BZ286),$BY$3:$BY$400,0),1),"")</f>
        <v/>
      </c>
      <c r="CA286" s="48" t="str">
        <f ca="1">IFERROR(INDEX($BT$3:$BY$400,MATCH(ROWS(CA$3:CA286),$BY$3:$BY$400,0),4),"")</f>
        <v/>
      </c>
      <c r="CB286" s="48" t="str">
        <f ca="1">IFERROR(INDEX($BT$3:$BY$400,MATCH(ROWS(CB$3:CB286),$BY$3:$BY$400,0),5),"")</f>
        <v/>
      </c>
      <c r="CC286" s="48" t="str">
        <f t="shared" ca="1" si="557"/>
        <v/>
      </c>
      <c r="CM286" s="242" t="str">
        <f t="shared" ca="1" si="566"/>
        <v/>
      </c>
      <c r="CN286" s="243">
        <f t="shared" ca="1" si="567"/>
        <v>0</v>
      </c>
      <c r="CO286" s="48" t="str">
        <f t="shared" ca="1" si="568"/>
        <v/>
      </c>
      <c r="CU286" s="48">
        <f ca="1">IF(SUMIFS(AVERE,DEN_G,AC286,AVERE,"&gt;"&amp;0)+SUMIFS(DARE,DEN_G,AC286,DARE,"&gt;"&amp;0)&gt;0,MAX($CU$2:CU285)+1,0)</f>
        <v>0</v>
      </c>
      <c r="CV286" s="48" t="str">
        <f ca="1">IF(IFERROR(INDEX(PDC,MATCH(ROWS($CV$3:CV286),$CU$3:$CU$400,0),2),"")="CONTO DI RISULTATO ECONOMICO","",IFERROR(INDEX(PDC,MATCH(ROWS($CV$3:CV286),$CU$3:$CU$400,0),2),""))</f>
        <v/>
      </c>
      <c r="CW286" s="48">
        <f ca="1">IFERROR(IF(CV286&lt;&gt;"",MAX($CW$2:CW285)+1,0),0)</f>
        <v>0</v>
      </c>
      <c r="CX286" s="48">
        <f t="shared" ca="1" si="589"/>
        <v>22</v>
      </c>
      <c r="CY286" s="48" t="str">
        <f t="shared" ca="1" si="588"/>
        <v>MASTRO</v>
      </c>
      <c r="CZ286" s="48" t="e">
        <f t="shared" ca="1" si="591"/>
        <v>#N/A</v>
      </c>
      <c r="DA286" s="48" t="str">
        <f t="shared" ca="1" si="596"/>
        <v/>
      </c>
      <c r="DB286" s="48" t="str">
        <f t="shared" ca="1" si="592"/>
        <v/>
      </c>
      <c r="DC286" s="48" t="str">
        <f t="shared" ca="1" si="593"/>
        <v/>
      </c>
      <c r="DD286" s="48" t="str">
        <f t="shared" ca="1" si="594"/>
        <v/>
      </c>
      <c r="DE286" s="48" t="str">
        <f t="shared" ca="1" si="595"/>
        <v/>
      </c>
      <c r="DF286" s="48">
        <f ca="1">IF(AND(CX286=$DF$1,CX286&lt;&gt;""),0,IF(AND(DB286&lt;&gt;"",OR(DB285&lt;&gt;"",DB287&lt;&gt;"")),MAX($DF$2:DF285)+1,0))</f>
        <v>0</v>
      </c>
      <c r="DH286" s="244" t="s">
        <v>192</v>
      </c>
      <c r="DI286" s="228" t="s">
        <v>193</v>
      </c>
      <c r="DN286" s="48">
        <f ca="1">IF(DI286&lt;&gt;"",MAX($DN$2:DN285)+1,0)</f>
        <v>221</v>
      </c>
      <c r="DQ286" s="227" t="s">
        <v>890</v>
      </c>
      <c r="DR286" s="48" t="s">
        <v>1080</v>
      </c>
      <c r="DS286" s="48" t="s">
        <v>311</v>
      </c>
      <c r="DT286" s="48" t="s">
        <v>275</v>
      </c>
      <c r="DU286" s="48" t="s">
        <v>7</v>
      </c>
      <c r="DV286" s="48" t="s">
        <v>301</v>
      </c>
      <c r="DW286" s="48">
        <f ca="1">IF(DR286&lt;&gt;"",MAX($DW$2:DW285)+1,0)</f>
        <v>174</v>
      </c>
      <c r="DX286" s="48" t="s">
        <v>710</v>
      </c>
      <c r="DY286" s="48" t="str">
        <f t="shared" ca="1" si="558"/>
        <v/>
      </c>
      <c r="EL286" s="48">
        <f t="shared" ca="1" si="559"/>
        <v>0</v>
      </c>
      <c r="EM286" s="48">
        <f ca="1">IF(EL286&gt;=0,0,MAX($EM$2:EM285)+1)</f>
        <v>0</v>
      </c>
      <c r="EN286" s="48" t="str">
        <f t="shared" ca="1" si="569"/>
        <v/>
      </c>
      <c r="EO286" s="48" t="str">
        <f ca="1">IFERROR(INDEX($EM$3:$EN$400,MATCH(ROWS($EO$3:EO286),$EM$3:$EM$400,0),2),"")</f>
        <v/>
      </c>
      <c r="EP286" s="48">
        <f>ROW()</f>
        <v>286</v>
      </c>
      <c r="EQ286" s="48">
        <f t="shared" ca="1" si="560"/>
        <v>0</v>
      </c>
      <c r="ER286" s="48">
        <f ca="1">IF(ISNA(EQ286)=TRUE,MAX($ER$2:ER285)+1,0)</f>
        <v>0</v>
      </c>
      <c r="ES286" s="48" t="str">
        <f t="shared" ca="1" si="570"/>
        <v/>
      </c>
      <c r="ET286" s="48" t="str">
        <f ca="1">IFERROR(INDEX($ER$3:$ES$400,MATCH(ROWS($ET$3:ET286),$ER$3:$ER$400,0),2),"")</f>
        <v/>
      </c>
      <c r="EV286" s="48">
        <f ca="1">IFERROR(INDEX(LIBRO_GIORNALE!$O$11:$P$408,MATCH(ROWS($EV$2:EV285),LIBRO_GIORNALE!$P$11:$P$408,0),1),0)</f>
        <v>0</v>
      </c>
      <c r="EW286" s="48" t="str">
        <f t="shared" ca="1" si="544"/>
        <v>0</v>
      </c>
      <c r="EX286" s="48">
        <f t="shared" ca="1" si="571"/>
        <v>0</v>
      </c>
      <c r="EY286" s="48">
        <f ca="1">IF(EX286&gt;0,MAX($EY$2:EY285)+1,0)</f>
        <v>0</v>
      </c>
      <c r="EZ286" s="48">
        <f ca="1">IFERROR(INDEX($EX$3:$EX$400,MATCH(ROWS($EZ$3:EZ286),$EY$3:$EY$400,0),1),0)</f>
        <v>0</v>
      </c>
      <c r="FA286" s="48">
        <f ca="1">IF(EZ286&gt;0,0,MAX($FA$2:FA285)+1)</f>
        <v>284</v>
      </c>
      <c r="FB286" s="48">
        <f t="shared" ca="1" si="545"/>
        <v>0</v>
      </c>
      <c r="FC286" s="48">
        <f t="shared" ca="1" si="546"/>
        <v>284</v>
      </c>
      <c r="FD286" s="48">
        <f t="shared" ca="1" si="572"/>
        <v>284</v>
      </c>
      <c r="FE286" s="48">
        <f ca="1">IF(FD286=0,0,MAX($FE$2:FE285)+1)</f>
        <v>284</v>
      </c>
      <c r="FF286" s="48">
        <f ca="1">IFERROR(INDEX($FD$3:$FE$400,MATCH(ROWS($FF$3:FF286),$FE$3:$FE$400,0),1),"")</f>
        <v>284</v>
      </c>
      <c r="FG286" s="48">
        <f t="shared" ca="1" si="519"/>
        <v>0</v>
      </c>
      <c r="FH286" s="48">
        <f t="shared" ca="1" si="573"/>
        <v>0</v>
      </c>
      <c r="FI286" s="48">
        <f ca="1">IF(FH286&lt;&gt;0,MAX($FI$2:FI285)+1,0)</f>
        <v>0</v>
      </c>
      <c r="FJ286" s="48" t="str">
        <f ca="1">IFERROR(INDEX($FH$3:$FI$400,MATCH(ROWS($FJ$3:FJ286),$FI$3:$FI$400,0),1),"")</f>
        <v/>
      </c>
      <c r="FK286" s="48">
        <f ca="1">IF(ABS(SUMIFS(DARE,DEN_G,"="&amp;FJ286,DATA,"&lt;="&amp;FINE_AC,DATA,"&gt;="&amp;INIZIO_A_PC)-SUMIFS(AVERE,DEN_G,"="&amp;FJ286,DATA,"&lt;="&amp;FINE_AC,DATA,"&gt;="&amp;INIZIO_A_PC))&gt;0,MAX($FK$2:FK285)+1,0)</f>
        <v>0</v>
      </c>
      <c r="FL286" s="48" t="str">
        <f ca="1">IF(AND(ROW()-2&lt;&gt;1,ROW()-2&lt;=$FK$1),CONCATENATE(" - ",IFERROR(INDEX($FJ$3:$FK$400,MATCH(ROWS($FL$3:FL286),$FK$3:$FK$400,0),1),"")),IFERROR(INDEX($FJ$3:$FK$400,MATCH(ROWS($FL$3:FL286),$FK$3:$FK$400,0),1),""))</f>
        <v/>
      </c>
      <c r="FM286" s="48">
        <f ca="1">IF(OR(B286="IVA ns/credito",B286="IVA NS/DEBITO",B286="IVA C/ACCONTO",B286="IMPOSTE C/ACCONTO",B286="CREDITI PER RITENUTE SUBITE",B286="CREDITI D'IMPOSTA"),MAX($FM$2:FM285)+1,0)</f>
        <v>0</v>
      </c>
      <c r="FN286" s="48" t="str">
        <f t="shared" ca="1" si="574"/>
        <v/>
      </c>
      <c r="FO286" s="48" t="str">
        <f ca="1">IFERROR(INDEX($FM$3:$FN$400,MATCH(ROWS($FO$3:FO286),$FM$3:$FM$400,0),2),"")</f>
        <v/>
      </c>
      <c r="FP286" s="48">
        <f ca="1">IF(ABS(SUMIFS(DARE,DEN_G,"="&amp;FO286,DATA,"&lt;="&amp;FINE_AC,DATA,"&gt;="&amp;INIZIO_A_PC)-SUMIFS(AVERE,DEN_G,"="&amp;FO286,DATA,"&lt;="&amp;FINE_AC,DATA,"&gt;="&amp;INIZIO_A_PC))&gt;0,MAX($FP$2:FP285)+1,0)</f>
        <v>0</v>
      </c>
      <c r="FQ286" s="48" t="str">
        <f ca="1">IF(AND(ROW()-2&lt;&gt;1,ROW()-2&lt;=$FP$1),CONCATENATE(" - ",IFERROR(INDEX($FO$3:$FP$400,MATCH(ROWS($FQ$3:FQ286),$FP$3:$FP$400,0),1),"")),IFERROR(INDEX($FO$3:$FP$400,MATCH(ROWS($FQ$3:FQ286),$FP$3:$FP$400,0),1),""))</f>
        <v/>
      </c>
    </row>
    <row r="287" spans="1:173" x14ac:dyDescent="0.3">
      <c r="A287" s="48" t="str">
        <f ca="1">IFERROR(IF($A$1=2,INDEX($DH$3:$DN$401,MATCH(ROWS(A$3:A287),$DN$3:$DN$401,0),COLUMN()),IF($A$1=1,INDEX($DQ$3:$DW$401,MATCH(ROWS(A$3:A287),$DW$3:$DW$401,0),COLUMN()),"")),"")</f>
        <v>39.05</v>
      </c>
      <c r="B287" s="48" t="str">
        <f ca="1">IFERROR(IF($A$1=2,INDEX($DH$3:$DN$401,MATCH(ROWS(B$3:B287),$DN$3:$DN$401,0),COLUMN()),IF($A$1=1,INDEX($DQ$3:$DW$400,MATCH(ROWS(B$3:B287),$DW$3:$DW$401,0),COLUMN()),"")),"")</f>
        <v>PERDITE SU CREDITI</v>
      </c>
      <c r="C287" s="48" t="str">
        <f ca="1">IFERROR(IF($A$1=2,INDEX($DH$3:$DN$401,MATCH(ROWS(C$3:C287),$DN$3:$DN$401,0),COLUMN()),IF($A$1=1,INDEX($DQ$3:$DW$401,MATCH(ROWS(C$3:C287),$DW$3:$DW$401,0),COLUMN()),"")),"")</f>
        <v>E</v>
      </c>
      <c r="D287" s="48" t="str">
        <f ca="1">IFERROR(IF($A$1=2,INDEX($DH$3:$DN$401,MATCH(ROWS(D$3:D287),$DN$3:$DN$401,0),COLUMN()),IF($A$1=1,INDEX($DQ$3:$DW$401,MATCH(ROWS(D$3:D287),$DW$3:$DW$401,0),COLUMN()),"")),"")</f>
        <v>D</v>
      </c>
      <c r="E287" s="48" t="str">
        <f ca="1">IFERROR(IF($A$1=2,INDEX($DH$3:$DN$401,MATCH(ROWS(E$3:E287),$DN$3:$DN$401,0),COLUMN()),IF($A$1=1,INDEX($DQ$3:$DW$401,MATCH(ROWS(E$3:E287),$DW$3:$DW$401,0),COLUMN()),"")),"")</f>
        <v>COSTI D'ESERCIZIO</v>
      </c>
      <c r="F287" s="48" t="str">
        <f ca="1">IFERROR(IF($A$1=2,INDEX($DH$3:$DN$401,MATCH(ROWS(F$3:F287),$DN$3:$DN$401,0),COLUMN()),IF($A$1=1,INDEX($DQ$3:$DX$401,MATCH(ROWS(F$3:F287),$DW$3:$DW$401,0),COLUMN()),"")),"")</f>
        <v>SE DARE</v>
      </c>
      <c r="G287" s="48" t="str">
        <f t="shared" ca="1" si="561"/>
        <v>SE</v>
      </c>
      <c r="H287" s="48" t="str">
        <f ca="1">IFERROR(IF($A$1=2,INDEX($DH$3:$DO$400,MATCH(ROWS(H$3:H287),$DN$3:$DN$400,0),COLUMN()),IF($A$1=1,INDEX($DQ$3:$DX$400,MATCH(ROWS(H$3:H287),$DW$3:$DW$400,0),COLUMN()),"")),"")</f>
        <v>eb14</v>
      </c>
      <c r="M287" s="48">
        <f ca="1">IFERROR(IF(IF(MID($A287,3,3)=".00",MID(A287,1,2),"")&lt;&gt;"",MAX($M$2:M286)+1,0),"")</f>
        <v>0</v>
      </c>
      <c r="N287" s="48" t="str">
        <f t="shared" ca="1" si="562"/>
        <v/>
      </c>
      <c r="O287" s="48" t="str">
        <f ca="1">IF(IFERROR(INDEX($N$3:$O$300,MATCH(ROWS($O$3:O287),$M$3:$M$300,0),1),"")&lt;&gt;"",CONCATENATE(INDEX($N$3:$O$300,MATCH(ROWS($O$3:O287),$M$3:$M$300,0),1),".00"),"")</f>
        <v/>
      </c>
      <c r="P287" s="48" t="str">
        <f t="shared" ca="1" si="563"/>
        <v/>
      </c>
      <c r="Q287" s="48">
        <f ca="1">IF(M287&gt;=1,0,MAX($Q$2:Q286)+1)</f>
        <v>254</v>
      </c>
      <c r="U287" s="48" t="str">
        <f ca="1">IFERROR(INDEX(PDC,MATCH(ROWS(U$3:U287),$V$3:$V$400,0),2),"")</f>
        <v>RIVALUTAZIONE TITOLI</v>
      </c>
      <c r="V287" s="48">
        <f ca="1">IF(AND($T$1="VISUALIZZA TUTTI I CONTI",AA287&lt;&gt;""),MAX($V$2:V286)+1,IF(AND($U$2=2,AI287=$T$1),MAX($V$2:V286)+1,IF(AND($U$2=1,$T$1=AF287),MAX($V$2:V286)+1,0)))</f>
        <v>285</v>
      </c>
      <c r="AA287" s="48" t="str">
        <f t="shared" ca="1" si="564"/>
        <v>50.00</v>
      </c>
      <c r="AB287" s="48" t="str">
        <f ca="1">IFERROR(INDEX($A$3:$G$400,MATCH(ROWS(AB$3:AB287),$Q$3:$Q$400,0),1),"")</f>
        <v>50.02</v>
      </c>
      <c r="AC287" s="48" t="str">
        <f ca="1">IFERROR(INDEX($A$3:$G$400,MATCH(ROWS($AC$3:AC287),$Q$3:$Q$400,0),2),"")</f>
        <v>RIVALUTAZIONE TITOLI</v>
      </c>
      <c r="AD287" s="48" t="str">
        <f ca="1">IFERROR(INDEX($A$3:$G$400,MATCH(ROWS(AD$3:AD287),$Q$3:$Q$400,0),3),"")</f>
        <v>E</v>
      </c>
      <c r="AE287" s="48" t="str">
        <f ca="1">IFERROR(INDEX($A$3:$G$400,MATCH(ROWS(AE$3:AE287),$Q$3:$Q$400,0),4),"")</f>
        <v>A</v>
      </c>
      <c r="AF287" s="48" t="str">
        <f ca="1">IFERROR(INDEX($A$3:$G$400,MATCH(ROWS(AF$3:AF287),$Q$3:$Q$400,0),5),"")</f>
        <v>RICAVI D'ESERCIZIO</v>
      </c>
      <c r="AG287" s="48" t="str">
        <f ca="1">IFERROR(INDEX($A$3:$G$400,MATCH(ROWS(AG$3:AG287),$Q$3:$Q$400,0),6),"")</f>
        <v>SE AVERE</v>
      </c>
      <c r="AH287" s="48" t="str">
        <f ca="1">IFERROR(INDEX($A$3:$G$400,MATCH(ROWS(AH$3:AH287),$Q$3:$Q$400,0),7),"")</f>
        <v>SE</v>
      </c>
      <c r="AI287" s="48" t="str">
        <f t="shared" ca="1" si="565"/>
        <v>RIVALUTAZIONI DI ATTIVITÀ FINANZIARIE</v>
      </c>
      <c r="AJ287" s="48" t="str">
        <f ca="1">IFERROR(INDEX($A$3:$H$400,MATCH(ROWS(AJ$3:AJ287),$Q$3:$Q$400,0),8),"")</f>
        <v>ed18c</v>
      </c>
      <c r="AK287" s="48">
        <f t="shared" ca="1" si="548"/>
        <v>0</v>
      </c>
      <c r="AL287" s="48">
        <f t="shared" ca="1" si="576"/>
        <v>0</v>
      </c>
      <c r="AM287" s="48">
        <f t="shared" ca="1" si="516"/>
        <v>0</v>
      </c>
      <c r="AN287" s="48">
        <f t="shared" ca="1" si="517"/>
        <v>0</v>
      </c>
      <c r="AO287" s="48">
        <f t="shared" ca="1" si="518"/>
        <v>0</v>
      </c>
      <c r="AP287" s="48">
        <f t="shared" ca="1" si="518"/>
        <v>0</v>
      </c>
      <c r="AZ287" s="48" t="str">
        <f t="shared" ca="1" si="584"/>
        <v/>
      </c>
      <c r="BA287" s="48">
        <f t="shared" ca="1" si="520"/>
        <v>0</v>
      </c>
      <c r="BB287" s="48">
        <f t="shared" ca="1" si="521"/>
        <v>0</v>
      </c>
      <c r="BC287" s="48">
        <f t="shared" ca="1" si="522"/>
        <v>0</v>
      </c>
      <c r="BD287" s="48">
        <f t="shared" ca="1" si="523"/>
        <v>0</v>
      </c>
      <c r="BE287" s="48">
        <f t="shared" ca="1" si="524"/>
        <v>0</v>
      </c>
      <c r="BF287" s="48">
        <f t="shared" si="585"/>
        <v>87</v>
      </c>
      <c r="BG287" s="48">
        <f ca="1">IF(IF(AND(OR(INDEX(PDC,MATCH($AC287,DEN_PDC,0),6)="SP DARE",INDEX(PDC,MATCH($AC287,DEN_PDC,0),6)="SP DARE/AVERE"),SUMIFS(DARE,DEN_G,$AC287)&gt;=SUMIFS(AVERE,DEN_G,$AC287)),SUMIFS(DARE,DEN_G,$AC287)-SUMIFS(AVERE,DEN_G,$AC287),0)&gt;0,MAX($BG$2:BG286)+1,0)</f>
        <v>0</v>
      </c>
      <c r="BH287" s="48">
        <f ca="1">IF(IF(AND(OR(INDEX(PDC,MATCH($AC287,DEN_PDC,0),6)="SP AVERE",INDEX(PDC,MATCH($AC287,DEN_PDC,0),6)="SP DARE/AVERE"),SUMIFS(AVERE,DEN_G,$AC287)&gt;=SUMIFS(DARE,DEN_G,$AC287)),SUMIFS(AVERE,DEN_G,$AC287)-SUMIFS(DARE,DEN_G,$AC287),0)&gt;0,MAX(BH$2:BH286)+1,0)</f>
        <v>0</v>
      </c>
      <c r="BI287" s="48">
        <f ca="1">IF(IF(AND(OR(INDEX(PDC,MATCH($AC287,DEN_PDC,0),6)="SE DARE",INDEX(PDC,MATCH($AC287,DEN_PDC,0),6)="SE DARE/AVERE"),SUMIFS(DARE,DEN_G,$AC287)&gt;=SUMIFS(AVERE,DEN_G,$AC287)),SUMIFS(DARE,DEN_G,$AC287)-SUMIFS(AVERE,DEN_G,$AC287),0)&gt;0,MAX(BI$2:BI286)+1,0)</f>
        <v>0</v>
      </c>
      <c r="BJ287" s="48">
        <f ca="1">IF(IF(AND(OR(INDEX(PDC,MATCH($AC287,DEN_PDC,0),6)="SE AVERE",INDEX(PDC,MATCH($AC287,DEN_PDC,0),6)="SE DARE/AVERE"),SUMIFS(AVERE,DEN_G,$AC287)&gt;=SUMIFS(DARE,DEN_G,$AC287)),SUMIFS(AVERE,DEN_G,$AC287)-SUMIFS(DARE,DEN_G,$AC287),0)&gt;0,MAX(BJ$2:BJ286)+1,0)</f>
        <v>0</v>
      </c>
      <c r="BK287" s="48" t="str">
        <f ca="1">IF(AND(AND($DY$2=0,$DY$1=0),$I$1=2,ROW()&gt;$BG$1+2,ROW()&lt;=$BG$1+4),"………………..",IF(AND(OR($DY$2&gt;0,$DY$1&gt;0),$I$1=2,ROW()&gt;$BG$1+2,ROW()&lt;=$BG$1+4),"………………..",IFERROR(INDEX($AC$3:$AC$398,MATCH(ROWS(BK$3:BK287),BG$3:BG$398,0),1),"")))</f>
        <v/>
      </c>
      <c r="BL287" s="48">
        <f t="shared" ca="1" si="549"/>
        <v>0</v>
      </c>
      <c r="BM287" s="48" t="str">
        <f ca="1">IF(AND(OR($DY$2=0,$DY$1=0),$I$1=2,ROW()&gt;$BH$1+2,ROW()&lt;=$BH$1+4),"………………..",IF(AND(OR($DY$2&gt;0,$DY$1&gt;0),$I$1=2,ROW()&gt;$BH$1+2,ROW()&lt;=$BH$1+4),"………………..",IFERROR(INDEX($AC$3:$AC$400,MATCH(ROWS(BM$3:BM287),BH$3:BH$400,0),1),"")))</f>
        <v/>
      </c>
      <c r="BN287" s="48">
        <f t="shared" ca="1" si="550"/>
        <v>0</v>
      </c>
      <c r="BO287" s="48" t="str">
        <f ca="1">IF(AND(OR($DY$2=0,$DY$1=0),$I$1=2,ROW()&gt;$BI$1+2,ROW()&lt;=$BI$1+4),"………………..",IF(AND(OR($DY$2&gt;0,$DY$1&gt;0),$I$1=2,ROW()&gt;$BI$1+2,ROW()&lt;=$BI$1+4),"………………..",IFERROR(INDEX($AC$3:$AC$400,MATCH(ROWS(BO$3:BO287),BI$3:BI$400,0),1),"")))</f>
        <v/>
      </c>
      <c r="BP287" s="48">
        <f t="shared" ca="1" si="551"/>
        <v>0</v>
      </c>
      <c r="BQ287" s="48" t="str">
        <f ca="1">IF(AND(OR($DY$2=0,$DY$1=0),$I$1=2,ROW()&gt;$BJ$1+2,ROW()&lt;=$BJ$1+4),"………………..",IF(AND(OR($DY$2&gt;0,$DY$1&gt;0),$I$1=2,ROW()&gt;$BJ$1+2,ROW()&lt;=$BJ$1+4),"………………..",IFERROR(INDEX($AC$3:$AC$400,MATCH(ROWS(BQ$3:BQ287),BJ$3:BJ$400,0),1),"")))</f>
        <v/>
      </c>
      <c r="BR287" s="48">
        <f t="shared" ca="1" si="552"/>
        <v>0</v>
      </c>
      <c r="BS287" s="48">
        <f ca="1">IF(IF(AND(OR(INDEX(PDC,MATCH($AC287,DEN_PDC,0),4)="D",INDEX(PDC,MATCH($AC287,DEN_PDC,0),4)="D/A"),SUMIFS(DARE,DEN_G,$AC287)&gt;=SUMIFS(AVERE,DEN_G,$AC287)),SUMIFS(DARE,DEN_G,$AC287),IF(AND(OR(INDEX(PDC,MATCH($AC287,DEN_PDC,0),4)="A",INDEX(PDC,MATCH($AC287,DEN_PDC,0),4)="D/A"),SUMIFS(AVERE,DEN_G,$AC287)&gt;=SUMIFS(DARE,DEN_G,$AC287)),SUMIFS(AVERE,DEN_G,$AC287),))&gt;0,MAX($BS$2:BS286)+1,0)</f>
        <v>0</v>
      </c>
      <c r="BT287" s="48" t="str">
        <f ca="1">IF($CO$1=0,"",IF(AND($I$1=2,ROW()&gt;$BR$1,ROW()&lt;=$BS$1)," …………….",IF(AND($E$1=1,$BX$1=1,$I$1=2,ROW()=$BQ$1),"TOTALI",IFERROR(INDEX(PDC,MATCH(ROWS(BT$3:BT287),BS$3:BS684,0),2),""))))</f>
        <v/>
      </c>
      <c r="BU287" s="48">
        <f t="shared" ca="1" si="553"/>
        <v>0</v>
      </c>
      <c r="BV287" s="48">
        <f t="shared" ca="1" si="554"/>
        <v>0</v>
      </c>
      <c r="BW287" s="48">
        <f t="shared" ca="1" si="555"/>
        <v>0</v>
      </c>
      <c r="BX287" s="48">
        <f t="shared" ca="1" si="556"/>
        <v>0</v>
      </c>
      <c r="BY287" s="48">
        <f ca="1">IF(OR(BW287&gt;0,BX287&gt;0),MAX($BY$2:BY286)+1,0)</f>
        <v>0</v>
      </c>
      <c r="BZ287" s="48" t="str">
        <f ca="1">IFERROR(INDEX($BT$3:$BY$400,MATCH(ROWS(BZ$3:BZ287),$BY$3:$BY$400,0),1),"")</f>
        <v/>
      </c>
      <c r="CA287" s="48" t="str">
        <f ca="1">IFERROR(INDEX($BT$3:$BY$400,MATCH(ROWS(CA$3:CA287),$BY$3:$BY$400,0),4),"")</f>
        <v/>
      </c>
      <c r="CB287" s="48" t="str">
        <f ca="1">IFERROR(INDEX($BT$3:$BY$400,MATCH(ROWS(CB$3:CB287),$BY$3:$BY$400,0),5),"")</f>
        <v/>
      </c>
      <c r="CC287" s="48" t="str">
        <f t="shared" ca="1" si="557"/>
        <v/>
      </c>
      <c r="CM287" s="242" t="str">
        <f t="shared" ca="1" si="566"/>
        <v/>
      </c>
      <c r="CN287" s="243">
        <f t="shared" ca="1" si="567"/>
        <v>0</v>
      </c>
      <c r="CO287" s="48" t="str">
        <f t="shared" ca="1" si="568"/>
        <v/>
      </c>
      <c r="CU287" s="48">
        <f ca="1">IF(SUMIFS(AVERE,DEN_G,AC287,AVERE,"&gt;"&amp;0)+SUMIFS(DARE,DEN_G,AC287,DARE,"&gt;"&amp;0)&gt;0,MAX($CU$2:CU286)+1,0)</f>
        <v>0</v>
      </c>
      <c r="CV287" s="48" t="str">
        <f ca="1">IF(IFERROR(INDEX(PDC,MATCH(ROWS($CV$3:CV287),$CU$3:$CU$400,0),2),"")="CONTO DI RISULTATO ECONOMICO","",IFERROR(INDEX(PDC,MATCH(ROWS($CV$3:CV287),$CU$3:$CU$400,0),2),""))</f>
        <v/>
      </c>
      <c r="CW287" s="48">
        <f ca="1">IFERROR(IF(CV287&lt;&gt;"",MAX($CW$2:CW286)+1,0),0)</f>
        <v>0</v>
      </c>
      <c r="CX287" s="48">
        <f t="shared" ca="1" si="589"/>
        <v>22</v>
      </c>
      <c r="CY287" s="48" t="str">
        <f t="shared" ca="1" si="588"/>
        <v>MASTRO</v>
      </c>
      <c r="CZ287" s="48" t="e">
        <f t="shared" ca="1" si="591"/>
        <v>#N/A</v>
      </c>
      <c r="DA287" s="48" t="str">
        <f t="shared" ca="1" si="596"/>
        <v/>
      </c>
      <c r="DB287" s="48" t="str">
        <f t="shared" ca="1" si="592"/>
        <v/>
      </c>
      <c r="DC287" s="48" t="str">
        <f t="shared" ca="1" si="593"/>
        <v/>
      </c>
      <c r="DD287" s="48" t="str">
        <f t="shared" ca="1" si="594"/>
        <v/>
      </c>
      <c r="DE287" s="48" t="str">
        <f t="shared" ca="1" si="595"/>
        <v/>
      </c>
      <c r="DF287" s="48">
        <f ca="1">IF(AND(CX287=$DF$1,CX287&lt;&gt;""),0,IF(AND(DB287&lt;&gt;"",OR(DB286&lt;&gt;"",DB288&lt;&gt;"")),MAX($DF$2:DF286)+1,0))</f>
        <v>0</v>
      </c>
      <c r="DH287" s="244" t="s">
        <v>204</v>
      </c>
      <c r="DI287" s="48" t="s">
        <v>194</v>
      </c>
      <c r="DJ287" s="48" t="s">
        <v>311</v>
      </c>
      <c r="DK287" s="48" t="s">
        <v>275</v>
      </c>
      <c r="DL287" s="48" t="s">
        <v>7</v>
      </c>
      <c r="DM287" s="48" t="s">
        <v>301</v>
      </c>
      <c r="DN287" s="48">
        <f ca="1">IF(DI287&lt;&gt;"",MAX($DN$2:DN286)+1,0)</f>
        <v>222</v>
      </c>
      <c r="DO287" s="48" t="s">
        <v>710</v>
      </c>
      <c r="DQ287" s="227" t="s">
        <v>891</v>
      </c>
      <c r="DR287" s="48" t="s">
        <v>203</v>
      </c>
      <c r="DS287" s="48" t="s">
        <v>311</v>
      </c>
      <c r="DT287" s="48" t="s">
        <v>275</v>
      </c>
      <c r="DU287" s="48" t="s">
        <v>7</v>
      </c>
      <c r="DV287" s="48" t="s">
        <v>301</v>
      </c>
      <c r="DW287" s="48">
        <f ca="1">IF(DR287&lt;&gt;"",MAX($DW$2:DW286)+1,0)</f>
        <v>175</v>
      </c>
      <c r="DX287" s="48" t="s">
        <v>710</v>
      </c>
      <c r="DY287" s="48" t="str">
        <f t="shared" ca="1" si="558"/>
        <v/>
      </c>
      <c r="EL287" s="48">
        <f t="shared" ca="1" si="559"/>
        <v>0</v>
      </c>
      <c r="EM287" s="48">
        <f ca="1">IF(EL287&gt;=0,0,MAX($EM$2:EM286)+1)</f>
        <v>0</v>
      </c>
      <c r="EN287" s="48" t="str">
        <f t="shared" ca="1" si="569"/>
        <v/>
      </c>
      <c r="EO287" s="48" t="str">
        <f ca="1">IFERROR(INDEX($EM$3:$EN$400,MATCH(ROWS($EO$3:EO287),$EM$3:$EM$400,0),2),"")</f>
        <v/>
      </c>
      <c r="EP287" s="48">
        <f>ROW()</f>
        <v>287</v>
      </c>
      <c r="EQ287" s="48">
        <f t="shared" ca="1" si="560"/>
        <v>0</v>
      </c>
      <c r="ER287" s="48">
        <f ca="1">IF(ISNA(EQ287)=TRUE,MAX($ER$2:ER286)+1,0)</f>
        <v>0</v>
      </c>
      <c r="ES287" s="48" t="str">
        <f t="shared" ca="1" si="570"/>
        <v/>
      </c>
      <c r="ET287" s="48" t="str">
        <f ca="1">IFERROR(INDEX($ER$3:$ES$400,MATCH(ROWS($ET$3:ET287),$ER$3:$ER$400,0),2),"")</f>
        <v/>
      </c>
      <c r="EV287" s="48">
        <f ca="1">IFERROR(INDEX(LIBRO_GIORNALE!$O$11:$P$408,MATCH(ROWS($EV$2:EV286),LIBRO_GIORNALE!$P$11:$P$408,0),1),0)</f>
        <v>0</v>
      </c>
      <c r="EW287" s="48" t="str">
        <f t="shared" ca="1" si="544"/>
        <v>0</v>
      </c>
      <c r="EX287" s="48">
        <f t="shared" ca="1" si="571"/>
        <v>0</v>
      </c>
      <c r="EY287" s="48">
        <f ca="1">IF(EX287&gt;0,MAX($EY$2:EY286)+1,0)</f>
        <v>0</v>
      </c>
      <c r="EZ287" s="48">
        <f ca="1">IFERROR(INDEX($EX$3:$EX$400,MATCH(ROWS($EZ$3:EZ287),$EY$3:$EY$400,0),1),0)</f>
        <v>0</v>
      </c>
      <c r="FA287" s="48">
        <f ca="1">IF(EZ287&gt;0,0,MAX($FA$2:FA286)+1)</f>
        <v>285</v>
      </c>
      <c r="FB287" s="48">
        <f t="shared" ca="1" si="545"/>
        <v>0</v>
      </c>
      <c r="FC287" s="48">
        <f t="shared" ca="1" si="546"/>
        <v>285</v>
      </c>
      <c r="FD287" s="48">
        <f t="shared" ca="1" si="572"/>
        <v>285</v>
      </c>
      <c r="FE287" s="48">
        <f ca="1">IF(FD287=0,0,MAX($FE$2:FE286)+1)</f>
        <v>285</v>
      </c>
      <c r="FF287" s="48">
        <f ca="1">IFERROR(INDEX($FD$3:$FE$400,MATCH(ROWS($FF$3:FF287),$FE$3:$FE$400,0),1),"")</f>
        <v>285</v>
      </c>
      <c r="FG287" s="48">
        <f t="shared" ca="1" si="519"/>
        <v>0</v>
      </c>
      <c r="FH287" s="48">
        <f t="shared" ca="1" si="573"/>
        <v>0</v>
      </c>
      <c r="FI287" s="48">
        <f ca="1">IF(FH287&lt;&gt;0,MAX($FI$2:FI286)+1,0)</f>
        <v>0</v>
      </c>
      <c r="FJ287" s="48" t="str">
        <f ca="1">IFERROR(INDEX($FH$3:$FI$400,MATCH(ROWS($FJ$3:FJ287),$FI$3:$FI$400,0),1),"")</f>
        <v/>
      </c>
      <c r="FK287" s="48">
        <f ca="1">IF(ABS(SUMIFS(DARE,DEN_G,"="&amp;FJ287,DATA,"&lt;="&amp;FINE_AC,DATA,"&gt;="&amp;INIZIO_A_PC)-SUMIFS(AVERE,DEN_G,"="&amp;FJ287,DATA,"&lt;="&amp;FINE_AC,DATA,"&gt;="&amp;INIZIO_A_PC))&gt;0,MAX($FK$2:FK286)+1,0)</f>
        <v>0</v>
      </c>
      <c r="FL287" s="48" t="str">
        <f ca="1">IF(AND(ROW()-2&lt;&gt;1,ROW()-2&lt;=$FK$1),CONCATENATE(" - ",IFERROR(INDEX($FJ$3:$FK$400,MATCH(ROWS($FL$3:FL287),$FK$3:$FK$400,0),1),"")),IFERROR(INDEX($FJ$3:$FK$400,MATCH(ROWS($FL$3:FL287),$FK$3:$FK$400,0),1),""))</f>
        <v/>
      </c>
      <c r="FM287" s="48">
        <f ca="1">IF(OR(B287="IVA ns/credito",B287="IVA NS/DEBITO",B287="IVA C/ACCONTO",B287="IMPOSTE C/ACCONTO",B287="CREDITI PER RITENUTE SUBITE",B287="CREDITI D'IMPOSTA"),MAX($FM$2:FM286)+1,0)</f>
        <v>0</v>
      </c>
      <c r="FN287" s="48" t="str">
        <f t="shared" ca="1" si="574"/>
        <v/>
      </c>
      <c r="FO287" s="48" t="str">
        <f ca="1">IFERROR(INDEX($FM$3:$FN$400,MATCH(ROWS($FO$3:FO287),$FM$3:$FM$400,0),2),"")</f>
        <v/>
      </c>
      <c r="FP287" s="48">
        <f ca="1">IF(ABS(SUMIFS(DARE,DEN_G,"="&amp;FO287,DATA,"&lt;="&amp;FINE_AC,DATA,"&gt;="&amp;INIZIO_A_PC)-SUMIFS(AVERE,DEN_G,"="&amp;FO287,DATA,"&lt;="&amp;FINE_AC,DATA,"&gt;="&amp;INIZIO_A_PC))&gt;0,MAX($FP$2:FP286)+1,0)</f>
        <v>0</v>
      </c>
      <c r="FQ287" s="48" t="str">
        <f ca="1">IF(AND(ROW()-2&lt;&gt;1,ROW()-2&lt;=$FP$1),CONCATENATE(" - ",IFERROR(INDEX($FO$3:$FP$400,MATCH(ROWS($FQ$3:FQ287),$FP$3:$FP$400,0),1),"")),IFERROR(INDEX($FO$3:$FP$400,MATCH(ROWS($FQ$3:FQ287),$FP$3:$FP$400,0),1),""))</f>
        <v/>
      </c>
    </row>
    <row r="288" spans="1:173" x14ac:dyDescent="0.3">
      <c r="A288" s="48" t="str">
        <f ca="1">IFERROR(IF($A$1=2,INDEX($DH$3:$DN$401,MATCH(ROWS(A$3:A288),$DN$3:$DN$401,0),COLUMN()),IF($A$1=1,INDEX($DQ$3:$DW$401,MATCH(ROWS(A$3:A288),$DW$3:$DW$401,0),COLUMN()),"")),"")</f>
        <v>39.10</v>
      </c>
      <c r="B288" s="48" t="str">
        <f ca="1">IFERROR(IF($A$1=2,INDEX($DH$3:$DN$401,MATCH(ROWS(B$3:B288),$DN$3:$DN$401,0),COLUMN()),IF($A$1=1,INDEX($DQ$3:$DW$400,MATCH(ROWS(B$3:B288),$DW$3:$DW$401,0),COLUMN()),"")),"")</f>
        <v>MINUSVALENZE</v>
      </c>
      <c r="C288" s="48" t="str">
        <f ca="1">IFERROR(IF($A$1=2,INDEX($DH$3:$DN$401,MATCH(ROWS(C$3:C288),$DN$3:$DN$401,0),COLUMN()),IF($A$1=1,INDEX($DQ$3:$DW$401,MATCH(ROWS(C$3:C288),$DW$3:$DW$401,0),COLUMN()),"")),"")</f>
        <v>E</v>
      </c>
      <c r="D288" s="48" t="str">
        <f ca="1">IFERROR(IF($A$1=2,INDEX($DH$3:$DN$401,MATCH(ROWS(D$3:D288),$DN$3:$DN$401,0),COLUMN()),IF($A$1=1,INDEX($DQ$3:$DW$401,MATCH(ROWS(D$3:D288),$DW$3:$DW$401,0),COLUMN()),"")),"")</f>
        <v>D</v>
      </c>
      <c r="E288" s="48" t="str">
        <f ca="1">IFERROR(IF($A$1=2,INDEX($DH$3:$DN$401,MATCH(ROWS(E$3:E288),$DN$3:$DN$401,0),COLUMN()),IF($A$1=1,INDEX($DQ$3:$DW$401,MATCH(ROWS(E$3:E288),$DW$3:$DW$401,0),COLUMN()),"")),"")</f>
        <v>COSTI D'ESERCIZIO</v>
      </c>
      <c r="F288" s="48" t="str">
        <f ca="1">IFERROR(IF($A$1=2,INDEX($DH$3:$DN$401,MATCH(ROWS(F$3:F288),$DN$3:$DN$401,0),COLUMN()),IF($A$1=1,INDEX($DQ$3:$DX$401,MATCH(ROWS(F$3:F288),$DW$3:$DW$401,0),COLUMN()),"")),"")</f>
        <v>SE DARE</v>
      </c>
      <c r="G288" s="48" t="str">
        <f t="shared" ca="1" si="561"/>
        <v>SE</v>
      </c>
      <c r="H288" s="48" t="str">
        <f ca="1">IFERROR(IF($A$1=2,INDEX($DH$3:$DO$400,MATCH(ROWS(H$3:H288),$DN$3:$DN$400,0),COLUMN()),IF($A$1=1,INDEX($DQ$3:$DX$400,MATCH(ROWS(H$3:H288),$DW$3:$DW$400,0),COLUMN()),"")),"")</f>
        <v>eb14</v>
      </c>
      <c r="M288" s="48">
        <f ca="1">IFERROR(IF(IF(MID($A288,3,3)=".00",MID(A288,1,2),"")&lt;&gt;"",MAX($M$2:M287)+1,0),"")</f>
        <v>0</v>
      </c>
      <c r="N288" s="48" t="str">
        <f t="shared" ca="1" si="562"/>
        <v/>
      </c>
      <c r="O288" s="48" t="str">
        <f ca="1">IF(IFERROR(INDEX($N$3:$O$300,MATCH(ROWS($O$3:O288),$M$3:$M$300,0),1),"")&lt;&gt;"",CONCATENATE(INDEX($N$3:$O$300,MATCH(ROWS($O$3:O288),$M$3:$M$300,0),1),".00"),"")</f>
        <v/>
      </c>
      <c r="P288" s="48" t="str">
        <f t="shared" ca="1" si="563"/>
        <v/>
      </c>
      <c r="Q288" s="48">
        <f ca="1">IF(M288&gt;=1,0,MAX($Q$2:Q287)+1)</f>
        <v>255</v>
      </c>
      <c r="U288" s="48" t="str">
        <f ca="1">IFERROR(INDEX(PDC,MATCH(ROWS(U$3:U288),$V$3:$V$400,0),2),"")</f>
        <v>SVALUTAZIONE PARTECIPAZIONI</v>
      </c>
      <c r="V288" s="48">
        <f ca="1">IF(AND($T$1="VISUALIZZA TUTTI I CONTI",AA288&lt;&gt;""),MAX($V$2:V287)+1,IF(AND($U$2=2,AI288=$T$1),MAX($V$2:V287)+1,IF(AND($U$2=1,$T$1=AF288),MAX($V$2:V287)+1,0)))</f>
        <v>286</v>
      </c>
      <c r="AA288" s="48" t="str">
        <f t="shared" ca="1" si="564"/>
        <v>51.00</v>
      </c>
      <c r="AB288" s="48" t="str">
        <f ca="1">IFERROR(INDEX($A$3:$G$400,MATCH(ROWS(AB$3:AB288),$Q$3:$Q$400,0),1),"")</f>
        <v>51.10</v>
      </c>
      <c r="AC288" s="48" t="str">
        <f ca="1">IFERROR(INDEX($A$3:$G$400,MATCH(ROWS($AC$3:AC288),$Q$3:$Q$400,0),2),"")</f>
        <v>SVALUTAZIONE PARTECIPAZIONI</v>
      </c>
      <c r="AD288" s="48" t="str">
        <f ca="1">IFERROR(INDEX($A$3:$G$400,MATCH(ROWS(AD$3:AD288),$Q$3:$Q$400,0),3),"")</f>
        <v>E</v>
      </c>
      <c r="AE288" s="48" t="str">
        <f ca="1">IFERROR(INDEX($A$3:$G$400,MATCH(ROWS(AE$3:AE288),$Q$3:$Q$400,0),4),"")</f>
        <v>D</v>
      </c>
      <c r="AF288" s="48" t="str">
        <f ca="1">IFERROR(INDEX($A$3:$G$400,MATCH(ROWS(AF$3:AF288),$Q$3:$Q$400,0),5),"")</f>
        <v>COSTI D'ESERCIZIO</v>
      </c>
      <c r="AG288" s="48" t="str">
        <f ca="1">IFERROR(INDEX($A$3:$G$400,MATCH(ROWS(AG$3:AG288),$Q$3:$Q$400,0),6),"")</f>
        <v>SE DARE</v>
      </c>
      <c r="AH288" s="48" t="str">
        <f ca="1">IFERROR(INDEX($A$3:$G$400,MATCH(ROWS(AH$3:AH288),$Q$3:$Q$400,0),7),"")</f>
        <v>SE</v>
      </c>
      <c r="AI288" s="48" t="str">
        <f t="shared" ca="1" si="565"/>
        <v>SVALUTAZIONI DI ATTIVITÀ FINANZIARIE</v>
      </c>
      <c r="AJ288" s="48" t="str">
        <f ca="1">IFERROR(INDEX($A$3:$H$400,MATCH(ROWS(AJ$3:AJ288),$Q$3:$Q$400,0),8),"")</f>
        <v>ed19a</v>
      </c>
      <c r="AK288" s="48">
        <f t="shared" ca="1" si="548"/>
        <v>0</v>
      </c>
      <c r="AL288" s="48">
        <f t="shared" ca="1" si="576"/>
        <v>0</v>
      </c>
      <c r="AM288" s="48">
        <f t="shared" ca="1" si="516"/>
        <v>0</v>
      </c>
      <c r="AN288" s="48">
        <f t="shared" ca="1" si="517"/>
        <v>0</v>
      </c>
      <c r="AO288" s="48">
        <f t="shared" ca="1" si="518"/>
        <v>0</v>
      </c>
      <c r="AP288" s="48">
        <f t="shared" ca="1" si="518"/>
        <v>0</v>
      </c>
      <c r="AZ288" s="48" t="str">
        <f t="shared" ca="1" si="584"/>
        <v/>
      </c>
      <c r="BA288" s="48">
        <f t="shared" ca="1" si="520"/>
        <v>0</v>
      </c>
      <c r="BB288" s="48">
        <f t="shared" ca="1" si="521"/>
        <v>0</v>
      </c>
      <c r="BC288" s="48">
        <f t="shared" ca="1" si="522"/>
        <v>0</v>
      </c>
      <c r="BD288" s="48">
        <f t="shared" ca="1" si="523"/>
        <v>0</v>
      </c>
      <c r="BE288" s="48">
        <f t="shared" ca="1" si="524"/>
        <v>0</v>
      </c>
      <c r="BF288" s="48">
        <f t="shared" si="585"/>
        <v>88</v>
      </c>
      <c r="BG288" s="48">
        <f ca="1">IF(IF(AND(OR(INDEX(PDC,MATCH($AC288,DEN_PDC,0),6)="SP DARE",INDEX(PDC,MATCH($AC288,DEN_PDC,0),6)="SP DARE/AVERE"),SUMIFS(DARE,DEN_G,$AC288)&gt;=SUMIFS(AVERE,DEN_G,$AC288)),SUMIFS(DARE,DEN_G,$AC288)-SUMIFS(AVERE,DEN_G,$AC288),0)&gt;0,MAX($BG$2:BG287)+1,0)</f>
        <v>0</v>
      </c>
      <c r="BH288" s="48">
        <f ca="1">IF(IF(AND(OR(INDEX(PDC,MATCH($AC288,DEN_PDC,0),6)="SP AVERE",INDEX(PDC,MATCH($AC288,DEN_PDC,0),6)="SP DARE/AVERE"),SUMIFS(AVERE,DEN_G,$AC288)&gt;=SUMIFS(DARE,DEN_G,$AC288)),SUMIFS(AVERE,DEN_G,$AC288)-SUMIFS(DARE,DEN_G,$AC288),0)&gt;0,MAX(BH$2:BH287)+1,0)</f>
        <v>0</v>
      </c>
      <c r="BI288" s="48">
        <f ca="1">IF(IF(AND(OR(INDEX(PDC,MATCH($AC288,DEN_PDC,0),6)="SE DARE",INDEX(PDC,MATCH($AC288,DEN_PDC,0),6)="SE DARE/AVERE"),SUMIFS(DARE,DEN_G,$AC288)&gt;=SUMIFS(AVERE,DEN_G,$AC288)),SUMIFS(DARE,DEN_G,$AC288)-SUMIFS(AVERE,DEN_G,$AC288),0)&gt;0,MAX(BI$2:BI287)+1,0)</f>
        <v>0</v>
      </c>
      <c r="BJ288" s="48">
        <f ca="1">IF(IF(AND(OR(INDEX(PDC,MATCH($AC288,DEN_PDC,0),6)="SE AVERE",INDEX(PDC,MATCH($AC288,DEN_PDC,0),6)="SE DARE/AVERE"),SUMIFS(AVERE,DEN_G,$AC288)&gt;=SUMIFS(DARE,DEN_G,$AC288)),SUMIFS(AVERE,DEN_G,$AC288)-SUMIFS(DARE,DEN_G,$AC288),0)&gt;0,MAX(BJ$2:BJ287)+1,0)</f>
        <v>0</v>
      </c>
      <c r="BK288" s="48" t="str">
        <f ca="1">IF(AND(AND($DY$2=0,$DY$1=0),$I$1=2,ROW()&gt;$BG$1+2,ROW()&lt;=$BG$1+4),"………………..",IF(AND(OR($DY$2&gt;0,$DY$1&gt;0),$I$1=2,ROW()&gt;$BG$1+2,ROW()&lt;=$BG$1+4),"………………..",IFERROR(INDEX($AC$3:$AC$398,MATCH(ROWS(BK$3:BK288),BG$3:BG$398,0),1),"")))</f>
        <v/>
      </c>
      <c r="BL288" s="48">
        <f t="shared" ca="1" si="549"/>
        <v>0</v>
      </c>
      <c r="BM288" s="48" t="str">
        <f ca="1">IF(AND(OR($DY$2=0,$DY$1=0),$I$1=2,ROW()&gt;$BH$1+2,ROW()&lt;=$BH$1+4),"………………..",IF(AND(OR($DY$2&gt;0,$DY$1&gt;0),$I$1=2,ROW()&gt;$BH$1+2,ROW()&lt;=$BH$1+4),"………………..",IFERROR(INDEX($AC$3:$AC$400,MATCH(ROWS(BM$3:BM288),BH$3:BH$400,0),1),"")))</f>
        <v/>
      </c>
      <c r="BN288" s="48">
        <f t="shared" ca="1" si="550"/>
        <v>0</v>
      </c>
      <c r="BO288" s="48" t="str">
        <f ca="1">IF(AND(OR($DY$2=0,$DY$1=0),$I$1=2,ROW()&gt;$BI$1+2,ROW()&lt;=$BI$1+4),"………………..",IF(AND(OR($DY$2&gt;0,$DY$1&gt;0),$I$1=2,ROW()&gt;$BI$1+2,ROW()&lt;=$BI$1+4),"………………..",IFERROR(INDEX($AC$3:$AC$400,MATCH(ROWS(BO$3:BO288),BI$3:BI$400,0),1),"")))</f>
        <v/>
      </c>
      <c r="BP288" s="48">
        <f t="shared" ca="1" si="551"/>
        <v>0</v>
      </c>
      <c r="BQ288" s="48" t="str">
        <f ca="1">IF(AND(OR($DY$2=0,$DY$1=0),$I$1=2,ROW()&gt;$BJ$1+2,ROW()&lt;=$BJ$1+4),"………………..",IF(AND(OR($DY$2&gt;0,$DY$1&gt;0),$I$1=2,ROW()&gt;$BJ$1+2,ROW()&lt;=$BJ$1+4),"………………..",IFERROR(INDEX($AC$3:$AC$400,MATCH(ROWS(BQ$3:BQ288),BJ$3:BJ$400,0),1),"")))</f>
        <v/>
      </c>
      <c r="BR288" s="48">
        <f t="shared" ca="1" si="552"/>
        <v>0</v>
      </c>
      <c r="BS288" s="48">
        <f ca="1">IF(IF(AND(OR(INDEX(PDC,MATCH($AC288,DEN_PDC,0),4)="D",INDEX(PDC,MATCH($AC288,DEN_PDC,0),4)="D/A"),SUMIFS(DARE,DEN_G,$AC288)&gt;=SUMIFS(AVERE,DEN_G,$AC288)),SUMIFS(DARE,DEN_G,$AC288),IF(AND(OR(INDEX(PDC,MATCH($AC288,DEN_PDC,0),4)="A",INDEX(PDC,MATCH($AC288,DEN_PDC,0),4)="D/A"),SUMIFS(AVERE,DEN_G,$AC288)&gt;=SUMIFS(DARE,DEN_G,$AC288)),SUMIFS(AVERE,DEN_G,$AC288),))&gt;0,MAX($BS$2:BS287)+1,0)</f>
        <v>0</v>
      </c>
      <c r="BT288" s="48" t="str">
        <f ca="1">IF($CO$1=0,"",IF(AND($I$1=2,ROW()&gt;$BR$1,ROW()&lt;=$BS$1)," …………….",IF(AND($E$1=1,$BX$1=1,$I$1=2,ROW()=$BQ$1),"TOTALI",IFERROR(INDEX(PDC,MATCH(ROWS(BT$3:BT288),BS$3:BS685,0),2),""))))</f>
        <v/>
      </c>
      <c r="BU288" s="48">
        <f t="shared" ca="1" si="553"/>
        <v>0</v>
      </c>
      <c r="BV288" s="48">
        <f t="shared" ca="1" si="554"/>
        <v>0</v>
      </c>
      <c r="BW288" s="48">
        <f t="shared" ca="1" si="555"/>
        <v>0</v>
      </c>
      <c r="BX288" s="48">
        <f t="shared" ca="1" si="556"/>
        <v>0</v>
      </c>
      <c r="BY288" s="48">
        <f ca="1">IF(OR(BW288&gt;0,BX288&gt;0),MAX($BY$2:BY287)+1,0)</f>
        <v>0</v>
      </c>
      <c r="BZ288" s="48" t="str">
        <f ca="1">IFERROR(INDEX($BT$3:$BY$400,MATCH(ROWS(BZ$3:BZ288),$BY$3:$BY$400,0),1),"")</f>
        <v/>
      </c>
      <c r="CA288" s="48" t="str">
        <f ca="1">IFERROR(INDEX($BT$3:$BY$400,MATCH(ROWS(CA$3:CA288),$BY$3:$BY$400,0),4),"")</f>
        <v/>
      </c>
      <c r="CB288" s="48" t="str">
        <f ca="1">IFERROR(INDEX($BT$3:$BY$400,MATCH(ROWS(CB$3:CB288),$BY$3:$BY$400,0),5),"")</f>
        <v/>
      </c>
      <c r="CC288" s="48" t="str">
        <f t="shared" ca="1" si="557"/>
        <v/>
      </c>
      <c r="CM288" s="242" t="str">
        <f t="shared" ca="1" si="566"/>
        <v/>
      </c>
      <c r="CN288" s="243">
        <f t="shared" ca="1" si="567"/>
        <v>0</v>
      </c>
      <c r="CO288" s="48" t="str">
        <f t="shared" ca="1" si="568"/>
        <v/>
      </c>
      <c r="CU288" s="48">
        <f ca="1">IF(SUMIFS(AVERE,DEN_G,AC288,AVERE,"&gt;"&amp;0)+SUMIFS(DARE,DEN_G,AC288,DARE,"&gt;"&amp;0)&gt;0,MAX($CU$2:CU287)+1,0)</f>
        <v>0</v>
      </c>
      <c r="CV288" s="48" t="str">
        <f ca="1">IF(IFERROR(INDEX(PDC,MATCH(ROWS($CV$3:CV288),$CU$3:$CU$400,0),2),"")="CONTO DI RISULTATO ECONOMICO","",IFERROR(INDEX(PDC,MATCH(ROWS($CV$3:CV288),$CU$3:$CU$400,0),2),""))</f>
        <v/>
      </c>
      <c r="CW288" s="48">
        <f ca="1">IFERROR(IF(CV288&lt;&gt;"",MAX($CW$2:CW287)+1,0),0)</f>
        <v>0</v>
      </c>
      <c r="CY288" s="48" t="s">
        <v>500</v>
      </c>
      <c r="DB288" s="48" t="str">
        <f t="shared" ref="DB288" ca="1" si="597">IF(CX287=$DF$1,"","MASTRO")</f>
        <v>MASTRO</v>
      </c>
      <c r="DF288" s="48">
        <f ca="1">IF(AND(CX288=$DF$1,CX288&lt;&gt;""),0,IF(AND(DB288&lt;&gt;"",OR(DB287&lt;&gt;"",DB289&lt;&gt;"")),MAX($DF$2:DF287)+1,0))</f>
        <v>0</v>
      </c>
      <c r="DH288" s="244" t="s">
        <v>205</v>
      </c>
      <c r="DI288" s="48" t="s">
        <v>195</v>
      </c>
      <c r="DJ288" s="48" t="s">
        <v>311</v>
      </c>
      <c r="DK288" s="48" t="s">
        <v>275</v>
      </c>
      <c r="DL288" s="48" t="s">
        <v>7</v>
      </c>
      <c r="DM288" s="48" t="s">
        <v>301</v>
      </c>
      <c r="DN288" s="48">
        <f ca="1">IF(DI288&lt;&gt;"",MAX($DN$2:DN287)+1,0)</f>
        <v>223</v>
      </c>
      <c r="DO288" s="48" t="s">
        <v>710</v>
      </c>
      <c r="DQ288" s="227" t="s">
        <v>1041</v>
      </c>
      <c r="DR288" s="48" t="s">
        <v>1040</v>
      </c>
      <c r="DS288" s="48" t="s">
        <v>311</v>
      </c>
      <c r="DT288" s="48" t="s">
        <v>275</v>
      </c>
      <c r="DU288" s="48" t="s">
        <v>7</v>
      </c>
      <c r="DV288" s="48" t="s">
        <v>301</v>
      </c>
      <c r="DW288" s="48">
        <f ca="1">IF(DR288&lt;&gt;"",MAX($DW$2:DW287)+1,0)</f>
        <v>176</v>
      </c>
      <c r="DX288" s="48" t="s">
        <v>710</v>
      </c>
      <c r="DY288" s="48" t="str">
        <f t="shared" ca="1" si="558"/>
        <v/>
      </c>
      <c r="EL288" s="48">
        <f t="shared" ca="1" si="559"/>
        <v>0</v>
      </c>
      <c r="EM288" s="48">
        <f ca="1">IF(EL288&gt;=0,0,MAX($EM$2:EM287)+1)</f>
        <v>0</v>
      </c>
      <c r="EN288" s="48" t="str">
        <f t="shared" ca="1" si="569"/>
        <v/>
      </c>
      <c r="EO288" s="48" t="str">
        <f ca="1">IFERROR(INDEX($EM$3:$EN$400,MATCH(ROWS($EO$3:EO288),$EM$3:$EM$400,0),2),"")</f>
        <v/>
      </c>
      <c r="EP288" s="48">
        <f>ROW()</f>
        <v>288</v>
      </c>
      <c r="EQ288" s="48">
        <f t="shared" ca="1" si="560"/>
        <v>0</v>
      </c>
      <c r="ER288" s="48">
        <f ca="1">IF(ISNA(EQ288)=TRUE,MAX($ER$2:ER287)+1,0)</f>
        <v>0</v>
      </c>
      <c r="ES288" s="48" t="str">
        <f t="shared" ca="1" si="570"/>
        <v/>
      </c>
      <c r="ET288" s="48" t="str">
        <f ca="1">IFERROR(INDEX($ER$3:$ES$400,MATCH(ROWS($ET$3:ET288),$ER$3:$ER$400,0),2),"")</f>
        <v/>
      </c>
      <c r="EV288" s="48">
        <f ca="1">IFERROR(INDEX(LIBRO_GIORNALE!$O$11:$P$408,MATCH(ROWS($EV$2:EV287),LIBRO_GIORNALE!$P$11:$P$408,0),1),0)</f>
        <v>0</v>
      </c>
      <c r="EW288" s="48" t="str">
        <f t="shared" ca="1" si="544"/>
        <v>0</v>
      </c>
      <c r="EX288" s="48">
        <f t="shared" ca="1" si="571"/>
        <v>0</v>
      </c>
      <c r="EY288" s="48">
        <f ca="1">IF(EX288&gt;0,MAX($EY$2:EY287)+1,0)</f>
        <v>0</v>
      </c>
      <c r="EZ288" s="48">
        <f ca="1">IFERROR(INDEX($EX$3:$EX$400,MATCH(ROWS($EZ$3:EZ288),$EY$3:$EY$400,0),1),0)</f>
        <v>0</v>
      </c>
      <c r="FA288" s="48">
        <f ca="1">IF(EZ288&gt;0,0,MAX($FA$2:FA287)+1)</f>
        <v>286</v>
      </c>
      <c r="FB288" s="48">
        <f t="shared" ca="1" si="545"/>
        <v>0</v>
      </c>
      <c r="FC288" s="48">
        <f t="shared" ca="1" si="546"/>
        <v>286</v>
      </c>
      <c r="FD288" s="48">
        <f t="shared" ca="1" si="572"/>
        <v>286</v>
      </c>
      <c r="FE288" s="48">
        <f ca="1">IF(FD288=0,0,MAX($FE$2:FE287)+1)</f>
        <v>286</v>
      </c>
      <c r="FF288" s="48">
        <f ca="1">IFERROR(INDEX($FD$3:$FE$400,MATCH(ROWS($FF$3:FF288),$FE$3:$FE$400,0),1),"")</f>
        <v>286</v>
      </c>
      <c r="FG288" s="48">
        <f t="shared" ca="1" si="519"/>
        <v>0</v>
      </c>
      <c r="FH288" s="48">
        <f t="shared" ca="1" si="573"/>
        <v>0</v>
      </c>
      <c r="FI288" s="48">
        <f ca="1">IF(FH288&lt;&gt;0,MAX($FI$2:FI287)+1,0)</f>
        <v>0</v>
      </c>
      <c r="FJ288" s="48" t="str">
        <f ca="1">IFERROR(INDEX($FH$3:$FI$400,MATCH(ROWS($FJ$3:FJ288),$FI$3:$FI$400,0),1),"")</f>
        <v/>
      </c>
      <c r="FK288" s="48">
        <f ca="1">IF(ABS(SUMIFS(DARE,DEN_G,"="&amp;FJ288,DATA,"&lt;="&amp;FINE_AC,DATA,"&gt;="&amp;INIZIO_A_PC)-SUMIFS(AVERE,DEN_G,"="&amp;FJ288,DATA,"&lt;="&amp;FINE_AC,DATA,"&gt;="&amp;INIZIO_A_PC))&gt;0,MAX($FK$2:FK287)+1,0)</f>
        <v>0</v>
      </c>
      <c r="FL288" s="48" t="str">
        <f ca="1">IF(AND(ROW()-2&lt;&gt;1,ROW()-2&lt;=$FK$1),CONCATENATE(" - ",IFERROR(INDEX($FJ$3:$FK$400,MATCH(ROWS($FL$3:FL288),$FK$3:$FK$400,0),1),"")),IFERROR(INDEX($FJ$3:$FK$400,MATCH(ROWS($FL$3:FL288),$FK$3:$FK$400,0),1),""))</f>
        <v/>
      </c>
      <c r="FM288" s="48">
        <f ca="1">IF(OR(B288="IVA ns/credito",B288="IVA NS/DEBITO",B288="IVA C/ACCONTO",B288="IMPOSTE C/ACCONTO",B288="CREDITI PER RITENUTE SUBITE",B288="CREDITI D'IMPOSTA"),MAX($FM$2:FM287)+1,0)</f>
        <v>0</v>
      </c>
      <c r="FN288" s="48" t="str">
        <f t="shared" ca="1" si="574"/>
        <v/>
      </c>
      <c r="FO288" s="48" t="str">
        <f ca="1">IFERROR(INDEX($FM$3:$FN$400,MATCH(ROWS($FO$3:FO288),$FM$3:$FM$400,0),2),"")</f>
        <v/>
      </c>
      <c r="FP288" s="48">
        <f ca="1">IF(ABS(SUMIFS(DARE,DEN_G,"="&amp;FO288,DATA,"&lt;="&amp;FINE_AC,DATA,"&gt;="&amp;INIZIO_A_PC)-SUMIFS(AVERE,DEN_G,"="&amp;FO288,DATA,"&lt;="&amp;FINE_AC,DATA,"&gt;="&amp;INIZIO_A_PC))&gt;0,MAX($FP$2:FP287)+1,0)</f>
        <v>0</v>
      </c>
      <c r="FQ288" s="48" t="str">
        <f ca="1">IF(AND(ROW()-2&lt;&gt;1,ROW()-2&lt;=$FP$1),CONCATENATE(" - ",IFERROR(INDEX($FO$3:$FP$400,MATCH(ROWS($FQ$3:FQ288),$FP$3:$FP$400,0),1),"")),IFERROR(INDEX($FO$3:$FP$400,MATCH(ROWS($FQ$3:FQ288),$FP$3:$FP$400,0),1),""))</f>
        <v/>
      </c>
    </row>
    <row r="289" spans="1:173" x14ac:dyDescent="0.3">
      <c r="A289" s="48" t="str">
        <f ca="1">IFERROR(IF($A$1=2,INDEX($DH$3:$DN$401,MATCH(ROWS(A$3:A289),$DN$3:$DN$401,0),COLUMN()),IF($A$1=1,INDEX($DQ$3:$DW$401,MATCH(ROWS(A$3:A289),$DW$3:$DW$401,0),COLUMN()),"")),"")</f>
        <v>39.11</v>
      </c>
      <c r="B289" s="48" t="str">
        <f ca="1">IFERROR(IF($A$1=2,INDEX($DH$3:$DN$401,MATCH(ROWS(B$3:B289),$DN$3:$DN$401,0),COLUMN()),IF($A$1=1,INDEX($DQ$3:$DW$400,MATCH(ROWS(B$3:B289),$DW$3:$DW$401,0),COLUMN()),"")),"")</f>
        <v>SOPRAVVENIENZE PASSIVE</v>
      </c>
      <c r="C289" s="48" t="str">
        <f ca="1">IFERROR(IF($A$1=2,INDEX($DH$3:$DN$401,MATCH(ROWS(C$3:C289),$DN$3:$DN$401,0),COLUMN()),IF($A$1=1,INDEX($DQ$3:$DW$401,MATCH(ROWS(C$3:C289),$DW$3:$DW$401,0),COLUMN()),"")),"")</f>
        <v>E</v>
      </c>
      <c r="D289" s="48" t="str">
        <f ca="1">IFERROR(IF($A$1=2,INDEX($DH$3:$DN$401,MATCH(ROWS(D$3:D289),$DN$3:$DN$401,0),COLUMN()),IF($A$1=1,INDEX($DQ$3:$DW$401,MATCH(ROWS(D$3:D289),$DW$3:$DW$401,0),COLUMN()),"")),"")</f>
        <v>D</v>
      </c>
      <c r="E289" s="48" t="str">
        <f ca="1">IFERROR(IF($A$1=2,INDEX($DH$3:$DN$401,MATCH(ROWS(E$3:E289),$DN$3:$DN$401,0),COLUMN()),IF($A$1=1,INDEX($DQ$3:$DW$401,MATCH(ROWS(E$3:E289),$DW$3:$DW$401,0),COLUMN()),"")),"")</f>
        <v>COSTI D'ESERCIZIO</v>
      </c>
      <c r="F289" s="48" t="str">
        <f ca="1">IFERROR(IF($A$1=2,INDEX($DH$3:$DN$401,MATCH(ROWS(F$3:F289),$DN$3:$DN$401,0),COLUMN()),IF($A$1=1,INDEX($DQ$3:$DX$401,MATCH(ROWS(F$3:F289),$DW$3:$DW$401,0),COLUMN()),"")),"")</f>
        <v>SE DARE</v>
      </c>
      <c r="G289" s="48" t="str">
        <f t="shared" ca="1" si="561"/>
        <v>SE</v>
      </c>
      <c r="H289" s="48" t="str">
        <f ca="1">IFERROR(IF($A$1=2,INDEX($DH$3:$DO$400,MATCH(ROWS(H$3:H289),$DN$3:$DN$400,0),COLUMN()),IF($A$1=1,INDEX($DQ$3:$DX$400,MATCH(ROWS(H$3:H289),$DW$3:$DW$400,0),COLUMN()),"")),"")</f>
        <v>eb14</v>
      </c>
      <c r="M289" s="48">
        <f ca="1">IFERROR(IF(IF(MID($A289,3,3)=".00",MID(A289,1,2),"")&lt;&gt;"",MAX($M$2:M288)+1,0),"")</f>
        <v>0</v>
      </c>
      <c r="N289" s="48" t="str">
        <f t="shared" ca="1" si="562"/>
        <v/>
      </c>
      <c r="O289" s="48" t="str">
        <f ca="1">IF(IFERROR(INDEX($N$3:$O$300,MATCH(ROWS($O$3:O289),$M$3:$M$300,0),1),"")&lt;&gt;"",CONCATENATE(INDEX($N$3:$O$300,MATCH(ROWS($O$3:O289),$M$3:$M$300,0),1),".00"),"")</f>
        <v/>
      </c>
      <c r="P289" s="48" t="str">
        <f t="shared" ca="1" si="563"/>
        <v/>
      </c>
      <c r="Q289" s="48">
        <f ca="1">IF(M289&gt;=1,0,MAX($Q$2:Q288)+1)</f>
        <v>256</v>
      </c>
      <c r="U289" s="48" t="str">
        <f ca="1">IFERROR(INDEX(PDC,MATCH(ROWS(U$3:U289),$V$3:$V$400,0),2),"")</f>
        <v>SVALUTAZIONE TITOLI</v>
      </c>
      <c r="V289" s="48">
        <f ca="1">IF(AND($T$1="VISUALIZZA TUTTI I CONTI",AA289&lt;&gt;""),MAX($V$2:V288)+1,IF(AND($U$2=2,AI289=$T$1),MAX($V$2:V288)+1,IF(AND($U$2=1,$T$1=AF289),MAX($V$2:V288)+1,0)))</f>
        <v>287</v>
      </c>
      <c r="AA289" s="48" t="str">
        <f t="shared" ca="1" si="564"/>
        <v>51.00</v>
      </c>
      <c r="AB289" s="48" t="str">
        <f ca="1">IFERROR(INDEX($A$3:$G$400,MATCH(ROWS(AB$3:AB289),$Q$3:$Q$400,0),1),"")</f>
        <v>51.11</v>
      </c>
      <c r="AC289" s="48" t="str">
        <f ca="1">IFERROR(INDEX($A$3:$G$400,MATCH(ROWS($AC$3:AC289),$Q$3:$Q$400,0),2),"")</f>
        <v>SVALUTAZIONE TITOLI</v>
      </c>
      <c r="AD289" s="48" t="str">
        <f ca="1">IFERROR(INDEX($A$3:$G$400,MATCH(ROWS(AD$3:AD289),$Q$3:$Q$400,0),3),"")</f>
        <v>E</v>
      </c>
      <c r="AE289" s="48" t="str">
        <f ca="1">IFERROR(INDEX($A$3:$G$400,MATCH(ROWS(AE$3:AE289),$Q$3:$Q$400,0),4),"")</f>
        <v>D</v>
      </c>
      <c r="AF289" s="48" t="str">
        <f ca="1">IFERROR(INDEX($A$3:$G$400,MATCH(ROWS(AF$3:AF289),$Q$3:$Q$400,0),5),"")</f>
        <v>COSTI D'ESERCIZIO</v>
      </c>
      <c r="AG289" s="48" t="str">
        <f ca="1">IFERROR(INDEX($A$3:$G$400,MATCH(ROWS(AG$3:AG289),$Q$3:$Q$400,0),6),"")</f>
        <v>SE DARE</v>
      </c>
      <c r="AH289" s="48" t="str">
        <f ca="1">IFERROR(INDEX($A$3:$G$400,MATCH(ROWS(AH$3:AH289),$Q$3:$Q$400,0),7),"")</f>
        <v>SE</v>
      </c>
      <c r="AI289" s="48" t="str">
        <f t="shared" ca="1" si="565"/>
        <v>SVALUTAZIONI DI ATTIVITÀ FINANZIARIE</v>
      </c>
      <c r="AJ289" s="48" t="str">
        <f ca="1">IFERROR(INDEX($A$3:$H$400,MATCH(ROWS(AJ$3:AJ289),$Q$3:$Q$400,0),8),"")</f>
        <v>ed19c</v>
      </c>
      <c r="AK289" s="48">
        <f t="shared" ca="1" si="548"/>
        <v>0</v>
      </c>
      <c r="AL289" s="48">
        <f t="shared" ca="1" si="576"/>
        <v>0</v>
      </c>
      <c r="AM289" s="48">
        <f t="shared" ca="1" si="516"/>
        <v>0</v>
      </c>
      <c r="AN289" s="48">
        <f t="shared" ca="1" si="517"/>
        <v>0</v>
      </c>
      <c r="AO289" s="48">
        <f t="shared" ca="1" si="518"/>
        <v>0</v>
      </c>
      <c r="AP289" s="48">
        <f t="shared" ca="1" si="518"/>
        <v>0</v>
      </c>
      <c r="AZ289" s="48" t="str">
        <f t="shared" ca="1" si="584"/>
        <v/>
      </c>
      <c r="BA289" s="48">
        <f t="shared" ca="1" si="520"/>
        <v>0</v>
      </c>
      <c r="BB289" s="48">
        <f t="shared" ca="1" si="521"/>
        <v>0</v>
      </c>
      <c r="BC289" s="48">
        <f t="shared" ca="1" si="522"/>
        <v>0</v>
      </c>
      <c r="BD289" s="48">
        <f t="shared" ca="1" si="523"/>
        <v>0</v>
      </c>
      <c r="BE289" s="48">
        <f t="shared" ca="1" si="524"/>
        <v>0</v>
      </c>
      <c r="BF289" s="48">
        <f t="shared" si="585"/>
        <v>89</v>
      </c>
      <c r="BG289" s="48">
        <f ca="1">IF(IF(AND(OR(INDEX(PDC,MATCH($AC289,DEN_PDC,0),6)="SP DARE",INDEX(PDC,MATCH($AC289,DEN_PDC,0),6)="SP DARE/AVERE"),SUMIFS(DARE,DEN_G,$AC289)&gt;=SUMIFS(AVERE,DEN_G,$AC289)),SUMIFS(DARE,DEN_G,$AC289)-SUMIFS(AVERE,DEN_G,$AC289),0)&gt;0,MAX($BG$2:BG288)+1,0)</f>
        <v>0</v>
      </c>
      <c r="BH289" s="48">
        <f ca="1">IF(IF(AND(OR(INDEX(PDC,MATCH($AC289,DEN_PDC,0),6)="SP AVERE",INDEX(PDC,MATCH($AC289,DEN_PDC,0),6)="SP DARE/AVERE"),SUMIFS(AVERE,DEN_G,$AC289)&gt;=SUMIFS(DARE,DEN_G,$AC289)),SUMIFS(AVERE,DEN_G,$AC289)-SUMIFS(DARE,DEN_G,$AC289),0)&gt;0,MAX(BH$2:BH288)+1,0)</f>
        <v>0</v>
      </c>
      <c r="BI289" s="48">
        <f ca="1">IF(IF(AND(OR(INDEX(PDC,MATCH($AC289,DEN_PDC,0),6)="SE DARE",INDEX(PDC,MATCH($AC289,DEN_PDC,0),6)="SE DARE/AVERE"),SUMIFS(DARE,DEN_G,$AC289)&gt;=SUMIFS(AVERE,DEN_G,$AC289)),SUMIFS(DARE,DEN_G,$AC289)-SUMIFS(AVERE,DEN_G,$AC289),0)&gt;0,MAX(BI$2:BI288)+1,0)</f>
        <v>0</v>
      </c>
      <c r="BJ289" s="48">
        <f ca="1">IF(IF(AND(OR(INDEX(PDC,MATCH($AC289,DEN_PDC,0),6)="SE AVERE",INDEX(PDC,MATCH($AC289,DEN_PDC,0),6)="SE DARE/AVERE"),SUMIFS(AVERE,DEN_G,$AC289)&gt;=SUMIFS(DARE,DEN_G,$AC289)),SUMIFS(AVERE,DEN_G,$AC289)-SUMIFS(DARE,DEN_G,$AC289),0)&gt;0,MAX(BJ$2:BJ288)+1,0)</f>
        <v>0</v>
      </c>
      <c r="BK289" s="48" t="str">
        <f ca="1">IF(AND(AND($DY$2=0,$DY$1=0),$I$1=2,ROW()&gt;$BG$1+2,ROW()&lt;=$BG$1+4),"………………..",IF(AND(OR($DY$2&gt;0,$DY$1&gt;0),$I$1=2,ROW()&gt;$BG$1+2,ROW()&lt;=$BG$1+4),"………………..",IFERROR(INDEX($AC$3:$AC$398,MATCH(ROWS(BK$3:BK289),BG$3:BG$398,0),1),"")))</f>
        <v/>
      </c>
      <c r="BL289" s="48">
        <f t="shared" ca="1" si="549"/>
        <v>0</v>
      </c>
      <c r="BM289" s="48" t="str">
        <f ca="1">IF(AND(OR($DY$2=0,$DY$1=0),$I$1=2,ROW()&gt;$BH$1+2,ROW()&lt;=$BH$1+4),"………………..",IF(AND(OR($DY$2&gt;0,$DY$1&gt;0),$I$1=2,ROW()&gt;$BH$1+2,ROW()&lt;=$BH$1+4),"………………..",IFERROR(INDEX($AC$3:$AC$400,MATCH(ROWS(BM$3:BM289),BH$3:BH$400,0),1),"")))</f>
        <v/>
      </c>
      <c r="BN289" s="48">
        <f t="shared" ca="1" si="550"/>
        <v>0</v>
      </c>
      <c r="BO289" s="48" t="str">
        <f ca="1">IF(AND(OR($DY$2=0,$DY$1=0),$I$1=2,ROW()&gt;$BI$1+2,ROW()&lt;=$BI$1+4),"………………..",IF(AND(OR($DY$2&gt;0,$DY$1&gt;0),$I$1=2,ROW()&gt;$BI$1+2,ROW()&lt;=$BI$1+4),"………………..",IFERROR(INDEX($AC$3:$AC$400,MATCH(ROWS(BO$3:BO289),BI$3:BI$400,0),1),"")))</f>
        <v/>
      </c>
      <c r="BP289" s="48">
        <f t="shared" ca="1" si="551"/>
        <v>0</v>
      </c>
      <c r="BQ289" s="48" t="str">
        <f ca="1">IF(AND(OR($DY$2=0,$DY$1=0),$I$1=2,ROW()&gt;$BJ$1+2,ROW()&lt;=$BJ$1+4),"………………..",IF(AND(OR($DY$2&gt;0,$DY$1&gt;0),$I$1=2,ROW()&gt;$BJ$1+2,ROW()&lt;=$BJ$1+4),"………………..",IFERROR(INDEX($AC$3:$AC$400,MATCH(ROWS(BQ$3:BQ289),BJ$3:BJ$400,0),1),"")))</f>
        <v/>
      </c>
      <c r="BR289" s="48">
        <f t="shared" ca="1" si="552"/>
        <v>0</v>
      </c>
      <c r="BS289" s="48">
        <f ca="1">IF(IF(AND(OR(INDEX(PDC,MATCH($AC289,DEN_PDC,0),4)="D",INDEX(PDC,MATCH($AC289,DEN_PDC,0),4)="D/A"),SUMIFS(DARE,DEN_G,$AC289)&gt;=SUMIFS(AVERE,DEN_G,$AC289)),SUMIFS(DARE,DEN_G,$AC289),IF(AND(OR(INDEX(PDC,MATCH($AC289,DEN_PDC,0),4)="A",INDEX(PDC,MATCH($AC289,DEN_PDC,0),4)="D/A"),SUMIFS(AVERE,DEN_G,$AC289)&gt;=SUMIFS(DARE,DEN_G,$AC289)),SUMIFS(AVERE,DEN_G,$AC289),))&gt;0,MAX($BS$2:BS288)+1,0)</f>
        <v>0</v>
      </c>
      <c r="BT289" s="48" t="str">
        <f ca="1">IF($CO$1=0,"",IF(AND($I$1=2,ROW()&gt;$BR$1,ROW()&lt;=$BS$1)," …………….",IF(AND($E$1=1,$BX$1=1,$I$1=2,ROW()=$BQ$1),"TOTALI",IFERROR(INDEX(PDC,MATCH(ROWS(BT$3:BT289),BS$3:BS686,0),2),""))))</f>
        <v/>
      </c>
      <c r="BU289" s="48">
        <f t="shared" ca="1" si="553"/>
        <v>0</v>
      </c>
      <c r="BV289" s="48">
        <f t="shared" ca="1" si="554"/>
        <v>0</v>
      </c>
      <c r="BW289" s="48">
        <f t="shared" ca="1" si="555"/>
        <v>0</v>
      </c>
      <c r="BX289" s="48">
        <f t="shared" ca="1" si="556"/>
        <v>0</v>
      </c>
      <c r="BY289" s="48">
        <f ca="1">IF(OR(BW289&gt;0,BX289&gt;0),MAX($BY$2:BY288)+1,0)</f>
        <v>0</v>
      </c>
      <c r="BZ289" s="48" t="str">
        <f ca="1">IFERROR(INDEX($BT$3:$BY$400,MATCH(ROWS(BZ$3:BZ289),$BY$3:$BY$400,0),1),"")</f>
        <v/>
      </c>
      <c r="CA289" s="48" t="str">
        <f ca="1">IFERROR(INDEX($BT$3:$BY$400,MATCH(ROWS(CA$3:CA289),$BY$3:$BY$400,0),4),"")</f>
        <v/>
      </c>
      <c r="CB289" s="48" t="str">
        <f ca="1">IFERROR(INDEX($BT$3:$BY$400,MATCH(ROWS(CB$3:CB289),$BY$3:$BY$400,0),5),"")</f>
        <v/>
      </c>
      <c r="CC289" s="48" t="str">
        <f t="shared" ca="1" si="557"/>
        <v/>
      </c>
      <c r="CM289" s="242" t="str">
        <f t="shared" ca="1" si="566"/>
        <v/>
      </c>
      <c r="CN289" s="243">
        <f t="shared" ca="1" si="567"/>
        <v>0</v>
      </c>
      <c r="CO289" s="48" t="str">
        <f t="shared" ca="1" si="568"/>
        <v/>
      </c>
      <c r="CU289" s="48">
        <f ca="1">IF(SUMIFS(AVERE,DEN_G,AC289,AVERE,"&gt;"&amp;0)+SUMIFS(DARE,DEN_G,AC289,DARE,"&gt;"&amp;0)&gt;0,MAX($CU$2:CU288)+1,0)</f>
        <v>0</v>
      </c>
      <c r="CV289" s="48" t="str">
        <f ca="1">IF(IFERROR(INDEX(PDC,MATCH(ROWS($CV$3:CV289),$CU$3:$CU$400,0),2),"")="CONTO DI RISULTATO ECONOMICO","",IFERROR(INDEX(PDC,MATCH(ROWS($CV$3:CV289),$CU$3:$CU$400,0),2),""))</f>
        <v/>
      </c>
      <c r="CW289" s="48">
        <f ca="1">IFERROR(IF(CV289&lt;&gt;"",MAX($CW$2:CW288)+1,0),0)</f>
        <v>0</v>
      </c>
      <c r="CX289" s="48">
        <f ca="1">$FF$25</f>
        <v>23</v>
      </c>
      <c r="CY289" s="48" t="str">
        <f t="shared" ref="CY289:CY300" ca="1" si="598">IF(ISERROR(INDEX($CV$3:$CX$1302,MATCH(CX289,$CW$3:$CW$1302,0),1)),"MASTRO",INDEX($CV$3:$CX$1302,MATCH(CX289,$CW$3:$CW$1302,0),1))</f>
        <v>MASTRO</v>
      </c>
      <c r="DA289" s="48" t="str">
        <f>IF(CY288="MASTRO","Conto n.","")</f>
        <v>Conto n.</v>
      </c>
      <c r="DB289" s="48" t="str">
        <f ca="1">IF(CY289=0,"",INDEX(PDC,MATCH(DC289,DEN_PDC,0),1))</f>
        <v/>
      </c>
      <c r="DC289" s="48" t="str">
        <f ca="1">IF(OR(CY289=0,CY289="mastro"),"",CY289)</f>
        <v/>
      </c>
      <c r="DD289" s="48" t="str">
        <f ca="1">IF(AND($DA$2=TRUE,OR(INDEX(PDC,MATCH($DC289,DEN_PDC,0),4)="A",INDEX(PDC,MATCH($DC289,DEN_PDC,0),4)="D/A"),SUMIFS(AVERE,DEN_G,"="&amp;$DC289,DATA,"&lt;="&amp;FINE_AC,DATA,"&gt;="&amp;INIZIO_AC)&gt;SUMIFS(DARE,DEN_G,"="&amp;$DC289,DATA,"&lt;="&amp;FINE_AC,DATA,"&gt;="&amp;INIZIO_AC)),CONCATENATE("s ",FIXED(ABS(SUMIFS(AVERE,DEN_G,"="&amp;$DC289,DATA,"&lt;="&amp;FINE_AC,DATA,"&gt;="&amp;INIZIO_AC)-SUMIFS(DARE,DEN_G,"="&amp;$DC289,DATA,"&lt;="&amp;FINE_AC,DATA,"&gt;="&amp;INIZIO_AC)),2)),"")</f>
        <v/>
      </c>
      <c r="DE289" s="48" t="str">
        <f ca="1">IF(AND($DA$2=TRUE,OR(INDEX(PDC,MATCH($DC289,DEN_PDC,0),4)="D",INDEX(PDC,MATCH($DC289,DEN_PDC,0),4)="D/A"),SUMIFS(DARE,DEN_G,"="&amp;$DC289,DATA,"&lt;="&amp;FINE_AC,DATA,"&gt;="&amp;INIZIO_AC)&gt;SUMIFS(AVERE,DEN_G,"="&amp;$DC289,DATA,"&lt;="&amp;FINE_AC,DATA,"&gt;="&amp;INIZIO_AC)),CONCATENATE("s ",FIXED(ABS(SUMIFS(DARE,DEN_G,"="&amp;$DC289,DATA,"&lt;="&amp;FINE_AC,DATA,"&gt;="&amp;INIZIO_AC)-SUMIFS(AVERE,DEN_G,"="&amp;$DC289,DATA,"&lt;="&amp;FINE_AC,DATA,"&gt;="&amp;INIZIO_AC)),2)),"")</f>
        <v/>
      </c>
      <c r="DF289" s="48">
        <f ca="1">IF(AND(CX289=$DF$1,CX289&lt;&gt;""),0,IF(AND(DB289&lt;&gt;"",OR(DB288&lt;&gt;"",DB290&lt;&gt;"")),MAX($DF$2:DF288)+1,0))</f>
        <v>0</v>
      </c>
      <c r="DH289" s="244" t="s">
        <v>206</v>
      </c>
      <c r="DI289" s="48" t="s">
        <v>893</v>
      </c>
      <c r="DJ289" s="48" t="s">
        <v>311</v>
      </c>
      <c r="DK289" s="48" t="s">
        <v>275</v>
      </c>
      <c r="DL289" s="48" t="s">
        <v>7</v>
      </c>
      <c r="DM289" s="48" t="s">
        <v>301</v>
      </c>
      <c r="DN289" s="48">
        <f ca="1">IF(DI289&lt;&gt;"",MAX($DN$2:DN288)+1,0)</f>
        <v>224</v>
      </c>
      <c r="DO289" s="48" t="s">
        <v>710</v>
      </c>
      <c r="DQ289" s="227" t="s">
        <v>891</v>
      </c>
      <c r="DS289" s="48" t="s">
        <v>311</v>
      </c>
      <c r="DT289" s="48" t="s">
        <v>275</v>
      </c>
      <c r="DU289" s="48" t="s">
        <v>7</v>
      </c>
      <c r="DV289" s="48" t="s">
        <v>301</v>
      </c>
      <c r="DW289" s="48">
        <f>IF(DR289&lt;&gt;"",MAX($DW$2:DW288)+1,0)</f>
        <v>0</v>
      </c>
      <c r="DX289" s="48" t="s">
        <v>710</v>
      </c>
      <c r="DY289" s="48" t="str">
        <f t="shared" ca="1" si="558"/>
        <v/>
      </c>
      <c r="EL289" s="48">
        <f t="shared" ca="1" si="559"/>
        <v>0</v>
      </c>
      <c r="EM289" s="48">
        <f ca="1">IF(EL289&gt;=0,0,MAX($EM$2:EM288)+1)</f>
        <v>0</v>
      </c>
      <c r="EN289" s="48" t="str">
        <f t="shared" ca="1" si="569"/>
        <v/>
      </c>
      <c r="EO289" s="48" t="str">
        <f ca="1">IFERROR(INDEX($EM$3:$EN$400,MATCH(ROWS($EO$3:EO289),$EM$3:$EM$400,0),2),"")</f>
        <v/>
      </c>
      <c r="EP289" s="48">
        <f>ROW()</f>
        <v>289</v>
      </c>
      <c r="EQ289" s="48">
        <f t="shared" ca="1" si="560"/>
        <v>0</v>
      </c>
      <c r="ER289" s="48">
        <f ca="1">IF(ISNA(EQ289)=TRUE,MAX($ER$2:ER288)+1,0)</f>
        <v>0</v>
      </c>
      <c r="ES289" s="48" t="str">
        <f t="shared" ca="1" si="570"/>
        <v/>
      </c>
      <c r="ET289" s="48" t="str">
        <f ca="1">IFERROR(INDEX($ER$3:$ES$400,MATCH(ROWS($ET$3:ET289),$ER$3:$ER$400,0),2),"")</f>
        <v/>
      </c>
      <c r="EV289" s="48">
        <f ca="1">IFERROR(INDEX(LIBRO_GIORNALE!$O$11:$P$408,MATCH(ROWS($EV$2:EV288),LIBRO_GIORNALE!$P$11:$P$408,0),1),0)</f>
        <v>0</v>
      </c>
      <c r="EW289" s="48" t="str">
        <f t="shared" ca="1" si="544"/>
        <v>0</v>
      </c>
      <c r="EX289" s="48">
        <f t="shared" ca="1" si="571"/>
        <v>0</v>
      </c>
      <c r="EY289" s="48">
        <f ca="1">IF(EX289&gt;0,MAX($EY$2:EY288)+1,0)</f>
        <v>0</v>
      </c>
      <c r="EZ289" s="48">
        <f ca="1">IFERROR(INDEX($EX$3:$EX$400,MATCH(ROWS($EZ$3:EZ289),$EY$3:$EY$400,0),1),0)</f>
        <v>0</v>
      </c>
      <c r="FA289" s="48">
        <f ca="1">IF(EZ289&gt;0,0,MAX($FA$2:FA288)+1)</f>
        <v>287</v>
      </c>
      <c r="FB289" s="48">
        <f t="shared" ca="1" si="545"/>
        <v>0</v>
      </c>
      <c r="FC289" s="48">
        <f t="shared" ca="1" si="546"/>
        <v>287</v>
      </c>
      <c r="FD289" s="48">
        <f t="shared" ca="1" si="572"/>
        <v>287</v>
      </c>
      <c r="FE289" s="48">
        <f ca="1">IF(FD289=0,0,MAX($FE$2:FE288)+1)</f>
        <v>287</v>
      </c>
      <c r="FF289" s="48">
        <f ca="1">IFERROR(INDEX($FD$3:$FE$400,MATCH(ROWS($FF$3:FF289),$FE$3:$FE$400,0),1),"")</f>
        <v>287</v>
      </c>
      <c r="FG289" s="48">
        <f t="shared" ca="1" si="519"/>
        <v>0</v>
      </c>
      <c r="FH289" s="48">
        <f t="shared" ca="1" si="573"/>
        <v>0</v>
      </c>
      <c r="FI289" s="48">
        <f ca="1">IF(FH289&lt;&gt;0,MAX($FI$2:FI288)+1,0)</f>
        <v>0</v>
      </c>
      <c r="FJ289" s="48" t="str">
        <f ca="1">IFERROR(INDEX($FH$3:$FI$400,MATCH(ROWS($FJ$3:FJ289),$FI$3:$FI$400,0),1),"")</f>
        <v/>
      </c>
      <c r="FK289" s="48">
        <f ca="1">IF(ABS(SUMIFS(DARE,DEN_G,"="&amp;FJ289,DATA,"&lt;="&amp;FINE_AC,DATA,"&gt;="&amp;INIZIO_A_PC)-SUMIFS(AVERE,DEN_G,"="&amp;FJ289,DATA,"&lt;="&amp;FINE_AC,DATA,"&gt;="&amp;INIZIO_A_PC))&gt;0,MAX($FK$2:FK288)+1,0)</f>
        <v>0</v>
      </c>
      <c r="FL289" s="48" t="str">
        <f ca="1">IF(AND(ROW()-2&lt;&gt;1,ROW()-2&lt;=$FK$1),CONCATENATE(" - ",IFERROR(INDEX($FJ$3:$FK$400,MATCH(ROWS($FL$3:FL289),$FK$3:$FK$400,0),1),"")),IFERROR(INDEX($FJ$3:$FK$400,MATCH(ROWS($FL$3:FL289),$FK$3:$FK$400,0),1),""))</f>
        <v/>
      </c>
      <c r="FM289" s="48">
        <f ca="1">IF(OR(B289="IVA ns/credito",B289="IVA NS/DEBITO",B289="IVA C/ACCONTO",B289="IMPOSTE C/ACCONTO",B289="CREDITI PER RITENUTE SUBITE",B289="CREDITI D'IMPOSTA"),MAX($FM$2:FM288)+1,0)</f>
        <v>0</v>
      </c>
      <c r="FN289" s="48" t="str">
        <f t="shared" ca="1" si="574"/>
        <v/>
      </c>
      <c r="FO289" s="48" t="str">
        <f ca="1">IFERROR(INDEX($FM$3:$FN$400,MATCH(ROWS($FO$3:FO289),$FM$3:$FM$400,0),2),"")</f>
        <v/>
      </c>
      <c r="FP289" s="48">
        <f ca="1">IF(ABS(SUMIFS(DARE,DEN_G,"="&amp;FO289,DATA,"&lt;="&amp;FINE_AC,DATA,"&gt;="&amp;INIZIO_A_PC)-SUMIFS(AVERE,DEN_G,"="&amp;FO289,DATA,"&lt;="&amp;FINE_AC,DATA,"&gt;="&amp;INIZIO_A_PC))&gt;0,MAX($FP$2:FP288)+1,0)</f>
        <v>0</v>
      </c>
      <c r="FQ289" s="48" t="str">
        <f ca="1">IF(AND(ROW()-2&lt;&gt;1,ROW()-2&lt;=$FP$1),CONCATENATE(" - ",IFERROR(INDEX($FO$3:$FP$400,MATCH(ROWS($FQ$3:FQ289),$FP$3:$FP$400,0),1),"")),IFERROR(INDEX($FO$3:$FP$400,MATCH(ROWS($FQ$3:FQ289),$FP$3:$FP$400,0),1),""))</f>
        <v/>
      </c>
    </row>
    <row r="290" spans="1:173" x14ac:dyDescent="0.3">
      <c r="A290" s="48" t="str">
        <f ca="1">IFERROR(IF($A$1=2,INDEX($DH$3:$DN$401,MATCH(ROWS(A$3:A290),$DN$3:$DN$401,0),COLUMN()),IF($A$1=1,INDEX($DQ$3:$DW$401,MATCH(ROWS(A$3:A290),$DW$3:$DW$401,0),COLUMN()),"")),"")</f>
        <v>39.12</v>
      </c>
      <c r="B290" s="48" t="str">
        <f ca="1">IFERROR(IF($A$1=2,INDEX($DH$3:$DN$401,MATCH(ROWS(B$3:B290),$DN$3:$DN$401,0),COLUMN()),IF($A$1=1,INDEX($DQ$3:$DW$400,MATCH(ROWS(B$3:B290),$DW$3:$DW$401,0),COLUMN()),"")),"")</f>
        <v>INSUSSISTENZE PASSIVE</v>
      </c>
      <c r="C290" s="48" t="str">
        <f ca="1">IFERROR(IF($A$1=2,INDEX($DH$3:$DN$401,MATCH(ROWS(C$3:C290),$DN$3:$DN$401,0),COLUMN()),IF($A$1=1,INDEX($DQ$3:$DW$401,MATCH(ROWS(C$3:C290),$DW$3:$DW$401,0),COLUMN()),"")),"")</f>
        <v>E</v>
      </c>
      <c r="D290" s="48" t="str">
        <f ca="1">IFERROR(IF($A$1=2,INDEX($DH$3:$DN$401,MATCH(ROWS(D$3:D290),$DN$3:$DN$401,0),COLUMN()),IF($A$1=1,INDEX($DQ$3:$DW$401,MATCH(ROWS(D$3:D290),$DW$3:$DW$401,0),COLUMN()),"")),"")</f>
        <v>D</v>
      </c>
      <c r="E290" s="48" t="str">
        <f ca="1">IFERROR(IF($A$1=2,INDEX($DH$3:$DN$401,MATCH(ROWS(E$3:E290),$DN$3:$DN$401,0),COLUMN()),IF($A$1=1,INDEX($DQ$3:$DW$401,MATCH(ROWS(E$3:E290),$DW$3:$DW$401,0),COLUMN()),"")),"")</f>
        <v>COSTI D'ESERCIZIO</v>
      </c>
      <c r="F290" s="48" t="str">
        <f ca="1">IFERROR(IF($A$1=2,INDEX($DH$3:$DN$401,MATCH(ROWS(F$3:F290),$DN$3:$DN$401,0),COLUMN()),IF($A$1=1,INDEX($DQ$3:$DX$401,MATCH(ROWS(F$3:F290),$DW$3:$DW$401,0),COLUMN()),"")),"")</f>
        <v>SE DARE</v>
      </c>
      <c r="G290" s="48" t="str">
        <f t="shared" ca="1" si="561"/>
        <v>SE</v>
      </c>
      <c r="H290" s="48" t="str">
        <f ca="1">IFERROR(IF($A$1=2,INDEX($DH$3:$DO$400,MATCH(ROWS(H$3:H290),$DN$3:$DN$400,0),COLUMN()),IF($A$1=1,INDEX($DQ$3:$DX$400,MATCH(ROWS(H$3:H290),$DW$3:$DW$400,0),COLUMN()),"")),"")</f>
        <v>eb14</v>
      </c>
      <c r="M290" s="48">
        <f ca="1">IFERROR(IF(IF(MID($A290,3,3)=".00",MID(A290,1,2),"")&lt;&gt;"",MAX($M$2:M289)+1,0),"")</f>
        <v>0</v>
      </c>
      <c r="N290" s="48" t="str">
        <f t="shared" ca="1" si="562"/>
        <v/>
      </c>
      <c r="O290" s="48" t="str">
        <f ca="1">IF(IFERROR(INDEX($N$3:$O$300,MATCH(ROWS($O$3:O290),$M$3:$M$300,0),1),"")&lt;&gt;"",CONCATENATE(INDEX($N$3:$O$300,MATCH(ROWS($O$3:O290),$M$3:$M$300,0),1),".00"),"")</f>
        <v/>
      </c>
      <c r="P290" s="48" t="str">
        <f t="shared" ca="1" si="563"/>
        <v/>
      </c>
      <c r="Q290" s="48">
        <f ca="1">IF(M290&gt;=1,0,MAX($Q$2:Q289)+1)</f>
        <v>257</v>
      </c>
      <c r="U290" s="48" t="str">
        <f ca="1">IFERROR(INDEX(PDC,MATCH(ROWS(U$3:U290),$V$3:$V$400,0),2),"")</f>
        <v>IMPOSTE DELL'ESERCIZIO</v>
      </c>
      <c r="V290" s="48">
        <f ca="1">IF(AND($T$1="VISUALIZZA TUTTI I CONTI",AA290&lt;&gt;""),MAX($V$2:V289)+1,IF(AND($U$2=2,AI290=$T$1),MAX($V$2:V289)+1,IF(AND($U$2=1,$T$1=AF290),MAX($V$2:V289)+1,0)))</f>
        <v>288</v>
      </c>
      <c r="AA290" s="48" t="str">
        <f t="shared" ca="1" si="564"/>
        <v>60.00</v>
      </c>
      <c r="AB290" s="48" t="str">
        <f ca="1">IFERROR(INDEX($A$3:$G$400,MATCH(ROWS(AB$3:AB290),$Q$3:$Q$400,0),1),"")</f>
        <v>60.01</v>
      </c>
      <c r="AC290" s="48" t="str">
        <f ca="1">IFERROR(INDEX($A$3:$G$400,MATCH(ROWS($AC$3:AC290),$Q$3:$Q$400,0),2),"")</f>
        <v>IMPOSTE DELL'ESERCIZIO</v>
      </c>
      <c r="AD290" s="48" t="str">
        <f ca="1">IFERROR(INDEX($A$3:$G$400,MATCH(ROWS(AD$3:AD290),$Q$3:$Q$400,0),3),"")</f>
        <v>E</v>
      </c>
      <c r="AE290" s="48" t="str">
        <f ca="1">IFERROR(INDEX($A$3:$G$400,MATCH(ROWS(AE$3:AE290),$Q$3:$Q$400,0),4),"")</f>
        <v>D</v>
      </c>
      <c r="AF290" s="48" t="str">
        <f ca="1">IFERROR(INDEX($A$3:$G$400,MATCH(ROWS(AF$3:AF290),$Q$3:$Q$400,0),5),"")</f>
        <v>COSTI D'ESERCIZIO</v>
      </c>
      <c r="AG290" s="48" t="str">
        <f ca="1">IFERROR(INDEX($A$3:$G$400,MATCH(ROWS(AG$3:AG290),$Q$3:$Q$400,0),6),"")</f>
        <v>SE DARE</v>
      </c>
      <c r="AH290" s="48" t="str">
        <f ca="1">IFERROR(INDEX($A$3:$G$400,MATCH(ROWS(AH$3:AH290),$Q$3:$Q$400,0),7),"")</f>
        <v>SE</v>
      </c>
      <c r="AI290" s="48" t="str">
        <f t="shared" ca="1" si="565"/>
        <v>IMPOSTE DELL'ESERCIZIO</v>
      </c>
      <c r="AJ290" s="48" t="str">
        <f ca="1">IFERROR(INDEX($A$3:$H$400,MATCH(ROWS(AJ$3:AJ290),$Q$3:$Q$400,0),8),"")</f>
        <v>e20</v>
      </c>
      <c r="AK290" s="48">
        <f t="shared" ca="1" si="548"/>
        <v>0</v>
      </c>
      <c r="AL290" s="48">
        <f t="shared" ca="1" si="576"/>
        <v>0</v>
      </c>
      <c r="AM290" s="48">
        <f t="shared" ca="1" si="516"/>
        <v>0</v>
      </c>
      <c r="AN290" s="48">
        <f t="shared" ca="1" si="517"/>
        <v>0</v>
      </c>
      <c r="AO290" s="48">
        <f t="shared" ca="1" si="518"/>
        <v>0</v>
      </c>
      <c r="AP290" s="48">
        <f t="shared" ca="1" si="518"/>
        <v>0</v>
      </c>
      <c r="AZ290" s="48" t="str">
        <f t="shared" ca="1" si="584"/>
        <v/>
      </c>
      <c r="BA290" s="48">
        <f t="shared" ca="1" si="520"/>
        <v>0</v>
      </c>
      <c r="BB290" s="48">
        <f t="shared" ca="1" si="521"/>
        <v>0</v>
      </c>
      <c r="BC290" s="48">
        <f t="shared" ca="1" si="522"/>
        <v>0</v>
      </c>
      <c r="BD290" s="48">
        <f t="shared" ca="1" si="523"/>
        <v>0</v>
      </c>
      <c r="BE290" s="48">
        <f t="shared" ca="1" si="524"/>
        <v>0</v>
      </c>
      <c r="BF290" s="48">
        <f t="shared" si="585"/>
        <v>90</v>
      </c>
      <c r="BG290" s="48">
        <f ca="1">IF(IF(AND(OR(INDEX(PDC,MATCH($AC290,DEN_PDC,0),6)="SP DARE",INDEX(PDC,MATCH($AC290,DEN_PDC,0),6)="SP DARE/AVERE"),SUMIFS(DARE,DEN_G,$AC290)&gt;=SUMIFS(AVERE,DEN_G,$AC290)),SUMIFS(DARE,DEN_G,$AC290)-SUMIFS(AVERE,DEN_G,$AC290),0)&gt;0,MAX($BG$2:BG289)+1,0)</f>
        <v>0</v>
      </c>
      <c r="BH290" s="48">
        <f ca="1">IF(IF(AND(OR(INDEX(PDC,MATCH($AC290,DEN_PDC,0),6)="SP AVERE",INDEX(PDC,MATCH($AC290,DEN_PDC,0),6)="SP DARE/AVERE"),SUMIFS(AVERE,DEN_G,$AC290)&gt;=SUMIFS(DARE,DEN_G,$AC290)),SUMIFS(AVERE,DEN_G,$AC290)-SUMIFS(DARE,DEN_G,$AC290),0)&gt;0,MAX(BH$2:BH289)+1,0)</f>
        <v>0</v>
      </c>
      <c r="BI290" s="48">
        <f ca="1">IF(IF(AND(OR(INDEX(PDC,MATCH($AC290,DEN_PDC,0),6)="SE DARE",INDEX(PDC,MATCH($AC290,DEN_PDC,0),6)="SE DARE/AVERE"),SUMIFS(DARE,DEN_G,$AC290)&gt;=SUMIFS(AVERE,DEN_G,$AC290)),SUMIFS(DARE,DEN_G,$AC290)-SUMIFS(AVERE,DEN_G,$AC290),0)&gt;0,MAX(BI$2:BI289)+1,0)</f>
        <v>0</v>
      </c>
      <c r="BJ290" s="48">
        <f ca="1">IF(IF(AND(OR(INDEX(PDC,MATCH($AC290,DEN_PDC,0),6)="SE AVERE",INDEX(PDC,MATCH($AC290,DEN_PDC,0),6)="SE DARE/AVERE"),SUMIFS(AVERE,DEN_G,$AC290)&gt;=SUMIFS(DARE,DEN_G,$AC290)),SUMIFS(AVERE,DEN_G,$AC290)-SUMIFS(DARE,DEN_G,$AC290),0)&gt;0,MAX(BJ$2:BJ289)+1,0)</f>
        <v>0</v>
      </c>
      <c r="BK290" s="48" t="str">
        <f ca="1">IF(AND(AND($DY$2=0,$DY$1=0),$I$1=2,ROW()&gt;$BG$1+2,ROW()&lt;=$BG$1+4),"………………..",IF(AND(OR($DY$2&gt;0,$DY$1&gt;0),$I$1=2,ROW()&gt;$BG$1+2,ROW()&lt;=$BG$1+4),"………………..",IFERROR(INDEX($AC$3:$AC$398,MATCH(ROWS(BK$3:BK290),BG$3:BG$398,0),1),"")))</f>
        <v/>
      </c>
      <c r="BL290" s="48">
        <f t="shared" ca="1" si="549"/>
        <v>0</v>
      </c>
      <c r="BM290" s="48" t="str">
        <f ca="1">IF(AND(OR($DY$2=0,$DY$1=0),$I$1=2,ROW()&gt;$BH$1+2,ROW()&lt;=$BH$1+4),"………………..",IF(AND(OR($DY$2&gt;0,$DY$1&gt;0),$I$1=2,ROW()&gt;$BH$1+2,ROW()&lt;=$BH$1+4),"………………..",IFERROR(INDEX($AC$3:$AC$400,MATCH(ROWS(BM$3:BM290),BH$3:BH$400,0),1),"")))</f>
        <v/>
      </c>
      <c r="BN290" s="48">
        <f t="shared" ca="1" si="550"/>
        <v>0</v>
      </c>
      <c r="BO290" s="48" t="str">
        <f ca="1">IF(AND(OR($DY$2=0,$DY$1=0),$I$1=2,ROW()&gt;$BI$1+2,ROW()&lt;=$BI$1+4),"………………..",IF(AND(OR($DY$2&gt;0,$DY$1&gt;0),$I$1=2,ROW()&gt;$BI$1+2,ROW()&lt;=$BI$1+4),"………………..",IFERROR(INDEX($AC$3:$AC$400,MATCH(ROWS(BO$3:BO290),BI$3:BI$400,0),1),"")))</f>
        <v/>
      </c>
      <c r="BP290" s="48">
        <f t="shared" ca="1" si="551"/>
        <v>0</v>
      </c>
      <c r="BQ290" s="48" t="str">
        <f ca="1">IF(AND(OR($DY$2=0,$DY$1=0),$I$1=2,ROW()&gt;$BJ$1+2,ROW()&lt;=$BJ$1+4),"………………..",IF(AND(OR($DY$2&gt;0,$DY$1&gt;0),$I$1=2,ROW()&gt;$BJ$1+2,ROW()&lt;=$BJ$1+4),"………………..",IFERROR(INDEX($AC$3:$AC$400,MATCH(ROWS(BQ$3:BQ290),BJ$3:BJ$400,0),1),"")))</f>
        <v/>
      </c>
      <c r="BR290" s="48">
        <f t="shared" ca="1" si="552"/>
        <v>0</v>
      </c>
      <c r="BS290" s="48">
        <f ca="1">IF(IF(AND(OR(INDEX(PDC,MATCH($AC290,DEN_PDC,0),4)="D",INDEX(PDC,MATCH($AC290,DEN_PDC,0),4)="D/A"),SUMIFS(DARE,DEN_G,$AC290)&gt;=SUMIFS(AVERE,DEN_G,$AC290)),SUMIFS(DARE,DEN_G,$AC290),IF(AND(OR(INDEX(PDC,MATCH($AC290,DEN_PDC,0),4)="A",INDEX(PDC,MATCH($AC290,DEN_PDC,0),4)="D/A"),SUMIFS(AVERE,DEN_G,$AC290)&gt;=SUMIFS(DARE,DEN_G,$AC290)),SUMIFS(AVERE,DEN_G,$AC290),))&gt;0,MAX($BS$2:BS289)+1,0)</f>
        <v>0</v>
      </c>
      <c r="BT290" s="48" t="str">
        <f ca="1">IF($CO$1=0,"",IF(AND($I$1=2,ROW()&gt;$BR$1,ROW()&lt;=$BS$1)," …………….",IF(AND($E$1=1,$BX$1=1,$I$1=2,ROW()=$BQ$1),"TOTALI",IFERROR(INDEX(PDC,MATCH(ROWS(BT$3:BT290),BS$3:BS687,0),2),""))))</f>
        <v/>
      </c>
      <c r="BU290" s="48">
        <f t="shared" ca="1" si="553"/>
        <v>0</v>
      </c>
      <c r="BV290" s="48">
        <f t="shared" ca="1" si="554"/>
        <v>0</v>
      </c>
      <c r="BW290" s="48">
        <f t="shared" ca="1" si="555"/>
        <v>0</v>
      </c>
      <c r="BX290" s="48">
        <f t="shared" ca="1" si="556"/>
        <v>0</v>
      </c>
      <c r="BY290" s="48">
        <f ca="1">IF(OR(BW290&gt;0,BX290&gt;0),MAX($BY$2:BY289)+1,0)</f>
        <v>0</v>
      </c>
      <c r="BZ290" s="48" t="str">
        <f ca="1">IFERROR(INDEX($BT$3:$BY$400,MATCH(ROWS(BZ$3:BZ290),$BY$3:$BY$400,0),1),"")</f>
        <v/>
      </c>
      <c r="CA290" s="48" t="str">
        <f ca="1">IFERROR(INDEX($BT$3:$BY$400,MATCH(ROWS(CA$3:CA290),$BY$3:$BY$400,0),4),"")</f>
        <v/>
      </c>
      <c r="CB290" s="48" t="str">
        <f ca="1">IFERROR(INDEX($BT$3:$BY$400,MATCH(ROWS(CB$3:CB290),$BY$3:$BY$400,0),5),"")</f>
        <v/>
      </c>
      <c r="CC290" s="48" t="str">
        <f t="shared" ca="1" si="557"/>
        <v/>
      </c>
      <c r="CM290" s="242" t="str">
        <f t="shared" ca="1" si="566"/>
        <v/>
      </c>
      <c r="CN290" s="243">
        <f t="shared" ca="1" si="567"/>
        <v>0</v>
      </c>
      <c r="CO290" s="48" t="str">
        <f t="shared" ca="1" si="568"/>
        <v/>
      </c>
      <c r="CU290" s="48">
        <f ca="1">IF(SUMIFS(AVERE,DEN_G,AC290,AVERE,"&gt;"&amp;0)+SUMIFS(DARE,DEN_G,AC290,DARE,"&gt;"&amp;0)&gt;0,MAX($CU$2:CU289)+1,0)</f>
        <v>0</v>
      </c>
      <c r="CV290" s="48" t="str">
        <f ca="1">IF(IFERROR(INDEX(PDC,MATCH(ROWS($CV$3:CV290),$CU$3:$CU$400,0),2),"")="CONTO DI RISULTATO ECONOMICO","",IFERROR(INDEX(PDC,MATCH(ROWS($CV$3:CV290),$CU$3:$CU$400,0),2),""))</f>
        <v/>
      </c>
      <c r="CW290" s="48">
        <f ca="1">IFERROR(IF(CV290&lt;&gt;"",MAX($CW$2:CW289)+1,0),0)</f>
        <v>0</v>
      </c>
      <c r="CX290" s="48">
        <f t="shared" ref="CX290:CX300" ca="1" si="599">$FF$25</f>
        <v>23</v>
      </c>
      <c r="CY290" s="48" t="str">
        <f t="shared" ca="1" si="598"/>
        <v>MASTRO</v>
      </c>
      <c r="DA290" s="48" t="str">
        <f ca="1">IF(DB289="","","Num. riga")</f>
        <v/>
      </c>
      <c r="DB290" s="48" t="str">
        <f t="shared" ref="DB290" ca="1" si="600">IF(DB289="","","Data")</f>
        <v/>
      </c>
      <c r="DC290" s="48" t="str">
        <f ca="1">IF(DB289="","","Operazioni")</f>
        <v/>
      </c>
      <c r="DD290" s="48" t="str">
        <f ca="1">IF(DB289="","","Dare        ")</f>
        <v/>
      </c>
      <c r="DE290" s="48" t="str">
        <f ca="1">IF(DB289="","","Avere        ")</f>
        <v/>
      </c>
      <c r="DF290" s="48">
        <f ca="1">IF(AND(CX290=$DF$1,CX290&lt;&gt;""),0,IF(AND(DB290&lt;&gt;"",OR(DB289&lt;&gt;"",DB291&lt;&gt;"")),MAX($DF$2:DF289)+1,0))</f>
        <v>0</v>
      </c>
      <c r="DH290" s="244" t="s">
        <v>207</v>
      </c>
      <c r="DI290" s="48" t="s">
        <v>196</v>
      </c>
      <c r="DJ290" s="48" t="s">
        <v>311</v>
      </c>
      <c r="DK290" s="48" t="s">
        <v>275</v>
      </c>
      <c r="DL290" s="48" t="s">
        <v>7</v>
      </c>
      <c r="DM290" s="48" t="s">
        <v>301</v>
      </c>
      <c r="DN290" s="48">
        <f ca="1">IF(DI290&lt;&gt;"",MAX($DN$2:DN289)+1,0)</f>
        <v>225</v>
      </c>
      <c r="DO290" s="48" t="s">
        <v>710</v>
      </c>
      <c r="DQ290" s="227" t="s">
        <v>1041</v>
      </c>
      <c r="DS290" s="48" t="s">
        <v>311</v>
      </c>
      <c r="DT290" s="48" t="s">
        <v>275</v>
      </c>
      <c r="DU290" s="48" t="s">
        <v>7</v>
      </c>
      <c r="DV290" s="48" t="s">
        <v>301</v>
      </c>
      <c r="DW290" s="48">
        <f>IF(DR290&lt;&gt;"",MAX($DW$2:DW289)+1,0)</f>
        <v>0</v>
      </c>
      <c r="DX290" s="48" t="s">
        <v>710</v>
      </c>
      <c r="DY290" s="48" t="str">
        <f t="shared" ca="1" si="558"/>
        <v/>
      </c>
      <c r="EL290" s="48">
        <f t="shared" ca="1" si="559"/>
        <v>0</v>
      </c>
      <c r="EM290" s="48">
        <f ca="1">IF(EL290&gt;=0,0,MAX($EM$2:EM289)+1)</f>
        <v>0</v>
      </c>
      <c r="EN290" s="48" t="str">
        <f t="shared" ca="1" si="569"/>
        <v/>
      </c>
      <c r="EO290" s="48" t="str">
        <f ca="1">IFERROR(INDEX($EM$3:$EN$400,MATCH(ROWS($EO$3:EO290),$EM$3:$EM$400,0),2),"")</f>
        <v/>
      </c>
      <c r="EP290" s="48">
        <f>ROW()</f>
        <v>290</v>
      </c>
      <c r="EQ290" s="48">
        <f t="shared" ca="1" si="560"/>
        <v>0</v>
      </c>
      <c r="ER290" s="48">
        <f ca="1">IF(ISNA(EQ290)=TRUE,MAX($ER$2:ER289)+1,0)</f>
        <v>0</v>
      </c>
      <c r="ES290" s="48" t="str">
        <f t="shared" ca="1" si="570"/>
        <v/>
      </c>
      <c r="ET290" s="48" t="str">
        <f ca="1">IFERROR(INDEX($ER$3:$ES$400,MATCH(ROWS($ET$3:ET290),$ER$3:$ER$400,0),2),"")</f>
        <v/>
      </c>
      <c r="EV290" s="48">
        <f ca="1">IFERROR(INDEX(LIBRO_GIORNALE!$O$11:$P$408,MATCH(ROWS($EV$2:EV289),LIBRO_GIORNALE!$P$11:$P$408,0),1),0)</f>
        <v>0</v>
      </c>
      <c r="EW290" s="48" t="str">
        <f t="shared" ca="1" si="544"/>
        <v>0</v>
      </c>
      <c r="EX290" s="48">
        <f t="shared" ca="1" si="571"/>
        <v>0</v>
      </c>
      <c r="EY290" s="48">
        <f ca="1">IF(EX290&gt;0,MAX($EY$2:EY289)+1,0)</f>
        <v>0</v>
      </c>
      <c r="EZ290" s="48">
        <f ca="1">IFERROR(INDEX($EX$3:$EX$400,MATCH(ROWS($EZ$3:EZ290),$EY$3:$EY$400,0),1),0)</f>
        <v>0</v>
      </c>
      <c r="FA290" s="48">
        <f ca="1">IF(EZ290&gt;0,0,MAX($FA$2:FA289)+1)</f>
        <v>288</v>
      </c>
      <c r="FB290" s="48">
        <f t="shared" ca="1" si="545"/>
        <v>0</v>
      </c>
      <c r="FC290" s="48">
        <f t="shared" ca="1" si="546"/>
        <v>288</v>
      </c>
      <c r="FD290" s="48">
        <f t="shared" ca="1" si="572"/>
        <v>288</v>
      </c>
      <c r="FE290" s="48">
        <f ca="1">IF(FD290=0,0,MAX($FE$2:FE289)+1)</f>
        <v>288</v>
      </c>
      <c r="FF290" s="48">
        <f ca="1">IFERROR(INDEX($FD$3:$FE$400,MATCH(ROWS($FF$3:FF290),$FE$3:$FE$400,0),1),"")</f>
        <v>288</v>
      </c>
      <c r="FG290" s="48">
        <f t="shared" ca="1" si="519"/>
        <v>0</v>
      </c>
      <c r="FH290" s="48">
        <f t="shared" ca="1" si="573"/>
        <v>0</v>
      </c>
      <c r="FI290" s="48">
        <f ca="1">IF(FH290&lt;&gt;0,MAX($FI$2:FI289)+1,0)</f>
        <v>0</v>
      </c>
      <c r="FJ290" s="48" t="str">
        <f ca="1">IFERROR(INDEX($FH$3:$FI$400,MATCH(ROWS($FJ$3:FJ290),$FI$3:$FI$400,0),1),"")</f>
        <v/>
      </c>
      <c r="FK290" s="48">
        <f ca="1">IF(ABS(SUMIFS(DARE,DEN_G,"="&amp;FJ290,DATA,"&lt;="&amp;FINE_AC,DATA,"&gt;="&amp;INIZIO_A_PC)-SUMIFS(AVERE,DEN_G,"="&amp;FJ290,DATA,"&lt;="&amp;FINE_AC,DATA,"&gt;="&amp;INIZIO_A_PC))&gt;0,MAX($FK$2:FK289)+1,0)</f>
        <v>0</v>
      </c>
      <c r="FL290" s="48" t="str">
        <f ca="1">IF(AND(ROW()-2&lt;&gt;1,ROW()-2&lt;=$FK$1),CONCATENATE(" - ",IFERROR(INDEX($FJ$3:$FK$400,MATCH(ROWS($FL$3:FL290),$FK$3:$FK$400,0),1),"")),IFERROR(INDEX($FJ$3:$FK$400,MATCH(ROWS($FL$3:FL290),$FK$3:$FK$400,0),1),""))</f>
        <v/>
      </c>
      <c r="FM290" s="48">
        <f ca="1">IF(OR(B290="IVA ns/credito",B290="IVA NS/DEBITO",B290="IVA C/ACCONTO",B290="IMPOSTE C/ACCONTO",B290="CREDITI PER RITENUTE SUBITE",B290="CREDITI D'IMPOSTA"),MAX($FM$2:FM289)+1,0)</f>
        <v>0</v>
      </c>
      <c r="FN290" s="48" t="str">
        <f t="shared" ca="1" si="574"/>
        <v/>
      </c>
      <c r="FO290" s="48" t="str">
        <f ca="1">IFERROR(INDEX($FM$3:$FN$400,MATCH(ROWS($FO$3:FO290),$FM$3:$FM$400,0),2),"")</f>
        <v/>
      </c>
      <c r="FP290" s="48">
        <f ca="1">IF(ABS(SUMIFS(DARE,DEN_G,"="&amp;FO290,DATA,"&lt;="&amp;FINE_AC,DATA,"&gt;="&amp;INIZIO_A_PC)-SUMIFS(AVERE,DEN_G,"="&amp;FO290,DATA,"&lt;="&amp;FINE_AC,DATA,"&gt;="&amp;INIZIO_A_PC))&gt;0,MAX($FP$2:FP289)+1,0)</f>
        <v>0</v>
      </c>
      <c r="FQ290" s="48" t="str">
        <f ca="1">IF(AND(ROW()-2&lt;&gt;1,ROW()-2&lt;=$FP$1),CONCATENATE(" - ",IFERROR(INDEX($FO$3:$FP$400,MATCH(ROWS($FQ$3:FQ290),$FP$3:$FP$400,0),1),"")),IFERROR(INDEX($FO$3:$FP$400,MATCH(ROWS($FQ$3:FQ290),$FP$3:$FP$400,0),1),""))</f>
        <v/>
      </c>
    </row>
    <row r="291" spans="1:173" x14ac:dyDescent="0.3">
      <c r="A291" s="48" t="str">
        <f ca="1">IFERROR(IF($A$1=2,INDEX($DH$3:$DN$401,MATCH(ROWS(A$3:A291),$DN$3:$DN$401,0),COLUMN()),IF($A$1=1,INDEX($DQ$3:$DW$401,MATCH(ROWS(A$3:A291),$DW$3:$DW$401,0),COLUMN()),"")),"")</f>
        <v>40.00</v>
      </c>
      <c r="B291" s="48" t="str">
        <f ca="1">IFERROR(IF($A$1=2,INDEX($DH$3:$DN$401,MATCH(ROWS(B$3:B291),$DN$3:$DN$401,0),COLUMN()),IF($A$1=1,INDEX($DQ$3:$DW$400,MATCH(ROWS(B$3:B291),$DW$3:$DW$401,0),COLUMN()),"")),"")</f>
        <v>PROVENTI FINANZIARI</v>
      </c>
      <c r="C291" s="48">
        <f ca="1">IFERROR(IF($A$1=2,INDEX($DH$3:$DN$401,MATCH(ROWS(C$3:C291),$DN$3:$DN$401,0),COLUMN()),IF($A$1=1,INDEX($DQ$3:$DW$401,MATCH(ROWS(C$3:C291),$DW$3:$DW$401,0),COLUMN()),"")),"")</f>
        <v>0</v>
      </c>
      <c r="D291" s="48">
        <f ca="1">IFERROR(IF($A$1=2,INDEX($DH$3:$DN$401,MATCH(ROWS(D$3:D291),$DN$3:$DN$401,0),COLUMN()),IF($A$1=1,INDEX($DQ$3:$DW$401,MATCH(ROWS(D$3:D291),$DW$3:$DW$401,0),COLUMN()),"")),"")</f>
        <v>0</v>
      </c>
      <c r="E291" s="48">
        <f ca="1">IFERROR(IF($A$1=2,INDEX($DH$3:$DN$401,MATCH(ROWS(E$3:E291),$DN$3:$DN$401,0),COLUMN()),IF($A$1=1,INDEX($DQ$3:$DW$401,MATCH(ROWS(E$3:E291),$DW$3:$DW$401,0),COLUMN()),"")),"")</f>
        <v>0</v>
      </c>
      <c r="F291" s="48">
        <f ca="1">IFERROR(IF($A$1=2,INDEX($DH$3:$DN$401,MATCH(ROWS(F$3:F291),$DN$3:$DN$401,0),COLUMN()),IF($A$1=1,INDEX($DQ$3:$DX$401,MATCH(ROWS(F$3:F291),$DW$3:$DW$401,0),COLUMN()),"")),"")</f>
        <v>0</v>
      </c>
      <c r="G291" s="48" t="str">
        <f t="shared" ca="1" si="561"/>
        <v>0</v>
      </c>
      <c r="H291" s="48">
        <f ca="1">IFERROR(IF($A$1=2,INDEX($DH$3:$DO$400,MATCH(ROWS(H$3:H291),$DN$3:$DN$400,0),COLUMN()),IF($A$1=1,INDEX($DQ$3:$DX$400,MATCH(ROWS(H$3:H291),$DW$3:$DW$400,0),COLUMN()),"")),"")</f>
        <v>0</v>
      </c>
      <c r="M291" s="48">
        <f ca="1">IFERROR(IF(IF(MID($A291,3,3)=".00",MID(A291,1,2),"")&lt;&gt;"",MAX($M$2:M290)+1,0),"")</f>
        <v>32</v>
      </c>
      <c r="N291" s="48" t="str">
        <f t="shared" ca="1" si="562"/>
        <v>40</v>
      </c>
      <c r="O291" s="48" t="str">
        <f ca="1">IF(IFERROR(INDEX($N$3:$O$300,MATCH(ROWS($O$3:O291),$M$3:$M$300,0),1),"")&lt;&gt;"",CONCATENATE(INDEX($N$3:$O$300,MATCH(ROWS($O$3:O291),$M$3:$M$300,0),1),".00"),"")</f>
        <v/>
      </c>
      <c r="P291" s="48" t="str">
        <f t="shared" ca="1" si="563"/>
        <v/>
      </c>
      <c r="Q291" s="48">
        <f ca="1">IF(M291&gt;=1,0,MAX($Q$2:Q290)+1)</f>
        <v>0</v>
      </c>
      <c r="U291" s="48" t="str">
        <f ca="1">IFERROR(INDEX(PDC,MATCH(ROWS(U$3:U291),$V$3:$V$400,0),2),"")</f>
        <v>ACCANTONAMENTO PER IMPOSTE DIRETTE</v>
      </c>
      <c r="V291" s="48">
        <f ca="1">IF(AND($T$1="VISUALIZZA TUTTI I CONTI",AA291&lt;&gt;""),MAX($V$2:V290)+1,IF(AND($U$2=2,AI291=$T$1),MAX($V$2:V290)+1,IF(AND($U$2=1,$T$1=AF291),MAX($V$2:V290)+1,0)))</f>
        <v>289</v>
      </c>
      <c r="AA291" s="48" t="str">
        <f t="shared" ca="1" si="564"/>
        <v>60.00</v>
      </c>
      <c r="AB291" s="48" t="str">
        <f ca="1">IFERROR(INDEX($A$3:$G$400,MATCH(ROWS(AB$3:AB291),$Q$3:$Q$400,0),1),"")</f>
        <v>60.02</v>
      </c>
      <c r="AC291" s="48" t="str">
        <f ca="1">IFERROR(INDEX($A$3:$G$400,MATCH(ROWS($AC$3:AC291),$Q$3:$Q$400,0),2),"")</f>
        <v>ACCANTONAMENTO PER IMPOSTE DIRETTE</v>
      </c>
      <c r="AD291" s="48" t="str">
        <f ca="1">IFERROR(INDEX($A$3:$G$400,MATCH(ROWS(AD$3:AD291),$Q$3:$Q$400,0),3),"")</f>
        <v>E</v>
      </c>
      <c r="AE291" s="48" t="str">
        <f ca="1">IFERROR(INDEX($A$3:$G$400,MATCH(ROWS(AE$3:AE291),$Q$3:$Q$400,0),4),"")</f>
        <v>D</v>
      </c>
      <c r="AF291" s="48" t="str">
        <f ca="1">IFERROR(INDEX($A$3:$G$400,MATCH(ROWS(AF$3:AF291),$Q$3:$Q$400,0),5),"")</f>
        <v>COSTI D'ESERCIZIO</v>
      </c>
      <c r="AG291" s="48" t="str">
        <f ca="1">IFERROR(INDEX($A$3:$G$400,MATCH(ROWS(AG$3:AG291),$Q$3:$Q$400,0),6),"")</f>
        <v>SE DARE</v>
      </c>
      <c r="AH291" s="48" t="str">
        <f ca="1">IFERROR(INDEX($A$3:$G$400,MATCH(ROWS(AH$3:AH291),$Q$3:$Q$400,0),7),"")</f>
        <v>SE</v>
      </c>
      <c r="AI291" s="48" t="str">
        <f t="shared" ca="1" si="565"/>
        <v>IMPOSTE DELL'ESERCIZIO</v>
      </c>
      <c r="AJ291" s="48" t="str">
        <f ca="1">IFERROR(INDEX($A$3:$H$400,MATCH(ROWS(AJ$3:AJ291),$Q$3:$Q$400,0),8),"")</f>
        <v>e20</v>
      </c>
      <c r="AK291" s="48">
        <f t="shared" ca="1" si="548"/>
        <v>0</v>
      </c>
      <c r="AL291" s="48">
        <f t="shared" ca="1" si="576"/>
        <v>0</v>
      </c>
      <c r="AM291" s="48">
        <f t="shared" ca="1" si="516"/>
        <v>0</v>
      </c>
      <c r="AN291" s="48">
        <f t="shared" ca="1" si="517"/>
        <v>0</v>
      </c>
      <c r="AO291" s="48">
        <f t="shared" ca="1" si="518"/>
        <v>0</v>
      </c>
      <c r="AP291" s="48">
        <f t="shared" ca="1" si="518"/>
        <v>0</v>
      </c>
      <c r="AZ291" s="48" t="str">
        <f t="shared" ca="1" si="584"/>
        <v/>
      </c>
      <c r="BA291" s="48">
        <f t="shared" ca="1" si="520"/>
        <v>0</v>
      </c>
      <c r="BB291" s="48">
        <f t="shared" ca="1" si="521"/>
        <v>0</v>
      </c>
      <c r="BC291" s="48">
        <f t="shared" ca="1" si="522"/>
        <v>0</v>
      </c>
      <c r="BD291" s="48">
        <f t="shared" ca="1" si="523"/>
        <v>0</v>
      </c>
      <c r="BE291" s="48">
        <f t="shared" ca="1" si="524"/>
        <v>0</v>
      </c>
      <c r="BF291" s="48">
        <f t="shared" si="585"/>
        <v>91</v>
      </c>
      <c r="BG291" s="48">
        <f ca="1">IF(IF(AND(OR(INDEX(PDC,MATCH($AC291,DEN_PDC,0),6)="SP DARE",INDEX(PDC,MATCH($AC291,DEN_PDC,0),6)="SP DARE/AVERE"),SUMIFS(DARE,DEN_G,$AC291)&gt;=SUMIFS(AVERE,DEN_G,$AC291)),SUMIFS(DARE,DEN_G,$AC291)-SUMIFS(AVERE,DEN_G,$AC291),0)&gt;0,MAX($BG$2:BG290)+1,0)</f>
        <v>0</v>
      </c>
      <c r="BH291" s="48">
        <f ca="1">IF(IF(AND(OR(INDEX(PDC,MATCH($AC291,DEN_PDC,0),6)="SP AVERE",INDEX(PDC,MATCH($AC291,DEN_PDC,0),6)="SP DARE/AVERE"),SUMIFS(AVERE,DEN_G,$AC291)&gt;=SUMIFS(DARE,DEN_G,$AC291)),SUMIFS(AVERE,DEN_G,$AC291)-SUMIFS(DARE,DEN_G,$AC291),0)&gt;0,MAX(BH$2:BH290)+1,0)</f>
        <v>0</v>
      </c>
      <c r="BI291" s="48">
        <f ca="1">IF(IF(AND(OR(INDEX(PDC,MATCH($AC291,DEN_PDC,0),6)="SE DARE",INDEX(PDC,MATCH($AC291,DEN_PDC,0),6)="SE DARE/AVERE"),SUMIFS(DARE,DEN_G,$AC291)&gt;=SUMIFS(AVERE,DEN_G,$AC291)),SUMIFS(DARE,DEN_G,$AC291)-SUMIFS(AVERE,DEN_G,$AC291),0)&gt;0,MAX(BI$2:BI290)+1,0)</f>
        <v>0</v>
      </c>
      <c r="BJ291" s="48">
        <f ca="1">IF(IF(AND(OR(INDEX(PDC,MATCH($AC291,DEN_PDC,0),6)="SE AVERE",INDEX(PDC,MATCH($AC291,DEN_PDC,0),6)="SE DARE/AVERE"),SUMIFS(AVERE,DEN_G,$AC291)&gt;=SUMIFS(DARE,DEN_G,$AC291)),SUMIFS(AVERE,DEN_G,$AC291)-SUMIFS(DARE,DEN_G,$AC291),0)&gt;0,MAX(BJ$2:BJ290)+1,0)</f>
        <v>0</v>
      </c>
      <c r="BK291" s="48" t="str">
        <f ca="1">IF(AND(AND($DY$2=0,$DY$1=0),$I$1=2,ROW()&gt;$BG$1+2,ROW()&lt;=$BG$1+4),"………………..",IF(AND(OR($DY$2&gt;0,$DY$1&gt;0),$I$1=2,ROW()&gt;$BG$1+2,ROW()&lt;=$BG$1+4),"………………..",IFERROR(INDEX($AC$3:$AC$398,MATCH(ROWS(BK$3:BK291),BG$3:BG$398,0),1),"")))</f>
        <v/>
      </c>
      <c r="BL291" s="48">
        <f t="shared" ca="1" si="549"/>
        <v>0</v>
      </c>
      <c r="BM291" s="48" t="str">
        <f ca="1">IF(AND(OR($DY$2=0,$DY$1=0),$I$1=2,ROW()&gt;$BH$1+2,ROW()&lt;=$BH$1+4),"………………..",IF(AND(OR($DY$2&gt;0,$DY$1&gt;0),$I$1=2,ROW()&gt;$BH$1+2,ROW()&lt;=$BH$1+4),"………………..",IFERROR(INDEX($AC$3:$AC$400,MATCH(ROWS(BM$3:BM291),BH$3:BH$400,0),1),"")))</f>
        <v/>
      </c>
      <c r="BN291" s="48">
        <f t="shared" ca="1" si="550"/>
        <v>0</v>
      </c>
      <c r="BO291" s="48" t="str">
        <f ca="1">IF(AND(OR($DY$2=0,$DY$1=0),$I$1=2,ROW()&gt;$BI$1+2,ROW()&lt;=$BI$1+4),"………………..",IF(AND(OR($DY$2&gt;0,$DY$1&gt;0),$I$1=2,ROW()&gt;$BI$1+2,ROW()&lt;=$BI$1+4),"………………..",IFERROR(INDEX($AC$3:$AC$400,MATCH(ROWS(BO$3:BO291),BI$3:BI$400,0),1),"")))</f>
        <v/>
      </c>
      <c r="BP291" s="48">
        <f t="shared" ca="1" si="551"/>
        <v>0</v>
      </c>
      <c r="BQ291" s="48" t="str">
        <f ca="1">IF(AND(OR($DY$2=0,$DY$1=0),$I$1=2,ROW()&gt;$BJ$1+2,ROW()&lt;=$BJ$1+4),"………………..",IF(AND(OR($DY$2&gt;0,$DY$1&gt;0),$I$1=2,ROW()&gt;$BJ$1+2,ROW()&lt;=$BJ$1+4),"………………..",IFERROR(INDEX($AC$3:$AC$400,MATCH(ROWS(BQ$3:BQ291),BJ$3:BJ$400,0),1),"")))</f>
        <v/>
      </c>
      <c r="BR291" s="48">
        <f t="shared" ca="1" si="552"/>
        <v>0</v>
      </c>
      <c r="BS291" s="48">
        <f ca="1">IF(IF(AND(OR(INDEX(PDC,MATCH($AC291,DEN_PDC,0),4)="D",INDEX(PDC,MATCH($AC291,DEN_PDC,0),4)="D/A"),SUMIFS(DARE,DEN_G,$AC291)&gt;=SUMIFS(AVERE,DEN_G,$AC291)),SUMIFS(DARE,DEN_G,$AC291),IF(AND(OR(INDEX(PDC,MATCH($AC291,DEN_PDC,0),4)="A",INDEX(PDC,MATCH($AC291,DEN_PDC,0),4)="D/A"),SUMIFS(AVERE,DEN_G,$AC291)&gt;=SUMIFS(DARE,DEN_G,$AC291)),SUMIFS(AVERE,DEN_G,$AC291),))&gt;0,MAX($BS$2:BS290)+1,0)</f>
        <v>0</v>
      </c>
      <c r="BT291" s="48" t="str">
        <f ca="1">IF($CO$1=0,"",IF(AND($I$1=2,ROW()&gt;$BR$1,ROW()&lt;=$BS$1)," …………….",IF(AND($E$1=1,$BX$1=1,$I$1=2,ROW()=$BQ$1),"TOTALI",IFERROR(INDEX(PDC,MATCH(ROWS(BT$3:BT291),BS$3:BS688,0),2),""))))</f>
        <v/>
      </c>
      <c r="BU291" s="48">
        <f t="shared" ca="1" si="553"/>
        <v>0</v>
      </c>
      <c r="BV291" s="48">
        <f t="shared" ca="1" si="554"/>
        <v>0</v>
      </c>
      <c r="BW291" s="48">
        <f t="shared" ca="1" si="555"/>
        <v>0</v>
      </c>
      <c r="BX291" s="48">
        <f t="shared" ca="1" si="556"/>
        <v>0</v>
      </c>
      <c r="BY291" s="48">
        <f ca="1">IF(OR(BW291&gt;0,BX291&gt;0),MAX($BY$2:BY290)+1,0)</f>
        <v>0</v>
      </c>
      <c r="BZ291" s="48" t="str">
        <f ca="1">IFERROR(INDEX($BT$3:$BY$400,MATCH(ROWS(BZ$3:BZ291),$BY$3:$BY$400,0),1),"")</f>
        <v/>
      </c>
      <c r="CA291" s="48" t="str">
        <f ca="1">IFERROR(INDEX($BT$3:$BY$400,MATCH(ROWS(CA$3:CA291),$BY$3:$BY$400,0),4),"")</f>
        <v/>
      </c>
      <c r="CB291" s="48" t="str">
        <f ca="1">IFERROR(INDEX($BT$3:$BY$400,MATCH(ROWS(CB$3:CB291),$BY$3:$BY$400,0),5),"")</f>
        <v/>
      </c>
      <c r="CC291" s="48" t="str">
        <f t="shared" ca="1" si="557"/>
        <v/>
      </c>
      <c r="CM291" s="242" t="str">
        <f t="shared" ca="1" si="566"/>
        <v/>
      </c>
      <c r="CN291" s="243">
        <f t="shared" ca="1" si="567"/>
        <v>0</v>
      </c>
      <c r="CO291" s="48" t="str">
        <f t="shared" ca="1" si="568"/>
        <v/>
      </c>
      <c r="CU291" s="48">
        <f ca="1">IF(SUMIFS(AVERE,DEN_G,AC291,AVERE,"&gt;"&amp;0)+SUMIFS(DARE,DEN_G,AC291,DARE,"&gt;"&amp;0)&gt;0,MAX($CU$2:CU290)+1,0)</f>
        <v>0</v>
      </c>
      <c r="CV291" s="48" t="str">
        <f ca="1">IF(IFERROR(INDEX(PDC,MATCH(ROWS($CV$3:CV291),$CU$3:$CU$400,0),2),"")="CONTO DI RISULTATO ECONOMICO","",IFERROR(INDEX(PDC,MATCH(ROWS($CV$3:CV291),$CU$3:$CU$400,0),2),""))</f>
        <v/>
      </c>
      <c r="CW291" s="48">
        <f ca="1">IFERROR(IF(CV291&lt;&gt;"",MAX($CW$2:CW290)+1,0),0)</f>
        <v>0</v>
      </c>
      <c r="CX291" s="48">
        <f t="shared" ca="1" si="599"/>
        <v>23</v>
      </c>
      <c r="CY291" s="48" t="str">
        <f t="shared" ca="1" si="598"/>
        <v>MASTRO</v>
      </c>
      <c r="CZ291" s="48" t="e">
        <f t="shared" ref="CZ291:CZ300" ca="1" si="601">SUM(MATCH($CY291,INDIRECT(ADDRESS(SUM(CZ290)+3,54)&amp;":"&amp;ADDRESS(400,54)),0),CZ290)</f>
        <v>#N/A</v>
      </c>
      <c r="DA291" s="48" t="str">
        <f ca="1">IFERROR(INDEX(LIBRO_GIORNALE,CZ291,1),"")</f>
        <v/>
      </c>
      <c r="DB291" s="48" t="str">
        <f t="shared" ca="1" si="592"/>
        <v/>
      </c>
      <c r="DC291" s="48" t="str">
        <f t="shared" ref="DC291:DC300" ca="1" si="602">IF(IFERROR(INDEX(LIBRO_GIORNALE,CZ291,4),"")=0,"manca la descrizione dell'operazione",IFERROR(INDEX(LIBRO_GIORNALE,CZ291,4),""))</f>
        <v/>
      </c>
      <c r="DD291" s="48" t="str">
        <f t="shared" ref="DD291:DD300" ca="1" si="603">IFERROR(IF(INDEX(LIBRO_GIORNALE,CZ291,5)&gt;0,INDEX(LIBRO_GIORNALE,CZ291,5),""),"")</f>
        <v/>
      </c>
      <c r="DE291" s="48" t="str">
        <f t="shared" ref="DE291:DE300" ca="1" si="604">IFERROR(IF(INDEX(LIBRO_GIORNALE,CZ291,6)&gt;0,INDEX(LIBRO_GIORNALE,CZ291,6),""),"")</f>
        <v/>
      </c>
      <c r="DF291" s="48">
        <f ca="1">IF(AND(CX291=$DF$1,CX291&lt;&gt;""),0,IF(AND(DB291&lt;&gt;"",OR(DB290&lt;&gt;"",DB292&lt;&gt;"")),MAX($DF$2:DF290)+1,0))</f>
        <v>0</v>
      </c>
      <c r="DH291" s="244" t="s">
        <v>208</v>
      </c>
      <c r="DI291" s="48" t="s">
        <v>197</v>
      </c>
      <c r="DJ291" s="48" t="s">
        <v>311</v>
      </c>
      <c r="DK291" s="48" t="s">
        <v>275</v>
      </c>
      <c r="DL291" s="48" t="s">
        <v>7</v>
      </c>
      <c r="DM291" s="48" t="s">
        <v>301</v>
      </c>
      <c r="DN291" s="48">
        <f ca="1">IF(DI291&lt;&gt;"",MAX($DN$2:DN290)+1,0)</f>
        <v>226</v>
      </c>
      <c r="DO291" s="48" t="s">
        <v>710</v>
      </c>
      <c r="DQ291" s="227" t="s">
        <v>1034</v>
      </c>
      <c r="DR291" s="48" t="s">
        <v>1035</v>
      </c>
      <c r="DS291" s="48" t="s">
        <v>311</v>
      </c>
      <c r="DT291" s="48" t="s">
        <v>275</v>
      </c>
      <c r="DU291" s="48" t="s">
        <v>7</v>
      </c>
      <c r="DV291" s="48" t="s">
        <v>301</v>
      </c>
      <c r="DX291" s="48" t="s">
        <v>710</v>
      </c>
      <c r="DY291" s="48" t="str">
        <f t="shared" ca="1" si="558"/>
        <v/>
      </c>
      <c r="EL291" s="48">
        <f t="shared" ca="1" si="559"/>
        <v>0</v>
      </c>
      <c r="EM291" s="48">
        <f ca="1">IF(EL291&gt;=0,0,MAX($EM$2:EM290)+1)</f>
        <v>0</v>
      </c>
      <c r="EN291" s="48" t="str">
        <f t="shared" ca="1" si="569"/>
        <v/>
      </c>
      <c r="EO291" s="48" t="str">
        <f ca="1">IFERROR(INDEX($EM$3:$EN$400,MATCH(ROWS($EO$3:EO291),$EM$3:$EM$400,0),2),"")</f>
        <v/>
      </c>
      <c r="EP291" s="48">
        <f>ROW()</f>
        <v>291</v>
      </c>
      <c r="EQ291" s="48">
        <f t="shared" ca="1" si="560"/>
        <v>0</v>
      </c>
      <c r="ER291" s="48">
        <f ca="1">IF(ISNA(EQ291)=TRUE,MAX($ER$2:ER290)+1,0)</f>
        <v>0</v>
      </c>
      <c r="ES291" s="48" t="str">
        <f t="shared" ca="1" si="570"/>
        <v/>
      </c>
      <c r="ET291" s="48" t="str">
        <f ca="1">IFERROR(INDEX($ER$3:$ES$400,MATCH(ROWS($ET$3:ET291),$ER$3:$ER$400,0),2),"")</f>
        <v/>
      </c>
      <c r="EV291" s="48">
        <f ca="1">IFERROR(INDEX(LIBRO_GIORNALE!$O$11:$P$408,MATCH(ROWS($EV$2:EV290),LIBRO_GIORNALE!$P$11:$P$408,0),1),0)</f>
        <v>0</v>
      </c>
      <c r="EW291" s="48" t="str">
        <f t="shared" ca="1" si="544"/>
        <v>0</v>
      </c>
      <c r="EX291" s="48">
        <f t="shared" ca="1" si="571"/>
        <v>0</v>
      </c>
      <c r="EY291" s="48">
        <f ca="1">IF(EX291&gt;0,MAX($EY$2:EY290)+1,0)</f>
        <v>0</v>
      </c>
      <c r="EZ291" s="48">
        <f ca="1">IFERROR(INDEX($EX$3:$EX$400,MATCH(ROWS($EZ$3:EZ291),$EY$3:$EY$400,0),1),0)</f>
        <v>0</v>
      </c>
      <c r="FA291" s="48">
        <f ca="1">IF(EZ291&gt;0,0,MAX($FA$2:FA290)+1)</f>
        <v>289</v>
      </c>
      <c r="FB291" s="48">
        <f t="shared" ca="1" si="545"/>
        <v>0</v>
      </c>
      <c r="FC291" s="48">
        <f t="shared" ca="1" si="546"/>
        <v>289</v>
      </c>
      <c r="FD291" s="48">
        <f t="shared" ca="1" si="572"/>
        <v>289</v>
      </c>
      <c r="FE291" s="48">
        <f ca="1">IF(FD291=0,0,MAX($FE$2:FE290)+1)</f>
        <v>289</v>
      </c>
      <c r="FF291" s="48">
        <f ca="1">IFERROR(INDEX($FD$3:$FE$400,MATCH(ROWS($FF$3:FF291),$FE$3:$FE$400,0),1),"")</f>
        <v>289</v>
      </c>
      <c r="FG291" s="48">
        <f t="shared" ca="1" si="519"/>
        <v>0</v>
      </c>
      <c r="FH291" s="48">
        <f t="shared" ca="1" si="573"/>
        <v>0</v>
      </c>
      <c r="FI291" s="48">
        <f ca="1">IF(FH291&lt;&gt;0,MAX($FI$2:FI290)+1,0)</f>
        <v>0</v>
      </c>
      <c r="FJ291" s="48" t="str">
        <f ca="1">IFERROR(INDEX($FH$3:$FI$400,MATCH(ROWS($FJ$3:FJ291),$FI$3:$FI$400,0),1),"")</f>
        <v/>
      </c>
      <c r="FK291" s="48">
        <f ca="1">IF(ABS(SUMIFS(DARE,DEN_G,"="&amp;FJ291,DATA,"&lt;="&amp;FINE_AC,DATA,"&gt;="&amp;INIZIO_A_PC)-SUMIFS(AVERE,DEN_G,"="&amp;FJ291,DATA,"&lt;="&amp;FINE_AC,DATA,"&gt;="&amp;INIZIO_A_PC))&gt;0,MAX($FK$2:FK290)+1,0)</f>
        <v>0</v>
      </c>
      <c r="FL291" s="48" t="str">
        <f ca="1">IF(AND(ROW()-2&lt;&gt;1,ROW()-2&lt;=$FK$1),CONCATENATE(" - ",IFERROR(INDEX($FJ$3:$FK$400,MATCH(ROWS($FL$3:FL291),$FK$3:$FK$400,0),1),"")),IFERROR(INDEX($FJ$3:$FK$400,MATCH(ROWS($FL$3:FL291),$FK$3:$FK$400,0),1),""))</f>
        <v/>
      </c>
      <c r="FM291" s="48">
        <f ca="1">IF(OR(B291="IVA ns/credito",B291="IVA NS/DEBITO",B291="IVA C/ACCONTO",B291="IMPOSTE C/ACCONTO",B291="CREDITI PER RITENUTE SUBITE",B291="CREDITI D'IMPOSTA"),MAX($FM$2:FM290)+1,0)</f>
        <v>0</v>
      </c>
      <c r="FN291" s="48" t="str">
        <f t="shared" ca="1" si="574"/>
        <v/>
      </c>
      <c r="FO291" s="48" t="str">
        <f ca="1">IFERROR(INDEX($FM$3:$FN$400,MATCH(ROWS($FO$3:FO291),$FM$3:$FM$400,0),2),"")</f>
        <v/>
      </c>
      <c r="FP291" s="48">
        <f ca="1">IF(ABS(SUMIFS(DARE,DEN_G,"="&amp;FO291,DATA,"&lt;="&amp;FINE_AC,DATA,"&gt;="&amp;INIZIO_A_PC)-SUMIFS(AVERE,DEN_G,"="&amp;FO291,DATA,"&lt;="&amp;FINE_AC,DATA,"&gt;="&amp;INIZIO_A_PC))&gt;0,MAX($FP$2:FP290)+1,0)</f>
        <v>0</v>
      </c>
      <c r="FQ291" s="48" t="str">
        <f ca="1">IF(AND(ROW()-2&lt;&gt;1,ROW()-2&lt;=$FP$1),CONCATENATE(" - ",IFERROR(INDEX($FO$3:$FP$400,MATCH(ROWS($FQ$3:FQ291),$FP$3:$FP$400,0),1),"")),IFERROR(INDEX($FO$3:$FP$400,MATCH(ROWS($FQ$3:FQ291),$FP$3:$FP$400,0),1),""))</f>
        <v/>
      </c>
    </row>
    <row r="292" spans="1:173" x14ac:dyDescent="0.3">
      <c r="A292" s="48" t="str">
        <f ca="1">IFERROR(IF($A$1=2,INDEX($DH$3:$DN$401,MATCH(ROWS(A$3:A292),$DN$3:$DN$401,0),COLUMN()),IF($A$1=1,INDEX($DQ$3:$DW$401,MATCH(ROWS(A$3:A292),$DW$3:$DW$401,0),COLUMN()),"")),"")</f>
        <v>40.01</v>
      </c>
      <c r="B292" s="48" t="str">
        <f ca="1">IFERROR(IF($A$1=2,INDEX($DH$3:$DN$401,MATCH(ROWS(B$3:B292),$DN$3:$DN$401,0),COLUMN()),IF($A$1=1,INDEX($DQ$3:$DW$400,MATCH(ROWS(B$3:B292),$DW$3:$DW$401,0),COLUMN()),"")),"")</f>
        <v>PROVENTI DA PARTECIPAZIONI</v>
      </c>
      <c r="C292" s="48" t="str">
        <f ca="1">IFERROR(IF($A$1=2,INDEX($DH$3:$DN$401,MATCH(ROWS(C$3:C292),$DN$3:$DN$401,0),COLUMN()),IF($A$1=1,INDEX($DQ$3:$DW$401,MATCH(ROWS(C$3:C292),$DW$3:$DW$401,0),COLUMN()),"")),"")</f>
        <v>E</v>
      </c>
      <c r="D292" s="48" t="str">
        <f ca="1">IFERROR(IF($A$1=2,INDEX($DH$3:$DN$401,MATCH(ROWS(D$3:D292),$DN$3:$DN$401,0),COLUMN()),IF($A$1=1,INDEX($DQ$3:$DW$401,MATCH(ROWS(D$3:D292),$DW$3:$DW$401,0),COLUMN()),"")),"")</f>
        <v>A</v>
      </c>
      <c r="E292" s="48" t="str">
        <f ca="1">IFERROR(IF($A$1=2,INDEX($DH$3:$DN$401,MATCH(ROWS(E$3:E292),$DN$3:$DN$401,0),COLUMN()),IF($A$1=1,INDEX($DQ$3:$DW$401,MATCH(ROWS(E$3:E292),$DW$3:$DW$401,0),COLUMN()),"")),"")</f>
        <v>RICAVI D'ESERCIZIO</v>
      </c>
      <c r="F292" s="48" t="str">
        <f ca="1">IFERROR(IF($A$1=2,INDEX($DH$3:$DN$401,MATCH(ROWS(F$3:F292),$DN$3:$DN$401,0),COLUMN()),IF($A$1=1,INDEX($DQ$3:$DX$401,MATCH(ROWS(F$3:F292),$DW$3:$DW$401,0),COLUMN()),"")),"")</f>
        <v>SE AVERE</v>
      </c>
      <c r="G292" s="48" t="str">
        <f t="shared" ca="1" si="561"/>
        <v>SE</v>
      </c>
      <c r="H292" s="48" t="str">
        <f ca="1">IFERROR(IF($A$1=2,INDEX($DH$3:$DO$400,MATCH(ROWS(H$3:H292),$DN$3:$DN$400,0),COLUMN()),IF($A$1=1,INDEX($DQ$3:$DX$400,MATCH(ROWS(H$3:H292),$DW$3:$DW$400,0),COLUMN()),"")),"")</f>
        <v>ec15</v>
      </c>
      <c r="M292" s="48">
        <f ca="1">IFERROR(IF(IF(MID($A292,3,3)=".00",MID(A292,1,2),"")&lt;&gt;"",MAX($M$2:M291)+1,0),"")</f>
        <v>0</v>
      </c>
      <c r="N292" s="48" t="str">
        <f t="shared" ca="1" si="562"/>
        <v/>
      </c>
      <c r="O292" s="48" t="str">
        <f ca="1">IF(IFERROR(INDEX($N$3:$O$300,MATCH(ROWS($O$3:O292),$M$3:$M$300,0),1),"")&lt;&gt;"",CONCATENATE(INDEX($N$3:$O$300,MATCH(ROWS($O$3:O292),$M$3:$M$300,0),1),".00"),"")</f>
        <v/>
      </c>
      <c r="P292" s="48" t="str">
        <f t="shared" ca="1" si="563"/>
        <v/>
      </c>
      <c r="Q292" s="48">
        <f ca="1">IF(M292&gt;=1,0,MAX($Q$2:Q291)+1)</f>
        <v>258</v>
      </c>
      <c r="U292" s="48" t="str">
        <f ca="1">IFERROR(INDEX(PDC,MATCH(ROWS(U$3:U292),$V$3:$V$400,0),2),"")</f>
        <v>CONTO DI RISULTATO ECONOMICO</v>
      </c>
      <c r="V292" s="48">
        <f ca="1">IF(AND($T$1="VISUALIZZA TUTTI I CONTI",AA292&lt;&gt;""),MAX($V$2:V291)+1,IF(AND($U$2=2,AI292=$T$1),MAX($V$2:V291)+1,IF(AND($U$2=1,$T$1=AF292),MAX($V$2:V291)+1,0)))</f>
        <v>290</v>
      </c>
      <c r="AA292" s="48" t="str">
        <f t="shared" ca="1" si="564"/>
        <v>90.00</v>
      </c>
      <c r="AB292" s="48" t="str">
        <f ca="1">IFERROR(INDEX($A$3:$G$400,MATCH(ROWS(AB$3:AB292),$Q$3:$Q$400,0),1),"")</f>
        <v>90.01</v>
      </c>
      <c r="AC292" s="48" t="str">
        <f ca="1">IFERROR(INDEX($A$3:$G$400,MATCH(ROWS($AC$3:AC292),$Q$3:$Q$400,0),2),"")</f>
        <v>CONTO DI RISULTATO ECONOMICO</v>
      </c>
      <c r="AD292" s="48" t="str">
        <f ca="1">IFERROR(INDEX($A$3:$G$400,MATCH(ROWS(AD$3:AD292),$Q$3:$Q$400,0),3),"")</f>
        <v>E</v>
      </c>
      <c r="AE292" s="48" t="str">
        <f ca="1">IFERROR(INDEX($A$3:$G$400,MATCH(ROWS(AE$3:AE292),$Q$3:$Q$400,0),4),"")</f>
        <v>D/A</v>
      </c>
      <c r="AF292" s="48" t="str">
        <f ca="1">IFERROR(INDEX($A$3:$G$400,MATCH(ROWS(AF$3:AF292),$Q$3:$Q$400,0),5),"")</f>
        <v>CONTI DI RISULTATO</v>
      </c>
      <c r="AG292" s="48">
        <f ca="1">IFERROR(INDEX($A$3:$G$400,MATCH(ROWS(AG$3:AG292),$Q$3:$Q$400,0),6),"")</f>
        <v>0</v>
      </c>
      <c r="AH292" s="48" t="str">
        <f ca="1">IFERROR(INDEX($A$3:$G$400,MATCH(ROWS(AH$3:AH292),$Q$3:$Q$400,0),7),"")</f>
        <v>0</v>
      </c>
      <c r="AI292" s="48" t="str">
        <f t="shared" ca="1" si="565"/>
        <v>CONTI DI RISULTATO</v>
      </c>
      <c r="AJ292" s="48">
        <f ca="1">IFERROR(INDEX($A$3:$H$400,MATCH(ROWS(AJ$3:AJ292),$Q$3:$Q$400,0),8),"")</f>
        <v>0</v>
      </c>
      <c r="AK292" s="48">
        <f t="shared" ca="1" si="548"/>
        <v>0</v>
      </c>
      <c r="AL292" s="48">
        <f t="shared" ca="1" si="576"/>
        <v>0</v>
      </c>
      <c r="AM292" s="48">
        <f t="shared" ca="1" si="516"/>
        <v>0</v>
      </c>
      <c r="AN292" s="48">
        <f t="shared" ca="1" si="517"/>
        <v>0</v>
      </c>
      <c r="AO292" s="48">
        <f t="shared" ca="1" si="518"/>
        <v>0</v>
      </c>
      <c r="AP292" s="48">
        <f t="shared" ca="1" si="518"/>
        <v>0</v>
      </c>
      <c r="AZ292" s="48" t="str">
        <f t="shared" ca="1" si="584"/>
        <v/>
      </c>
      <c r="BA292" s="48">
        <f t="shared" ca="1" si="520"/>
        <v>0</v>
      </c>
      <c r="BB292" s="48">
        <f t="shared" ca="1" si="521"/>
        <v>0</v>
      </c>
      <c r="BC292" s="48">
        <f t="shared" ca="1" si="522"/>
        <v>0</v>
      </c>
      <c r="BD292" s="48">
        <f t="shared" ca="1" si="523"/>
        <v>0</v>
      </c>
      <c r="BE292" s="48">
        <f t="shared" ca="1" si="524"/>
        <v>0</v>
      </c>
      <c r="BF292" s="48">
        <f t="shared" si="585"/>
        <v>92</v>
      </c>
      <c r="BG292" s="48">
        <f ca="1">IF(IF(AND(OR(INDEX(PDC,MATCH($AC292,DEN_PDC,0),6)="SP DARE",INDEX(PDC,MATCH($AC292,DEN_PDC,0),6)="SP DARE/AVERE"),SUMIFS(DARE,DEN_G,$AC292)&gt;=SUMIFS(AVERE,DEN_G,$AC292)),SUMIFS(DARE,DEN_G,$AC292)-SUMIFS(AVERE,DEN_G,$AC292),0)&gt;0,MAX($BG$2:BG291)+1,0)</f>
        <v>0</v>
      </c>
      <c r="BH292" s="48">
        <f ca="1">IF(IF(AND(OR(INDEX(PDC,MATCH($AC292,DEN_PDC,0),6)="SP AVERE",INDEX(PDC,MATCH($AC292,DEN_PDC,0),6)="SP DARE/AVERE"),SUMIFS(AVERE,DEN_G,$AC292)&gt;=SUMIFS(DARE,DEN_G,$AC292)),SUMIFS(AVERE,DEN_G,$AC292)-SUMIFS(DARE,DEN_G,$AC292),0)&gt;0,MAX(BH$2:BH291)+1,0)</f>
        <v>0</v>
      </c>
      <c r="BI292" s="48">
        <f ca="1">IF(IF(AND(OR(INDEX(PDC,MATCH($AC292,DEN_PDC,0),6)="SE DARE",INDEX(PDC,MATCH($AC292,DEN_PDC,0),6)="SE DARE/AVERE"),SUMIFS(DARE,DEN_G,$AC292)&gt;=SUMIFS(AVERE,DEN_G,$AC292)),SUMIFS(DARE,DEN_G,$AC292)-SUMIFS(AVERE,DEN_G,$AC292),0)&gt;0,MAX(BI$2:BI291)+1,0)</f>
        <v>0</v>
      </c>
      <c r="BJ292" s="48">
        <f ca="1">IF(IF(AND(OR(INDEX(PDC,MATCH($AC292,DEN_PDC,0),6)="SE AVERE",INDEX(PDC,MATCH($AC292,DEN_PDC,0),6)="SE DARE/AVERE"),SUMIFS(AVERE,DEN_G,$AC292)&gt;=SUMIFS(DARE,DEN_G,$AC292)),SUMIFS(AVERE,DEN_G,$AC292)-SUMIFS(DARE,DEN_G,$AC292),0)&gt;0,MAX(BJ$2:BJ291)+1,0)</f>
        <v>0</v>
      </c>
      <c r="BK292" s="48" t="str">
        <f ca="1">IF(AND(AND($DY$2=0,$DY$1=0),$I$1=2,ROW()&gt;$BG$1+2,ROW()&lt;=$BG$1+4),"………………..",IF(AND(OR($DY$2&gt;0,$DY$1&gt;0),$I$1=2,ROW()&gt;$BG$1+2,ROW()&lt;=$BG$1+4),"………………..",IFERROR(INDEX($AC$3:$AC$398,MATCH(ROWS(BK$3:BK292),BG$3:BG$398,0),1),"")))</f>
        <v/>
      </c>
      <c r="BL292" s="48">
        <f t="shared" ca="1" si="549"/>
        <v>0</v>
      </c>
      <c r="BM292" s="48" t="str">
        <f ca="1">IF(AND(OR($DY$2=0,$DY$1=0),$I$1=2,ROW()&gt;$BH$1+2,ROW()&lt;=$BH$1+4),"………………..",IF(AND(OR($DY$2&gt;0,$DY$1&gt;0),$I$1=2,ROW()&gt;$BH$1+2,ROW()&lt;=$BH$1+4),"………………..",IFERROR(INDEX($AC$3:$AC$400,MATCH(ROWS(BM$3:BM292),BH$3:BH$400,0),1),"")))</f>
        <v/>
      </c>
      <c r="BN292" s="48">
        <f t="shared" ca="1" si="550"/>
        <v>0</v>
      </c>
      <c r="BO292" s="48" t="str">
        <f ca="1">IF(AND(OR($DY$2=0,$DY$1=0),$I$1=2,ROW()&gt;$BI$1+2,ROW()&lt;=$BI$1+4),"………………..",IF(AND(OR($DY$2&gt;0,$DY$1&gt;0),$I$1=2,ROW()&gt;$BI$1+2,ROW()&lt;=$BI$1+4),"………………..",IFERROR(INDEX($AC$3:$AC$400,MATCH(ROWS(BO$3:BO292),BI$3:BI$400,0),1),"")))</f>
        <v/>
      </c>
      <c r="BP292" s="48">
        <f t="shared" ca="1" si="551"/>
        <v>0</v>
      </c>
      <c r="BQ292" s="48" t="str">
        <f ca="1">IF(AND(OR($DY$2=0,$DY$1=0),$I$1=2,ROW()&gt;$BJ$1+2,ROW()&lt;=$BJ$1+4),"………………..",IF(AND(OR($DY$2&gt;0,$DY$1&gt;0),$I$1=2,ROW()&gt;$BJ$1+2,ROW()&lt;=$BJ$1+4),"………………..",IFERROR(INDEX($AC$3:$AC$400,MATCH(ROWS(BQ$3:BQ292),BJ$3:BJ$400,0),1),"")))</f>
        <v/>
      </c>
      <c r="BR292" s="48">
        <f t="shared" ca="1" si="552"/>
        <v>0</v>
      </c>
      <c r="BS292" s="48">
        <f ca="1">IF(IF(AND(OR(INDEX(PDC,MATCH($AC292,DEN_PDC,0),4)="D",INDEX(PDC,MATCH($AC292,DEN_PDC,0),4)="D/A"),SUMIFS(DARE,DEN_G,$AC292)&gt;=SUMIFS(AVERE,DEN_G,$AC292)),SUMIFS(DARE,DEN_G,$AC292),IF(AND(OR(INDEX(PDC,MATCH($AC292,DEN_PDC,0),4)="A",INDEX(PDC,MATCH($AC292,DEN_PDC,0),4)="D/A"),SUMIFS(AVERE,DEN_G,$AC292)&gt;=SUMIFS(DARE,DEN_G,$AC292)),SUMIFS(AVERE,DEN_G,$AC292),))&gt;0,MAX($BS$2:BS291)+1,0)</f>
        <v>0</v>
      </c>
      <c r="BT292" s="48" t="str">
        <f ca="1">IF($CO$1=0,"",IF(AND($I$1=2,ROW()&gt;$BR$1,ROW()&lt;=$BS$1)," …………….",IF(AND($E$1=1,$BX$1=1,$I$1=2,ROW()=$BQ$1),"TOTALI",IFERROR(INDEX(PDC,MATCH(ROWS(BT$3:BT292),BS$3:BS689,0),2),""))))</f>
        <v/>
      </c>
      <c r="BU292" s="48">
        <f t="shared" ca="1" si="553"/>
        <v>0</v>
      </c>
      <c r="BV292" s="48">
        <f t="shared" ca="1" si="554"/>
        <v>0</v>
      </c>
      <c r="BW292" s="48">
        <f t="shared" ca="1" si="555"/>
        <v>0</v>
      </c>
      <c r="BX292" s="48">
        <f t="shared" ca="1" si="556"/>
        <v>0</v>
      </c>
      <c r="BY292" s="48">
        <f ca="1">IF(OR(BW292&gt;0,BX292&gt;0),MAX($BY$2:BY291)+1,0)</f>
        <v>0</v>
      </c>
      <c r="BZ292" s="48" t="str">
        <f ca="1">IFERROR(INDEX($BT$3:$BY$400,MATCH(ROWS(BZ$3:BZ292),$BY$3:$BY$400,0),1),"")</f>
        <v/>
      </c>
      <c r="CA292" s="48" t="str">
        <f ca="1">IFERROR(INDEX($BT$3:$BY$400,MATCH(ROWS(CA$3:CA292),$BY$3:$BY$400,0),4),"")</f>
        <v/>
      </c>
      <c r="CB292" s="48" t="str">
        <f ca="1">IFERROR(INDEX($BT$3:$BY$400,MATCH(ROWS(CB$3:CB292),$BY$3:$BY$400,0),5),"")</f>
        <v/>
      </c>
      <c r="CC292" s="48" t="str">
        <f t="shared" ca="1" si="557"/>
        <v/>
      </c>
      <c r="CM292" s="242" t="str">
        <f t="shared" ca="1" si="566"/>
        <v/>
      </c>
      <c r="CN292" s="243">
        <f t="shared" ca="1" si="567"/>
        <v>0</v>
      </c>
      <c r="CO292" s="48" t="str">
        <f t="shared" ca="1" si="568"/>
        <v/>
      </c>
      <c r="CU292" s="48">
        <f ca="1">IF(SUMIFS(AVERE,DEN_G,AC292,AVERE,"&gt;"&amp;0)+SUMIFS(DARE,DEN_G,AC292,DARE,"&gt;"&amp;0)&gt;0,MAX($CU$2:CU291)+1,0)</f>
        <v>0</v>
      </c>
      <c r="CV292" s="48" t="str">
        <f ca="1">IF(IFERROR(INDEX(PDC,MATCH(ROWS($CV$3:CV292),$CU$3:$CU$400,0),2),"")="CONTO DI RISULTATO ECONOMICO","",IFERROR(INDEX(PDC,MATCH(ROWS($CV$3:CV292),$CU$3:$CU$400,0),2),""))</f>
        <v/>
      </c>
      <c r="CW292" s="48">
        <f ca="1">IFERROR(IF(CV292&lt;&gt;"",MAX($CW$2:CW291)+1,0),0)</f>
        <v>0</v>
      </c>
      <c r="CX292" s="48">
        <f t="shared" ca="1" si="599"/>
        <v>23</v>
      </c>
      <c r="CY292" s="48" t="str">
        <f t="shared" ca="1" si="598"/>
        <v>MASTRO</v>
      </c>
      <c r="CZ292" s="48" t="e">
        <f t="shared" ca="1" si="601"/>
        <v>#N/A</v>
      </c>
      <c r="DA292" s="48" t="str">
        <f t="shared" ref="DA292:DA300" ca="1" si="605">IFERROR(INDEX(LIBRO_GIORNALE,CZ292,1),"")</f>
        <v/>
      </c>
      <c r="DB292" s="48" t="str">
        <f t="shared" ca="1" si="592"/>
        <v/>
      </c>
      <c r="DC292" s="48" t="str">
        <f t="shared" ca="1" si="602"/>
        <v/>
      </c>
      <c r="DD292" s="48" t="str">
        <f t="shared" ca="1" si="603"/>
        <v/>
      </c>
      <c r="DE292" s="48" t="str">
        <f t="shared" ca="1" si="604"/>
        <v/>
      </c>
      <c r="DF292" s="48">
        <f ca="1">IF(AND(CX292=$DF$1,CX292&lt;&gt;""),0,IF(AND(DB292&lt;&gt;"",OR(DB291&lt;&gt;"",DB293&lt;&gt;"")),MAX($DF$2:DF291)+1,0))</f>
        <v>0</v>
      </c>
      <c r="DH292" s="244" t="s">
        <v>209</v>
      </c>
      <c r="DI292" s="48" t="s">
        <v>198</v>
      </c>
      <c r="DJ292" s="48" t="s">
        <v>311</v>
      </c>
      <c r="DK292" s="48" t="s">
        <v>275</v>
      </c>
      <c r="DL292" s="48" t="s">
        <v>7</v>
      </c>
      <c r="DM292" s="48" t="s">
        <v>301</v>
      </c>
      <c r="DN292" s="48">
        <f ca="1">IF(DI292&lt;&gt;"",MAX($DN$2:DN291)+1,0)</f>
        <v>227</v>
      </c>
      <c r="DO292" s="48" t="s">
        <v>710</v>
      </c>
      <c r="DQ292" s="227" t="s">
        <v>892</v>
      </c>
      <c r="DR292" s="48" t="s">
        <v>193</v>
      </c>
      <c r="DS292" s="48" t="s">
        <v>311</v>
      </c>
      <c r="DT292" s="48" t="s">
        <v>275</v>
      </c>
      <c r="DU292" s="48" t="s">
        <v>7</v>
      </c>
      <c r="DV292" s="48" t="s">
        <v>301</v>
      </c>
      <c r="DW292" s="48">
        <f ca="1">IF(DR292&lt;&gt;"",MAX($DW$2:DW291)+1,0)</f>
        <v>177</v>
      </c>
      <c r="DX292" s="48" t="s">
        <v>710</v>
      </c>
      <c r="DY292" s="48" t="str">
        <f t="shared" ca="1" si="558"/>
        <v/>
      </c>
      <c r="EL292" s="48">
        <f t="shared" ca="1" si="559"/>
        <v>0</v>
      </c>
      <c r="EM292" s="48">
        <f ca="1">IF(EL292&gt;=0,0,MAX($EM$2:EM291)+1)</f>
        <v>0</v>
      </c>
      <c r="EN292" s="48" t="str">
        <f t="shared" ca="1" si="569"/>
        <v/>
      </c>
      <c r="EO292" s="48" t="str">
        <f ca="1">IFERROR(INDEX($EM$3:$EN$400,MATCH(ROWS($EO$3:EO292),$EM$3:$EM$400,0),2),"")</f>
        <v/>
      </c>
      <c r="EP292" s="48">
        <f>ROW()</f>
        <v>292</v>
      </c>
      <c r="EQ292" s="48">
        <f t="shared" ca="1" si="560"/>
        <v>0</v>
      </c>
      <c r="ER292" s="48">
        <f ca="1">IF(ISNA(EQ292)=TRUE,MAX($ER$2:ER291)+1,0)</f>
        <v>0</v>
      </c>
      <c r="ES292" s="48" t="str">
        <f t="shared" ca="1" si="570"/>
        <v/>
      </c>
      <c r="ET292" s="48" t="str">
        <f ca="1">IFERROR(INDEX($ER$3:$ES$400,MATCH(ROWS($ET$3:ET292),$ER$3:$ER$400,0),2),"")</f>
        <v/>
      </c>
      <c r="EV292" s="48">
        <f ca="1">IFERROR(INDEX(LIBRO_GIORNALE!$O$11:$P$408,MATCH(ROWS($EV$2:EV291),LIBRO_GIORNALE!$P$11:$P$408,0),1),0)</f>
        <v>0</v>
      </c>
      <c r="EW292" s="48" t="str">
        <f t="shared" ca="1" si="544"/>
        <v>0</v>
      </c>
      <c r="EX292" s="48">
        <f t="shared" ca="1" si="571"/>
        <v>0</v>
      </c>
      <c r="EY292" s="48">
        <f ca="1">IF(EX292&gt;0,MAX($EY$2:EY291)+1,0)</f>
        <v>0</v>
      </c>
      <c r="EZ292" s="48">
        <f ca="1">IFERROR(INDEX($EX$3:$EX$400,MATCH(ROWS($EZ$3:EZ292),$EY$3:$EY$400,0),1),0)</f>
        <v>0</v>
      </c>
      <c r="FA292" s="48">
        <f ca="1">IF(EZ292&gt;0,0,MAX($FA$2:FA291)+1)</f>
        <v>290</v>
      </c>
      <c r="FB292" s="48">
        <f t="shared" ca="1" si="545"/>
        <v>0</v>
      </c>
      <c r="FC292" s="48">
        <f t="shared" ca="1" si="546"/>
        <v>290</v>
      </c>
      <c r="FD292" s="48">
        <f t="shared" ca="1" si="572"/>
        <v>290</v>
      </c>
      <c r="FE292" s="48">
        <f ca="1">IF(FD292=0,0,MAX($FE$2:FE291)+1)</f>
        <v>290</v>
      </c>
      <c r="FF292" s="48">
        <f ca="1">IFERROR(INDEX($FD$3:$FE$400,MATCH(ROWS($FF$3:FF292),$FE$3:$FE$400,0),1),"")</f>
        <v>290</v>
      </c>
      <c r="FG292" s="48">
        <f t="shared" ca="1" si="519"/>
        <v>0</v>
      </c>
      <c r="FH292" s="48">
        <f t="shared" ca="1" si="573"/>
        <v>0</v>
      </c>
      <c r="FI292" s="48">
        <f ca="1">IF(FH292&lt;&gt;0,MAX($FI$2:FI291)+1,0)</f>
        <v>0</v>
      </c>
      <c r="FJ292" s="48" t="str">
        <f ca="1">IFERROR(INDEX($FH$3:$FI$400,MATCH(ROWS($FJ$3:FJ292),$FI$3:$FI$400,0),1),"")</f>
        <v/>
      </c>
      <c r="FK292" s="48">
        <f ca="1">IF(ABS(SUMIFS(DARE,DEN_G,"="&amp;FJ292,DATA,"&lt;="&amp;FINE_AC,DATA,"&gt;="&amp;INIZIO_A_PC)-SUMIFS(AVERE,DEN_G,"="&amp;FJ292,DATA,"&lt;="&amp;FINE_AC,DATA,"&gt;="&amp;INIZIO_A_PC))&gt;0,MAX($FK$2:FK291)+1,0)</f>
        <v>0</v>
      </c>
      <c r="FL292" s="48" t="str">
        <f ca="1">IF(AND(ROW()-2&lt;&gt;1,ROW()-2&lt;=$FK$1),CONCATENATE(" - ",IFERROR(INDEX($FJ$3:$FK$400,MATCH(ROWS($FL$3:FL292),$FK$3:$FK$400,0),1),"")),IFERROR(INDEX($FJ$3:$FK$400,MATCH(ROWS($FL$3:FL292),$FK$3:$FK$400,0),1),""))</f>
        <v/>
      </c>
      <c r="FM292" s="48">
        <f ca="1">IF(OR(B292="IVA ns/credito",B292="IVA NS/DEBITO",B292="IVA C/ACCONTO",B292="IMPOSTE C/ACCONTO",B292="CREDITI PER RITENUTE SUBITE",B292="CREDITI D'IMPOSTA"),MAX($FM$2:FM291)+1,0)</f>
        <v>0</v>
      </c>
      <c r="FN292" s="48" t="str">
        <f t="shared" ca="1" si="574"/>
        <v/>
      </c>
      <c r="FO292" s="48" t="str">
        <f ca="1">IFERROR(INDEX($FM$3:$FN$400,MATCH(ROWS($FO$3:FO292),$FM$3:$FM$400,0),2),"")</f>
        <v/>
      </c>
      <c r="FP292" s="48">
        <f ca="1">IF(ABS(SUMIFS(DARE,DEN_G,"="&amp;FO292,DATA,"&lt;="&amp;FINE_AC,DATA,"&gt;="&amp;INIZIO_A_PC)-SUMIFS(AVERE,DEN_G,"="&amp;FO292,DATA,"&lt;="&amp;FINE_AC,DATA,"&gt;="&amp;INIZIO_A_PC))&gt;0,MAX($FP$2:FP291)+1,0)</f>
        <v>0</v>
      </c>
      <c r="FQ292" s="48" t="str">
        <f ca="1">IF(AND(ROW()-2&lt;&gt;1,ROW()-2&lt;=$FP$1),CONCATENATE(" - ",IFERROR(INDEX($FO$3:$FP$400,MATCH(ROWS($FQ$3:FQ292),$FP$3:$FP$400,0),1),"")),IFERROR(INDEX($FO$3:$FP$400,MATCH(ROWS($FQ$3:FQ292),$FP$3:$FP$400,0),1),""))</f>
        <v/>
      </c>
    </row>
    <row r="293" spans="1:173" x14ac:dyDescent="0.3">
      <c r="A293" s="48" t="str">
        <f ca="1">IFERROR(IF($A$1=2,INDEX($DH$3:$DN$401,MATCH(ROWS(A$3:A293),$DN$3:$DN$401,0),COLUMN()),IF($A$1=1,INDEX($DQ$3:$DW$401,MATCH(ROWS(A$3:A293),$DW$3:$DW$401,0),COLUMN()),"")),"")</f>
        <v>40.02</v>
      </c>
      <c r="B293" s="48" t="str">
        <f ca="1">IFERROR(IF($A$1=2,INDEX($DH$3:$DN$401,MATCH(ROWS(B$3:B293),$DN$3:$DN$401,0),COLUMN()),IF($A$1=1,INDEX($DQ$3:$DW$400,MATCH(ROWS(B$3:B293),$DW$3:$DW$401,0),COLUMN()),"")),"")</f>
        <v>PLUSVALENZE DA PARTECIPAZIONI</v>
      </c>
      <c r="C293" s="48" t="str">
        <f ca="1">IFERROR(IF($A$1=2,INDEX($DH$3:$DN$401,MATCH(ROWS(C$3:C293),$DN$3:$DN$401,0),COLUMN()),IF($A$1=1,INDEX($DQ$3:$DW$401,MATCH(ROWS(C$3:C293),$DW$3:$DW$401,0),COLUMN()),"")),"")</f>
        <v>E</v>
      </c>
      <c r="D293" s="48" t="str">
        <f ca="1">IFERROR(IF($A$1=2,INDEX($DH$3:$DN$401,MATCH(ROWS(D$3:D293),$DN$3:$DN$401,0),COLUMN()),IF($A$1=1,INDEX($DQ$3:$DW$401,MATCH(ROWS(D$3:D293),$DW$3:$DW$401,0),COLUMN()),"")),"")</f>
        <v>A</v>
      </c>
      <c r="E293" s="48" t="str">
        <f ca="1">IFERROR(IF($A$1=2,INDEX($DH$3:$DN$401,MATCH(ROWS(E$3:E293),$DN$3:$DN$401,0),COLUMN()),IF($A$1=1,INDEX($DQ$3:$DW$401,MATCH(ROWS(E$3:E293),$DW$3:$DW$401,0),COLUMN()),"")),"")</f>
        <v>RICAVI D'ESERCIZIO</v>
      </c>
      <c r="F293" s="48" t="str">
        <f ca="1">IFERROR(IF($A$1=2,INDEX($DH$3:$DN$401,MATCH(ROWS(F$3:F293),$DN$3:$DN$401,0),COLUMN()),IF($A$1=1,INDEX($DQ$3:$DX$401,MATCH(ROWS(F$3:F293),$DW$3:$DW$401,0),COLUMN()),"")),"")</f>
        <v>SE AVERE</v>
      </c>
      <c r="G293" s="48" t="str">
        <f t="shared" ca="1" si="561"/>
        <v>SE</v>
      </c>
      <c r="H293" s="48" t="str">
        <f ca="1">IFERROR(IF($A$1=2,INDEX($DH$3:$DO$400,MATCH(ROWS(H$3:H293),$DN$3:$DN$400,0),COLUMN()),IF($A$1=1,INDEX($DQ$3:$DX$400,MATCH(ROWS(H$3:H293),$DW$3:$DW$400,0),COLUMN()),"")),"")</f>
        <v>ec15</v>
      </c>
      <c r="M293" s="48">
        <f ca="1">IFERROR(IF(IF(MID($A293,3,3)=".00",MID(A293,1,2),"")&lt;&gt;"",MAX($M$2:M292)+1,0),"")</f>
        <v>0</v>
      </c>
      <c r="N293" s="48" t="str">
        <f t="shared" ca="1" si="562"/>
        <v/>
      </c>
      <c r="O293" s="48" t="str">
        <f ca="1">IF(IFERROR(INDEX($N$3:$O$300,MATCH(ROWS($O$3:O293),$M$3:$M$300,0),1),"")&lt;&gt;"",CONCATENATE(INDEX($N$3:$O$300,MATCH(ROWS($O$3:O293),$M$3:$M$300,0),1),".00"),"")</f>
        <v/>
      </c>
      <c r="P293" s="48" t="str">
        <f t="shared" ca="1" si="563"/>
        <v/>
      </c>
      <c r="Q293" s="48">
        <f ca="1">IF(M293&gt;=1,0,MAX($Q$2:Q292)+1)</f>
        <v>259</v>
      </c>
      <c r="U293" s="48" t="str">
        <f ca="1">IFERROR(INDEX(PDC,MATCH(ROWS(U$3:U293),$V$3:$V$400,0),2),"")</f>
        <v>GESTIONE TITOLI</v>
      </c>
      <c r="V293" s="48">
        <f ca="1">IF(AND($T$1="VISUALIZZA TUTTI I CONTI",AA293&lt;&gt;""),MAX($V$2:V292)+1,IF(AND($U$2=2,AI293=$T$1),MAX($V$2:V292)+1,IF(AND($U$2=1,$T$1=AF293),MAX($V$2:V292)+1,0)))</f>
        <v>291</v>
      </c>
      <c r="AA293" s="48" t="str">
        <f t="shared" ca="1" si="564"/>
        <v>90.00</v>
      </c>
      <c r="AB293" s="48" t="str">
        <f ca="1">IFERROR(INDEX($A$3:$G$400,MATCH(ROWS(AB$3:AB293),$Q$3:$Q$400,0),1),"")</f>
        <v>90.02</v>
      </c>
      <c r="AC293" s="48" t="str">
        <f ca="1">IFERROR(INDEX($A$3:$G$400,MATCH(ROWS($AC$3:AC293),$Q$3:$Q$400,0),2),"")</f>
        <v>GESTIONE TITOLI</v>
      </c>
      <c r="AD293" s="48" t="str">
        <f ca="1">IFERROR(INDEX($A$3:$G$400,MATCH(ROWS(AD$3:AD293),$Q$3:$Q$400,0),3),"")</f>
        <v>E</v>
      </c>
      <c r="AE293" s="48" t="str">
        <f ca="1">IFERROR(INDEX($A$3:$G$400,MATCH(ROWS(AE$3:AE293),$Q$3:$Q$400,0),4),"")</f>
        <v>D/A</v>
      </c>
      <c r="AF293" s="48" t="str">
        <f ca="1">IFERROR(INDEX($A$3:$G$400,MATCH(ROWS(AF$3:AF293),$Q$3:$Q$400,0),5),"")</f>
        <v>CONTI DI RISULTATO</v>
      </c>
      <c r="AG293" s="48">
        <f ca="1">IFERROR(INDEX($A$3:$G$400,MATCH(ROWS(AG$3:AG293),$Q$3:$Q$400,0),6),"")</f>
        <v>0</v>
      </c>
      <c r="AH293" s="48" t="str">
        <f ca="1">IFERROR(INDEX($A$3:$G$400,MATCH(ROWS(AH$3:AH293),$Q$3:$Q$400,0),7),"")</f>
        <v>0</v>
      </c>
      <c r="AI293" s="48" t="str">
        <f t="shared" ca="1" si="565"/>
        <v>CONTI DI RISULTATO</v>
      </c>
      <c r="AJ293" s="48">
        <f ca="1">IFERROR(INDEX($A$3:$H$400,MATCH(ROWS(AJ$3:AJ293),$Q$3:$Q$400,0),8),"")</f>
        <v>0</v>
      </c>
      <c r="AK293" s="48">
        <f t="shared" ca="1" si="548"/>
        <v>0</v>
      </c>
      <c r="AL293" s="48">
        <f t="shared" ca="1" si="576"/>
        <v>0</v>
      </c>
      <c r="AM293" s="48">
        <f t="shared" ca="1" si="516"/>
        <v>0</v>
      </c>
      <c r="AN293" s="48">
        <f t="shared" ca="1" si="517"/>
        <v>0</v>
      </c>
      <c r="AO293" s="48">
        <f t="shared" ca="1" si="518"/>
        <v>0</v>
      </c>
      <c r="AP293" s="48">
        <f t="shared" ca="1" si="518"/>
        <v>0</v>
      </c>
      <c r="AZ293" s="48" t="str">
        <f t="shared" ca="1" si="584"/>
        <v/>
      </c>
      <c r="BA293" s="48">
        <f t="shared" ca="1" si="520"/>
        <v>0</v>
      </c>
      <c r="BB293" s="48">
        <f t="shared" ca="1" si="521"/>
        <v>0</v>
      </c>
      <c r="BC293" s="48">
        <f t="shared" ca="1" si="522"/>
        <v>0</v>
      </c>
      <c r="BD293" s="48">
        <f t="shared" ca="1" si="523"/>
        <v>0</v>
      </c>
      <c r="BE293" s="48">
        <f t="shared" ca="1" si="524"/>
        <v>0</v>
      </c>
      <c r="BF293" s="48">
        <f t="shared" si="585"/>
        <v>93</v>
      </c>
      <c r="BG293" s="48">
        <f ca="1">IF(IF(AND(OR(INDEX(PDC,MATCH($AC293,DEN_PDC,0),6)="SP DARE",INDEX(PDC,MATCH($AC293,DEN_PDC,0),6)="SP DARE/AVERE"),SUMIFS(DARE,DEN_G,$AC293)&gt;=SUMIFS(AVERE,DEN_G,$AC293)),SUMIFS(DARE,DEN_G,$AC293)-SUMIFS(AVERE,DEN_G,$AC293),0)&gt;0,MAX($BG$2:BG292)+1,0)</f>
        <v>0</v>
      </c>
      <c r="BH293" s="48">
        <f ca="1">IF(IF(AND(OR(INDEX(PDC,MATCH($AC293,DEN_PDC,0),6)="SP AVERE",INDEX(PDC,MATCH($AC293,DEN_PDC,0),6)="SP DARE/AVERE"),SUMIFS(AVERE,DEN_G,$AC293)&gt;=SUMIFS(DARE,DEN_G,$AC293)),SUMIFS(AVERE,DEN_G,$AC293)-SUMIFS(DARE,DEN_G,$AC293),0)&gt;0,MAX(BH$2:BH292)+1,0)</f>
        <v>0</v>
      </c>
      <c r="BI293" s="48">
        <f ca="1">IF(IF(AND(OR(INDEX(PDC,MATCH($AC293,DEN_PDC,0),6)="SE DARE",INDEX(PDC,MATCH($AC293,DEN_PDC,0),6)="SE DARE/AVERE"),SUMIFS(DARE,DEN_G,$AC293)&gt;=SUMIFS(AVERE,DEN_G,$AC293)),SUMIFS(DARE,DEN_G,$AC293)-SUMIFS(AVERE,DEN_G,$AC293),0)&gt;0,MAX(BI$2:BI292)+1,0)</f>
        <v>0</v>
      </c>
      <c r="BJ293" s="48">
        <f ca="1">IF(IF(AND(OR(INDEX(PDC,MATCH($AC293,DEN_PDC,0),6)="SE AVERE",INDEX(PDC,MATCH($AC293,DEN_PDC,0),6)="SE DARE/AVERE"),SUMIFS(AVERE,DEN_G,$AC293)&gt;=SUMIFS(DARE,DEN_G,$AC293)),SUMIFS(AVERE,DEN_G,$AC293)-SUMIFS(DARE,DEN_G,$AC293),0)&gt;0,MAX(BJ$2:BJ292)+1,0)</f>
        <v>0</v>
      </c>
      <c r="BK293" s="48" t="str">
        <f ca="1">IF(AND(AND($DY$2=0,$DY$1=0),$I$1=2,ROW()&gt;$BG$1+2,ROW()&lt;=$BG$1+4),"………………..",IF(AND(OR($DY$2&gt;0,$DY$1&gt;0),$I$1=2,ROW()&gt;$BG$1+2,ROW()&lt;=$BG$1+4),"………………..",IFERROR(INDEX($AC$3:$AC$398,MATCH(ROWS(BK$3:BK293),BG$3:BG$398,0),1),"")))</f>
        <v/>
      </c>
      <c r="BL293" s="48">
        <f t="shared" ca="1" si="549"/>
        <v>0</v>
      </c>
      <c r="BM293" s="48" t="str">
        <f ca="1">IF(AND(OR($DY$2=0,$DY$1=0),$I$1=2,ROW()&gt;$BH$1+2,ROW()&lt;=$BH$1+4),"………………..",IF(AND(OR($DY$2&gt;0,$DY$1&gt;0),$I$1=2,ROW()&gt;$BH$1+2,ROW()&lt;=$BH$1+4),"………………..",IFERROR(INDEX($AC$3:$AC$400,MATCH(ROWS(BM$3:BM293),BH$3:BH$400,0),1),"")))</f>
        <v/>
      </c>
      <c r="BN293" s="48">
        <f t="shared" ca="1" si="550"/>
        <v>0</v>
      </c>
      <c r="BO293" s="48" t="str">
        <f ca="1">IF(AND(OR($DY$2=0,$DY$1=0),$I$1=2,ROW()&gt;$BI$1+2,ROW()&lt;=$BI$1+4),"………………..",IF(AND(OR($DY$2&gt;0,$DY$1&gt;0),$I$1=2,ROW()&gt;$BI$1+2,ROW()&lt;=$BI$1+4),"………………..",IFERROR(INDEX($AC$3:$AC$400,MATCH(ROWS(BO$3:BO293),BI$3:BI$400,0),1),"")))</f>
        <v/>
      </c>
      <c r="BP293" s="48">
        <f t="shared" ca="1" si="551"/>
        <v>0</v>
      </c>
      <c r="BQ293" s="48" t="str">
        <f ca="1">IF(AND(OR($DY$2=0,$DY$1=0),$I$1=2,ROW()&gt;$BJ$1+2,ROW()&lt;=$BJ$1+4),"………………..",IF(AND(OR($DY$2&gt;0,$DY$1&gt;0),$I$1=2,ROW()&gt;$BJ$1+2,ROW()&lt;=$BJ$1+4),"………………..",IFERROR(INDEX($AC$3:$AC$400,MATCH(ROWS(BQ$3:BQ293),BJ$3:BJ$400,0),1),"")))</f>
        <v/>
      </c>
      <c r="BR293" s="48">
        <f t="shared" ca="1" si="552"/>
        <v>0</v>
      </c>
      <c r="BS293" s="48">
        <f ca="1">IF(IF(AND(OR(INDEX(PDC,MATCH($AC293,DEN_PDC,0),4)="D",INDEX(PDC,MATCH($AC293,DEN_PDC,0),4)="D/A"),SUMIFS(DARE,DEN_G,$AC293)&gt;=SUMIFS(AVERE,DEN_G,$AC293)),SUMIFS(DARE,DEN_G,$AC293),IF(AND(OR(INDEX(PDC,MATCH($AC293,DEN_PDC,0),4)="A",INDEX(PDC,MATCH($AC293,DEN_PDC,0),4)="D/A"),SUMIFS(AVERE,DEN_G,$AC293)&gt;=SUMIFS(DARE,DEN_G,$AC293)),SUMIFS(AVERE,DEN_G,$AC293),))&gt;0,MAX($BS$2:BS292)+1,0)</f>
        <v>0</v>
      </c>
      <c r="BT293" s="48" t="str">
        <f ca="1">IF($CO$1=0,"",IF(AND($I$1=2,ROW()&gt;$BR$1,ROW()&lt;=$BS$1)," …………….",IF(AND($E$1=1,$BX$1=1,$I$1=2,ROW()=$BQ$1),"TOTALI",IFERROR(INDEX(PDC,MATCH(ROWS(BT$3:BT293),BS$3:BS690,0),2),""))))</f>
        <v/>
      </c>
      <c r="BU293" s="48">
        <f t="shared" ca="1" si="553"/>
        <v>0</v>
      </c>
      <c r="BV293" s="48">
        <f t="shared" ca="1" si="554"/>
        <v>0</v>
      </c>
      <c r="BW293" s="48">
        <f t="shared" ca="1" si="555"/>
        <v>0</v>
      </c>
      <c r="BX293" s="48">
        <f t="shared" ca="1" si="556"/>
        <v>0</v>
      </c>
      <c r="BY293" s="48">
        <f ca="1">IF(OR(BW293&gt;0,BX293&gt;0),MAX($BY$2:BY292)+1,0)</f>
        <v>0</v>
      </c>
      <c r="BZ293" s="48" t="str">
        <f ca="1">IFERROR(INDEX($BT$3:$BY$400,MATCH(ROWS(BZ$3:BZ293),$BY$3:$BY$400,0),1),"")</f>
        <v/>
      </c>
      <c r="CA293" s="48" t="str">
        <f ca="1">IFERROR(INDEX($BT$3:$BY$400,MATCH(ROWS(CA$3:CA293),$BY$3:$BY$400,0),4),"")</f>
        <v/>
      </c>
      <c r="CB293" s="48" t="str">
        <f ca="1">IFERROR(INDEX($BT$3:$BY$400,MATCH(ROWS(CB$3:CB293),$BY$3:$BY$400,0),5),"")</f>
        <v/>
      </c>
      <c r="CC293" s="48" t="str">
        <f t="shared" ca="1" si="557"/>
        <v/>
      </c>
      <c r="CM293" s="242" t="str">
        <f t="shared" ca="1" si="566"/>
        <v/>
      </c>
      <c r="CN293" s="243">
        <f t="shared" ca="1" si="567"/>
        <v>0</v>
      </c>
      <c r="CO293" s="48" t="str">
        <f t="shared" ca="1" si="568"/>
        <v/>
      </c>
      <c r="CU293" s="48">
        <f ca="1">IF(SUMIFS(AVERE,DEN_G,AC293,AVERE,"&gt;"&amp;0)+SUMIFS(DARE,DEN_G,AC293,DARE,"&gt;"&amp;0)&gt;0,MAX($CU$2:CU292)+1,0)</f>
        <v>0</v>
      </c>
      <c r="CV293" s="48" t="str">
        <f ca="1">IF(IFERROR(INDEX(PDC,MATCH(ROWS($CV$3:CV293),$CU$3:$CU$400,0),2),"")="CONTO DI RISULTATO ECONOMICO","",IFERROR(INDEX(PDC,MATCH(ROWS($CV$3:CV293),$CU$3:$CU$400,0),2),""))</f>
        <v/>
      </c>
      <c r="CW293" s="48">
        <f ca="1">IFERROR(IF(CV293&lt;&gt;"",MAX($CW$2:CW292)+1,0),0)</f>
        <v>0</v>
      </c>
      <c r="CX293" s="48">
        <f t="shared" ca="1" si="599"/>
        <v>23</v>
      </c>
      <c r="CY293" s="48" t="str">
        <f t="shared" ca="1" si="598"/>
        <v>MASTRO</v>
      </c>
      <c r="CZ293" s="48" t="e">
        <f t="shared" ca="1" si="601"/>
        <v>#N/A</v>
      </c>
      <c r="DA293" s="48" t="str">
        <f t="shared" ca="1" si="605"/>
        <v/>
      </c>
      <c r="DB293" s="48" t="str">
        <f t="shared" ca="1" si="592"/>
        <v/>
      </c>
      <c r="DC293" s="48" t="str">
        <f t="shared" ca="1" si="602"/>
        <v/>
      </c>
      <c r="DD293" s="48" t="str">
        <f t="shared" ca="1" si="603"/>
        <v/>
      </c>
      <c r="DE293" s="48" t="str">
        <f t="shared" ca="1" si="604"/>
        <v/>
      </c>
      <c r="DF293" s="48">
        <f ca="1">IF(AND(CX293=$DF$1,CX293&lt;&gt;""),0,IF(AND(DB293&lt;&gt;"",OR(DB292&lt;&gt;"",DB294&lt;&gt;"")),MAX($DF$2:DF292)+1,0))</f>
        <v>0</v>
      </c>
      <c r="DH293" s="244" t="s">
        <v>210</v>
      </c>
      <c r="DI293" s="48" t="s">
        <v>199</v>
      </c>
      <c r="DJ293" s="48" t="s">
        <v>311</v>
      </c>
      <c r="DK293" s="48" t="s">
        <v>275</v>
      </c>
      <c r="DL293" s="48" t="s">
        <v>7</v>
      </c>
      <c r="DM293" s="48" t="s">
        <v>301</v>
      </c>
      <c r="DN293" s="48">
        <f ca="1">IF(DI293&lt;&gt;"",MAX($DN$2:DN292)+1,0)</f>
        <v>228</v>
      </c>
      <c r="DO293" s="48" t="s">
        <v>710</v>
      </c>
      <c r="DW293" s="48">
        <f>IF(DR293&lt;&gt;"",MAX($DW$2:DW292)+1,0)</f>
        <v>0</v>
      </c>
      <c r="DY293" s="48" t="str">
        <f t="shared" ca="1" si="558"/>
        <v/>
      </c>
      <c r="EL293" s="48">
        <f t="shared" ca="1" si="559"/>
        <v>0</v>
      </c>
      <c r="EM293" s="48">
        <f ca="1">IF(EL293&gt;=0,0,MAX($EM$2:EM292)+1)</f>
        <v>0</v>
      </c>
      <c r="EN293" s="48" t="str">
        <f t="shared" ca="1" si="569"/>
        <v/>
      </c>
      <c r="EO293" s="48" t="str">
        <f ca="1">IFERROR(INDEX($EM$3:$EN$400,MATCH(ROWS($EO$3:EO293),$EM$3:$EM$400,0),2),"")</f>
        <v/>
      </c>
      <c r="EP293" s="48">
        <f>ROW()</f>
        <v>293</v>
      </c>
      <c r="EQ293" s="48">
        <f t="shared" ca="1" si="560"/>
        <v>0</v>
      </c>
      <c r="ER293" s="48">
        <f ca="1">IF(ISNA(EQ293)=TRUE,MAX($ER$2:ER292)+1,0)</f>
        <v>0</v>
      </c>
      <c r="ES293" s="48" t="str">
        <f t="shared" ca="1" si="570"/>
        <v/>
      </c>
      <c r="ET293" s="48" t="str">
        <f ca="1">IFERROR(INDEX($ER$3:$ES$400,MATCH(ROWS($ET$3:ET293),$ER$3:$ER$400,0),2),"")</f>
        <v/>
      </c>
      <c r="EV293" s="48">
        <f ca="1">IFERROR(INDEX(LIBRO_GIORNALE!$O$11:$P$408,MATCH(ROWS($EV$2:EV292),LIBRO_GIORNALE!$P$11:$P$408,0),1),0)</f>
        <v>0</v>
      </c>
      <c r="EW293" s="48" t="str">
        <f t="shared" ca="1" si="544"/>
        <v>0</v>
      </c>
      <c r="EX293" s="48">
        <f t="shared" ca="1" si="571"/>
        <v>0</v>
      </c>
      <c r="EY293" s="48">
        <f ca="1">IF(EX293&gt;0,MAX($EY$2:EY292)+1,0)</f>
        <v>0</v>
      </c>
      <c r="EZ293" s="48">
        <f ca="1">IFERROR(INDEX($EX$3:$EX$400,MATCH(ROWS($EZ$3:EZ293),$EY$3:$EY$400,0),1),0)</f>
        <v>0</v>
      </c>
      <c r="FA293" s="48">
        <f ca="1">IF(EZ293&gt;0,0,MAX($FA$2:FA292)+1)</f>
        <v>291</v>
      </c>
      <c r="FB293" s="48">
        <f t="shared" ca="1" si="545"/>
        <v>0</v>
      </c>
      <c r="FC293" s="48">
        <f t="shared" ca="1" si="546"/>
        <v>291</v>
      </c>
      <c r="FD293" s="48">
        <f t="shared" ca="1" si="572"/>
        <v>291</v>
      </c>
      <c r="FE293" s="48">
        <f ca="1">IF(FD293=0,0,MAX($FE$2:FE292)+1)</f>
        <v>291</v>
      </c>
      <c r="FF293" s="48">
        <f ca="1">IFERROR(INDEX($FD$3:$FE$400,MATCH(ROWS($FF$3:FF293),$FE$3:$FE$400,0),1),"")</f>
        <v>291</v>
      </c>
      <c r="FG293" s="48">
        <f t="shared" ca="1" si="519"/>
        <v>0</v>
      </c>
      <c r="FH293" s="48">
        <f t="shared" ca="1" si="573"/>
        <v>0</v>
      </c>
      <c r="FI293" s="48">
        <f ca="1">IF(FH293&lt;&gt;0,MAX($FI$2:FI292)+1,0)</f>
        <v>0</v>
      </c>
      <c r="FJ293" s="48" t="str">
        <f ca="1">IFERROR(INDEX($FH$3:$FI$400,MATCH(ROWS($FJ$3:FJ293),$FI$3:$FI$400,0),1),"")</f>
        <v/>
      </c>
      <c r="FK293" s="48">
        <f ca="1">IF(ABS(SUMIFS(DARE,DEN_G,"="&amp;FJ293,DATA,"&lt;="&amp;FINE_AC,DATA,"&gt;="&amp;INIZIO_A_PC)-SUMIFS(AVERE,DEN_G,"="&amp;FJ293,DATA,"&lt;="&amp;FINE_AC,DATA,"&gt;="&amp;INIZIO_A_PC))&gt;0,MAX($FK$2:FK292)+1,0)</f>
        <v>0</v>
      </c>
      <c r="FL293" s="48" t="str">
        <f ca="1">IF(AND(ROW()-2&lt;&gt;1,ROW()-2&lt;=$FK$1),CONCATENATE(" - ",IFERROR(INDEX($FJ$3:$FK$400,MATCH(ROWS($FL$3:FL293),$FK$3:$FK$400,0),1),"")),IFERROR(INDEX($FJ$3:$FK$400,MATCH(ROWS($FL$3:FL293),$FK$3:$FK$400,0),1),""))</f>
        <v/>
      </c>
      <c r="FM293" s="48">
        <f ca="1">IF(OR(B293="IVA ns/credito",B293="IVA NS/DEBITO",B293="IVA C/ACCONTO",B293="IMPOSTE C/ACCONTO",B293="CREDITI PER RITENUTE SUBITE",B293="CREDITI D'IMPOSTA"),MAX($FM$2:FM292)+1,0)</f>
        <v>0</v>
      </c>
      <c r="FN293" s="48" t="str">
        <f t="shared" ca="1" si="574"/>
        <v/>
      </c>
      <c r="FO293" s="48" t="str">
        <f ca="1">IFERROR(INDEX($FM$3:$FN$400,MATCH(ROWS($FO$3:FO293),$FM$3:$FM$400,0),2),"")</f>
        <v/>
      </c>
      <c r="FP293" s="48">
        <f ca="1">IF(ABS(SUMIFS(DARE,DEN_G,"="&amp;FO293,DATA,"&lt;="&amp;FINE_AC,DATA,"&gt;="&amp;INIZIO_A_PC)-SUMIFS(AVERE,DEN_G,"="&amp;FO293,DATA,"&lt;="&amp;FINE_AC,DATA,"&gt;="&amp;INIZIO_A_PC))&gt;0,MAX($FP$2:FP292)+1,0)</f>
        <v>0</v>
      </c>
      <c r="FQ293" s="48" t="str">
        <f ca="1">IF(AND(ROW()-2&lt;&gt;1,ROW()-2&lt;=$FP$1),CONCATENATE(" - ",IFERROR(INDEX($FO$3:$FP$400,MATCH(ROWS($FQ$3:FQ293),$FP$3:$FP$400,0),1),"")),IFERROR(INDEX($FO$3:$FP$400,MATCH(ROWS($FQ$3:FQ293),$FP$3:$FP$400,0),1),""))</f>
        <v/>
      </c>
    </row>
    <row r="294" spans="1:173" x14ac:dyDescent="0.3">
      <c r="A294" s="48" t="str">
        <f ca="1">IFERROR(IF($A$1=2,INDEX($DH$3:$DN$401,MATCH(ROWS(A$3:A294),$DN$3:$DN$401,0),COLUMN()),IF($A$1=1,INDEX($DQ$3:$DW$401,MATCH(ROWS(A$3:A294),$DW$3:$DW$401,0),COLUMN()),"")),"")</f>
        <v>40.03</v>
      </c>
      <c r="B294" s="48" t="str">
        <f ca="1">IFERROR(IF($A$1=2,INDEX($DH$3:$DN$401,MATCH(ROWS(B$3:B294),$DN$3:$DN$401,0),COLUMN()),IF($A$1=1,INDEX($DQ$3:$DW$400,MATCH(ROWS(B$3:B294),$DW$3:$DW$401,0),COLUMN()),"")),"")</f>
        <v>INTERESSI ATTIVI DA CONTROLLATE</v>
      </c>
      <c r="C294" s="48" t="str">
        <f ca="1">IFERROR(IF($A$1=2,INDEX($DH$3:$DN$401,MATCH(ROWS(C$3:C294),$DN$3:$DN$401,0),COLUMN()),IF($A$1=1,INDEX($DQ$3:$DW$401,MATCH(ROWS(C$3:C294),$DW$3:$DW$401,0),COLUMN()),"")),"")</f>
        <v>E</v>
      </c>
      <c r="D294" s="48" t="str">
        <f ca="1">IFERROR(IF($A$1=2,INDEX($DH$3:$DN$401,MATCH(ROWS(D$3:D294),$DN$3:$DN$401,0),COLUMN()),IF($A$1=1,INDEX($DQ$3:$DW$401,MATCH(ROWS(D$3:D294),$DW$3:$DW$401,0),COLUMN()),"")),"")</f>
        <v>A</v>
      </c>
      <c r="E294" s="48" t="str">
        <f ca="1">IFERROR(IF($A$1=2,INDEX($DH$3:$DN$401,MATCH(ROWS(E$3:E294),$DN$3:$DN$401,0),COLUMN()),IF($A$1=1,INDEX($DQ$3:$DW$401,MATCH(ROWS(E$3:E294),$DW$3:$DW$401,0),COLUMN()),"")),"")</f>
        <v>RICAVI D'ESERCIZIO</v>
      </c>
      <c r="F294" s="48" t="str">
        <f ca="1">IFERROR(IF($A$1=2,INDEX($DH$3:$DN$401,MATCH(ROWS(F$3:F294),$DN$3:$DN$401,0),COLUMN()),IF($A$1=1,INDEX($DQ$3:$DX$401,MATCH(ROWS(F$3:F294),$DW$3:$DW$401,0),COLUMN()),"")),"")</f>
        <v>SE AVERE</v>
      </c>
      <c r="G294" s="48" t="str">
        <f t="shared" ca="1" si="561"/>
        <v>SE</v>
      </c>
      <c r="H294" s="48" t="str">
        <f ca="1">IFERROR(IF($A$1=2,INDEX($DH$3:$DO$400,MATCH(ROWS(H$3:H294),$DN$3:$DN$400,0),COLUMN()),IF($A$1=1,INDEX($DQ$3:$DX$400,MATCH(ROWS(H$3:H294),$DW$3:$DW$400,0),COLUMN()),"")),"")</f>
        <v>ec16a</v>
      </c>
      <c r="M294" s="48">
        <f ca="1">IFERROR(IF(IF(MID($A294,3,3)=".00",MID(A294,1,2),"")&lt;&gt;"",MAX($M$2:M293)+1,0),"")</f>
        <v>0</v>
      </c>
      <c r="N294" s="48" t="str">
        <f t="shared" ca="1" si="562"/>
        <v/>
      </c>
      <c r="O294" s="48" t="str">
        <f ca="1">IF(IFERROR(INDEX($N$3:$O$300,MATCH(ROWS($O$3:O294),$M$3:$M$300,0),1),"")&lt;&gt;"",CONCATENATE(INDEX($N$3:$O$300,MATCH(ROWS($O$3:O294),$M$3:$M$300,0),1),".00"),"")</f>
        <v/>
      </c>
      <c r="P294" s="48" t="str">
        <f t="shared" ca="1" si="563"/>
        <v/>
      </c>
      <c r="Q294" s="48">
        <f ca="1">IF(M294&gt;=1,0,MAX($Q$2:Q293)+1)</f>
        <v>260</v>
      </c>
      <c r="U294" s="48" t="str">
        <f ca="1">IFERROR(INDEX(PDC,MATCH(ROWS(U$3:U294),$V$3:$V$400,0),2),"")</f>
        <v/>
      </c>
      <c r="V294" s="48">
        <f ca="1">IF(AND($T$1="VISUALIZZA TUTTI I CONTI",AA294&lt;&gt;""),MAX($V$2:V293)+1,IF(AND($U$2=2,AI294=$T$1),MAX($V$2:V293)+1,IF(AND($U$2=1,$T$1=AF294),MAX($V$2:V293)+1,0)))</f>
        <v>0</v>
      </c>
      <c r="AA294" s="48" t="str">
        <f t="shared" ca="1" si="564"/>
        <v/>
      </c>
      <c r="AB294" s="48" t="str">
        <f ca="1">IFERROR(INDEX($A$3:$G$400,MATCH(ROWS(AB$3:AB294),$Q$3:$Q$400,0),1),"")</f>
        <v/>
      </c>
      <c r="AC294" s="48" t="str">
        <f ca="1">IFERROR(INDEX($A$3:$G$400,MATCH(ROWS($AC$3:AC294),$Q$3:$Q$400,0),2),"")</f>
        <v/>
      </c>
      <c r="AD294" s="48" t="str">
        <f ca="1">IFERROR(INDEX($A$3:$G$400,MATCH(ROWS(AD$3:AD294),$Q$3:$Q$400,0),3),"")</f>
        <v/>
      </c>
      <c r="AE294" s="48" t="str">
        <f ca="1">IFERROR(INDEX($A$3:$G$400,MATCH(ROWS(AE$3:AE294),$Q$3:$Q$400,0),4),"")</f>
        <v/>
      </c>
      <c r="AF294" s="48" t="str">
        <f ca="1">IFERROR(INDEX($A$3:$G$400,MATCH(ROWS(AF$3:AF294),$Q$3:$Q$400,0),5),"")</f>
        <v/>
      </c>
      <c r="AG294" s="48" t="str">
        <f ca="1">IFERROR(INDEX($A$3:$G$400,MATCH(ROWS(AG$3:AG294),$Q$3:$Q$400,0),6),"")</f>
        <v/>
      </c>
      <c r="AH294" s="48" t="str">
        <f ca="1">IFERROR(INDEX($A$3:$G$400,MATCH(ROWS(AH$3:AH294),$Q$3:$Q$400,0),7),"")</f>
        <v/>
      </c>
      <c r="AI294" s="48" t="str">
        <f t="shared" ca="1" si="565"/>
        <v/>
      </c>
      <c r="AJ294" s="48" t="str">
        <f ca="1">IFERROR(INDEX($A$3:$H$400,MATCH(ROWS(AJ$3:AJ294),$Q$3:$Q$400,0),8),"")</f>
        <v/>
      </c>
      <c r="AK294" s="48">
        <f t="shared" ca="1" si="548"/>
        <v>0</v>
      </c>
      <c r="AL294" s="48">
        <f t="shared" ca="1" si="576"/>
        <v>0</v>
      </c>
      <c r="AM294" s="48">
        <f t="shared" ca="1" si="516"/>
        <v>0</v>
      </c>
      <c r="AN294" s="48">
        <f t="shared" ca="1" si="517"/>
        <v>0</v>
      </c>
      <c r="AO294" s="48">
        <f t="shared" ca="1" si="518"/>
        <v>0</v>
      </c>
      <c r="AP294" s="48">
        <f t="shared" ca="1" si="518"/>
        <v>0</v>
      </c>
      <c r="AZ294" s="48" t="str">
        <f t="shared" ca="1" si="584"/>
        <v/>
      </c>
      <c r="BA294" s="48">
        <f t="shared" ca="1" si="520"/>
        <v>0</v>
      </c>
      <c r="BB294" s="48">
        <f t="shared" ca="1" si="521"/>
        <v>0</v>
      </c>
      <c r="BC294" s="48">
        <f t="shared" ca="1" si="522"/>
        <v>0</v>
      </c>
      <c r="BD294" s="48">
        <f t="shared" ca="1" si="523"/>
        <v>0</v>
      </c>
      <c r="BE294" s="48">
        <f t="shared" ca="1" si="524"/>
        <v>0</v>
      </c>
      <c r="BF294" s="48">
        <f t="shared" si="585"/>
        <v>94</v>
      </c>
      <c r="BG294" s="48">
        <f ca="1">IF(IF(AND(OR(INDEX(PDC,MATCH($AC294,DEN_PDC,0),6)="SP DARE",INDEX(PDC,MATCH($AC294,DEN_PDC,0),6)="SP DARE/AVERE"),SUMIFS(DARE,DEN_G,$AC294)&gt;=SUMIFS(AVERE,DEN_G,$AC294)),SUMIFS(DARE,DEN_G,$AC294)-SUMIFS(AVERE,DEN_G,$AC294),0)&gt;0,MAX($BG$2:BG293)+1,0)</f>
        <v>0</v>
      </c>
      <c r="BH294" s="48">
        <f ca="1">IF(IF(AND(OR(INDEX(PDC,MATCH($AC294,DEN_PDC,0),6)="SP AVERE",INDEX(PDC,MATCH($AC294,DEN_PDC,0),6)="SP DARE/AVERE"),SUMIFS(AVERE,DEN_G,$AC294)&gt;=SUMIFS(DARE,DEN_G,$AC294)),SUMIFS(AVERE,DEN_G,$AC294)-SUMIFS(DARE,DEN_G,$AC294),0)&gt;0,MAX(BH$2:BH293)+1,0)</f>
        <v>0</v>
      </c>
      <c r="BI294" s="48">
        <f ca="1">IF(IF(AND(OR(INDEX(PDC,MATCH($AC294,DEN_PDC,0),6)="SE DARE",INDEX(PDC,MATCH($AC294,DEN_PDC,0),6)="SE DARE/AVERE"),SUMIFS(DARE,DEN_G,$AC294)&gt;=SUMIFS(AVERE,DEN_G,$AC294)),SUMIFS(DARE,DEN_G,$AC294)-SUMIFS(AVERE,DEN_G,$AC294),0)&gt;0,MAX(BI$2:BI293)+1,0)</f>
        <v>0</v>
      </c>
      <c r="BJ294" s="48">
        <f ca="1">IF(IF(AND(OR(INDEX(PDC,MATCH($AC294,DEN_PDC,0),6)="SE AVERE",INDEX(PDC,MATCH($AC294,DEN_PDC,0),6)="SE DARE/AVERE"),SUMIFS(AVERE,DEN_G,$AC294)&gt;=SUMIFS(DARE,DEN_G,$AC294)),SUMIFS(AVERE,DEN_G,$AC294)-SUMIFS(DARE,DEN_G,$AC294),0)&gt;0,MAX(BJ$2:BJ293)+1,0)</f>
        <v>0</v>
      </c>
      <c r="BK294" s="48" t="str">
        <f ca="1">IF(AND(AND($DY$2=0,$DY$1=0),$I$1=2,ROW()&gt;$BG$1+2,ROW()&lt;=$BG$1+4),"………………..",IF(AND(OR($DY$2&gt;0,$DY$1&gt;0),$I$1=2,ROW()&gt;$BG$1+2,ROW()&lt;=$BG$1+4),"………………..",IFERROR(INDEX($AC$3:$AC$398,MATCH(ROWS(BK$3:BK294),BG$3:BG$398,0),1),"")))</f>
        <v/>
      </c>
      <c r="BL294" s="48">
        <f t="shared" ca="1" si="549"/>
        <v>0</v>
      </c>
      <c r="BM294" s="48" t="str">
        <f ca="1">IF(AND(OR($DY$2=0,$DY$1=0),$I$1=2,ROW()&gt;$BH$1+2,ROW()&lt;=$BH$1+4),"………………..",IF(AND(OR($DY$2&gt;0,$DY$1&gt;0),$I$1=2,ROW()&gt;$BH$1+2,ROW()&lt;=$BH$1+4),"………………..",IFERROR(INDEX($AC$3:$AC$400,MATCH(ROWS(BM$3:BM294),BH$3:BH$400,0),1),"")))</f>
        <v/>
      </c>
      <c r="BN294" s="48">
        <f t="shared" ca="1" si="550"/>
        <v>0</v>
      </c>
      <c r="BO294" s="48" t="str">
        <f ca="1">IF(AND(OR($DY$2=0,$DY$1=0),$I$1=2,ROW()&gt;$BI$1+2,ROW()&lt;=$BI$1+4),"………………..",IF(AND(OR($DY$2&gt;0,$DY$1&gt;0),$I$1=2,ROW()&gt;$BI$1+2,ROW()&lt;=$BI$1+4),"………………..",IFERROR(INDEX($AC$3:$AC$400,MATCH(ROWS(BO$3:BO294),BI$3:BI$400,0),1),"")))</f>
        <v/>
      </c>
      <c r="BP294" s="48">
        <f t="shared" ca="1" si="551"/>
        <v>0</v>
      </c>
      <c r="BQ294" s="48" t="str">
        <f ca="1">IF(AND(OR($DY$2=0,$DY$1=0),$I$1=2,ROW()&gt;$BJ$1+2,ROW()&lt;=$BJ$1+4),"………………..",IF(AND(OR($DY$2&gt;0,$DY$1&gt;0),$I$1=2,ROW()&gt;$BJ$1+2,ROW()&lt;=$BJ$1+4),"………………..",IFERROR(INDEX($AC$3:$AC$400,MATCH(ROWS(BQ$3:BQ294),BJ$3:BJ$400,0),1),"")))</f>
        <v/>
      </c>
      <c r="BR294" s="48">
        <f t="shared" ca="1" si="552"/>
        <v>0</v>
      </c>
      <c r="BS294" s="48">
        <f ca="1">IF(IF(AND(OR(INDEX(PDC,MATCH($AC294,DEN_PDC,0),4)="D",INDEX(PDC,MATCH($AC294,DEN_PDC,0),4)="D/A"),SUMIFS(DARE,DEN_G,$AC294)&gt;=SUMIFS(AVERE,DEN_G,$AC294)),SUMIFS(DARE,DEN_G,$AC294),IF(AND(OR(INDEX(PDC,MATCH($AC294,DEN_PDC,0),4)="A",INDEX(PDC,MATCH($AC294,DEN_PDC,0),4)="D/A"),SUMIFS(AVERE,DEN_G,$AC294)&gt;=SUMIFS(DARE,DEN_G,$AC294)),SUMIFS(AVERE,DEN_G,$AC294),))&gt;0,MAX($BS$2:BS293)+1,0)</f>
        <v>0</v>
      </c>
      <c r="BT294" s="48" t="str">
        <f ca="1">IF($CO$1=0,"",IF(AND($I$1=2,ROW()&gt;$BR$1,ROW()&lt;=$BS$1)," …………….",IF(AND($E$1=1,$BX$1=1,$I$1=2,ROW()=$BQ$1),"TOTALI",IFERROR(INDEX(PDC,MATCH(ROWS(BT$3:BT294),BS$3:BS691,0),2),""))))</f>
        <v/>
      </c>
      <c r="BU294" s="48">
        <f t="shared" ca="1" si="553"/>
        <v>0</v>
      </c>
      <c r="BV294" s="48">
        <f t="shared" ca="1" si="554"/>
        <v>0</v>
      </c>
      <c r="BW294" s="48">
        <f t="shared" ca="1" si="555"/>
        <v>0</v>
      </c>
      <c r="BX294" s="48">
        <f t="shared" ca="1" si="556"/>
        <v>0</v>
      </c>
      <c r="BY294" s="48">
        <f ca="1">IF(OR(BW294&gt;0,BX294&gt;0),MAX($BY$2:BY293)+1,0)</f>
        <v>0</v>
      </c>
      <c r="BZ294" s="48" t="str">
        <f ca="1">IFERROR(INDEX($BT$3:$BY$400,MATCH(ROWS(BZ$3:BZ294),$BY$3:$BY$400,0),1),"")</f>
        <v/>
      </c>
      <c r="CA294" s="48" t="str">
        <f ca="1">IFERROR(INDEX($BT$3:$BY$400,MATCH(ROWS(CA$3:CA294),$BY$3:$BY$400,0),4),"")</f>
        <v/>
      </c>
      <c r="CB294" s="48" t="str">
        <f ca="1">IFERROR(INDEX($BT$3:$BY$400,MATCH(ROWS(CB$3:CB294),$BY$3:$BY$400,0),5),"")</f>
        <v/>
      </c>
      <c r="CC294" s="48" t="str">
        <f t="shared" ca="1" si="557"/>
        <v/>
      </c>
      <c r="CM294" s="242" t="str">
        <f t="shared" ca="1" si="566"/>
        <v/>
      </c>
      <c r="CN294" s="243">
        <f t="shared" ca="1" si="567"/>
        <v>0</v>
      </c>
      <c r="CO294" s="48" t="str">
        <f t="shared" ca="1" si="568"/>
        <v/>
      </c>
      <c r="CU294" s="48">
        <f ca="1">IF(SUMIFS(AVERE,DEN_G,AC294,AVERE,"&gt;"&amp;0)+SUMIFS(DARE,DEN_G,AC294,DARE,"&gt;"&amp;0)&gt;0,MAX($CU$2:CU293)+1,0)</f>
        <v>0</v>
      </c>
      <c r="CV294" s="48" t="str">
        <f ca="1">IF(IFERROR(INDEX(PDC,MATCH(ROWS($CV$3:CV294),$CU$3:$CU$400,0),2),"")="CONTO DI RISULTATO ECONOMICO","",IFERROR(INDEX(PDC,MATCH(ROWS($CV$3:CV294),$CU$3:$CU$400,0),2),""))</f>
        <v/>
      </c>
      <c r="CW294" s="48">
        <f ca="1">IFERROR(IF(CV294&lt;&gt;"",MAX($CW$2:CW293)+1,0),0)</f>
        <v>0</v>
      </c>
      <c r="CX294" s="48">
        <f t="shared" ca="1" si="599"/>
        <v>23</v>
      </c>
      <c r="CY294" s="48" t="str">
        <f t="shared" ca="1" si="598"/>
        <v>MASTRO</v>
      </c>
      <c r="CZ294" s="48" t="e">
        <f t="shared" ca="1" si="601"/>
        <v>#N/A</v>
      </c>
      <c r="DA294" s="48" t="str">
        <f t="shared" ca="1" si="605"/>
        <v/>
      </c>
      <c r="DB294" s="48" t="str">
        <f t="shared" ca="1" si="592"/>
        <v/>
      </c>
      <c r="DC294" s="48" t="str">
        <f t="shared" ca="1" si="602"/>
        <v/>
      </c>
      <c r="DD294" s="48" t="str">
        <f t="shared" ca="1" si="603"/>
        <v/>
      </c>
      <c r="DE294" s="48" t="str">
        <f t="shared" ca="1" si="604"/>
        <v/>
      </c>
      <c r="DF294" s="48">
        <f ca="1">IF(AND(CX294=$DF$1,CX294&lt;&gt;""),0,IF(AND(DB294&lt;&gt;"",OR(DB293&lt;&gt;"",DB295&lt;&gt;"")),MAX($DF$2:DF293)+1,0))</f>
        <v>0</v>
      </c>
      <c r="DH294" s="244" t="s">
        <v>211</v>
      </c>
      <c r="DI294" s="48" t="s">
        <v>894</v>
      </c>
      <c r="DJ294" s="48" t="s">
        <v>311</v>
      </c>
      <c r="DK294" s="48" t="s">
        <v>275</v>
      </c>
      <c r="DL294" s="48" t="s">
        <v>7</v>
      </c>
      <c r="DM294" s="48" t="s">
        <v>301</v>
      </c>
      <c r="DN294" s="48">
        <f ca="1">IF(DI294&lt;&gt;"",MAX($DN$2:DN293)+1,0)</f>
        <v>229</v>
      </c>
      <c r="DO294" s="48" t="s">
        <v>710</v>
      </c>
      <c r="DW294" s="48">
        <f>IF(DR294&lt;&gt;"",MAX($DW$2:DW293)+1,0)</f>
        <v>0</v>
      </c>
      <c r="DY294" s="48" t="str">
        <f t="shared" ca="1" si="558"/>
        <v/>
      </c>
      <c r="EL294" s="48">
        <f t="shared" ca="1" si="559"/>
        <v>0</v>
      </c>
      <c r="EM294" s="48">
        <f ca="1">IF(EL294&gt;=0,0,MAX($EM$2:EM293)+1)</f>
        <v>0</v>
      </c>
      <c r="EN294" s="48" t="str">
        <f t="shared" ca="1" si="569"/>
        <v/>
      </c>
      <c r="EO294" s="48" t="str">
        <f ca="1">IFERROR(INDEX($EM$3:$EN$400,MATCH(ROWS($EO$3:EO294),$EM$3:$EM$400,0),2),"")</f>
        <v/>
      </c>
      <c r="EP294" s="48">
        <f>ROW()</f>
        <v>294</v>
      </c>
      <c r="EQ294" s="48">
        <f t="shared" ca="1" si="560"/>
        <v>0</v>
      </c>
      <c r="ER294" s="48">
        <f ca="1">IF(ISNA(EQ294)=TRUE,MAX($ER$2:ER293)+1,0)</f>
        <v>0</v>
      </c>
      <c r="ES294" s="48" t="str">
        <f t="shared" ca="1" si="570"/>
        <v/>
      </c>
      <c r="ET294" s="48" t="str">
        <f ca="1">IFERROR(INDEX($ER$3:$ES$400,MATCH(ROWS($ET$3:ET294),$ER$3:$ER$400,0),2),"")</f>
        <v/>
      </c>
      <c r="EV294" s="48">
        <f ca="1">IFERROR(INDEX(LIBRO_GIORNALE!$O$11:$P$408,MATCH(ROWS($EV$2:EV293),LIBRO_GIORNALE!$P$11:$P$408,0),1),0)</f>
        <v>0</v>
      </c>
      <c r="EW294" s="48" t="str">
        <f t="shared" ca="1" si="544"/>
        <v>0</v>
      </c>
      <c r="EX294" s="48">
        <f t="shared" ca="1" si="571"/>
        <v>0</v>
      </c>
      <c r="EY294" s="48">
        <f ca="1">IF(EX294&gt;0,MAX($EY$2:EY293)+1,0)</f>
        <v>0</v>
      </c>
      <c r="EZ294" s="48">
        <f ca="1">IFERROR(INDEX($EX$3:$EX$400,MATCH(ROWS($EZ$3:EZ294),$EY$3:$EY$400,0),1),0)</f>
        <v>0</v>
      </c>
      <c r="FA294" s="48">
        <f ca="1">IF(EZ294&gt;0,0,MAX($FA$2:FA293)+1)</f>
        <v>292</v>
      </c>
      <c r="FB294" s="48">
        <f t="shared" ca="1" si="545"/>
        <v>0</v>
      </c>
      <c r="FC294" s="48">
        <f t="shared" ca="1" si="546"/>
        <v>292</v>
      </c>
      <c r="FD294" s="48">
        <f t="shared" ca="1" si="572"/>
        <v>292</v>
      </c>
      <c r="FE294" s="48">
        <f ca="1">IF(FD294=0,0,MAX($FE$2:FE293)+1)</f>
        <v>292</v>
      </c>
      <c r="FF294" s="48">
        <f ca="1">IFERROR(INDEX($FD$3:$FE$400,MATCH(ROWS($FF$3:FF294),$FE$3:$FE$400,0),1),"")</f>
        <v>292</v>
      </c>
      <c r="FG294" s="48">
        <f t="shared" ca="1" si="519"/>
        <v>0</v>
      </c>
      <c r="FH294" s="48">
        <f t="shared" ca="1" si="573"/>
        <v>0</v>
      </c>
      <c r="FI294" s="48">
        <f ca="1">IF(FH294&lt;&gt;0,MAX($FI$2:FI293)+1,0)</f>
        <v>0</v>
      </c>
      <c r="FJ294" s="48" t="str">
        <f ca="1">IFERROR(INDEX($FH$3:$FI$400,MATCH(ROWS($FJ$3:FJ294),$FI$3:$FI$400,0),1),"")</f>
        <v/>
      </c>
      <c r="FK294" s="48">
        <f ca="1">IF(ABS(SUMIFS(DARE,DEN_G,"="&amp;FJ294,DATA,"&lt;="&amp;FINE_AC,DATA,"&gt;="&amp;INIZIO_A_PC)-SUMIFS(AVERE,DEN_G,"="&amp;FJ294,DATA,"&lt;="&amp;FINE_AC,DATA,"&gt;="&amp;INIZIO_A_PC))&gt;0,MAX($FK$2:FK293)+1,0)</f>
        <v>0</v>
      </c>
      <c r="FL294" s="48" t="str">
        <f ca="1">IF(AND(ROW()-2&lt;&gt;1,ROW()-2&lt;=$FK$1),CONCATENATE(" - ",IFERROR(INDEX($FJ$3:$FK$400,MATCH(ROWS($FL$3:FL294),$FK$3:$FK$400,0),1),"")),IFERROR(INDEX($FJ$3:$FK$400,MATCH(ROWS($FL$3:FL294),$FK$3:$FK$400,0),1),""))</f>
        <v/>
      </c>
      <c r="FM294" s="48">
        <f ca="1">IF(OR(B294="IVA ns/credito",B294="IVA NS/DEBITO",B294="IVA C/ACCONTO",B294="IMPOSTE C/ACCONTO",B294="CREDITI PER RITENUTE SUBITE",B294="CREDITI D'IMPOSTA"),MAX($FM$2:FM293)+1,0)</f>
        <v>0</v>
      </c>
      <c r="FN294" s="48" t="str">
        <f t="shared" ca="1" si="574"/>
        <v/>
      </c>
      <c r="FO294" s="48" t="str">
        <f ca="1">IFERROR(INDEX($FM$3:$FN$400,MATCH(ROWS($FO$3:FO294),$FM$3:$FM$400,0),2),"")</f>
        <v/>
      </c>
      <c r="FP294" s="48">
        <f ca="1">IF(ABS(SUMIFS(DARE,DEN_G,"="&amp;FO294,DATA,"&lt;="&amp;FINE_AC,DATA,"&gt;="&amp;INIZIO_A_PC)-SUMIFS(AVERE,DEN_G,"="&amp;FO294,DATA,"&lt;="&amp;FINE_AC,DATA,"&gt;="&amp;INIZIO_A_PC))&gt;0,MAX($FP$2:FP293)+1,0)</f>
        <v>0</v>
      </c>
      <c r="FQ294" s="48" t="str">
        <f ca="1">IF(AND(ROW()-2&lt;&gt;1,ROW()-2&lt;=$FP$1),CONCATENATE(" - ",IFERROR(INDEX($FO$3:$FP$400,MATCH(ROWS($FQ$3:FQ294),$FP$3:$FP$400,0),1),"")),IFERROR(INDEX($FO$3:$FP$400,MATCH(ROWS($FQ$3:FQ294),$FP$3:$FP$400,0),1),""))</f>
        <v/>
      </c>
    </row>
    <row r="295" spans="1:173" x14ac:dyDescent="0.3">
      <c r="A295" s="48" t="str">
        <f ca="1">IFERROR(IF($A$1=2,INDEX($DH$3:$DN$401,MATCH(ROWS(A$3:A295),$DN$3:$DN$401,0),COLUMN()),IF($A$1=1,INDEX($DQ$3:$DW$401,MATCH(ROWS(A$3:A295),$DW$3:$DW$401,0),COLUMN()),"")),"")</f>
        <v>40.04</v>
      </c>
      <c r="B295" s="48" t="str">
        <f ca="1">IFERROR(IF($A$1=2,INDEX($DH$3:$DN$401,MATCH(ROWS(B$3:B295),$DN$3:$DN$401,0),COLUMN()),IF($A$1=1,INDEX($DQ$3:$DW$400,MATCH(ROWS(B$3:B295),$DW$3:$DW$401,0),COLUMN()),"")),"")</f>
        <v>INTERESSI ATTIVI DA COLLEGATE</v>
      </c>
      <c r="C295" s="48" t="str">
        <f ca="1">IFERROR(IF($A$1=2,INDEX($DH$3:$DN$401,MATCH(ROWS(C$3:C295),$DN$3:$DN$401,0),COLUMN()),IF($A$1=1,INDEX($DQ$3:$DW$401,MATCH(ROWS(C$3:C295),$DW$3:$DW$401,0),COLUMN()),"")),"")</f>
        <v>E</v>
      </c>
      <c r="D295" s="48" t="str">
        <f ca="1">IFERROR(IF($A$1=2,INDEX($DH$3:$DN$401,MATCH(ROWS(D$3:D295),$DN$3:$DN$401,0),COLUMN()),IF($A$1=1,INDEX($DQ$3:$DW$401,MATCH(ROWS(D$3:D295),$DW$3:$DW$401,0),COLUMN()),"")),"")</f>
        <v>A</v>
      </c>
      <c r="E295" s="48" t="str">
        <f ca="1">IFERROR(IF($A$1=2,INDEX($DH$3:$DN$401,MATCH(ROWS(E$3:E295),$DN$3:$DN$401,0),COLUMN()),IF($A$1=1,INDEX($DQ$3:$DW$401,MATCH(ROWS(E$3:E295),$DW$3:$DW$401,0),COLUMN()),"")),"")</f>
        <v>RICAVI D'ESERCIZIO</v>
      </c>
      <c r="F295" s="48" t="str">
        <f ca="1">IFERROR(IF($A$1=2,INDEX($DH$3:$DN$401,MATCH(ROWS(F$3:F295),$DN$3:$DN$401,0),COLUMN()),IF($A$1=1,INDEX($DQ$3:$DX$401,MATCH(ROWS(F$3:F295),$DW$3:$DW$401,0),COLUMN()),"")),"")</f>
        <v>SE AVERE</v>
      </c>
      <c r="G295" s="48" t="str">
        <f t="shared" ca="1" si="561"/>
        <v>SE</v>
      </c>
      <c r="H295" s="48" t="str">
        <f ca="1">IFERROR(IF($A$1=2,INDEX($DH$3:$DO$400,MATCH(ROWS(H$3:H295),$DN$3:$DN$400,0),COLUMN()),IF($A$1=1,INDEX($DQ$3:$DX$400,MATCH(ROWS(H$3:H295),$DW$3:$DW$400,0),COLUMN()),"")),"")</f>
        <v>ec16a</v>
      </c>
      <c r="M295" s="48">
        <f ca="1">IFERROR(IF(IF(MID($A295,3,3)=".00",MID(A295,1,2),"")&lt;&gt;"",MAX($M$2:M294)+1,0),"")</f>
        <v>0</v>
      </c>
      <c r="N295" s="48" t="str">
        <f t="shared" ca="1" si="562"/>
        <v/>
      </c>
      <c r="O295" s="48" t="str">
        <f ca="1">IF(IFERROR(INDEX($N$3:$O$300,MATCH(ROWS($O$3:O295),$M$3:$M$300,0),1),"")&lt;&gt;"",CONCATENATE(INDEX($N$3:$O$300,MATCH(ROWS($O$3:O295),$M$3:$M$300,0),1),".00"),"")</f>
        <v/>
      </c>
      <c r="P295" s="48" t="str">
        <f t="shared" ca="1" si="563"/>
        <v/>
      </c>
      <c r="Q295" s="48">
        <f ca="1">IF(M295&gt;=1,0,MAX($Q$2:Q294)+1)</f>
        <v>261</v>
      </c>
      <c r="U295" s="48" t="str">
        <f ca="1">IFERROR(INDEX(PDC,MATCH(ROWS(U$3:U295),$V$3:$V$400,0),2),"")</f>
        <v/>
      </c>
      <c r="V295" s="48">
        <f ca="1">IF(AND($T$1="VISUALIZZA TUTTI I CONTI",AA295&lt;&gt;""),MAX($V$2:V294)+1,IF(AND($U$2=2,AI295=$T$1),MAX($V$2:V294)+1,IF(AND($U$2=1,$T$1=AF295),MAX($V$2:V294)+1,0)))</f>
        <v>0</v>
      </c>
      <c r="AA295" s="48" t="str">
        <f t="shared" ca="1" si="564"/>
        <v/>
      </c>
      <c r="AB295" s="48" t="str">
        <f ca="1">IFERROR(INDEX($A$3:$G$400,MATCH(ROWS(AB$3:AB295),$Q$3:$Q$400,0),1),"")</f>
        <v/>
      </c>
      <c r="AC295" s="48" t="str">
        <f ca="1">IFERROR(INDEX($A$3:$G$400,MATCH(ROWS($AC$3:AC295),$Q$3:$Q$400,0),2),"")</f>
        <v/>
      </c>
      <c r="AD295" s="48" t="str">
        <f ca="1">IFERROR(INDEX($A$3:$G$400,MATCH(ROWS(AD$3:AD295),$Q$3:$Q$400,0),3),"")</f>
        <v/>
      </c>
      <c r="AE295" s="48" t="str">
        <f ca="1">IFERROR(INDEX($A$3:$G$400,MATCH(ROWS(AE$3:AE295),$Q$3:$Q$400,0),4),"")</f>
        <v/>
      </c>
      <c r="AF295" s="48" t="str">
        <f ca="1">IFERROR(INDEX($A$3:$G$400,MATCH(ROWS(AF$3:AF295),$Q$3:$Q$400,0),5),"")</f>
        <v/>
      </c>
      <c r="AG295" s="48" t="str">
        <f ca="1">IFERROR(INDEX($A$3:$G$400,MATCH(ROWS(AG$3:AG295),$Q$3:$Q$400,0),6),"")</f>
        <v/>
      </c>
      <c r="AH295" s="48" t="str">
        <f ca="1">IFERROR(INDEX($A$3:$G$400,MATCH(ROWS(AH$3:AH295),$Q$3:$Q$400,0),7),"")</f>
        <v/>
      </c>
      <c r="AI295" s="48" t="str">
        <f t="shared" ca="1" si="565"/>
        <v/>
      </c>
      <c r="AJ295" s="48" t="str">
        <f ca="1">IFERROR(INDEX($A$3:$H$400,MATCH(ROWS(AJ$3:AJ295),$Q$3:$Q$400,0),8),"")</f>
        <v/>
      </c>
      <c r="AK295" s="48">
        <f t="shared" ca="1" si="548"/>
        <v>0</v>
      </c>
      <c r="AL295" s="48">
        <f t="shared" ref="AL295:AL302" ca="1" si="606">IF(AND(AO295&gt;0,AP295&gt;0),0,IF(INDIRECT(ADDRESS(ROW()-92,COLUMN()-34,,,"LIBRO_GIORNALE"))&lt;INIZIO_A_PC,0,INDIRECT(ADDRESS(ROW()-92,COLUMN()-34,,,"LIBRO_GIORNALE"))))</f>
        <v>0</v>
      </c>
      <c r="AM295" s="48">
        <f t="shared" ca="1" si="516"/>
        <v>0</v>
      </c>
      <c r="AN295" s="48">
        <f t="shared" ca="1" si="517"/>
        <v>0</v>
      </c>
      <c r="AO295" s="48">
        <f t="shared" ca="1" si="518"/>
        <v>0</v>
      </c>
      <c r="AP295" s="48">
        <f t="shared" ca="1" si="518"/>
        <v>0</v>
      </c>
      <c r="AZ295" s="48" t="str">
        <f t="shared" ca="1" si="584"/>
        <v/>
      </c>
      <c r="BA295" s="48">
        <f t="shared" ca="1" si="520"/>
        <v>0</v>
      </c>
      <c r="BB295" s="48">
        <f t="shared" ca="1" si="521"/>
        <v>0</v>
      </c>
      <c r="BC295" s="48">
        <f t="shared" ca="1" si="522"/>
        <v>0</v>
      </c>
      <c r="BD295" s="48">
        <f t="shared" ca="1" si="523"/>
        <v>0</v>
      </c>
      <c r="BE295" s="48">
        <f t="shared" ca="1" si="524"/>
        <v>0</v>
      </c>
      <c r="BF295" s="48">
        <f t="shared" si="585"/>
        <v>95</v>
      </c>
      <c r="BG295" s="48">
        <f ca="1">IF(IF(AND(OR(INDEX(PDC,MATCH($AC295,DEN_PDC,0),6)="SP DARE",INDEX(PDC,MATCH($AC295,DEN_PDC,0),6)="SP DARE/AVERE"),SUMIFS(DARE,DEN_G,$AC295)&gt;=SUMIFS(AVERE,DEN_G,$AC295)),SUMIFS(DARE,DEN_G,$AC295)-SUMIFS(AVERE,DEN_G,$AC295),0)&gt;0,MAX($BG$2:BG294)+1,0)</f>
        <v>0</v>
      </c>
      <c r="BH295" s="48">
        <f ca="1">IF(IF(AND(OR(INDEX(PDC,MATCH($AC295,DEN_PDC,0),6)="SP AVERE",INDEX(PDC,MATCH($AC295,DEN_PDC,0),6)="SP DARE/AVERE"),SUMIFS(AVERE,DEN_G,$AC295)&gt;=SUMIFS(DARE,DEN_G,$AC295)),SUMIFS(AVERE,DEN_G,$AC295)-SUMIFS(DARE,DEN_G,$AC295),0)&gt;0,MAX(BH$2:BH294)+1,0)</f>
        <v>0</v>
      </c>
      <c r="BI295" s="48">
        <f ca="1">IF(IF(AND(OR(INDEX(PDC,MATCH($AC295,DEN_PDC,0),6)="SE DARE",INDEX(PDC,MATCH($AC295,DEN_PDC,0),6)="SE DARE/AVERE"),SUMIFS(DARE,DEN_G,$AC295)&gt;=SUMIFS(AVERE,DEN_G,$AC295)),SUMIFS(DARE,DEN_G,$AC295)-SUMIFS(AVERE,DEN_G,$AC295),0)&gt;0,MAX(BI$2:BI294)+1,0)</f>
        <v>0</v>
      </c>
      <c r="BJ295" s="48">
        <f ca="1">IF(IF(AND(OR(INDEX(PDC,MATCH($AC295,DEN_PDC,0),6)="SE AVERE",INDEX(PDC,MATCH($AC295,DEN_PDC,0),6)="SE DARE/AVERE"),SUMIFS(AVERE,DEN_G,$AC295)&gt;=SUMIFS(DARE,DEN_G,$AC295)),SUMIFS(AVERE,DEN_G,$AC295)-SUMIFS(DARE,DEN_G,$AC295),0)&gt;0,MAX(BJ$2:BJ294)+1,0)</f>
        <v>0</v>
      </c>
      <c r="BK295" s="48" t="str">
        <f ca="1">IF(AND(AND($DY$2=0,$DY$1=0),$I$1=2,ROW()&gt;$BG$1+2,ROW()&lt;=$BG$1+4),"………………..",IF(AND(OR($DY$2&gt;0,$DY$1&gt;0),$I$1=2,ROW()&gt;$BG$1+2,ROW()&lt;=$BG$1+4),"………………..",IFERROR(INDEX($AC$3:$AC$398,MATCH(ROWS(BK$3:BK295),BG$3:BG$398,0),1),"")))</f>
        <v/>
      </c>
      <c r="BL295" s="48">
        <f t="shared" ca="1" si="549"/>
        <v>0</v>
      </c>
      <c r="BM295" s="48" t="str">
        <f ca="1">IF(AND(OR($DY$2=0,$DY$1=0),$I$1=2,ROW()&gt;$BH$1+2,ROW()&lt;=$BH$1+4),"………………..",IF(AND(OR($DY$2&gt;0,$DY$1&gt;0),$I$1=2,ROW()&gt;$BH$1+2,ROW()&lt;=$BH$1+4),"………………..",IFERROR(INDEX($AC$3:$AC$400,MATCH(ROWS(BM$3:BM295),BH$3:BH$400,0),1),"")))</f>
        <v/>
      </c>
      <c r="BN295" s="48">
        <f t="shared" ca="1" si="550"/>
        <v>0</v>
      </c>
      <c r="BO295" s="48" t="str">
        <f ca="1">IF(AND(OR($DY$2=0,$DY$1=0),$I$1=2,ROW()&gt;$BI$1+2,ROW()&lt;=$BI$1+4),"………………..",IF(AND(OR($DY$2&gt;0,$DY$1&gt;0),$I$1=2,ROW()&gt;$BI$1+2,ROW()&lt;=$BI$1+4),"………………..",IFERROR(INDEX($AC$3:$AC$400,MATCH(ROWS(BO$3:BO295),BI$3:BI$400,0),1),"")))</f>
        <v/>
      </c>
      <c r="BP295" s="48">
        <f t="shared" ca="1" si="551"/>
        <v>0</v>
      </c>
      <c r="BQ295" s="48" t="str">
        <f ca="1">IF(AND(OR($DY$2=0,$DY$1=0),$I$1=2,ROW()&gt;$BJ$1+2,ROW()&lt;=$BJ$1+4),"………………..",IF(AND(OR($DY$2&gt;0,$DY$1&gt;0),$I$1=2,ROW()&gt;$BJ$1+2,ROW()&lt;=$BJ$1+4),"………………..",IFERROR(INDEX($AC$3:$AC$400,MATCH(ROWS(BQ$3:BQ295),BJ$3:BJ$400,0),1),"")))</f>
        <v/>
      </c>
      <c r="BR295" s="48">
        <f t="shared" ca="1" si="552"/>
        <v>0</v>
      </c>
      <c r="BS295" s="48">
        <f ca="1">IF(IF(AND(OR(INDEX(PDC,MATCH($AC295,DEN_PDC,0),4)="D",INDEX(PDC,MATCH($AC295,DEN_PDC,0),4)="D/A"),SUMIFS(DARE,DEN_G,$AC295)&gt;=SUMIFS(AVERE,DEN_G,$AC295)),SUMIFS(DARE,DEN_G,$AC295),IF(AND(OR(INDEX(PDC,MATCH($AC295,DEN_PDC,0),4)="A",INDEX(PDC,MATCH($AC295,DEN_PDC,0),4)="D/A"),SUMIFS(AVERE,DEN_G,$AC295)&gt;=SUMIFS(DARE,DEN_G,$AC295)),SUMIFS(AVERE,DEN_G,$AC295),))&gt;0,MAX($BS$2:BS294)+1,0)</f>
        <v>0</v>
      </c>
      <c r="BT295" s="48" t="str">
        <f ca="1">IF($CO$1=0,"",IF(AND($I$1=2,ROW()&gt;$BR$1,ROW()&lt;=$BS$1)," …………….",IF(AND($E$1=1,$BX$1=1,$I$1=2,ROW()=$BQ$1),"TOTALI",IFERROR(INDEX(PDC,MATCH(ROWS(BT$3:BT295),BS$3:BS692,0),2),""))))</f>
        <v/>
      </c>
      <c r="BU295" s="48">
        <f t="shared" ca="1" si="553"/>
        <v>0</v>
      </c>
      <c r="BV295" s="48">
        <f t="shared" ca="1" si="554"/>
        <v>0</v>
      </c>
      <c r="BW295" s="48">
        <f t="shared" ca="1" si="555"/>
        <v>0</v>
      </c>
      <c r="BX295" s="48">
        <f t="shared" ca="1" si="556"/>
        <v>0</v>
      </c>
      <c r="BY295" s="48">
        <f ca="1">IF(OR(BW295&gt;0,BX295&gt;0),MAX($BY$2:BY294)+1,0)</f>
        <v>0</v>
      </c>
      <c r="BZ295" s="48" t="str">
        <f ca="1">IFERROR(INDEX($BT$3:$BY$400,MATCH(ROWS(BZ$3:BZ295),$BY$3:$BY$400,0),1),"")</f>
        <v/>
      </c>
      <c r="CA295" s="48" t="str">
        <f ca="1">IFERROR(INDEX($BT$3:$BY$400,MATCH(ROWS(CA$3:CA295),$BY$3:$BY$400,0),4),"")</f>
        <v/>
      </c>
      <c r="CB295" s="48" t="str">
        <f ca="1">IFERROR(INDEX($BT$3:$BY$400,MATCH(ROWS(CB$3:CB295),$BY$3:$BY$400,0),5),"")</f>
        <v/>
      </c>
      <c r="CC295" s="48" t="str">
        <f t="shared" ca="1" si="557"/>
        <v/>
      </c>
      <c r="CM295" s="242" t="str">
        <f t="shared" ca="1" si="566"/>
        <v/>
      </c>
      <c r="CN295" s="243">
        <f t="shared" ca="1" si="567"/>
        <v>0</v>
      </c>
      <c r="CO295" s="48" t="str">
        <f t="shared" ca="1" si="568"/>
        <v/>
      </c>
      <c r="CU295" s="48">
        <f ca="1">IF(SUMIFS(AVERE,DEN_G,AC295,AVERE,"&gt;"&amp;0)+SUMIFS(DARE,DEN_G,AC295,DARE,"&gt;"&amp;0)&gt;0,MAX($CU$2:CU294)+1,0)</f>
        <v>0</v>
      </c>
      <c r="CV295" s="48" t="str">
        <f ca="1">IF(IFERROR(INDEX(PDC,MATCH(ROWS($CV$3:CV295),$CU$3:$CU$400,0),2),"")="CONTO DI RISULTATO ECONOMICO","",IFERROR(INDEX(PDC,MATCH(ROWS($CV$3:CV295),$CU$3:$CU$400,0),2),""))</f>
        <v/>
      </c>
      <c r="CW295" s="48">
        <f ca="1">IFERROR(IF(CV295&lt;&gt;"",MAX($CW$2:CW294)+1,0),0)</f>
        <v>0</v>
      </c>
      <c r="CX295" s="48">
        <f t="shared" ca="1" si="599"/>
        <v>23</v>
      </c>
      <c r="CY295" s="48" t="str">
        <f t="shared" ca="1" si="598"/>
        <v>MASTRO</v>
      </c>
      <c r="CZ295" s="48" t="e">
        <f t="shared" ca="1" si="601"/>
        <v>#N/A</v>
      </c>
      <c r="DA295" s="48" t="str">
        <f t="shared" ca="1" si="605"/>
        <v/>
      </c>
      <c r="DB295" s="48" t="str">
        <f t="shared" ca="1" si="592"/>
        <v/>
      </c>
      <c r="DC295" s="48" t="str">
        <f t="shared" ca="1" si="602"/>
        <v/>
      </c>
      <c r="DD295" s="48" t="str">
        <f t="shared" ca="1" si="603"/>
        <v/>
      </c>
      <c r="DE295" s="48" t="str">
        <f t="shared" ca="1" si="604"/>
        <v/>
      </c>
      <c r="DF295" s="48">
        <f ca="1">IF(AND(CX295=$DF$1,CX295&lt;&gt;""),0,IF(AND(DB295&lt;&gt;"",OR(DB294&lt;&gt;"",DB296&lt;&gt;"")),MAX($DF$2:DF294)+1,0))</f>
        <v>0</v>
      </c>
      <c r="DH295" s="244" t="s">
        <v>889</v>
      </c>
      <c r="DI295" s="48" t="s">
        <v>200</v>
      </c>
      <c r="DJ295" s="48" t="s">
        <v>311</v>
      </c>
      <c r="DK295" s="48" t="s">
        <v>275</v>
      </c>
      <c r="DL295" s="48" t="s">
        <v>7</v>
      </c>
      <c r="DM295" s="48" t="s">
        <v>301</v>
      </c>
      <c r="DN295" s="48">
        <f ca="1">IF(DI295&lt;&gt;"",MAX($DN$2:DN294)+1,0)</f>
        <v>230</v>
      </c>
      <c r="DO295" s="48" t="s">
        <v>710</v>
      </c>
      <c r="DW295" s="48">
        <f>IF(DR295&lt;&gt;"",MAX($DW$2:DW294)+1,0)</f>
        <v>0</v>
      </c>
      <c r="DY295" s="48" t="str">
        <f t="shared" ca="1" si="558"/>
        <v/>
      </c>
      <c r="EL295" s="48">
        <f t="shared" ca="1" si="559"/>
        <v>0</v>
      </c>
      <c r="EM295" s="48">
        <f ca="1">IF(EL295&gt;=0,0,MAX($EM$2:EM294)+1)</f>
        <v>0</v>
      </c>
      <c r="EN295" s="48" t="str">
        <f t="shared" ca="1" si="569"/>
        <v/>
      </c>
      <c r="EO295" s="48" t="str">
        <f ca="1">IFERROR(INDEX($EM$3:$EN$400,MATCH(ROWS($EO$3:EO295),$EM$3:$EM$400,0),2),"")</f>
        <v/>
      </c>
      <c r="EP295" s="48">
        <f>ROW()</f>
        <v>295</v>
      </c>
      <c r="EQ295" s="48">
        <f t="shared" ca="1" si="560"/>
        <v>0</v>
      </c>
      <c r="ER295" s="48">
        <f ca="1">IF(ISNA(EQ295)=TRUE,MAX($ER$2:ER294)+1,0)</f>
        <v>0</v>
      </c>
      <c r="ES295" s="48" t="str">
        <f t="shared" ca="1" si="570"/>
        <v/>
      </c>
      <c r="ET295" s="48" t="str">
        <f ca="1">IFERROR(INDEX($ER$3:$ES$400,MATCH(ROWS($ET$3:ET295),$ER$3:$ER$400,0),2),"")</f>
        <v/>
      </c>
      <c r="EV295" s="48">
        <f ca="1">IFERROR(INDEX(LIBRO_GIORNALE!$O$11:$P$408,MATCH(ROWS($EV$2:EV294),LIBRO_GIORNALE!$P$11:$P$408,0),1),0)</f>
        <v>0</v>
      </c>
      <c r="EW295" s="48" t="str">
        <f t="shared" ca="1" si="544"/>
        <v>0</v>
      </c>
      <c r="EX295" s="48">
        <f t="shared" ca="1" si="571"/>
        <v>0</v>
      </c>
      <c r="EY295" s="48">
        <f ca="1">IF(EX295&gt;0,MAX($EY$2:EY294)+1,0)</f>
        <v>0</v>
      </c>
      <c r="EZ295" s="48">
        <f ca="1">IFERROR(INDEX($EX$3:$EX$400,MATCH(ROWS($EZ$3:EZ295),$EY$3:$EY$400,0),1),0)</f>
        <v>0</v>
      </c>
      <c r="FA295" s="48">
        <f ca="1">IF(EZ295&gt;0,0,MAX($FA$2:FA294)+1)</f>
        <v>293</v>
      </c>
      <c r="FB295" s="48">
        <f t="shared" ca="1" si="545"/>
        <v>0</v>
      </c>
      <c r="FC295" s="48">
        <f t="shared" ca="1" si="546"/>
        <v>293</v>
      </c>
      <c r="FD295" s="48">
        <f t="shared" ca="1" si="572"/>
        <v>293</v>
      </c>
      <c r="FE295" s="48">
        <f ca="1">IF(FD295=0,0,MAX($FE$2:FE294)+1)</f>
        <v>293</v>
      </c>
      <c r="FF295" s="48">
        <f ca="1">IFERROR(INDEX($FD$3:$FE$400,MATCH(ROWS($FF$3:FF295),$FE$3:$FE$400,0),1),"")</f>
        <v>293</v>
      </c>
      <c r="FG295" s="48">
        <f t="shared" ca="1" si="519"/>
        <v>0</v>
      </c>
      <c r="FH295" s="48">
        <f t="shared" ca="1" si="573"/>
        <v>0</v>
      </c>
      <c r="FI295" s="48">
        <f ca="1">IF(FH295&lt;&gt;0,MAX($FI$2:FI294)+1,0)</f>
        <v>0</v>
      </c>
      <c r="FJ295" s="48" t="str">
        <f ca="1">IFERROR(INDEX($FH$3:$FI$400,MATCH(ROWS($FJ$3:FJ295),$FI$3:$FI$400,0),1),"")</f>
        <v/>
      </c>
      <c r="FK295" s="48">
        <f ca="1">IF(ABS(SUMIFS(DARE,DEN_G,"="&amp;FJ295,DATA,"&lt;="&amp;FINE_AC,DATA,"&gt;="&amp;INIZIO_A_PC)-SUMIFS(AVERE,DEN_G,"="&amp;FJ295,DATA,"&lt;="&amp;FINE_AC,DATA,"&gt;="&amp;INIZIO_A_PC))&gt;0,MAX($FK$2:FK294)+1,0)</f>
        <v>0</v>
      </c>
      <c r="FL295" s="48" t="str">
        <f ca="1">IF(AND(ROW()-2&lt;&gt;1,ROW()-2&lt;=$FK$1),CONCATENATE(" - ",IFERROR(INDEX($FJ$3:$FK$400,MATCH(ROWS($FL$3:FL295),$FK$3:$FK$400,0),1),"")),IFERROR(INDEX($FJ$3:$FK$400,MATCH(ROWS($FL$3:FL295),$FK$3:$FK$400,0),1),""))</f>
        <v/>
      </c>
      <c r="FM295" s="48">
        <f ca="1">IF(OR(B295="IVA ns/credito",B295="IVA NS/DEBITO",B295="IVA C/ACCONTO",B295="IMPOSTE C/ACCONTO",B295="CREDITI PER RITENUTE SUBITE",B295="CREDITI D'IMPOSTA"),MAX($FM$2:FM294)+1,0)</f>
        <v>0</v>
      </c>
      <c r="FN295" s="48" t="str">
        <f t="shared" ca="1" si="574"/>
        <v/>
      </c>
      <c r="FO295" s="48" t="str">
        <f ca="1">IFERROR(INDEX($FM$3:$FN$400,MATCH(ROWS($FO$3:FO295),$FM$3:$FM$400,0),2),"")</f>
        <v/>
      </c>
      <c r="FP295" s="48">
        <f ca="1">IF(ABS(SUMIFS(DARE,DEN_G,"="&amp;FO295,DATA,"&lt;="&amp;FINE_AC,DATA,"&gt;="&amp;INIZIO_A_PC)-SUMIFS(AVERE,DEN_G,"="&amp;FO295,DATA,"&lt;="&amp;FINE_AC,DATA,"&gt;="&amp;INIZIO_A_PC))&gt;0,MAX($FP$2:FP294)+1,0)</f>
        <v>0</v>
      </c>
      <c r="FQ295" s="48" t="str">
        <f ca="1">IF(AND(ROW()-2&lt;&gt;1,ROW()-2&lt;=$FP$1),CONCATENATE(" - ",IFERROR(INDEX($FO$3:$FP$400,MATCH(ROWS($FQ$3:FQ295),$FP$3:$FP$400,0),1),"")),IFERROR(INDEX($FO$3:$FP$400,MATCH(ROWS($FQ$3:FQ295),$FP$3:$FP$400,0),1),""))</f>
        <v/>
      </c>
    </row>
    <row r="296" spans="1:173" x14ac:dyDescent="0.3">
      <c r="A296" s="48" t="str">
        <f ca="1">IFERROR(IF($A$1=2,INDEX($DH$3:$DN$401,MATCH(ROWS(A$3:A296),$DN$3:$DN$401,0),COLUMN()),IF($A$1=1,INDEX($DQ$3:$DW$401,MATCH(ROWS(A$3:A296),$DW$3:$DW$401,0),COLUMN()),"")),"")</f>
        <v>40.05</v>
      </c>
      <c r="B296" s="48" t="str">
        <f ca="1">IFERROR(IF($A$1=2,INDEX($DH$3:$DN$401,MATCH(ROWS(B$3:B296),$DN$3:$DN$401,0),COLUMN()),IF($A$1=1,INDEX($DQ$3:$DW$400,MATCH(ROWS(B$3:B296),$DW$3:$DW$401,0),COLUMN()),"")),"")</f>
        <v>INTERESSI ATTIVI DA CONTROLLANTE</v>
      </c>
      <c r="C296" s="48" t="str">
        <f ca="1">IFERROR(IF($A$1=2,INDEX($DH$3:$DN$401,MATCH(ROWS(C$3:C296),$DN$3:$DN$401,0),COLUMN()),IF($A$1=1,INDEX($DQ$3:$DW$401,MATCH(ROWS(C$3:C296),$DW$3:$DW$401,0),COLUMN()),"")),"")</f>
        <v>E</v>
      </c>
      <c r="D296" s="48" t="str">
        <f ca="1">IFERROR(IF($A$1=2,INDEX($DH$3:$DN$401,MATCH(ROWS(D$3:D296),$DN$3:$DN$401,0),COLUMN()),IF($A$1=1,INDEX($DQ$3:$DW$401,MATCH(ROWS(D$3:D296),$DW$3:$DW$401,0),COLUMN()),"")),"")</f>
        <v>A</v>
      </c>
      <c r="E296" s="48" t="str">
        <f ca="1">IFERROR(IF($A$1=2,INDEX($DH$3:$DN$401,MATCH(ROWS(E$3:E296),$DN$3:$DN$401,0),COLUMN()),IF($A$1=1,INDEX($DQ$3:$DW$401,MATCH(ROWS(E$3:E296),$DW$3:$DW$401,0),COLUMN()),"")),"")</f>
        <v>RICAVI D'ESERCIZIO</v>
      </c>
      <c r="F296" s="48" t="str">
        <f ca="1">IFERROR(IF($A$1=2,INDEX($DH$3:$DN$401,MATCH(ROWS(F$3:F296),$DN$3:$DN$401,0),COLUMN()),IF($A$1=1,INDEX($DQ$3:$DX$401,MATCH(ROWS(F$3:F296),$DW$3:$DW$401,0),COLUMN()),"")),"")</f>
        <v>SE AVERE</v>
      </c>
      <c r="G296" s="48" t="str">
        <f t="shared" ca="1" si="561"/>
        <v>SE</v>
      </c>
      <c r="H296" s="48" t="str">
        <f ca="1">IFERROR(IF($A$1=2,INDEX($DH$3:$DO$400,MATCH(ROWS(H$3:H296),$DN$3:$DN$400,0),COLUMN()),IF($A$1=1,INDEX($DQ$3:$DX$400,MATCH(ROWS(H$3:H296),$DW$3:$DW$400,0),COLUMN()),"")),"")</f>
        <v>ec16a</v>
      </c>
      <c r="M296" s="48">
        <f ca="1">IFERROR(IF(IF(MID($A296,3,3)=".00",MID(A296,1,2),"")&lt;&gt;"",MAX($M$2:M295)+1,0),"")</f>
        <v>0</v>
      </c>
      <c r="N296" s="48" t="str">
        <f t="shared" ca="1" si="562"/>
        <v/>
      </c>
      <c r="O296" s="48" t="str">
        <f ca="1">IF(IFERROR(INDEX($N$3:$O$300,MATCH(ROWS($O$3:O296),$M$3:$M$300,0),1),"")&lt;&gt;"",CONCATENATE(INDEX($N$3:$O$300,MATCH(ROWS($O$3:O296),$M$3:$M$300,0),1),".00"),"")</f>
        <v/>
      </c>
      <c r="P296" s="48" t="str">
        <f t="shared" ca="1" si="563"/>
        <v/>
      </c>
      <c r="Q296" s="48">
        <f ca="1">IF(M296&gt;=1,0,MAX($Q$2:Q295)+1)</f>
        <v>262</v>
      </c>
      <c r="U296" s="48" t="str">
        <f ca="1">IFERROR(INDEX(PDC,MATCH(ROWS(U$3:U296),$V$3:$V$400,0),2),"")</f>
        <v/>
      </c>
      <c r="V296" s="48">
        <f ca="1">IF(AND($T$1="VISUALIZZA TUTTI I CONTI",AA296&lt;&gt;""),MAX($V$2:V295)+1,IF(AND($U$2=2,AI296=$T$1),MAX($V$2:V295)+1,IF(AND($U$2=1,$T$1=AF296),MAX($V$2:V295)+1,0)))</f>
        <v>0</v>
      </c>
      <c r="AA296" s="48" t="str">
        <f t="shared" ca="1" si="564"/>
        <v/>
      </c>
      <c r="AB296" s="48" t="str">
        <f ca="1">IFERROR(INDEX($A$3:$G$400,MATCH(ROWS(AB$3:AB296),$Q$3:$Q$400,0),1),"")</f>
        <v/>
      </c>
      <c r="AC296" s="48" t="str">
        <f ca="1">IFERROR(INDEX($A$3:$G$400,MATCH(ROWS($AC$3:AC296),$Q$3:$Q$400,0),2),"")</f>
        <v/>
      </c>
      <c r="AD296" s="48" t="str">
        <f ca="1">IFERROR(INDEX($A$3:$G$400,MATCH(ROWS(AD$3:AD296),$Q$3:$Q$400,0),3),"")</f>
        <v/>
      </c>
      <c r="AE296" s="48" t="str">
        <f ca="1">IFERROR(INDEX($A$3:$G$400,MATCH(ROWS(AE$3:AE296),$Q$3:$Q$400,0),4),"")</f>
        <v/>
      </c>
      <c r="AF296" s="48" t="str">
        <f ca="1">IFERROR(INDEX($A$3:$G$400,MATCH(ROWS(AF$3:AF296),$Q$3:$Q$400,0),5),"")</f>
        <v/>
      </c>
      <c r="AG296" s="48" t="str">
        <f ca="1">IFERROR(INDEX($A$3:$G$400,MATCH(ROWS(AG$3:AG296),$Q$3:$Q$400,0),6),"")</f>
        <v/>
      </c>
      <c r="AH296" s="48" t="str">
        <f ca="1">IFERROR(INDEX($A$3:$G$400,MATCH(ROWS(AH$3:AH296),$Q$3:$Q$400,0),7),"")</f>
        <v/>
      </c>
      <c r="AI296" s="48" t="str">
        <f t="shared" ca="1" si="565"/>
        <v/>
      </c>
      <c r="AJ296" s="48" t="str">
        <f ca="1">IFERROR(INDEX($A$3:$H$400,MATCH(ROWS(AJ$3:AJ296),$Q$3:$Q$400,0),8),"")</f>
        <v/>
      </c>
      <c r="AK296" s="48">
        <f t="shared" ca="1" si="548"/>
        <v>0</v>
      </c>
      <c r="AL296" s="48">
        <f t="shared" ca="1" si="606"/>
        <v>0</v>
      </c>
      <c r="AM296" s="48">
        <f t="shared" ref="AM296:AM302" ca="1" si="607">IF(AL296=0,0,IF(AND(AO296&gt;0,AP296&gt;0),0,IF(OR(INDIRECT(ADDRESS(ROW()-92,COLUMN()-34,,,"LIBRO_GIORNALE"))="CONTO DI RISULTATO ECONOMICO",AND(INDIRECT(ADDRESS(ROW()-92,COLUMN()-34,,,"LIBRO_GIORNALE"))="UTILE D'ESERCIZIO",$I$1=1,AP296&gt;0),AND(INDIRECT(ADDRESS(ROW()-92,COLUMN()-34,,,"LIBRO_GIORNALE"))="PERDITA D'ESERCIZIO",$I$1=1,AO296&gt;0)),0,INDIRECT(ADDRESS(ROW()-92,COLUMN()-34,,,"LIBRO_GIORNALE")))))</f>
        <v>0</v>
      </c>
      <c r="AN296" s="48">
        <f t="shared" ref="AN296:AN302" ca="1" si="608">IF(AND(AM296="Utile d'esercizio",AP296&gt;0),"apertura del conto",IF(AND(AM296="Perdita d'esercizio",AO296&gt;0),"apertura del conto",INDIRECT(ADDRESS(ROW()-92,COLUMN()-34,,,"LIBRO_GIORNALE"))))</f>
        <v>0</v>
      </c>
      <c r="AO296" s="48">
        <f t="shared" ref="AO296:AP302" ca="1" si="609">IFERROR(IF(OR(INDIRECT(ADDRESS(ROW()-92,4,,,"LIBRO_GIORNALE"))="",INDIRECT(ADDRESS(ROW()-92,5,,,"LIBRO_GIORNALE"))=""),0,ROUND(INDIRECT(ADDRESS(ROW()-92,COLUMN()-34,,,"LIBRO_GIORNALE")),2)),0)</f>
        <v>0</v>
      </c>
      <c r="AP296" s="48">
        <f t="shared" ca="1" si="609"/>
        <v>0</v>
      </c>
      <c r="AZ296" s="48" t="str">
        <f t="shared" ca="1" si="584"/>
        <v/>
      </c>
      <c r="BA296" s="48">
        <f t="shared" ca="1" si="520"/>
        <v>0</v>
      </c>
      <c r="BB296" s="48">
        <f t="shared" ca="1" si="521"/>
        <v>0</v>
      </c>
      <c r="BC296" s="48">
        <f t="shared" ca="1" si="522"/>
        <v>0</v>
      </c>
      <c r="BD296" s="48">
        <f t="shared" ca="1" si="523"/>
        <v>0</v>
      </c>
      <c r="BE296" s="48">
        <f t="shared" ca="1" si="524"/>
        <v>0</v>
      </c>
      <c r="BF296" s="48">
        <f t="shared" si="585"/>
        <v>96</v>
      </c>
      <c r="BG296" s="48">
        <f ca="1">IF(IF(AND(OR(INDEX(PDC,MATCH($AC296,DEN_PDC,0),6)="SP DARE",INDEX(PDC,MATCH($AC296,DEN_PDC,0),6)="SP DARE/AVERE"),SUMIFS(DARE,DEN_G,$AC296)&gt;=SUMIFS(AVERE,DEN_G,$AC296)),SUMIFS(DARE,DEN_G,$AC296)-SUMIFS(AVERE,DEN_G,$AC296),0)&gt;0,MAX($BG$2:BG295)+1,0)</f>
        <v>0</v>
      </c>
      <c r="BH296" s="48">
        <f ca="1">IF(IF(AND(OR(INDEX(PDC,MATCH($AC296,DEN_PDC,0),6)="SP AVERE",INDEX(PDC,MATCH($AC296,DEN_PDC,0),6)="SP DARE/AVERE"),SUMIFS(AVERE,DEN_G,$AC296)&gt;=SUMIFS(DARE,DEN_G,$AC296)),SUMIFS(AVERE,DEN_G,$AC296)-SUMIFS(DARE,DEN_G,$AC296),0)&gt;0,MAX(BH$2:BH295)+1,0)</f>
        <v>0</v>
      </c>
      <c r="BI296" s="48">
        <f ca="1">IF(IF(AND(OR(INDEX(PDC,MATCH($AC296,DEN_PDC,0),6)="SE DARE",INDEX(PDC,MATCH($AC296,DEN_PDC,0),6)="SE DARE/AVERE"),SUMIFS(DARE,DEN_G,$AC296)&gt;=SUMIFS(AVERE,DEN_G,$AC296)),SUMIFS(DARE,DEN_G,$AC296)-SUMIFS(AVERE,DEN_G,$AC296),0)&gt;0,MAX(BI$2:BI295)+1,0)</f>
        <v>0</v>
      </c>
      <c r="BJ296" s="48">
        <f ca="1">IF(IF(AND(OR(INDEX(PDC,MATCH($AC296,DEN_PDC,0),6)="SE AVERE",INDEX(PDC,MATCH($AC296,DEN_PDC,0),6)="SE DARE/AVERE"),SUMIFS(AVERE,DEN_G,$AC296)&gt;=SUMIFS(DARE,DEN_G,$AC296)),SUMIFS(AVERE,DEN_G,$AC296)-SUMIFS(DARE,DEN_G,$AC296),0)&gt;0,MAX(BJ$2:BJ295)+1,0)</f>
        <v>0</v>
      </c>
      <c r="BK296" s="48" t="str">
        <f ca="1">IF(AND(AND($DY$2=0,$DY$1=0),$I$1=2,ROW()&gt;$BG$1+2,ROW()&lt;=$BG$1+4),"………………..",IF(AND(OR($DY$2&gt;0,$DY$1&gt;0),$I$1=2,ROW()&gt;$BG$1+2,ROW()&lt;=$BG$1+4),"………………..",IFERROR(INDEX($AC$3:$AC$398,MATCH(ROWS(BK$3:BK296),BG$3:BG$398,0),1),"")))</f>
        <v/>
      </c>
      <c r="BL296" s="48">
        <f t="shared" ca="1" si="549"/>
        <v>0</v>
      </c>
      <c r="BM296" s="48" t="str">
        <f ca="1">IF(AND(OR($DY$2=0,$DY$1=0),$I$1=2,ROW()&gt;$BH$1+2,ROW()&lt;=$BH$1+4),"………………..",IF(AND(OR($DY$2&gt;0,$DY$1&gt;0),$I$1=2,ROW()&gt;$BH$1+2,ROW()&lt;=$BH$1+4),"………………..",IFERROR(INDEX($AC$3:$AC$400,MATCH(ROWS(BM$3:BM296),BH$3:BH$400,0),1),"")))</f>
        <v/>
      </c>
      <c r="BN296" s="48">
        <f t="shared" ca="1" si="550"/>
        <v>0</v>
      </c>
      <c r="BO296" s="48" t="str">
        <f ca="1">IF(AND(OR($DY$2=0,$DY$1=0),$I$1=2,ROW()&gt;$BI$1+2,ROW()&lt;=$BI$1+4),"………………..",IF(AND(OR($DY$2&gt;0,$DY$1&gt;0),$I$1=2,ROW()&gt;$BI$1+2,ROW()&lt;=$BI$1+4),"………………..",IFERROR(INDEX($AC$3:$AC$400,MATCH(ROWS(BO$3:BO296),BI$3:BI$400,0),1),"")))</f>
        <v/>
      </c>
      <c r="BP296" s="48">
        <f t="shared" ca="1" si="551"/>
        <v>0</v>
      </c>
      <c r="BQ296" s="48" t="str">
        <f ca="1">IF(AND(OR($DY$2=0,$DY$1=0),$I$1=2,ROW()&gt;$BJ$1+2,ROW()&lt;=$BJ$1+4),"………………..",IF(AND(OR($DY$2&gt;0,$DY$1&gt;0),$I$1=2,ROW()&gt;$BJ$1+2,ROW()&lt;=$BJ$1+4),"………………..",IFERROR(INDEX($AC$3:$AC$400,MATCH(ROWS(BQ$3:BQ296),BJ$3:BJ$400,0),1),"")))</f>
        <v/>
      </c>
      <c r="BR296" s="48">
        <f t="shared" ca="1" si="552"/>
        <v>0</v>
      </c>
      <c r="BS296" s="48">
        <f ca="1">IF(IF(AND(OR(INDEX(PDC,MATCH($AC296,DEN_PDC,0),4)="D",INDEX(PDC,MATCH($AC296,DEN_PDC,0),4)="D/A"),SUMIFS(DARE,DEN_G,$AC296)&gt;=SUMIFS(AVERE,DEN_G,$AC296)),SUMIFS(DARE,DEN_G,$AC296),IF(AND(OR(INDEX(PDC,MATCH($AC296,DEN_PDC,0),4)="A",INDEX(PDC,MATCH($AC296,DEN_PDC,0),4)="D/A"),SUMIFS(AVERE,DEN_G,$AC296)&gt;=SUMIFS(DARE,DEN_G,$AC296)),SUMIFS(AVERE,DEN_G,$AC296),))&gt;0,MAX($BS$2:BS295)+1,0)</f>
        <v>0</v>
      </c>
      <c r="BT296" s="48" t="str">
        <f ca="1">IF($CO$1=0,"",IF(AND($I$1=2,ROW()&gt;$BR$1,ROW()&lt;=$BS$1)," …………….",IF(AND($E$1=1,$BX$1=1,$I$1=2,ROW()=$BQ$1),"TOTALI",IFERROR(INDEX(PDC,MATCH(ROWS(BT$3:BT296),BS$3:BS693,0),2),""))))</f>
        <v/>
      </c>
      <c r="BU296" s="48">
        <f t="shared" ca="1" si="553"/>
        <v>0</v>
      </c>
      <c r="BV296" s="48">
        <f t="shared" ca="1" si="554"/>
        <v>0</v>
      </c>
      <c r="BW296" s="48">
        <f t="shared" ca="1" si="555"/>
        <v>0</v>
      </c>
      <c r="BX296" s="48">
        <f t="shared" ca="1" si="556"/>
        <v>0</v>
      </c>
      <c r="BY296" s="48">
        <f ca="1">IF(OR(BW296&gt;0,BX296&gt;0),MAX($BY$2:BY295)+1,0)</f>
        <v>0</v>
      </c>
      <c r="BZ296" s="48" t="str">
        <f ca="1">IFERROR(INDEX($BT$3:$BY$400,MATCH(ROWS(BZ$3:BZ296),$BY$3:$BY$400,0),1),"")</f>
        <v/>
      </c>
      <c r="CA296" s="48" t="str">
        <f ca="1">IFERROR(INDEX($BT$3:$BY$400,MATCH(ROWS(CA$3:CA296),$BY$3:$BY$400,0),4),"")</f>
        <v/>
      </c>
      <c r="CB296" s="48" t="str">
        <f ca="1">IFERROR(INDEX($BT$3:$BY$400,MATCH(ROWS(CB$3:CB296),$BY$3:$BY$400,0),5),"")</f>
        <v/>
      </c>
      <c r="CC296" s="48" t="str">
        <f t="shared" ca="1" si="557"/>
        <v/>
      </c>
      <c r="CM296" s="242" t="str">
        <f t="shared" ca="1" si="566"/>
        <v/>
      </c>
      <c r="CN296" s="243">
        <f t="shared" ca="1" si="567"/>
        <v>0</v>
      </c>
      <c r="CO296" s="48" t="str">
        <f t="shared" ca="1" si="568"/>
        <v/>
      </c>
      <c r="CU296" s="48">
        <f ca="1">IF(SUMIFS(AVERE,DEN_G,AC296,AVERE,"&gt;"&amp;0)+SUMIFS(DARE,DEN_G,AC296,DARE,"&gt;"&amp;0)&gt;0,MAX($CU$2:CU295)+1,0)</f>
        <v>0</v>
      </c>
      <c r="CV296" s="48" t="str">
        <f ca="1">IF(IFERROR(INDEX(PDC,MATCH(ROWS($CV$3:CV296),$CU$3:$CU$400,0),2),"")="CONTO DI RISULTATO ECONOMICO","",IFERROR(INDEX(PDC,MATCH(ROWS($CV$3:CV296),$CU$3:$CU$400,0),2),""))</f>
        <v/>
      </c>
      <c r="CW296" s="48">
        <f ca="1">IFERROR(IF(CV296&lt;&gt;"",MAX($CW$2:CW295)+1,0),0)</f>
        <v>0</v>
      </c>
      <c r="CX296" s="48">
        <f t="shared" ca="1" si="599"/>
        <v>23</v>
      </c>
      <c r="CY296" s="48" t="str">
        <f t="shared" ca="1" si="598"/>
        <v>MASTRO</v>
      </c>
      <c r="CZ296" s="48" t="e">
        <f t="shared" ca="1" si="601"/>
        <v>#N/A</v>
      </c>
      <c r="DA296" s="48" t="str">
        <f t="shared" ca="1" si="605"/>
        <v/>
      </c>
      <c r="DB296" s="48" t="str">
        <f t="shared" ca="1" si="592"/>
        <v/>
      </c>
      <c r="DC296" s="48" t="str">
        <f t="shared" ca="1" si="602"/>
        <v/>
      </c>
      <c r="DD296" s="48" t="str">
        <f t="shared" ca="1" si="603"/>
        <v/>
      </c>
      <c r="DE296" s="48" t="str">
        <f t="shared" ca="1" si="604"/>
        <v/>
      </c>
      <c r="DF296" s="48">
        <f ca="1">IF(AND(CX296=$DF$1,CX296&lt;&gt;""),0,IF(AND(DB296&lt;&gt;"",OR(DB295&lt;&gt;"",DB297&lt;&gt;"")),MAX($DF$2:DF295)+1,0))</f>
        <v>0</v>
      </c>
      <c r="DH296" s="244" t="s">
        <v>212</v>
      </c>
      <c r="DI296" s="48" t="s">
        <v>895</v>
      </c>
      <c r="DJ296" s="48" t="s">
        <v>311</v>
      </c>
      <c r="DK296" s="48" t="s">
        <v>275</v>
      </c>
      <c r="DL296" s="48" t="s">
        <v>7</v>
      </c>
      <c r="DM296" s="48" t="s">
        <v>301</v>
      </c>
      <c r="DN296" s="48">
        <f ca="1">IF(DI296&lt;&gt;"",MAX($DN$2:DN295)+1,0)</f>
        <v>231</v>
      </c>
      <c r="DO296" s="48" t="s">
        <v>710</v>
      </c>
      <c r="DW296" s="48">
        <f>IF(DR296&lt;&gt;"",MAX($DW$2:DW295)+1,0)</f>
        <v>0</v>
      </c>
      <c r="DY296" s="48" t="str">
        <f t="shared" ca="1" si="558"/>
        <v/>
      </c>
      <c r="EL296" s="48">
        <f t="shared" ca="1" si="559"/>
        <v>0</v>
      </c>
      <c r="EM296" s="48">
        <f ca="1">IF(EL296&gt;=0,0,MAX($EM$2:EM295)+1)</f>
        <v>0</v>
      </c>
      <c r="EN296" s="48" t="str">
        <f t="shared" ca="1" si="569"/>
        <v/>
      </c>
      <c r="EO296" s="48" t="str">
        <f ca="1">IFERROR(INDEX($EM$3:$EN$400,MATCH(ROWS($EO$3:EO296),$EM$3:$EM$400,0),2),"")</f>
        <v/>
      </c>
      <c r="EP296" s="48">
        <f>ROW()</f>
        <v>296</v>
      </c>
      <c r="EQ296" s="48">
        <f t="shared" ca="1" si="560"/>
        <v>0</v>
      </c>
      <c r="ER296" s="48">
        <f ca="1">IF(ISNA(EQ296)=TRUE,MAX($ER$2:ER295)+1,0)</f>
        <v>0</v>
      </c>
      <c r="ES296" s="48" t="str">
        <f t="shared" ca="1" si="570"/>
        <v/>
      </c>
      <c r="ET296" s="48" t="str">
        <f ca="1">IFERROR(INDEX($ER$3:$ES$400,MATCH(ROWS($ET$3:ET296),$ER$3:$ER$400,0),2),"")</f>
        <v/>
      </c>
      <c r="EV296" s="48">
        <f ca="1">IFERROR(INDEX(LIBRO_GIORNALE!$O$11:$P$408,MATCH(ROWS($EV$2:EV295),LIBRO_GIORNALE!$P$11:$P$408,0),1),0)</f>
        <v>0</v>
      </c>
      <c r="EW296" s="48" t="str">
        <f t="shared" ca="1" si="544"/>
        <v>0</v>
      </c>
      <c r="EX296" s="48">
        <f t="shared" ca="1" si="571"/>
        <v>0</v>
      </c>
      <c r="EY296" s="48">
        <f ca="1">IF(EX296&gt;0,MAX($EY$2:EY295)+1,0)</f>
        <v>0</v>
      </c>
      <c r="EZ296" s="48">
        <f ca="1">IFERROR(INDEX($EX$3:$EX$400,MATCH(ROWS($EZ$3:EZ296),$EY$3:$EY$400,0),1),0)</f>
        <v>0</v>
      </c>
      <c r="FA296" s="48">
        <f ca="1">IF(EZ296&gt;0,0,MAX($FA$2:FA295)+1)</f>
        <v>294</v>
      </c>
      <c r="FB296" s="48">
        <f t="shared" ca="1" si="545"/>
        <v>0</v>
      </c>
      <c r="FC296" s="48">
        <f t="shared" ca="1" si="546"/>
        <v>294</v>
      </c>
      <c r="FD296" s="48">
        <f t="shared" ca="1" si="572"/>
        <v>294</v>
      </c>
      <c r="FE296" s="48">
        <f ca="1">IF(FD296=0,0,MAX($FE$2:FE295)+1)</f>
        <v>294</v>
      </c>
      <c r="FF296" s="48">
        <f ca="1">IFERROR(INDEX($FD$3:$FE$400,MATCH(ROWS($FF$3:FF296),$FE$3:$FE$400,0),1),"")</f>
        <v>294</v>
      </c>
      <c r="FG296" s="48">
        <f t="shared" ref="FG296:FG359" ca="1" si="610">IF(AND(AL296&gt;0,AL296&gt;AL297,AL297&lt;&gt;0),1,0)</f>
        <v>0</v>
      </c>
      <c r="FH296" s="48">
        <f t="shared" ca="1" si="573"/>
        <v>0</v>
      </c>
      <c r="FI296" s="48">
        <f ca="1">IF(FH296&lt;&gt;0,MAX($FI$2:FI295)+1,0)</f>
        <v>0</v>
      </c>
      <c r="FJ296" s="48" t="str">
        <f ca="1">IFERROR(INDEX($FH$3:$FI$400,MATCH(ROWS($FJ$3:FJ296),$FI$3:$FI$400,0),1),"")</f>
        <v/>
      </c>
      <c r="FK296" s="48">
        <f ca="1">IF(ABS(SUMIFS(DARE,DEN_G,"="&amp;FJ296,DATA,"&lt;="&amp;FINE_AC,DATA,"&gt;="&amp;INIZIO_A_PC)-SUMIFS(AVERE,DEN_G,"="&amp;FJ296,DATA,"&lt;="&amp;FINE_AC,DATA,"&gt;="&amp;INIZIO_A_PC))&gt;0,MAX($FK$2:FK295)+1,0)</f>
        <v>0</v>
      </c>
      <c r="FL296" s="48" t="str">
        <f ca="1">IF(AND(ROW()-2&lt;&gt;1,ROW()-2&lt;=$FK$1),CONCATENATE(" - ",IFERROR(INDEX($FJ$3:$FK$400,MATCH(ROWS($FL$3:FL296),$FK$3:$FK$400,0),1),"")),IFERROR(INDEX($FJ$3:$FK$400,MATCH(ROWS($FL$3:FL296),$FK$3:$FK$400,0),1),""))</f>
        <v/>
      </c>
      <c r="FM296" s="48">
        <f ca="1">IF(OR(B296="IVA ns/credito",B296="IVA NS/DEBITO",B296="IVA C/ACCONTO",B296="IMPOSTE C/ACCONTO",B296="CREDITI PER RITENUTE SUBITE",B296="CREDITI D'IMPOSTA"),MAX($FM$2:FM295)+1,0)</f>
        <v>0</v>
      </c>
      <c r="FN296" s="48" t="str">
        <f t="shared" ca="1" si="574"/>
        <v/>
      </c>
      <c r="FO296" s="48" t="str">
        <f ca="1">IFERROR(INDEX($FM$3:$FN$400,MATCH(ROWS($FO$3:FO296),$FM$3:$FM$400,0),2),"")</f>
        <v/>
      </c>
      <c r="FP296" s="48">
        <f ca="1">IF(ABS(SUMIFS(DARE,DEN_G,"="&amp;FO296,DATA,"&lt;="&amp;FINE_AC,DATA,"&gt;="&amp;INIZIO_A_PC)-SUMIFS(AVERE,DEN_G,"="&amp;FO296,DATA,"&lt;="&amp;FINE_AC,DATA,"&gt;="&amp;INIZIO_A_PC))&gt;0,MAX($FP$2:FP295)+1,0)</f>
        <v>0</v>
      </c>
      <c r="FQ296" s="48" t="str">
        <f ca="1">IF(AND(ROW()-2&lt;&gt;1,ROW()-2&lt;=$FP$1),CONCATENATE(" - ",IFERROR(INDEX($FO$3:$FP$400,MATCH(ROWS($FQ$3:FQ296),$FP$3:$FP$400,0),1),"")),IFERROR(INDEX($FO$3:$FP$400,MATCH(ROWS($FQ$3:FQ296),$FP$3:$FP$400,0),1),""))</f>
        <v/>
      </c>
    </row>
    <row r="297" spans="1:173" x14ac:dyDescent="0.3">
      <c r="A297" s="48" t="str">
        <f ca="1">IFERROR(IF($A$1=2,INDEX($DH$3:$DN$401,MATCH(ROWS(A$3:A297),$DN$3:$DN$401,0),COLUMN()),IF($A$1=1,INDEX($DQ$3:$DW$401,MATCH(ROWS(A$3:A297),$DW$3:$DW$401,0),COLUMN()),"")),"")</f>
        <v>40.20</v>
      </c>
      <c r="B297" s="48" t="str">
        <f ca="1">IFERROR(IF($A$1=2,INDEX($DH$3:$DN$401,MATCH(ROWS(B$3:B297),$DN$3:$DN$401,0),COLUMN()),IF($A$1=1,INDEX($DQ$3:$DW$400,MATCH(ROWS(B$3:B297),$DW$3:$DW$401,0),COLUMN()),"")),"")</f>
        <v>INTERESSI SU TITOLI</v>
      </c>
      <c r="C297" s="48" t="str">
        <f ca="1">IFERROR(IF($A$1=2,INDEX($DH$3:$DN$401,MATCH(ROWS(C$3:C297),$DN$3:$DN$401,0),COLUMN()),IF($A$1=1,INDEX($DQ$3:$DW$401,MATCH(ROWS(C$3:C297),$DW$3:$DW$401,0),COLUMN()),"")),"")</f>
        <v>E</v>
      </c>
      <c r="D297" s="48" t="str">
        <f ca="1">IFERROR(IF($A$1=2,INDEX($DH$3:$DN$401,MATCH(ROWS(D$3:D297),$DN$3:$DN$401,0),COLUMN()),IF($A$1=1,INDEX($DQ$3:$DW$401,MATCH(ROWS(D$3:D297),$DW$3:$DW$401,0),COLUMN()),"")),"")</f>
        <v>A</v>
      </c>
      <c r="E297" s="48" t="str">
        <f ca="1">IFERROR(IF($A$1=2,INDEX($DH$3:$DN$401,MATCH(ROWS(E$3:E297),$DN$3:$DN$401,0),COLUMN()),IF($A$1=1,INDEX($DQ$3:$DW$401,MATCH(ROWS(E$3:E297),$DW$3:$DW$401,0),COLUMN()),"")),"")</f>
        <v>RICAVI D'ESERCIZIO</v>
      </c>
      <c r="F297" s="48" t="str">
        <f ca="1">IFERROR(IF($A$1=2,INDEX($DH$3:$DN$401,MATCH(ROWS(F$3:F297),$DN$3:$DN$401,0),COLUMN()),IF($A$1=1,INDEX($DQ$3:$DX$401,MATCH(ROWS(F$3:F297),$DW$3:$DW$401,0),COLUMN()),"")),"")</f>
        <v>SE AVERE</v>
      </c>
      <c r="G297" s="48" t="str">
        <f t="shared" ca="1" si="561"/>
        <v>SE</v>
      </c>
      <c r="H297" s="48" t="str">
        <f ca="1">IFERROR(IF($A$1=2,INDEX($DH$3:$DO$400,MATCH(ROWS(H$3:H297),$DN$3:$DN$400,0),COLUMN()),IF($A$1=1,INDEX($DQ$3:$DX$400,MATCH(ROWS(H$3:H297),$DW$3:$DW$400,0),COLUMN()),"")),"")</f>
        <v>ec16b</v>
      </c>
      <c r="M297" s="48">
        <f ca="1">IFERROR(IF(IF(MID($A297,3,3)=".00",MID(A297,1,2),"")&lt;&gt;"",MAX($M$2:M296)+1,0),"")</f>
        <v>0</v>
      </c>
      <c r="N297" s="48" t="str">
        <f t="shared" ca="1" si="562"/>
        <v/>
      </c>
      <c r="O297" s="48" t="str">
        <f ca="1">IF(IFERROR(INDEX($N$3:$O$300,MATCH(ROWS($O$3:O297),$M$3:$M$300,0),1),"")&lt;&gt;"",CONCATENATE(INDEX($N$3:$O$300,MATCH(ROWS($O$3:O297),$M$3:$M$300,0),1),".00"),"")</f>
        <v/>
      </c>
      <c r="P297" s="48" t="str">
        <f t="shared" ca="1" si="563"/>
        <v/>
      </c>
      <c r="Q297" s="48">
        <f ca="1">IF(M297&gt;=1,0,MAX($Q$2:Q296)+1)</f>
        <v>263</v>
      </c>
      <c r="U297" s="48" t="str">
        <f ca="1">IFERROR(INDEX(PDC,MATCH(ROWS(U$3:U297),$V$3:$V$400,0),2),"")</f>
        <v/>
      </c>
      <c r="V297" s="48">
        <f ca="1">IF(AND($T$1="VISUALIZZA TUTTI I CONTI",AA297&lt;&gt;""),MAX($V$2:V296)+1,IF(AND($U$2=2,AI297=$T$1),MAX($V$2:V296)+1,IF(AND($U$2=1,$T$1=AF297),MAX($V$2:V296)+1,0)))</f>
        <v>0</v>
      </c>
      <c r="AA297" s="48" t="str">
        <f t="shared" ca="1" si="564"/>
        <v/>
      </c>
      <c r="AB297" s="48" t="str">
        <f ca="1">IFERROR(INDEX($A$3:$G$400,MATCH(ROWS(AB$3:AB297),$Q$3:$Q$400,0),1),"")</f>
        <v/>
      </c>
      <c r="AC297" s="48" t="str">
        <f ca="1">IFERROR(INDEX($A$3:$G$400,MATCH(ROWS($AC$3:AC297),$Q$3:$Q$400,0),2),"")</f>
        <v/>
      </c>
      <c r="AD297" s="48" t="str">
        <f ca="1">IFERROR(INDEX($A$3:$G$400,MATCH(ROWS(AD$3:AD297),$Q$3:$Q$400,0),3),"")</f>
        <v/>
      </c>
      <c r="AE297" s="48" t="str">
        <f ca="1">IFERROR(INDEX($A$3:$G$400,MATCH(ROWS(AE$3:AE297),$Q$3:$Q$400,0),4),"")</f>
        <v/>
      </c>
      <c r="AF297" s="48" t="str">
        <f ca="1">IFERROR(INDEX($A$3:$G$400,MATCH(ROWS(AF$3:AF297),$Q$3:$Q$400,0),5),"")</f>
        <v/>
      </c>
      <c r="AG297" s="48" t="str">
        <f ca="1">IFERROR(INDEX($A$3:$G$400,MATCH(ROWS(AG$3:AG297),$Q$3:$Q$400,0),6),"")</f>
        <v/>
      </c>
      <c r="AH297" s="48" t="str">
        <f ca="1">IFERROR(INDEX($A$3:$G$400,MATCH(ROWS(AH$3:AH297),$Q$3:$Q$400,0),7),"")</f>
        <v/>
      </c>
      <c r="AI297" s="48" t="str">
        <f t="shared" ca="1" si="565"/>
        <v/>
      </c>
      <c r="AJ297" s="48" t="str">
        <f ca="1">IFERROR(INDEX($A$3:$H$400,MATCH(ROWS(AJ$3:AJ297),$Q$3:$Q$400,0),8),"")</f>
        <v/>
      </c>
      <c r="AK297" s="48">
        <f t="shared" ca="1" si="548"/>
        <v>0</v>
      </c>
      <c r="AL297" s="48">
        <f t="shared" ca="1" si="606"/>
        <v>0</v>
      </c>
      <c r="AM297" s="48">
        <f t="shared" ca="1" si="607"/>
        <v>0</v>
      </c>
      <c r="AN297" s="48">
        <f t="shared" ca="1" si="608"/>
        <v>0</v>
      </c>
      <c r="AO297" s="48">
        <f t="shared" ca="1" si="609"/>
        <v>0</v>
      </c>
      <c r="AP297" s="48">
        <f t="shared" ca="1" si="609"/>
        <v>0</v>
      </c>
      <c r="AZ297" s="48" t="str">
        <f t="shared" ca="1" si="584"/>
        <v/>
      </c>
      <c r="BA297" s="48">
        <f t="shared" ref="BA297:BA360" ca="1" si="611">IF(AND(BF297&lt;$BF$2,AL199&gt;=INIZIO_AC,AL199&gt;=INIZIO_A_PC,AL199&lt;=FINE_AC),AL199,0)</f>
        <v>0</v>
      </c>
      <c r="BB297" s="48">
        <f t="shared" ca="1" si="521"/>
        <v>0</v>
      </c>
      <c r="BC297" s="48">
        <f t="shared" ca="1" si="522"/>
        <v>0</v>
      </c>
      <c r="BD297" s="48">
        <f t="shared" ca="1" si="523"/>
        <v>0</v>
      </c>
      <c r="BE297" s="48">
        <f t="shared" ca="1" si="524"/>
        <v>0</v>
      </c>
      <c r="BF297" s="48">
        <f t="shared" si="585"/>
        <v>97</v>
      </c>
      <c r="BG297" s="48">
        <f ca="1">IF(IF(AND(OR(INDEX(PDC,MATCH($AC297,DEN_PDC,0),6)="SP DARE",INDEX(PDC,MATCH($AC297,DEN_PDC,0),6)="SP DARE/AVERE"),SUMIFS(DARE,DEN_G,$AC297)&gt;=SUMIFS(AVERE,DEN_G,$AC297)),SUMIFS(DARE,DEN_G,$AC297)-SUMIFS(AVERE,DEN_G,$AC297),0)&gt;0,MAX($BG$2:BG296)+1,0)</f>
        <v>0</v>
      </c>
      <c r="BH297" s="48">
        <f ca="1">IF(IF(AND(OR(INDEX(PDC,MATCH($AC297,DEN_PDC,0),6)="SP AVERE",INDEX(PDC,MATCH($AC297,DEN_PDC,0),6)="SP DARE/AVERE"),SUMIFS(AVERE,DEN_G,$AC297)&gt;=SUMIFS(DARE,DEN_G,$AC297)),SUMIFS(AVERE,DEN_G,$AC297)-SUMIFS(DARE,DEN_G,$AC297),0)&gt;0,MAX(BH$2:BH296)+1,0)</f>
        <v>0</v>
      </c>
      <c r="BI297" s="48">
        <f ca="1">IF(IF(AND(OR(INDEX(PDC,MATCH($AC297,DEN_PDC,0),6)="SE DARE",INDEX(PDC,MATCH($AC297,DEN_PDC,0),6)="SE DARE/AVERE"),SUMIFS(DARE,DEN_G,$AC297)&gt;=SUMIFS(AVERE,DEN_G,$AC297)),SUMIFS(DARE,DEN_G,$AC297)-SUMIFS(AVERE,DEN_G,$AC297),0)&gt;0,MAX(BI$2:BI296)+1,0)</f>
        <v>0</v>
      </c>
      <c r="BJ297" s="48">
        <f ca="1">IF(IF(AND(OR(INDEX(PDC,MATCH($AC297,DEN_PDC,0),6)="SE AVERE",INDEX(PDC,MATCH($AC297,DEN_PDC,0),6)="SE DARE/AVERE"),SUMIFS(AVERE,DEN_G,$AC297)&gt;=SUMIFS(DARE,DEN_G,$AC297)),SUMIFS(AVERE,DEN_G,$AC297)-SUMIFS(DARE,DEN_G,$AC297),0)&gt;0,MAX(BJ$2:BJ296)+1,0)</f>
        <v>0</v>
      </c>
      <c r="BK297" s="48" t="str">
        <f ca="1">IF(AND(AND($DY$2=0,$DY$1=0),$I$1=2,ROW()&gt;$BG$1+2,ROW()&lt;=$BG$1+4),"………………..",IF(AND(OR($DY$2&gt;0,$DY$1&gt;0),$I$1=2,ROW()&gt;$BG$1+2,ROW()&lt;=$BG$1+4),"………………..",IFERROR(INDEX($AC$3:$AC$398,MATCH(ROWS(BK$3:BK297),BG$3:BG$398,0),1),"")))</f>
        <v/>
      </c>
      <c r="BL297" s="48">
        <f t="shared" ca="1" si="549"/>
        <v>0</v>
      </c>
      <c r="BM297" s="48" t="str">
        <f ca="1">IF(AND(OR($DY$2=0,$DY$1=0),$I$1=2,ROW()&gt;$BH$1+2,ROW()&lt;=$BH$1+4),"………………..",IF(AND(OR($DY$2&gt;0,$DY$1&gt;0),$I$1=2,ROW()&gt;$BH$1+2,ROW()&lt;=$BH$1+4),"………………..",IFERROR(INDEX($AC$3:$AC$400,MATCH(ROWS(BM$3:BM297),BH$3:BH$400,0),1),"")))</f>
        <v/>
      </c>
      <c r="BN297" s="48">
        <f t="shared" ca="1" si="550"/>
        <v>0</v>
      </c>
      <c r="BO297" s="48" t="str">
        <f ca="1">IF(AND(OR($DY$2=0,$DY$1=0),$I$1=2,ROW()&gt;$BI$1+2,ROW()&lt;=$BI$1+4),"………………..",IF(AND(OR($DY$2&gt;0,$DY$1&gt;0),$I$1=2,ROW()&gt;$BI$1+2,ROW()&lt;=$BI$1+4),"………………..",IFERROR(INDEX($AC$3:$AC$400,MATCH(ROWS(BO$3:BO297),BI$3:BI$400,0),1),"")))</f>
        <v/>
      </c>
      <c r="BP297" s="48">
        <f t="shared" ca="1" si="551"/>
        <v>0</v>
      </c>
      <c r="BQ297" s="48" t="str">
        <f ca="1">IF(AND(OR($DY$2=0,$DY$1=0),$I$1=2,ROW()&gt;$BJ$1+2,ROW()&lt;=$BJ$1+4),"………………..",IF(AND(OR($DY$2&gt;0,$DY$1&gt;0),$I$1=2,ROW()&gt;$BJ$1+2,ROW()&lt;=$BJ$1+4),"………………..",IFERROR(INDEX($AC$3:$AC$400,MATCH(ROWS(BQ$3:BQ297),BJ$3:BJ$400,0),1),"")))</f>
        <v/>
      </c>
      <c r="BR297" s="48">
        <f t="shared" ca="1" si="552"/>
        <v>0</v>
      </c>
      <c r="BS297" s="48">
        <f ca="1">IF(IF(AND(OR(INDEX(PDC,MATCH($AC297,DEN_PDC,0),4)="D",INDEX(PDC,MATCH($AC297,DEN_PDC,0),4)="D/A"),SUMIFS(DARE,DEN_G,$AC297)&gt;=SUMIFS(AVERE,DEN_G,$AC297)),SUMIFS(DARE,DEN_G,$AC297),IF(AND(OR(INDEX(PDC,MATCH($AC297,DEN_PDC,0),4)="A",INDEX(PDC,MATCH($AC297,DEN_PDC,0),4)="D/A"),SUMIFS(AVERE,DEN_G,$AC297)&gt;=SUMIFS(DARE,DEN_G,$AC297)),SUMIFS(AVERE,DEN_G,$AC297),))&gt;0,MAX($BS$2:BS296)+1,0)</f>
        <v>0</v>
      </c>
      <c r="BT297" s="48" t="str">
        <f ca="1">IF($CO$1=0,"",IF(AND($I$1=2,ROW()&gt;$BR$1,ROW()&lt;=$BS$1)," …………….",IF(AND($E$1=1,$BX$1=1,$I$1=2,ROW()=$BQ$1),"TOTALI",IFERROR(INDEX(PDC,MATCH(ROWS(BT$3:BT297),BS$3:BS694,0),2),""))))</f>
        <v/>
      </c>
      <c r="BU297" s="48">
        <f t="shared" ca="1" si="553"/>
        <v>0</v>
      </c>
      <c r="BV297" s="48">
        <f t="shared" ca="1" si="554"/>
        <v>0</v>
      </c>
      <c r="BW297" s="48">
        <f t="shared" ca="1" si="555"/>
        <v>0</v>
      </c>
      <c r="BX297" s="48">
        <f t="shared" ca="1" si="556"/>
        <v>0</v>
      </c>
      <c r="BY297" s="48">
        <f ca="1">IF(OR(BW297&gt;0,BX297&gt;0),MAX($BY$2:BY296)+1,0)</f>
        <v>0</v>
      </c>
      <c r="BZ297" s="48" t="str">
        <f ca="1">IFERROR(INDEX($BT$3:$BY$400,MATCH(ROWS(BZ$3:BZ297),$BY$3:$BY$400,0),1),"")</f>
        <v/>
      </c>
      <c r="CA297" s="48" t="str">
        <f ca="1">IFERROR(INDEX($BT$3:$BY$400,MATCH(ROWS(CA$3:CA297),$BY$3:$BY$400,0),4),"")</f>
        <v/>
      </c>
      <c r="CB297" s="48" t="str">
        <f ca="1">IFERROR(INDEX($BT$3:$BY$400,MATCH(ROWS(CB$3:CB297),$BY$3:$BY$400,0),5),"")</f>
        <v/>
      </c>
      <c r="CC297" s="48" t="str">
        <f t="shared" ca="1" si="557"/>
        <v/>
      </c>
      <c r="CM297" s="242" t="str">
        <f t="shared" ca="1" si="566"/>
        <v/>
      </c>
      <c r="CN297" s="243">
        <f t="shared" ca="1" si="567"/>
        <v>0</v>
      </c>
      <c r="CO297" s="48" t="str">
        <f t="shared" ca="1" si="568"/>
        <v/>
      </c>
      <c r="CU297" s="48">
        <f ca="1">IF(SUMIFS(AVERE,DEN_G,AC297,AVERE,"&gt;"&amp;0)+SUMIFS(DARE,DEN_G,AC297,DARE,"&gt;"&amp;0)&gt;0,MAX($CU$2:CU296)+1,0)</f>
        <v>0</v>
      </c>
      <c r="CV297" s="48" t="str">
        <f ca="1">IF(IFERROR(INDEX(PDC,MATCH(ROWS($CV$3:CV297),$CU$3:$CU$400,0),2),"")="CONTO DI RISULTATO ECONOMICO","",IFERROR(INDEX(PDC,MATCH(ROWS($CV$3:CV297),$CU$3:$CU$400,0),2),""))</f>
        <v/>
      </c>
      <c r="CW297" s="48">
        <f ca="1">IFERROR(IF(CV297&lt;&gt;"",MAX($CW$2:CW296)+1,0),0)</f>
        <v>0</v>
      </c>
      <c r="CX297" s="48">
        <f t="shared" ca="1" si="599"/>
        <v>23</v>
      </c>
      <c r="CY297" s="48" t="str">
        <f t="shared" ca="1" si="598"/>
        <v>MASTRO</v>
      </c>
      <c r="CZ297" s="48" t="e">
        <f t="shared" ca="1" si="601"/>
        <v>#N/A</v>
      </c>
      <c r="DA297" s="48" t="str">
        <f t="shared" ca="1" si="605"/>
        <v/>
      </c>
      <c r="DB297" s="48" t="str">
        <f t="shared" ca="1" si="592"/>
        <v/>
      </c>
      <c r="DC297" s="48" t="str">
        <f t="shared" ca="1" si="602"/>
        <v/>
      </c>
      <c r="DD297" s="48" t="str">
        <f t="shared" ca="1" si="603"/>
        <v/>
      </c>
      <c r="DE297" s="48" t="str">
        <f t="shared" ca="1" si="604"/>
        <v/>
      </c>
      <c r="DF297" s="48">
        <f ca="1">IF(AND(CX297=$DF$1,CX297&lt;&gt;""),0,IF(AND(DB297&lt;&gt;"",OR(DB296&lt;&gt;"",DB298&lt;&gt;"")),MAX($DF$2:DF296)+1,0))</f>
        <v>0</v>
      </c>
      <c r="DH297" s="244" t="s">
        <v>213</v>
      </c>
      <c r="DI297" s="48" t="s">
        <v>201</v>
      </c>
      <c r="DJ297" s="48" t="s">
        <v>311</v>
      </c>
      <c r="DK297" s="48" t="s">
        <v>275</v>
      </c>
      <c r="DL297" s="48" t="s">
        <v>7</v>
      </c>
      <c r="DM297" s="48" t="s">
        <v>301</v>
      </c>
      <c r="DN297" s="48">
        <f ca="1">IF(DI297&lt;&gt;"",MAX($DN$2:DN296)+1,0)</f>
        <v>232</v>
      </c>
      <c r="DO297" s="48" t="s">
        <v>710</v>
      </c>
      <c r="DW297" s="48">
        <f>IF(DR297&lt;&gt;"",MAX($DW$2:DW296)+1,0)</f>
        <v>0</v>
      </c>
      <c r="DY297" s="48" t="str">
        <f t="shared" ca="1" si="558"/>
        <v/>
      </c>
      <c r="EL297" s="48">
        <f t="shared" ca="1" si="559"/>
        <v>0</v>
      </c>
      <c r="EM297" s="48">
        <f ca="1">IF(EL297&gt;=0,0,MAX($EM$2:EM296)+1)</f>
        <v>0</v>
      </c>
      <c r="EN297" s="48" t="str">
        <f t="shared" ca="1" si="569"/>
        <v/>
      </c>
      <c r="EO297" s="48" t="str">
        <f ca="1">IFERROR(INDEX($EM$3:$EN$400,MATCH(ROWS($EO$3:EO297),$EM$3:$EM$400,0),2),"")</f>
        <v/>
      </c>
      <c r="EP297" s="48">
        <f>ROW()</f>
        <v>297</v>
      </c>
      <c r="EQ297" s="48">
        <f t="shared" ca="1" si="560"/>
        <v>0</v>
      </c>
      <c r="ER297" s="48">
        <f ca="1">IF(ISNA(EQ297)=TRUE,MAX($ER$2:ER296)+1,0)</f>
        <v>0</v>
      </c>
      <c r="ES297" s="48" t="str">
        <f t="shared" ca="1" si="570"/>
        <v/>
      </c>
      <c r="ET297" s="48" t="str">
        <f ca="1">IFERROR(INDEX($ER$3:$ES$400,MATCH(ROWS($ET$3:ET297),$ER$3:$ER$400,0),2),"")</f>
        <v/>
      </c>
      <c r="EV297" s="48">
        <f ca="1">IFERROR(INDEX(LIBRO_GIORNALE!$O$11:$P$408,MATCH(ROWS($EV$2:EV296),LIBRO_GIORNALE!$P$11:$P$408,0),1),0)</f>
        <v>0</v>
      </c>
      <c r="EW297" s="48" t="str">
        <f t="shared" ca="1" si="544"/>
        <v>0</v>
      </c>
      <c r="EX297" s="48">
        <f t="shared" ca="1" si="571"/>
        <v>0</v>
      </c>
      <c r="EY297" s="48">
        <f ca="1">IF(EX297&gt;0,MAX($EY$2:EY296)+1,0)</f>
        <v>0</v>
      </c>
      <c r="EZ297" s="48">
        <f ca="1">IFERROR(INDEX($EX$3:$EX$400,MATCH(ROWS($EZ$3:EZ297),$EY$3:$EY$400,0),1),0)</f>
        <v>0</v>
      </c>
      <c r="FA297" s="48">
        <f ca="1">IF(EZ297&gt;0,0,MAX($FA$2:FA296)+1)</f>
        <v>295</v>
      </c>
      <c r="FB297" s="48">
        <f t="shared" ca="1" si="545"/>
        <v>0</v>
      </c>
      <c r="FC297" s="48">
        <f t="shared" ca="1" si="546"/>
        <v>295</v>
      </c>
      <c r="FD297" s="48">
        <f t="shared" ca="1" si="572"/>
        <v>295</v>
      </c>
      <c r="FE297" s="48">
        <f ca="1">IF(FD297=0,0,MAX($FE$2:FE296)+1)</f>
        <v>295</v>
      </c>
      <c r="FF297" s="48">
        <f ca="1">IFERROR(INDEX($FD$3:$FE$400,MATCH(ROWS($FF$3:FF297),$FE$3:$FE$400,0),1),"")</f>
        <v>295</v>
      </c>
      <c r="FG297" s="48">
        <f t="shared" ca="1" si="610"/>
        <v>0</v>
      </c>
      <c r="FH297" s="48">
        <f t="shared" ca="1" si="573"/>
        <v>0</v>
      </c>
      <c r="FI297" s="48">
        <f ca="1">IF(FH297&lt;&gt;0,MAX($FI$2:FI296)+1,0)</f>
        <v>0</v>
      </c>
      <c r="FJ297" s="48" t="str">
        <f ca="1">IFERROR(INDEX($FH$3:$FI$400,MATCH(ROWS($FJ$3:FJ297),$FI$3:$FI$400,0),1),"")</f>
        <v/>
      </c>
      <c r="FK297" s="48">
        <f ca="1">IF(ABS(SUMIFS(DARE,DEN_G,"="&amp;FJ297,DATA,"&lt;="&amp;FINE_AC,DATA,"&gt;="&amp;INIZIO_A_PC)-SUMIFS(AVERE,DEN_G,"="&amp;FJ297,DATA,"&lt;="&amp;FINE_AC,DATA,"&gt;="&amp;INIZIO_A_PC))&gt;0,MAX($FK$2:FK296)+1,0)</f>
        <v>0</v>
      </c>
      <c r="FL297" s="48" t="str">
        <f ca="1">IF(AND(ROW()-2&lt;&gt;1,ROW()-2&lt;=$FK$1),CONCATENATE(" - ",IFERROR(INDEX($FJ$3:$FK$400,MATCH(ROWS($FL$3:FL297),$FK$3:$FK$400,0),1),"")),IFERROR(INDEX($FJ$3:$FK$400,MATCH(ROWS($FL$3:FL297),$FK$3:$FK$400,0),1),""))</f>
        <v/>
      </c>
      <c r="FM297" s="48">
        <f ca="1">IF(OR(B297="IVA ns/credito",B297="IVA NS/DEBITO",B297="IVA C/ACCONTO",B297="IMPOSTE C/ACCONTO",B297="CREDITI PER RITENUTE SUBITE",B297="CREDITI D'IMPOSTA"),MAX($FM$2:FM296)+1,0)</f>
        <v>0</v>
      </c>
      <c r="FN297" s="48" t="str">
        <f t="shared" ca="1" si="574"/>
        <v/>
      </c>
      <c r="FO297" s="48" t="str">
        <f ca="1">IFERROR(INDEX($FM$3:$FN$400,MATCH(ROWS($FO$3:FO297),$FM$3:$FM$400,0),2),"")</f>
        <v/>
      </c>
      <c r="FP297" s="48">
        <f ca="1">IF(ABS(SUMIFS(DARE,DEN_G,"="&amp;FO297,DATA,"&lt;="&amp;FINE_AC,DATA,"&gt;="&amp;INIZIO_A_PC)-SUMIFS(AVERE,DEN_G,"="&amp;FO297,DATA,"&lt;="&amp;FINE_AC,DATA,"&gt;="&amp;INIZIO_A_PC))&gt;0,MAX($FP$2:FP296)+1,0)</f>
        <v>0</v>
      </c>
      <c r="FQ297" s="48" t="str">
        <f ca="1">IF(AND(ROW()-2&lt;&gt;1,ROW()-2&lt;=$FP$1),CONCATENATE(" - ",IFERROR(INDEX($FO$3:$FP$400,MATCH(ROWS($FQ$3:FQ297),$FP$3:$FP$400,0),1),"")),IFERROR(INDEX($FO$3:$FP$400,MATCH(ROWS($FQ$3:FQ297),$FP$3:$FP$400,0),1),""))</f>
        <v/>
      </c>
    </row>
    <row r="298" spans="1:173" x14ac:dyDescent="0.3">
      <c r="A298" s="48" t="str">
        <f ca="1">IFERROR(IF($A$1=2,INDEX($DH$3:$DN$401,MATCH(ROWS(A$3:A298),$DN$3:$DN$401,0),COLUMN()),IF($A$1=1,INDEX($DQ$3:$DW$401,MATCH(ROWS(A$3:A298),$DW$3:$DW$401,0),COLUMN()),"")),"")</f>
        <v>40.21</v>
      </c>
      <c r="B298" s="48" t="str">
        <f ca="1">IFERROR(IF($A$1=2,INDEX($DH$3:$DN$401,MATCH(ROWS(B$3:B298),$DN$3:$DN$401,0),COLUMN()),IF($A$1=1,INDEX($DQ$3:$DW$400,MATCH(ROWS(B$3:B298),$DW$3:$DW$401,0),COLUMN()),"")),"")</f>
        <v>UTILE SU TITOLI</v>
      </c>
      <c r="C298" s="48" t="str">
        <f ca="1">IFERROR(IF($A$1=2,INDEX($DH$3:$DN$401,MATCH(ROWS(C$3:C298),$DN$3:$DN$401,0),COLUMN()),IF($A$1=1,INDEX($DQ$3:$DW$401,MATCH(ROWS(C$3:C298),$DW$3:$DW$401,0),COLUMN()),"")),"")</f>
        <v>E</v>
      </c>
      <c r="D298" s="48" t="str">
        <f ca="1">IFERROR(IF($A$1=2,INDEX($DH$3:$DN$401,MATCH(ROWS(D$3:D298),$DN$3:$DN$401,0),COLUMN()),IF($A$1=1,INDEX($DQ$3:$DW$401,MATCH(ROWS(D$3:D298),$DW$3:$DW$401,0),COLUMN()),"")),"")</f>
        <v>A</v>
      </c>
      <c r="E298" s="48" t="str">
        <f ca="1">IFERROR(IF($A$1=2,INDEX($DH$3:$DN$401,MATCH(ROWS(E$3:E298),$DN$3:$DN$401,0),COLUMN()),IF($A$1=1,INDEX($DQ$3:$DW$401,MATCH(ROWS(E$3:E298),$DW$3:$DW$401,0),COLUMN()),"")),"")</f>
        <v>RICAVI D'ESERCIZIO</v>
      </c>
      <c r="F298" s="48" t="str">
        <f ca="1">IFERROR(IF($A$1=2,INDEX($DH$3:$DN$401,MATCH(ROWS(F$3:F298),$DN$3:$DN$401,0),COLUMN()),IF($A$1=1,INDEX($DQ$3:$DX$401,MATCH(ROWS(F$3:F298),$DW$3:$DW$401,0),COLUMN()),"")),"")</f>
        <v>SE AVERE</v>
      </c>
      <c r="G298" s="48" t="str">
        <f t="shared" ca="1" si="561"/>
        <v>SE</v>
      </c>
      <c r="H298" s="48" t="str">
        <f ca="1">IFERROR(IF($A$1=2,INDEX($DH$3:$DO$400,MATCH(ROWS(H$3:H298),$DN$3:$DN$400,0),COLUMN()),IF($A$1=1,INDEX($DQ$3:$DX$400,MATCH(ROWS(H$3:H298),$DW$3:$DW$400,0),COLUMN()),"")),"")</f>
        <v>ec16b</v>
      </c>
      <c r="M298" s="48">
        <f ca="1">IFERROR(IF(IF(MID($A298,3,3)=".00",MID(A298,1,2),"")&lt;&gt;"",MAX($M$2:M297)+1,0),"")</f>
        <v>0</v>
      </c>
      <c r="N298" s="48" t="str">
        <f t="shared" ca="1" si="562"/>
        <v/>
      </c>
      <c r="O298" s="48" t="str">
        <f ca="1">IF(IFERROR(INDEX($N$3:$O$300,MATCH(ROWS($O$3:O298),$M$3:$M$300,0),1),"")&lt;&gt;"",CONCATENATE(INDEX($N$3:$O$300,MATCH(ROWS($O$3:O298),$M$3:$M$300,0),1),".00"),"")</f>
        <v/>
      </c>
      <c r="P298" s="48" t="str">
        <f t="shared" ca="1" si="563"/>
        <v/>
      </c>
      <c r="Q298" s="48">
        <f ca="1">IF(M298&gt;=1,0,MAX($Q$2:Q297)+1)</f>
        <v>264</v>
      </c>
      <c r="U298" s="48" t="str">
        <f ca="1">IFERROR(INDEX(PDC,MATCH(ROWS(U$3:U298),$V$3:$V$400,0),2),"")</f>
        <v/>
      </c>
      <c r="V298" s="48">
        <f ca="1">IF(AND($T$1="VISUALIZZA TUTTI I CONTI",AA298&lt;&gt;""),MAX($V$2:V297)+1,IF(AND($U$2=2,AI298=$T$1),MAX($V$2:V297)+1,IF(AND($U$2=1,$T$1=AF298),MAX($V$2:V297)+1,0)))</f>
        <v>0</v>
      </c>
      <c r="AA298" s="48" t="str">
        <f t="shared" ca="1" si="564"/>
        <v/>
      </c>
      <c r="AB298" s="48" t="str">
        <f ca="1">IFERROR(INDEX($A$3:$G$400,MATCH(ROWS(AB$3:AB298),$Q$3:$Q$400,0),1),"")</f>
        <v/>
      </c>
      <c r="AC298" s="48" t="str">
        <f ca="1">IFERROR(INDEX($A$3:$G$400,MATCH(ROWS($AC$3:AC298),$Q$3:$Q$400,0),2),"")</f>
        <v/>
      </c>
      <c r="AD298" s="48" t="str">
        <f ca="1">IFERROR(INDEX($A$3:$G$400,MATCH(ROWS(AD$3:AD298),$Q$3:$Q$400,0),3),"")</f>
        <v/>
      </c>
      <c r="AE298" s="48" t="str">
        <f ca="1">IFERROR(INDEX($A$3:$G$400,MATCH(ROWS(AE$3:AE298),$Q$3:$Q$400,0),4),"")</f>
        <v/>
      </c>
      <c r="AF298" s="48" t="str">
        <f ca="1">IFERROR(INDEX($A$3:$G$400,MATCH(ROWS(AF$3:AF298),$Q$3:$Q$400,0),5),"")</f>
        <v/>
      </c>
      <c r="AG298" s="48" t="str">
        <f ca="1">IFERROR(INDEX($A$3:$G$400,MATCH(ROWS(AG$3:AG298),$Q$3:$Q$400,0),6),"")</f>
        <v/>
      </c>
      <c r="AH298" s="48" t="str">
        <f ca="1">IFERROR(INDEX($A$3:$G$400,MATCH(ROWS(AH$3:AH298),$Q$3:$Q$400,0),7),"")</f>
        <v/>
      </c>
      <c r="AI298" s="48" t="str">
        <f t="shared" ca="1" si="565"/>
        <v/>
      </c>
      <c r="AJ298" s="48" t="str">
        <f ca="1">IFERROR(INDEX($A$3:$H$400,MATCH(ROWS(AJ$3:AJ298),$Q$3:$Q$400,0),8),"")</f>
        <v/>
      </c>
      <c r="AK298" s="48">
        <f t="shared" ca="1" si="548"/>
        <v>0</v>
      </c>
      <c r="AL298" s="48">
        <f t="shared" ca="1" si="606"/>
        <v>0</v>
      </c>
      <c r="AM298" s="48">
        <f t="shared" ca="1" si="607"/>
        <v>0</v>
      </c>
      <c r="AN298" s="48">
        <f t="shared" ca="1" si="608"/>
        <v>0</v>
      </c>
      <c r="AO298" s="48">
        <f t="shared" ca="1" si="609"/>
        <v>0</v>
      </c>
      <c r="AP298" s="48">
        <f t="shared" ca="1" si="609"/>
        <v>0</v>
      </c>
      <c r="AZ298" s="48" t="str">
        <f t="shared" ca="1" si="584"/>
        <v/>
      </c>
      <c r="BA298" s="48">
        <f t="shared" ca="1" si="611"/>
        <v>0</v>
      </c>
      <c r="BB298" s="48">
        <f t="shared" ref="BB298:BB361" ca="1" si="612">IF($BA298=0,0,IF(AND(BE298&gt;0,AM200="UTILE D'ESERCIZIO"),CONCATENATE("[",AM200),IF(AND(BD298&gt;0,AM200="PERDITA D'ESERCIZIO"),CONCATENATE("[",AM200),AM200)))</f>
        <v>0</v>
      </c>
      <c r="BC298" s="48">
        <f t="shared" ref="BC298:BC361" ca="1" si="613">IF($BA298=0,0,AN200)</f>
        <v>0</v>
      </c>
      <c r="BD298" s="48">
        <f t="shared" ref="BD298:BD361" ca="1" si="614">IF($BA298=0,0,AO200)</f>
        <v>0</v>
      </c>
      <c r="BE298" s="48">
        <f t="shared" ref="BE298:BE361" ca="1" si="615">IF($BA298=0,0,AP200)</f>
        <v>0</v>
      </c>
      <c r="BF298" s="48">
        <f t="shared" si="585"/>
        <v>98</v>
      </c>
      <c r="BG298" s="48">
        <f ca="1">IF(IF(AND(OR(INDEX(PDC,MATCH($AC298,DEN_PDC,0),6)="SP DARE",INDEX(PDC,MATCH($AC298,DEN_PDC,0),6)="SP DARE/AVERE"),SUMIFS(DARE,DEN_G,$AC298)&gt;=SUMIFS(AVERE,DEN_G,$AC298)),SUMIFS(DARE,DEN_G,$AC298)-SUMIFS(AVERE,DEN_G,$AC298),0)&gt;0,MAX($BG$2:BG297)+1,0)</f>
        <v>0</v>
      </c>
      <c r="BH298" s="48">
        <f ca="1">IF(IF(AND(OR(INDEX(PDC,MATCH($AC298,DEN_PDC,0),6)="SP AVERE",INDEX(PDC,MATCH($AC298,DEN_PDC,0),6)="SP DARE/AVERE"),SUMIFS(AVERE,DEN_G,$AC298)&gt;=SUMIFS(DARE,DEN_G,$AC298)),SUMIFS(AVERE,DEN_G,$AC298)-SUMIFS(DARE,DEN_G,$AC298),0)&gt;0,MAX(BH$2:BH297)+1,0)</f>
        <v>0</v>
      </c>
      <c r="BI298" s="48">
        <f ca="1">IF(IF(AND(OR(INDEX(PDC,MATCH($AC298,DEN_PDC,0),6)="SE DARE",INDEX(PDC,MATCH($AC298,DEN_PDC,0),6)="SE DARE/AVERE"),SUMIFS(DARE,DEN_G,$AC298)&gt;=SUMIFS(AVERE,DEN_G,$AC298)),SUMIFS(DARE,DEN_G,$AC298)-SUMIFS(AVERE,DEN_G,$AC298),0)&gt;0,MAX(BI$2:BI297)+1,0)</f>
        <v>0</v>
      </c>
      <c r="BJ298" s="48">
        <f ca="1">IF(IF(AND(OR(INDEX(PDC,MATCH($AC298,DEN_PDC,0),6)="SE AVERE",INDEX(PDC,MATCH($AC298,DEN_PDC,0),6)="SE DARE/AVERE"),SUMIFS(AVERE,DEN_G,$AC298)&gt;=SUMIFS(DARE,DEN_G,$AC298)),SUMIFS(AVERE,DEN_G,$AC298)-SUMIFS(DARE,DEN_G,$AC298),0)&gt;0,MAX(BJ$2:BJ297)+1,0)</f>
        <v>0</v>
      </c>
      <c r="BK298" s="48" t="str">
        <f ca="1">IF(AND(AND($DY$2=0,$DY$1=0),$I$1=2,ROW()&gt;$BG$1+2,ROW()&lt;=$BG$1+4),"………………..",IF(AND(OR($DY$2&gt;0,$DY$1&gt;0),$I$1=2,ROW()&gt;$BG$1+2,ROW()&lt;=$BG$1+4),"………………..",IFERROR(INDEX($AC$3:$AC$398,MATCH(ROWS(BK$3:BK298),BG$3:BG$398,0),1),"")))</f>
        <v/>
      </c>
      <c r="BL298" s="48">
        <f t="shared" ca="1" si="549"/>
        <v>0</v>
      </c>
      <c r="BM298" s="48" t="str">
        <f ca="1">IF(AND(OR($DY$2=0,$DY$1=0),$I$1=2,ROW()&gt;$BH$1+2,ROW()&lt;=$BH$1+4),"………………..",IF(AND(OR($DY$2&gt;0,$DY$1&gt;0),$I$1=2,ROW()&gt;$BH$1+2,ROW()&lt;=$BH$1+4),"………………..",IFERROR(INDEX($AC$3:$AC$400,MATCH(ROWS(BM$3:BM298),BH$3:BH$400,0),1),"")))</f>
        <v/>
      </c>
      <c r="BN298" s="48">
        <f t="shared" ca="1" si="550"/>
        <v>0</v>
      </c>
      <c r="BO298" s="48" t="str">
        <f ca="1">IF(AND(OR($DY$2=0,$DY$1=0),$I$1=2,ROW()&gt;$BI$1+2,ROW()&lt;=$BI$1+4),"………………..",IF(AND(OR($DY$2&gt;0,$DY$1&gt;0),$I$1=2,ROW()&gt;$BI$1+2,ROW()&lt;=$BI$1+4),"………………..",IFERROR(INDEX($AC$3:$AC$400,MATCH(ROWS(BO$3:BO298),BI$3:BI$400,0),1),"")))</f>
        <v/>
      </c>
      <c r="BP298" s="48">
        <f t="shared" ca="1" si="551"/>
        <v>0</v>
      </c>
      <c r="BQ298" s="48" t="str">
        <f ca="1">IF(AND(OR($DY$2=0,$DY$1=0),$I$1=2,ROW()&gt;$BJ$1+2,ROW()&lt;=$BJ$1+4),"………………..",IF(AND(OR($DY$2&gt;0,$DY$1&gt;0),$I$1=2,ROW()&gt;$BJ$1+2,ROW()&lt;=$BJ$1+4),"………………..",IFERROR(INDEX($AC$3:$AC$400,MATCH(ROWS(BQ$3:BQ298),BJ$3:BJ$400,0),1),"")))</f>
        <v/>
      </c>
      <c r="BR298" s="48">
        <f t="shared" ca="1" si="552"/>
        <v>0</v>
      </c>
      <c r="BS298" s="48">
        <f ca="1">IF(IF(AND(OR(INDEX(PDC,MATCH($AC298,DEN_PDC,0),4)="D",INDEX(PDC,MATCH($AC298,DEN_PDC,0),4)="D/A"),SUMIFS(DARE,DEN_G,$AC298)&gt;=SUMIFS(AVERE,DEN_G,$AC298)),SUMIFS(DARE,DEN_G,$AC298),IF(AND(OR(INDEX(PDC,MATCH($AC298,DEN_PDC,0),4)="A",INDEX(PDC,MATCH($AC298,DEN_PDC,0),4)="D/A"),SUMIFS(AVERE,DEN_G,$AC298)&gt;=SUMIFS(DARE,DEN_G,$AC298)),SUMIFS(AVERE,DEN_G,$AC298),))&gt;0,MAX($BS$2:BS297)+1,0)</f>
        <v>0</v>
      </c>
      <c r="BT298" s="48" t="str">
        <f ca="1">IF($CO$1=0,"",IF(AND($I$1=2,ROW()&gt;$BR$1,ROW()&lt;=$BS$1)," …………….",IF(AND($E$1=1,$BX$1=1,$I$1=2,ROW()=$BQ$1),"TOTALI",IFERROR(INDEX(PDC,MATCH(ROWS(BT$3:BT298),BS$3:BS695,0),2),""))))</f>
        <v/>
      </c>
      <c r="BU298" s="48">
        <f t="shared" ca="1" si="553"/>
        <v>0</v>
      </c>
      <c r="BV298" s="48">
        <f t="shared" ca="1" si="554"/>
        <v>0</v>
      </c>
      <c r="BW298" s="48">
        <f t="shared" ca="1" si="555"/>
        <v>0</v>
      </c>
      <c r="BX298" s="48">
        <f t="shared" ca="1" si="556"/>
        <v>0</v>
      </c>
      <c r="BY298" s="48">
        <f ca="1">IF(OR(BW298&gt;0,BX298&gt;0),MAX($BY$2:BY297)+1,0)</f>
        <v>0</v>
      </c>
      <c r="BZ298" s="48" t="str">
        <f ca="1">IFERROR(INDEX($BT$3:$BY$400,MATCH(ROWS(BZ$3:BZ298),$BY$3:$BY$400,0),1),"")</f>
        <v/>
      </c>
      <c r="CA298" s="48" t="str">
        <f ca="1">IFERROR(INDEX($BT$3:$BY$400,MATCH(ROWS(CA$3:CA298),$BY$3:$BY$400,0),4),"")</f>
        <v/>
      </c>
      <c r="CB298" s="48" t="str">
        <f ca="1">IFERROR(INDEX($BT$3:$BY$400,MATCH(ROWS(CB$3:CB298),$BY$3:$BY$400,0),5),"")</f>
        <v/>
      </c>
      <c r="CC298" s="48" t="str">
        <f t="shared" ca="1" si="557"/>
        <v/>
      </c>
      <c r="CM298" s="242" t="str">
        <f t="shared" ca="1" si="566"/>
        <v/>
      </c>
      <c r="CN298" s="243">
        <f t="shared" ca="1" si="567"/>
        <v>0</v>
      </c>
      <c r="CO298" s="48" t="str">
        <f t="shared" ca="1" si="568"/>
        <v/>
      </c>
      <c r="CU298" s="48">
        <f ca="1">IF(SUMIFS(AVERE,DEN_G,AC298,AVERE,"&gt;"&amp;0)+SUMIFS(DARE,DEN_G,AC298,DARE,"&gt;"&amp;0)&gt;0,MAX($CU$2:CU297)+1,0)</f>
        <v>0</v>
      </c>
      <c r="CV298" s="48" t="str">
        <f ca="1">IF(IFERROR(INDEX(PDC,MATCH(ROWS($CV$3:CV298),$CU$3:$CU$400,0),2),"")="CONTO DI RISULTATO ECONOMICO","",IFERROR(INDEX(PDC,MATCH(ROWS($CV$3:CV298),$CU$3:$CU$400,0),2),""))</f>
        <v/>
      </c>
      <c r="CW298" s="48">
        <f ca="1">IFERROR(IF(CV298&lt;&gt;"",MAX($CW$2:CW297)+1,0),0)</f>
        <v>0</v>
      </c>
      <c r="CX298" s="48">
        <f t="shared" ca="1" si="599"/>
        <v>23</v>
      </c>
      <c r="CY298" s="48" t="str">
        <f t="shared" ca="1" si="598"/>
        <v>MASTRO</v>
      </c>
      <c r="CZ298" s="48" t="e">
        <f t="shared" ca="1" si="601"/>
        <v>#N/A</v>
      </c>
      <c r="DA298" s="48" t="str">
        <f t="shared" ca="1" si="605"/>
        <v/>
      </c>
      <c r="DB298" s="48" t="str">
        <f t="shared" ca="1" si="592"/>
        <v/>
      </c>
      <c r="DC298" s="48" t="str">
        <f t="shared" ca="1" si="602"/>
        <v/>
      </c>
      <c r="DD298" s="48" t="str">
        <f t="shared" ca="1" si="603"/>
        <v/>
      </c>
      <c r="DE298" s="48" t="str">
        <f t="shared" ca="1" si="604"/>
        <v/>
      </c>
      <c r="DF298" s="48">
        <f ca="1">IF(AND(CX298=$DF$1,CX298&lt;&gt;""),0,IF(AND(DB298&lt;&gt;"",OR(DB297&lt;&gt;"",DB299&lt;&gt;"")),MAX($DF$2:DF297)+1,0))</f>
        <v>0</v>
      </c>
      <c r="DH298" s="244" t="s">
        <v>214</v>
      </c>
      <c r="DI298" s="48" t="s">
        <v>439</v>
      </c>
      <c r="DJ298" s="48" t="s">
        <v>311</v>
      </c>
      <c r="DK298" s="48" t="s">
        <v>275</v>
      </c>
      <c r="DL298" s="48" t="s">
        <v>7</v>
      </c>
      <c r="DM298" s="48" t="s">
        <v>301</v>
      </c>
      <c r="DN298" s="48">
        <f ca="1">IF(DI298&lt;&gt;"",MAX($DN$2:DN297)+1,0)</f>
        <v>233</v>
      </c>
      <c r="DO298" s="48" t="s">
        <v>710</v>
      </c>
      <c r="DW298" s="48">
        <f>IF(DR298&lt;&gt;"",MAX($DW$2:DW297)+1,0)</f>
        <v>0</v>
      </c>
      <c r="DY298" s="48" t="str">
        <f t="shared" ca="1" si="558"/>
        <v/>
      </c>
      <c r="EL298" s="48">
        <f t="shared" ca="1" si="559"/>
        <v>0</v>
      </c>
      <c r="EM298" s="48">
        <f ca="1">IF(EL298&gt;=0,0,MAX($EM$2:EM297)+1)</f>
        <v>0</v>
      </c>
      <c r="EN298" s="48" t="str">
        <f t="shared" ca="1" si="569"/>
        <v/>
      </c>
      <c r="EO298" s="48" t="str">
        <f ca="1">IFERROR(INDEX($EM$3:$EN$400,MATCH(ROWS($EO$3:EO298),$EM$3:$EM$400,0),2),"")</f>
        <v/>
      </c>
      <c r="EP298" s="48">
        <f>ROW()</f>
        <v>298</v>
      </c>
      <c r="EQ298" s="48">
        <f t="shared" ca="1" si="560"/>
        <v>0</v>
      </c>
      <c r="ER298" s="48">
        <f ca="1">IF(ISNA(EQ298)=TRUE,MAX($ER$2:ER297)+1,0)</f>
        <v>0</v>
      </c>
      <c r="ES298" s="48" t="str">
        <f t="shared" ca="1" si="570"/>
        <v/>
      </c>
      <c r="ET298" s="48" t="str">
        <f ca="1">IFERROR(INDEX($ER$3:$ES$400,MATCH(ROWS($ET$3:ET298),$ER$3:$ER$400,0),2),"")</f>
        <v/>
      </c>
      <c r="EV298" s="48">
        <f ca="1">IFERROR(INDEX(LIBRO_GIORNALE!$O$11:$P$408,MATCH(ROWS($EV$2:EV297),LIBRO_GIORNALE!$P$11:$P$408,0),1),0)</f>
        <v>0</v>
      </c>
      <c r="EW298" s="48" t="str">
        <f t="shared" ca="1" si="544"/>
        <v>0</v>
      </c>
      <c r="EX298" s="48">
        <f t="shared" ca="1" si="571"/>
        <v>0</v>
      </c>
      <c r="EY298" s="48">
        <f ca="1">IF(EX298&gt;0,MAX($EY$2:EY297)+1,0)</f>
        <v>0</v>
      </c>
      <c r="EZ298" s="48">
        <f ca="1">IFERROR(INDEX($EX$3:$EX$400,MATCH(ROWS($EZ$3:EZ298),$EY$3:$EY$400,0),1),0)</f>
        <v>0</v>
      </c>
      <c r="FA298" s="48">
        <f ca="1">IF(EZ298&gt;0,0,MAX($FA$2:FA297)+1)</f>
        <v>296</v>
      </c>
      <c r="FB298" s="48">
        <f t="shared" ca="1" si="545"/>
        <v>0</v>
      </c>
      <c r="FC298" s="48">
        <f t="shared" ca="1" si="546"/>
        <v>296</v>
      </c>
      <c r="FD298" s="48">
        <f t="shared" ca="1" si="572"/>
        <v>296</v>
      </c>
      <c r="FE298" s="48">
        <f ca="1">IF(FD298=0,0,MAX($FE$2:FE297)+1)</f>
        <v>296</v>
      </c>
      <c r="FF298" s="48">
        <f ca="1">IFERROR(INDEX($FD$3:$FE$400,MATCH(ROWS($FF$3:FF298),$FE$3:$FE$400,0),1),"")</f>
        <v>296</v>
      </c>
      <c r="FG298" s="48">
        <f t="shared" ca="1" si="610"/>
        <v>0</v>
      </c>
      <c r="FH298" s="48">
        <f t="shared" ca="1" si="573"/>
        <v>0</v>
      </c>
      <c r="FI298" s="48">
        <f ca="1">IF(FH298&lt;&gt;0,MAX($FI$2:FI297)+1,0)</f>
        <v>0</v>
      </c>
      <c r="FJ298" s="48" t="str">
        <f ca="1">IFERROR(INDEX($FH$3:$FI$400,MATCH(ROWS($FJ$3:FJ298),$FI$3:$FI$400,0),1),"")</f>
        <v/>
      </c>
      <c r="FK298" s="48">
        <f ca="1">IF(ABS(SUMIFS(DARE,DEN_G,"="&amp;FJ298,DATA,"&lt;="&amp;FINE_AC,DATA,"&gt;="&amp;INIZIO_A_PC)-SUMIFS(AVERE,DEN_G,"="&amp;FJ298,DATA,"&lt;="&amp;FINE_AC,DATA,"&gt;="&amp;INIZIO_A_PC))&gt;0,MAX($FK$2:FK297)+1,0)</f>
        <v>0</v>
      </c>
      <c r="FL298" s="48" t="str">
        <f ca="1">IF(AND(ROW()-2&lt;&gt;1,ROW()-2&lt;=$FK$1),CONCATENATE(" - ",IFERROR(INDEX($FJ$3:$FK$400,MATCH(ROWS($FL$3:FL298),$FK$3:$FK$400,0),1),"")),IFERROR(INDEX($FJ$3:$FK$400,MATCH(ROWS($FL$3:FL298),$FK$3:$FK$400,0),1),""))</f>
        <v/>
      </c>
      <c r="FM298" s="48">
        <f ca="1">IF(OR(B298="IVA ns/credito",B298="IVA NS/DEBITO",B298="IVA C/ACCONTO",B298="IMPOSTE C/ACCONTO",B298="CREDITI PER RITENUTE SUBITE",B298="CREDITI D'IMPOSTA"),MAX($FM$2:FM297)+1,0)</f>
        <v>0</v>
      </c>
      <c r="FN298" s="48" t="str">
        <f t="shared" ca="1" si="574"/>
        <v/>
      </c>
      <c r="FO298" s="48" t="str">
        <f ca="1">IFERROR(INDEX($FM$3:$FN$400,MATCH(ROWS($FO$3:FO298),$FM$3:$FM$400,0),2),"")</f>
        <v/>
      </c>
      <c r="FP298" s="48">
        <f ca="1">IF(ABS(SUMIFS(DARE,DEN_G,"="&amp;FO298,DATA,"&lt;="&amp;FINE_AC,DATA,"&gt;="&amp;INIZIO_A_PC)-SUMIFS(AVERE,DEN_G,"="&amp;FO298,DATA,"&lt;="&amp;FINE_AC,DATA,"&gt;="&amp;INIZIO_A_PC))&gt;0,MAX($FP$2:FP297)+1,0)</f>
        <v>0</v>
      </c>
      <c r="FQ298" s="48" t="str">
        <f ca="1">IF(AND(ROW()-2&lt;&gt;1,ROW()-2&lt;=$FP$1),CONCATENATE(" - ",IFERROR(INDEX($FO$3:$FP$400,MATCH(ROWS($FQ$3:FQ298),$FP$3:$FP$400,0),1),"")),IFERROR(INDEX($FO$3:$FP$400,MATCH(ROWS($FQ$3:FQ298),$FP$3:$FP$400,0),1),""))</f>
        <v/>
      </c>
    </row>
    <row r="299" spans="1:173" x14ac:dyDescent="0.3">
      <c r="A299" s="48" t="str">
        <f ca="1">IFERROR(IF($A$1=2,INDEX($DH$3:$DN$401,MATCH(ROWS(A$3:A299),$DN$3:$DN$401,0),COLUMN()),IF($A$1=1,INDEX($DQ$3:$DW$401,MATCH(ROWS(A$3:A299),$DW$3:$DW$401,0),COLUMN()),"")),"")</f>
        <v>40.31</v>
      </c>
      <c r="B299" s="48" t="str">
        <f ca="1">IFERROR(IF($A$1=2,INDEX($DH$3:$DN$401,MATCH(ROWS(B$3:B299),$DN$3:$DN$401,0),COLUMN()),IF($A$1=1,INDEX($DQ$3:$DW$400,MATCH(ROWS(B$3:B299),$DW$3:$DW$401,0),COLUMN()),"")),"")</f>
        <v>INTERESSI ATTIVI DA CLIENTI</v>
      </c>
      <c r="C299" s="48" t="str">
        <f ca="1">IFERROR(IF($A$1=2,INDEX($DH$3:$DN$401,MATCH(ROWS(C$3:C299),$DN$3:$DN$401,0),COLUMN()),IF($A$1=1,INDEX($DQ$3:$DW$401,MATCH(ROWS(C$3:C299),$DW$3:$DW$401,0),COLUMN()),"")),"")</f>
        <v>E</v>
      </c>
      <c r="D299" s="48" t="str">
        <f ca="1">IFERROR(IF($A$1=2,INDEX($DH$3:$DN$401,MATCH(ROWS(D$3:D299),$DN$3:$DN$401,0),COLUMN()),IF($A$1=1,INDEX($DQ$3:$DW$401,MATCH(ROWS(D$3:D299),$DW$3:$DW$401,0),COLUMN()),"")),"")</f>
        <v>A</v>
      </c>
      <c r="E299" s="48" t="str">
        <f ca="1">IFERROR(IF($A$1=2,INDEX($DH$3:$DN$401,MATCH(ROWS(E$3:E299),$DN$3:$DN$401,0),COLUMN()),IF($A$1=1,INDEX($DQ$3:$DW$401,MATCH(ROWS(E$3:E299),$DW$3:$DW$401,0),COLUMN()),"")),"")</f>
        <v>RICAVI D'ESERCIZIO</v>
      </c>
      <c r="F299" s="48" t="str">
        <f ca="1">IFERROR(IF($A$1=2,INDEX($DH$3:$DN$401,MATCH(ROWS(F$3:F299),$DN$3:$DN$401,0),COLUMN()),IF($A$1=1,INDEX($DQ$3:$DX$401,MATCH(ROWS(F$3:F299),$DW$3:$DW$401,0),COLUMN()),"")),"")</f>
        <v>SE AVERE</v>
      </c>
      <c r="G299" s="48" t="str">
        <f t="shared" ca="1" si="561"/>
        <v>SE</v>
      </c>
      <c r="H299" s="48" t="str">
        <f ca="1">IFERROR(IF($A$1=2,INDEX($DH$3:$DO$400,MATCH(ROWS(H$3:H299),$DN$3:$DN$400,0),COLUMN()),IF($A$1=1,INDEX($DQ$3:$DX$400,MATCH(ROWS(H$3:H299),$DW$3:$DW$400,0),COLUMN()),"")),"")</f>
        <v>ec16d</v>
      </c>
      <c r="M299" s="48">
        <f ca="1">IFERROR(IF(IF(MID($A299,3,3)=".00",MID(A299,1,2),"")&lt;&gt;"",MAX($M$2:M298)+1,0),"")</f>
        <v>0</v>
      </c>
      <c r="N299" s="48" t="str">
        <f t="shared" ca="1" si="562"/>
        <v/>
      </c>
      <c r="O299" s="48" t="str">
        <f ca="1">IF(IFERROR(INDEX($N$3:$O$300,MATCH(ROWS($O$3:O299),$M$3:$M$300,0),1),"")&lt;&gt;"",CONCATENATE(INDEX($N$3:$O$300,MATCH(ROWS($O$3:O299),$M$3:$M$300,0),1),".00"),"")</f>
        <v/>
      </c>
      <c r="P299" s="48" t="str">
        <f t="shared" ca="1" si="563"/>
        <v/>
      </c>
      <c r="Q299" s="48">
        <f ca="1">IF(M299&gt;=1,0,MAX($Q$2:Q298)+1)</f>
        <v>265</v>
      </c>
      <c r="U299" s="48" t="str">
        <f ca="1">IFERROR(INDEX(PDC,MATCH(ROWS(U$3:U299),$V$3:$V$400,0),2),"")</f>
        <v/>
      </c>
      <c r="V299" s="48">
        <f ca="1">IF(AND($T$1="VISUALIZZA TUTTI I CONTI",AA299&lt;&gt;""),MAX($V$2:V298)+1,IF(AND($U$2=2,AI299=$T$1),MAX($V$2:V298)+1,IF(AND($U$2=1,$T$1=AF299),MAX($V$2:V298)+1,0)))</f>
        <v>0</v>
      </c>
      <c r="AA299" s="48" t="str">
        <f t="shared" ca="1" si="564"/>
        <v/>
      </c>
      <c r="AB299" s="48" t="str">
        <f ca="1">IFERROR(INDEX($A$3:$G$400,MATCH(ROWS(AB$3:AB299),$Q$3:$Q$400,0),1),"")</f>
        <v/>
      </c>
      <c r="AC299" s="48" t="str">
        <f ca="1">IFERROR(INDEX($A$3:$G$400,MATCH(ROWS($AC$3:AC299),$Q$3:$Q$400,0),2),"")</f>
        <v/>
      </c>
      <c r="AD299" s="48" t="str">
        <f ca="1">IFERROR(INDEX($A$3:$G$400,MATCH(ROWS(AD$3:AD299),$Q$3:$Q$400,0),3),"")</f>
        <v/>
      </c>
      <c r="AE299" s="48" t="str">
        <f ca="1">IFERROR(INDEX($A$3:$G$400,MATCH(ROWS(AE$3:AE299),$Q$3:$Q$400,0),4),"")</f>
        <v/>
      </c>
      <c r="AF299" s="48" t="str">
        <f ca="1">IFERROR(INDEX($A$3:$G$400,MATCH(ROWS(AF$3:AF299),$Q$3:$Q$400,0),5),"")</f>
        <v/>
      </c>
      <c r="AG299" s="48" t="str">
        <f ca="1">IFERROR(INDEX($A$3:$G$400,MATCH(ROWS(AG$3:AG299),$Q$3:$Q$400,0),6),"")</f>
        <v/>
      </c>
      <c r="AH299" s="48" t="str">
        <f ca="1">IFERROR(INDEX($A$3:$G$400,MATCH(ROWS(AH$3:AH299),$Q$3:$Q$400,0),7),"")</f>
        <v/>
      </c>
      <c r="AI299" s="48" t="str">
        <f t="shared" ca="1" si="565"/>
        <v/>
      </c>
      <c r="AJ299" s="48" t="str">
        <f ca="1">IFERROR(INDEX($A$3:$H$400,MATCH(ROWS(AJ$3:AJ299),$Q$3:$Q$400,0),8),"")</f>
        <v/>
      </c>
      <c r="AK299" s="48">
        <f t="shared" ca="1" si="548"/>
        <v>0</v>
      </c>
      <c r="AL299" s="48">
        <f t="shared" ca="1" si="606"/>
        <v>0</v>
      </c>
      <c r="AM299" s="48">
        <f t="shared" ca="1" si="607"/>
        <v>0</v>
      </c>
      <c r="AN299" s="48">
        <f t="shared" ca="1" si="608"/>
        <v>0</v>
      </c>
      <c r="AO299" s="48">
        <f t="shared" ca="1" si="609"/>
        <v>0</v>
      </c>
      <c r="AP299" s="48">
        <f t="shared" ca="1" si="609"/>
        <v>0</v>
      </c>
      <c r="AZ299" s="48" t="str">
        <f t="shared" ca="1" si="584"/>
        <v/>
      </c>
      <c r="BA299" s="48">
        <f t="shared" ca="1" si="611"/>
        <v>0</v>
      </c>
      <c r="BB299" s="48">
        <f t="shared" ca="1" si="612"/>
        <v>0</v>
      </c>
      <c r="BC299" s="48">
        <f t="shared" ca="1" si="613"/>
        <v>0</v>
      </c>
      <c r="BD299" s="48">
        <f t="shared" ca="1" si="614"/>
        <v>0</v>
      </c>
      <c r="BE299" s="48">
        <f t="shared" ca="1" si="615"/>
        <v>0</v>
      </c>
      <c r="BF299" s="48">
        <f t="shared" si="585"/>
        <v>99</v>
      </c>
      <c r="BG299" s="48">
        <f ca="1">IF(IF(AND(OR(INDEX(PDC,MATCH($AC299,DEN_PDC,0),6)="SP DARE",INDEX(PDC,MATCH($AC299,DEN_PDC,0),6)="SP DARE/AVERE"),SUMIFS(DARE,DEN_G,$AC299)&gt;=SUMIFS(AVERE,DEN_G,$AC299)),SUMIFS(DARE,DEN_G,$AC299)-SUMIFS(AVERE,DEN_G,$AC299),0)&gt;0,MAX($BG$2:BG298)+1,0)</f>
        <v>0</v>
      </c>
      <c r="BH299" s="48">
        <f ca="1">IF(IF(AND(OR(INDEX(PDC,MATCH($AC299,DEN_PDC,0),6)="SP AVERE",INDEX(PDC,MATCH($AC299,DEN_PDC,0),6)="SP DARE/AVERE"),SUMIFS(AVERE,DEN_G,$AC299)&gt;=SUMIFS(DARE,DEN_G,$AC299)),SUMIFS(AVERE,DEN_G,$AC299)-SUMIFS(DARE,DEN_G,$AC299),0)&gt;0,MAX(BH$2:BH298)+1,0)</f>
        <v>0</v>
      </c>
      <c r="BI299" s="48">
        <f ca="1">IF(IF(AND(OR(INDEX(PDC,MATCH($AC299,DEN_PDC,0),6)="SE DARE",INDEX(PDC,MATCH($AC299,DEN_PDC,0),6)="SE DARE/AVERE"),SUMIFS(DARE,DEN_G,$AC299)&gt;=SUMIFS(AVERE,DEN_G,$AC299)),SUMIFS(DARE,DEN_G,$AC299)-SUMIFS(AVERE,DEN_G,$AC299),0)&gt;0,MAX(BI$2:BI298)+1,0)</f>
        <v>0</v>
      </c>
      <c r="BJ299" s="48">
        <f ca="1">IF(IF(AND(OR(INDEX(PDC,MATCH($AC299,DEN_PDC,0),6)="SE AVERE",INDEX(PDC,MATCH($AC299,DEN_PDC,0),6)="SE DARE/AVERE"),SUMIFS(AVERE,DEN_G,$AC299)&gt;=SUMIFS(DARE,DEN_G,$AC299)),SUMIFS(AVERE,DEN_G,$AC299)-SUMIFS(DARE,DEN_G,$AC299),0)&gt;0,MAX(BJ$2:BJ298)+1,0)</f>
        <v>0</v>
      </c>
      <c r="BK299" s="48" t="str">
        <f ca="1">IF(AND(AND($DY$2=0,$DY$1=0),$I$1=2,ROW()&gt;$BG$1+2,ROW()&lt;=$BG$1+4),"………………..",IF(AND(OR($DY$2&gt;0,$DY$1&gt;0),$I$1=2,ROW()&gt;$BG$1+2,ROW()&lt;=$BG$1+4),"………………..",IFERROR(INDEX($AC$3:$AC$398,MATCH(ROWS(BK$3:BK299),BG$3:BG$398,0),1),"")))</f>
        <v/>
      </c>
      <c r="BL299" s="48">
        <f t="shared" ca="1" si="549"/>
        <v>0</v>
      </c>
      <c r="BM299" s="48" t="str">
        <f ca="1">IF(AND(OR($DY$2=0,$DY$1=0),$I$1=2,ROW()&gt;$BH$1+2,ROW()&lt;=$BH$1+4),"………………..",IF(AND(OR($DY$2&gt;0,$DY$1&gt;0),$I$1=2,ROW()&gt;$BH$1+2,ROW()&lt;=$BH$1+4),"………………..",IFERROR(INDEX($AC$3:$AC$400,MATCH(ROWS(BM$3:BM299),BH$3:BH$400,0),1),"")))</f>
        <v/>
      </c>
      <c r="BN299" s="48">
        <f t="shared" ca="1" si="550"/>
        <v>0</v>
      </c>
      <c r="BO299" s="48" t="str">
        <f ca="1">IF(AND(OR($DY$2=0,$DY$1=0),$I$1=2,ROW()&gt;$BI$1+2,ROW()&lt;=$BI$1+4),"………………..",IF(AND(OR($DY$2&gt;0,$DY$1&gt;0),$I$1=2,ROW()&gt;$BI$1+2,ROW()&lt;=$BI$1+4),"………………..",IFERROR(INDEX($AC$3:$AC$400,MATCH(ROWS(BO$3:BO299),BI$3:BI$400,0),1),"")))</f>
        <v/>
      </c>
      <c r="BP299" s="48">
        <f t="shared" ca="1" si="551"/>
        <v>0</v>
      </c>
      <c r="BQ299" s="48" t="str">
        <f ca="1">IF(AND(OR($DY$2=0,$DY$1=0),$I$1=2,ROW()&gt;$BJ$1+2,ROW()&lt;=$BJ$1+4),"………………..",IF(AND(OR($DY$2&gt;0,$DY$1&gt;0),$I$1=2,ROW()&gt;$BJ$1+2,ROW()&lt;=$BJ$1+4),"………………..",IFERROR(INDEX($AC$3:$AC$400,MATCH(ROWS(BQ$3:BQ299),BJ$3:BJ$400,0),1),"")))</f>
        <v/>
      </c>
      <c r="BR299" s="48">
        <f t="shared" ca="1" si="552"/>
        <v>0</v>
      </c>
      <c r="BS299" s="48">
        <f ca="1">IF(IF(AND(OR(INDEX(PDC,MATCH($AC299,DEN_PDC,0),4)="D",INDEX(PDC,MATCH($AC299,DEN_PDC,0),4)="D/A"),SUMIFS(DARE,DEN_G,$AC299)&gt;=SUMIFS(AVERE,DEN_G,$AC299)),SUMIFS(DARE,DEN_G,$AC299),IF(AND(OR(INDEX(PDC,MATCH($AC299,DEN_PDC,0),4)="A",INDEX(PDC,MATCH($AC299,DEN_PDC,0),4)="D/A"),SUMIFS(AVERE,DEN_G,$AC299)&gt;=SUMIFS(DARE,DEN_G,$AC299)),SUMIFS(AVERE,DEN_G,$AC299),))&gt;0,MAX($BS$2:BS298)+1,0)</f>
        <v>0</v>
      </c>
      <c r="BT299" s="48" t="str">
        <f ca="1">IF($CO$1=0,"",IF(AND($I$1=2,ROW()&gt;$BR$1,ROW()&lt;=$BS$1)," …………….",IF(AND($E$1=1,$BX$1=1,$I$1=2,ROW()=$BQ$1),"TOTALI",IFERROR(INDEX(PDC,MATCH(ROWS(BT$3:BT299),BS$3:BS696,0),2),""))))</f>
        <v/>
      </c>
      <c r="BU299" s="48">
        <f t="shared" ca="1" si="553"/>
        <v>0</v>
      </c>
      <c r="BV299" s="48">
        <f t="shared" ca="1" si="554"/>
        <v>0</v>
      </c>
      <c r="BW299" s="48">
        <f t="shared" ca="1" si="555"/>
        <v>0</v>
      </c>
      <c r="BX299" s="48">
        <f t="shared" ca="1" si="556"/>
        <v>0</v>
      </c>
      <c r="BY299" s="48">
        <f ca="1">IF(OR(BW299&gt;0,BX299&gt;0),MAX($BY$2:BY298)+1,0)</f>
        <v>0</v>
      </c>
      <c r="BZ299" s="48" t="str">
        <f ca="1">IFERROR(INDEX($BT$3:$BY$400,MATCH(ROWS(BZ$3:BZ299),$BY$3:$BY$400,0),1),"")</f>
        <v/>
      </c>
      <c r="CA299" s="48" t="str">
        <f ca="1">IFERROR(INDEX($BT$3:$BY$400,MATCH(ROWS(CA$3:CA299),$BY$3:$BY$400,0),4),"")</f>
        <v/>
      </c>
      <c r="CB299" s="48" t="str">
        <f ca="1">IFERROR(INDEX($BT$3:$BY$400,MATCH(ROWS(CB$3:CB299),$BY$3:$BY$400,0),5),"")</f>
        <v/>
      </c>
      <c r="CC299" s="48" t="str">
        <f t="shared" ca="1" si="557"/>
        <v/>
      </c>
      <c r="CM299" s="242" t="str">
        <f t="shared" ca="1" si="566"/>
        <v/>
      </c>
      <c r="CN299" s="243">
        <f t="shared" ca="1" si="567"/>
        <v>0</v>
      </c>
      <c r="CO299" s="48" t="str">
        <f t="shared" ca="1" si="568"/>
        <v/>
      </c>
      <c r="CU299" s="48">
        <f ca="1">IF(SUMIFS(AVERE,DEN_G,AC299,AVERE,"&gt;"&amp;0)+SUMIFS(DARE,DEN_G,AC299,DARE,"&gt;"&amp;0)&gt;0,MAX($CU$2:CU298)+1,0)</f>
        <v>0</v>
      </c>
      <c r="CV299" s="48" t="str">
        <f ca="1">IF(IFERROR(INDEX(PDC,MATCH(ROWS($CV$3:CV299),$CU$3:$CU$400,0),2),"")="CONTO DI RISULTATO ECONOMICO","",IFERROR(INDEX(PDC,MATCH(ROWS($CV$3:CV299),$CU$3:$CU$400,0),2),""))</f>
        <v/>
      </c>
      <c r="CW299" s="48">
        <f ca="1">IFERROR(IF(CV299&lt;&gt;"",MAX($CW$2:CW298)+1,0),0)</f>
        <v>0</v>
      </c>
      <c r="CX299" s="48">
        <f t="shared" ca="1" si="599"/>
        <v>23</v>
      </c>
      <c r="CY299" s="48" t="str">
        <f t="shared" ca="1" si="598"/>
        <v>MASTRO</v>
      </c>
      <c r="CZ299" s="48" t="e">
        <f t="shared" ca="1" si="601"/>
        <v>#N/A</v>
      </c>
      <c r="DA299" s="48" t="str">
        <f t="shared" ca="1" si="605"/>
        <v/>
      </c>
      <c r="DB299" s="48" t="str">
        <f t="shared" ca="1" si="592"/>
        <v/>
      </c>
      <c r="DC299" s="48" t="str">
        <f t="shared" ca="1" si="602"/>
        <v/>
      </c>
      <c r="DD299" s="48" t="str">
        <f t="shared" ca="1" si="603"/>
        <v/>
      </c>
      <c r="DE299" s="48" t="str">
        <f t="shared" ca="1" si="604"/>
        <v/>
      </c>
      <c r="DF299" s="48">
        <f ca="1">IF(AND(CX299=$DF$1,CX299&lt;&gt;""),0,IF(AND(DB299&lt;&gt;"",OR(DB298&lt;&gt;"",DB300&lt;&gt;"")),MAX($DF$2:DF298)+1,0))</f>
        <v>0</v>
      </c>
      <c r="DH299" s="244" t="s">
        <v>215</v>
      </c>
      <c r="DI299" s="48" t="s">
        <v>202</v>
      </c>
      <c r="DJ299" s="48" t="s">
        <v>311</v>
      </c>
      <c r="DK299" s="48" t="s">
        <v>275</v>
      </c>
      <c r="DL299" s="48" t="s">
        <v>7</v>
      </c>
      <c r="DM299" s="48" t="s">
        <v>301</v>
      </c>
      <c r="DN299" s="48">
        <f ca="1">IF(DI299&lt;&gt;"",MAX($DN$2:DN298)+1,0)</f>
        <v>234</v>
      </c>
      <c r="DO299" s="48" t="s">
        <v>710</v>
      </c>
      <c r="DW299" s="48">
        <f>IF(DR299&lt;&gt;"",MAX($DW$2:DW298)+1,0)</f>
        <v>0</v>
      </c>
      <c r="DY299" s="48" t="str">
        <f t="shared" ca="1" si="558"/>
        <v/>
      </c>
      <c r="EL299" s="48">
        <f t="shared" ca="1" si="559"/>
        <v>0</v>
      </c>
      <c r="EM299" s="48">
        <f ca="1">IF(EL299&gt;=0,0,MAX($EM$2:EM298)+1)</f>
        <v>0</v>
      </c>
      <c r="EN299" s="48" t="str">
        <f t="shared" ca="1" si="569"/>
        <v/>
      </c>
      <c r="EO299" s="48" t="str">
        <f ca="1">IFERROR(INDEX($EM$3:$EN$400,MATCH(ROWS($EO$3:EO299),$EM$3:$EM$400,0),2),"")</f>
        <v/>
      </c>
      <c r="EP299" s="48">
        <f>ROW()</f>
        <v>299</v>
      </c>
      <c r="EQ299" s="48">
        <f t="shared" ca="1" si="560"/>
        <v>0</v>
      </c>
      <c r="ER299" s="48">
        <f ca="1">IF(ISNA(EQ299)=TRUE,MAX($ER$2:ER298)+1,0)</f>
        <v>0</v>
      </c>
      <c r="ES299" s="48" t="str">
        <f t="shared" ca="1" si="570"/>
        <v/>
      </c>
      <c r="ET299" s="48" t="str">
        <f ca="1">IFERROR(INDEX($ER$3:$ES$400,MATCH(ROWS($ET$3:ET299),$ER$3:$ER$400,0),2),"")</f>
        <v/>
      </c>
      <c r="EV299" s="48">
        <f ca="1">IFERROR(INDEX(LIBRO_GIORNALE!$O$11:$P$408,MATCH(ROWS($EV$2:EV298),LIBRO_GIORNALE!$P$11:$P$408,0),1),0)</f>
        <v>0</v>
      </c>
      <c r="EW299" s="48" t="str">
        <f t="shared" ca="1" si="544"/>
        <v>0</v>
      </c>
      <c r="EX299" s="48">
        <f t="shared" ca="1" si="571"/>
        <v>0</v>
      </c>
      <c r="EY299" s="48">
        <f ca="1">IF(EX299&gt;0,MAX($EY$2:EY298)+1,0)</f>
        <v>0</v>
      </c>
      <c r="EZ299" s="48">
        <f ca="1">IFERROR(INDEX($EX$3:$EX$400,MATCH(ROWS($EZ$3:EZ299),$EY$3:$EY$400,0),1),0)</f>
        <v>0</v>
      </c>
      <c r="FA299" s="48">
        <f ca="1">IF(EZ299&gt;0,0,MAX($FA$2:FA298)+1)</f>
        <v>297</v>
      </c>
      <c r="FB299" s="48">
        <f t="shared" ca="1" si="545"/>
        <v>0</v>
      </c>
      <c r="FC299" s="48">
        <f t="shared" ca="1" si="546"/>
        <v>297</v>
      </c>
      <c r="FD299" s="48">
        <f t="shared" ca="1" si="572"/>
        <v>297</v>
      </c>
      <c r="FE299" s="48">
        <f ca="1">IF(FD299=0,0,MAX($FE$2:FE298)+1)</f>
        <v>297</v>
      </c>
      <c r="FF299" s="48">
        <f ca="1">IFERROR(INDEX($FD$3:$FE$400,MATCH(ROWS($FF$3:FF299),$FE$3:$FE$400,0),1),"")</f>
        <v>297</v>
      </c>
      <c r="FG299" s="48">
        <f t="shared" ca="1" si="610"/>
        <v>0</v>
      </c>
      <c r="FH299" s="48">
        <f t="shared" ca="1" si="573"/>
        <v>0</v>
      </c>
      <c r="FI299" s="48">
        <f ca="1">IF(FH299&lt;&gt;0,MAX($FI$2:FI298)+1,0)</f>
        <v>0</v>
      </c>
      <c r="FJ299" s="48" t="str">
        <f ca="1">IFERROR(INDEX($FH$3:$FI$400,MATCH(ROWS($FJ$3:FJ299),$FI$3:$FI$400,0),1),"")</f>
        <v/>
      </c>
      <c r="FK299" s="48">
        <f ca="1">IF(ABS(SUMIFS(DARE,DEN_G,"="&amp;FJ299,DATA,"&lt;="&amp;FINE_AC,DATA,"&gt;="&amp;INIZIO_A_PC)-SUMIFS(AVERE,DEN_G,"="&amp;FJ299,DATA,"&lt;="&amp;FINE_AC,DATA,"&gt;="&amp;INIZIO_A_PC))&gt;0,MAX($FK$2:FK298)+1,0)</f>
        <v>0</v>
      </c>
      <c r="FL299" s="48" t="str">
        <f ca="1">IF(AND(ROW()-2&lt;&gt;1,ROW()-2&lt;=$FK$1),CONCATENATE(" - ",IFERROR(INDEX($FJ$3:$FK$400,MATCH(ROWS($FL$3:FL299),$FK$3:$FK$400,0),1),"")),IFERROR(INDEX($FJ$3:$FK$400,MATCH(ROWS($FL$3:FL299),$FK$3:$FK$400,0),1),""))</f>
        <v/>
      </c>
      <c r="FM299" s="48">
        <f ca="1">IF(OR(B299="IVA ns/credito",B299="IVA NS/DEBITO",B299="IVA C/ACCONTO",B299="IMPOSTE C/ACCONTO",B299="CREDITI PER RITENUTE SUBITE",B299="CREDITI D'IMPOSTA"),MAX($FM$2:FM298)+1,0)</f>
        <v>0</v>
      </c>
      <c r="FN299" s="48" t="str">
        <f t="shared" ca="1" si="574"/>
        <v/>
      </c>
      <c r="FO299" s="48" t="str">
        <f ca="1">IFERROR(INDEX($FM$3:$FN$400,MATCH(ROWS($FO$3:FO299),$FM$3:$FM$400,0),2),"")</f>
        <v/>
      </c>
      <c r="FP299" s="48">
        <f ca="1">IF(ABS(SUMIFS(DARE,DEN_G,"="&amp;FO299,DATA,"&lt;="&amp;FINE_AC,DATA,"&gt;="&amp;INIZIO_A_PC)-SUMIFS(AVERE,DEN_G,"="&amp;FO299,DATA,"&lt;="&amp;FINE_AC,DATA,"&gt;="&amp;INIZIO_A_PC))&gt;0,MAX($FP$2:FP298)+1,0)</f>
        <v>0</v>
      </c>
      <c r="FQ299" s="48" t="str">
        <f ca="1">IF(AND(ROW()-2&lt;&gt;1,ROW()-2&lt;=$FP$1),CONCATENATE(" - ",IFERROR(INDEX($FO$3:$FP$400,MATCH(ROWS($FQ$3:FQ299),$FP$3:$FP$400,0),1),"")),IFERROR(INDEX($FO$3:$FP$400,MATCH(ROWS($FQ$3:FQ299),$FP$3:$FP$400,0),1),""))</f>
        <v/>
      </c>
    </row>
    <row r="300" spans="1:173" x14ac:dyDescent="0.3">
      <c r="A300" s="48" t="str">
        <f ca="1">IFERROR(IF($A$1=2,INDEX($DH$3:$DN$401,MATCH(ROWS(A$3:A300),$DN$3:$DN$401,0),COLUMN()),IF($A$1=1,INDEX($DQ$3:$DW$401,MATCH(ROWS(A$3:A300),$DW$3:$DW$401,0),COLUMN()),"")),"")</f>
        <v>40.32</v>
      </c>
      <c r="B300" s="48" t="str">
        <f ca="1">IFERROR(IF($A$1=2,INDEX($DH$3:$DN$401,MATCH(ROWS(B$3:B300),$DN$3:$DN$401,0),COLUMN()),IF($A$1=1,INDEX($DQ$3:$DW$400,MATCH(ROWS(B$3:B300),$DW$3:$DW$401,0),COLUMN()),"")),"")</f>
        <v>INTERESSI ATTIVI BANCARI</v>
      </c>
      <c r="C300" s="48" t="str">
        <f ca="1">IFERROR(IF($A$1=2,INDEX($DH$3:$DN$401,MATCH(ROWS(C$3:C300),$DN$3:$DN$401,0),COLUMN()),IF($A$1=1,INDEX($DQ$3:$DW$401,MATCH(ROWS(C$3:C300),$DW$3:$DW$401,0),COLUMN()),"")),"")</f>
        <v>E</v>
      </c>
      <c r="D300" s="48" t="str">
        <f ca="1">IFERROR(IF($A$1=2,INDEX($DH$3:$DN$401,MATCH(ROWS(D$3:D300),$DN$3:$DN$401,0),COLUMN()),IF($A$1=1,INDEX($DQ$3:$DW$401,MATCH(ROWS(D$3:D300),$DW$3:$DW$401,0),COLUMN()),"")),"")</f>
        <v>A</v>
      </c>
      <c r="E300" s="48" t="str">
        <f ca="1">IFERROR(IF($A$1=2,INDEX($DH$3:$DN$401,MATCH(ROWS(E$3:E300),$DN$3:$DN$401,0),COLUMN()),IF($A$1=1,INDEX($DQ$3:$DW$401,MATCH(ROWS(E$3:E300),$DW$3:$DW$401,0),COLUMN()),"")),"")</f>
        <v>RICAVI D'ESERCIZIO</v>
      </c>
      <c r="F300" s="48" t="str">
        <f ca="1">IFERROR(IF($A$1=2,INDEX($DH$3:$DN$401,MATCH(ROWS(F$3:F300),$DN$3:$DN$401,0),COLUMN()),IF($A$1=1,INDEX($DQ$3:$DX$401,MATCH(ROWS(F$3:F300),$DW$3:$DW$401,0),COLUMN()),"")),"")</f>
        <v>SE AVERE</v>
      </c>
      <c r="G300" s="48" t="str">
        <f t="shared" ca="1" si="561"/>
        <v>SE</v>
      </c>
      <c r="H300" s="48" t="str">
        <f ca="1">IFERROR(IF($A$1=2,INDEX($DH$3:$DO$400,MATCH(ROWS(H$3:H300),$DN$3:$DN$400,0),COLUMN()),IF($A$1=1,INDEX($DQ$3:$DX$400,MATCH(ROWS(H$3:H300),$DW$3:$DW$400,0),COLUMN()),"")),"")</f>
        <v>ec16d</v>
      </c>
      <c r="M300" s="48">
        <f ca="1">IFERROR(IF(IF(MID($A300,3,3)=".00",MID(A300,1,2),"")&lt;&gt;"",MAX($M$2:M299)+1,0),"")</f>
        <v>0</v>
      </c>
      <c r="N300" s="48" t="str">
        <f t="shared" ca="1" si="562"/>
        <v/>
      </c>
      <c r="O300" s="48" t="str">
        <f ca="1">IF(IFERROR(INDEX($N$3:$O$300,MATCH(ROWS($O$3:O300),$M$3:$M$300,0),1),"")&lt;&gt;"",CONCATENATE(INDEX($N$3:$O$300,MATCH(ROWS($O$3:O300),$M$3:$M$300,0),1),".00"),"")</f>
        <v/>
      </c>
      <c r="P300" s="48" t="str">
        <f t="shared" ca="1" si="563"/>
        <v/>
      </c>
      <c r="Q300" s="48">
        <f ca="1">IF(M300&gt;=1,0,MAX($Q$2:Q299)+1)</f>
        <v>266</v>
      </c>
      <c r="U300" s="48" t="str">
        <f ca="1">IFERROR(INDEX(PDC,MATCH(ROWS(U$3:U300),$V$3:$V$400,0),2),"")</f>
        <v/>
      </c>
      <c r="V300" s="48">
        <f ca="1">IF(AND($T$1="VISUALIZZA TUTTI I CONTI",AA300&lt;&gt;""),MAX($V$2:V299)+1,IF(AND($U$2=2,AI300=$T$1),MAX($V$2:V299)+1,IF(AND($U$2=1,$T$1=AF300),MAX($V$2:V299)+1,0)))</f>
        <v>0</v>
      </c>
      <c r="AA300" s="48" t="str">
        <f t="shared" ca="1" si="564"/>
        <v/>
      </c>
      <c r="AB300" s="48" t="str">
        <f ca="1">IFERROR(INDEX($A$3:$G$400,MATCH(ROWS(AB$3:AB300),$Q$3:$Q$400,0),1),"")</f>
        <v/>
      </c>
      <c r="AC300" s="48" t="str">
        <f ca="1">IFERROR(INDEX($A$3:$G$400,MATCH(ROWS($AC$3:AC300),$Q$3:$Q$400,0),2),"")</f>
        <v/>
      </c>
      <c r="AD300" s="48" t="str">
        <f ca="1">IFERROR(INDEX($A$3:$G$400,MATCH(ROWS(AD$3:AD300),$Q$3:$Q$400,0),3),"")</f>
        <v/>
      </c>
      <c r="AE300" s="48" t="str">
        <f ca="1">IFERROR(INDEX($A$3:$G$400,MATCH(ROWS(AE$3:AE300),$Q$3:$Q$400,0),4),"")</f>
        <v/>
      </c>
      <c r="AF300" s="48" t="str">
        <f ca="1">IFERROR(INDEX($A$3:$G$400,MATCH(ROWS(AF$3:AF300),$Q$3:$Q$400,0),5),"")</f>
        <v/>
      </c>
      <c r="AG300" s="48" t="str">
        <f ca="1">IFERROR(INDEX($A$3:$G$400,MATCH(ROWS(AG$3:AG300),$Q$3:$Q$400,0),6),"")</f>
        <v/>
      </c>
      <c r="AH300" s="48" t="str">
        <f ca="1">IFERROR(INDEX($A$3:$G$400,MATCH(ROWS(AH$3:AH300),$Q$3:$Q$400,0),7),"")</f>
        <v/>
      </c>
      <c r="AI300" s="48" t="str">
        <f t="shared" ca="1" si="565"/>
        <v/>
      </c>
      <c r="AJ300" s="48" t="str">
        <f ca="1">IFERROR(INDEX($A$3:$H$400,MATCH(ROWS(AJ$3:AJ300),$Q$3:$Q$400,0),8),"")</f>
        <v/>
      </c>
      <c r="AK300" s="48">
        <f t="shared" ca="1" si="548"/>
        <v>0</v>
      </c>
      <c r="AL300" s="48">
        <f t="shared" ca="1" si="606"/>
        <v>0</v>
      </c>
      <c r="AM300" s="48">
        <f t="shared" ca="1" si="607"/>
        <v>0</v>
      </c>
      <c r="AN300" s="48">
        <f t="shared" ca="1" si="608"/>
        <v>0</v>
      </c>
      <c r="AO300" s="48">
        <f t="shared" ca="1" si="609"/>
        <v>0</v>
      </c>
      <c r="AP300" s="48">
        <f t="shared" ca="1" si="609"/>
        <v>0</v>
      </c>
      <c r="AZ300" s="48" t="str">
        <f t="shared" ca="1" si="584"/>
        <v/>
      </c>
      <c r="BA300" s="48">
        <f t="shared" ca="1" si="611"/>
        <v>0</v>
      </c>
      <c r="BB300" s="48">
        <f t="shared" ca="1" si="612"/>
        <v>0</v>
      </c>
      <c r="BC300" s="48">
        <f t="shared" ca="1" si="613"/>
        <v>0</v>
      </c>
      <c r="BD300" s="48">
        <f t="shared" ca="1" si="614"/>
        <v>0</v>
      </c>
      <c r="BE300" s="48">
        <f t="shared" ca="1" si="615"/>
        <v>0</v>
      </c>
      <c r="BF300" s="48">
        <f t="shared" si="585"/>
        <v>100</v>
      </c>
      <c r="BG300" s="48">
        <f ca="1">IF(IF(AND(OR(INDEX(PDC,MATCH($AC300,DEN_PDC,0),6)="SP DARE",INDEX(PDC,MATCH($AC300,DEN_PDC,0),6)="SP DARE/AVERE"),SUMIFS(DARE,DEN_G,$AC300)&gt;=SUMIFS(AVERE,DEN_G,$AC300)),SUMIFS(DARE,DEN_G,$AC300)-SUMIFS(AVERE,DEN_G,$AC300),0)&gt;0,MAX($BG$2:BG299)+1,0)</f>
        <v>0</v>
      </c>
      <c r="BH300" s="48">
        <f ca="1">IF(IF(AND(OR(INDEX(PDC,MATCH($AC300,DEN_PDC,0),6)="SP AVERE",INDEX(PDC,MATCH($AC300,DEN_PDC,0),6)="SP DARE/AVERE"),SUMIFS(AVERE,DEN_G,$AC300)&gt;=SUMIFS(DARE,DEN_G,$AC300)),SUMIFS(AVERE,DEN_G,$AC300)-SUMIFS(DARE,DEN_G,$AC300),0)&gt;0,MAX(BH$2:BH299)+1,0)</f>
        <v>0</v>
      </c>
      <c r="BI300" s="48">
        <f ca="1">IF(IF(AND(OR(INDEX(PDC,MATCH($AC300,DEN_PDC,0),6)="SE DARE",INDEX(PDC,MATCH($AC300,DEN_PDC,0),6)="SE DARE/AVERE"),SUMIFS(DARE,DEN_G,$AC300)&gt;=SUMIFS(AVERE,DEN_G,$AC300)),SUMIFS(DARE,DEN_G,$AC300)-SUMIFS(AVERE,DEN_G,$AC300),0)&gt;0,MAX(BI$2:BI299)+1,0)</f>
        <v>0</v>
      </c>
      <c r="BJ300" s="48">
        <f ca="1">IF(IF(AND(OR(INDEX(PDC,MATCH($AC300,DEN_PDC,0),6)="SE AVERE",INDEX(PDC,MATCH($AC300,DEN_PDC,0),6)="SE DARE/AVERE"),SUMIFS(AVERE,DEN_G,$AC300)&gt;=SUMIFS(DARE,DEN_G,$AC300)),SUMIFS(AVERE,DEN_G,$AC300)-SUMIFS(DARE,DEN_G,$AC300),0)&gt;0,MAX(BJ$2:BJ299)+1,0)</f>
        <v>0</v>
      </c>
      <c r="BK300" s="48" t="str">
        <f ca="1">IF(AND(AND($DY$2=0,$DY$1=0),$I$1=2,ROW()&gt;$BG$1+2,ROW()&lt;=$BG$1+4),"………………..",IF(AND(OR($DY$2&gt;0,$DY$1&gt;0),$I$1=2,ROW()&gt;$BG$1+2,ROW()&lt;=$BG$1+4),"………………..",IFERROR(INDEX($AC$3:$AC$398,MATCH(ROWS(BK$3:BK300),BG$3:BG$398,0),1),"")))</f>
        <v/>
      </c>
      <c r="BL300" s="48">
        <f t="shared" ca="1" si="549"/>
        <v>0</v>
      </c>
      <c r="BM300" s="48" t="str">
        <f ca="1">IF(AND(OR($DY$2=0,$DY$1=0),$I$1=2,ROW()&gt;$BH$1+2,ROW()&lt;=$BH$1+4),"………………..",IF(AND(OR($DY$2&gt;0,$DY$1&gt;0),$I$1=2,ROW()&gt;$BH$1+2,ROW()&lt;=$BH$1+4),"………………..",IFERROR(INDEX($AC$3:$AC$400,MATCH(ROWS(BM$3:BM300),BH$3:BH$400,0),1),"")))</f>
        <v/>
      </c>
      <c r="BN300" s="48">
        <f t="shared" ca="1" si="550"/>
        <v>0</v>
      </c>
      <c r="BO300" s="48" t="str">
        <f ca="1">IF(AND(OR($DY$2=0,$DY$1=0),$I$1=2,ROW()&gt;$BI$1+2,ROW()&lt;=$BI$1+4),"………………..",IF(AND(OR($DY$2&gt;0,$DY$1&gt;0),$I$1=2,ROW()&gt;$BI$1+2,ROW()&lt;=$BI$1+4),"………………..",IFERROR(INDEX($AC$3:$AC$400,MATCH(ROWS(BO$3:BO300),BI$3:BI$400,0),1),"")))</f>
        <v/>
      </c>
      <c r="BP300" s="48">
        <f t="shared" ca="1" si="551"/>
        <v>0</v>
      </c>
      <c r="BQ300" s="48" t="str">
        <f ca="1">IF(AND(OR($DY$2=0,$DY$1=0),$I$1=2,ROW()&gt;$BJ$1+2,ROW()&lt;=$BJ$1+4),"………………..",IF(AND(OR($DY$2&gt;0,$DY$1&gt;0),$I$1=2,ROW()&gt;$BJ$1+2,ROW()&lt;=$BJ$1+4),"………………..",IFERROR(INDEX($AC$3:$AC$400,MATCH(ROWS(BQ$3:BQ300),BJ$3:BJ$400,0),1),"")))</f>
        <v/>
      </c>
      <c r="BR300" s="48">
        <f t="shared" ca="1" si="552"/>
        <v>0</v>
      </c>
      <c r="BS300" s="48">
        <f ca="1">IF(IF(AND(OR(INDEX(PDC,MATCH($AC300,DEN_PDC,0),4)="D",INDEX(PDC,MATCH($AC300,DEN_PDC,0),4)="D/A"),SUMIFS(DARE,DEN_G,$AC300)&gt;=SUMIFS(AVERE,DEN_G,$AC300)),SUMIFS(DARE,DEN_G,$AC300),IF(AND(OR(INDEX(PDC,MATCH($AC300,DEN_PDC,0),4)="A",INDEX(PDC,MATCH($AC300,DEN_PDC,0),4)="D/A"),SUMIFS(AVERE,DEN_G,$AC300)&gt;=SUMIFS(DARE,DEN_G,$AC300)),SUMIFS(AVERE,DEN_G,$AC300),))&gt;0,MAX($BS$2:BS299)+1,0)</f>
        <v>0</v>
      </c>
      <c r="BT300" s="48" t="str">
        <f ca="1">IF($CO$1=0,"",IF(AND($I$1=2,ROW()&gt;$BR$1,ROW()&lt;=$BS$1)," …………….",IF(AND($E$1=1,$BX$1=1,$I$1=2,ROW()=$BQ$1),"TOTALI",IFERROR(INDEX(PDC,MATCH(ROWS(BT$3:BT300),BS$3:BS697,0),2),""))))</f>
        <v/>
      </c>
      <c r="BU300" s="48">
        <f t="shared" ca="1" si="553"/>
        <v>0</v>
      </c>
      <c r="BV300" s="48">
        <f t="shared" ca="1" si="554"/>
        <v>0</v>
      </c>
      <c r="BW300" s="48">
        <f t="shared" ca="1" si="555"/>
        <v>0</v>
      </c>
      <c r="BX300" s="48">
        <f t="shared" ca="1" si="556"/>
        <v>0</v>
      </c>
      <c r="BY300" s="48">
        <f ca="1">IF(OR(BW300&gt;0,BX300&gt;0),MAX($BY$2:BY299)+1,0)</f>
        <v>0</v>
      </c>
      <c r="BZ300" s="48" t="str">
        <f ca="1">IFERROR(INDEX($BT$3:$BY$400,MATCH(ROWS(BZ$3:BZ300),$BY$3:$BY$400,0),1),"")</f>
        <v/>
      </c>
      <c r="CA300" s="48" t="str">
        <f ca="1">IFERROR(INDEX($BT$3:$BY$400,MATCH(ROWS(CA$3:CA300),$BY$3:$BY$400,0),4),"")</f>
        <v/>
      </c>
      <c r="CB300" s="48" t="str">
        <f ca="1">IFERROR(INDEX($BT$3:$BY$400,MATCH(ROWS(CB$3:CB300),$BY$3:$BY$400,0),5),"")</f>
        <v/>
      </c>
      <c r="CC300" s="48" t="str">
        <f t="shared" ca="1" si="557"/>
        <v/>
      </c>
      <c r="CM300" s="242" t="str">
        <f t="shared" ca="1" si="566"/>
        <v/>
      </c>
      <c r="CN300" s="243">
        <f t="shared" ca="1" si="567"/>
        <v>0</v>
      </c>
      <c r="CO300" s="48" t="str">
        <f t="shared" ca="1" si="568"/>
        <v/>
      </c>
      <c r="CU300" s="48">
        <f ca="1">IF(SUMIFS(AVERE,DEN_G,AC300,AVERE,"&gt;"&amp;0)+SUMIFS(DARE,DEN_G,AC300,DARE,"&gt;"&amp;0)&gt;0,MAX($CU$2:CU299)+1,0)</f>
        <v>0</v>
      </c>
      <c r="CV300" s="48" t="str">
        <f ca="1">IF(IFERROR(INDEX(PDC,MATCH(ROWS($CV$3:CV300),$CU$3:$CU$400,0),2),"")="CONTO DI RISULTATO ECONOMICO","",IFERROR(INDEX(PDC,MATCH(ROWS($CV$3:CV300),$CU$3:$CU$400,0),2),""))</f>
        <v/>
      </c>
      <c r="CW300" s="48">
        <f ca="1">IFERROR(IF(CV300&lt;&gt;"",MAX($CW$2:CW299)+1,0),0)</f>
        <v>0</v>
      </c>
      <c r="CX300" s="48">
        <f t="shared" ca="1" si="599"/>
        <v>23</v>
      </c>
      <c r="CY300" s="48" t="str">
        <f t="shared" ca="1" si="598"/>
        <v>MASTRO</v>
      </c>
      <c r="CZ300" s="48" t="e">
        <f t="shared" ca="1" si="601"/>
        <v>#N/A</v>
      </c>
      <c r="DA300" s="48" t="str">
        <f t="shared" ca="1" si="605"/>
        <v/>
      </c>
      <c r="DB300" s="48" t="str">
        <f t="shared" ca="1" si="592"/>
        <v/>
      </c>
      <c r="DC300" s="48" t="str">
        <f t="shared" ca="1" si="602"/>
        <v/>
      </c>
      <c r="DD300" s="48" t="str">
        <f t="shared" ca="1" si="603"/>
        <v/>
      </c>
      <c r="DE300" s="48" t="str">
        <f t="shared" ca="1" si="604"/>
        <v/>
      </c>
      <c r="DF300" s="48">
        <f ca="1">IF(AND(CX300=$DF$1,CX300&lt;&gt;""),0,IF(AND(DB300&lt;&gt;"",OR(DB299&lt;&gt;"",DB301&lt;&gt;"")),MAX($DF$2:DF299)+1,0))</f>
        <v>0</v>
      </c>
      <c r="DH300" s="244" t="s">
        <v>890</v>
      </c>
      <c r="DI300" s="48" t="s">
        <v>1080</v>
      </c>
      <c r="DJ300" s="48" t="s">
        <v>311</v>
      </c>
      <c r="DK300" s="48" t="s">
        <v>275</v>
      </c>
      <c r="DL300" s="48" t="s">
        <v>7</v>
      </c>
      <c r="DM300" s="48" t="s">
        <v>301</v>
      </c>
      <c r="DN300" s="48">
        <f ca="1">IF(DI300&lt;&gt;"",MAX($DN$2:DN299)+1,0)</f>
        <v>235</v>
      </c>
      <c r="DO300" s="48" t="s">
        <v>710</v>
      </c>
      <c r="DW300" s="48">
        <f>IF(DR300&lt;&gt;"",MAX($DW$2:DW299)+1,0)</f>
        <v>0</v>
      </c>
      <c r="DY300" s="48" t="str">
        <f t="shared" ca="1" si="558"/>
        <v/>
      </c>
      <c r="EL300" s="48">
        <f t="shared" ca="1" si="559"/>
        <v>0</v>
      </c>
      <c r="EM300" s="48">
        <f ca="1">IF(EL300&gt;=0,0,MAX($EM$2:EM299)+1)</f>
        <v>0</v>
      </c>
      <c r="EN300" s="48" t="str">
        <f t="shared" ca="1" si="569"/>
        <v/>
      </c>
      <c r="EO300" s="48" t="str">
        <f ca="1">IFERROR(INDEX($EM$3:$EN$400,MATCH(ROWS($EO$3:EO300),$EM$3:$EM$400,0),2),"")</f>
        <v/>
      </c>
      <c r="EP300" s="48">
        <f>ROW()</f>
        <v>300</v>
      </c>
      <c r="EQ300" s="48">
        <f t="shared" ca="1" si="560"/>
        <v>0</v>
      </c>
      <c r="ER300" s="48">
        <f ca="1">IF(ISNA(EQ300)=TRUE,MAX($ER$2:ER299)+1,0)</f>
        <v>0</v>
      </c>
      <c r="ES300" s="48" t="str">
        <f t="shared" ca="1" si="570"/>
        <v/>
      </c>
      <c r="ET300" s="48" t="str">
        <f ca="1">IFERROR(INDEX($ER$3:$ES$400,MATCH(ROWS($ET$3:ET300),$ER$3:$ER$400,0),2),"")</f>
        <v/>
      </c>
      <c r="EV300" s="48">
        <f ca="1">IFERROR(INDEX(LIBRO_GIORNALE!$O$11:$P$408,MATCH(ROWS($EV$2:EV299),LIBRO_GIORNALE!$P$11:$P$408,0),1),0)</f>
        <v>0</v>
      </c>
      <c r="EW300" s="48" t="str">
        <f t="shared" ca="1" si="544"/>
        <v>0</v>
      </c>
      <c r="EX300" s="48">
        <f t="shared" ca="1" si="571"/>
        <v>0</v>
      </c>
      <c r="EY300" s="48">
        <f ca="1">IF(EX300&gt;0,MAX($EY$2:EY299)+1,0)</f>
        <v>0</v>
      </c>
      <c r="EZ300" s="48">
        <f ca="1">IFERROR(INDEX($EX$3:$EX$400,MATCH(ROWS($EZ$3:EZ300),$EY$3:$EY$400,0),1),0)</f>
        <v>0</v>
      </c>
      <c r="FA300" s="48">
        <f ca="1">IF(EZ300&gt;0,0,MAX($FA$2:FA299)+1)</f>
        <v>298</v>
      </c>
      <c r="FB300" s="48">
        <f t="shared" ca="1" si="545"/>
        <v>0</v>
      </c>
      <c r="FC300" s="48">
        <f t="shared" ca="1" si="546"/>
        <v>298</v>
      </c>
      <c r="FD300" s="48">
        <f t="shared" ca="1" si="572"/>
        <v>298</v>
      </c>
      <c r="FE300" s="48">
        <f ca="1">IF(FD300=0,0,MAX($FE$2:FE299)+1)</f>
        <v>298</v>
      </c>
      <c r="FF300" s="48">
        <f ca="1">IFERROR(INDEX($FD$3:$FE$400,MATCH(ROWS($FF$3:FF300),$FE$3:$FE$400,0),1),"")</f>
        <v>298</v>
      </c>
      <c r="FG300" s="48">
        <f t="shared" ca="1" si="610"/>
        <v>0</v>
      </c>
      <c r="FH300" s="48">
        <f t="shared" ca="1" si="573"/>
        <v>0</v>
      </c>
      <c r="FI300" s="48">
        <f ca="1">IF(FH300&lt;&gt;0,MAX($FI$2:FI299)+1,0)</f>
        <v>0</v>
      </c>
      <c r="FJ300" s="48" t="str">
        <f ca="1">IFERROR(INDEX($FH$3:$FI$400,MATCH(ROWS($FJ$3:FJ300),$FI$3:$FI$400,0),1),"")</f>
        <v/>
      </c>
      <c r="FK300" s="48">
        <f ca="1">IF(ABS(SUMIFS(DARE,DEN_G,"="&amp;FJ300,DATA,"&lt;="&amp;FINE_AC,DATA,"&gt;="&amp;INIZIO_A_PC)-SUMIFS(AVERE,DEN_G,"="&amp;FJ300,DATA,"&lt;="&amp;FINE_AC,DATA,"&gt;="&amp;INIZIO_A_PC))&gt;0,MAX($FK$2:FK299)+1,0)</f>
        <v>0</v>
      </c>
      <c r="FL300" s="48" t="str">
        <f ca="1">IF(AND(ROW()-2&lt;&gt;1,ROW()-2&lt;=$FK$1),CONCATENATE(" - ",IFERROR(INDEX($FJ$3:$FK$400,MATCH(ROWS($FL$3:FL300),$FK$3:$FK$400,0),1),"")),IFERROR(INDEX($FJ$3:$FK$400,MATCH(ROWS($FL$3:FL300),$FK$3:$FK$400,0),1),""))</f>
        <v/>
      </c>
      <c r="FM300" s="48">
        <f ca="1">IF(OR(B300="IVA ns/credito",B300="IVA NS/DEBITO",B300="IVA C/ACCONTO",B300="IMPOSTE C/ACCONTO",B300="CREDITI PER RITENUTE SUBITE",B300="CREDITI D'IMPOSTA"),MAX($FM$2:FM299)+1,0)</f>
        <v>0</v>
      </c>
      <c r="FN300" s="48" t="str">
        <f t="shared" ca="1" si="574"/>
        <v/>
      </c>
      <c r="FO300" s="48" t="str">
        <f ca="1">IFERROR(INDEX($FM$3:$FN$400,MATCH(ROWS($FO$3:FO300),$FM$3:$FM$400,0),2),"")</f>
        <v/>
      </c>
      <c r="FP300" s="48">
        <f ca="1">IF(ABS(SUMIFS(DARE,DEN_G,"="&amp;FO300,DATA,"&lt;="&amp;FINE_AC,DATA,"&gt;="&amp;INIZIO_A_PC)-SUMIFS(AVERE,DEN_G,"="&amp;FO300,DATA,"&lt;="&amp;FINE_AC,DATA,"&gt;="&amp;INIZIO_A_PC))&gt;0,MAX($FP$2:FP299)+1,0)</f>
        <v>0</v>
      </c>
      <c r="FQ300" s="48" t="str">
        <f ca="1">IF(AND(ROW()-2&lt;&gt;1,ROW()-2&lt;=$FP$1),CONCATENATE(" - ",IFERROR(INDEX($FO$3:$FP$400,MATCH(ROWS($FQ$3:FQ300),$FP$3:$FP$400,0),1),"")),IFERROR(INDEX($FO$3:$FP$400,MATCH(ROWS($FQ$3:FQ300),$FP$3:$FP$400,0),1),""))</f>
        <v/>
      </c>
    </row>
    <row r="301" spans="1:173" x14ac:dyDescent="0.3">
      <c r="A301" s="48" t="str">
        <f ca="1">IFERROR(IF($A$1=2,INDEX($DH$3:$DN$401,MATCH(ROWS(A$3:A301),$DN$3:$DN$401,0),COLUMN()),IF($A$1=1,INDEX($DQ$3:$DW$401,MATCH(ROWS(A$3:A301),$DW$3:$DW$401,0),COLUMN()),"")),"")</f>
        <v>40.33</v>
      </c>
      <c r="B301" s="48" t="str">
        <f ca="1">IFERROR(IF($A$1=2,INDEX($DH$3:$DN$401,MATCH(ROWS(B$3:B301),$DN$3:$DN$401,0),COLUMN()),IF($A$1=1,INDEX($DQ$3:$DW$400,MATCH(ROWS(B$3:B301),$DW$3:$DW$401,0),COLUMN()),"")),"")</f>
        <v>INTERESSI ATTIVI POSTALI</v>
      </c>
      <c r="C301" s="48" t="str">
        <f ca="1">IFERROR(IF($A$1=2,INDEX($DH$3:$DN$401,MATCH(ROWS(C$3:C301),$DN$3:$DN$401,0),COLUMN()),IF($A$1=1,INDEX($DQ$3:$DW$401,MATCH(ROWS(C$3:C301),$DW$3:$DW$401,0),COLUMN()),"")),"")</f>
        <v>E</v>
      </c>
      <c r="D301" s="48" t="str">
        <f ca="1">IFERROR(IF($A$1=2,INDEX($DH$3:$DN$401,MATCH(ROWS(D$3:D301),$DN$3:$DN$401,0),COLUMN()),IF($A$1=1,INDEX($DQ$3:$DW$401,MATCH(ROWS(D$3:D301),$DW$3:$DW$401,0),COLUMN()),"")),"")</f>
        <v>A</v>
      </c>
      <c r="E301" s="48" t="str">
        <f ca="1">IFERROR(IF($A$1=2,INDEX($DH$3:$DN$401,MATCH(ROWS(E$3:E301),$DN$3:$DN$401,0),COLUMN()),IF($A$1=1,INDEX($DQ$3:$DW$401,MATCH(ROWS(E$3:E301),$DW$3:$DW$401,0),COLUMN()),"")),"")</f>
        <v>RICAVI D'ESERCIZIO</v>
      </c>
      <c r="F301" s="48" t="str">
        <f ca="1">IFERROR(IF($A$1=2,INDEX($DH$3:$DN$401,MATCH(ROWS(F$3:F301),$DN$3:$DN$401,0),COLUMN()),IF($A$1=1,INDEX($DQ$3:$DX$401,MATCH(ROWS(F$3:F301),$DW$3:$DW$401,0),COLUMN()),"")),"")</f>
        <v>SE AVERE</v>
      </c>
      <c r="G301" s="48" t="str">
        <f t="shared" ca="1" si="561"/>
        <v>SE</v>
      </c>
      <c r="H301" s="48" t="str">
        <f ca="1">IFERROR(IF($A$1=2,INDEX($DH$3:$DO$400,MATCH(ROWS(H$3:H301),$DN$3:$DN$400,0),COLUMN()),IF($A$1=1,INDEX($DQ$3:$DX$400,MATCH(ROWS(H$3:H301),$DW$3:$DW$400,0),COLUMN()),"")),"")</f>
        <v>ec16d</v>
      </c>
      <c r="M301" s="48">
        <f ca="1">IFERROR(IF(IF(MID($A301,3,3)=".00",MID(A301,1,2),"")&lt;&gt;"",MAX($M$2:M300)+1,0),"")</f>
        <v>0</v>
      </c>
      <c r="N301" s="48" t="str">
        <f t="shared" ca="1" si="562"/>
        <v/>
      </c>
      <c r="O301" s="48" t="str">
        <f ca="1">IF(IFERROR(INDEX($N$3:$O$300,MATCH(ROWS($O$3:O301),$M$3:$M$300,0),1),"")&lt;&gt;"",CONCATENATE(INDEX($N$3:$O$300,MATCH(ROWS($O$3:O301),$M$3:$M$300,0),1),".00"),"")</f>
        <v/>
      </c>
      <c r="P301" s="48" t="str">
        <f t="shared" ca="1" si="563"/>
        <v/>
      </c>
      <c r="Q301" s="48">
        <f ca="1">IF(M301&gt;=1,0,MAX($Q$2:Q300)+1)</f>
        <v>267</v>
      </c>
      <c r="U301" s="48" t="str">
        <f ca="1">IFERROR(INDEX(PDC,MATCH(ROWS(U$3:U301),$V$3:$V$400,0),2),"")</f>
        <v/>
      </c>
      <c r="V301" s="48">
        <f ca="1">IF(AND($T$1="VISUALIZZA TUTTI I CONTI",AA301&lt;&gt;""),MAX($V$2:V300)+1,IF(AND($U$2=2,AI301=$T$1),MAX($V$2:V300)+1,IF(AND($U$2=1,$T$1=AF301),MAX($V$2:V300)+1,0)))</f>
        <v>0</v>
      </c>
      <c r="AA301" s="48" t="str">
        <f t="shared" ca="1" si="564"/>
        <v/>
      </c>
      <c r="AB301" s="48" t="str">
        <f ca="1">IFERROR(INDEX($A$3:$G$400,MATCH(ROWS(AB$3:AB301),$Q$3:$Q$400,0),1),"")</f>
        <v/>
      </c>
      <c r="AC301" s="48" t="str">
        <f ca="1">IFERROR(INDEX($A$3:$G$400,MATCH(ROWS($AC$3:AC301),$Q$3:$Q$400,0),2),"")</f>
        <v/>
      </c>
      <c r="AD301" s="48" t="str">
        <f ca="1">IFERROR(INDEX($A$3:$G$400,MATCH(ROWS(AD$3:AD301),$Q$3:$Q$400,0),3),"")</f>
        <v/>
      </c>
      <c r="AE301" s="48" t="str">
        <f ca="1">IFERROR(INDEX($A$3:$G$400,MATCH(ROWS(AE$3:AE301),$Q$3:$Q$400,0),4),"")</f>
        <v/>
      </c>
      <c r="AF301" s="48" t="str">
        <f ca="1">IFERROR(INDEX($A$3:$G$400,MATCH(ROWS(AF$3:AF301),$Q$3:$Q$400,0),5),"")</f>
        <v/>
      </c>
      <c r="AG301" s="48" t="str">
        <f ca="1">IFERROR(INDEX($A$3:$G$400,MATCH(ROWS(AG$3:AG301),$Q$3:$Q$400,0),6),"")</f>
        <v/>
      </c>
      <c r="AH301" s="48" t="str">
        <f ca="1">IFERROR(INDEX($A$3:$G$400,MATCH(ROWS(AH$3:AH301),$Q$3:$Q$400,0),7),"")</f>
        <v/>
      </c>
      <c r="AI301" s="48" t="str">
        <f t="shared" ca="1" si="565"/>
        <v/>
      </c>
      <c r="AJ301" s="48" t="str">
        <f ca="1">IFERROR(INDEX($A$3:$H$400,MATCH(ROWS(AJ$3:AJ301),$Q$3:$Q$400,0),8),"")</f>
        <v/>
      </c>
      <c r="AK301" s="48">
        <f t="shared" ca="1" si="548"/>
        <v>0</v>
      </c>
      <c r="AL301" s="48">
        <f t="shared" ca="1" si="606"/>
        <v>0</v>
      </c>
      <c r="AM301" s="48">
        <f t="shared" ca="1" si="607"/>
        <v>0</v>
      </c>
      <c r="AN301" s="48">
        <f t="shared" ca="1" si="608"/>
        <v>0</v>
      </c>
      <c r="AO301" s="48">
        <f t="shared" ca="1" si="609"/>
        <v>0</v>
      </c>
      <c r="AP301" s="48">
        <f t="shared" ca="1" si="609"/>
        <v>0</v>
      </c>
      <c r="AZ301" s="48" t="str">
        <f t="shared" ca="1" si="584"/>
        <v/>
      </c>
      <c r="BA301" s="48">
        <f t="shared" ca="1" si="611"/>
        <v>0</v>
      </c>
      <c r="BB301" s="48">
        <f t="shared" ca="1" si="612"/>
        <v>0</v>
      </c>
      <c r="BC301" s="48">
        <f t="shared" ca="1" si="613"/>
        <v>0</v>
      </c>
      <c r="BD301" s="48">
        <f t="shared" ca="1" si="614"/>
        <v>0</v>
      </c>
      <c r="BE301" s="48">
        <f t="shared" ca="1" si="615"/>
        <v>0</v>
      </c>
      <c r="BF301" s="48">
        <f t="shared" si="585"/>
        <v>101</v>
      </c>
      <c r="BG301" s="48">
        <f ca="1">IF(IF(AND(OR(INDEX(PDC,MATCH($AC301,DEN_PDC,0),6)="SP DARE",INDEX(PDC,MATCH($AC301,DEN_PDC,0),6)="SP DARE/AVERE"),SUMIFS(DARE,DEN_G,$AC301)&gt;=SUMIFS(AVERE,DEN_G,$AC301)),SUMIFS(DARE,DEN_G,$AC301)-SUMIFS(AVERE,DEN_G,$AC301),0)&gt;0,MAX($BG$2:BG300)+1,0)</f>
        <v>0</v>
      </c>
      <c r="BH301" s="48">
        <f ca="1">IF(IF(AND(OR(INDEX(PDC,MATCH($AC301,DEN_PDC,0),6)="SP AVERE",INDEX(PDC,MATCH($AC301,DEN_PDC,0),6)="SP DARE/AVERE"),SUMIFS(AVERE,DEN_G,$AC301)&gt;=SUMIFS(DARE,DEN_G,$AC301)),SUMIFS(AVERE,DEN_G,$AC301)-SUMIFS(DARE,DEN_G,$AC301),0)&gt;0,MAX(BH$2:BH300)+1,0)</f>
        <v>0</v>
      </c>
      <c r="BI301" s="48">
        <f ca="1">IF(IF(AND(OR(INDEX(PDC,MATCH($AC301,DEN_PDC,0),6)="SE DARE",INDEX(PDC,MATCH($AC301,DEN_PDC,0),6)="SE DARE/AVERE"),SUMIFS(DARE,DEN_G,$AC301)&gt;=SUMIFS(AVERE,DEN_G,$AC301)),SUMIFS(DARE,DEN_G,$AC301)-SUMIFS(AVERE,DEN_G,$AC301),0)&gt;0,MAX(BI$2:BI300)+1,0)</f>
        <v>0</v>
      </c>
      <c r="BJ301" s="48">
        <f ca="1">IF(IF(AND(OR(INDEX(PDC,MATCH($AC301,DEN_PDC,0),6)="SE AVERE",INDEX(PDC,MATCH($AC301,DEN_PDC,0),6)="SE DARE/AVERE"),SUMIFS(AVERE,DEN_G,$AC301)&gt;=SUMIFS(DARE,DEN_G,$AC301)),SUMIFS(AVERE,DEN_G,$AC301)-SUMIFS(DARE,DEN_G,$AC301),0)&gt;0,MAX(BJ$2:BJ300)+1,0)</f>
        <v>0</v>
      </c>
      <c r="BK301" s="48" t="str">
        <f ca="1">IF(AND(AND($DY$2=0,$DY$1=0),$I$1=2,ROW()&gt;$BG$1+2,ROW()&lt;=$BG$1+4),"………………..",IF(AND(OR($DY$2&gt;0,$DY$1&gt;0),$I$1=2,ROW()&gt;$BG$1+2,ROW()&lt;=$BG$1+4),"………………..",IFERROR(INDEX($AC$3:$AC$398,MATCH(ROWS(BK$3:BK301),BG$3:BG$398,0),1),"")))</f>
        <v/>
      </c>
      <c r="BL301" s="48">
        <f t="shared" ca="1" si="549"/>
        <v>0</v>
      </c>
      <c r="BM301" s="48" t="str">
        <f ca="1">IF(AND(OR($DY$2=0,$DY$1=0),$I$1=2,ROW()&gt;$BH$1+2,ROW()&lt;=$BH$1+4),"………………..",IF(AND(OR($DY$2&gt;0,$DY$1&gt;0),$I$1=2,ROW()&gt;$BH$1+2,ROW()&lt;=$BH$1+4),"………………..",IFERROR(INDEX($AC$3:$AC$400,MATCH(ROWS(BM$3:BM301),BH$3:BH$400,0),1),"")))</f>
        <v/>
      </c>
      <c r="BN301" s="48">
        <f t="shared" ca="1" si="550"/>
        <v>0</v>
      </c>
      <c r="BO301" s="48" t="str">
        <f ca="1">IF(AND(OR($DY$2=0,$DY$1=0),$I$1=2,ROW()&gt;$BI$1+2,ROW()&lt;=$BI$1+4),"………………..",IF(AND(OR($DY$2&gt;0,$DY$1&gt;0),$I$1=2,ROW()&gt;$BI$1+2,ROW()&lt;=$BI$1+4),"………………..",IFERROR(INDEX($AC$3:$AC$400,MATCH(ROWS(BO$3:BO301),BI$3:BI$400,0),1),"")))</f>
        <v/>
      </c>
      <c r="BP301" s="48">
        <f t="shared" ca="1" si="551"/>
        <v>0</v>
      </c>
      <c r="BQ301" s="48" t="str">
        <f ca="1">IF(AND(OR($DY$2=0,$DY$1=0),$I$1=2,ROW()&gt;$BJ$1+2,ROW()&lt;=$BJ$1+4),"………………..",IF(AND(OR($DY$2&gt;0,$DY$1&gt;0),$I$1=2,ROW()&gt;$BJ$1+2,ROW()&lt;=$BJ$1+4),"………………..",IFERROR(INDEX($AC$3:$AC$400,MATCH(ROWS(BQ$3:BQ301),BJ$3:BJ$400,0),1),"")))</f>
        <v/>
      </c>
      <c r="BR301" s="48">
        <f t="shared" ca="1" si="552"/>
        <v>0</v>
      </c>
      <c r="BS301" s="48">
        <f ca="1">IF(IF(AND(OR(INDEX(PDC,MATCH($AC301,DEN_PDC,0),4)="D",INDEX(PDC,MATCH($AC301,DEN_PDC,0),4)="D/A"),SUMIFS(DARE,DEN_G,$AC301)&gt;=SUMIFS(AVERE,DEN_G,$AC301)),SUMIFS(DARE,DEN_G,$AC301),IF(AND(OR(INDEX(PDC,MATCH($AC301,DEN_PDC,0),4)="A",INDEX(PDC,MATCH($AC301,DEN_PDC,0),4)="D/A"),SUMIFS(AVERE,DEN_G,$AC301)&gt;=SUMIFS(DARE,DEN_G,$AC301)),SUMIFS(AVERE,DEN_G,$AC301),))&gt;0,MAX($BS$2:BS300)+1,0)</f>
        <v>0</v>
      </c>
      <c r="BT301" s="48" t="str">
        <f ca="1">IF($CO$1=0,"",IF(AND($I$1=2,ROW()&gt;$BR$1,ROW()&lt;=$BS$1)," …………….",IF(AND($E$1=1,$BX$1=1,$I$1=2,ROW()=$BQ$1),"TOTALI",IFERROR(INDEX(PDC,MATCH(ROWS(BT$3:BT301),BS$3:BS698,0),2),""))))</f>
        <v/>
      </c>
      <c r="BU301" s="48">
        <f t="shared" ca="1" si="553"/>
        <v>0</v>
      </c>
      <c r="BV301" s="48">
        <f t="shared" ca="1" si="554"/>
        <v>0</v>
      </c>
      <c r="BW301" s="48">
        <f t="shared" ca="1" si="555"/>
        <v>0</v>
      </c>
      <c r="BX301" s="48">
        <f t="shared" ca="1" si="556"/>
        <v>0</v>
      </c>
      <c r="BY301" s="48">
        <f ca="1">IF(OR(BW301&gt;0,BX301&gt;0),MAX($BY$2:BY300)+1,0)</f>
        <v>0</v>
      </c>
      <c r="BZ301" s="48" t="str">
        <f ca="1">IFERROR(INDEX($BT$3:$BY$400,MATCH(ROWS(BZ$3:BZ301),$BY$3:$BY$400,0),1),"")</f>
        <v/>
      </c>
      <c r="CA301" s="48" t="str">
        <f ca="1">IFERROR(INDEX($BT$3:$BY$400,MATCH(ROWS(CA$3:CA301),$BY$3:$BY$400,0),4),"")</f>
        <v/>
      </c>
      <c r="CB301" s="48" t="str">
        <f ca="1">IFERROR(INDEX($BT$3:$BY$400,MATCH(ROWS(CB$3:CB301),$BY$3:$BY$400,0),5),"")</f>
        <v/>
      </c>
      <c r="CC301" s="48" t="str">
        <f t="shared" ca="1" si="557"/>
        <v/>
      </c>
      <c r="CM301" s="242" t="str">
        <f t="shared" ca="1" si="566"/>
        <v/>
      </c>
      <c r="CN301" s="243">
        <f t="shared" ca="1" si="567"/>
        <v>0</v>
      </c>
      <c r="CO301" s="48" t="str">
        <f t="shared" ca="1" si="568"/>
        <v/>
      </c>
      <c r="CU301" s="48">
        <f ca="1">IF(SUMIFS(AVERE,DEN_G,AC301,AVERE,"&gt;"&amp;0)+SUMIFS(DARE,DEN_G,AC301,DARE,"&gt;"&amp;0)&gt;0,MAX($CU$2:CU300)+1,0)</f>
        <v>0</v>
      </c>
      <c r="CV301" s="48" t="str">
        <f ca="1">IF(IFERROR(INDEX(PDC,MATCH(ROWS($CV$3:CV301),$CU$3:$CU$400,0),2),"")="CONTO DI RISULTATO ECONOMICO","",IFERROR(INDEX(PDC,MATCH(ROWS($CV$3:CV301),$CU$3:$CU$400,0),2),""))</f>
        <v/>
      </c>
      <c r="CW301" s="48">
        <f ca="1">IFERROR(IF(CV301&lt;&gt;"",MAX($CW$2:CW300)+1,0),0)</f>
        <v>0</v>
      </c>
      <c r="CY301" s="48" t="s">
        <v>500</v>
      </c>
      <c r="DB301" s="48" t="str">
        <f t="shared" ref="DB301" ca="1" si="616">IF(CX300=$DF$1,"","MASTRO")</f>
        <v>MASTRO</v>
      </c>
      <c r="DF301" s="48">
        <f ca="1">IF(AND(CX301=$DF$1,CX301&lt;&gt;""),0,IF(AND(DB301&lt;&gt;"",OR(DB300&lt;&gt;"",DB302&lt;&gt;"")),MAX($DF$2:DF300)+1,0))</f>
        <v>0</v>
      </c>
      <c r="DH301" s="244" t="s">
        <v>891</v>
      </c>
      <c r="DI301" s="48" t="s">
        <v>203</v>
      </c>
      <c r="DJ301" s="48" t="s">
        <v>311</v>
      </c>
      <c r="DK301" s="48" t="s">
        <v>275</v>
      </c>
      <c r="DL301" s="48" t="s">
        <v>7</v>
      </c>
      <c r="DM301" s="48" t="s">
        <v>301</v>
      </c>
      <c r="DN301" s="48">
        <f ca="1">IF(DI301&lt;&gt;"",MAX($DN$2:DN300)+1,0)</f>
        <v>236</v>
      </c>
      <c r="DO301" s="48" t="s">
        <v>710</v>
      </c>
      <c r="DQ301" s="227" t="s">
        <v>216</v>
      </c>
      <c r="DR301" s="228" t="s">
        <v>967</v>
      </c>
      <c r="DW301" s="48">
        <f ca="1">IF(DR301&lt;&gt;"",MAX($DW$2:DW300)+1,0)</f>
        <v>178</v>
      </c>
      <c r="DY301" s="48" t="str">
        <f t="shared" ca="1" si="558"/>
        <v/>
      </c>
      <c r="EL301" s="48">
        <f t="shared" ca="1" si="559"/>
        <v>0</v>
      </c>
      <c r="EM301" s="48">
        <f ca="1">IF(EL301&gt;=0,0,MAX($EM$2:EM300)+1)</f>
        <v>0</v>
      </c>
      <c r="EN301" s="48" t="str">
        <f t="shared" ca="1" si="569"/>
        <v/>
      </c>
      <c r="EO301" s="48" t="str">
        <f ca="1">IFERROR(INDEX($EM$3:$EN$400,MATCH(ROWS($EO$3:EO301),$EM$3:$EM$400,0),2),"")</f>
        <v/>
      </c>
      <c r="EP301" s="48">
        <f>ROW()</f>
        <v>301</v>
      </c>
      <c r="EQ301" s="48">
        <f t="shared" ca="1" si="560"/>
        <v>0</v>
      </c>
      <c r="ER301" s="48">
        <f ca="1">IF(ISNA(EQ301)=TRUE,MAX($ER$2:ER300)+1,0)</f>
        <v>0</v>
      </c>
      <c r="ES301" s="48" t="str">
        <f t="shared" ca="1" si="570"/>
        <v/>
      </c>
      <c r="ET301" s="48" t="str">
        <f ca="1">IFERROR(INDEX($ER$3:$ES$400,MATCH(ROWS($ET$3:ET301),$ER$3:$ER$400,0),2),"")</f>
        <v/>
      </c>
      <c r="EV301" s="48">
        <f ca="1">IFERROR(INDEX(LIBRO_GIORNALE!$O$11:$P$408,MATCH(ROWS($EV$2:EV300),LIBRO_GIORNALE!$P$11:$P$408,0),1),0)</f>
        <v>0</v>
      </c>
      <c r="EW301" s="48" t="str">
        <f t="shared" ca="1" si="544"/>
        <v>0</v>
      </c>
      <c r="EX301" s="48">
        <f t="shared" ca="1" si="571"/>
        <v>0</v>
      </c>
      <c r="EY301" s="48">
        <f ca="1">IF(EX301&gt;0,MAX($EY$2:EY300)+1,0)</f>
        <v>0</v>
      </c>
      <c r="EZ301" s="48">
        <f ca="1">IFERROR(INDEX($EX$3:$EX$400,MATCH(ROWS($EZ$3:EZ301),$EY$3:$EY$400,0),1),0)</f>
        <v>0</v>
      </c>
      <c r="FA301" s="48">
        <f ca="1">IF(EZ301&gt;0,0,MAX($FA$2:FA300)+1)</f>
        <v>299</v>
      </c>
      <c r="FB301" s="48">
        <f t="shared" ca="1" si="545"/>
        <v>0</v>
      </c>
      <c r="FC301" s="48">
        <f t="shared" ca="1" si="546"/>
        <v>299</v>
      </c>
      <c r="FD301" s="48">
        <f t="shared" ca="1" si="572"/>
        <v>299</v>
      </c>
      <c r="FE301" s="48">
        <f ca="1">IF(FD301=0,0,MAX($FE$2:FE300)+1)</f>
        <v>299</v>
      </c>
      <c r="FF301" s="48">
        <f ca="1">IFERROR(INDEX($FD$3:$FE$400,MATCH(ROWS($FF$3:FF301),$FE$3:$FE$400,0),1),"")</f>
        <v>299</v>
      </c>
      <c r="FG301" s="48">
        <f t="shared" ca="1" si="610"/>
        <v>0</v>
      </c>
      <c r="FH301" s="48">
        <f t="shared" ca="1" si="573"/>
        <v>0</v>
      </c>
      <c r="FI301" s="48">
        <f ca="1">IF(FH301&lt;&gt;0,MAX($FI$2:FI300)+1,0)</f>
        <v>0</v>
      </c>
      <c r="FJ301" s="48" t="str">
        <f ca="1">IFERROR(INDEX($FH$3:$FI$400,MATCH(ROWS($FJ$3:FJ301),$FI$3:$FI$400,0),1),"")</f>
        <v/>
      </c>
      <c r="FK301" s="48">
        <f ca="1">IF(ABS(SUMIFS(DARE,DEN_G,"="&amp;FJ301,DATA,"&lt;="&amp;FINE_AC,DATA,"&gt;="&amp;INIZIO_A_PC)-SUMIFS(AVERE,DEN_G,"="&amp;FJ301,DATA,"&lt;="&amp;FINE_AC,DATA,"&gt;="&amp;INIZIO_A_PC))&gt;0,MAX($FK$2:FK300)+1,0)</f>
        <v>0</v>
      </c>
      <c r="FL301" s="48" t="str">
        <f ca="1">IF(AND(ROW()-2&lt;&gt;1,ROW()-2&lt;=$FK$1),CONCATENATE(" - ",IFERROR(INDEX($FJ$3:$FK$400,MATCH(ROWS($FL$3:FL301),$FK$3:$FK$400,0),1),"")),IFERROR(INDEX($FJ$3:$FK$400,MATCH(ROWS($FL$3:FL301),$FK$3:$FK$400,0),1),""))</f>
        <v/>
      </c>
      <c r="FM301" s="48">
        <f ca="1">IF(OR(B301="IVA ns/credito",B301="IVA NS/DEBITO",B301="IVA C/ACCONTO",B301="IMPOSTE C/ACCONTO",B301="CREDITI PER RITENUTE SUBITE",B301="CREDITI D'IMPOSTA"),MAX($FM$2:FM300)+1,0)</f>
        <v>0</v>
      </c>
      <c r="FN301" s="48" t="str">
        <f t="shared" ca="1" si="574"/>
        <v/>
      </c>
      <c r="FO301" s="48" t="str">
        <f ca="1">IFERROR(INDEX($FM$3:$FN$400,MATCH(ROWS($FO$3:FO301),$FM$3:$FM$400,0),2),"")</f>
        <v/>
      </c>
      <c r="FP301" s="48">
        <f ca="1">IF(ABS(SUMIFS(DARE,DEN_G,"="&amp;FO301,DATA,"&lt;="&amp;FINE_AC,DATA,"&gt;="&amp;INIZIO_A_PC)-SUMIFS(AVERE,DEN_G,"="&amp;FO301,DATA,"&lt;="&amp;FINE_AC,DATA,"&gt;="&amp;INIZIO_A_PC))&gt;0,MAX($FP$2:FP300)+1,0)</f>
        <v>0</v>
      </c>
      <c r="FQ301" s="48" t="str">
        <f ca="1">IF(AND(ROW()-2&lt;&gt;1,ROW()-2&lt;=$FP$1),CONCATENATE(" - ",IFERROR(INDEX($FO$3:$FP$400,MATCH(ROWS($FQ$3:FQ301),$FP$3:$FP$400,0),1),"")),IFERROR(INDEX($FO$3:$FP$400,MATCH(ROWS($FQ$3:FQ301),$FP$3:$FP$400,0),1),""))</f>
        <v/>
      </c>
    </row>
    <row r="302" spans="1:173" x14ac:dyDescent="0.3">
      <c r="A302" s="48" t="str">
        <f ca="1">IFERROR(IF($A$1=2,INDEX($DH$3:$DN$401,MATCH(ROWS(A$3:A302),$DN$3:$DN$401,0),COLUMN()),IF($A$1=1,INDEX($DQ$3:$DW$401,MATCH(ROWS(A$3:A302),$DW$3:$DW$401,0),COLUMN()),"")),"")</f>
        <v>40.34</v>
      </c>
      <c r="B302" s="48" t="str">
        <f ca="1">IFERROR(IF($A$1=2,INDEX($DH$3:$DN$401,MATCH(ROWS(B$3:B302),$DN$3:$DN$401,0),COLUMN()),IF($A$1=1,INDEX($DQ$3:$DW$400,MATCH(ROWS(B$3:B302),$DW$3:$DW$401,0),COLUMN()),"")),"")</f>
        <v>INTERESSI ATTIVI DA SOCI</v>
      </c>
      <c r="C302" s="48" t="str">
        <f ca="1">IFERROR(IF($A$1=2,INDEX($DH$3:$DN$401,MATCH(ROWS(C$3:C302),$DN$3:$DN$401,0),COLUMN()),IF($A$1=1,INDEX($DQ$3:$DW$401,MATCH(ROWS(C$3:C302),$DW$3:$DW$401,0),COLUMN()),"")),"")</f>
        <v>E</v>
      </c>
      <c r="D302" s="48" t="str">
        <f ca="1">IFERROR(IF($A$1=2,INDEX($DH$3:$DN$401,MATCH(ROWS(D$3:D302),$DN$3:$DN$401,0),COLUMN()),IF($A$1=1,INDEX($DQ$3:$DW$401,MATCH(ROWS(D$3:D302),$DW$3:$DW$401,0),COLUMN()),"")),"")</f>
        <v>A</v>
      </c>
      <c r="E302" s="48" t="str">
        <f ca="1">IFERROR(IF($A$1=2,INDEX($DH$3:$DN$401,MATCH(ROWS(E$3:E302),$DN$3:$DN$401,0),COLUMN()),IF($A$1=1,INDEX($DQ$3:$DW$401,MATCH(ROWS(E$3:E302),$DW$3:$DW$401,0),COLUMN()),"")),"")</f>
        <v>RICAVI D'ESERCIZIO</v>
      </c>
      <c r="F302" s="48" t="str">
        <f ca="1">IFERROR(IF($A$1=2,INDEX($DH$3:$DN$401,MATCH(ROWS(F$3:F302),$DN$3:$DN$401,0),COLUMN()),IF($A$1=1,INDEX($DQ$3:$DX$401,MATCH(ROWS(F$3:F302),$DW$3:$DW$401,0),COLUMN()),"")),"")</f>
        <v>SE AVERE</v>
      </c>
      <c r="G302" s="48" t="str">
        <f t="shared" ca="1" si="561"/>
        <v>SE</v>
      </c>
      <c r="H302" s="48" t="str">
        <f ca="1">IFERROR(IF($A$1=2,INDEX($DH$3:$DO$400,MATCH(ROWS(H$3:H302),$DN$3:$DN$400,0),COLUMN()),IF($A$1=1,INDEX($DQ$3:$DX$400,MATCH(ROWS(H$3:H302),$DW$3:$DW$400,0),COLUMN()),"")),"")</f>
        <v>ec16d</v>
      </c>
      <c r="M302" s="48">
        <f ca="1">IFERROR(IF(IF(MID($A302,3,3)=".00",MID(A302,1,2),"")&lt;&gt;"",MAX($M$2:M301)+1,0),"")</f>
        <v>0</v>
      </c>
      <c r="N302" s="48" t="str">
        <f t="shared" ca="1" si="562"/>
        <v/>
      </c>
      <c r="O302" s="48" t="str">
        <f ca="1">IF(IFERROR(INDEX($N$3:$O$300,MATCH(ROWS($O$3:O302),$M$3:$M$300,0),1),"")&lt;&gt;"",CONCATENATE(INDEX($N$3:$O$300,MATCH(ROWS($O$3:O302),$M$3:$M$300,0),1),".00"),"")</f>
        <v/>
      </c>
      <c r="P302" s="48" t="str">
        <f t="shared" ca="1" si="563"/>
        <v/>
      </c>
      <c r="Q302" s="48">
        <f ca="1">IF(M302&gt;=1,0,MAX($Q$2:Q301)+1)</f>
        <v>268</v>
      </c>
      <c r="U302" s="48" t="str">
        <f ca="1">IFERROR(INDEX(PDC,MATCH(ROWS(U$3:U302),$V$3:$V$400,0),2),"")</f>
        <v/>
      </c>
      <c r="V302" s="48">
        <f ca="1">IF(AND($T$1="VISUALIZZA TUTTI I CONTI",AA302&lt;&gt;""),MAX($V$2:V301)+1,IF(AND($U$2=2,AI302=$T$1),MAX($V$2:V301)+1,IF(AND($U$2=1,$T$1=AF302),MAX($V$2:V301)+1,0)))</f>
        <v>0</v>
      </c>
      <c r="AA302" s="48" t="str">
        <f t="shared" ca="1" si="564"/>
        <v/>
      </c>
      <c r="AB302" s="48" t="str">
        <f ca="1">IFERROR(INDEX($A$3:$G$400,MATCH(ROWS(AB$3:AB302),$Q$3:$Q$400,0),1),"")</f>
        <v/>
      </c>
      <c r="AC302" s="48" t="str">
        <f ca="1">IFERROR(INDEX($A$3:$G$400,MATCH(ROWS($AC$3:AC302),$Q$3:$Q$400,0),2),"")</f>
        <v/>
      </c>
      <c r="AD302" s="48" t="str">
        <f ca="1">IFERROR(INDEX($A$3:$G$400,MATCH(ROWS(AD$3:AD302),$Q$3:$Q$400,0),3),"")</f>
        <v/>
      </c>
      <c r="AE302" s="48" t="str">
        <f ca="1">IFERROR(INDEX($A$3:$G$400,MATCH(ROWS(AE$3:AE302),$Q$3:$Q$400,0),4),"")</f>
        <v/>
      </c>
      <c r="AF302" s="48" t="str">
        <f ca="1">IFERROR(INDEX($A$3:$G$400,MATCH(ROWS(AF$3:AF302),$Q$3:$Q$400,0),5),"")</f>
        <v/>
      </c>
      <c r="AG302" s="48" t="str">
        <f ca="1">IFERROR(INDEX($A$3:$G$400,MATCH(ROWS(AG$3:AG302),$Q$3:$Q$400,0),6),"")</f>
        <v/>
      </c>
      <c r="AH302" s="48" t="str">
        <f ca="1">IFERROR(INDEX($A$3:$G$400,MATCH(ROWS(AH$3:AH302),$Q$3:$Q$400,0),7),"")</f>
        <v/>
      </c>
      <c r="AI302" s="48" t="str">
        <f t="shared" ca="1" si="565"/>
        <v/>
      </c>
      <c r="AJ302" s="48" t="str">
        <f ca="1">IFERROR(INDEX($A$3:$H$400,MATCH(ROWS(AJ$3:AJ302),$Q$3:$Q$400,0),8),"")</f>
        <v/>
      </c>
      <c r="AK302" s="48">
        <f t="shared" ca="1" si="548"/>
        <v>0</v>
      </c>
      <c r="AL302" s="48">
        <f t="shared" ca="1" si="606"/>
        <v>0</v>
      </c>
      <c r="AM302" s="48">
        <f t="shared" ca="1" si="607"/>
        <v>0</v>
      </c>
      <c r="AN302" s="48">
        <f t="shared" ca="1" si="608"/>
        <v>0</v>
      </c>
      <c r="AO302" s="48">
        <f t="shared" ca="1" si="609"/>
        <v>0</v>
      </c>
      <c r="AP302" s="48">
        <f t="shared" ca="1" si="609"/>
        <v>0</v>
      </c>
      <c r="AZ302" s="48" t="str">
        <f t="shared" ca="1" si="584"/>
        <v/>
      </c>
      <c r="BA302" s="48">
        <f t="shared" ca="1" si="611"/>
        <v>0</v>
      </c>
      <c r="BB302" s="48">
        <f t="shared" ca="1" si="612"/>
        <v>0</v>
      </c>
      <c r="BC302" s="48">
        <f t="shared" ca="1" si="613"/>
        <v>0</v>
      </c>
      <c r="BD302" s="48">
        <f t="shared" ca="1" si="614"/>
        <v>0</v>
      </c>
      <c r="BE302" s="48">
        <f t="shared" ca="1" si="615"/>
        <v>0</v>
      </c>
      <c r="BF302" s="48">
        <f t="shared" si="585"/>
        <v>102</v>
      </c>
      <c r="BG302" s="48">
        <f ca="1">IF(IF(AND(OR(INDEX(PDC,MATCH($AC302,DEN_PDC,0),6)="SP DARE",INDEX(PDC,MATCH($AC302,DEN_PDC,0),6)="SP DARE/AVERE"),SUMIFS(DARE,DEN_G,$AC302)&gt;=SUMIFS(AVERE,DEN_G,$AC302)),SUMIFS(DARE,DEN_G,$AC302)-SUMIFS(AVERE,DEN_G,$AC302),0)&gt;0,MAX($BG$2:BG301)+1,0)</f>
        <v>0</v>
      </c>
      <c r="BH302" s="48">
        <f ca="1">IF(IF(AND(OR(INDEX(PDC,MATCH($AC302,DEN_PDC,0),6)="SP AVERE",INDEX(PDC,MATCH($AC302,DEN_PDC,0),6)="SP DARE/AVERE"),SUMIFS(AVERE,DEN_G,$AC302)&gt;=SUMIFS(DARE,DEN_G,$AC302)),SUMIFS(AVERE,DEN_G,$AC302)-SUMIFS(DARE,DEN_G,$AC302),0)&gt;0,MAX(BH$2:BH301)+1,0)</f>
        <v>0</v>
      </c>
      <c r="BI302" s="48">
        <f ca="1">IF(IF(AND(OR(INDEX(PDC,MATCH($AC302,DEN_PDC,0),6)="SE DARE",INDEX(PDC,MATCH($AC302,DEN_PDC,0),6)="SE DARE/AVERE"),SUMIFS(DARE,DEN_G,$AC302)&gt;=SUMIFS(AVERE,DEN_G,$AC302)),SUMIFS(DARE,DEN_G,$AC302)-SUMIFS(AVERE,DEN_G,$AC302),0)&gt;0,MAX(BI$2:BI301)+1,0)</f>
        <v>0</v>
      </c>
      <c r="BJ302" s="48">
        <f ca="1">IF(IF(AND(OR(INDEX(PDC,MATCH($AC302,DEN_PDC,0),6)="SE AVERE",INDEX(PDC,MATCH($AC302,DEN_PDC,0),6)="SE DARE/AVERE"),SUMIFS(AVERE,DEN_G,$AC302)&gt;=SUMIFS(DARE,DEN_G,$AC302)),SUMIFS(AVERE,DEN_G,$AC302)-SUMIFS(DARE,DEN_G,$AC302),0)&gt;0,MAX(BJ$2:BJ301)+1,0)</f>
        <v>0</v>
      </c>
      <c r="BK302" s="48" t="str">
        <f ca="1">IF(AND(AND($DY$2=0,$DY$1=0),$I$1=2,ROW()&gt;$BG$1+2,ROW()&lt;=$BG$1+4),"………………..",IF(AND(OR($DY$2&gt;0,$DY$1&gt;0),$I$1=2,ROW()&gt;$BG$1+2,ROW()&lt;=$BG$1+4),"………………..",IFERROR(INDEX($AC$3:$AC$398,MATCH(ROWS(BK$3:BK302),BG$3:BG$398,0),1),"")))</f>
        <v/>
      </c>
      <c r="BL302" s="48">
        <f t="shared" ca="1" si="549"/>
        <v>0</v>
      </c>
      <c r="BM302" s="48" t="str">
        <f ca="1">IF(AND(OR($DY$2=0,$DY$1=0),$I$1=2,ROW()&gt;$BH$1+2,ROW()&lt;=$BH$1+4),"………………..",IF(AND(OR($DY$2&gt;0,$DY$1&gt;0),$I$1=2,ROW()&gt;$BH$1+2,ROW()&lt;=$BH$1+4),"………………..",IFERROR(INDEX($AC$3:$AC$400,MATCH(ROWS(BM$3:BM302),BH$3:BH$400,0),1),"")))</f>
        <v/>
      </c>
      <c r="BN302" s="48">
        <f t="shared" ca="1" si="550"/>
        <v>0</v>
      </c>
      <c r="BO302" s="48" t="str">
        <f ca="1">IF(AND(OR($DY$2=0,$DY$1=0),$I$1=2,ROW()&gt;$BI$1+2,ROW()&lt;=$BI$1+4),"………………..",IF(AND(OR($DY$2&gt;0,$DY$1&gt;0),$I$1=2,ROW()&gt;$BI$1+2,ROW()&lt;=$BI$1+4),"………………..",IFERROR(INDEX($AC$3:$AC$400,MATCH(ROWS(BO$3:BO302),BI$3:BI$400,0),1),"")))</f>
        <v/>
      </c>
      <c r="BP302" s="48">
        <f t="shared" ca="1" si="551"/>
        <v>0</v>
      </c>
      <c r="BQ302" s="48" t="str">
        <f ca="1">IF(AND(OR($DY$2=0,$DY$1=0),$I$1=2,ROW()&gt;$BJ$1+2,ROW()&lt;=$BJ$1+4),"………………..",IF(AND(OR($DY$2&gt;0,$DY$1&gt;0),$I$1=2,ROW()&gt;$BJ$1+2,ROW()&lt;=$BJ$1+4),"………………..",IFERROR(INDEX($AC$3:$AC$400,MATCH(ROWS(BQ$3:BQ302),BJ$3:BJ$400,0),1),"")))</f>
        <v/>
      </c>
      <c r="BR302" s="48">
        <f t="shared" ca="1" si="552"/>
        <v>0</v>
      </c>
      <c r="BS302" s="48">
        <f ca="1">IF(IF(AND(OR(INDEX(PDC,MATCH($AC302,DEN_PDC,0),4)="D",INDEX(PDC,MATCH($AC302,DEN_PDC,0),4)="D/A"),SUMIFS(DARE,DEN_G,$AC302)&gt;=SUMIFS(AVERE,DEN_G,$AC302)),SUMIFS(DARE,DEN_G,$AC302),IF(AND(OR(INDEX(PDC,MATCH($AC302,DEN_PDC,0),4)="A",INDEX(PDC,MATCH($AC302,DEN_PDC,0),4)="D/A"),SUMIFS(AVERE,DEN_G,$AC302)&gt;=SUMIFS(DARE,DEN_G,$AC302)),SUMIFS(AVERE,DEN_G,$AC302),))&gt;0,MAX($BS$2:BS301)+1,0)</f>
        <v>0</v>
      </c>
      <c r="BT302" s="48" t="str">
        <f ca="1">IF($CO$1=0,"",IF(AND($I$1=2,ROW()&gt;$BR$1,ROW()&lt;=$BS$1)," …………….",IF(AND($E$1=1,$BX$1=1,$I$1=2,ROW()=$BQ$1),"TOTALI",IFERROR(INDEX(PDC,MATCH(ROWS(BT$3:BT302),BS$3:BS699,0),2),""))))</f>
        <v/>
      </c>
      <c r="BU302" s="48">
        <f t="shared" ca="1" si="553"/>
        <v>0</v>
      </c>
      <c r="BV302" s="48">
        <f t="shared" ca="1" si="554"/>
        <v>0</v>
      </c>
      <c r="BW302" s="48">
        <f t="shared" ca="1" si="555"/>
        <v>0</v>
      </c>
      <c r="BX302" s="48">
        <f t="shared" ca="1" si="556"/>
        <v>0</v>
      </c>
      <c r="BY302" s="48">
        <f ca="1">IF(OR(BW302&gt;0,BX302&gt;0),MAX($BY$2:BY301)+1,0)</f>
        <v>0</v>
      </c>
      <c r="BZ302" s="48" t="str">
        <f ca="1">IFERROR(INDEX($BT$3:$BY$400,MATCH(ROWS(BZ$3:BZ302),$BY$3:$BY$400,0),1),"")</f>
        <v/>
      </c>
      <c r="CA302" s="48" t="str">
        <f ca="1">IFERROR(INDEX($BT$3:$BY$400,MATCH(ROWS(CA$3:CA302),$BY$3:$BY$400,0),4),"")</f>
        <v/>
      </c>
      <c r="CB302" s="48" t="str">
        <f ca="1">IFERROR(INDEX($BT$3:$BY$400,MATCH(ROWS(CB$3:CB302),$BY$3:$BY$400,0),5),"")</f>
        <v/>
      </c>
      <c r="CC302" s="48" t="str">
        <f t="shared" ca="1" si="557"/>
        <v/>
      </c>
      <c r="CM302" s="242" t="str">
        <f t="shared" ca="1" si="566"/>
        <v/>
      </c>
      <c r="CN302" s="243">
        <f t="shared" ca="1" si="567"/>
        <v>0</v>
      </c>
      <c r="CO302" s="48" t="str">
        <f t="shared" ca="1" si="568"/>
        <v/>
      </c>
      <c r="CU302" s="48">
        <f ca="1">IF(SUMIFS(AVERE,DEN_G,AC302,AVERE,"&gt;"&amp;0)+SUMIFS(DARE,DEN_G,AC302,DARE,"&gt;"&amp;0)&gt;0,MAX($CU$2:CU301)+1,0)</f>
        <v>0</v>
      </c>
      <c r="CV302" s="48" t="str">
        <f ca="1">IF(IFERROR(INDEX(PDC,MATCH(ROWS($CV$3:CV302),$CU$3:$CU$400,0),2),"")="CONTO DI RISULTATO ECONOMICO","",IFERROR(INDEX(PDC,MATCH(ROWS($CV$3:CV302),$CU$3:$CU$400,0),2),""))</f>
        <v/>
      </c>
      <c r="CW302" s="48">
        <f ca="1">IFERROR(IF(CV302&lt;&gt;"",MAX($CW$2:CW301)+1,0),0)</f>
        <v>0</v>
      </c>
      <c r="CX302" s="48">
        <f ca="1">$FF$26</f>
        <v>24</v>
      </c>
      <c r="CY302" s="48" t="str">
        <f t="shared" ref="CY302:CY313" ca="1" si="617">IF(ISERROR(INDEX($CV$3:$CX$1302,MATCH(CX302,$CW$3:$CW$1302,0),1)),"MASTRO",INDEX($CV$3:$CX$1302,MATCH(CX302,$CW$3:$CW$1302,0),1))</f>
        <v>MASTRO</v>
      </c>
      <c r="DA302" s="48" t="str">
        <f>IF(CY301="MASTRO","Conto n.","")</f>
        <v>Conto n.</v>
      </c>
      <c r="DB302" s="48" t="str">
        <f ca="1">IF(CY302=0,"",INDEX(PDC,MATCH(DC302,DEN_PDC,0),1))</f>
        <v/>
      </c>
      <c r="DC302" s="48" t="str">
        <f ca="1">IF(OR(CY302=0,CY302="mastro"),"",CY302)</f>
        <v/>
      </c>
      <c r="DD302" s="48" t="str">
        <f ca="1">IF(AND($DA$2=TRUE,OR(INDEX(PDC,MATCH($DC302,DEN_PDC,0),4)="A",INDEX(PDC,MATCH($DC302,DEN_PDC,0),4)="D/A"),SUMIFS(AVERE,DEN_G,"="&amp;$DC302,DATA,"&lt;="&amp;FINE_AC,DATA,"&gt;="&amp;INIZIO_AC)&gt;SUMIFS(DARE,DEN_G,"="&amp;$DC302,DATA,"&lt;="&amp;FINE_AC,DATA,"&gt;="&amp;INIZIO_AC)),CONCATENATE("s ",FIXED(ABS(SUMIFS(AVERE,DEN_G,"="&amp;$DC302,DATA,"&lt;="&amp;FINE_AC,DATA,"&gt;="&amp;INIZIO_AC)-SUMIFS(DARE,DEN_G,"="&amp;$DC302,DATA,"&lt;="&amp;FINE_AC,DATA,"&gt;="&amp;INIZIO_AC)),2)),"")</f>
        <v/>
      </c>
      <c r="DE302" s="48" t="str">
        <f ca="1">IF(AND($DA$2=TRUE,OR(INDEX(PDC,MATCH($DC302,DEN_PDC,0),4)="D",INDEX(PDC,MATCH($DC302,DEN_PDC,0),4)="D/A"),SUMIFS(DARE,DEN_G,"="&amp;$DC302,DATA,"&lt;="&amp;FINE_AC,DATA,"&gt;="&amp;INIZIO_AC)&gt;SUMIFS(AVERE,DEN_G,"="&amp;$DC302,DATA,"&lt;="&amp;FINE_AC,DATA,"&gt;="&amp;INIZIO_AC)),CONCATENATE("s ",FIXED(ABS(SUMIFS(DARE,DEN_G,"="&amp;$DC302,DATA,"&lt;="&amp;FINE_AC,DATA,"&gt;="&amp;INIZIO_AC)-SUMIFS(AVERE,DEN_G,"="&amp;$DC302,DATA,"&lt;="&amp;FINE_AC,DATA,"&gt;="&amp;INIZIO_AC)),2)),"")</f>
        <v/>
      </c>
      <c r="DF302" s="48">
        <f ca="1">IF(AND(CX302=$DF$1,CX302&lt;&gt;""),0,IF(AND(DB302&lt;&gt;"",OR(DB301&lt;&gt;"",DB303&lt;&gt;"")),MAX($DF$2:DF301)+1,0))</f>
        <v>0</v>
      </c>
      <c r="DH302" s="244" t="s">
        <v>1041</v>
      </c>
      <c r="DI302" s="48" t="s">
        <v>1040</v>
      </c>
      <c r="DJ302" s="48" t="s">
        <v>311</v>
      </c>
      <c r="DK302" s="48" t="s">
        <v>275</v>
      </c>
      <c r="DL302" s="48" t="s">
        <v>7</v>
      </c>
      <c r="DM302" s="48" t="s">
        <v>301</v>
      </c>
      <c r="DN302" s="48">
        <f ca="1">IF(DI302&lt;&gt;"",MAX($DN$2:DN301)+1,0)</f>
        <v>237</v>
      </c>
      <c r="DO302" s="48" t="s">
        <v>710</v>
      </c>
      <c r="DQ302" s="227" t="s">
        <v>217</v>
      </c>
      <c r="DR302" s="48" t="s">
        <v>219</v>
      </c>
      <c r="DS302" s="48" t="s">
        <v>311</v>
      </c>
      <c r="DT302" s="48" t="s">
        <v>275</v>
      </c>
      <c r="DU302" s="48" t="s">
        <v>7</v>
      </c>
      <c r="DV302" s="48" t="s">
        <v>301</v>
      </c>
      <c r="DW302" s="48">
        <f ca="1">IF(DR302&lt;&gt;"",MAX($DW$2:DW301)+1,0)</f>
        <v>179</v>
      </c>
      <c r="DX302" s="48" t="s">
        <v>711</v>
      </c>
      <c r="DY302" s="48" t="str">
        <f t="shared" ca="1" si="558"/>
        <v/>
      </c>
      <c r="EL302" s="48">
        <f t="shared" ca="1" si="559"/>
        <v>0</v>
      </c>
      <c r="EM302" s="48">
        <f ca="1">IF(EL302&gt;=0,0,MAX($EM$2:EM301)+1)</f>
        <v>0</v>
      </c>
      <c r="EN302" s="48" t="str">
        <f t="shared" ca="1" si="569"/>
        <v/>
      </c>
      <c r="EO302" s="48" t="str">
        <f ca="1">IFERROR(INDEX($EM$3:$EN$400,MATCH(ROWS($EO$3:EO302),$EM$3:$EM$400,0),2),"")</f>
        <v/>
      </c>
      <c r="EP302" s="48">
        <f>ROW()</f>
        <v>302</v>
      </c>
      <c r="EQ302" s="48">
        <f t="shared" ca="1" si="560"/>
        <v>0</v>
      </c>
      <c r="ER302" s="48">
        <f ca="1">IF(ISNA(EQ302)=TRUE,MAX($ER$2:ER301)+1,0)</f>
        <v>0</v>
      </c>
      <c r="ES302" s="48" t="str">
        <f t="shared" ca="1" si="570"/>
        <v/>
      </c>
      <c r="ET302" s="48" t="str">
        <f ca="1">IFERROR(INDEX($ER$3:$ES$400,MATCH(ROWS($ET$3:ET302),$ER$3:$ER$400,0),2),"")</f>
        <v/>
      </c>
      <c r="EV302" s="48">
        <f ca="1">IFERROR(INDEX(LIBRO_GIORNALE!$O$11:$P$408,MATCH(ROWS($EV$2:EV301),LIBRO_GIORNALE!$P$11:$P$408,0),1),0)</f>
        <v>0</v>
      </c>
      <c r="EW302" s="48" t="str">
        <f t="shared" ca="1" si="544"/>
        <v>0</v>
      </c>
      <c r="EX302" s="48">
        <f t="shared" ca="1" si="571"/>
        <v>0</v>
      </c>
      <c r="EY302" s="48">
        <f ca="1">IF(EX302&gt;0,MAX($EY$2:EY301)+1,0)</f>
        <v>0</v>
      </c>
      <c r="EZ302" s="48">
        <f ca="1">IFERROR(INDEX($EX$3:$EX$400,MATCH(ROWS($EZ$3:EZ302),$EY$3:$EY$400,0),1),0)</f>
        <v>0</v>
      </c>
      <c r="FA302" s="48">
        <f ca="1">IF(EZ302&gt;0,0,MAX($FA$2:FA301)+1)</f>
        <v>300</v>
      </c>
      <c r="FB302" s="48">
        <f t="shared" ca="1" si="545"/>
        <v>0</v>
      </c>
      <c r="FC302" s="48">
        <f t="shared" ca="1" si="546"/>
        <v>300</v>
      </c>
      <c r="FD302" s="48">
        <f t="shared" ca="1" si="572"/>
        <v>300</v>
      </c>
      <c r="FE302" s="48">
        <f ca="1">IF(FD302=0,0,MAX($FE$2:FE301)+1)</f>
        <v>300</v>
      </c>
      <c r="FF302" s="48">
        <f ca="1">IFERROR(INDEX($FD$3:$FE$400,MATCH(ROWS($FF$3:FF302),$FE$3:$FE$400,0),1),"")</f>
        <v>300</v>
      </c>
      <c r="FG302" s="48">
        <f t="shared" ca="1" si="610"/>
        <v>0</v>
      </c>
      <c r="FH302" s="48">
        <f t="shared" ca="1" si="573"/>
        <v>0</v>
      </c>
      <c r="FI302" s="48">
        <f ca="1">IF(FH302&lt;&gt;0,MAX($FI$2:FI301)+1,0)</f>
        <v>0</v>
      </c>
      <c r="FJ302" s="48" t="str">
        <f ca="1">IFERROR(INDEX($FH$3:$FI$400,MATCH(ROWS($FJ$3:FJ302),$FI$3:$FI$400,0),1),"")</f>
        <v/>
      </c>
      <c r="FK302" s="48">
        <f ca="1">IF(ABS(SUMIFS(DARE,DEN_G,"="&amp;FJ302,DATA,"&lt;="&amp;FINE_AC,DATA,"&gt;="&amp;INIZIO_A_PC)-SUMIFS(AVERE,DEN_G,"="&amp;FJ302,DATA,"&lt;="&amp;FINE_AC,DATA,"&gt;="&amp;INIZIO_A_PC))&gt;0,MAX($FK$2:FK301)+1,0)</f>
        <v>0</v>
      </c>
      <c r="FL302" s="48" t="str">
        <f ca="1">IF(AND(ROW()-2&lt;&gt;1,ROW()-2&lt;=$FK$1),CONCATENATE(" - ",IFERROR(INDEX($FJ$3:$FK$400,MATCH(ROWS($FL$3:FL302),$FK$3:$FK$400,0),1),"")),IFERROR(INDEX($FJ$3:$FK$400,MATCH(ROWS($FL$3:FL302),$FK$3:$FK$400,0),1),""))</f>
        <v/>
      </c>
      <c r="FM302" s="48">
        <f ca="1">IF(OR(B302="IVA ns/credito",B302="IVA NS/DEBITO",B302="IVA C/ACCONTO",B302="IMPOSTE C/ACCONTO",B302="CREDITI PER RITENUTE SUBITE",B302="CREDITI D'IMPOSTA"),MAX($FM$2:FM301)+1,0)</f>
        <v>0</v>
      </c>
      <c r="FN302" s="48" t="str">
        <f t="shared" ca="1" si="574"/>
        <v/>
      </c>
      <c r="FO302" s="48" t="str">
        <f ca="1">IFERROR(INDEX($FM$3:$FN$400,MATCH(ROWS($FO$3:FO302),$FM$3:$FM$400,0),2),"")</f>
        <v/>
      </c>
      <c r="FP302" s="48">
        <f ca="1">IF(ABS(SUMIFS(DARE,DEN_G,"="&amp;FO302,DATA,"&lt;="&amp;FINE_AC,DATA,"&gt;="&amp;INIZIO_A_PC)-SUMIFS(AVERE,DEN_G,"="&amp;FO302,DATA,"&lt;="&amp;FINE_AC,DATA,"&gt;="&amp;INIZIO_A_PC))&gt;0,MAX($FP$2:FP301)+1,0)</f>
        <v>0</v>
      </c>
      <c r="FQ302" s="48" t="str">
        <f ca="1">IF(AND(ROW()-2&lt;&gt;1,ROW()-2&lt;=$FP$1),CONCATENATE(" - ",IFERROR(INDEX($FO$3:$FP$400,MATCH(ROWS($FQ$3:FQ302),$FP$3:$FP$400,0),1),"")),IFERROR(INDEX($FO$3:$FP$400,MATCH(ROWS($FQ$3:FQ302),$FP$3:$FP$400,0),1),""))</f>
        <v/>
      </c>
    </row>
    <row r="303" spans="1:173" x14ac:dyDescent="0.3">
      <c r="A303" s="48" t="str">
        <f ca="1">IFERROR(IF($A$1=2,INDEX($DH$3:$DN$401,MATCH(ROWS(A$3:A303),$DN$3:$DN$401,0),COLUMN()),IF($A$1=1,INDEX($DQ$3:$DW$401,MATCH(ROWS(A$3:A303),$DW$3:$DW$401,0),COLUMN()),"")),"")</f>
        <v>40.40</v>
      </c>
      <c r="B303" s="48" t="str">
        <f ca="1">IFERROR(IF($A$1=2,INDEX($DH$3:$DN$401,MATCH(ROWS(B$3:B303),$DN$3:$DN$401,0),COLUMN()),IF($A$1=1,INDEX($DQ$3:$DW$400,MATCH(ROWS(B$3:B303),$DW$3:$DW$401,0),COLUMN()),"")),"")</f>
        <v>PROVENTI FINANZIARI DIVERSI</v>
      </c>
      <c r="C303" s="48" t="str">
        <f ca="1">IFERROR(IF($A$1=2,INDEX($DH$3:$DN$401,MATCH(ROWS(C$3:C303),$DN$3:$DN$401,0),COLUMN()),IF($A$1=1,INDEX($DQ$3:$DW$401,MATCH(ROWS(C$3:C303),$DW$3:$DW$401,0),COLUMN()),"")),"")</f>
        <v>E</v>
      </c>
      <c r="D303" s="48" t="str">
        <f ca="1">IFERROR(IF($A$1=2,INDEX($DH$3:$DN$401,MATCH(ROWS(D$3:D303),$DN$3:$DN$401,0),COLUMN()),IF($A$1=1,INDEX($DQ$3:$DW$401,MATCH(ROWS(D$3:D303),$DW$3:$DW$401,0),COLUMN()),"")),"")</f>
        <v>A</v>
      </c>
      <c r="E303" s="48" t="str">
        <f ca="1">IFERROR(IF($A$1=2,INDEX($DH$3:$DN$401,MATCH(ROWS(E$3:E303),$DN$3:$DN$401,0),COLUMN()),IF($A$1=1,INDEX($DQ$3:$DW$401,MATCH(ROWS(E$3:E303),$DW$3:$DW$401,0),COLUMN()),"")),"")</f>
        <v>RICAVI D'ESERCIZIO</v>
      </c>
      <c r="F303" s="48" t="str">
        <f ca="1">IFERROR(IF($A$1=2,INDEX($DH$3:$DN$401,MATCH(ROWS(F$3:F303),$DN$3:$DN$401,0),COLUMN()),IF($A$1=1,INDEX($DQ$3:$DX$401,MATCH(ROWS(F$3:F303),$DW$3:$DW$401,0),COLUMN()),"")),"")</f>
        <v>SE AVERE</v>
      </c>
      <c r="G303" s="48" t="str">
        <f t="shared" ca="1" si="561"/>
        <v>SE</v>
      </c>
      <c r="H303" s="48" t="str">
        <f ca="1">IFERROR(IF($A$1=2,INDEX($DH$3:$DO$400,MATCH(ROWS(H$3:H303),$DN$3:$DN$400,0),COLUMN()),IF($A$1=1,INDEX($DQ$3:$DX$400,MATCH(ROWS(H$3:H303),$DW$3:$DW$400,0),COLUMN()),"")),"")</f>
        <v>ec16d</v>
      </c>
      <c r="M303" s="48">
        <f ca="1">IFERROR(IF(IF(MID($A303,3,3)=".00",MID(A303,1,2),"")&lt;&gt;"",MAX($M$2:M302)+1,0),"")</f>
        <v>0</v>
      </c>
      <c r="N303" s="48" t="str">
        <f t="shared" ca="1" si="562"/>
        <v/>
      </c>
      <c r="O303" s="48" t="str">
        <f ca="1">IF(IFERROR(INDEX($N$3:$O$300,MATCH(ROWS($O$3:O303),$M$3:$M$300,0),1),"")&lt;&gt;"",CONCATENATE(INDEX($N$3:$O$300,MATCH(ROWS($O$3:O303),$M$3:$M$300,0),1),".00"),"")</f>
        <v/>
      </c>
      <c r="P303" s="48" t="str">
        <f t="shared" ca="1" si="563"/>
        <v/>
      </c>
      <c r="Q303" s="48">
        <f ca="1">IF(M303&gt;=1,0,MAX($Q$2:Q302)+1)</f>
        <v>269</v>
      </c>
      <c r="U303" s="48" t="str">
        <f ca="1">IFERROR(INDEX(PDC,MATCH(ROWS(U$3:U303),$V$3:$V$400,0),2),"")</f>
        <v/>
      </c>
      <c r="V303" s="48">
        <f ca="1">IF(AND($T$1="VISUALIZZA TUTTI I CONTI",AA303&lt;&gt;""),MAX($V$2:V302)+1,IF(AND($U$2=2,AI303=$T$1),MAX($V$2:V302)+1,IF(AND($U$2=1,$T$1=AF303),MAX($V$2:V302)+1,0)))</f>
        <v>0</v>
      </c>
      <c r="AA303" s="48" t="str">
        <f t="shared" ca="1" si="564"/>
        <v/>
      </c>
      <c r="AB303" s="48" t="str">
        <f ca="1">IFERROR(INDEX($A$3:$G$400,MATCH(ROWS(AB$3:AB303),$Q$3:$Q$400,0),1),"")</f>
        <v/>
      </c>
      <c r="AC303" s="48" t="str">
        <f ca="1">IFERROR(INDEX($A$3:$G$400,MATCH(ROWS($AC$3:AC303),$Q$3:$Q$400,0),2),"")</f>
        <v/>
      </c>
      <c r="AD303" s="48" t="str">
        <f ca="1">IFERROR(INDEX($A$3:$G$400,MATCH(ROWS(AD$3:AD303),$Q$3:$Q$400,0),3),"")</f>
        <v/>
      </c>
      <c r="AE303" s="48" t="str">
        <f ca="1">IFERROR(INDEX($A$3:$G$400,MATCH(ROWS(AE$3:AE303),$Q$3:$Q$400,0),4),"")</f>
        <v/>
      </c>
      <c r="AF303" s="48" t="str">
        <f ca="1">IFERROR(INDEX($A$3:$G$400,MATCH(ROWS(AF$3:AF303),$Q$3:$Q$400,0),5),"")</f>
        <v/>
      </c>
      <c r="AG303" s="48" t="str">
        <f ca="1">IFERROR(INDEX($A$3:$G$400,MATCH(ROWS(AG$3:AG303),$Q$3:$Q$400,0),6),"")</f>
        <v/>
      </c>
      <c r="AH303" s="48" t="str">
        <f ca="1">IFERROR(INDEX($A$3:$G$400,MATCH(ROWS(AH$3:AH303),$Q$3:$Q$400,0),7),"")</f>
        <v/>
      </c>
      <c r="AI303" s="48" t="str">
        <f t="shared" ca="1" si="565"/>
        <v/>
      </c>
      <c r="AJ303" s="48" t="str">
        <f ca="1">IFERROR(INDEX($A$3:$H$400,MATCH(ROWS(AJ$3:AJ303),$Q$3:$Q$400,0),8),"")</f>
        <v/>
      </c>
      <c r="AZ303" s="48" t="str">
        <f t="shared" ca="1" si="584"/>
        <v/>
      </c>
      <c r="BA303" s="48">
        <f t="shared" ca="1" si="611"/>
        <v>0</v>
      </c>
      <c r="BB303" s="48">
        <f t="shared" ca="1" si="612"/>
        <v>0</v>
      </c>
      <c r="BC303" s="48">
        <f t="shared" ca="1" si="613"/>
        <v>0</v>
      </c>
      <c r="BD303" s="48">
        <f t="shared" ca="1" si="614"/>
        <v>0</v>
      </c>
      <c r="BE303" s="48">
        <f t="shared" ca="1" si="615"/>
        <v>0</v>
      </c>
      <c r="BF303" s="48">
        <f t="shared" si="585"/>
        <v>103</v>
      </c>
      <c r="BG303" s="48">
        <f ca="1">IF(IF(AND(OR(INDEX(PDC,MATCH($AC303,DEN_PDC,0),6)="SP DARE",INDEX(PDC,MATCH($AC303,DEN_PDC,0),6)="SP DARE/AVERE"),SUMIFS(DARE,DEN_G,$AC303)&gt;=SUMIFS(AVERE,DEN_G,$AC303)),SUMIFS(DARE,DEN_G,$AC303)-SUMIFS(AVERE,DEN_G,$AC303),0)&gt;0,MAX($BG$2:BG302)+1,0)</f>
        <v>0</v>
      </c>
      <c r="BH303" s="48">
        <f ca="1">IF(IF(AND(OR(INDEX(PDC,MATCH($AC303,DEN_PDC,0),6)="SP AVERE",INDEX(PDC,MATCH($AC303,DEN_PDC,0),6)="SP DARE/AVERE"),SUMIFS(AVERE,DEN_G,$AC303)&gt;=SUMIFS(DARE,DEN_G,$AC303)),SUMIFS(AVERE,DEN_G,$AC303)-SUMIFS(DARE,DEN_G,$AC303),0)&gt;0,MAX(BH$2:BH302)+1,0)</f>
        <v>0</v>
      </c>
      <c r="BI303" s="48">
        <f ca="1">IF(IF(AND(OR(INDEX(PDC,MATCH($AC303,DEN_PDC,0),6)="SE DARE",INDEX(PDC,MATCH($AC303,DEN_PDC,0),6)="SE DARE/AVERE"),SUMIFS(DARE,DEN_G,$AC303)&gt;=SUMIFS(AVERE,DEN_G,$AC303)),SUMIFS(DARE,DEN_G,$AC303)-SUMIFS(AVERE,DEN_G,$AC303),0)&gt;0,MAX(BI$2:BI302)+1,0)</f>
        <v>0</v>
      </c>
      <c r="BJ303" s="48">
        <f ca="1">IF(IF(AND(OR(INDEX(PDC,MATCH($AC303,DEN_PDC,0),6)="SE AVERE",INDEX(PDC,MATCH($AC303,DEN_PDC,0),6)="SE DARE/AVERE"),SUMIFS(AVERE,DEN_G,$AC303)&gt;=SUMIFS(DARE,DEN_G,$AC303)),SUMIFS(AVERE,DEN_G,$AC303)-SUMIFS(DARE,DEN_G,$AC303),0)&gt;0,MAX(BJ$2:BJ302)+1,0)</f>
        <v>0</v>
      </c>
      <c r="BK303" s="48" t="str">
        <f ca="1">IF(AND(AND($DY$2=0,$DY$1=0),$I$1=2,ROW()&gt;$BG$1+2,ROW()&lt;=$BG$1+4),"………………..",IF(AND(OR($DY$2&gt;0,$DY$1&gt;0),$I$1=2,ROW()&gt;$BG$1+2,ROW()&lt;=$BG$1+4),"………………..",IFERROR(INDEX($AC$3:$AC$398,MATCH(ROWS(BK$3:BK303),BG$3:BG$398,0),1),"")))</f>
        <v/>
      </c>
      <c r="BL303" s="48">
        <f t="shared" ca="1" si="549"/>
        <v>0</v>
      </c>
      <c r="BM303" s="48" t="str">
        <f ca="1">IF(AND(OR($DY$2=0,$DY$1=0),$I$1=2,ROW()&gt;$BH$1+2,ROW()&lt;=$BH$1+4),"………………..",IF(AND(OR($DY$2&gt;0,$DY$1&gt;0),$I$1=2,ROW()&gt;$BH$1+2,ROW()&lt;=$BH$1+4),"………………..",IFERROR(INDEX($AC$3:$AC$400,MATCH(ROWS(BM$3:BM303),BH$3:BH$400,0),1),"")))</f>
        <v/>
      </c>
      <c r="BN303" s="48">
        <f t="shared" ca="1" si="550"/>
        <v>0</v>
      </c>
      <c r="BO303" s="48" t="str">
        <f ca="1">IF(AND(OR($DY$2=0,$DY$1=0),$I$1=2,ROW()&gt;$BI$1+2,ROW()&lt;=$BI$1+4),"………………..",IF(AND(OR($DY$2&gt;0,$DY$1&gt;0),$I$1=2,ROW()&gt;$BI$1+2,ROW()&lt;=$BI$1+4),"………………..",IFERROR(INDEX($AC$3:$AC$400,MATCH(ROWS(BO$3:BO303),BI$3:BI$400,0),1),"")))</f>
        <v/>
      </c>
      <c r="BP303" s="48">
        <f t="shared" ca="1" si="551"/>
        <v>0</v>
      </c>
      <c r="BQ303" s="48" t="str">
        <f ca="1">IF(AND(OR($DY$2=0,$DY$1=0),$I$1=2,ROW()&gt;$BJ$1+2,ROW()&lt;=$BJ$1+4),"………………..",IF(AND(OR($DY$2&gt;0,$DY$1&gt;0),$I$1=2,ROW()&gt;$BJ$1+2,ROW()&lt;=$BJ$1+4),"………………..",IFERROR(INDEX($AC$3:$AC$400,MATCH(ROWS(BQ$3:BQ303),BJ$3:BJ$400,0),1),"")))</f>
        <v/>
      </c>
      <c r="BR303" s="48">
        <f t="shared" ca="1" si="552"/>
        <v>0</v>
      </c>
      <c r="BS303" s="48">
        <f ca="1">IF(IF(AND(OR(INDEX(PDC,MATCH($AC303,DEN_PDC,0),4)="D",INDEX(PDC,MATCH($AC303,DEN_PDC,0),4)="D/A"),SUMIFS(DARE,DEN_G,$AC303)&gt;=SUMIFS(AVERE,DEN_G,$AC303)),SUMIFS(DARE,DEN_G,$AC303),IF(AND(OR(INDEX(PDC,MATCH($AC303,DEN_PDC,0),4)="A",INDEX(PDC,MATCH($AC303,DEN_PDC,0),4)="D/A"),SUMIFS(AVERE,DEN_G,$AC303)&gt;=SUMIFS(DARE,DEN_G,$AC303)),SUMIFS(AVERE,DEN_G,$AC303),))&gt;0,MAX($BS$2:BS302)+1,0)</f>
        <v>0</v>
      </c>
      <c r="BT303" s="48" t="str">
        <f ca="1">IF($CO$1=0,"",IF(AND($I$1=2,ROW()&gt;$BR$1,ROW()&lt;=$BS$1)," …………….",IF(AND($E$1=1,$BX$1=1,$I$1=2,ROW()=$BQ$1),"TOTALI",IFERROR(INDEX(PDC,MATCH(ROWS(BT$3:BT303),BS$3:BS700,0),2),""))))</f>
        <v/>
      </c>
      <c r="BU303" s="48">
        <f t="shared" ca="1" si="553"/>
        <v>0</v>
      </c>
      <c r="BV303" s="48">
        <f t="shared" ca="1" si="554"/>
        <v>0</v>
      </c>
      <c r="BW303" s="48">
        <f t="shared" ca="1" si="555"/>
        <v>0</v>
      </c>
      <c r="BX303" s="48">
        <f t="shared" ca="1" si="556"/>
        <v>0</v>
      </c>
      <c r="BY303" s="48">
        <f ca="1">IF(OR(BW303&gt;0,BX303&gt;0),MAX($BY$2:BY302)+1,0)</f>
        <v>0</v>
      </c>
      <c r="BZ303" s="48" t="str">
        <f ca="1">IFERROR(INDEX($BT$3:$BY$400,MATCH(ROWS(BZ$3:BZ303),$BY$3:$BY$400,0),1),"")</f>
        <v/>
      </c>
      <c r="CA303" s="48" t="str">
        <f ca="1">IFERROR(INDEX($BT$3:$BY$400,MATCH(ROWS(CA$3:CA303),$BY$3:$BY$400,0),4),"")</f>
        <v/>
      </c>
      <c r="CB303" s="48" t="str">
        <f ca="1">IFERROR(INDEX($BT$3:$BY$400,MATCH(ROWS(CB$3:CB303),$BY$3:$BY$400,0),5),"")</f>
        <v/>
      </c>
      <c r="CC303" s="48" t="str">
        <f t="shared" ca="1" si="557"/>
        <v/>
      </c>
      <c r="CM303" s="242" t="str">
        <f t="shared" ca="1" si="566"/>
        <v/>
      </c>
      <c r="CN303" s="243">
        <f t="shared" ca="1" si="567"/>
        <v>0</v>
      </c>
      <c r="CO303" s="48" t="str">
        <f t="shared" ca="1" si="568"/>
        <v/>
      </c>
      <c r="CU303" s="48">
        <f ca="1">IF(SUMIFS(AVERE,DEN_G,AC303,AVERE,"&gt;"&amp;0)+SUMIFS(DARE,DEN_G,AC303,DARE,"&gt;"&amp;0)&gt;0,MAX($CU$2:CU302)+1,0)</f>
        <v>0</v>
      </c>
      <c r="CV303" s="48" t="str">
        <f ca="1">IF(IFERROR(INDEX(PDC,MATCH(ROWS($CV$3:CV303),$CU$3:$CU$400,0),2),"")="CONTO DI RISULTATO ECONOMICO","",IFERROR(INDEX(PDC,MATCH(ROWS($CV$3:CV303),$CU$3:$CU$400,0),2),""))</f>
        <v/>
      </c>
      <c r="CW303" s="48">
        <f ca="1">IFERROR(IF(CV303&lt;&gt;"",MAX($CW$2:CW302)+1,0),0)</f>
        <v>0</v>
      </c>
      <c r="CX303" s="48">
        <f t="shared" ref="CX303:CX313" ca="1" si="618">$FF$26</f>
        <v>24</v>
      </c>
      <c r="CY303" s="48" t="str">
        <f t="shared" ca="1" si="617"/>
        <v>MASTRO</v>
      </c>
      <c r="DA303" s="48" t="str">
        <f ca="1">IF(DB302="","","Num. riga")</f>
        <v/>
      </c>
      <c r="DB303" s="48" t="str">
        <f t="shared" ref="DB303" ca="1" si="619">IF(DB302="","","Data")</f>
        <v/>
      </c>
      <c r="DC303" s="48" t="str">
        <f ca="1">IF(DB302="","","Operazioni")</f>
        <v/>
      </c>
      <c r="DD303" s="48" t="str">
        <f ca="1">IF(DB302="","","Dare        ")</f>
        <v/>
      </c>
      <c r="DE303" s="48" t="str">
        <f ca="1">IF(DB302="","","Avere        ")</f>
        <v/>
      </c>
      <c r="DF303" s="48">
        <f ca="1">IF(AND(CX303=$DF$1,CX303&lt;&gt;""),0,IF(AND(DB303&lt;&gt;"",OR(DB302&lt;&gt;"",DB304&lt;&gt;"")),MAX($DF$2:DF302)+1,0))</f>
        <v>0</v>
      </c>
      <c r="DH303" s="244" t="s">
        <v>1116</v>
      </c>
      <c r="DI303" s="48" t="s">
        <v>936</v>
      </c>
      <c r="DJ303" s="48" t="s">
        <v>311</v>
      </c>
      <c r="DK303" s="48" t="s">
        <v>275</v>
      </c>
      <c r="DL303" s="48" t="s">
        <v>7</v>
      </c>
      <c r="DM303" s="48" t="s">
        <v>301</v>
      </c>
      <c r="DN303" s="48">
        <f ca="1">IF(DI303&lt;&gt;"",MAX($DN$2:DN302)+1,0)</f>
        <v>238</v>
      </c>
      <c r="DO303" s="48" t="s">
        <v>710</v>
      </c>
      <c r="DQ303" s="227" t="s">
        <v>218</v>
      </c>
      <c r="DR303" s="48" t="s">
        <v>220</v>
      </c>
      <c r="DS303" s="48" t="s">
        <v>311</v>
      </c>
      <c r="DT303" s="48" t="s">
        <v>275</v>
      </c>
      <c r="DU303" s="48" t="s">
        <v>7</v>
      </c>
      <c r="DV303" s="48" t="s">
        <v>301</v>
      </c>
      <c r="DW303" s="48">
        <f ca="1">IF(DR303&lt;&gt;"",MAX($DW$2:DW302)+1,0)</f>
        <v>180</v>
      </c>
      <c r="DX303" s="48" t="s">
        <v>711</v>
      </c>
      <c r="DY303" s="48" t="str">
        <f t="shared" ca="1" si="558"/>
        <v/>
      </c>
      <c r="EL303" s="48">
        <f t="shared" ca="1" si="559"/>
        <v>0</v>
      </c>
      <c r="EM303" s="48">
        <f ca="1">IF(EL303&gt;=0,0,MAX($EM$2:EM302)+1)</f>
        <v>0</v>
      </c>
      <c r="EN303" s="48" t="str">
        <f t="shared" ca="1" si="569"/>
        <v/>
      </c>
      <c r="EO303" s="48" t="str">
        <f ca="1">IFERROR(INDEX($EM$3:$EN$400,MATCH(ROWS($EO$3:EO303),$EM$3:$EM$400,0),2),"")</f>
        <v/>
      </c>
      <c r="EP303" s="48">
        <f>ROW()</f>
        <v>303</v>
      </c>
      <c r="EQ303" s="48">
        <f t="shared" ca="1" si="560"/>
        <v>0</v>
      </c>
      <c r="ER303" s="48">
        <f ca="1">IF(ISNA(EQ303)=TRUE,MAX($ER$2:ER302)+1,0)</f>
        <v>0</v>
      </c>
      <c r="ES303" s="48" t="str">
        <f t="shared" ca="1" si="570"/>
        <v/>
      </c>
      <c r="ET303" s="48" t="str">
        <f ca="1">IFERROR(INDEX($ER$3:$ES$400,MATCH(ROWS($ET$3:ET303),$ER$3:$ER$400,0),2),"")</f>
        <v/>
      </c>
      <c r="EV303" s="48">
        <f ca="1">IFERROR(INDEX(LIBRO_GIORNALE!$O$11:$P$408,MATCH(ROWS($EV$2:EV302),LIBRO_GIORNALE!$P$11:$P$408,0),1),0)</f>
        <v>0</v>
      </c>
      <c r="EW303" s="48" t="str">
        <f t="shared" ca="1" si="544"/>
        <v>0</v>
      </c>
      <c r="EX303" s="48">
        <f t="shared" ca="1" si="571"/>
        <v>0</v>
      </c>
      <c r="EY303" s="48">
        <f ca="1">IF(EX303&gt;0,MAX($EY$2:EY302)+1,0)</f>
        <v>0</v>
      </c>
      <c r="EZ303" s="48">
        <f ca="1">IFERROR(INDEX($EX$3:$EX$400,MATCH(ROWS($EZ$3:EZ303),$EY$3:$EY$400,0),1),0)</f>
        <v>0</v>
      </c>
      <c r="FA303" s="48">
        <f ca="1">IF(EZ303&gt;0,0,MAX($FA$2:FA302)+1)</f>
        <v>301</v>
      </c>
      <c r="FB303" s="48">
        <f t="shared" ca="1" si="545"/>
        <v>0</v>
      </c>
      <c r="FC303" s="48">
        <f t="shared" ca="1" si="546"/>
        <v>301</v>
      </c>
      <c r="FD303" s="48">
        <f t="shared" ca="1" si="572"/>
        <v>301</v>
      </c>
      <c r="FE303" s="48">
        <f ca="1">IF(FD303=0,0,MAX($FE$2:FE302)+1)</f>
        <v>301</v>
      </c>
      <c r="FF303" s="48">
        <f ca="1">IFERROR(INDEX($FD$3:$FE$400,MATCH(ROWS($FF$3:FF303),$FE$3:$FE$400,0),1),"")</f>
        <v>301</v>
      </c>
      <c r="FG303" s="48">
        <f t="shared" si="610"/>
        <v>0</v>
      </c>
      <c r="FH303" s="48">
        <f t="shared" ca="1" si="573"/>
        <v>0</v>
      </c>
      <c r="FI303" s="48">
        <f ca="1">IF(FH303&lt;&gt;0,MAX($FI$2:FI302)+1,0)</f>
        <v>0</v>
      </c>
      <c r="FJ303" s="48" t="str">
        <f ca="1">IFERROR(INDEX($FH$3:$FI$400,MATCH(ROWS($FJ$3:FJ303),$FI$3:$FI$400,0),1),"")</f>
        <v/>
      </c>
      <c r="FK303" s="48">
        <f ca="1">IF(ABS(SUMIFS(DARE,DEN_G,"="&amp;FJ303,DATA,"&lt;="&amp;FINE_AC,DATA,"&gt;="&amp;INIZIO_A_PC)-SUMIFS(AVERE,DEN_G,"="&amp;FJ303,DATA,"&lt;="&amp;FINE_AC,DATA,"&gt;="&amp;INIZIO_A_PC))&gt;0,MAX($FK$2:FK302)+1,0)</f>
        <v>0</v>
      </c>
      <c r="FL303" s="48" t="str">
        <f ca="1">IF(AND(ROW()-2&lt;&gt;1,ROW()-2&lt;=$FK$1),CONCATENATE(" - ",IFERROR(INDEX($FJ$3:$FK$400,MATCH(ROWS($FL$3:FL303),$FK$3:$FK$400,0),1),"")),IFERROR(INDEX($FJ$3:$FK$400,MATCH(ROWS($FL$3:FL303),$FK$3:$FK$400,0),1),""))</f>
        <v/>
      </c>
      <c r="FM303" s="48">
        <f ca="1">IF(OR(B303="IVA ns/credito",B303="IVA NS/DEBITO",B303="IVA C/ACCONTO",B303="IMPOSTE C/ACCONTO",B303="CREDITI PER RITENUTE SUBITE",B303="CREDITI D'IMPOSTA"),MAX($FM$2:FM302)+1,0)</f>
        <v>0</v>
      </c>
      <c r="FN303" s="48" t="str">
        <f t="shared" ca="1" si="574"/>
        <v/>
      </c>
      <c r="FO303" s="48" t="str">
        <f ca="1">IFERROR(INDEX($FM$3:$FN$400,MATCH(ROWS($FO$3:FO303),$FM$3:$FM$400,0),2),"")</f>
        <v/>
      </c>
      <c r="FP303" s="48">
        <f ca="1">IF(ABS(SUMIFS(DARE,DEN_G,"="&amp;FO303,DATA,"&lt;="&amp;FINE_AC,DATA,"&gt;="&amp;INIZIO_A_PC)-SUMIFS(AVERE,DEN_G,"="&amp;FO303,DATA,"&lt;="&amp;FINE_AC,DATA,"&gt;="&amp;INIZIO_A_PC))&gt;0,MAX($FP$2:FP302)+1,0)</f>
        <v>0</v>
      </c>
      <c r="FQ303" s="48" t="str">
        <f ca="1">IF(AND(ROW()-2&lt;&gt;1,ROW()-2&lt;=$FP$1),CONCATENATE(" - ",IFERROR(INDEX($FO$3:$FP$400,MATCH(ROWS($FQ$3:FQ303),$FP$3:$FP$400,0),1),"")),IFERROR(INDEX($FO$3:$FP$400,MATCH(ROWS($FQ$3:FQ303),$FP$3:$FP$400,0),1),""))</f>
        <v/>
      </c>
    </row>
    <row r="304" spans="1:173" x14ac:dyDescent="0.3">
      <c r="A304" s="48" t="str">
        <f ca="1">IFERROR(IF($A$1=2,INDEX($DH$3:$DN$401,MATCH(ROWS(A$3:A304),$DN$3:$DN$401,0),COLUMN()),IF($A$1=1,INDEX($DQ$3:$DW$401,MATCH(ROWS(A$3:A304),$DW$3:$DW$401,0),COLUMN()),"")),"")</f>
        <v>40.61</v>
      </c>
      <c r="B304" s="48" t="str">
        <f ca="1">IFERROR(IF($A$1=2,INDEX($DH$3:$DN$401,MATCH(ROWS(B$3:B304),$DN$3:$DN$401,0),COLUMN()),IF($A$1=1,INDEX($DQ$3:$DW$400,MATCH(ROWS(B$3:B304),$DW$3:$DW$401,0),COLUMN()),"")),"")</f>
        <v>AGGIO SU PRESTITI</v>
      </c>
      <c r="C304" s="48" t="str">
        <f ca="1">IFERROR(IF($A$1=2,INDEX($DH$3:$DN$401,MATCH(ROWS(C$3:C304),$DN$3:$DN$401,0),COLUMN()),IF($A$1=1,INDEX($DQ$3:$DW$401,MATCH(ROWS(C$3:C304),$DW$3:$DW$401,0),COLUMN()),"")),"")</f>
        <v>E</v>
      </c>
      <c r="D304" s="48" t="str">
        <f ca="1">IFERROR(IF($A$1=2,INDEX($DH$3:$DN$401,MATCH(ROWS(D$3:D304),$DN$3:$DN$401,0),COLUMN()),IF($A$1=1,INDEX($DQ$3:$DW$401,MATCH(ROWS(D$3:D304),$DW$3:$DW$401,0),COLUMN()),"")),"")</f>
        <v>A</v>
      </c>
      <c r="E304" s="48" t="str">
        <f ca="1">IFERROR(IF($A$1=2,INDEX($DH$3:$DN$401,MATCH(ROWS(E$3:E304),$DN$3:$DN$401,0),COLUMN()),IF($A$1=1,INDEX($DQ$3:$DW$401,MATCH(ROWS(E$3:E304),$DW$3:$DW$401,0),COLUMN()),"")),"")</f>
        <v>RICAVI D'ESERCIZIO</v>
      </c>
      <c r="F304" s="48" t="str">
        <f ca="1">IFERROR(IF($A$1=2,INDEX($DH$3:$DN$401,MATCH(ROWS(F$3:F304),$DN$3:$DN$401,0),COLUMN()),IF($A$1=1,INDEX($DQ$3:$DX$401,MATCH(ROWS(F$3:F304),$DW$3:$DW$401,0),COLUMN()),"")),"")</f>
        <v>SE AVERE</v>
      </c>
      <c r="G304" s="48" t="str">
        <f t="shared" ca="1" si="561"/>
        <v>SE</v>
      </c>
      <c r="H304" s="48" t="str">
        <f ca="1">IFERROR(IF($A$1=2,INDEX($DH$3:$DO$400,MATCH(ROWS(H$3:H304),$DN$3:$DN$400,0),COLUMN()),IF($A$1=1,INDEX($DQ$3:$DX$400,MATCH(ROWS(H$3:H304),$DW$3:$DW$400,0),COLUMN()),"")),"")</f>
        <v>ec17</v>
      </c>
      <c r="M304" s="48">
        <f ca="1">IFERROR(IF(IF(MID($A304,3,3)=".00",MID(A304,1,2),"")&lt;&gt;"",MAX($M$2:M303)+1,0),"")</f>
        <v>0</v>
      </c>
      <c r="N304" s="48" t="str">
        <f t="shared" ca="1" si="562"/>
        <v/>
      </c>
      <c r="O304" s="48" t="str">
        <f ca="1">IF(IFERROR(INDEX($N$3:$O$300,MATCH(ROWS($O$3:O304),$M$3:$M$300,0),1),"")&lt;&gt;"",CONCATENATE(INDEX($N$3:$O$300,MATCH(ROWS($O$3:O304),$M$3:$M$300,0),1),".00"),"")</f>
        <v/>
      </c>
      <c r="P304" s="48" t="str">
        <f t="shared" ca="1" si="563"/>
        <v/>
      </c>
      <c r="Q304" s="48">
        <f ca="1">IF(M304&gt;=1,0,MAX($Q$2:Q303)+1)</f>
        <v>270</v>
      </c>
      <c r="U304" s="48" t="str">
        <f ca="1">IFERROR(INDEX(PDC,MATCH(ROWS(U$3:U304),$V$3:$V$400,0),2),"")</f>
        <v/>
      </c>
      <c r="V304" s="48">
        <f ca="1">IF(AND($T$1="VISUALIZZA TUTTI I CONTI",AA304&lt;&gt;""),MAX($V$2:V303)+1,IF(AND($U$2=2,AI304=$T$1),MAX($V$2:V303)+1,IF(AND($U$2=1,$T$1=AF304),MAX($V$2:V303)+1,0)))</f>
        <v>0</v>
      </c>
      <c r="AA304" s="48" t="str">
        <f t="shared" ca="1" si="564"/>
        <v/>
      </c>
      <c r="AB304" s="48" t="str">
        <f ca="1">IFERROR(INDEX($A$3:$G$400,MATCH(ROWS(AB$3:AB304),$Q$3:$Q$400,0),1),"")</f>
        <v/>
      </c>
      <c r="AC304" s="48" t="str">
        <f ca="1">IFERROR(INDEX($A$3:$G$400,MATCH(ROWS($AC$3:AC304),$Q$3:$Q$400,0),2),"")</f>
        <v/>
      </c>
      <c r="AD304" s="48" t="str">
        <f ca="1">IFERROR(INDEX($A$3:$G$400,MATCH(ROWS(AD$3:AD304),$Q$3:$Q$400,0),3),"")</f>
        <v/>
      </c>
      <c r="AE304" s="48" t="str">
        <f ca="1">IFERROR(INDEX($A$3:$G$400,MATCH(ROWS(AE$3:AE304),$Q$3:$Q$400,0),4),"")</f>
        <v/>
      </c>
      <c r="AF304" s="48" t="str">
        <f ca="1">IFERROR(INDEX($A$3:$G$400,MATCH(ROWS(AF$3:AF304),$Q$3:$Q$400,0),5),"")</f>
        <v/>
      </c>
      <c r="AG304" s="48" t="str">
        <f ca="1">IFERROR(INDEX($A$3:$G$400,MATCH(ROWS(AG$3:AG304),$Q$3:$Q$400,0),6),"")</f>
        <v/>
      </c>
      <c r="AH304" s="48" t="str">
        <f ca="1">IFERROR(INDEX($A$3:$G$400,MATCH(ROWS(AH$3:AH304),$Q$3:$Q$400,0),7),"")</f>
        <v/>
      </c>
      <c r="AI304" s="48" t="str">
        <f t="shared" ca="1" si="565"/>
        <v/>
      </c>
      <c r="AJ304" s="48" t="str">
        <f ca="1">IFERROR(INDEX($A$3:$H$400,MATCH(ROWS(AJ$3:AJ304),$Q$3:$Q$400,0),8),"")</f>
        <v/>
      </c>
      <c r="AZ304" s="48" t="str">
        <f t="shared" ca="1" si="584"/>
        <v/>
      </c>
      <c r="BA304" s="48">
        <f t="shared" ca="1" si="611"/>
        <v>0</v>
      </c>
      <c r="BB304" s="48">
        <f t="shared" ca="1" si="612"/>
        <v>0</v>
      </c>
      <c r="BC304" s="48">
        <f t="shared" ca="1" si="613"/>
        <v>0</v>
      </c>
      <c r="BD304" s="48">
        <f t="shared" ca="1" si="614"/>
        <v>0</v>
      </c>
      <c r="BE304" s="48">
        <f t="shared" ca="1" si="615"/>
        <v>0</v>
      </c>
      <c r="BF304" s="48">
        <f t="shared" si="585"/>
        <v>104</v>
      </c>
      <c r="BG304" s="48">
        <f ca="1">IF(IF(AND(OR(INDEX(PDC,MATCH($AC304,DEN_PDC,0),6)="SP DARE",INDEX(PDC,MATCH($AC304,DEN_PDC,0),6)="SP DARE/AVERE"),SUMIFS(DARE,DEN_G,$AC304)&gt;=SUMIFS(AVERE,DEN_G,$AC304)),SUMIFS(DARE,DEN_G,$AC304)-SUMIFS(AVERE,DEN_G,$AC304),0)&gt;0,MAX($BG$2:BG303)+1,0)</f>
        <v>0</v>
      </c>
      <c r="BH304" s="48">
        <f ca="1">IF(IF(AND(OR(INDEX(PDC,MATCH($AC304,DEN_PDC,0),6)="SP AVERE",INDEX(PDC,MATCH($AC304,DEN_PDC,0),6)="SP DARE/AVERE"),SUMIFS(AVERE,DEN_G,$AC304)&gt;=SUMIFS(DARE,DEN_G,$AC304)),SUMIFS(AVERE,DEN_G,$AC304)-SUMIFS(DARE,DEN_G,$AC304),0)&gt;0,MAX(BH$2:BH303)+1,0)</f>
        <v>0</v>
      </c>
      <c r="BI304" s="48">
        <f ca="1">IF(IF(AND(OR(INDEX(PDC,MATCH($AC304,DEN_PDC,0),6)="SE DARE",INDEX(PDC,MATCH($AC304,DEN_PDC,0),6)="SE DARE/AVERE"),SUMIFS(DARE,DEN_G,$AC304)&gt;=SUMIFS(AVERE,DEN_G,$AC304)),SUMIFS(DARE,DEN_G,$AC304)-SUMIFS(AVERE,DEN_G,$AC304),0)&gt;0,MAX(BI$2:BI303)+1,0)</f>
        <v>0</v>
      </c>
      <c r="BJ304" s="48">
        <f ca="1">IF(IF(AND(OR(INDEX(PDC,MATCH($AC304,DEN_PDC,0),6)="SE AVERE",INDEX(PDC,MATCH($AC304,DEN_PDC,0),6)="SE DARE/AVERE"),SUMIFS(AVERE,DEN_G,$AC304)&gt;=SUMIFS(DARE,DEN_G,$AC304)),SUMIFS(AVERE,DEN_G,$AC304)-SUMIFS(DARE,DEN_G,$AC304),0)&gt;0,MAX(BJ$2:BJ303)+1,0)</f>
        <v>0</v>
      </c>
      <c r="BK304" s="48" t="str">
        <f ca="1">IF(AND(AND($DY$2=0,$DY$1=0),$I$1=2,ROW()&gt;$BG$1+2,ROW()&lt;=$BG$1+4),"………………..",IF(AND(OR($DY$2&gt;0,$DY$1&gt;0),$I$1=2,ROW()&gt;$BG$1+2,ROW()&lt;=$BG$1+4),"………………..",IFERROR(INDEX($AC$3:$AC$398,MATCH(ROWS(BK$3:BK304),BG$3:BG$398,0),1),"")))</f>
        <v/>
      </c>
      <c r="BL304" s="48">
        <f t="shared" ca="1" si="549"/>
        <v>0</v>
      </c>
      <c r="BM304" s="48" t="str">
        <f ca="1">IF(AND(OR($DY$2=0,$DY$1=0),$I$1=2,ROW()&gt;$BH$1+2,ROW()&lt;=$BH$1+4),"………………..",IF(AND(OR($DY$2&gt;0,$DY$1&gt;0),$I$1=2,ROW()&gt;$BH$1+2,ROW()&lt;=$BH$1+4),"………………..",IFERROR(INDEX($AC$3:$AC$400,MATCH(ROWS(BM$3:BM304),BH$3:BH$400,0),1),"")))</f>
        <v/>
      </c>
      <c r="BN304" s="48">
        <f t="shared" ca="1" si="550"/>
        <v>0</v>
      </c>
      <c r="BO304" s="48" t="str">
        <f ca="1">IF(AND(OR($DY$2=0,$DY$1=0),$I$1=2,ROW()&gt;$BI$1+2,ROW()&lt;=$BI$1+4),"………………..",IF(AND(OR($DY$2&gt;0,$DY$1&gt;0),$I$1=2,ROW()&gt;$BI$1+2,ROW()&lt;=$BI$1+4),"………………..",IFERROR(INDEX($AC$3:$AC$400,MATCH(ROWS(BO$3:BO304),BI$3:BI$400,0),1),"")))</f>
        <v/>
      </c>
      <c r="BP304" s="48">
        <f t="shared" ca="1" si="551"/>
        <v>0</v>
      </c>
      <c r="BQ304" s="48" t="str">
        <f ca="1">IF(AND(OR($DY$2=0,$DY$1=0),$I$1=2,ROW()&gt;$BJ$1+2,ROW()&lt;=$BJ$1+4),"………………..",IF(AND(OR($DY$2&gt;0,$DY$1&gt;0),$I$1=2,ROW()&gt;$BJ$1+2,ROW()&lt;=$BJ$1+4),"………………..",IFERROR(INDEX($AC$3:$AC$400,MATCH(ROWS(BQ$3:BQ304),BJ$3:BJ$400,0),1),"")))</f>
        <v/>
      </c>
      <c r="BR304" s="48">
        <f t="shared" ca="1" si="552"/>
        <v>0</v>
      </c>
      <c r="BS304" s="48">
        <f ca="1">IF(IF(AND(OR(INDEX(PDC,MATCH($AC304,DEN_PDC,0),4)="D",INDEX(PDC,MATCH($AC304,DEN_PDC,0),4)="D/A"),SUMIFS(DARE,DEN_G,$AC304)&gt;=SUMIFS(AVERE,DEN_G,$AC304)),SUMIFS(DARE,DEN_G,$AC304),IF(AND(OR(INDEX(PDC,MATCH($AC304,DEN_PDC,0),4)="A",INDEX(PDC,MATCH($AC304,DEN_PDC,0),4)="D/A"),SUMIFS(AVERE,DEN_G,$AC304)&gt;=SUMIFS(DARE,DEN_G,$AC304)),SUMIFS(AVERE,DEN_G,$AC304),))&gt;0,MAX($BS$2:BS303)+1,0)</f>
        <v>0</v>
      </c>
      <c r="BT304" s="48" t="str">
        <f ca="1">IF($CO$1=0,"",IF(AND($I$1=2,ROW()&gt;$BR$1,ROW()&lt;=$BS$1)," …………….",IF(AND($E$1=1,$BX$1=1,$I$1=2,ROW()=$BQ$1),"TOTALI",IFERROR(INDEX(PDC,MATCH(ROWS(BT$3:BT304),BS$3:BS701,0),2),""))))</f>
        <v/>
      </c>
      <c r="BU304" s="48">
        <f t="shared" ca="1" si="553"/>
        <v>0</v>
      </c>
      <c r="BV304" s="48">
        <f t="shared" ca="1" si="554"/>
        <v>0</v>
      </c>
      <c r="BW304" s="48">
        <f t="shared" ca="1" si="555"/>
        <v>0</v>
      </c>
      <c r="BX304" s="48">
        <f t="shared" ca="1" si="556"/>
        <v>0</v>
      </c>
      <c r="BY304" s="48">
        <f ca="1">IF(OR(BW304&gt;0,BX304&gt;0),MAX($BY$2:BY303)+1,0)</f>
        <v>0</v>
      </c>
      <c r="BZ304" s="48" t="str">
        <f ca="1">IFERROR(INDEX($BT$3:$BY$400,MATCH(ROWS(BZ$3:BZ304),$BY$3:$BY$400,0),1),"")</f>
        <v/>
      </c>
      <c r="CA304" s="48" t="str">
        <f ca="1">IFERROR(INDEX($BT$3:$BY$400,MATCH(ROWS(CA$3:CA304),$BY$3:$BY$400,0),4),"")</f>
        <v/>
      </c>
      <c r="CB304" s="48" t="str">
        <f ca="1">IFERROR(INDEX($BT$3:$BY$400,MATCH(ROWS(CB$3:CB304),$BY$3:$BY$400,0),5),"")</f>
        <v/>
      </c>
      <c r="CC304" s="48" t="str">
        <f t="shared" ca="1" si="557"/>
        <v/>
      </c>
      <c r="CM304" s="242" t="str">
        <f t="shared" ca="1" si="566"/>
        <v/>
      </c>
      <c r="CN304" s="243">
        <f t="shared" ca="1" si="567"/>
        <v>0</v>
      </c>
      <c r="CO304" s="48" t="str">
        <f t="shared" ca="1" si="568"/>
        <v/>
      </c>
      <c r="CU304" s="48">
        <f ca="1">IF(SUMIFS(AVERE,DEN_G,AC304,AVERE,"&gt;"&amp;0)+SUMIFS(DARE,DEN_G,AC304,DARE,"&gt;"&amp;0)&gt;0,MAX($CU$2:CU303)+1,0)</f>
        <v>0</v>
      </c>
      <c r="CV304" s="48" t="str">
        <f ca="1">IF(IFERROR(INDEX(PDC,MATCH(ROWS($CV$3:CV304),$CU$3:$CU$400,0),2),"")="CONTO DI RISULTATO ECONOMICO","",IFERROR(INDEX(PDC,MATCH(ROWS($CV$3:CV304),$CU$3:$CU$400,0),2),""))</f>
        <v/>
      </c>
      <c r="CW304" s="48">
        <f ca="1">IFERROR(IF(CV304&lt;&gt;"",MAX($CW$2:CW303)+1,0),0)</f>
        <v>0</v>
      </c>
      <c r="CX304" s="48">
        <f t="shared" ca="1" si="618"/>
        <v>24</v>
      </c>
      <c r="CY304" s="48" t="str">
        <f t="shared" ca="1" si="617"/>
        <v>MASTRO</v>
      </c>
      <c r="CZ304" s="48" t="e">
        <f t="shared" ref="CZ304:CZ313" ca="1" si="620">SUM(MATCH($CY304,INDIRECT(ADDRESS(SUM(CZ303)+3,54)&amp;":"&amp;ADDRESS(400,54)),0),CZ303)</f>
        <v>#N/A</v>
      </c>
      <c r="DA304" s="48" t="str">
        <f ca="1">IFERROR(INDEX(LIBRO_GIORNALE,CZ304,1),"")</f>
        <v/>
      </c>
      <c r="DB304" s="48" t="str">
        <f t="shared" ca="1" si="592"/>
        <v/>
      </c>
      <c r="DC304" s="48" t="str">
        <f t="shared" ref="DC304:DC313" ca="1" si="621">IF(IFERROR(INDEX(LIBRO_GIORNALE,CZ304,4),"")=0,"manca la descrizione dell'operazione",IFERROR(INDEX(LIBRO_GIORNALE,CZ304,4),""))</f>
        <v/>
      </c>
      <c r="DD304" s="48" t="str">
        <f t="shared" ref="DD304:DD313" ca="1" si="622">IFERROR(IF(INDEX(LIBRO_GIORNALE,CZ304,5)&gt;0,INDEX(LIBRO_GIORNALE,CZ304,5),""),"")</f>
        <v/>
      </c>
      <c r="DE304" s="48" t="str">
        <f t="shared" ref="DE304:DE313" ca="1" si="623">IFERROR(IF(INDEX(LIBRO_GIORNALE,CZ304,6)&gt;0,INDEX(LIBRO_GIORNALE,CZ304,6),""),"")</f>
        <v/>
      </c>
      <c r="DF304" s="48">
        <f ca="1">IF(AND(CX304=$DF$1,CX304&lt;&gt;""),0,IF(AND(DB304&lt;&gt;"",OR(DB303&lt;&gt;"",DB305&lt;&gt;"")),MAX($DF$2:DF303)+1,0))</f>
        <v>0</v>
      </c>
      <c r="DH304" s="244" t="s">
        <v>1117</v>
      </c>
      <c r="DI304" s="48" t="s">
        <v>440</v>
      </c>
      <c r="DJ304" s="48" t="s">
        <v>311</v>
      </c>
      <c r="DK304" s="48" t="s">
        <v>275</v>
      </c>
      <c r="DL304" s="48" t="s">
        <v>7</v>
      </c>
      <c r="DM304" s="48" t="s">
        <v>301</v>
      </c>
      <c r="DN304" s="48">
        <f ca="1">IF(DI304&lt;&gt;"",MAX($DN$2:DN303)+1,0)</f>
        <v>239</v>
      </c>
      <c r="DO304" s="48" t="s">
        <v>710</v>
      </c>
      <c r="DW304" s="48">
        <f>IF(DR304&lt;&gt;"",MAX($DW$2:DW303)+1,0)</f>
        <v>0</v>
      </c>
      <c r="DY304" s="48" t="str">
        <f t="shared" ca="1" si="558"/>
        <v/>
      </c>
      <c r="EL304" s="48">
        <f t="shared" ca="1" si="559"/>
        <v>0</v>
      </c>
      <c r="EM304" s="48">
        <f ca="1">IF(EL304&gt;=0,0,MAX($EM$2:EM303)+1)</f>
        <v>0</v>
      </c>
      <c r="EN304" s="48" t="str">
        <f t="shared" ca="1" si="569"/>
        <v/>
      </c>
      <c r="EO304" s="48" t="str">
        <f ca="1">IFERROR(INDEX($EM$3:$EN$400,MATCH(ROWS($EO$3:EO304),$EM$3:$EM$400,0),2),"")</f>
        <v/>
      </c>
      <c r="EP304" s="48">
        <f>ROW()</f>
        <v>304</v>
      </c>
      <c r="EQ304" s="48">
        <f t="shared" ca="1" si="560"/>
        <v>0</v>
      </c>
      <c r="ER304" s="48">
        <f ca="1">IF(ISNA(EQ304)=TRUE,MAX($ER$2:ER303)+1,0)</f>
        <v>0</v>
      </c>
      <c r="ES304" s="48" t="str">
        <f t="shared" ca="1" si="570"/>
        <v/>
      </c>
      <c r="ET304" s="48" t="str">
        <f ca="1">IFERROR(INDEX($ER$3:$ES$400,MATCH(ROWS($ET$3:ET304),$ER$3:$ER$400,0),2),"")</f>
        <v/>
      </c>
      <c r="EV304" s="48">
        <f ca="1">IFERROR(INDEX(LIBRO_GIORNALE!$O$11:$P$408,MATCH(ROWS($EV$2:EV303),LIBRO_GIORNALE!$P$11:$P$408,0),1),0)</f>
        <v>0</v>
      </c>
      <c r="EW304" s="48" t="str">
        <f t="shared" ca="1" si="544"/>
        <v>0</v>
      </c>
      <c r="EX304" s="48">
        <f t="shared" ca="1" si="571"/>
        <v>0</v>
      </c>
      <c r="EY304" s="48">
        <f ca="1">IF(EX304&gt;0,MAX($EY$2:EY303)+1,0)</f>
        <v>0</v>
      </c>
      <c r="EZ304" s="48">
        <f ca="1">IFERROR(INDEX($EX$3:$EX$400,MATCH(ROWS($EZ$3:EZ304),$EY$3:$EY$400,0),1),0)</f>
        <v>0</v>
      </c>
      <c r="FA304" s="48">
        <f ca="1">IF(EZ304&gt;0,0,MAX($FA$2:FA303)+1)</f>
        <v>302</v>
      </c>
      <c r="FB304" s="48">
        <f t="shared" ca="1" si="545"/>
        <v>0</v>
      </c>
      <c r="FC304" s="48">
        <f t="shared" ca="1" si="546"/>
        <v>302</v>
      </c>
      <c r="FD304" s="48">
        <f t="shared" ca="1" si="572"/>
        <v>302</v>
      </c>
      <c r="FE304" s="48">
        <f ca="1">IF(FD304=0,0,MAX($FE$2:FE303)+1)</f>
        <v>302</v>
      </c>
      <c r="FF304" s="48">
        <f ca="1">IFERROR(INDEX($FD$3:$FE$400,MATCH(ROWS($FF$3:FF304),$FE$3:$FE$400,0),1),"")</f>
        <v>302</v>
      </c>
      <c r="FG304" s="48">
        <f t="shared" si="610"/>
        <v>0</v>
      </c>
      <c r="FH304" s="48">
        <f t="shared" ca="1" si="573"/>
        <v>0</v>
      </c>
      <c r="FI304" s="48">
        <f ca="1">IF(FH304&lt;&gt;0,MAX($FI$2:FI303)+1,0)</f>
        <v>0</v>
      </c>
      <c r="FJ304" s="48" t="str">
        <f ca="1">IFERROR(INDEX($FH$3:$FI$400,MATCH(ROWS($FJ$3:FJ304),$FI$3:$FI$400,0),1),"")</f>
        <v/>
      </c>
      <c r="FK304" s="48">
        <f ca="1">IF(ABS(SUMIFS(DARE,DEN_G,"="&amp;FJ304,DATA,"&lt;="&amp;FINE_AC,DATA,"&gt;="&amp;INIZIO_A_PC)-SUMIFS(AVERE,DEN_G,"="&amp;FJ304,DATA,"&lt;="&amp;FINE_AC,DATA,"&gt;="&amp;INIZIO_A_PC))&gt;0,MAX($FK$2:FK303)+1,0)</f>
        <v>0</v>
      </c>
      <c r="FL304" s="48" t="str">
        <f ca="1">IF(AND(ROW()-2&lt;&gt;1,ROW()-2&lt;=$FK$1),CONCATENATE(" - ",IFERROR(INDEX($FJ$3:$FK$400,MATCH(ROWS($FL$3:FL304),$FK$3:$FK$400,0),1),"")),IFERROR(INDEX($FJ$3:$FK$400,MATCH(ROWS($FL$3:FL304),$FK$3:$FK$400,0),1),""))</f>
        <v/>
      </c>
      <c r="FM304" s="48">
        <f ca="1">IF(OR(B304="IVA ns/credito",B304="IVA NS/DEBITO",B304="IVA C/ACCONTO",B304="IMPOSTE C/ACCONTO",B304="CREDITI PER RITENUTE SUBITE",B304="CREDITI D'IMPOSTA"),MAX($FM$2:FM303)+1,0)</f>
        <v>0</v>
      </c>
      <c r="FN304" s="48" t="str">
        <f t="shared" ca="1" si="574"/>
        <v/>
      </c>
      <c r="FO304" s="48" t="str">
        <f ca="1">IFERROR(INDEX($FM$3:$FN$400,MATCH(ROWS($FO$3:FO304),$FM$3:$FM$400,0),2),"")</f>
        <v/>
      </c>
      <c r="FP304" s="48">
        <f ca="1">IF(ABS(SUMIFS(DARE,DEN_G,"="&amp;FO304,DATA,"&lt;="&amp;FINE_AC,DATA,"&gt;="&amp;INIZIO_A_PC)-SUMIFS(AVERE,DEN_G,"="&amp;FO304,DATA,"&lt;="&amp;FINE_AC,DATA,"&gt;="&amp;INIZIO_A_PC))&gt;0,MAX($FP$2:FP303)+1,0)</f>
        <v>0</v>
      </c>
      <c r="FQ304" s="48" t="str">
        <f ca="1">IF(AND(ROW()-2&lt;&gt;1,ROW()-2&lt;=$FP$1),CONCATENATE(" - ",IFERROR(INDEX($FO$3:$FP$400,MATCH(ROWS($FQ$3:FQ304),$FP$3:$FP$400,0),1),"")),IFERROR(INDEX($FO$3:$FP$400,MATCH(ROWS($FQ$3:FQ304),$FP$3:$FP$400,0),1),""))</f>
        <v/>
      </c>
    </row>
    <row r="305" spans="1:173" x14ac:dyDescent="0.3">
      <c r="A305" s="48" t="str">
        <f ca="1">IFERROR(IF($A$1=2,INDEX($DH$3:$DN$401,MATCH(ROWS(A$3:A305),$DN$3:$DN$401,0),COLUMN()),IF($A$1=1,INDEX($DQ$3:$DW$401,MATCH(ROWS(A$3:A305),$DW$3:$DW$401,0),COLUMN()),"")),"")</f>
        <v>41.00</v>
      </c>
      <c r="B305" s="48" t="str">
        <f ca="1">IFERROR(IF($A$1=2,INDEX($DH$3:$DN$401,MATCH(ROWS(B$3:B305),$DN$3:$DN$401,0),COLUMN()),IF($A$1=1,INDEX($DQ$3:$DW$400,MATCH(ROWS(B$3:B305),$DW$3:$DW$401,0),COLUMN()),"")),"")</f>
        <v>ONERI FINANZIARI</v>
      </c>
      <c r="C305" s="48">
        <f ca="1">IFERROR(IF($A$1=2,INDEX($DH$3:$DN$401,MATCH(ROWS(C$3:C305),$DN$3:$DN$401,0),COLUMN()),IF($A$1=1,INDEX($DQ$3:$DW$401,MATCH(ROWS(C$3:C305),$DW$3:$DW$401,0),COLUMN()),"")),"")</f>
        <v>0</v>
      </c>
      <c r="D305" s="48">
        <f ca="1">IFERROR(IF($A$1=2,INDEX($DH$3:$DN$401,MATCH(ROWS(D$3:D305),$DN$3:$DN$401,0),COLUMN()),IF($A$1=1,INDEX($DQ$3:$DW$401,MATCH(ROWS(D$3:D305),$DW$3:$DW$401,0),COLUMN()),"")),"")</f>
        <v>0</v>
      </c>
      <c r="E305" s="48">
        <f ca="1">IFERROR(IF($A$1=2,INDEX($DH$3:$DN$401,MATCH(ROWS(E$3:E305),$DN$3:$DN$401,0),COLUMN()),IF($A$1=1,INDEX($DQ$3:$DW$401,MATCH(ROWS(E$3:E305),$DW$3:$DW$401,0),COLUMN()),"")),"")</f>
        <v>0</v>
      </c>
      <c r="F305" s="48">
        <f ca="1">IFERROR(IF($A$1=2,INDEX($DH$3:$DN$401,MATCH(ROWS(F$3:F305),$DN$3:$DN$401,0),COLUMN()),IF($A$1=1,INDEX($DQ$3:$DX$401,MATCH(ROWS(F$3:F305),$DW$3:$DW$401,0),COLUMN()),"")),"")</f>
        <v>0</v>
      </c>
      <c r="G305" s="48" t="str">
        <f t="shared" ca="1" si="561"/>
        <v>0</v>
      </c>
      <c r="H305" s="48">
        <f ca="1">IFERROR(IF($A$1=2,INDEX($DH$3:$DO$400,MATCH(ROWS(H$3:H305),$DN$3:$DN$400,0),COLUMN()),IF($A$1=1,INDEX($DQ$3:$DX$400,MATCH(ROWS(H$3:H305),$DW$3:$DW$400,0),COLUMN()),"")),"")</f>
        <v>0</v>
      </c>
      <c r="M305" s="48">
        <f ca="1">IFERROR(IF(IF(MID($A305,3,3)=".00",MID(A305,1,2),"")&lt;&gt;"",MAX($M$2:M304)+1,0),"")</f>
        <v>33</v>
      </c>
      <c r="N305" s="48" t="str">
        <f t="shared" ca="1" si="562"/>
        <v>41</v>
      </c>
      <c r="O305" s="48" t="str">
        <f ca="1">IF(IFERROR(INDEX($N$3:$O$300,MATCH(ROWS($O$3:O305),$M$3:$M$300,0),1),"")&lt;&gt;"",CONCATENATE(INDEX($N$3:$O$300,MATCH(ROWS($O$3:O305),$M$3:$M$300,0),1),".00"),"")</f>
        <v/>
      </c>
      <c r="P305" s="48" t="str">
        <f t="shared" ca="1" si="563"/>
        <v/>
      </c>
      <c r="Q305" s="48">
        <f ca="1">IF(M305&gt;=1,0,MAX($Q$2:Q304)+1)</f>
        <v>0</v>
      </c>
      <c r="U305" s="48" t="str">
        <f ca="1">IFERROR(INDEX(PDC,MATCH(ROWS(U$3:U305),$V$3:$V$400,0),2),"")</f>
        <v/>
      </c>
      <c r="V305" s="48">
        <f ca="1">IF(AND($T$1="VISUALIZZA TUTTI I CONTI",AA305&lt;&gt;""),MAX($V$2:V304)+1,IF(AND($U$2=2,AI305=$T$1),MAX($V$2:V304)+1,IF(AND($U$2=1,$T$1=AF305),MAX($V$2:V304)+1,0)))</f>
        <v>0</v>
      </c>
      <c r="AA305" s="48" t="str">
        <f t="shared" ca="1" si="564"/>
        <v/>
      </c>
      <c r="AB305" s="48" t="str">
        <f ca="1">IFERROR(INDEX($A$3:$G$400,MATCH(ROWS(AB$3:AB305),$Q$3:$Q$400,0),1),"")</f>
        <v/>
      </c>
      <c r="AC305" s="48" t="str">
        <f ca="1">IFERROR(INDEX($A$3:$G$400,MATCH(ROWS($AC$3:AC305),$Q$3:$Q$400,0),2),"")</f>
        <v/>
      </c>
      <c r="AD305" s="48" t="str">
        <f ca="1">IFERROR(INDEX($A$3:$G$400,MATCH(ROWS(AD$3:AD305),$Q$3:$Q$400,0),3),"")</f>
        <v/>
      </c>
      <c r="AE305" s="48" t="str">
        <f ca="1">IFERROR(INDEX($A$3:$G$400,MATCH(ROWS(AE$3:AE305),$Q$3:$Q$400,0),4),"")</f>
        <v/>
      </c>
      <c r="AF305" s="48" t="str">
        <f ca="1">IFERROR(INDEX($A$3:$G$400,MATCH(ROWS(AF$3:AF305),$Q$3:$Q$400,0),5),"")</f>
        <v/>
      </c>
      <c r="AG305" s="48" t="str">
        <f ca="1">IFERROR(INDEX($A$3:$G$400,MATCH(ROWS(AG$3:AG305),$Q$3:$Q$400,0),6),"")</f>
        <v/>
      </c>
      <c r="AH305" s="48" t="str">
        <f ca="1">IFERROR(INDEX($A$3:$G$400,MATCH(ROWS(AH$3:AH305),$Q$3:$Q$400,0),7),"")</f>
        <v/>
      </c>
      <c r="AI305" s="48" t="str">
        <f t="shared" ca="1" si="565"/>
        <v/>
      </c>
      <c r="AJ305" s="48" t="str">
        <f ca="1">IFERROR(INDEX($A$3:$H$400,MATCH(ROWS(AJ$3:AJ305),$Q$3:$Q$400,0),8),"")</f>
        <v/>
      </c>
      <c r="AZ305" s="48" t="str">
        <f t="shared" ca="1" si="584"/>
        <v/>
      </c>
      <c r="BA305" s="48">
        <f t="shared" ca="1" si="611"/>
        <v>0</v>
      </c>
      <c r="BB305" s="48">
        <f t="shared" ca="1" si="612"/>
        <v>0</v>
      </c>
      <c r="BC305" s="48">
        <f t="shared" ca="1" si="613"/>
        <v>0</v>
      </c>
      <c r="BD305" s="48">
        <f t="shared" ca="1" si="614"/>
        <v>0</v>
      </c>
      <c r="BE305" s="48">
        <f t="shared" ca="1" si="615"/>
        <v>0</v>
      </c>
      <c r="BF305" s="48">
        <f t="shared" si="585"/>
        <v>105</v>
      </c>
      <c r="BG305" s="48">
        <f ca="1">IF(IF(AND(OR(INDEX(PDC,MATCH($AC305,DEN_PDC,0),6)="SP DARE",INDEX(PDC,MATCH($AC305,DEN_PDC,0),6)="SP DARE/AVERE"),SUMIFS(DARE,DEN_G,$AC305)&gt;=SUMIFS(AVERE,DEN_G,$AC305)),SUMIFS(DARE,DEN_G,$AC305)-SUMIFS(AVERE,DEN_G,$AC305),0)&gt;0,MAX($BG$2:BG304)+1,0)</f>
        <v>0</v>
      </c>
      <c r="BH305" s="48">
        <f ca="1">IF(IF(AND(OR(INDEX(PDC,MATCH($AC305,DEN_PDC,0),6)="SP AVERE",INDEX(PDC,MATCH($AC305,DEN_PDC,0),6)="SP DARE/AVERE"),SUMIFS(AVERE,DEN_G,$AC305)&gt;=SUMIFS(DARE,DEN_G,$AC305)),SUMIFS(AVERE,DEN_G,$AC305)-SUMIFS(DARE,DEN_G,$AC305),0)&gt;0,MAX(BH$2:BH304)+1,0)</f>
        <v>0</v>
      </c>
      <c r="BI305" s="48">
        <f ca="1">IF(IF(AND(OR(INDEX(PDC,MATCH($AC305,DEN_PDC,0),6)="SE DARE",INDEX(PDC,MATCH($AC305,DEN_PDC,0),6)="SE DARE/AVERE"),SUMIFS(DARE,DEN_G,$AC305)&gt;=SUMIFS(AVERE,DEN_G,$AC305)),SUMIFS(DARE,DEN_G,$AC305)-SUMIFS(AVERE,DEN_G,$AC305),0)&gt;0,MAX(BI$2:BI304)+1,0)</f>
        <v>0</v>
      </c>
      <c r="BJ305" s="48">
        <f ca="1">IF(IF(AND(OR(INDEX(PDC,MATCH($AC305,DEN_PDC,0),6)="SE AVERE",INDEX(PDC,MATCH($AC305,DEN_PDC,0),6)="SE DARE/AVERE"),SUMIFS(AVERE,DEN_G,$AC305)&gt;=SUMIFS(DARE,DEN_G,$AC305)),SUMIFS(AVERE,DEN_G,$AC305)-SUMIFS(DARE,DEN_G,$AC305),0)&gt;0,MAX(BJ$2:BJ304)+1,0)</f>
        <v>0</v>
      </c>
      <c r="BK305" s="48" t="str">
        <f ca="1">IF(AND(AND($DY$2=0,$DY$1=0),$I$1=2,ROW()&gt;$BG$1+2,ROW()&lt;=$BG$1+4),"………………..",IF(AND(OR($DY$2&gt;0,$DY$1&gt;0),$I$1=2,ROW()&gt;$BG$1+2,ROW()&lt;=$BG$1+4),"………………..",IFERROR(INDEX($AC$3:$AC$398,MATCH(ROWS(BK$3:BK305),BG$3:BG$398,0),1),"")))</f>
        <v/>
      </c>
      <c r="BL305" s="48">
        <f t="shared" ca="1" si="549"/>
        <v>0</v>
      </c>
      <c r="BM305" s="48" t="str">
        <f ca="1">IF(AND(OR($DY$2=0,$DY$1=0),$I$1=2,ROW()&gt;$BH$1+2,ROW()&lt;=$BH$1+4),"………………..",IF(AND(OR($DY$2&gt;0,$DY$1&gt;0),$I$1=2,ROW()&gt;$BH$1+2,ROW()&lt;=$BH$1+4),"………………..",IFERROR(INDEX($AC$3:$AC$400,MATCH(ROWS(BM$3:BM305),BH$3:BH$400,0),1),"")))</f>
        <v/>
      </c>
      <c r="BN305" s="48">
        <f t="shared" ca="1" si="550"/>
        <v>0</v>
      </c>
      <c r="BO305" s="48" t="str">
        <f ca="1">IF(AND(OR($DY$2=0,$DY$1=0),$I$1=2,ROW()&gt;$BI$1+2,ROW()&lt;=$BI$1+4),"………………..",IF(AND(OR($DY$2&gt;0,$DY$1&gt;0),$I$1=2,ROW()&gt;$BI$1+2,ROW()&lt;=$BI$1+4),"………………..",IFERROR(INDEX($AC$3:$AC$400,MATCH(ROWS(BO$3:BO305),BI$3:BI$400,0),1),"")))</f>
        <v/>
      </c>
      <c r="BP305" s="48">
        <f t="shared" ca="1" si="551"/>
        <v>0</v>
      </c>
      <c r="BQ305" s="48" t="str">
        <f ca="1">IF(AND(OR($DY$2=0,$DY$1=0),$I$1=2,ROW()&gt;$BJ$1+2,ROW()&lt;=$BJ$1+4),"………………..",IF(AND(OR($DY$2&gt;0,$DY$1&gt;0),$I$1=2,ROW()&gt;$BJ$1+2,ROW()&lt;=$BJ$1+4),"………………..",IFERROR(INDEX($AC$3:$AC$400,MATCH(ROWS(BQ$3:BQ305),BJ$3:BJ$400,0),1),"")))</f>
        <v/>
      </c>
      <c r="BR305" s="48">
        <f t="shared" ca="1" si="552"/>
        <v>0</v>
      </c>
      <c r="BS305" s="48">
        <f ca="1">IF(IF(AND(OR(INDEX(PDC,MATCH($AC305,DEN_PDC,0),4)="D",INDEX(PDC,MATCH($AC305,DEN_PDC,0),4)="D/A"),SUMIFS(DARE,DEN_G,$AC305)&gt;=SUMIFS(AVERE,DEN_G,$AC305)),SUMIFS(DARE,DEN_G,$AC305),IF(AND(OR(INDEX(PDC,MATCH($AC305,DEN_PDC,0),4)="A",INDEX(PDC,MATCH($AC305,DEN_PDC,0),4)="D/A"),SUMIFS(AVERE,DEN_G,$AC305)&gt;=SUMIFS(DARE,DEN_G,$AC305)),SUMIFS(AVERE,DEN_G,$AC305),))&gt;0,MAX($BS$2:BS304)+1,0)</f>
        <v>0</v>
      </c>
      <c r="BT305" s="48" t="str">
        <f ca="1">IF($CO$1=0,"",IF(AND($I$1=2,ROW()&gt;$BR$1,ROW()&lt;=$BS$1)," …………….",IF(AND($E$1=1,$BX$1=1,$I$1=2,ROW()=$BQ$1),"TOTALI",IFERROR(INDEX(PDC,MATCH(ROWS(BT$3:BT305),BS$3:BS702,0),2),""))))</f>
        <v/>
      </c>
      <c r="BU305" s="48">
        <f t="shared" ca="1" si="553"/>
        <v>0</v>
      </c>
      <c r="BV305" s="48">
        <f t="shared" ca="1" si="554"/>
        <v>0</v>
      </c>
      <c r="BW305" s="48">
        <f t="shared" ca="1" si="555"/>
        <v>0</v>
      </c>
      <c r="BX305" s="48">
        <f t="shared" ca="1" si="556"/>
        <v>0</v>
      </c>
      <c r="BY305" s="48">
        <f ca="1">IF(OR(BW305&gt;0,BX305&gt;0),MAX($BY$2:BY304)+1,0)</f>
        <v>0</v>
      </c>
      <c r="BZ305" s="48" t="str">
        <f ca="1">IFERROR(INDEX($BT$3:$BY$400,MATCH(ROWS(BZ$3:BZ305),$BY$3:$BY$400,0),1),"")</f>
        <v/>
      </c>
      <c r="CA305" s="48" t="str">
        <f ca="1">IFERROR(INDEX($BT$3:$BY$400,MATCH(ROWS(CA$3:CA305),$BY$3:$BY$400,0),4),"")</f>
        <v/>
      </c>
      <c r="CB305" s="48" t="str">
        <f ca="1">IFERROR(INDEX($BT$3:$BY$400,MATCH(ROWS(CB$3:CB305),$BY$3:$BY$400,0),5),"")</f>
        <v/>
      </c>
      <c r="CC305" s="48" t="str">
        <f t="shared" ca="1" si="557"/>
        <v/>
      </c>
      <c r="CM305" s="242" t="str">
        <f t="shared" ca="1" si="566"/>
        <v/>
      </c>
      <c r="CN305" s="243">
        <f t="shared" ca="1" si="567"/>
        <v>0</v>
      </c>
      <c r="CO305" s="48" t="str">
        <f t="shared" ca="1" si="568"/>
        <v/>
      </c>
      <c r="CU305" s="48">
        <f ca="1">IF(SUMIFS(AVERE,DEN_G,AC305,AVERE,"&gt;"&amp;0)+SUMIFS(DARE,DEN_G,AC305,DARE,"&gt;"&amp;0)&gt;0,MAX($CU$2:CU304)+1,0)</f>
        <v>0</v>
      </c>
      <c r="CV305" s="48" t="str">
        <f ca="1">IF(IFERROR(INDEX(PDC,MATCH(ROWS($CV$3:CV305),$CU$3:$CU$400,0),2),"")="CONTO DI RISULTATO ECONOMICO","",IFERROR(INDEX(PDC,MATCH(ROWS($CV$3:CV305),$CU$3:$CU$400,0),2),""))</f>
        <v/>
      </c>
      <c r="CW305" s="48">
        <f ca="1">IFERROR(IF(CV305&lt;&gt;"",MAX($CW$2:CW304)+1,0),0)</f>
        <v>0</v>
      </c>
      <c r="CX305" s="48">
        <f t="shared" ca="1" si="618"/>
        <v>24</v>
      </c>
      <c r="CY305" s="48" t="str">
        <f t="shared" ca="1" si="617"/>
        <v>MASTRO</v>
      </c>
      <c r="CZ305" s="48" t="e">
        <f t="shared" ca="1" si="620"/>
        <v>#N/A</v>
      </c>
      <c r="DA305" s="48" t="str">
        <f t="shared" ref="DA305:DA313" ca="1" si="624">IFERROR(INDEX(LIBRO_GIORNALE,CZ305,1),"")</f>
        <v/>
      </c>
      <c r="DB305" s="48" t="str">
        <f t="shared" ca="1" si="592"/>
        <v/>
      </c>
      <c r="DC305" s="48" t="str">
        <f t="shared" ca="1" si="621"/>
        <v/>
      </c>
      <c r="DD305" s="48" t="str">
        <f t="shared" ca="1" si="622"/>
        <v/>
      </c>
      <c r="DE305" s="48" t="str">
        <f t="shared" ca="1" si="623"/>
        <v/>
      </c>
      <c r="DF305" s="48">
        <f ca="1">IF(AND(CX305=$DF$1,CX305&lt;&gt;""),0,IF(AND(DB305&lt;&gt;"",OR(DB304&lt;&gt;"",DB306&lt;&gt;"")),MAX($DF$2:DF304)+1,0))</f>
        <v>0</v>
      </c>
      <c r="DH305" s="244" t="s">
        <v>1118</v>
      </c>
      <c r="DI305" s="48" t="s">
        <v>937</v>
      </c>
      <c r="DJ305" s="48" t="s">
        <v>311</v>
      </c>
      <c r="DK305" s="48" t="s">
        <v>275</v>
      </c>
      <c r="DL305" s="48" t="s">
        <v>7</v>
      </c>
      <c r="DM305" s="48" t="s">
        <v>301</v>
      </c>
      <c r="DN305" s="48">
        <f ca="1">IF(DI305&lt;&gt;"",MAX($DN$2:DN304)+1,0)</f>
        <v>240</v>
      </c>
      <c r="DO305" s="48" t="s">
        <v>710</v>
      </c>
      <c r="DW305" s="48">
        <f>IF(DR305&lt;&gt;"",MAX($DW$2:DW304)+1,0)</f>
        <v>0</v>
      </c>
      <c r="DY305" s="48" t="str">
        <f t="shared" ca="1" si="558"/>
        <v/>
      </c>
      <c r="EL305" s="48">
        <f t="shared" ca="1" si="559"/>
        <v>0</v>
      </c>
      <c r="EM305" s="48">
        <f ca="1">IF(EL305&gt;=0,0,MAX($EM$2:EM304)+1)</f>
        <v>0</v>
      </c>
      <c r="EN305" s="48" t="str">
        <f t="shared" ca="1" si="569"/>
        <v/>
      </c>
      <c r="EO305" s="48" t="str">
        <f ca="1">IFERROR(INDEX($EM$3:$EN$400,MATCH(ROWS($EO$3:EO305),$EM$3:$EM$400,0),2),"")</f>
        <v/>
      </c>
      <c r="EP305" s="48">
        <f>ROW()</f>
        <v>305</v>
      </c>
      <c r="EQ305" s="48">
        <f t="shared" ca="1" si="560"/>
        <v>0</v>
      </c>
      <c r="ER305" s="48">
        <f ca="1">IF(ISNA(EQ305)=TRUE,MAX($ER$2:ER304)+1,0)</f>
        <v>0</v>
      </c>
      <c r="ES305" s="48" t="str">
        <f t="shared" ca="1" si="570"/>
        <v/>
      </c>
      <c r="ET305" s="48" t="str">
        <f ca="1">IFERROR(INDEX($ER$3:$ES$400,MATCH(ROWS($ET$3:ET305),$ER$3:$ER$400,0),2),"")</f>
        <v/>
      </c>
      <c r="EV305" s="48">
        <f ca="1">IFERROR(INDEX(LIBRO_GIORNALE!$O$11:$P$408,MATCH(ROWS($EV$2:EV304),LIBRO_GIORNALE!$P$11:$P$408,0),1),0)</f>
        <v>0</v>
      </c>
      <c r="EW305" s="48" t="str">
        <f t="shared" ca="1" si="544"/>
        <v>0</v>
      </c>
      <c r="EX305" s="48">
        <f t="shared" ca="1" si="571"/>
        <v>0</v>
      </c>
      <c r="EY305" s="48">
        <f ca="1">IF(EX305&gt;0,MAX($EY$2:EY304)+1,0)</f>
        <v>0</v>
      </c>
      <c r="EZ305" s="48">
        <f ca="1">IFERROR(INDEX($EX$3:$EX$400,MATCH(ROWS($EZ$3:EZ305),$EY$3:$EY$400,0),1),0)</f>
        <v>0</v>
      </c>
      <c r="FA305" s="48">
        <f ca="1">IF(EZ305&gt;0,0,MAX($FA$2:FA304)+1)</f>
        <v>303</v>
      </c>
      <c r="FB305" s="48">
        <f t="shared" ca="1" si="545"/>
        <v>0</v>
      </c>
      <c r="FC305" s="48">
        <f t="shared" ca="1" si="546"/>
        <v>303</v>
      </c>
      <c r="FD305" s="48">
        <f t="shared" ca="1" si="572"/>
        <v>303</v>
      </c>
      <c r="FE305" s="48">
        <f ca="1">IF(FD305=0,0,MAX($FE$2:FE304)+1)</f>
        <v>303</v>
      </c>
      <c r="FF305" s="48">
        <f ca="1">IFERROR(INDEX($FD$3:$FE$400,MATCH(ROWS($FF$3:FF305),$FE$3:$FE$400,0),1),"")</f>
        <v>303</v>
      </c>
      <c r="FG305" s="48">
        <f t="shared" si="610"/>
        <v>0</v>
      </c>
      <c r="FH305" s="48">
        <f t="shared" ca="1" si="573"/>
        <v>0</v>
      </c>
      <c r="FI305" s="48">
        <f ca="1">IF(FH305&lt;&gt;0,MAX($FI$2:FI304)+1,0)</f>
        <v>0</v>
      </c>
      <c r="FJ305" s="48" t="str">
        <f ca="1">IFERROR(INDEX($FH$3:$FI$400,MATCH(ROWS($FJ$3:FJ305),$FI$3:$FI$400,0),1),"")</f>
        <v/>
      </c>
      <c r="FK305" s="48">
        <f ca="1">IF(ABS(SUMIFS(DARE,DEN_G,"="&amp;FJ305,DATA,"&lt;="&amp;FINE_AC,DATA,"&gt;="&amp;INIZIO_A_PC)-SUMIFS(AVERE,DEN_G,"="&amp;FJ305,DATA,"&lt;="&amp;FINE_AC,DATA,"&gt;="&amp;INIZIO_A_PC))&gt;0,MAX($FK$2:FK304)+1,0)</f>
        <v>0</v>
      </c>
      <c r="FL305" s="48" t="str">
        <f ca="1">IF(AND(ROW()-2&lt;&gt;1,ROW()-2&lt;=$FK$1),CONCATENATE(" - ",IFERROR(INDEX($FJ$3:$FK$400,MATCH(ROWS($FL$3:FL305),$FK$3:$FK$400,0),1),"")),IFERROR(INDEX($FJ$3:$FK$400,MATCH(ROWS($FL$3:FL305),$FK$3:$FK$400,0),1),""))</f>
        <v/>
      </c>
      <c r="FM305" s="48">
        <f ca="1">IF(OR(B305="IVA ns/credito",B305="IVA NS/DEBITO",B305="IVA C/ACCONTO",B305="IMPOSTE C/ACCONTO",B305="CREDITI PER RITENUTE SUBITE",B305="CREDITI D'IMPOSTA"),MAX($FM$2:FM304)+1,0)</f>
        <v>0</v>
      </c>
      <c r="FN305" s="48" t="str">
        <f t="shared" ca="1" si="574"/>
        <v/>
      </c>
      <c r="FO305" s="48" t="str">
        <f ca="1">IFERROR(INDEX($FM$3:$FN$400,MATCH(ROWS($FO$3:FO305),$FM$3:$FM$400,0),2),"")</f>
        <v/>
      </c>
      <c r="FP305" s="48">
        <f ca="1">IF(ABS(SUMIFS(DARE,DEN_G,"="&amp;FO305,DATA,"&lt;="&amp;FINE_AC,DATA,"&gt;="&amp;INIZIO_A_PC)-SUMIFS(AVERE,DEN_G,"="&amp;FO305,DATA,"&lt;="&amp;FINE_AC,DATA,"&gt;="&amp;INIZIO_A_PC))&gt;0,MAX($FP$2:FP304)+1,0)</f>
        <v>0</v>
      </c>
      <c r="FQ305" s="48" t="str">
        <f ca="1">IF(AND(ROW()-2&lt;&gt;1,ROW()-2&lt;=$FP$1),CONCATENATE(" - ",IFERROR(INDEX($FO$3:$FP$400,MATCH(ROWS($FQ$3:FQ305),$FP$3:$FP$400,0),1),"")),IFERROR(INDEX($FO$3:$FP$400,MATCH(ROWS($FQ$3:FQ305),$FP$3:$FP$400,0),1),""))</f>
        <v/>
      </c>
    </row>
    <row r="306" spans="1:173" x14ac:dyDescent="0.3">
      <c r="A306" s="48" t="str">
        <f ca="1">IFERROR(IF($A$1=2,INDEX($DH$3:$DN$401,MATCH(ROWS(A$3:A306),$DN$3:$DN$401,0),COLUMN()),IF($A$1=1,INDEX($DQ$3:$DW$401,MATCH(ROWS(A$3:A306),$DW$3:$DW$401,0),COLUMN()),"")),"")</f>
        <v>41.01</v>
      </c>
      <c r="B306" s="48" t="str">
        <f ca="1">IFERROR(IF($A$1=2,INDEX($DH$3:$DN$401,MATCH(ROWS(B$3:B306),$DN$3:$DN$401,0),COLUMN()),IF($A$1=1,INDEX($DQ$3:$DW$400,MATCH(ROWS(B$3:B306),$DW$3:$DW$401,0),COLUMN()),"")),"")</f>
        <v>INTERESSI PASSIVI A FORNITORI</v>
      </c>
      <c r="C306" s="48" t="str">
        <f ca="1">IFERROR(IF($A$1=2,INDEX($DH$3:$DN$401,MATCH(ROWS(C$3:C306),$DN$3:$DN$401,0),COLUMN()),IF($A$1=1,INDEX($DQ$3:$DW$401,MATCH(ROWS(C$3:C306),$DW$3:$DW$401,0),COLUMN()),"")),"")</f>
        <v>E</v>
      </c>
      <c r="D306" s="48" t="str">
        <f ca="1">IFERROR(IF($A$1=2,INDEX($DH$3:$DN$401,MATCH(ROWS(D$3:D306),$DN$3:$DN$401,0),COLUMN()),IF($A$1=1,INDEX($DQ$3:$DW$401,MATCH(ROWS(D$3:D306),$DW$3:$DW$401,0),COLUMN()),"")),"")</f>
        <v>D</v>
      </c>
      <c r="E306" s="48" t="str">
        <f ca="1">IFERROR(IF($A$1=2,INDEX($DH$3:$DN$401,MATCH(ROWS(E$3:E306),$DN$3:$DN$401,0),COLUMN()),IF($A$1=1,INDEX($DQ$3:$DW$401,MATCH(ROWS(E$3:E306),$DW$3:$DW$401,0),COLUMN()),"")),"")</f>
        <v>COSTI D'ESERCIZIO</v>
      </c>
      <c r="F306" s="48" t="str">
        <f ca="1">IFERROR(IF($A$1=2,INDEX($DH$3:$DN$401,MATCH(ROWS(F$3:F306),$DN$3:$DN$401,0),COLUMN()),IF($A$1=1,INDEX($DQ$3:$DX$401,MATCH(ROWS(F$3:F306),$DW$3:$DW$401,0),COLUMN()),"")),"")</f>
        <v>SE DARE</v>
      </c>
      <c r="G306" s="48" t="str">
        <f t="shared" ca="1" si="561"/>
        <v>SE</v>
      </c>
      <c r="H306" s="48" t="str">
        <f ca="1">IFERROR(IF($A$1=2,INDEX($DH$3:$DO$400,MATCH(ROWS(H$3:H306),$DN$3:$DN$400,0),COLUMN()),IF($A$1=1,INDEX($DQ$3:$DX$400,MATCH(ROWS(H$3:H306),$DW$3:$DW$400,0),COLUMN()),"")),"")</f>
        <v>ec17</v>
      </c>
      <c r="M306" s="48">
        <f ca="1">IFERROR(IF(IF(MID($A306,3,3)=".00",MID(A306,1,2),"")&lt;&gt;"",MAX($M$2:M305)+1,0),"")</f>
        <v>0</v>
      </c>
      <c r="N306" s="48" t="str">
        <f t="shared" ca="1" si="562"/>
        <v/>
      </c>
      <c r="O306" s="48" t="str">
        <f ca="1">IF(IFERROR(INDEX($N$3:$O$300,MATCH(ROWS($O$3:O306),$M$3:$M$300,0),1),"")&lt;&gt;"",CONCATENATE(INDEX($N$3:$O$300,MATCH(ROWS($O$3:O306),$M$3:$M$300,0),1),".00"),"")</f>
        <v/>
      </c>
      <c r="P306" s="48" t="str">
        <f t="shared" ca="1" si="563"/>
        <v/>
      </c>
      <c r="Q306" s="48">
        <f ca="1">IF(M306&gt;=1,0,MAX($Q$2:Q305)+1)</f>
        <v>271</v>
      </c>
      <c r="U306" s="48" t="str">
        <f ca="1">IFERROR(INDEX(PDC,MATCH(ROWS(U$3:U306),$V$3:$V$400,0),2),"")</f>
        <v/>
      </c>
      <c r="V306" s="48">
        <f ca="1">IF(AND($T$1="VISUALIZZA TUTTI I CONTI",AA306&lt;&gt;""),MAX($V$2:V305)+1,IF(AND($U$2=2,AI306=$T$1),MAX($V$2:V305)+1,IF(AND($U$2=1,$T$1=AF306),MAX($V$2:V305)+1,0)))</f>
        <v>0</v>
      </c>
      <c r="AA306" s="48" t="str">
        <f t="shared" ca="1" si="564"/>
        <v/>
      </c>
      <c r="AB306" s="48" t="str">
        <f ca="1">IFERROR(INDEX($A$3:$G$400,MATCH(ROWS(AB$3:AB306),$Q$3:$Q$400,0),1),"")</f>
        <v/>
      </c>
      <c r="AC306" s="48" t="str">
        <f ca="1">IFERROR(INDEX($A$3:$G$400,MATCH(ROWS($AC$3:AC306),$Q$3:$Q$400,0),2),"")</f>
        <v/>
      </c>
      <c r="AD306" s="48">
        <f ca="1">IFERROR(INDEX($A$3:$G$400,MATCH(ROWS(AD$3:AD306),$Q$3:$Q$400,0),3),"")</f>
        <v>0</v>
      </c>
      <c r="AE306" s="48" t="str">
        <f ca="1">IFERROR(INDEX($A$3:$G$400,MATCH(ROWS(AE$3:AE306),$Q$3:$Q$400,0),4),"")</f>
        <v/>
      </c>
      <c r="AF306" s="48" t="str">
        <f ca="1">IFERROR(INDEX($A$3:$G$400,MATCH(ROWS(AF$3:AF306),$Q$3:$Q$400,0),5),"")</f>
        <v/>
      </c>
      <c r="AG306" s="48" t="str">
        <f ca="1">IFERROR(INDEX($A$3:$G$400,MATCH(ROWS(AG$3:AG306),$Q$3:$Q$400,0),6),"")</f>
        <v/>
      </c>
      <c r="AH306" s="48" t="str">
        <f ca="1">IFERROR(INDEX($A$3:$G$400,MATCH(ROWS(AH$3:AH306),$Q$3:$Q$400,0),7),"")</f>
        <v/>
      </c>
      <c r="AI306" s="48" t="str">
        <f t="shared" ca="1" si="565"/>
        <v/>
      </c>
      <c r="AJ306" s="48" t="str">
        <f ca="1">IFERROR(INDEX($A$3:$H$400,MATCH(ROWS(AJ$3:AJ306),$Q$3:$Q$400,0),8),"")</f>
        <v/>
      </c>
      <c r="AZ306" s="48" t="str">
        <f t="shared" ca="1" si="584"/>
        <v/>
      </c>
      <c r="BA306" s="48">
        <f t="shared" ca="1" si="611"/>
        <v>0</v>
      </c>
      <c r="BB306" s="48">
        <f t="shared" ca="1" si="612"/>
        <v>0</v>
      </c>
      <c r="BC306" s="48">
        <f t="shared" ca="1" si="613"/>
        <v>0</v>
      </c>
      <c r="BD306" s="48">
        <f t="shared" ca="1" si="614"/>
        <v>0</v>
      </c>
      <c r="BE306" s="48">
        <f t="shared" ca="1" si="615"/>
        <v>0</v>
      </c>
      <c r="BF306" s="48">
        <f t="shared" si="585"/>
        <v>106</v>
      </c>
      <c r="BG306" s="48">
        <f ca="1">IF(IF(AND(OR(INDEX(PDC,MATCH($AC306,DEN_PDC,0),6)="SP DARE",INDEX(PDC,MATCH($AC306,DEN_PDC,0),6)="SP DARE/AVERE"),SUMIFS(DARE,DEN_G,$AC306)&gt;=SUMIFS(AVERE,DEN_G,$AC306)),SUMIFS(DARE,DEN_G,$AC306)-SUMIFS(AVERE,DEN_G,$AC306),0)&gt;0,MAX($BG$2:BG305)+1,0)</f>
        <v>0</v>
      </c>
      <c r="BH306" s="48">
        <f ca="1">IF(IF(AND(OR(INDEX(PDC,MATCH($AC306,DEN_PDC,0),6)="SP AVERE",INDEX(PDC,MATCH($AC306,DEN_PDC,0),6)="SP DARE/AVERE"),SUMIFS(AVERE,DEN_G,$AC306)&gt;=SUMIFS(DARE,DEN_G,$AC306)),SUMIFS(AVERE,DEN_G,$AC306)-SUMIFS(DARE,DEN_G,$AC306),0)&gt;0,MAX(BH$2:BH305)+1,0)</f>
        <v>0</v>
      </c>
      <c r="BI306" s="48">
        <f ca="1">IF(IF(AND(OR(INDEX(PDC,MATCH($AC306,DEN_PDC,0),6)="SE DARE",INDEX(PDC,MATCH($AC306,DEN_PDC,0),6)="SE DARE/AVERE"),SUMIFS(DARE,DEN_G,$AC306)&gt;=SUMIFS(AVERE,DEN_G,$AC306)),SUMIFS(DARE,DEN_G,$AC306)-SUMIFS(AVERE,DEN_G,$AC306),0)&gt;0,MAX(BI$2:BI305)+1,0)</f>
        <v>0</v>
      </c>
      <c r="BJ306" s="48">
        <f ca="1">IF(IF(AND(OR(INDEX(PDC,MATCH($AC306,DEN_PDC,0),6)="SE AVERE",INDEX(PDC,MATCH($AC306,DEN_PDC,0),6)="SE DARE/AVERE"),SUMIFS(AVERE,DEN_G,$AC306)&gt;=SUMIFS(DARE,DEN_G,$AC306)),SUMIFS(AVERE,DEN_G,$AC306)-SUMIFS(DARE,DEN_G,$AC306),0)&gt;0,MAX(BJ$2:BJ305)+1,0)</f>
        <v>0</v>
      </c>
      <c r="BK306" s="48" t="str">
        <f ca="1">IF(AND(AND($DY$2=0,$DY$1=0),$I$1=2,ROW()&gt;$BG$1+2,ROW()&lt;=$BG$1+4),"………………..",IF(AND(OR($DY$2&gt;0,$DY$1&gt;0),$I$1=2,ROW()&gt;$BG$1+2,ROW()&lt;=$BG$1+4),"………………..",IFERROR(INDEX($AC$3:$AC$398,MATCH(ROWS(BK$3:BK306),BG$3:BG$398,0),1),"")))</f>
        <v/>
      </c>
      <c r="BL306" s="48">
        <f t="shared" ca="1" si="549"/>
        <v>0</v>
      </c>
      <c r="BM306" s="48" t="str">
        <f ca="1">IF(AND(OR($DY$2=0,$DY$1=0),$I$1=2,ROW()&gt;$BH$1+2,ROW()&lt;=$BH$1+4),"………………..",IF(AND(OR($DY$2&gt;0,$DY$1&gt;0),$I$1=2,ROW()&gt;$BH$1+2,ROW()&lt;=$BH$1+4),"………………..",IFERROR(INDEX($AC$3:$AC$400,MATCH(ROWS(BM$3:BM306),BH$3:BH$400,0),1),"")))</f>
        <v/>
      </c>
      <c r="BN306" s="48">
        <f t="shared" ca="1" si="550"/>
        <v>0</v>
      </c>
      <c r="BO306" s="48" t="str">
        <f ca="1">IF(AND(OR($DY$2=0,$DY$1=0),$I$1=2,ROW()&gt;$BI$1+2,ROW()&lt;=$BI$1+4),"………………..",IF(AND(OR($DY$2&gt;0,$DY$1&gt;0),$I$1=2,ROW()&gt;$BI$1+2,ROW()&lt;=$BI$1+4),"………………..",IFERROR(INDEX($AC$3:$AC$400,MATCH(ROWS(BO$3:BO306),BI$3:BI$400,0),1),"")))</f>
        <v/>
      </c>
      <c r="BP306" s="48">
        <f t="shared" ca="1" si="551"/>
        <v>0</v>
      </c>
      <c r="BQ306" s="48" t="str">
        <f ca="1">IF(AND(OR($DY$2=0,$DY$1=0),$I$1=2,ROW()&gt;$BJ$1+2,ROW()&lt;=$BJ$1+4),"………………..",IF(AND(OR($DY$2&gt;0,$DY$1&gt;0),$I$1=2,ROW()&gt;$BJ$1+2,ROW()&lt;=$BJ$1+4),"………………..",IFERROR(INDEX($AC$3:$AC$400,MATCH(ROWS(BQ$3:BQ306),BJ$3:BJ$400,0),1),"")))</f>
        <v/>
      </c>
      <c r="BR306" s="48">
        <f t="shared" ca="1" si="552"/>
        <v>0</v>
      </c>
      <c r="BS306" s="48">
        <f ca="1">IF(IF(AND(OR(INDEX(PDC,MATCH($AC306,DEN_PDC,0),4)="D",INDEX(PDC,MATCH($AC306,DEN_PDC,0),4)="D/A"),SUMIFS(DARE,DEN_G,$AC306)&gt;=SUMIFS(AVERE,DEN_G,$AC306)),SUMIFS(DARE,DEN_G,$AC306),IF(AND(OR(INDEX(PDC,MATCH($AC306,DEN_PDC,0),4)="A",INDEX(PDC,MATCH($AC306,DEN_PDC,0),4)="D/A"),SUMIFS(AVERE,DEN_G,$AC306)&gt;=SUMIFS(DARE,DEN_G,$AC306)),SUMIFS(AVERE,DEN_G,$AC306),))&gt;0,MAX($BS$2:BS305)+1,0)</f>
        <v>0</v>
      </c>
      <c r="BT306" s="48" t="str">
        <f ca="1">IF($CO$1=0,"",IF(AND($I$1=2,ROW()&gt;$BR$1,ROW()&lt;=$BS$1)," …………….",IF(AND($E$1=1,$BX$1=1,$I$1=2,ROW()=$BQ$1),"TOTALI",IFERROR(INDEX(PDC,MATCH(ROWS(BT$3:BT306),BS$3:BS703,0),2),""))))</f>
        <v/>
      </c>
      <c r="BU306" s="48">
        <f t="shared" ca="1" si="553"/>
        <v>0</v>
      </c>
      <c r="BV306" s="48">
        <f t="shared" ca="1" si="554"/>
        <v>0</v>
      </c>
      <c r="BW306" s="48">
        <f t="shared" ca="1" si="555"/>
        <v>0</v>
      </c>
      <c r="BX306" s="48">
        <f t="shared" ca="1" si="556"/>
        <v>0</v>
      </c>
      <c r="BY306" s="48">
        <f ca="1">IF(OR(BW306&gt;0,BX306&gt;0),MAX($BY$2:BY305)+1,0)</f>
        <v>0</v>
      </c>
      <c r="BZ306" s="48" t="str">
        <f ca="1">IFERROR(INDEX($BT$3:$BY$400,MATCH(ROWS(BZ$3:BZ306),$BY$3:$BY$400,0),1),"")</f>
        <v/>
      </c>
      <c r="CA306" s="48" t="str">
        <f ca="1">IFERROR(INDEX($BT$3:$BY$400,MATCH(ROWS(CA$3:CA306),$BY$3:$BY$400,0),4),"")</f>
        <v/>
      </c>
      <c r="CB306" s="48" t="str">
        <f ca="1">IFERROR(INDEX($BT$3:$BY$400,MATCH(ROWS(CB$3:CB306),$BY$3:$BY$400,0),5),"")</f>
        <v/>
      </c>
      <c r="CC306" s="48" t="str">
        <f t="shared" ca="1" si="557"/>
        <v/>
      </c>
      <c r="CM306" s="242" t="str">
        <f t="shared" ca="1" si="566"/>
        <v/>
      </c>
      <c r="CN306" s="243">
        <f t="shared" ca="1" si="567"/>
        <v>0</v>
      </c>
      <c r="CO306" s="48" t="str">
        <f t="shared" ca="1" si="568"/>
        <v/>
      </c>
      <c r="CU306" s="48">
        <f ca="1">IF(SUMIFS(AVERE,DEN_G,AC306,AVERE,"&gt;"&amp;0)+SUMIFS(DARE,DEN_G,AC306,DARE,"&gt;"&amp;0)&gt;0,MAX($CU$2:CU305)+1,0)</f>
        <v>0</v>
      </c>
      <c r="CV306" s="48" t="str">
        <f ca="1">IF(IFERROR(INDEX(PDC,MATCH(ROWS($CV$3:CV306),$CU$3:$CU$400,0),2),"")="CONTO DI RISULTATO ECONOMICO","",IFERROR(INDEX(PDC,MATCH(ROWS($CV$3:CV306),$CU$3:$CU$400,0),2),""))</f>
        <v/>
      </c>
      <c r="CW306" s="48">
        <f ca="1">IFERROR(IF(CV306&lt;&gt;"",MAX($CW$2:CW305)+1,0),0)</f>
        <v>0</v>
      </c>
      <c r="CX306" s="48">
        <f t="shared" ca="1" si="618"/>
        <v>24</v>
      </c>
      <c r="CY306" s="48" t="str">
        <f t="shared" ca="1" si="617"/>
        <v>MASTRO</v>
      </c>
      <c r="CZ306" s="48" t="e">
        <f t="shared" ca="1" si="620"/>
        <v>#N/A</v>
      </c>
      <c r="DA306" s="48" t="str">
        <f t="shared" ca="1" si="624"/>
        <v/>
      </c>
      <c r="DB306" s="48" t="str">
        <f t="shared" ca="1" si="592"/>
        <v/>
      </c>
      <c r="DC306" s="48" t="str">
        <f t="shared" ca="1" si="621"/>
        <v/>
      </c>
      <c r="DD306" s="48" t="str">
        <f t="shared" ca="1" si="622"/>
        <v/>
      </c>
      <c r="DE306" s="48" t="str">
        <f t="shared" ca="1" si="623"/>
        <v/>
      </c>
      <c r="DF306" s="48">
        <f ca="1">IF(AND(CX306=$DF$1,CX306&lt;&gt;""),0,IF(AND(DB306&lt;&gt;"",OR(DB305&lt;&gt;"",DB307&lt;&gt;"")),MAX($DF$2:DF305)+1,0))</f>
        <v>0</v>
      </c>
      <c r="DH306" s="244" t="s">
        <v>892</v>
      </c>
      <c r="DI306" s="48" t="s">
        <v>193</v>
      </c>
      <c r="DJ306" s="48" t="s">
        <v>311</v>
      </c>
      <c r="DK306" s="48" t="s">
        <v>275</v>
      </c>
      <c r="DL306" s="48" t="s">
        <v>7</v>
      </c>
      <c r="DM306" s="48" t="s">
        <v>301</v>
      </c>
      <c r="DN306" s="48">
        <f ca="1">IF(DI306&lt;&gt;"",MAX($DN$2:DN305)+1,0)</f>
        <v>241</v>
      </c>
      <c r="DO306" s="48" t="s">
        <v>710</v>
      </c>
      <c r="DQ306" s="227" t="s">
        <v>222</v>
      </c>
      <c r="DR306" s="228" t="s">
        <v>221</v>
      </c>
      <c r="DW306" s="48">
        <f ca="1">IF(DR306&lt;&gt;"",MAX($DW$2:DW305)+1,0)</f>
        <v>181</v>
      </c>
      <c r="DY306" s="48" t="str">
        <f t="shared" ca="1" si="558"/>
        <v/>
      </c>
      <c r="EL306" s="48">
        <f t="shared" ca="1" si="559"/>
        <v>0</v>
      </c>
      <c r="EM306" s="48">
        <f ca="1">IF(EL306&gt;=0,0,MAX($EM$2:EM305)+1)</f>
        <v>0</v>
      </c>
      <c r="EN306" s="48" t="str">
        <f t="shared" ca="1" si="569"/>
        <v/>
      </c>
      <c r="EO306" s="48" t="str">
        <f ca="1">IFERROR(INDEX($EM$3:$EN$400,MATCH(ROWS($EO$3:EO306),$EM$3:$EM$400,0),2),"")</f>
        <v/>
      </c>
      <c r="EP306" s="48">
        <f>ROW()</f>
        <v>306</v>
      </c>
      <c r="EQ306" s="48">
        <f t="shared" ca="1" si="560"/>
        <v>0</v>
      </c>
      <c r="ER306" s="48">
        <f ca="1">IF(ISNA(EQ306)=TRUE,MAX($ER$2:ER305)+1,0)</f>
        <v>0</v>
      </c>
      <c r="ES306" s="48" t="str">
        <f t="shared" ca="1" si="570"/>
        <v/>
      </c>
      <c r="ET306" s="48" t="str">
        <f ca="1">IFERROR(INDEX($ER$3:$ES$400,MATCH(ROWS($ET$3:ET306),$ER$3:$ER$400,0),2),"")</f>
        <v/>
      </c>
      <c r="EV306" s="48">
        <f ca="1">IFERROR(INDEX(LIBRO_GIORNALE!$O$11:$P$408,MATCH(ROWS($EV$2:EV305),LIBRO_GIORNALE!$P$11:$P$408,0),1),0)</f>
        <v>0</v>
      </c>
      <c r="EW306" s="48" t="str">
        <f t="shared" ca="1" si="544"/>
        <v>0</v>
      </c>
      <c r="EX306" s="48">
        <f t="shared" ca="1" si="571"/>
        <v>0</v>
      </c>
      <c r="EY306" s="48">
        <f ca="1">IF(EX306&gt;0,MAX($EY$2:EY305)+1,0)</f>
        <v>0</v>
      </c>
      <c r="EZ306" s="48">
        <f ca="1">IFERROR(INDEX($EX$3:$EX$400,MATCH(ROWS($EZ$3:EZ306),$EY$3:$EY$400,0),1),0)</f>
        <v>0</v>
      </c>
      <c r="FA306" s="48">
        <f ca="1">IF(EZ306&gt;0,0,MAX($FA$2:FA305)+1)</f>
        <v>304</v>
      </c>
      <c r="FB306" s="48">
        <f t="shared" ca="1" si="545"/>
        <v>0</v>
      </c>
      <c r="FC306" s="48">
        <f t="shared" ca="1" si="546"/>
        <v>304</v>
      </c>
      <c r="FD306" s="48">
        <f t="shared" ca="1" si="572"/>
        <v>304</v>
      </c>
      <c r="FE306" s="48">
        <f ca="1">IF(FD306=0,0,MAX($FE$2:FE305)+1)</f>
        <v>304</v>
      </c>
      <c r="FF306" s="48">
        <f ca="1">IFERROR(INDEX($FD$3:$FE$400,MATCH(ROWS($FF$3:FF306),$FE$3:$FE$400,0),1),"")</f>
        <v>304</v>
      </c>
      <c r="FG306" s="48">
        <f t="shared" si="610"/>
        <v>0</v>
      </c>
      <c r="FH306" s="48">
        <f t="shared" ca="1" si="573"/>
        <v>0</v>
      </c>
      <c r="FI306" s="48">
        <f ca="1">IF(FH306&lt;&gt;0,MAX($FI$2:FI305)+1,0)</f>
        <v>0</v>
      </c>
      <c r="FJ306" s="48" t="str">
        <f ca="1">IFERROR(INDEX($FH$3:$FI$400,MATCH(ROWS($FJ$3:FJ306),$FI$3:$FI$400,0),1),"")</f>
        <v/>
      </c>
      <c r="FK306" s="48">
        <f ca="1">IF(ABS(SUMIFS(DARE,DEN_G,"="&amp;FJ306,DATA,"&lt;="&amp;FINE_AC,DATA,"&gt;="&amp;INIZIO_A_PC)-SUMIFS(AVERE,DEN_G,"="&amp;FJ306,DATA,"&lt;="&amp;FINE_AC,DATA,"&gt;="&amp;INIZIO_A_PC))&gt;0,MAX($FK$2:FK305)+1,0)</f>
        <v>0</v>
      </c>
      <c r="FL306" s="48" t="str">
        <f ca="1">IF(AND(ROW()-2&lt;&gt;1,ROW()-2&lt;=$FK$1),CONCATENATE(" - ",IFERROR(INDEX($FJ$3:$FK$400,MATCH(ROWS($FL$3:FL306),$FK$3:$FK$400,0),1),"")),IFERROR(INDEX($FJ$3:$FK$400,MATCH(ROWS($FL$3:FL306),$FK$3:$FK$400,0),1),""))</f>
        <v/>
      </c>
      <c r="FM306" s="48">
        <f ca="1">IF(OR(B306="IVA ns/credito",B306="IVA NS/DEBITO",B306="IVA C/ACCONTO",B306="IMPOSTE C/ACCONTO",B306="CREDITI PER RITENUTE SUBITE",B306="CREDITI D'IMPOSTA"),MAX($FM$2:FM305)+1,0)</f>
        <v>0</v>
      </c>
      <c r="FN306" s="48" t="str">
        <f t="shared" ca="1" si="574"/>
        <v/>
      </c>
      <c r="FO306" s="48" t="str">
        <f ca="1">IFERROR(INDEX($FM$3:$FN$400,MATCH(ROWS($FO$3:FO306),$FM$3:$FM$400,0),2),"")</f>
        <v/>
      </c>
      <c r="FP306" s="48">
        <f ca="1">IF(ABS(SUMIFS(DARE,DEN_G,"="&amp;FO306,DATA,"&lt;="&amp;FINE_AC,DATA,"&gt;="&amp;INIZIO_A_PC)-SUMIFS(AVERE,DEN_G,"="&amp;FO306,DATA,"&lt;="&amp;FINE_AC,DATA,"&gt;="&amp;INIZIO_A_PC))&gt;0,MAX($FP$2:FP305)+1,0)</f>
        <v>0</v>
      </c>
      <c r="FQ306" s="48" t="str">
        <f ca="1">IF(AND(ROW()-2&lt;&gt;1,ROW()-2&lt;=$FP$1),CONCATENATE(" - ",IFERROR(INDEX($FO$3:$FP$400,MATCH(ROWS($FQ$3:FQ306),$FP$3:$FP$400,0),1),"")),IFERROR(INDEX($FO$3:$FP$400,MATCH(ROWS($FQ$3:FQ306),$FP$3:$FP$400,0),1),""))</f>
        <v/>
      </c>
    </row>
    <row r="307" spans="1:173" x14ac:dyDescent="0.3">
      <c r="A307" s="48" t="str">
        <f ca="1">IFERROR(IF($A$1=2,INDEX($DH$3:$DN$401,MATCH(ROWS(A$3:A307),$DN$3:$DN$401,0),COLUMN()),IF($A$1=1,INDEX($DQ$3:$DW$401,MATCH(ROWS(A$3:A307),$DW$3:$DW$401,0),COLUMN()),"")),"")</f>
        <v>41.02</v>
      </c>
      <c r="B307" s="48" t="str">
        <f ca="1">IFERROR(IF($A$1=2,INDEX($DH$3:$DN$401,MATCH(ROWS(B$3:B307),$DN$3:$DN$401,0),COLUMN()),IF($A$1=1,INDEX($DQ$3:$DW$400,MATCH(ROWS(B$3:B307),$DW$3:$DW$401,0),COLUMN()),"")),"")</f>
        <v>INTERESSI PASSIVI BANCARI</v>
      </c>
      <c r="C307" s="48" t="str">
        <f ca="1">IFERROR(IF($A$1=2,INDEX($DH$3:$DN$401,MATCH(ROWS(C$3:C307),$DN$3:$DN$401,0),COLUMN()),IF($A$1=1,INDEX($DQ$3:$DW$401,MATCH(ROWS(C$3:C307),$DW$3:$DW$401,0),COLUMN()),"")),"")</f>
        <v>E</v>
      </c>
      <c r="D307" s="48" t="str">
        <f ca="1">IFERROR(IF($A$1=2,INDEX($DH$3:$DN$401,MATCH(ROWS(D$3:D307),$DN$3:$DN$401,0),COLUMN()),IF($A$1=1,INDEX($DQ$3:$DW$401,MATCH(ROWS(D$3:D307),$DW$3:$DW$401,0),COLUMN()),"")),"")</f>
        <v>D</v>
      </c>
      <c r="E307" s="48" t="str">
        <f ca="1">IFERROR(IF($A$1=2,INDEX($DH$3:$DN$401,MATCH(ROWS(E$3:E307),$DN$3:$DN$401,0),COLUMN()),IF($A$1=1,INDEX($DQ$3:$DW$401,MATCH(ROWS(E$3:E307),$DW$3:$DW$401,0),COLUMN()),"")),"")</f>
        <v>COSTI D'ESERCIZIO</v>
      </c>
      <c r="F307" s="48" t="str">
        <f ca="1">IFERROR(IF($A$1=2,INDEX($DH$3:$DN$401,MATCH(ROWS(F$3:F307),$DN$3:$DN$401,0),COLUMN()),IF($A$1=1,INDEX($DQ$3:$DX$401,MATCH(ROWS(F$3:F307),$DW$3:$DW$401,0),COLUMN()),"")),"")</f>
        <v>SE DARE</v>
      </c>
      <c r="G307" s="48" t="str">
        <f t="shared" ca="1" si="561"/>
        <v>SE</v>
      </c>
      <c r="H307" s="48" t="str">
        <f ca="1">IFERROR(IF($A$1=2,INDEX($DH$3:$DO$400,MATCH(ROWS(H$3:H307),$DN$3:$DN$400,0),COLUMN()),IF($A$1=1,INDEX($DQ$3:$DX$400,MATCH(ROWS(H$3:H307),$DW$3:$DW$400,0),COLUMN()),"")),"")</f>
        <v>ec17</v>
      </c>
      <c r="M307" s="48">
        <f ca="1">IFERROR(IF(IF(MID($A307,3,3)=".00",MID(A307,1,2),"")&lt;&gt;"",MAX($M$2:M306)+1,0),"")</f>
        <v>0</v>
      </c>
      <c r="N307" s="48" t="str">
        <f t="shared" ca="1" si="562"/>
        <v/>
      </c>
      <c r="O307" s="48" t="str">
        <f ca="1">IF(IFERROR(INDEX($N$3:$O$300,MATCH(ROWS($O$3:O307),$M$3:$M$300,0),1),"")&lt;&gt;"",CONCATENATE(INDEX($N$3:$O$300,MATCH(ROWS($O$3:O307),$M$3:$M$300,0),1),".00"),"")</f>
        <v/>
      </c>
      <c r="P307" s="48" t="str">
        <f t="shared" ca="1" si="563"/>
        <v/>
      </c>
      <c r="Q307" s="48">
        <f ca="1">IF(M307&gt;=1,0,MAX($Q$2:Q306)+1)</f>
        <v>272</v>
      </c>
      <c r="U307" s="48" t="str">
        <f ca="1">IFERROR(INDEX(PDC,MATCH(ROWS(U$3:U307),$V$3:$V$400,0),2),"")</f>
        <v/>
      </c>
      <c r="V307" s="48">
        <f ca="1">IF(AND($T$1="VISUALIZZA TUTTI I CONTI",AA307&lt;&gt;""),MAX($V$2:V306)+1,IF(AND($U$2=2,AI307=$T$1),MAX($V$2:V306)+1,IF(AND($U$2=1,$T$1=AF307),MAX($V$2:V306)+1,0)))</f>
        <v>0</v>
      </c>
      <c r="AA307" s="48" t="str">
        <f t="shared" ca="1" si="564"/>
        <v/>
      </c>
      <c r="AB307" s="48" t="str">
        <f ca="1">IFERROR(INDEX($A$3:$G$400,MATCH(ROWS(AB$3:AB307),$Q$3:$Q$400,0),1),"")</f>
        <v/>
      </c>
      <c r="AC307" s="48" t="str">
        <f ca="1">IFERROR(INDEX($A$3:$G$400,MATCH(ROWS($AC$3:AC307),$Q$3:$Q$400,0),2),"")</f>
        <v/>
      </c>
      <c r="AD307" s="48">
        <f ca="1">IFERROR(INDEX($A$3:$G$400,MATCH(ROWS(AD$3:AD307),$Q$3:$Q$400,0),3),"")</f>
        <v>0</v>
      </c>
      <c r="AE307" s="48" t="str">
        <f ca="1">IFERROR(INDEX($A$3:$G$400,MATCH(ROWS(AE$3:AE307),$Q$3:$Q$400,0),4),"")</f>
        <v/>
      </c>
      <c r="AF307" s="48" t="str">
        <f ca="1">IFERROR(INDEX($A$3:$G$400,MATCH(ROWS(AF$3:AF307),$Q$3:$Q$400,0),5),"")</f>
        <v/>
      </c>
      <c r="AG307" s="48" t="str">
        <f ca="1">IFERROR(INDEX($A$3:$G$400,MATCH(ROWS(AG$3:AG307),$Q$3:$Q$400,0),6),"")</f>
        <v/>
      </c>
      <c r="AH307" s="48" t="str">
        <f ca="1">IFERROR(INDEX($A$3:$G$400,MATCH(ROWS(AH$3:AH307),$Q$3:$Q$400,0),7),"")</f>
        <v/>
      </c>
      <c r="AI307" s="48" t="str">
        <f t="shared" ca="1" si="565"/>
        <v/>
      </c>
      <c r="AJ307" s="48" t="str">
        <f ca="1">IFERROR(INDEX($A$3:$H$400,MATCH(ROWS(AJ$3:AJ307),$Q$3:$Q$400,0),8),"")</f>
        <v/>
      </c>
      <c r="AZ307" s="48" t="str">
        <f t="shared" ca="1" si="584"/>
        <v/>
      </c>
      <c r="BA307" s="48">
        <f t="shared" ca="1" si="611"/>
        <v>0</v>
      </c>
      <c r="BB307" s="48">
        <f t="shared" ca="1" si="612"/>
        <v>0</v>
      </c>
      <c r="BC307" s="48">
        <f t="shared" ca="1" si="613"/>
        <v>0</v>
      </c>
      <c r="BD307" s="48">
        <f t="shared" ca="1" si="614"/>
        <v>0</v>
      </c>
      <c r="BE307" s="48">
        <f t="shared" ca="1" si="615"/>
        <v>0</v>
      </c>
      <c r="BF307" s="48">
        <f t="shared" si="585"/>
        <v>107</v>
      </c>
      <c r="BG307" s="48">
        <f ca="1">IF(IF(AND(OR(INDEX(PDC,MATCH($AC307,DEN_PDC,0),6)="SP DARE",INDEX(PDC,MATCH($AC307,DEN_PDC,0),6)="SP DARE/AVERE"),SUMIFS(DARE,DEN_G,$AC307)&gt;=SUMIFS(AVERE,DEN_G,$AC307)),SUMIFS(DARE,DEN_G,$AC307)-SUMIFS(AVERE,DEN_G,$AC307),0)&gt;0,MAX($BG$2:BG306)+1,0)</f>
        <v>0</v>
      </c>
      <c r="BH307" s="48">
        <f ca="1">IF(IF(AND(OR(INDEX(PDC,MATCH($AC307,DEN_PDC,0),6)="SP AVERE",INDEX(PDC,MATCH($AC307,DEN_PDC,0),6)="SP DARE/AVERE"),SUMIFS(AVERE,DEN_G,$AC307)&gt;=SUMIFS(DARE,DEN_G,$AC307)),SUMIFS(AVERE,DEN_G,$AC307)-SUMIFS(DARE,DEN_G,$AC307),0)&gt;0,MAX(BH$2:BH306)+1,0)</f>
        <v>0</v>
      </c>
      <c r="BI307" s="48">
        <f ca="1">IF(IF(AND(OR(INDEX(PDC,MATCH($AC307,DEN_PDC,0),6)="SE DARE",INDEX(PDC,MATCH($AC307,DEN_PDC,0),6)="SE DARE/AVERE"),SUMIFS(DARE,DEN_G,$AC307)&gt;=SUMIFS(AVERE,DEN_G,$AC307)),SUMIFS(DARE,DEN_G,$AC307)-SUMIFS(AVERE,DEN_G,$AC307),0)&gt;0,MAX(BI$2:BI306)+1,0)</f>
        <v>0</v>
      </c>
      <c r="BJ307" s="48">
        <f ca="1">IF(IF(AND(OR(INDEX(PDC,MATCH($AC307,DEN_PDC,0),6)="SE AVERE",INDEX(PDC,MATCH($AC307,DEN_PDC,0),6)="SE DARE/AVERE"),SUMIFS(AVERE,DEN_G,$AC307)&gt;=SUMIFS(DARE,DEN_G,$AC307)),SUMIFS(AVERE,DEN_G,$AC307)-SUMIFS(DARE,DEN_G,$AC307),0)&gt;0,MAX(BJ$2:BJ306)+1,0)</f>
        <v>0</v>
      </c>
      <c r="BK307" s="48" t="str">
        <f ca="1">IF(AND(AND($DY$2=0,$DY$1=0),$I$1=2,ROW()&gt;$BG$1+2,ROW()&lt;=$BG$1+4),"………………..",IF(AND(OR($DY$2&gt;0,$DY$1&gt;0),$I$1=2,ROW()&gt;$BG$1+2,ROW()&lt;=$BG$1+4),"………………..",IFERROR(INDEX($AC$3:$AC$398,MATCH(ROWS(BK$3:BK307),BG$3:BG$398,0),1),"")))</f>
        <v/>
      </c>
      <c r="BL307" s="48">
        <f t="shared" ca="1" si="549"/>
        <v>0</v>
      </c>
      <c r="BM307" s="48" t="str">
        <f ca="1">IF(AND(OR($DY$2=0,$DY$1=0),$I$1=2,ROW()&gt;$BH$1+2,ROW()&lt;=$BH$1+4),"………………..",IF(AND(OR($DY$2&gt;0,$DY$1&gt;0),$I$1=2,ROW()&gt;$BH$1+2,ROW()&lt;=$BH$1+4),"………………..",IFERROR(INDEX($AC$3:$AC$400,MATCH(ROWS(BM$3:BM307),BH$3:BH$400,0),1),"")))</f>
        <v/>
      </c>
      <c r="BN307" s="48">
        <f t="shared" ca="1" si="550"/>
        <v>0</v>
      </c>
      <c r="BO307" s="48" t="str">
        <f ca="1">IF(AND(OR($DY$2=0,$DY$1=0),$I$1=2,ROW()&gt;$BI$1+2,ROW()&lt;=$BI$1+4),"………………..",IF(AND(OR($DY$2&gt;0,$DY$1&gt;0),$I$1=2,ROW()&gt;$BI$1+2,ROW()&lt;=$BI$1+4),"………………..",IFERROR(INDEX($AC$3:$AC$400,MATCH(ROWS(BO$3:BO307),BI$3:BI$400,0),1),"")))</f>
        <v/>
      </c>
      <c r="BP307" s="48">
        <f t="shared" ca="1" si="551"/>
        <v>0</v>
      </c>
      <c r="BQ307" s="48" t="str">
        <f ca="1">IF(AND(OR($DY$2=0,$DY$1=0),$I$1=2,ROW()&gt;$BJ$1+2,ROW()&lt;=$BJ$1+4),"………………..",IF(AND(OR($DY$2&gt;0,$DY$1&gt;0),$I$1=2,ROW()&gt;$BJ$1+2,ROW()&lt;=$BJ$1+4),"………………..",IFERROR(INDEX($AC$3:$AC$400,MATCH(ROWS(BQ$3:BQ307),BJ$3:BJ$400,0),1),"")))</f>
        <v/>
      </c>
      <c r="BR307" s="48">
        <f t="shared" ca="1" si="552"/>
        <v>0</v>
      </c>
      <c r="BS307" s="48">
        <f ca="1">IF(IF(AND(OR(INDEX(PDC,MATCH($AC307,DEN_PDC,0),4)="D",INDEX(PDC,MATCH($AC307,DEN_PDC,0),4)="D/A"),SUMIFS(DARE,DEN_G,$AC307)&gt;=SUMIFS(AVERE,DEN_G,$AC307)),SUMIFS(DARE,DEN_G,$AC307),IF(AND(OR(INDEX(PDC,MATCH($AC307,DEN_PDC,0),4)="A",INDEX(PDC,MATCH($AC307,DEN_PDC,0),4)="D/A"),SUMIFS(AVERE,DEN_G,$AC307)&gt;=SUMIFS(DARE,DEN_G,$AC307)),SUMIFS(AVERE,DEN_G,$AC307),))&gt;0,MAX($BS$2:BS306)+1,0)</f>
        <v>0</v>
      </c>
      <c r="BT307" s="48" t="str">
        <f ca="1">IF($CO$1=0,"",IF(AND($I$1=2,ROW()&gt;$BR$1,ROW()&lt;=$BS$1)," …………….",IF(AND($E$1=1,$BX$1=1,$I$1=2,ROW()=$BQ$1),"TOTALI",IFERROR(INDEX(PDC,MATCH(ROWS(BT$3:BT307),BS$3:BS704,0),2),""))))</f>
        <v/>
      </c>
      <c r="BU307" s="48">
        <f t="shared" ca="1" si="553"/>
        <v>0</v>
      </c>
      <c r="BV307" s="48">
        <f t="shared" ca="1" si="554"/>
        <v>0</v>
      </c>
      <c r="BW307" s="48">
        <f t="shared" ca="1" si="555"/>
        <v>0</v>
      </c>
      <c r="BX307" s="48">
        <f t="shared" ca="1" si="556"/>
        <v>0</v>
      </c>
      <c r="BY307" s="48">
        <f ca="1">IF(OR(BW307&gt;0,BX307&gt;0),MAX($BY$2:BY306)+1,0)</f>
        <v>0</v>
      </c>
      <c r="BZ307" s="48" t="str">
        <f ca="1">IFERROR(INDEX($BT$3:$BY$400,MATCH(ROWS(BZ$3:BZ307),$BY$3:$BY$400,0),1),"")</f>
        <v/>
      </c>
      <c r="CA307" s="48" t="str">
        <f ca="1">IFERROR(INDEX($BT$3:$BY$400,MATCH(ROWS(CA$3:CA307),$BY$3:$BY$400,0),4),"")</f>
        <v/>
      </c>
      <c r="CB307" s="48" t="str">
        <f ca="1">IFERROR(INDEX($BT$3:$BY$400,MATCH(ROWS(CB$3:CB307),$BY$3:$BY$400,0),5),"")</f>
        <v/>
      </c>
      <c r="CC307" s="48" t="str">
        <f t="shared" ca="1" si="557"/>
        <v/>
      </c>
      <c r="CM307" s="242" t="str">
        <f t="shared" ca="1" si="566"/>
        <v/>
      </c>
      <c r="CN307" s="243">
        <f t="shared" ca="1" si="567"/>
        <v>0</v>
      </c>
      <c r="CO307" s="48" t="str">
        <f t="shared" ca="1" si="568"/>
        <v/>
      </c>
      <c r="CU307" s="48">
        <f ca="1">IF(SUMIFS(AVERE,DEN_G,AC307,AVERE,"&gt;"&amp;0)+SUMIFS(DARE,DEN_G,AC307,DARE,"&gt;"&amp;0)&gt;0,MAX($CU$2:CU306)+1,0)</f>
        <v>0</v>
      </c>
      <c r="CV307" s="48" t="str">
        <f ca="1">IF(IFERROR(INDEX(PDC,MATCH(ROWS($CV$3:CV307),$CU$3:$CU$400,0),2),"")="CONTO DI RISULTATO ECONOMICO","",IFERROR(INDEX(PDC,MATCH(ROWS($CV$3:CV307),$CU$3:$CU$400,0),2),""))</f>
        <v/>
      </c>
      <c r="CW307" s="48">
        <f ca="1">IFERROR(IF(CV307&lt;&gt;"",MAX($CW$2:CW306)+1,0),0)</f>
        <v>0</v>
      </c>
      <c r="CX307" s="48">
        <f t="shared" ca="1" si="618"/>
        <v>24</v>
      </c>
      <c r="CY307" s="48" t="str">
        <f t="shared" ca="1" si="617"/>
        <v>MASTRO</v>
      </c>
      <c r="CZ307" s="48" t="e">
        <f t="shared" ca="1" si="620"/>
        <v>#N/A</v>
      </c>
      <c r="DA307" s="48" t="str">
        <f t="shared" ca="1" si="624"/>
        <v/>
      </c>
      <c r="DB307" s="48" t="str">
        <f t="shared" ca="1" si="592"/>
        <v/>
      </c>
      <c r="DC307" s="48" t="str">
        <f t="shared" ca="1" si="621"/>
        <v/>
      </c>
      <c r="DD307" s="48" t="str">
        <f t="shared" ca="1" si="622"/>
        <v/>
      </c>
      <c r="DE307" s="48" t="str">
        <f t="shared" ca="1" si="623"/>
        <v/>
      </c>
      <c r="DF307" s="48">
        <f ca="1">IF(AND(CX307=$DF$1,CX307&lt;&gt;""),0,IF(AND(DB307&lt;&gt;"",OR(DB306&lt;&gt;"",DB308&lt;&gt;"")),MAX($DF$2:DF306)+1,0))</f>
        <v>0</v>
      </c>
      <c r="DH307" s="244"/>
      <c r="DN307" s="48">
        <f>IF(DI307&lt;&gt;"",MAX($DN$2:DN306)+1,0)</f>
        <v>0</v>
      </c>
      <c r="DQ307" s="227" t="s">
        <v>225</v>
      </c>
      <c r="DR307" s="48" t="s">
        <v>938</v>
      </c>
      <c r="DS307" s="48" t="s">
        <v>311</v>
      </c>
      <c r="DT307" s="48" t="s">
        <v>275</v>
      </c>
      <c r="DU307" s="48" t="s">
        <v>7</v>
      </c>
      <c r="DV307" s="48" t="s">
        <v>301</v>
      </c>
      <c r="DW307" s="48">
        <f ca="1">IF(DR307&lt;&gt;"",MAX($DW$2:DW306)+1,0)</f>
        <v>182</v>
      </c>
      <c r="DX307" s="48" t="s">
        <v>712</v>
      </c>
      <c r="DY307" s="48" t="str">
        <f t="shared" ca="1" si="558"/>
        <v/>
      </c>
      <c r="EL307" s="48">
        <f t="shared" ca="1" si="559"/>
        <v>0</v>
      </c>
      <c r="EM307" s="48">
        <f ca="1">IF(EL307&gt;=0,0,MAX($EM$2:EM306)+1)</f>
        <v>0</v>
      </c>
      <c r="EN307" s="48" t="str">
        <f t="shared" ca="1" si="569"/>
        <v/>
      </c>
      <c r="EO307" s="48" t="str">
        <f ca="1">IFERROR(INDEX($EM$3:$EN$400,MATCH(ROWS($EO$3:EO307),$EM$3:$EM$400,0),2),"")</f>
        <v/>
      </c>
      <c r="EP307" s="48">
        <f>ROW()</f>
        <v>307</v>
      </c>
      <c r="EQ307" s="48">
        <f t="shared" ca="1" si="560"/>
        <v>0</v>
      </c>
      <c r="ER307" s="48">
        <f ca="1">IF(ISNA(EQ307)=TRUE,MAX($ER$2:ER306)+1,0)</f>
        <v>0</v>
      </c>
      <c r="ES307" s="48" t="str">
        <f t="shared" ca="1" si="570"/>
        <v/>
      </c>
      <c r="ET307" s="48" t="str">
        <f ca="1">IFERROR(INDEX($ER$3:$ES$400,MATCH(ROWS($ET$3:ET307),$ER$3:$ER$400,0),2),"")</f>
        <v/>
      </c>
      <c r="EV307" s="48">
        <f ca="1">IFERROR(INDEX(LIBRO_GIORNALE!$O$11:$P$408,MATCH(ROWS($EV$2:EV306),LIBRO_GIORNALE!$P$11:$P$408,0),1),0)</f>
        <v>0</v>
      </c>
      <c r="EW307" s="48" t="str">
        <f t="shared" ca="1" si="544"/>
        <v>0</v>
      </c>
      <c r="EX307" s="48">
        <f t="shared" ca="1" si="571"/>
        <v>0</v>
      </c>
      <c r="EY307" s="48">
        <f ca="1">IF(EX307&gt;0,MAX($EY$2:EY306)+1,0)</f>
        <v>0</v>
      </c>
      <c r="EZ307" s="48">
        <f ca="1">IFERROR(INDEX($EX$3:$EX$400,MATCH(ROWS($EZ$3:EZ307),$EY$3:$EY$400,0),1),0)</f>
        <v>0</v>
      </c>
      <c r="FA307" s="48">
        <f ca="1">IF(EZ307&gt;0,0,MAX($FA$2:FA306)+1)</f>
        <v>305</v>
      </c>
      <c r="FB307" s="48">
        <f t="shared" ca="1" si="545"/>
        <v>0</v>
      </c>
      <c r="FC307" s="48">
        <f t="shared" ca="1" si="546"/>
        <v>305</v>
      </c>
      <c r="FD307" s="48">
        <f t="shared" ca="1" si="572"/>
        <v>305</v>
      </c>
      <c r="FE307" s="48">
        <f ca="1">IF(FD307=0,0,MAX($FE$2:FE306)+1)</f>
        <v>305</v>
      </c>
      <c r="FF307" s="48">
        <f ca="1">IFERROR(INDEX($FD$3:$FE$400,MATCH(ROWS($FF$3:FF307),$FE$3:$FE$400,0),1),"")</f>
        <v>305</v>
      </c>
      <c r="FG307" s="48">
        <f t="shared" si="610"/>
        <v>0</v>
      </c>
      <c r="FH307" s="48">
        <f t="shared" ca="1" si="573"/>
        <v>0</v>
      </c>
      <c r="FI307" s="48">
        <f ca="1">IF(FH307&lt;&gt;0,MAX($FI$2:FI306)+1,0)</f>
        <v>0</v>
      </c>
      <c r="FJ307" s="48" t="str">
        <f ca="1">IFERROR(INDEX($FH$3:$FI$400,MATCH(ROWS($FJ$3:FJ307),$FI$3:$FI$400,0),1),"")</f>
        <v/>
      </c>
      <c r="FK307" s="48">
        <f ca="1">IF(ABS(SUMIFS(DARE,DEN_G,"="&amp;FJ307,DATA,"&lt;="&amp;FINE_AC,DATA,"&gt;="&amp;INIZIO_A_PC)-SUMIFS(AVERE,DEN_G,"="&amp;FJ307,DATA,"&lt;="&amp;FINE_AC,DATA,"&gt;="&amp;INIZIO_A_PC))&gt;0,MAX($FK$2:FK306)+1,0)</f>
        <v>0</v>
      </c>
      <c r="FL307" s="48" t="str">
        <f ca="1">IF(AND(ROW()-2&lt;&gt;1,ROW()-2&lt;=$FK$1),CONCATENATE(" - ",IFERROR(INDEX($FJ$3:$FK$400,MATCH(ROWS($FL$3:FL307),$FK$3:$FK$400,0),1),"")),IFERROR(INDEX($FJ$3:$FK$400,MATCH(ROWS($FL$3:FL307),$FK$3:$FK$400,0),1),""))</f>
        <v/>
      </c>
      <c r="FM307" s="48">
        <f ca="1">IF(OR(B307="IVA ns/credito",B307="IVA NS/DEBITO",B307="IVA C/ACCONTO",B307="IMPOSTE C/ACCONTO",B307="CREDITI PER RITENUTE SUBITE",B307="CREDITI D'IMPOSTA"),MAX($FM$2:FM306)+1,0)</f>
        <v>0</v>
      </c>
      <c r="FN307" s="48" t="str">
        <f t="shared" ca="1" si="574"/>
        <v/>
      </c>
      <c r="FO307" s="48" t="str">
        <f ca="1">IFERROR(INDEX($FM$3:$FN$400,MATCH(ROWS($FO$3:FO307),$FM$3:$FM$400,0),2),"")</f>
        <v/>
      </c>
      <c r="FP307" s="48">
        <f ca="1">IF(ABS(SUMIFS(DARE,DEN_G,"="&amp;FO307,DATA,"&lt;="&amp;FINE_AC,DATA,"&gt;="&amp;INIZIO_A_PC)-SUMIFS(AVERE,DEN_G,"="&amp;FO307,DATA,"&lt;="&amp;FINE_AC,DATA,"&gt;="&amp;INIZIO_A_PC))&gt;0,MAX($FP$2:FP306)+1,0)</f>
        <v>0</v>
      </c>
      <c r="FQ307" s="48" t="str">
        <f ca="1">IF(AND(ROW()-2&lt;&gt;1,ROW()-2&lt;=$FP$1),CONCATENATE(" - ",IFERROR(INDEX($FO$3:$FP$400,MATCH(ROWS($FQ$3:FQ307),$FP$3:$FP$400,0),1),"")),IFERROR(INDEX($FO$3:$FP$400,MATCH(ROWS($FQ$3:FQ307),$FP$3:$FP$400,0),1),""))</f>
        <v/>
      </c>
    </row>
    <row r="308" spans="1:173" x14ac:dyDescent="0.3">
      <c r="A308" s="48" t="str">
        <f ca="1">IFERROR(IF($A$1=2,INDEX($DH$3:$DN$401,MATCH(ROWS(A$3:A308),$DN$3:$DN$401,0),COLUMN()),IF($A$1=1,INDEX($DQ$3:$DW$401,MATCH(ROWS(A$3:A308),$DW$3:$DW$401,0),COLUMN()),"")),"")</f>
        <v>41.03</v>
      </c>
      <c r="B308" s="48" t="str">
        <f ca="1">IFERROR(IF($A$1=2,INDEX($DH$3:$DN$401,MATCH(ROWS(B$3:B308),$DN$3:$DN$401,0),COLUMN()),IF($A$1=1,INDEX($DQ$3:$DW$400,MATCH(ROWS(B$3:B308),$DW$3:$DW$401,0),COLUMN()),"")),"")</f>
        <v>SCONTI PASSIVI BANCARI</v>
      </c>
      <c r="C308" s="48" t="str">
        <f ca="1">IFERROR(IF($A$1=2,INDEX($DH$3:$DN$401,MATCH(ROWS(C$3:C308),$DN$3:$DN$401,0),COLUMN()),IF($A$1=1,INDEX($DQ$3:$DW$401,MATCH(ROWS(C$3:C308),$DW$3:$DW$401,0),COLUMN()),"")),"")</f>
        <v>E</v>
      </c>
      <c r="D308" s="48" t="str">
        <f ca="1">IFERROR(IF($A$1=2,INDEX($DH$3:$DN$401,MATCH(ROWS(D$3:D308),$DN$3:$DN$401,0),COLUMN()),IF($A$1=1,INDEX($DQ$3:$DW$401,MATCH(ROWS(D$3:D308),$DW$3:$DW$401,0),COLUMN()),"")),"")</f>
        <v>D</v>
      </c>
      <c r="E308" s="48" t="str">
        <f ca="1">IFERROR(IF($A$1=2,INDEX($DH$3:$DN$401,MATCH(ROWS(E$3:E308),$DN$3:$DN$401,0),COLUMN()),IF($A$1=1,INDEX($DQ$3:$DW$401,MATCH(ROWS(E$3:E308),$DW$3:$DW$401,0),COLUMN()),"")),"")</f>
        <v>COSTI D'ESERCIZIO</v>
      </c>
      <c r="F308" s="48" t="str">
        <f ca="1">IFERROR(IF($A$1=2,INDEX($DH$3:$DN$401,MATCH(ROWS(F$3:F308),$DN$3:$DN$401,0),COLUMN()),IF($A$1=1,INDEX($DQ$3:$DX$401,MATCH(ROWS(F$3:F308),$DW$3:$DW$401,0),COLUMN()),"")),"")</f>
        <v>SE DARE</v>
      </c>
      <c r="G308" s="48" t="str">
        <f t="shared" ca="1" si="561"/>
        <v>SE</v>
      </c>
      <c r="H308" s="48" t="str">
        <f ca="1">IFERROR(IF($A$1=2,INDEX($DH$3:$DO$400,MATCH(ROWS(H$3:H308),$DN$3:$DN$400,0),COLUMN()),IF($A$1=1,INDEX($DQ$3:$DX$400,MATCH(ROWS(H$3:H308),$DW$3:$DW$400,0),COLUMN()),"")),"")</f>
        <v>ec17</v>
      </c>
      <c r="M308" s="48">
        <f ca="1">IFERROR(IF(IF(MID($A308,3,3)=".00",MID(A308,1,2),"")&lt;&gt;"",MAX($M$2:M307)+1,0),"")</f>
        <v>0</v>
      </c>
      <c r="N308" s="48" t="str">
        <f t="shared" ca="1" si="562"/>
        <v/>
      </c>
      <c r="O308" s="48" t="str">
        <f ca="1">IF(IFERROR(INDEX($N$3:$O$300,MATCH(ROWS($O$3:O308),$M$3:$M$300,0),1),"")&lt;&gt;"",CONCATENATE(INDEX($N$3:$O$300,MATCH(ROWS($O$3:O308),$M$3:$M$300,0),1),".00"),"")</f>
        <v/>
      </c>
      <c r="P308" s="48" t="str">
        <f t="shared" ca="1" si="563"/>
        <v/>
      </c>
      <c r="Q308" s="48">
        <f ca="1">IF(M308&gt;=1,0,MAX($Q$2:Q307)+1)</f>
        <v>273</v>
      </c>
      <c r="U308" s="48" t="str">
        <f ca="1">IFERROR(INDEX(PDC,MATCH(ROWS(U$3:U308),$V$3:$V$400,0),2),"")</f>
        <v/>
      </c>
      <c r="V308" s="48">
        <f ca="1">IF(AND($T$1="VISUALIZZA TUTTI I CONTI",AA308&lt;&gt;""),MAX($V$2:V307)+1,IF(AND($U$2=2,AI308=$T$1),MAX($V$2:V307)+1,IF(AND($U$2=1,$T$1=AF308),MAX($V$2:V307)+1,0)))</f>
        <v>0</v>
      </c>
      <c r="AA308" s="48" t="str">
        <f t="shared" ca="1" si="564"/>
        <v/>
      </c>
      <c r="AB308" s="48" t="str">
        <f ca="1">IFERROR(INDEX($A$3:$G$400,MATCH(ROWS(AB$3:AB308),$Q$3:$Q$400,0),1),"")</f>
        <v/>
      </c>
      <c r="AC308" s="48" t="str">
        <f ca="1">IFERROR(INDEX($A$3:$G$400,MATCH(ROWS($AC$3:AC308),$Q$3:$Q$400,0),2),"")</f>
        <v/>
      </c>
      <c r="AD308" s="48">
        <f ca="1">IFERROR(INDEX($A$3:$G$400,MATCH(ROWS(AD$3:AD308),$Q$3:$Q$400,0),3),"")</f>
        <v>0</v>
      </c>
      <c r="AE308" s="48" t="str">
        <f ca="1">IFERROR(INDEX($A$3:$G$400,MATCH(ROWS(AE$3:AE308),$Q$3:$Q$400,0),4),"")</f>
        <v/>
      </c>
      <c r="AF308" s="48" t="str">
        <f ca="1">IFERROR(INDEX($A$3:$G$400,MATCH(ROWS(AF$3:AF308),$Q$3:$Q$400,0),5),"")</f>
        <v/>
      </c>
      <c r="AG308" s="48" t="str">
        <f ca="1">IFERROR(INDEX($A$3:$G$400,MATCH(ROWS(AG$3:AG308),$Q$3:$Q$400,0),6),"")</f>
        <v/>
      </c>
      <c r="AH308" s="48" t="str">
        <f ca="1">IFERROR(INDEX($A$3:$G$400,MATCH(ROWS(AH$3:AH308),$Q$3:$Q$400,0),7),"")</f>
        <v/>
      </c>
      <c r="AI308" s="48" t="str">
        <f t="shared" ca="1" si="565"/>
        <v/>
      </c>
      <c r="AJ308" s="48" t="str">
        <f ca="1">IFERROR(INDEX($A$3:$H$400,MATCH(ROWS(AJ$3:AJ308),$Q$3:$Q$400,0),8),"")</f>
        <v/>
      </c>
      <c r="AZ308" s="48" t="str">
        <f t="shared" ca="1" si="584"/>
        <v/>
      </c>
      <c r="BA308" s="48">
        <f t="shared" ca="1" si="611"/>
        <v>0</v>
      </c>
      <c r="BB308" s="48">
        <f t="shared" ca="1" si="612"/>
        <v>0</v>
      </c>
      <c r="BC308" s="48">
        <f t="shared" ca="1" si="613"/>
        <v>0</v>
      </c>
      <c r="BD308" s="48">
        <f t="shared" ca="1" si="614"/>
        <v>0</v>
      </c>
      <c r="BE308" s="48">
        <f t="shared" ca="1" si="615"/>
        <v>0</v>
      </c>
      <c r="BF308" s="48">
        <f t="shared" si="585"/>
        <v>108</v>
      </c>
      <c r="BG308" s="48">
        <f ca="1">IF(IF(AND(OR(INDEX(PDC,MATCH($AC308,DEN_PDC,0),6)="SP DARE",INDEX(PDC,MATCH($AC308,DEN_PDC,0),6)="SP DARE/AVERE"),SUMIFS(DARE,DEN_G,$AC308)&gt;=SUMIFS(AVERE,DEN_G,$AC308)),SUMIFS(DARE,DEN_G,$AC308)-SUMIFS(AVERE,DEN_G,$AC308),0)&gt;0,MAX($BG$2:BG307)+1,0)</f>
        <v>0</v>
      </c>
      <c r="BH308" s="48">
        <f ca="1">IF(IF(AND(OR(INDEX(PDC,MATCH($AC308,DEN_PDC,0),6)="SP AVERE",INDEX(PDC,MATCH($AC308,DEN_PDC,0),6)="SP DARE/AVERE"),SUMIFS(AVERE,DEN_G,$AC308)&gt;=SUMIFS(DARE,DEN_G,$AC308)),SUMIFS(AVERE,DEN_G,$AC308)-SUMIFS(DARE,DEN_G,$AC308),0)&gt;0,MAX(BH$2:BH307)+1,0)</f>
        <v>0</v>
      </c>
      <c r="BI308" s="48">
        <f ca="1">IF(IF(AND(OR(INDEX(PDC,MATCH($AC308,DEN_PDC,0),6)="SE DARE",INDEX(PDC,MATCH($AC308,DEN_PDC,0),6)="SE DARE/AVERE"),SUMIFS(DARE,DEN_G,$AC308)&gt;=SUMIFS(AVERE,DEN_G,$AC308)),SUMIFS(DARE,DEN_G,$AC308)-SUMIFS(AVERE,DEN_G,$AC308),0)&gt;0,MAX(BI$2:BI307)+1,0)</f>
        <v>0</v>
      </c>
      <c r="BJ308" s="48">
        <f ca="1">IF(IF(AND(OR(INDEX(PDC,MATCH($AC308,DEN_PDC,0),6)="SE AVERE",INDEX(PDC,MATCH($AC308,DEN_PDC,0),6)="SE DARE/AVERE"),SUMIFS(AVERE,DEN_G,$AC308)&gt;=SUMIFS(DARE,DEN_G,$AC308)),SUMIFS(AVERE,DEN_G,$AC308)-SUMIFS(DARE,DEN_G,$AC308),0)&gt;0,MAX(BJ$2:BJ307)+1,0)</f>
        <v>0</v>
      </c>
      <c r="BK308" s="48" t="str">
        <f ca="1">IF(AND(AND($DY$2=0,$DY$1=0),$I$1=2,ROW()&gt;$BG$1+2,ROW()&lt;=$BG$1+4),"………………..",IF(AND(OR($DY$2&gt;0,$DY$1&gt;0),$I$1=2,ROW()&gt;$BG$1+2,ROW()&lt;=$BG$1+4),"………………..",IFERROR(INDEX($AC$3:$AC$398,MATCH(ROWS(BK$3:BK308),BG$3:BG$398,0),1),"")))</f>
        <v/>
      </c>
      <c r="BL308" s="48">
        <f t="shared" ca="1" si="549"/>
        <v>0</v>
      </c>
      <c r="BM308" s="48" t="str">
        <f ca="1">IF(AND(OR($DY$2=0,$DY$1=0),$I$1=2,ROW()&gt;$BH$1+2,ROW()&lt;=$BH$1+4),"………………..",IF(AND(OR($DY$2&gt;0,$DY$1&gt;0),$I$1=2,ROW()&gt;$BH$1+2,ROW()&lt;=$BH$1+4),"………………..",IFERROR(INDEX($AC$3:$AC$400,MATCH(ROWS(BM$3:BM308),BH$3:BH$400,0),1),"")))</f>
        <v/>
      </c>
      <c r="BN308" s="48">
        <f t="shared" ca="1" si="550"/>
        <v>0</v>
      </c>
      <c r="BO308" s="48" t="str">
        <f ca="1">IF(AND(OR($DY$2=0,$DY$1=0),$I$1=2,ROW()&gt;$BI$1+2,ROW()&lt;=$BI$1+4),"………………..",IF(AND(OR($DY$2&gt;0,$DY$1&gt;0),$I$1=2,ROW()&gt;$BI$1+2,ROW()&lt;=$BI$1+4),"………………..",IFERROR(INDEX($AC$3:$AC$400,MATCH(ROWS(BO$3:BO308),BI$3:BI$400,0),1),"")))</f>
        <v/>
      </c>
      <c r="BP308" s="48">
        <f t="shared" ca="1" si="551"/>
        <v>0</v>
      </c>
      <c r="BQ308" s="48" t="str">
        <f ca="1">IF(AND(OR($DY$2=0,$DY$1=0),$I$1=2,ROW()&gt;$BJ$1+2,ROW()&lt;=$BJ$1+4),"………………..",IF(AND(OR($DY$2&gt;0,$DY$1&gt;0),$I$1=2,ROW()&gt;$BJ$1+2,ROW()&lt;=$BJ$1+4),"………………..",IFERROR(INDEX($AC$3:$AC$400,MATCH(ROWS(BQ$3:BQ308),BJ$3:BJ$400,0),1),"")))</f>
        <v/>
      </c>
      <c r="BR308" s="48">
        <f t="shared" ca="1" si="552"/>
        <v>0</v>
      </c>
      <c r="BS308" s="48">
        <f ca="1">IF(IF(AND(OR(INDEX(PDC,MATCH($AC308,DEN_PDC,0),4)="D",INDEX(PDC,MATCH($AC308,DEN_PDC,0),4)="D/A"),SUMIFS(DARE,DEN_G,$AC308)&gt;=SUMIFS(AVERE,DEN_G,$AC308)),SUMIFS(DARE,DEN_G,$AC308),IF(AND(OR(INDEX(PDC,MATCH($AC308,DEN_PDC,0),4)="A",INDEX(PDC,MATCH($AC308,DEN_PDC,0),4)="D/A"),SUMIFS(AVERE,DEN_G,$AC308)&gt;=SUMIFS(DARE,DEN_G,$AC308)),SUMIFS(AVERE,DEN_G,$AC308),))&gt;0,MAX($BS$2:BS307)+1,0)</f>
        <v>0</v>
      </c>
      <c r="BT308" s="48" t="str">
        <f ca="1">IF($CO$1=0,"",IF(AND($I$1=2,ROW()&gt;$BR$1,ROW()&lt;=$BS$1)," …………….",IF(AND($E$1=1,$BX$1=1,$I$1=2,ROW()=$BQ$1),"TOTALI",IFERROR(INDEX(PDC,MATCH(ROWS(BT$3:BT308),BS$3:BS705,0),2),""))))</f>
        <v/>
      </c>
      <c r="BU308" s="48">
        <f t="shared" ca="1" si="553"/>
        <v>0</v>
      </c>
      <c r="BV308" s="48">
        <f t="shared" ca="1" si="554"/>
        <v>0</v>
      </c>
      <c r="BW308" s="48">
        <f t="shared" ca="1" si="555"/>
        <v>0</v>
      </c>
      <c r="BX308" s="48">
        <f t="shared" ca="1" si="556"/>
        <v>0</v>
      </c>
      <c r="BY308" s="48">
        <f ca="1">IF(OR(BW308&gt;0,BX308&gt;0),MAX($BY$2:BY307)+1,0)</f>
        <v>0</v>
      </c>
      <c r="BZ308" s="48" t="str">
        <f ca="1">IFERROR(INDEX($BT$3:$BY$400,MATCH(ROWS(BZ$3:BZ308),$BY$3:$BY$400,0),1),"")</f>
        <v/>
      </c>
      <c r="CA308" s="48" t="str">
        <f ca="1">IFERROR(INDEX($BT$3:$BY$400,MATCH(ROWS(CA$3:CA308),$BY$3:$BY$400,0),4),"")</f>
        <v/>
      </c>
      <c r="CB308" s="48" t="str">
        <f ca="1">IFERROR(INDEX($BT$3:$BY$400,MATCH(ROWS(CB$3:CB308),$BY$3:$BY$400,0),5),"")</f>
        <v/>
      </c>
      <c r="CC308" s="48" t="str">
        <f t="shared" ca="1" si="557"/>
        <v/>
      </c>
      <c r="CM308" s="242" t="str">
        <f t="shared" ca="1" si="566"/>
        <v/>
      </c>
      <c r="CN308" s="243">
        <f t="shared" ca="1" si="567"/>
        <v>0</v>
      </c>
      <c r="CO308" s="48" t="str">
        <f t="shared" ca="1" si="568"/>
        <v/>
      </c>
      <c r="CU308" s="48">
        <f ca="1">IF(SUMIFS(AVERE,DEN_G,AC308,AVERE,"&gt;"&amp;0)+SUMIFS(DARE,DEN_G,AC308,DARE,"&gt;"&amp;0)&gt;0,MAX($CU$2:CU307)+1,0)</f>
        <v>0</v>
      </c>
      <c r="CV308" s="48" t="str">
        <f ca="1">IF(IFERROR(INDEX(PDC,MATCH(ROWS($CV$3:CV308),$CU$3:$CU$400,0),2),"")="CONTO DI RISULTATO ECONOMICO","",IFERROR(INDEX(PDC,MATCH(ROWS($CV$3:CV308),$CU$3:$CU$400,0),2),""))</f>
        <v/>
      </c>
      <c r="CW308" s="48">
        <f ca="1">IFERROR(IF(CV308&lt;&gt;"",MAX($CW$2:CW307)+1,0),0)</f>
        <v>0</v>
      </c>
      <c r="CX308" s="48">
        <f t="shared" ca="1" si="618"/>
        <v>24</v>
      </c>
      <c r="CY308" s="48" t="str">
        <f t="shared" ca="1" si="617"/>
        <v>MASTRO</v>
      </c>
      <c r="CZ308" s="48" t="e">
        <f t="shared" ca="1" si="620"/>
        <v>#N/A</v>
      </c>
      <c r="DA308" s="48" t="str">
        <f t="shared" ca="1" si="624"/>
        <v/>
      </c>
      <c r="DB308" s="48" t="str">
        <f t="shared" ca="1" si="592"/>
        <v/>
      </c>
      <c r="DC308" s="48" t="str">
        <f t="shared" ca="1" si="621"/>
        <v/>
      </c>
      <c r="DD308" s="48" t="str">
        <f t="shared" ca="1" si="622"/>
        <v/>
      </c>
      <c r="DE308" s="48" t="str">
        <f t="shared" ca="1" si="623"/>
        <v/>
      </c>
      <c r="DF308" s="48">
        <f ca="1">IF(AND(CX308=$DF$1,CX308&lt;&gt;""),0,IF(AND(DB308&lt;&gt;"",OR(DB307&lt;&gt;"",DB309&lt;&gt;"")),MAX($DF$2:DF307)+1,0))</f>
        <v>0</v>
      </c>
      <c r="DH308" s="244"/>
      <c r="DN308" s="48">
        <f>IF(DI308&lt;&gt;"",MAX($DN$2:DN307)+1,0)</f>
        <v>0</v>
      </c>
      <c r="DQ308" s="227" t="s">
        <v>226</v>
      </c>
      <c r="DR308" s="48" t="s">
        <v>223</v>
      </c>
      <c r="DS308" s="48" t="s">
        <v>311</v>
      </c>
      <c r="DT308" s="48" t="s">
        <v>275</v>
      </c>
      <c r="DU308" s="48" t="s">
        <v>7</v>
      </c>
      <c r="DV308" s="48" t="s">
        <v>301</v>
      </c>
      <c r="DW308" s="48">
        <f ca="1">IF(DR308&lt;&gt;"",MAX($DW$2:DW307)+1,0)</f>
        <v>183</v>
      </c>
      <c r="DX308" s="48" t="s">
        <v>713</v>
      </c>
      <c r="DY308" s="48" t="str">
        <f t="shared" ca="1" si="558"/>
        <v/>
      </c>
      <c r="EL308" s="48">
        <f t="shared" ca="1" si="559"/>
        <v>0</v>
      </c>
      <c r="EM308" s="48">
        <f ca="1">IF(EL308&gt;=0,0,MAX($EM$2:EM307)+1)</f>
        <v>0</v>
      </c>
      <c r="EN308" s="48" t="str">
        <f t="shared" ca="1" si="569"/>
        <v/>
      </c>
      <c r="EO308" s="48" t="str">
        <f ca="1">IFERROR(INDEX($EM$3:$EN$400,MATCH(ROWS($EO$3:EO308),$EM$3:$EM$400,0),2),"")</f>
        <v/>
      </c>
      <c r="EP308" s="48">
        <f>ROW()</f>
        <v>308</v>
      </c>
      <c r="EQ308" s="48">
        <f t="shared" ca="1" si="560"/>
        <v>0</v>
      </c>
      <c r="ER308" s="48">
        <f ca="1">IF(ISNA(EQ308)=TRUE,MAX($ER$2:ER307)+1,0)</f>
        <v>0</v>
      </c>
      <c r="ES308" s="48" t="str">
        <f t="shared" ca="1" si="570"/>
        <v/>
      </c>
      <c r="ET308" s="48" t="str">
        <f ca="1">IFERROR(INDEX($ER$3:$ES$400,MATCH(ROWS($ET$3:ET308),$ER$3:$ER$400,0),2),"")</f>
        <v/>
      </c>
      <c r="EV308" s="48">
        <f ca="1">IFERROR(INDEX(LIBRO_GIORNALE!$O$11:$P$408,MATCH(ROWS($EV$2:EV307),LIBRO_GIORNALE!$P$11:$P$408,0),1),0)</f>
        <v>0</v>
      </c>
      <c r="EW308" s="48" t="str">
        <f t="shared" ca="1" si="544"/>
        <v>0</v>
      </c>
      <c r="EX308" s="48">
        <f t="shared" ca="1" si="571"/>
        <v>0</v>
      </c>
      <c r="EY308" s="48">
        <f ca="1">IF(EX308&gt;0,MAX($EY$2:EY307)+1,0)</f>
        <v>0</v>
      </c>
      <c r="EZ308" s="48">
        <f ca="1">IFERROR(INDEX($EX$3:$EX$400,MATCH(ROWS($EZ$3:EZ308),$EY$3:$EY$400,0),1),0)</f>
        <v>0</v>
      </c>
      <c r="FA308" s="48">
        <f ca="1">IF(EZ308&gt;0,0,MAX($FA$2:FA307)+1)</f>
        <v>306</v>
      </c>
      <c r="FB308" s="48">
        <f t="shared" ca="1" si="545"/>
        <v>0</v>
      </c>
      <c r="FC308" s="48">
        <f t="shared" ca="1" si="546"/>
        <v>306</v>
      </c>
      <c r="FD308" s="48">
        <f t="shared" ca="1" si="572"/>
        <v>306</v>
      </c>
      <c r="FE308" s="48">
        <f ca="1">IF(FD308=0,0,MAX($FE$2:FE307)+1)</f>
        <v>306</v>
      </c>
      <c r="FF308" s="48">
        <f ca="1">IFERROR(INDEX($FD$3:$FE$400,MATCH(ROWS($FF$3:FF308),$FE$3:$FE$400,0),1),"")</f>
        <v>306</v>
      </c>
      <c r="FG308" s="48">
        <f t="shared" si="610"/>
        <v>0</v>
      </c>
      <c r="FH308" s="48">
        <f t="shared" ca="1" si="573"/>
        <v>0</v>
      </c>
      <c r="FI308" s="48">
        <f ca="1">IF(FH308&lt;&gt;0,MAX($FI$2:FI307)+1,0)</f>
        <v>0</v>
      </c>
      <c r="FJ308" s="48" t="str">
        <f ca="1">IFERROR(INDEX($FH$3:$FI$400,MATCH(ROWS($FJ$3:FJ308),$FI$3:$FI$400,0),1),"")</f>
        <v/>
      </c>
      <c r="FK308" s="48">
        <f ca="1">IF(ABS(SUMIFS(DARE,DEN_G,"="&amp;FJ308,DATA,"&lt;="&amp;FINE_AC,DATA,"&gt;="&amp;INIZIO_A_PC)-SUMIFS(AVERE,DEN_G,"="&amp;FJ308,DATA,"&lt;="&amp;FINE_AC,DATA,"&gt;="&amp;INIZIO_A_PC))&gt;0,MAX($FK$2:FK307)+1,0)</f>
        <v>0</v>
      </c>
      <c r="FL308" s="48" t="str">
        <f ca="1">IF(AND(ROW()-2&lt;&gt;1,ROW()-2&lt;=$FK$1),CONCATENATE(" - ",IFERROR(INDEX($FJ$3:$FK$400,MATCH(ROWS($FL$3:FL308),$FK$3:$FK$400,0),1),"")),IFERROR(INDEX($FJ$3:$FK$400,MATCH(ROWS($FL$3:FL308),$FK$3:$FK$400,0),1),""))</f>
        <v/>
      </c>
      <c r="FM308" s="48">
        <f ca="1">IF(OR(B308="IVA ns/credito",B308="IVA NS/DEBITO",B308="IVA C/ACCONTO",B308="IMPOSTE C/ACCONTO",B308="CREDITI PER RITENUTE SUBITE",B308="CREDITI D'IMPOSTA"),MAX($FM$2:FM307)+1,0)</f>
        <v>0</v>
      </c>
      <c r="FN308" s="48" t="str">
        <f t="shared" ca="1" si="574"/>
        <v/>
      </c>
      <c r="FO308" s="48" t="str">
        <f ca="1">IFERROR(INDEX($FM$3:$FN$400,MATCH(ROWS($FO$3:FO308),$FM$3:$FM$400,0),2),"")</f>
        <v/>
      </c>
      <c r="FP308" s="48">
        <f ca="1">IF(ABS(SUMIFS(DARE,DEN_G,"="&amp;FO308,DATA,"&lt;="&amp;FINE_AC,DATA,"&gt;="&amp;INIZIO_A_PC)-SUMIFS(AVERE,DEN_G,"="&amp;FO308,DATA,"&lt;="&amp;FINE_AC,DATA,"&gt;="&amp;INIZIO_A_PC))&gt;0,MAX($FP$2:FP307)+1,0)</f>
        <v>0</v>
      </c>
      <c r="FQ308" s="48" t="str">
        <f ca="1">IF(AND(ROW()-2&lt;&gt;1,ROW()-2&lt;=$FP$1),CONCATENATE(" - ",IFERROR(INDEX($FO$3:$FP$400,MATCH(ROWS($FQ$3:FQ308),$FP$3:$FP$400,0),1),"")),IFERROR(INDEX($FO$3:$FP$400,MATCH(ROWS($FQ$3:FQ308),$FP$3:$FP$400,0),1),""))</f>
        <v/>
      </c>
    </row>
    <row r="309" spans="1:173" x14ac:dyDescent="0.3">
      <c r="A309" s="48" t="str">
        <f ca="1">IFERROR(IF($A$1=2,INDEX($DH$3:$DN$401,MATCH(ROWS(A$3:A309),$DN$3:$DN$401,0),COLUMN()),IF($A$1=1,INDEX($DQ$3:$DW$401,MATCH(ROWS(A$3:A309),$DW$3:$DW$401,0),COLUMN()),"")),"")</f>
        <v>41.04</v>
      </c>
      <c r="B309" s="48" t="str">
        <f ca="1">IFERROR(IF($A$1=2,INDEX($DH$3:$DN$401,MATCH(ROWS(B$3:B309),$DN$3:$DN$401,0),COLUMN()),IF($A$1=1,INDEX($DQ$3:$DW$400,MATCH(ROWS(B$3:B309),$DW$3:$DW$401,0),COLUMN()),"")),"")</f>
        <v>INTERESSI PASSIVI SU MUTUI</v>
      </c>
      <c r="C309" s="48" t="str">
        <f ca="1">IFERROR(IF($A$1=2,INDEX($DH$3:$DN$401,MATCH(ROWS(C$3:C309),$DN$3:$DN$401,0),COLUMN()),IF($A$1=1,INDEX($DQ$3:$DW$401,MATCH(ROWS(C$3:C309),$DW$3:$DW$401,0),COLUMN()),"")),"")</f>
        <v>E</v>
      </c>
      <c r="D309" s="48" t="str">
        <f ca="1">IFERROR(IF($A$1=2,INDEX($DH$3:$DN$401,MATCH(ROWS(D$3:D309),$DN$3:$DN$401,0),COLUMN()),IF($A$1=1,INDEX($DQ$3:$DW$401,MATCH(ROWS(D$3:D309),$DW$3:$DW$401,0),COLUMN()),"")),"")</f>
        <v>D</v>
      </c>
      <c r="E309" s="48" t="str">
        <f ca="1">IFERROR(IF($A$1=2,INDEX($DH$3:$DN$401,MATCH(ROWS(E$3:E309),$DN$3:$DN$401,0),COLUMN()),IF($A$1=1,INDEX($DQ$3:$DW$401,MATCH(ROWS(E$3:E309),$DW$3:$DW$401,0),COLUMN()),"")),"")</f>
        <v>COSTI D'ESERCIZIO</v>
      </c>
      <c r="F309" s="48" t="str">
        <f ca="1">IFERROR(IF($A$1=2,INDEX($DH$3:$DN$401,MATCH(ROWS(F$3:F309),$DN$3:$DN$401,0),COLUMN()),IF($A$1=1,INDEX($DQ$3:$DX$401,MATCH(ROWS(F$3:F309),$DW$3:$DW$401,0),COLUMN()),"")),"")</f>
        <v>SE DARE</v>
      </c>
      <c r="G309" s="48" t="str">
        <f t="shared" ca="1" si="561"/>
        <v>SE</v>
      </c>
      <c r="H309" s="48" t="str">
        <f ca="1">IFERROR(IF($A$1=2,INDEX($DH$3:$DO$400,MATCH(ROWS(H$3:H309),$DN$3:$DN$400,0),COLUMN()),IF($A$1=1,INDEX($DQ$3:$DX$400,MATCH(ROWS(H$3:H309),$DW$3:$DW$400,0),COLUMN()),"")),"")</f>
        <v>ec17</v>
      </c>
      <c r="M309" s="48">
        <f ca="1">IFERROR(IF(IF(MID($A309,3,3)=".00",MID(A309,1,2),"")&lt;&gt;"",MAX($M$2:M308)+1,0),"")</f>
        <v>0</v>
      </c>
      <c r="N309" s="48" t="str">
        <f t="shared" ca="1" si="562"/>
        <v/>
      </c>
      <c r="O309" s="48" t="str">
        <f ca="1">IF(IFERROR(INDEX($N$3:$O$300,MATCH(ROWS($O$3:O309),$M$3:$M$300,0),1),"")&lt;&gt;"",CONCATENATE(INDEX($N$3:$O$300,MATCH(ROWS($O$3:O309),$M$3:$M$300,0),1),".00"),"")</f>
        <v/>
      </c>
      <c r="P309" s="48" t="str">
        <f t="shared" ca="1" si="563"/>
        <v/>
      </c>
      <c r="Q309" s="48">
        <f ca="1">IF(M309&gt;=1,0,MAX($Q$2:Q308)+1)</f>
        <v>274</v>
      </c>
      <c r="U309" s="48" t="str">
        <f ca="1">IFERROR(INDEX(PDC,MATCH(ROWS(U$3:U309),$V$3:$V$400,0),2),"")</f>
        <v/>
      </c>
      <c r="V309" s="48">
        <f ca="1">IF(AND($T$1="VISUALIZZA TUTTI I CONTI",AA309&lt;&gt;""),MAX($V$2:V308)+1,IF(AND($U$2=2,AI309=$T$1),MAX($V$2:V308)+1,IF(AND($U$2=1,$T$1=AF309),MAX($V$2:V308)+1,0)))</f>
        <v>0</v>
      </c>
      <c r="AA309" s="48" t="str">
        <f t="shared" ca="1" si="564"/>
        <v/>
      </c>
      <c r="AB309" s="48" t="str">
        <f ca="1">IFERROR(INDEX($A$3:$G$400,MATCH(ROWS(AB$3:AB309),$Q$3:$Q$400,0),1),"")</f>
        <v/>
      </c>
      <c r="AC309" s="48" t="str">
        <f ca="1">IFERROR(INDEX($A$3:$G$400,MATCH(ROWS($AC$3:AC309),$Q$3:$Q$400,0),2),"")</f>
        <v/>
      </c>
      <c r="AD309" s="48">
        <f ca="1">IFERROR(INDEX($A$3:$G$400,MATCH(ROWS(AD$3:AD309),$Q$3:$Q$400,0),3),"")</f>
        <v>0</v>
      </c>
      <c r="AE309" s="48" t="str">
        <f ca="1">IFERROR(INDEX($A$3:$G$400,MATCH(ROWS(AE$3:AE309),$Q$3:$Q$400,0),4),"")</f>
        <v/>
      </c>
      <c r="AF309" s="48" t="str">
        <f ca="1">IFERROR(INDEX($A$3:$G$400,MATCH(ROWS(AF$3:AF309),$Q$3:$Q$400,0),5),"")</f>
        <v/>
      </c>
      <c r="AG309" s="48" t="str">
        <f ca="1">IFERROR(INDEX($A$3:$G$400,MATCH(ROWS(AG$3:AG309),$Q$3:$Q$400,0),6),"")</f>
        <v/>
      </c>
      <c r="AH309" s="48" t="str">
        <f ca="1">IFERROR(INDEX($A$3:$G$400,MATCH(ROWS(AH$3:AH309),$Q$3:$Q$400,0),7),"")</f>
        <v/>
      </c>
      <c r="AI309" s="48" t="str">
        <f t="shared" ca="1" si="565"/>
        <v/>
      </c>
      <c r="AJ309" s="48" t="str">
        <f ca="1">IFERROR(INDEX($A$3:$H$400,MATCH(ROWS(AJ$3:AJ309),$Q$3:$Q$400,0),8),"")</f>
        <v/>
      </c>
      <c r="AZ309" s="48" t="str">
        <f t="shared" ca="1" si="584"/>
        <v/>
      </c>
      <c r="BA309" s="48">
        <f t="shared" ca="1" si="611"/>
        <v>0</v>
      </c>
      <c r="BB309" s="48">
        <f t="shared" ca="1" si="612"/>
        <v>0</v>
      </c>
      <c r="BC309" s="48">
        <f t="shared" ca="1" si="613"/>
        <v>0</v>
      </c>
      <c r="BD309" s="48">
        <f t="shared" ca="1" si="614"/>
        <v>0</v>
      </c>
      <c r="BE309" s="48">
        <f t="shared" ca="1" si="615"/>
        <v>0</v>
      </c>
      <c r="BF309" s="48">
        <f t="shared" si="585"/>
        <v>109</v>
      </c>
      <c r="BG309" s="48">
        <f ca="1">IF(IF(AND(OR(INDEX(PDC,MATCH($AC309,DEN_PDC,0),6)="SP DARE",INDEX(PDC,MATCH($AC309,DEN_PDC,0),6)="SP DARE/AVERE"),SUMIFS(DARE,DEN_G,$AC309)&gt;=SUMIFS(AVERE,DEN_G,$AC309)),SUMIFS(DARE,DEN_G,$AC309)-SUMIFS(AVERE,DEN_G,$AC309),0)&gt;0,MAX($BG$2:BG308)+1,0)</f>
        <v>0</v>
      </c>
      <c r="BH309" s="48">
        <f ca="1">IF(IF(AND(OR(INDEX(PDC,MATCH($AC309,DEN_PDC,0),6)="SP AVERE",INDEX(PDC,MATCH($AC309,DEN_PDC,0),6)="SP DARE/AVERE"),SUMIFS(AVERE,DEN_G,$AC309)&gt;=SUMIFS(DARE,DEN_G,$AC309)),SUMIFS(AVERE,DEN_G,$AC309)-SUMIFS(DARE,DEN_G,$AC309),0)&gt;0,MAX(BH$2:BH308)+1,0)</f>
        <v>0</v>
      </c>
      <c r="BI309" s="48">
        <f ca="1">IF(IF(AND(OR(INDEX(PDC,MATCH($AC309,DEN_PDC,0),6)="SE DARE",INDEX(PDC,MATCH($AC309,DEN_PDC,0),6)="SE DARE/AVERE"),SUMIFS(DARE,DEN_G,$AC309)&gt;=SUMIFS(AVERE,DEN_G,$AC309)),SUMIFS(DARE,DEN_G,$AC309)-SUMIFS(AVERE,DEN_G,$AC309),0)&gt;0,MAX(BI$2:BI308)+1,0)</f>
        <v>0</v>
      </c>
      <c r="BJ309" s="48">
        <f ca="1">IF(IF(AND(OR(INDEX(PDC,MATCH($AC309,DEN_PDC,0),6)="SE AVERE",INDEX(PDC,MATCH($AC309,DEN_PDC,0),6)="SE DARE/AVERE"),SUMIFS(AVERE,DEN_G,$AC309)&gt;=SUMIFS(DARE,DEN_G,$AC309)),SUMIFS(AVERE,DEN_G,$AC309)-SUMIFS(DARE,DEN_G,$AC309),0)&gt;0,MAX(BJ$2:BJ308)+1,0)</f>
        <v>0</v>
      </c>
      <c r="BK309" s="48" t="str">
        <f ca="1">IF(AND(AND($DY$2=0,$DY$1=0),$I$1=2,ROW()&gt;$BG$1+2,ROW()&lt;=$BG$1+4),"………………..",IF(AND(OR($DY$2&gt;0,$DY$1&gt;0),$I$1=2,ROW()&gt;$BG$1+2,ROW()&lt;=$BG$1+4),"………………..",IFERROR(INDEX($AC$3:$AC$398,MATCH(ROWS(BK$3:BK309),BG$3:BG$398,0),1),"")))</f>
        <v/>
      </c>
      <c r="BL309" s="48">
        <f t="shared" ca="1" si="549"/>
        <v>0</v>
      </c>
      <c r="BM309" s="48" t="str">
        <f ca="1">IF(AND(OR($DY$2=0,$DY$1=0),$I$1=2,ROW()&gt;$BH$1+2,ROW()&lt;=$BH$1+4),"………………..",IF(AND(OR($DY$2&gt;0,$DY$1&gt;0),$I$1=2,ROW()&gt;$BH$1+2,ROW()&lt;=$BH$1+4),"………………..",IFERROR(INDEX($AC$3:$AC$400,MATCH(ROWS(BM$3:BM309),BH$3:BH$400,0),1),"")))</f>
        <v/>
      </c>
      <c r="BN309" s="48">
        <f t="shared" ca="1" si="550"/>
        <v>0</v>
      </c>
      <c r="BO309" s="48" t="str">
        <f ca="1">IF(AND(OR($DY$2=0,$DY$1=0),$I$1=2,ROW()&gt;$BI$1+2,ROW()&lt;=$BI$1+4),"………………..",IF(AND(OR($DY$2&gt;0,$DY$1&gt;0),$I$1=2,ROW()&gt;$BI$1+2,ROW()&lt;=$BI$1+4),"………………..",IFERROR(INDEX($AC$3:$AC$400,MATCH(ROWS(BO$3:BO309),BI$3:BI$400,0),1),"")))</f>
        <v/>
      </c>
      <c r="BP309" s="48">
        <f t="shared" ca="1" si="551"/>
        <v>0</v>
      </c>
      <c r="BQ309" s="48" t="str">
        <f ca="1">IF(AND(OR($DY$2=0,$DY$1=0),$I$1=2,ROW()&gt;$BJ$1+2,ROW()&lt;=$BJ$1+4),"………………..",IF(AND(OR($DY$2&gt;0,$DY$1&gt;0),$I$1=2,ROW()&gt;$BJ$1+2,ROW()&lt;=$BJ$1+4),"………………..",IFERROR(INDEX($AC$3:$AC$400,MATCH(ROWS(BQ$3:BQ309),BJ$3:BJ$400,0),1),"")))</f>
        <v/>
      </c>
      <c r="BR309" s="48">
        <f t="shared" ca="1" si="552"/>
        <v>0</v>
      </c>
      <c r="BS309" s="48">
        <f ca="1">IF(IF(AND(OR(INDEX(PDC,MATCH($AC309,DEN_PDC,0),4)="D",INDEX(PDC,MATCH($AC309,DEN_PDC,0),4)="D/A"),SUMIFS(DARE,DEN_G,$AC309)&gt;=SUMIFS(AVERE,DEN_G,$AC309)),SUMIFS(DARE,DEN_G,$AC309),IF(AND(OR(INDEX(PDC,MATCH($AC309,DEN_PDC,0),4)="A",INDEX(PDC,MATCH($AC309,DEN_PDC,0),4)="D/A"),SUMIFS(AVERE,DEN_G,$AC309)&gt;=SUMIFS(DARE,DEN_G,$AC309)),SUMIFS(AVERE,DEN_G,$AC309),))&gt;0,MAX($BS$2:BS308)+1,0)</f>
        <v>0</v>
      </c>
      <c r="BT309" s="48" t="str">
        <f ca="1">IF($CO$1=0,"",IF(AND($I$1=2,ROW()&gt;$BR$1,ROW()&lt;=$BS$1)," …………….",IF(AND($E$1=1,$BX$1=1,$I$1=2,ROW()=$BQ$1),"TOTALI",IFERROR(INDEX(PDC,MATCH(ROWS(BT$3:BT309),BS$3:BS706,0),2),""))))</f>
        <v/>
      </c>
      <c r="BU309" s="48">
        <f t="shared" ca="1" si="553"/>
        <v>0</v>
      </c>
      <c r="BV309" s="48">
        <f t="shared" ca="1" si="554"/>
        <v>0</v>
      </c>
      <c r="BW309" s="48">
        <f t="shared" ca="1" si="555"/>
        <v>0</v>
      </c>
      <c r="BX309" s="48">
        <f t="shared" ca="1" si="556"/>
        <v>0</v>
      </c>
      <c r="BY309" s="48">
        <f ca="1">IF(OR(BW309&gt;0,BX309&gt;0),MAX($BY$2:BY308)+1,0)</f>
        <v>0</v>
      </c>
      <c r="BZ309" s="48" t="str">
        <f ca="1">IFERROR(INDEX($BT$3:$BY$400,MATCH(ROWS(BZ$3:BZ309),$BY$3:$BY$400,0),1),"")</f>
        <v/>
      </c>
      <c r="CA309" s="48" t="str">
        <f ca="1">IFERROR(INDEX($BT$3:$BY$400,MATCH(ROWS(CA$3:CA309),$BY$3:$BY$400,0),4),"")</f>
        <v/>
      </c>
      <c r="CB309" s="48" t="str">
        <f ca="1">IFERROR(INDEX($BT$3:$BY$400,MATCH(ROWS(CB$3:CB309),$BY$3:$BY$400,0),5),"")</f>
        <v/>
      </c>
      <c r="CC309" s="48" t="str">
        <f t="shared" ca="1" si="557"/>
        <v/>
      </c>
      <c r="CM309" s="242" t="str">
        <f t="shared" ca="1" si="566"/>
        <v/>
      </c>
      <c r="CN309" s="243">
        <f t="shared" ca="1" si="567"/>
        <v>0</v>
      </c>
      <c r="CO309" s="48" t="str">
        <f t="shared" ca="1" si="568"/>
        <v/>
      </c>
      <c r="CU309" s="48">
        <f ca="1">IF(SUMIFS(AVERE,DEN_G,AC309,AVERE,"&gt;"&amp;0)+SUMIFS(DARE,DEN_G,AC309,DARE,"&gt;"&amp;0)&gt;0,MAX($CU$2:CU308)+1,0)</f>
        <v>0</v>
      </c>
      <c r="CV309" s="48" t="str">
        <f ca="1">IF(IFERROR(INDEX(PDC,MATCH(ROWS($CV$3:CV309),$CU$3:$CU$400,0),2),"")="CONTO DI RISULTATO ECONOMICO","",IFERROR(INDEX(PDC,MATCH(ROWS($CV$3:CV309),$CU$3:$CU$400,0),2),""))</f>
        <v/>
      </c>
      <c r="CW309" s="48">
        <f ca="1">IFERROR(IF(CV309&lt;&gt;"",MAX($CW$2:CW308)+1,0),0)</f>
        <v>0</v>
      </c>
      <c r="CX309" s="48">
        <f t="shared" ca="1" si="618"/>
        <v>24</v>
      </c>
      <c r="CY309" s="48" t="str">
        <f t="shared" ca="1" si="617"/>
        <v>MASTRO</v>
      </c>
      <c r="CZ309" s="48" t="e">
        <f t="shared" ca="1" si="620"/>
        <v>#N/A</v>
      </c>
      <c r="DA309" s="48" t="str">
        <f t="shared" ca="1" si="624"/>
        <v/>
      </c>
      <c r="DB309" s="48" t="str">
        <f t="shared" ca="1" si="592"/>
        <v/>
      </c>
      <c r="DC309" s="48" t="str">
        <f t="shared" ca="1" si="621"/>
        <v/>
      </c>
      <c r="DD309" s="48" t="str">
        <f t="shared" ca="1" si="622"/>
        <v/>
      </c>
      <c r="DE309" s="48" t="str">
        <f t="shared" ca="1" si="623"/>
        <v/>
      </c>
      <c r="DF309" s="48">
        <f ca="1">IF(AND(CX309=$DF$1,CX309&lt;&gt;""),0,IF(AND(DB309&lt;&gt;"",OR(DB308&lt;&gt;"",DB310&lt;&gt;"")),MAX($DF$2:DF308)+1,0))</f>
        <v>0</v>
      </c>
      <c r="DH309" s="244"/>
      <c r="DN309" s="48">
        <f>IF(DI309&lt;&gt;"",MAX($DN$2:DN308)+1,0)</f>
        <v>0</v>
      </c>
      <c r="DQ309" s="227" t="s">
        <v>896</v>
      </c>
      <c r="DR309" s="48" t="s">
        <v>224</v>
      </c>
      <c r="DS309" s="48" t="s">
        <v>311</v>
      </c>
      <c r="DT309" s="48" t="s">
        <v>275</v>
      </c>
      <c r="DU309" s="48" t="s">
        <v>7</v>
      </c>
      <c r="DV309" s="48" t="s">
        <v>301</v>
      </c>
      <c r="DW309" s="48">
        <f ca="1">IF(DR309&lt;&gt;"",MAX($DW$2:DW308)+1,0)</f>
        <v>184</v>
      </c>
      <c r="DX309" s="48" t="s">
        <v>714</v>
      </c>
      <c r="DY309" s="48" t="str">
        <f t="shared" ca="1" si="558"/>
        <v/>
      </c>
      <c r="EL309" s="48">
        <f t="shared" ca="1" si="559"/>
        <v>0</v>
      </c>
      <c r="EM309" s="48">
        <f ca="1">IF(EL309&gt;=0,0,MAX($EM$2:EM308)+1)</f>
        <v>0</v>
      </c>
      <c r="EN309" s="48" t="str">
        <f t="shared" ca="1" si="569"/>
        <v/>
      </c>
      <c r="EO309" s="48" t="str">
        <f ca="1">IFERROR(INDEX($EM$3:$EN$400,MATCH(ROWS($EO$3:EO309),$EM$3:$EM$400,0),2),"")</f>
        <v/>
      </c>
      <c r="EP309" s="48">
        <f>ROW()</f>
        <v>309</v>
      </c>
      <c r="EQ309" s="48">
        <f t="shared" ca="1" si="560"/>
        <v>0</v>
      </c>
      <c r="ER309" s="48">
        <f ca="1">IF(ISNA(EQ309)=TRUE,MAX($ER$2:ER308)+1,0)</f>
        <v>0</v>
      </c>
      <c r="ES309" s="48" t="str">
        <f t="shared" ca="1" si="570"/>
        <v/>
      </c>
      <c r="ET309" s="48" t="str">
        <f ca="1">IFERROR(INDEX($ER$3:$ES$400,MATCH(ROWS($ET$3:ET309),$ER$3:$ER$400,0),2),"")</f>
        <v/>
      </c>
      <c r="EV309" s="48">
        <f ca="1">IFERROR(INDEX(LIBRO_GIORNALE!$O$11:$P$408,MATCH(ROWS($EV$2:EV308),LIBRO_GIORNALE!$P$11:$P$408,0),1),0)</f>
        <v>0</v>
      </c>
      <c r="EW309" s="48" t="str">
        <f t="shared" ca="1" si="544"/>
        <v>0</v>
      </c>
      <c r="EX309" s="48">
        <f t="shared" ca="1" si="571"/>
        <v>0</v>
      </c>
      <c r="EY309" s="48">
        <f ca="1">IF(EX309&gt;0,MAX($EY$2:EY308)+1,0)</f>
        <v>0</v>
      </c>
      <c r="EZ309" s="48">
        <f ca="1">IFERROR(INDEX($EX$3:$EX$400,MATCH(ROWS($EZ$3:EZ309),$EY$3:$EY$400,0),1),0)</f>
        <v>0</v>
      </c>
      <c r="FA309" s="48">
        <f ca="1">IF(EZ309&gt;0,0,MAX($FA$2:FA308)+1)</f>
        <v>307</v>
      </c>
      <c r="FB309" s="48">
        <f t="shared" ca="1" si="545"/>
        <v>0</v>
      </c>
      <c r="FC309" s="48">
        <f t="shared" ca="1" si="546"/>
        <v>307</v>
      </c>
      <c r="FD309" s="48">
        <f t="shared" ca="1" si="572"/>
        <v>307</v>
      </c>
      <c r="FE309" s="48">
        <f ca="1">IF(FD309=0,0,MAX($FE$2:FE308)+1)</f>
        <v>307</v>
      </c>
      <c r="FF309" s="48">
        <f ca="1">IFERROR(INDEX($FD$3:$FE$400,MATCH(ROWS($FF$3:FF309),$FE$3:$FE$400,0),1),"")</f>
        <v>307</v>
      </c>
      <c r="FG309" s="48">
        <f t="shared" si="610"/>
        <v>0</v>
      </c>
      <c r="FH309" s="48">
        <f t="shared" ca="1" si="573"/>
        <v>0</v>
      </c>
      <c r="FI309" s="48">
        <f ca="1">IF(FH309&lt;&gt;0,MAX($FI$2:FI308)+1,0)</f>
        <v>0</v>
      </c>
      <c r="FJ309" s="48" t="str">
        <f ca="1">IFERROR(INDEX($FH$3:$FI$400,MATCH(ROWS($FJ$3:FJ309),$FI$3:$FI$400,0),1),"")</f>
        <v/>
      </c>
      <c r="FK309" s="48">
        <f ca="1">IF(ABS(SUMIFS(DARE,DEN_G,"="&amp;FJ309,DATA,"&lt;="&amp;FINE_AC,DATA,"&gt;="&amp;INIZIO_A_PC)-SUMIFS(AVERE,DEN_G,"="&amp;FJ309,DATA,"&lt;="&amp;FINE_AC,DATA,"&gt;="&amp;INIZIO_A_PC))&gt;0,MAX($FK$2:FK308)+1,0)</f>
        <v>0</v>
      </c>
      <c r="FL309" s="48" t="str">
        <f ca="1">IF(AND(ROW()-2&lt;&gt;1,ROW()-2&lt;=$FK$1),CONCATENATE(" - ",IFERROR(INDEX($FJ$3:$FK$400,MATCH(ROWS($FL$3:FL309),$FK$3:$FK$400,0),1),"")),IFERROR(INDEX($FJ$3:$FK$400,MATCH(ROWS($FL$3:FL309),$FK$3:$FK$400,0),1),""))</f>
        <v/>
      </c>
      <c r="FM309" s="48">
        <f ca="1">IF(OR(B309="IVA ns/credito",B309="IVA NS/DEBITO",B309="IVA C/ACCONTO",B309="IMPOSTE C/ACCONTO",B309="CREDITI PER RITENUTE SUBITE",B309="CREDITI D'IMPOSTA"),MAX($FM$2:FM308)+1,0)</f>
        <v>0</v>
      </c>
      <c r="FN309" s="48" t="str">
        <f t="shared" ca="1" si="574"/>
        <v/>
      </c>
      <c r="FO309" s="48" t="str">
        <f ca="1">IFERROR(INDEX($FM$3:$FN$400,MATCH(ROWS($FO$3:FO309),$FM$3:$FM$400,0),2),"")</f>
        <v/>
      </c>
      <c r="FP309" s="48">
        <f ca="1">IF(ABS(SUMIFS(DARE,DEN_G,"="&amp;FO309,DATA,"&lt;="&amp;FINE_AC,DATA,"&gt;="&amp;INIZIO_A_PC)-SUMIFS(AVERE,DEN_G,"="&amp;FO309,DATA,"&lt;="&amp;FINE_AC,DATA,"&gt;="&amp;INIZIO_A_PC))&gt;0,MAX($FP$2:FP308)+1,0)</f>
        <v>0</v>
      </c>
      <c r="FQ309" s="48" t="str">
        <f ca="1">IF(AND(ROW()-2&lt;&gt;1,ROW()-2&lt;=$FP$1),CONCATENATE(" - ",IFERROR(INDEX($FO$3:$FP$400,MATCH(ROWS($FQ$3:FQ309),$FP$3:$FP$400,0),1),"")),IFERROR(INDEX($FO$3:$FP$400,MATCH(ROWS($FQ$3:FQ309),$FP$3:$FP$400,0),1),""))</f>
        <v/>
      </c>
    </row>
    <row r="310" spans="1:173" x14ac:dyDescent="0.3">
      <c r="A310" s="48" t="str">
        <f ca="1">IFERROR(IF($A$1=2,INDEX($DH$3:$DN$401,MATCH(ROWS(A$3:A310),$DN$3:$DN$401,0),COLUMN()),IF($A$1=1,INDEX($DQ$3:$DW$401,MATCH(ROWS(A$3:A310),$DW$3:$DW$401,0),COLUMN()),"")),"")</f>
        <v>41.09</v>
      </c>
      <c r="B310" s="48" t="str">
        <f ca="1">IFERROR(IF($A$1=2,INDEX($DH$3:$DN$401,MATCH(ROWS(B$3:B310),$DN$3:$DN$401,0),COLUMN()),IF($A$1=1,INDEX($DQ$3:$DW$400,MATCH(ROWS(B$3:B310),$DW$3:$DW$401,0),COLUMN()),"")),"")</f>
        <v>DISAGGIO SU PRESTITI</v>
      </c>
      <c r="C310" s="48" t="str">
        <f ca="1">IFERROR(IF($A$1=2,INDEX($DH$3:$DN$401,MATCH(ROWS(C$3:C310),$DN$3:$DN$401,0),COLUMN()),IF($A$1=1,INDEX($DQ$3:$DW$401,MATCH(ROWS(C$3:C310),$DW$3:$DW$401,0),COLUMN()),"")),"")</f>
        <v>E</v>
      </c>
      <c r="D310" s="48" t="str">
        <f ca="1">IFERROR(IF($A$1=2,INDEX($DH$3:$DN$401,MATCH(ROWS(D$3:D310),$DN$3:$DN$401,0),COLUMN()),IF($A$1=1,INDEX($DQ$3:$DW$401,MATCH(ROWS(D$3:D310),$DW$3:$DW$401,0),COLUMN()),"")),"")</f>
        <v>D</v>
      </c>
      <c r="E310" s="48" t="str">
        <f ca="1">IFERROR(IF($A$1=2,INDEX($DH$3:$DN$401,MATCH(ROWS(E$3:E310),$DN$3:$DN$401,0),COLUMN()),IF($A$1=1,INDEX($DQ$3:$DW$401,MATCH(ROWS(E$3:E310),$DW$3:$DW$401,0),COLUMN()),"")),"")</f>
        <v>COSTI D'ESERCIZIO</v>
      </c>
      <c r="F310" s="48" t="str">
        <f ca="1">IFERROR(IF($A$1=2,INDEX($DH$3:$DN$401,MATCH(ROWS(F$3:F310),$DN$3:$DN$401,0),COLUMN()),IF($A$1=1,INDEX($DQ$3:$DX$401,MATCH(ROWS(F$3:F310),$DW$3:$DW$401,0),COLUMN()),"")),"")</f>
        <v>SE DARE</v>
      </c>
      <c r="G310" s="48" t="str">
        <f t="shared" ca="1" si="561"/>
        <v>SE</v>
      </c>
      <c r="H310" s="48" t="str">
        <f ca="1">IFERROR(IF($A$1=2,INDEX($DH$3:$DO$400,MATCH(ROWS(H$3:H310),$DN$3:$DN$400,0),COLUMN()),IF($A$1=1,INDEX($DQ$3:$DX$400,MATCH(ROWS(H$3:H310),$DW$3:$DW$400,0),COLUMN()),"")),"")</f>
        <v>ec17</v>
      </c>
      <c r="M310" s="48">
        <f ca="1">IFERROR(IF(IF(MID($A310,3,3)=".00",MID(A310,1,2),"")&lt;&gt;"",MAX($M$2:M309)+1,0),"")</f>
        <v>0</v>
      </c>
      <c r="N310" s="48" t="str">
        <f t="shared" ca="1" si="562"/>
        <v/>
      </c>
      <c r="O310" s="48" t="str">
        <f ca="1">IF(IFERROR(INDEX($N$3:$O$300,MATCH(ROWS($O$3:O310),$M$3:$M$300,0),1),"")&lt;&gt;"",CONCATENATE(INDEX($N$3:$O$300,MATCH(ROWS($O$3:O310),$M$3:$M$300,0),1),".00"),"")</f>
        <v/>
      </c>
      <c r="P310" s="48" t="str">
        <f t="shared" ca="1" si="563"/>
        <v/>
      </c>
      <c r="Q310" s="48">
        <f ca="1">IF(M310&gt;=1,0,MAX($Q$2:Q309)+1)</f>
        <v>275</v>
      </c>
      <c r="U310" s="48" t="str">
        <f ca="1">IFERROR(INDEX(PDC,MATCH(ROWS(U$3:U310),$V$3:$V$400,0),2),"")</f>
        <v/>
      </c>
      <c r="V310" s="48">
        <f ca="1">IF(AND($T$1="VISUALIZZA TUTTI I CONTI",AA310&lt;&gt;""),MAX($V$2:V309)+1,IF(AND($U$2=2,AI310=$T$1),MAX($V$2:V309)+1,IF(AND($U$2=1,$T$1=AF310),MAX($V$2:V309)+1,0)))</f>
        <v>0</v>
      </c>
      <c r="AA310" s="48" t="str">
        <f t="shared" ca="1" si="564"/>
        <v/>
      </c>
      <c r="AB310" s="48" t="str">
        <f ca="1">IFERROR(INDEX($A$3:$G$400,MATCH(ROWS(AB$3:AB310),$Q$3:$Q$400,0),1),"")</f>
        <v/>
      </c>
      <c r="AC310" s="48" t="str">
        <f ca="1">IFERROR(INDEX($A$3:$G$400,MATCH(ROWS($AC$3:AC310),$Q$3:$Q$400,0),2),"")</f>
        <v/>
      </c>
      <c r="AD310" s="48">
        <f ca="1">IFERROR(INDEX($A$3:$G$400,MATCH(ROWS(AD$3:AD310),$Q$3:$Q$400,0),3),"")</f>
        <v>0</v>
      </c>
      <c r="AE310" s="48" t="str">
        <f ca="1">IFERROR(INDEX($A$3:$G$400,MATCH(ROWS(AE$3:AE310),$Q$3:$Q$400,0),4),"")</f>
        <v/>
      </c>
      <c r="AF310" s="48" t="str">
        <f ca="1">IFERROR(INDEX($A$3:$G$400,MATCH(ROWS(AF$3:AF310),$Q$3:$Q$400,0),5),"")</f>
        <v/>
      </c>
      <c r="AG310" s="48" t="str">
        <f ca="1">IFERROR(INDEX($A$3:$G$400,MATCH(ROWS(AG$3:AG310),$Q$3:$Q$400,0),6),"")</f>
        <v/>
      </c>
      <c r="AH310" s="48" t="str">
        <f ca="1">IFERROR(INDEX($A$3:$G$400,MATCH(ROWS(AH$3:AH310),$Q$3:$Q$400,0),7),"")</f>
        <v/>
      </c>
      <c r="AI310" s="48" t="str">
        <f t="shared" ca="1" si="565"/>
        <v/>
      </c>
      <c r="AJ310" s="48" t="str">
        <f ca="1">IFERROR(INDEX($A$3:$H$400,MATCH(ROWS(AJ$3:AJ310),$Q$3:$Q$400,0),8),"")</f>
        <v/>
      </c>
      <c r="AZ310" s="48" t="str">
        <f t="shared" ca="1" si="584"/>
        <v/>
      </c>
      <c r="BA310" s="48">
        <f t="shared" ca="1" si="611"/>
        <v>0</v>
      </c>
      <c r="BB310" s="48">
        <f t="shared" ca="1" si="612"/>
        <v>0</v>
      </c>
      <c r="BC310" s="48">
        <f t="shared" ca="1" si="613"/>
        <v>0</v>
      </c>
      <c r="BD310" s="48">
        <f t="shared" ca="1" si="614"/>
        <v>0</v>
      </c>
      <c r="BE310" s="48">
        <f t="shared" ca="1" si="615"/>
        <v>0</v>
      </c>
      <c r="BF310" s="48">
        <f t="shared" si="585"/>
        <v>110</v>
      </c>
      <c r="BG310" s="48">
        <f ca="1">IF(IF(AND(OR(INDEX(PDC,MATCH($AC310,DEN_PDC,0),6)="SP DARE",INDEX(PDC,MATCH($AC310,DEN_PDC,0),6)="SP DARE/AVERE"),SUMIFS(DARE,DEN_G,$AC310)&gt;=SUMIFS(AVERE,DEN_G,$AC310)),SUMIFS(DARE,DEN_G,$AC310)-SUMIFS(AVERE,DEN_G,$AC310),0)&gt;0,MAX($BG$2:BG309)+1,0)</f>
        <v>0</v>
      </c>
      <c r="BH310" s="48">
        <f ca="1">IF(IF(AND(OR(INDEX(PDC,MATCH($AC310,DEN_PDC,0),6)="SP AVERE",INDEX(PDC,MATCH($AC310,DEN_PDC,0),6)="SP DARE/AVERE"),SUMIFS(AVERE,DEN_G,$AC310)&gt;=SUMIFS(DARE,DEN_G,$AC310)),SUMIFS(AVERE,DEN_G,$AC310)-SUMIFS(DARE,DEN_G,$AC310),0)&gt;0,MAX(BH$2:BH309)+1,0)</f>
        <v>0</v>
      </c>
      <c r="BI310" s="48">
        <f ca="1">IF(IF(AND(OR(INDEX(PDC,MATCH($AC310,DEN_PDC,0),6)="SE DARE",INDEX(PDC,MATCH($AC310,DEN_PDC,0),6)="SE DARE/AVERE"),SUMIFS(DARE,DEN_G,$AC310)&gt;=SUMIFS(AVERE,DEN_G,$AC310)),SUMIFS(DARE,DEN_G,$AC310)-SUMIFS(AVERE,DEN_G,$AC310),0)&gt;0,MAX(BI$2:BI309)+1,0)</f>
        <v>0</v>
      </c>
      <c r="BJ310" s="48">
        <f ca="1">IF(IF(AND(OR(INDEX(PDC,MATCH($AC310,DEN_PDC,0),6)="SE AVERE",INDEX(PDC,MATCH($AC310,DEN_PDC,0),6)="SE DARE/AVERE"),SUMIFS(AVERE,DEN_G,$AC310)&gt;=SUMIFS(DARE,DEN_G,$AC310)),SUMIFS(AVERE,DEN_G,$AC310)-SUMIFS(DARE,DEN_G,$AC310),0)&gt;0,MAX(BJ$2:BJ309)+1,0)</f>
        <v>0</v>
      </c>
      <c r="BK310" s="48" t="str">
        <f ca="1">IF(AND(AND($DY$2=0,$DY$1=0),$I$1=2,ROW()&gt;$BG$1+2,ROW()&lt;=$BG$1+4),"………………..",IF(AND(OR($DY$2&gt;0,$DY$1&gt;0),$I$1=2,ROW()&gt;$BG$1+2,ROW()&lt;=$BG$1+4),"………………..",IFERROR(INDEX($AC$3:$AC$398,MATCH(ROWS(BK$3:BK310),BG$3:BG$398,0),1),"")))</f>
        <v/>
      </c>
      <c r="BL310" s="48">
        <f t="shared" ca="1" si="549"/>
        <v>0</v>
      </c>
      <c r="BM310" s="48" t="str">
        <f ca="1">IF(AND(OR($DY$2=0,$DY$1=0),$I$1=2,ROW()&gt;$BH$1+2,ROW()&lt;=$BH$1+4),"………………..",IF(AND(OR($DY$2&gt;0,$DY$1&gt;0),$I$1=2,ROW()&gt;$BH$1+2,ROW()&lt;=$BH$1+4),"………………..",IFERROR(INDEX($AC$3:$AC$400,MATCH(ROWS(BM$3:BM310),BH$3:BH$400,0),1),"")))</f>
        <v/>
      </c>
      <c r="BN310" s="48">
        <f t="shared" ca="1" si="550"/>
        <v>0</v>
      </c>
      <c r="BO310" s="48" t="str">
        <f ca="1">IF(AND(OR($DY$2=0,$DY$1=0),$I$1=2,ROW()&gt;$BI$1+2,ROW()&lt;=$BI$1+4),"………………..",IF(AND(OR($DY$2&gt;0,$DY$1&gt;0),$I$1=2,ROW()&gt;$BI$1+2,ROW()&lt;=$BI$1+4),"………………..",IFERROR(INDEX($AC$3:$AC$400,MATCH(ROWS(BO$3:BO310),BI$3:BI$400,0),1),"")))</f>
        <v/>
      </c>
      <c r="BP310" s="48">
        <f t="shared" ca="1" si="551"/>
        <v>0</v>
      </c>
      <c r="BQ310" s="48" t="str">
        <f ca="1">IF(AND(OR($DY$2=0,$DY$1=0),$I$1=2,ROW()&gt;$BJ$1+2,ROW()&lt;=$BJ$1+4),"………………..",IF(AND(OR($DY$2&gt;0,$DY$1&gt;0),$I$1=2,ROW()&gt;$BJ$1+2,ROW()&lt;=$BJ$1+4),"………………..",IFERROR(INDEX($AC$3:$AC$400,MATCH(ROWS(BQ$3:BQ310),BJ$3:BJ$400,0),1),"")))</f>
        <v/>
      </c>
      <c r="BR310" s="48">
        <f t="shared" ca="1" si="552"/>
        <v>0</v>
      </c>
      <c r="BS310" s="48">
        <f ca="1">IF(IF(AND(OR(INDEX(PDC,MATCH($AC310,DEN_PDC,0),4)="D",INDEX(PDC,MATCH($AC310,DEN_PDC,0),4)="D/A"),SUMIFS(DARE,DEN_G,$AC310)&gt;=SUMIFS(AVERE,DEN_G,$AC310)),SUMIFS(DARE,DEN_G,$AC310),IF(AND(OR(INDEX(PDC,MATCH($AC310,DEN_PDC,0),4)="A",INDEX(PDC,MATCH($AC310,DEN_PDC,0),4)="D/A"),SUMIFS(AVERE,DEN_G,$AC310)&gt;=SUMIFS(DARE,DEN_G,$AC310)),SUMIFS(AVERE,DEN_G,$AC310),))&gt;0,MAX($BS$2:BS309)+1,0)</f>
        <v>0</v>
      </c>
      <c r="BT310" s="48" t="str">
        <f ca="1">IF($CO$1=0,"",IF(AND($I$1=2,ROW()&gt;$BR$1,ROW()&lt;=$BS$1)," …………….",IF(AND($E$1=1,$BX$1=1,$I$1=2,ROW()=$BQ$1),"TOTALI",IFERROR(INDEX(PDC,MATCH(ROWS(BT$3:BT310),BS$3:BS707,0),2),""))))</f>
        <v/>
      </c>
      <c r="BU310" s="48">
        <f t="shared" ca="1" si="553"/>
        <v>0</v>
      </c>
      <c r="BV310" s="48">
        <f t="shared" ca="1" si="554"/>
        <v>0</v>
      </c>
      <c r="BW310" s="48">
        <f t="shared" ca="1" si="555"/>
        <v>0</v>
      </c>
      <c r="BX310" s="48">
        <f t="shared" ca="1" si="556"/>
        <v>0</v>
      </c>
      <c r="BY310" s="48">
        <f ca="1">IF(OR(BW310&gt;0,BX310&gt;0),MAX($BY$2:BY309)+1,0)</f>
        <v>0</v>
      </c>
      <c r="BZ310" s="48" t="str">
        <f ca="1">IFERROR(INDEX($BT$3:$BY$400,MATCH(ROWS(BZ$3:BZ310),$BY$3:$BY$400,0),1),"")</f>
        <v/>
      </c>
      <c r="CA310" s="48" t="str">
        <f ca="1">IFERROR(INDEX($BT$3:$BY$400,MATCH(ROWS(CA$3:CA310),$BY$3:$BY$400,0),4),"")</f>
        <v/>
      </c>
      <c r="CB310" s="48" t="str">
        <f ca="1">IFERROR(INDEX($BT$3:$BY$400,MATCH(ROWS(CB$3:CB310),$BY$3:$BY$400,0),5),"")</f>
        <v/>
      </c>
      <c r="CC310" s="48" t="str">
        <f t="shared" ca="1" si="557"/>
        <v/>
      </c>
      <c r="CM310" s="242" t="str">
        <f t="shared" ca="1" si="566"/>
        <v/>
      </c>
      <c r="CN310" s="243">
        <f t="shared" ca="1" si="567"/>
        <v>0</v>
      </c>
      <c r="CO310" s="48" t="str">
        <f t="shared" ca="1" si="568"/>
        <v/>
      </c>
      <c r="CU310" s="48">
        <f ca="1">IF(SUMIFS(AVERE,DEN_G,AC310,AVERE,"&gt;"&amp;0)+SUMIFS(DARE,DEN_G,AC310,DARE,"&gt;"&amp;0)&gt;0,MAX($CU$2:CU309)+1,0)</f>
        <v>0</v>
      </c>
      <c r="CV310" s="48" t="str">
        <f ca="1">IF(IFERROR(INDEX(PDC,MATCH(ROWS($CV$3:CV310),$CU$3:$CU$400,0),2),"")="CONTO DI RISULTATO ECONOMICO","",IFERROR(INDEX(PDC,MATCH(ROWS($CV$3:CV310),$CU$3:$CU$400,0),2),""))</f>
        <v/>
      </c>
      <c r="CW310" s="48">
        <f ca="1">IFERROR(IF(CV310&lt;&gt;"",MAX($CW$2:CW309)+1,0),0)</f>
        <v>0</v>
      </c>
      <c r="CX310" s="48">
        <f t="shared" ca="1" si="618"/>
        <v>24</v>
      </c>
      <c r="CY310" s="48" t="str">
        <f t="shared" ca="1" si="617"/>
        <v>MASTRO</v>
      </c>
      <c r="CZ310" s="48" t="e">
        <f t="shared" ca="1" si="620"/>
        <v>#N/A</v>
      </c>
      <c r="DA310" s="48" t="str">
        <f t="shared" ca="1" si="624"/>
        <v/>
      </c>
      <c r="DB310" s="48" t="str">
        <f t="shared" ca="1" si="592"/>
        <v/>
      </c>
      <c r="DC310" s="48" t="str">
        <f t="shared" ca="1" si="621"/>
        <v/>
      </c>
      <c r="DD310" s="48" t="str">
        <f t="shared" ca="1" si="622"/>
        <v/>
      </c>
      <c r="DE310" s="48" t="str">
        <f t="shared" ca="1" si="623"/>
        <v/>
      </c>
      <c r="DF310" s="48">
        <f ca="1">IF(AND(CX310=$DF$1,CX310&lt;&gt;""),0,IF(AND(DB310&lt;&gt;"",OR(DB309&lt;&gt;"",DB311&lt;&gt;"")),MAX($DF$2:DF309)+1,0))</f>
        <v>0</v>
      </c>
      <c r="DH310" s="244" t="s">
        <v>216</v>
      </c>
      <c r="DI310" s="228" t="s">
        <v>967</v>
      </c>
      <c r="DN310" s="48">
        <f ca="1">IF(DI310&lt;&gt;"",MAX($DN$2:DN309)+1,0)</f>
        <v>242</v>
      </c>
      <c r="DQ310" s="227" t="s">
        <v>897</v>
      </c>
      <c r="DS310" s="48" t="s">
        <v>311</v>
      </c>
      <c r="DT310" s="48" t="s">
        <v>275</v>
      </c>
      <c r="DU310" s="48" t="s">
        <v>7</v>
      </c>
      <c r="DV310" s="48" t="s">
        <v>301</v>
      </c>
      <c r="DW310" s="48">
        <f>IF(DR310&lt;&gt;"",MAX($DW$2:DW309)+1,0)</f>
        <v>0</v>
      </c>
      <c r="DX310" s="48" t="s">
        <v>715</v>
      </c>
      <c r="DY310" s="48" t="str">
        <f t="shared" ca="1" si="558"/>
        <v/>
      </c>
      <c r="EL310" s="48">
        <f t="shared" ca="1" si="559"/>
        <v>0</v>
      </c>
      <c r="EM310" s="48">
        <f ca="1">IF(EL310&gt;=0,0,MAX($EM$2:EM309)+1)</f>
        <v>0</v>
      </c>
      <c r="EN310" s="48" t="str">
        <f t="shared" ca="1" si="569"/>
        <v/>
      </c>
      <c r="EO310" s="48" t="str">
        <f ca="1">IFERROR(INDEX($EM$3:$EN$400,MATCH(ROWS($EO$3:EO310),$EM$3:$EM$400,0),2),"")</f>
        <v/>
      </c>
      <c r="EP310" s="48">
        <f>ROW()</f>
        <v>310</v>
      </c>
      <c r="EQ310" s="48">
        <f t="shared" ca="1" si="560"/>
        <v>0</v>
      </c>
      <c r="ER310" s="48">
        <f ca="1">IF(ISNA(EQ310)=TRUE,MAX($ER$2:ER309)+1,0)</f>
        <v>0</v>
      </c>
      <c r="ES310" s="48" t="str">
        <f t="shared" ca="1" si="570"/>
        <v/>
      </c>
      <c r="ET310" s="48" t="str">
        <f ca="1">IFERROR(INDEX($ER$3:$ES$400,MATCH(ROWS($ET$3:ET310),$ER$3:$ER$400,0),2),"")</f>
        <v/>
      </c>
      <c r="EV310" s="48">
        <f ca="1">IFERROR(INDEX(LIBRO_GIORNALE!$O$11:$P$408,MATCH(ROWS($EV$2:EV309),LIBRO_GIORNALE!$P$11:$P$408,0),1),0)</f>
        <v>0</v>
      </c>
      <c r="EW310" s="48" t="str">
        <f t="shared" ca="1" si="544"/>
        <v>0</v>
      </c>
      <c r="EX310" s="48">
        <f t="shared" ca="1" si="571"/>
        <v>0</v>
      </c>
      <c r="EY310" s="48">
        <f ca="1">IF(EX310&gt;0,MAX($EY$2:EY309)+1,0)</f>
        <v>0</v>
      </c>
      <c r="EZ310" s="48">
        <f ca="1">IFERROR(INDEX($EX$3:$EX$400,MATCH(ROWS($EZ$3:EZ310),$EY$3:$EY$400,0),1),0)</f>
        <v>0</v>
      </c>
      <c r="FA310" s="48">
        <f ca="1">IF(EZ310&gt;0,0,MAX($FA$2:FA309)+1)</f>
        <v>308</v>
      </c>
      <c r="FB310" s="48">
        <f t="shared" ca="1" si="545"/>
        <v>0</v>
      </c>
      <c r="FC310" s="48">
        <f t="shared" ca="1" si="546"/>
        <v>308</v>
      </c>
      <c r="FD310" s="48">
        <f t="shared" ca="1" si="572"/>
        <v>308</v>
      </c>
      <c r="FE310" s="48">
        <f ca="1">IF(FD310=0,0,MAX($FE$2:FE309)+1)</f>
        <v>308</v>
      </c>
      <c r="FF310" s="48">
        <f ca="1">IFERROR(INDEX($FD$3:$FE$400,MATCH(ROWS($FF$3:FF310),$FE$3:$FE$400,0),1),"")</f>
        <v>308</v>
      </c>
      <c r="FG310" s="48">
        <f t="shared" si="610"/>
        <v>0</v>
      </c>
      <c r="FH310" s="48">
        <f t="shared" ca="1" si="573"/>
        <v>0</v>
      </c>
      <c r="FI310" s="48">
        <f ca="1">IF(FH310&lt;&gt;0,MAX($FI$2:FI309)+1,0)</f>
        <v>0</v>
      </c>
      <c r="FJ310" s="48" t="str">
        <f ca="1">IFERROR(INDEX($FH$3:$FI$400,MATCH(ROWS($FJ$3:FJ310),$FI$3:$FI$400,0),1),"")</f>
        <v/>
      </c>
      <c r="FK310" s="48">
        <f ca="1">IF(ABS(SUMIFS(DARE,DEN_G,"="&amp;FJ310,DATA,"&lt;="&amp;FINE_AC,DATA,"&gt;="&amp;INIZIO_A_PC)-SUMIFS(AVERE,DEN_G,"="&amp;FJ310,DATA,"&lt;="&amp;FINE_AC,DATA,"&gt;="&amp;INIZIO_A_PC))&gt;0,MAX($FK$2:FK309)+1,0)</f>
        <v>0</v>
      </c>
      <c r="FL310" s="48" t="str">
        <f ca="1">IF(AND(ROW()-2&lt;&gt;1,ROW()-2&lt;=$FK$1),CONCATENATE(" - ",IFERROR(INDEX($FJ$3:$FK$400,MATCH(ROWS($FL$3:FL310),$FK$3:$FK$400,0),1),"")),IFERROR(INDEX($FJ$3:$FK$400,MATCH(ROWS($FL$3:FL310),$FK$3:$FK$400,0),1),""))</f>
        <v/>
      </c>
      <c r="FM310" s="48">
        <f ca="1">IF(OR(B310="IVA ns/credito",B310="IVA NS/DEBITO",B310="IVA C/ACCONTO",B310="IMPOSTE C/ACCONTO",B310="CREDITI PER RITENUTE SUBITE",B310="CREDITI D'IMPOSTA"),MAX($FM$2:FM309)+1,0)</f>
        <v>0</v>
      </c>
      <c r="FN310" s="48" t="str">
        <f t="shared" ca="1" si="574"/>
        <v/>
      </c>
      <c r="FO310" s="48" t="str">
        <f ca="1">IFERROR(INDEX($FM$3:$FN$400,MATCH(ROWS($FO$3:FO310),$FM$3:$FM$400,0),2),"")</f>
        <v/>
      </c>
      <c r="FP310" s="48">
        <f ca="1">IF(ABS(SUMIFS(DARE,DEN_G,"="&amp;FO310,DATA,"&lt;="&amp;FINE_AC,DATA,"&gt;="&amp;INIZIO_A_PC)-SUMIFS(AVERE,DEN_G,"="&amp;FO310,DATA,"&lt;="&amp;FINE_AC,DATA,"&gt;="&amp;INIZIO_A_PC))&gt;0,MAX($FP$2:FP309)+1,0)</f>
        <v>0</v>
      </c>
      <c r="FQ310" s="48" t="str">
        <f ca="1">IF(AND(ROW()-2&lt;&gt;1,ROW()-2&lt;=$FP$1),CONCATENATE(" - ",IFERROR(INDEX($FO$3:$FP$400,MATCH(ROWS($FQ$3:FQ310),$FP$3:$FP$400,0),1),"")),IFERROR(INDEX($FO$3:$FP$400,MATCH(ROWS($FQ$3:FQ310),$FP$3:$FP$400,0),1),""))</f>
        <v/>
      </c>
    </row>
    <row r="311" spans="1:173" x14ac:dyDescent="0.3">
      <c r="A311" s="48" t="str">
        <f ca="1">IFERROR(IF($A$1=2,INDEX($DH$3:$DN$401,MATCH(ROWS(A$3:A311),$DN$3:$DN$401,0),COLUMN()),IF($A$1=1,INDEX($DQ$3:$DW$401,MATCH(ROWS(A$3:A311),$DW$3:$DW$401,0),COLUMN()),"")),"")</f>
        <v>41.10</v>
      </c>
      <c r="B311" s="48" t="str">
        <f ca="1">IFERROR(IF($A$1=2,INDEX($DH$3:$DN$401,MATCH(ROWS(B$3:B311),$DN$3:$DN$401,0),COLUMN()),IF($A$1=1,INDEX($DQ$3:$DW$400,MATCH(ROWS(B$3:B311),$DW$3:$DW$401,0),COLUMN()),"")),"")</f>
        <v>INTERESSI SU OBBLIGAZIONI</v>
      </c>
      <c r="C311" s="48" t="str">
        <f ca="1">IFERROR(IF($A$1=2,INDEX($DH$3:$DN$401,MATCH(ROWS(C$3:C311),$DN$3:$DN$401,0),COLUMN()),IF($A$1=1,INDEX($DQ$3:$DW$401,MATCH(ROWS(C$3:C311),$DW$3:$DW$401,0),COLUMN()),"")),"")</f>
        <v>E</v>
      </c>
      <c r="D311" s="48" t="str">
        <f ca="1">IFERROR(IF($A$1=2,INDEX($DH$3:$DN$401,MATCH(ROWS(D$3:D311),$DN$3:$DN$401,0),COLUMN()),IF($A$1=1,INDEX($DQ$3:$DW$401,MATCH(ROWS(D$3:D311),$DW$3:$DW$401,0),COLUMN()),"")),"")</f>
        <v>D</v>
      </c>
      <c r="E311" s="48" t="str">
        <f ca="1">IFERROR(IF($A$1=2,INDEX($DH$3:$DN$401,MATCH(ROWS(E$3:E311),$DN$3:$DN$401,0),COLUMN()),IF($A$1=1,INDEX($DQ$3:$DW$401,MATCH(ROWS(E$3:E311),$DW$3:$DW$401,0),COLUMN()),"")),"")</f>
        <v>COSTI D'ESERCIZIO</v>
      </c>
      <c r="F311" s="48" t="str">
        <f ca="1">IFERROR(IF($A$1=2,INDEX($DH$3:$DN$401,MATCH(ROWS(F$3:F311),$DN$3:$DN$401,0),COLUMN()),IF($A$1=1,INDEX($DQ$3:$DX$401,MATCH(ROWS(F$3:F311),$DW$3:$DW$401,0),COLUMN()),"")),"")</f>
        <v>SE DARE</v>
      </c>
      <c r="G311" s="48" t="str">
        <f t="shared" ca="1" si="561"/>
        <v>SE</v>
      </c>
      <c r="H311" s="48" t="str">
        <f ca="1">IFERROR(IF($A$1=2,INDEX($DH$3:$DO$400,MATCH(ROWS(H$3:H311),$DN$3:$DN$400,0),COLUMN()),IF($A$1=1,INDEX($DQ$3:$DX$400,MATCH(ROWS(H$3:H311),$DW$3:$DW$400,0),COLUMN()),"")),"")</f>
        <v>ec17</v>
      </c>
      <c r="M311" s="48">
        <f ca="1">IFERROR(IF(IF(MID($A311,3,3)=".00",MID(A311,1,2),"")&lt;&gt;"",MAX($M$2:M310)+1,0),"")</f>
        <v>0</v>
      </c>
      <c r="N311" s="48" t="str">
        <f t="shared" ca="1" si="562"/>
        <v/>
      </c>
      <c r="O311" s="48" t="str">
        <f ca="1">IF(IFERROR(INDEX($N$3:$O$300,MATCH(ROWS($O$3:O311),$M$3:$M$300,0),1),"")&lt;&gt;"",CONCATENATE(INDEX($N$3:$O$300,MATCH(ROWS($O$3:O311),$M$3:$M$300,0),1),".00"),"")</f>
        <v/>
      </c>
      <c r="P311" s="48" t="str">
        <f t="shared" ca="1" si="563"/>
        <v/>
      </c>
      <c r="Q311" s="48">
        <f ca="1">IF(M311&gt;=1,0,MAX($Q$2:Q310)+1)</f>
        <v>276</v>
      </c>
      <c r="U311" s="48" t="str">
        <f ca="1">IFERROR(INDEX(PDC,MATCH(ROWS(U$3:U311),$V$3:$V$400,0),2),"")</f>
        <v/>
      </c>
      <c r="V311" s="48">
        <f ca="1">IF(AND($T$1="VISUALIZZA TUTTI I CONTI",AA311&lt;&gt;""),MAX($V$2:V310)+1,IF(AND($U$2=2,AI311=$T$1),MAX($V$2:V310)+1,IF(AND($U$2=1,$T$1=AF311),MAX($V$2:V310)+1,0)))</f>
        <v>0</v>
      </c>
      <c r="AA311" s="48" t="str">
        <f t="shared" ca="1" si="564"/>
        <v/>
      </c>
      <c r="AB311" s="48" t="str">
        <f ca="1">IFERROR(INDEX($A$3:$G$400,MATCH(ROWS(AB$3:AB311),$Q$3:$Q$400,0),1),"")</f>
        <v/>
      </c>
      <c r="AC311" s="48" t="str">
        <f ca="1">IFERROR(INDEX($A$3:$G$400,MATCH(ROWS($AC$3:AC311),$Q$3:$Q$400,0),2),"")</f>
        <v/>
      </c>
      <c r="AD311" s="48">
        <f ca="1">IFERROR(INDEX($A$3:$G$400,MATCH(ROWS(AD$3:AD311),$Q$3:$Q$400,0),3),"")</f>
        <v>0</v>
      </c>
      <c r="AE311" s="48" t="str">
        <f ca="1">IFERROR(INDEX($A$3:$G$400,MATCH(ROWS(AE$3:AE311),$Q$3:$Q$400,0),4),"")</f>
        <v/>
      </c>
      <c r="AF311" s="48" t="str">
        <f ca="1">IFERROR(INDEX($A$3:$G$400,MATCH(ROWS(AF$3:AF311),$Q$3:$Q$400,0),5),"")</f>
        <v/>
      </c>
      <c r="AG311" s="48" t="str">
        <f ca="1">IFERROR(INDEX($A$3:$G$400,MATCH(ROWS(AG$3:AG311),$Q$3:$Q$400,0),6),"")</f>
        <v/>
      </c>
      <c r="AH311" s="48" t="str">
        <f ca="1">IFERROR(INDEX($A$3:$G$400,MATCH(ROWS(AH$3:AH311),$Q$3:$Q$400,0),7),"")</f>
        <v/>
      </c>
      <c r="AI311" s="48" t="str">
        <f t="shared" ca="1" si="565"/>
        <v/>
      </c>
      <c r="AJ311" s="48" t="str">
        <f ca="1">IFERROR(INDEX($A$3:$H$400,MATCH(ROWS(AJ$3:AJ311),$Q$3:$Q$400,0),8),"")</f>
        <v/>
      </c>
      <c r="AZ311" s="48" t="str">
        <f t="shared" ca="1" si="584"/>
        <v/>
      </c>
      <c r="BA311" s="48">
        <f t="shared" ca="1" si="611"/>
        <v>0</v>
      </c>
      <c r="BB311" s="48">
        <f t="shared" ca="1" si="612"/>
        <v>0</v>
      </c>
      <c r="BC311" s="48">
        <f t="shared" ca="1" si="613"/>
        <v>0</v>
      </c>
      <c r="BD311" s="48">
        <f t="shared" ca="1" si="614"/>
        <v>0</v>
      </c>
      <c r="BE311" s="48">
        <f t="shared" ca="1" si="615"/>
        <v>0</v>
      </c>
      <c r="BF311" s="48">
        <f t="shared" si="585"/>
        <v>111</v>
      </c>
      <c r="BG311" s="48">
        <f ca="1">IF(IF(AND(OR(INDEX(PDC,MATCH($AC311,DEN_PDC,0),6)="SP DARE",INDEX(PDC,MATCH($AC311,DEN_PDC,0),6)="SP DARE/AVERE"),SUMIFS(DARE,DEN_G,$AC311)&gt;=SUMIFS(AVERE,DEN_G,$AC311)),SUMIFS(DARE,DEN_G,$AC311)-SUMIFS(AVERE,DEN_G,$AC311),0)&gt;0,MAX($BG$2:BG310)+1,0)</f>
        <v>0</v>
      </c>
      <c r="BH311" s="48">
        <f ca="1">IF(IF(AND(OR(INDEX(PDC,MATCH($AC311,DEN_PDC,0),6)="SP AVERE",INDEX(PDC,MATCH($AC311,DEN_PDC,0),6)="SP DARE/AVERE"),SUMIFS(AVERE,DEN_G,$AC311)&gt;=SUMIFS(DARE,DEN_G,$AC311)),SUMIFS(AVERE,DEN_G,$AC311)-SUMIFS(DARE,DEN_G,$AC311),0)&gt;0,MAX(BH$2:BH310)+1,0)</f>
        <v>0</v>
      </c>
      <c r="BI311" s="48">
        <f ca="1">IF(IF(AND(OR(INDEX(PDC,MATCH($AC311,DEN_PDC,0),6)="SE DARE",INDEX(PDC,MATCH($AC311,DEN_PDC,0),6)="SE DARE/AVERE"),SUMIFS(DARE,DEN_G,$AC311)&gt;=SUMIFS(AVERE,DEN_G,$AC311)),SUMIFS(DARE,DEN_G,$AC311)-SUMIFS(AVERE,DEN_G,$AC311),0)&gt;0,MAX(BI$2:BI310)+1,0)</f>
        <v>0</v>
      </c>
      <c r="BJ311" s="48">
        <f ca="1">IF(IF(AND(OR(INDEX(PDC,MATCH($AC311,DEN_PDC,0),6)="SE AVERE",INDEX(PDC,MATCH($AC311,DEN_PDC,0),6)="SE DARE/AVERE"),SUMIFS(AVERE,DEN_G,$AC311)&gt;=SUMIFS(DARE,DEN_G,$AC311)),SUMIFS(AVERE,DEN_G,$AC311)-SUMIFS(DARE,DEN_G,$AC311),0)&gt;0,MAX(BJ$2:BJ310)+1,0)</f>
        <v>0</v>
      </c>
      <c r="BK311" s="48" t="str">
        <f ca="1">IF(AND(AND($DY$2=0,$DY$1=0),$I$1=2,ROW()&gt;$BG$1+2,ROW()&lt;=$BG$1+4),"………………..",IF(AND(OR($DY$2&gt;0,$DY$1&gt;0),$I$1=2,ROW()&gt;$BG$1+2,ROW()&lt;=$BG$1+4),"………………..",IFERROR(INDEX($AC$3:$AC$398,MATCH(ROWS(BK$3:BK311),BG$3:BG$398,0),1),"")))</f>
        <v/>
      </c>
      <c r="BL311" s="48">
        <f t="shared" ca="1" si="549"/>
        <v>0</v>
      </c>
      <c r="BM311" s="48" t="str">
        <f ca="1">IF(AND(OR($DY$2=0,$DY$1=0),$I$1=2,ROW()&gt;$BH$1+2,ROW()&lt;=$BH$1+4),"………………..",IF(AND(OR($DY$2&gt;0,$DY$1&gt;0),$I$1=2,ROW()&gt;$BH$1+2,ROW()&lt;=$BH$1+4),"………………..",IFERROR(INDEX($AC$3:$AC$400,MATCH(ROWS(BM$3:BM311),BH$3:BH$400,0),1),"")))</f>
        <v/>
      </c>
      <c r="BN311" s="48">
        <f t="shared" ca="1" si="550"/>
        <v>0</v>
      </c>
      <c r="BO311" s="48" t="str">
        <f ca="1">IF(AND(OR($DY$2=0,$DY$1=0),$I$1=2,ROW()&gt;$BI$1+2,ROW()&lt;=$BI$1+4),"………………..",IF(AND(OR($DY$2&gt;0,$DY$1&gt;0),$I$1=2,ROW()&gt;$BI$1+2,ROW()&lt;=$BI$1+4),"………………..",IFERROR(INDEX($AC$3:$AC$400,MATCH(ROWS(BO$3:BO311),BI$3:BI$400,0),1),"")))</f>
        <v/>
      </c>
      <c r="BP311" s="48">
        <f t="shared" ca="1" si="551"/>
        <v>0</v>
      </c>
      <c r="BQ311" s="48" t="str">
        <f ca="1">IF(AND(OR($DY$2=0,$DY$1=0),$I$1=2,ROW()&gt;$BJ$1+2,ROW()&lt;=$BJ$1+4),"………………..",IF(AND(OR($DY$2&gt;0,$DY$1&gt;0),$I$1=2,ROW()&gt;$BJ$1+2,ROW()&lt;=$BJ$1+4),"………………..",IFERROR(INDEX($AC$3:$AC$400,MATCH(ROWS(BQ$3:BQ311),BJ$3:BJ$400,0),1),"")))</f>
        <v/>
      </c>
      <c r="BR311" s="48">
        <f t="shared" ca="1" si="552"/>
        <v>0</v>
      </c>
      <c r="BS311" s="48">
        <f ca="1">IF(IF(AND(OR(INDEX(PDC,MATCH($AC311,DEN_PDC,0),4)="D",INDEX(PDC,MATCH($AC311,DEN_PDC,0),4)="D/A"),SUMIFS(DARE,DEN_G,$AC311)&gt;=SUMIFS(AVERE,DEN_G,$AC311)),SUMIFS(DARE,DEN_G,$AC311),IF(AND(OR(INDEX(PDC,MATCH($AC311,DEN_PDC,0),4)="A",INDEX(PDC,MATCH($AC311,DEN_PDC,0),4)="D/A"),SUMIFS(AVERE,DEN_G,$AC311)&gt;=SUMIFS(DARE,DEN_G,$AC311)),SUMIFS(AVERE,DEN_G,$AC311),))&gt;0,MAX($BS$2:BS310)+1,0)</f>
        <v>0</v>
      </c>
      <c r="BT311" s="48" t="str">
        <f ca="1">IF($CO$1=0,"",IF(AND($I$1=2,ROW()&gt;$BR$1,ROW()&lt;=$BS$1)," …………….",IF(AND($E$1=1,$BX$1=1,$I$1=2,ROW()=$BQ$1),"TOTALI",IFERROR(INDEX(PDC,MATCH(ROWS(BT$3:BT311),BS$3:BS708,0),2),""))))</f>
        <v/>
      </c>
      <c r="BU311" s="48">
        <f t="shared" ca="1" si="553"/>
        <v>0</v>
      </c>
      <c r="BV311" s="48">
        <f t="shared" ca="1" si="554"/>
        <v>0</v>
      </c>
      <c r="BW311" s="48">
        <f t="shared" ca="1" si="555"/>
        <v>0</v>
      </c>
      <c r="BX311" s="48">
        <f t="shared" ca="1" si="556"/>
        <v>0</v>
      </c>
      <c r="BY311" s="48">
        <f ca="1">IF(OR(BW311&gt;0,BX311&gt;0),MAX($BY$2:BY310)+1,0)</f>
        <v>0</v>
      </c>
      <c r="BZ311" s="48" t="str">
        <f ca="1">IFERROR(INDEX($BT$3:$BY$400,MATCH(ROWS(BZ$3:BZ311),$BY$3:$BY$400,0),1),"")</f>
        <v/>
      </c>
      <c r="CA311" s="48" t="str">
        <f ca="1">IFERROR(INDEX($BT$3:$BY$400,MATCH(ROWS(CA$3:CA311),$BY$3:$BY$400,0),4),"")</f>
        <v/>
      </c>
      <c r="CB311" s="48" t="str">
        <f ca="1">IFERROR(INDEX($BT$3:$BY$400,MATCH(ROWS(CB$3:CB311),$BY$3:$BY$400,0),5),"")</f>
        <v/>
      </c>
      <c r="CC311" s="48" t="str">
        <f t="shared" ca="1" si="557"/>
        <v/>
      </c>
      <c r="CM311" s="242" t="str">
        <f t="shared" ca="1" si="566"/>
        <v/>
      </c>
      <c r="CN311" s="243">
        <f t="shared" ca="1" si="567"/>
        <v>0</v>
      </c>
      <c r="CO311" s="48" t="str">
        <f t="shared" ca="1" si="568"/>
        <v/>
      </c>
      <c r="CU311" s="48">
        <f ca="1">IF(SUMIFS(AVERE,DEN_G,AC311,AVERE,"&gt;"&amp;0)+SUMIFS(DARE,DEN_G,AC311,DARE,"&gt;"&amp;0)&gt;0,MAX($CU$2:CU310)+1,0)</f>
        <v>0</v>
      </c>
      <c r="CV311" s="48" t="str">
        <f ca="1">IF(IFERROR(INDEX(PDC,MATCH(ROWS($CV$3:CV311),$CU$3:$CU$400,0),2),"")="CONTO DI RISULTATO ECONOMICO","",IFERROR(INDEX(PDC,MATCH(ROWS($CV$3:CV311),$CU$3:$CU$400,0),2),""))</f>
        <v/>
      </c>
      <c r="CW311" s="48">
        <f ca="1">IFERROR(IF(CV311&lt;&gt;"",MAX($CW$2:CW310)+1,0),0)</f>
        <v>0</v>
      </c>
      <c r="CX311" s="48">
        <f t="shared" ca="1" si="618"/>
        <v>24</v>
      </c>
      <c r="CY311" s="48" t="str">
        <f t="shared" ca="1" si="617"/>
        <v>MASTRO</v>
      </c>
      <c r="CZ311" s="48" t="e">
        <f t="shared" ca="1" si="620"/>
        <v>#N/A</v>
      </c>
      <c r="DA311" s="48" t="str">
        <f t="shared" ca="1" si="624"/>
        <v/>
      </c>
      <c r="DB311" s="48" t="str">
        <f t="shared" ca="1" si="592"/>
        <v/>
      </c>
      <c r="DC311" s="48" t="str">
        <f t="shared" ca="1" si="621"/>
        <v/>
      </c>
      <c r="DD311" s="48" t="str">
        <f t="shared" ca="1" si="622"/>
        <v/>
      </c>
      <c r="DE311" s="48" t="str">
        <f t="shared" ca="1" si="623"/>
        <v/>
      </c>
      <c r="DF311" s="48">
        <f ca="1">IF(AND(CX311=$DF$1,CX311&lt;&gt;""),0,IF(AND(DB311&lt;&gt;"",OR(DB310&lt;&gt;"",DB312&lt;&gt;"")),MAX($DF$2:DF310)+1,0))</f>
        <v>0</v>
      </c>
      <c r="DH311" s="244" t="s">
        <v>217</v>
      </c>
      <c r="DI311" s="48" t="s">
        <v>219</v>
      </c>
      <c r="DJ311" s="48" t="s">
        <v>311</v>
      </c>
      <c r="DK311" s="48" t="s">
        <v>275</v>
      </c>
      <c r="DL311" s="48" t="s">
        <v>7</v>
      </c>
      <c r="DM311" s="48" t="s">
        <v>301</v>
      </c>
      <c r="DN311" s="48">
        <f ca="1">IF(DI311&lt;&gt;"",MAX($DN$2:DN310)+1,0)</f>
        <v>243</v>
      </c>
      <c r="DO311" s="48" t="s">
        <v>711</v>
      </c>
      <c r="DW311" s="48">
        <f>IF(DR311&lt;&gt;"",MAX($DW$2:DW310)+1,0)</f>
        <v>0</v>
      </c>
      <c r="DY311" s="48" t="str">
        <f t="shared" ca="1" si="558"/>
        <v/>
      </c>
      <c r="EL311" s="48">
        <f t="shared" ca="1" si="559"/>
        <v>0</v>
      </c>
      <c r="EM311" s="48">
        <f ca="1">IF(EL311&gt;=0,0,MAX($EM$2:EM310)+1)</f>
        <v>0</v>
      </c>
      <c r="EN311" s="48" t="str">
        <f t="shared" ca="1" si="569"/>
        <v/>
      </c>
      <c r="EO311" s="48" t="str">
        <f ca="1">IFERROR(INDEX($EM$3:$EN$400,MATCH(ROWS($EO$3:EO311),$EM$3:$EM$400,0),2),"")</f>
        <v/>
      </c>
      <c r="EP311" s="48">
        <f>ROW()</f>
        <v>311</v>
      </c>
      <c r="EQ311" s="48">
        <f t="shared" ca="1" si="560"/>
        <v>0</v>
      </c>
      <c r="ER311" s="48">
        <f ca="1">IF(ISNA(EQ311)=TRUE,MAX($ER$2:ER310)+1,0)</f>
        <v>0</v>
      </c>
      <c r="ES311" s="48" t="str">
        <f t="shared" ca="1" si="570"/>
        <v/>
      </c>
      <c r="ET311" s="48" t="str">
        <f ca="1">IFERROR(INDEX($ER$3:$ES$400,MATCH(ROWS($ET$3:ET311),$ER$3:$ER$400,0),2),"")</f>
        <v/>
      </c>
      <c r="EV311" s="48">
        <f ca="1">IFERROR(INDEX(LIBRO_GIORNALE!$O$11:$P$408,MATCH(ROWS($EV$2:EV310),LIBRO_GIORNALE!$P$11:$P$408,0),1),0)</f>
        <v>0</v>
      </c>
      <c r="EW311" s="48" t="str">
        <f t="shared" ca="1" si="544"/>
        <v>0</v>
      </c>
      <c r="EX311" s="48">
        <f t="shared" ca="1" si="571"/>
        <v>0</v>
      </c>
      <c r="EY311" s="48">
        <f ca="1">IF(EX311&gt;0,MAX($EY$2:EY310)+1,0)</f>
        <v>0</v>
      </c>
      <c r="EZ311" s="48">
        <f ca="1">IFERROR(INDEX($EX$3:$EX$400,MATCH(ROWS($EZ$3:EZ311),$EY$3:$EY$400,0),1),0)</f>
        <v>0</v>
      </c>
      <c r="FA311" s="48">
        <f ca="1">IF(EZ311&gt;0,0,MAX($FA$2:FA310)+1)</f>
        <v>309</v>
      </c>
      <c r="FB311" s="48">
        <f t="shared" ca="1" si="545"/>
        <v>0</v>
      </c>
      <c r="FC311" s="48">
        <f t="shared" ca="1" si="546"/>
        <v>309</v>
      </c>
      <c r="FD311" s="48">
        <f t="shared" ca="1" si="572"/>
        <v>309</v>
      </c>
      <c r="FE311" s="48">
        <f ca="1">IF(FD311=0,0,MAX($FE$2:FE310)+1)</f>
        <v>309</v>
      </c>
      <c r="FF311" s="48">
        <f ca="1">IFERROR(INDEX($FD$3:$FE$400,MATCH(ROWS($FF$3:FF311),$FE$3:$FE$400,0),1),"")</f>
        <v>309</v>
      </c>
      <c r="FG311" s="48">
        <f t="shared" si="610"/>
        <v>0</v>
      </c>
      <c r="FH311" s="48">
        <f t="shared" ca="1" si="573"/>
        <v>0</v>
      </c>
      <c r="FI311" s="48">
        <f ca="1">IF(FH311&lt;&gt;0,MAX($FI$2:FI310)+1,0)</f>
        <v>0</v>
      </c>
      <c r="FJ311" s="48" t="str">
        <f ca="1">IFERROR(INDEX($FH$3:$FI$400,MATCH(ROWS($FJ$3:FJ311),$FI$3:$FI$400,0),1),"")</f>
        <v/>
      </c>
      <c r="FK311" s="48">
        <f ca="1">IF(ABS(SUMIFS(DARE,DEN_G,"="&amp;FJ311,DATA,"&lt;="&amp;FINE_AC,DATA,"&gt;="&amp;INIZIO_A_PC)-SUMIFS(AVERE,DEN_G,"="&amp;FJ311,DATA,"&lt;="&amp;FINE_AC,DATA,"&gt;="&amp;INIZIO_A_PC))&gt;0,MAX($FK$2:FK310)+1,0)</f>
        <v>0</v>
      </c>
      <c r="FL311" s="48" t="str">
        <f ca="1">IF(AND(ROW()-2&lt;&gt;1,ROW()-2&lt;=$FK$1),CONCATENATE(" - ",IFERROR(INDEX($FJ$3:$FK$400,MATCH(ROWS($FL$3:FL311),$FK$3:$FK$400,0),1),"")),IFERROR(INDEX($FJ$3:$FK$400,MATCH(ROWS($FL$3:FL311),$FK$3:$FK$400,0),1),""))</f>
        <v/>
      </c>
      <c r="FM311" s="48">
        <f ca="1">IF(OR(B311="IVA ns/credito",B311="IVA NS/DEBITO",B311="IVA C/ACCONTO",B311="IMPOSTE C/ACCONTO",B311="CREDITI PER RITENUTE SUBITE",B311="CREDITI D'IMPOSTA"),MAX($FM$2:FM310)+1,0)</f>
        <v>0</v>
      </c>
      <c r="FN311" s="48" t="str">
        <f t="shared" ca="1" si="574"/>
        <v/>
      </c>
      <c r="FO311" s="48" t="str">
        <f ca="1">IFERROR(INDEX($FM$3:$FN$400,MATCH(ROWS($FO$3:FO311),$FM$3:$FM$400,0),2),"")</f>
        <v/>
      </c>
      <c r="FP311" s="48">
        <f ca="1">IF(ABS(SUMIFS(DARE,DEN_G,"="&amp;FO311,DATA,"&lt;="&amp;FINE_AC,DATA,"&gt;="&amp;INIZIO_A_PC)-SUMIFS(AVERE,DEN_G,"="&amp;FO311,DATA,"&lt;="&amp;FINE_AC,DATA,"&gt;="&amp;INIZIO_A_PC))&gt;0,MAX($FP$2:FP310)+1,0)</f>
        <v>0</v>
      </c>
      <c r="FQ311" s="48" t="str">
        <f ca="1">IF(AND(ROW()-2&lt;&gt;1,ROW()-2&lt;=$FP$1),CONCATENATE(" - ",IFERROR(INDEX($FO$3:$FP$400,MATCH(ROWS($FQ$3:FQ311),$FP$3:$FP$400,0),1),"")),IFERROR(INDEX($FO$3:$FP$400,MATCH(ROWS($FQ$3:FQ311),$FP$3:$FP$400,0),1),""))</f>
        <v/>
      </c>
    </row>
    <row r="312" spans="1:173" x14ac:dyDescent="0.3">
      <c r="A312" s="48" t="str">
        <f ca="1">IFERROR(IF($A$1=2,INDEX($DH$3:$DN$401,MATCH(ROWS(A$3:A312),$DN$3:$DN$401,0),COLUMN()),IF($A$1=1,INDEX($DQ$3:$DW$401,MATCH(ROWS(A$3:A312),$DW$3:$DW$401,0),COLUMN()),"")),"")</f>
        <v>41.11</v>
      </c>
      <c r="B312" s="48" t="str">
        <f ca="1">IFERROR(IF($A$1=2,INDEX($DH$3:$DN$401,MATCH(ROWS(B$3:B312),$DN$3:$DN$401,0),COLUMN()),IF($A$1=1,INDEX($DQ$3:$DW$400,MATCH(ROWS(B$3:B312),$DW$3:$DW$401,0),COLUMN()),"")),"")</f>
        <v>MINUSVALENZE DA PARTECIPAZIONI</v>
      </c>
      <c r="C312" s="48" t="str">
        <f ca="1">IFERROR(IF($A$1=2,INDEX($DH$3:$DN$401,MATCH(ROWS(C$3:C312),$DN$3:$DN$401,0),COLUMN()),IF($A$1=1,INDEX($DQ$3:$DW$401,MATCH(ROWS(C$3:C312),$DW$3:$DW$401,0),COLUMN()),"")),"")</f>
        <v>E</v>
      </c>
      <c r="D312" s="48" t="str">
        <f ca="1">IFERROR(IF($A$1=2,INDEX($DH$3:$DN$401,MATCH(ROWS(D$3:D312),$DN$3:$DN$401,0),COLUMN()),IF($A$1=1,INDEX($DQ$3:$DW$401,MATCH(ROWS(D$3:D312),$DW$3:$DW$401,0),COLUMN()),"")),"")</f>
        <v>D</v>
      </c>
      <c r="E312" s="48" t="str">
        <f ca="1">IFERROR(IF($A$1=2,INDEX($DH$3:$DN$401,MATCH(ROWS(E$3:E312),$DN$3:$DN$401,0),COLUMN()),IF($A$1=1,INDEX($DQ$3:$DW$401,MATCH(ROWS(E$3:E312),$DW$3:$DW$401,0),COLUMN()),"")),"")</f>
        <v>COSTI D'ESERCIZIO</v>
      </c>
      <c r="F312" s="48" t="str">
        <f ca="1">IFERROR(IF($A$1=2,INDEX($DH$3:$DN$401,MATCH(ROWS(F$3:F312),$DN$3:$DN$401,0),COLUMN()),IF($A$1=1,INDEX($DQ$3:$DX$401,MATCH(ROWS(F$3:F312),$DW$3:$DW$401,0),COLUMN()),"")),"")</f>
        <v>SE DARE</v>
      </c>
      <c r="G312" s="48" t="str">
        <f t="shared" ca="1" si="561"/>
        <v>SE</v>
      </c>
      <c r="H312" s="48" t="str">
        <f ca="1">IFERROR(IF($A$1=2,INDEX($DH$3:$DO$400,MATCH(ROWS(H$3:H312),$DN$3:$DN$400,0),COLUMN()),IF($A$1=1,INDEX($DQ$3:$DX$400,MATCH(ROWS(H$3:H312),$DW$3:$DW$400,0),COLUMN()),"")),"")</f>
        <v>ec17</v>
      </c>
      <c r="M312" s="48">
        <f ca="1">IFERROR(IF(IF(MID($A312,3,3)=".00",MID(A312,1,2),"")&lt;&gt;"",MAX($M$2:M311)+1,0),"")</f>
        <v>0</v>
      </c>
      <c r="N312" s="48" t="str">
        <f t="shared" ca="1" si="562"/>
        <v/>
      </c>
      <c r="O312" s="48" t="str">
        <f ca="1">IF(IFERROR(INDEX($N$3:$O$300,MATCH(ROWS($O$3:O312),$M$3:$M$300,0),1),"")&lt;&gt;"",CONCATENATE(INDEX($N$3:$O$300,MATCH(ROWS($O$3:O312),$M$3:$M$300,0),1),".00"),"")</f>
        <v/>
      </c>
      <c r="P312" s="48" t="str">
        <f t="shared" ca="1" si="563"/>
        <v/>
      </c>
      <c r="Q312" s="48">
        <f ca="1">IF(M312&gt;=1,0,MAX($Q$2:Q311)+1)</f>
        <v>277</v>
      </c>
      <c r="U312" s="48" t="str">
        <f ca="1">IFERROR(INDEX(PDC,MATCH(ROWS(U$3:U312),$V$3:$V$400,0),2),"")</f>
        <v/>
      </c>
      <c r="V312" s="48">
        <f ca="1">IF(AND($T$1="VISUALIZZA TUTTI I CONTI",AA312&lt;&gt;""),MAX($V$2:V311)+1,IF(AND($U$2=2,AI312=$T$1),MAX($V$2:V311)+1,IF(AND($U$2=1,$T$1=AF312),MAX($V$2:V311)+1,0)))</f>
        <v>0</v>
      </c>
      <c r="AA312" s="48" t="str">
        <f t="shared" ca="1" si="564"/>
        <v/>
      </c>
      <c r="AB312" s="48" t="str">
        <f ca="1">IFERROR(INDEX($A$3:$G$400,MATCH(ROWS(AB$3:AB312),$Q$3:$Q$400,0),1),"")</f>
        <v/>
      </c>
      <c r="AC312" s="48" t="str">
        <f ca="1">IFERROR(INDEX($A$3:$G$400,MATCH(ROWS($AC$3:AC312),$Q$3:$Q$400,0),2),"")</f>
        <v/>
      </c>
      <c r="AD312" s="48">
        <f ca="1">IFERROR(INDEX($A$3:$G$400,MATCH(ROWS(AD$3:AD312),$Q$3:$Q$400,0),3),"")</f>
        <v>0</v>
      </c>
      <c r="AE312" s="48" t="str">
        <f ca="1">IFERROR(INDEX($A$3:$G$400,MATCH(ROWS(AE$3:AE312),$Q$3:$Q$400,0),4),"")</f>
        <v/>
      </c>
      <c r="AF312" s="48" t="str">
        <f ca="1">IFERROR(INDEX($A$3:$G$400,MATCH(ROWS(AF$3:AF312),$Q$3:$Q$400,0),5),"")</f>
        <v/>
      </c>
      <c r="AG312" s="48" t="str">
        <f ca="1">IFERROR(INDEX($A$3:$G$400,MATCH(ROWS(AG$3:AG312),$Q$3:$Q$400,0),6),"")</f>
        <v/>
      </c>
      <c r="AH312" s="48" t="str">
        <f ca="1">IFERROR(INDEX($A$3:$G$400,MATCH(ROWS(AH$3:AH312),$Q$3:$Q$400,0),7),"")</f>
        <v/>
      </c>
      <c r="AI312" s="48" t="str">
        <f t="shared" ca="1" si="565"/>
        <v/>
      </c>
      <c r="AJ312" s="48" t="str">
        <f ca="1">IFERROR(INDEX($A$3:$H$400,MATCH(ROWS(AJ$3:AJ312),$Q$3:$Q$400,0),8),"")</f>
        <v/>
      </c>
      <c r="AZ312" s="48" t="str">
        <f t="shared" ca="1" si="584"/>
        <v/>
      </c>
      <c r="BA312" s="48">
        <f t="shared" ca="1" si="611"/>
        <v>0</v>
      </c>
      <c r="BB312" s="48">
        <f t="shared" ca="1" si="612"/>
        <v>0</v>
      </c>
      <c r="BC312" s="48">
        <f t="shared" ca="1" si="613"/>
        <v>0</v>
      </c>
      <c r="BD312" s="48">
        <f t="shared" ca="1" si="614"/>
        <v>0</v>
      </c>
      <c r="BE312" s="48">
        <f t="shared" ca="1" si="615"/>
        <v>0</v>
      </c>
      <c r="BF312" s="48">
        <f t="shared" si="585"/>
        <v>112</v>
      </c>
      <c r="BG312" s="48">
        <f ca="1">IF(IF(AND(OR(INDEX(PDC,MATCH($AC312,DEN_PDC,0),6)="SP DARE",INDEX(PDC,MATCH($AC312,DEN_PDC,0),6)="SP DARE/AVERE"),SUMIFS(DARE,DEN_G,$AC312)&gt;=SUMIFS(AVERE,DEN_G,$AC312)),SUMIFS(DARE,DEN_G,$AC312)-SUMIFS(AVERE,DEN_G,$AC312),0)&gt;0,MAX($BG$2:BG311)+1,0)</f>
        <v>0</v>
      </c>
      <c r="BH312" s="48">
        <f ca="1">IF(IF(AND(OR(INDEX(PDC,MATCH($AC312,DEN_PDC,0),6)="SP AVERE",INDEX(PDC,MATCH($AC312,DEN_PDC,0),6)="SP DARE/AVERE"),SUMIFS(AVERE,DEN_G,$AC312)&gt;=SUMIFS(DARE,DEN_G,$AC312)),SUMIFS(AVERE,DEN_G,$AC312)-SUMIFS(DARE,DEN_G,$AC312),0)&gt;0,MAX(BH$2:BH311)+1,0)</f>
        <v>0</v>
      </c>
      <c r="BI312" s="48">
        <f ca="1">IF(IF(AND(OR(INDEX(PDC,MATCH($AC312,DEN_PDC,0),6)="SE DARE",INDEX(PDC,MATCH($AC312,DEN_PDC,0),6)="SE DARE/AVERE"),SUMIFS(DARE,DEN_G,$AC312)&gt;=SUMIFS(AVERE,DEN_G,$AC312)),SUMIFS(DARE,DEN_G,$AC312)-SUMIFS(AVERE,DEN_G,$AC312),0)&gt;0,MAX(BI$2:BI311)+1,0)</f>
        <v>0</v>
      </c>
      <c r="BJ312" s="48">
        <f ca="1">IF(IF(AND(OR(INDEX(PDC,MATCH($AC312,DEN_PDC,0),6)="SE AVERE",INDEX(PDC,MATCH($AC312,DEN_PDC,0),6)="SE DARE/AVERE"),SUMIFS(AVERE,DEN_G,$AC312)&gt;=SUMIFS(DARE,DEN_G,$AC312)),SUMIFS(AVERE,DEN_G,$AC312)-SUMIFS(DARE,DEN_G,$AC312),0)&gt;0,MAX(BJ$2:BJ311)+1,0)</f>
        <v>0</v>
      </c>
      <c r="BK312" s="48" t="str">
        <f ca="1">IF(AND(AND($DY$2=0,$DY$1=0),$I$1=2,ROW()&gt;$BG$1+2,ROW()&lt;=$BG$1+4),"………………..",IF(AND(OR($DY$2&gt;0,$DY$1&gt;0),$I$1=2,ROW()&gt;$BG$1+2,ROW()&lt;=$BG$1+4),"………………..",IFERROR(INDEX($AC$3:$AC$398,MATCH(ROWS(BK$3:BK312),BG$3:BG$398,0),1),"")))</f>
        <v/>
      </c>
      <c r="BL312" s="48">
        <f t="shared" ca="1" si="549"/>
        <v>0</v>
      </c>
      <c r="BM312" s="48" t="str">
        <f ca="1">IF(AND(OR($DY$2=0,$DY$1=0),$I$1=2,ROW()&gt;$BH$1+2,ROW()&lt;=$BH$1+4),"………………..",IF(AND(OR($DY$2&gt;0,$DY$1&gt;0),$I$1=2,ROW()&gt;$BH$1+2,ROW()&lt;=$BH$1+4),"………………..",IFERROR(INDEX($AC$3:$AC$400,MATCH(ROWS(BM$3:BM312),BH$3:BH$400,0),1),"")))</f>
        <v/>
      </c>
      <c r="BN312" s="48">
        <f t="shared" ca="1" si="550"/>
        <v>0</v>
      </c>
      <c r="BO312" s="48" t="str">
        <f ca="1">IF(AND(OR($DY$2=0,$DY$1=0),$I$1=2,ROW()&gt;$BI$1+2,ROW()&lt;=$BI$1+4),"………………..",IF(AND(OR($DY$2&gt;0,$DY$1&gt;0),$I$1=2,ROW()&gt;$BI$1+2,ROW()&lt;=$BI$1+4),"………………..",IFERROR(INDEX($AC$3:$AC$400,MATCH(ROWS(BO$3:BO312),BI$3:BI$400,0),1),"")))</f>
        <v/>
      </c>
      <c r="BP312" s="48">
        <f t="shared" ca="1" si="551"/>
        <v>0</v>
      </c>
      <c r="BQ312" s="48" t="str">
        <f ca="1">IF(AND(OR($DY$2=0,$DY$1=0),$I$1=2,ROW()&gt;$BJ$1+2,ROW()&lt;=$BJ$1+4),"………………..",IF(AND(OR($DY$2&gt;0,$DY$1&gt;0),$I$1=2,ROW()&gt;$BJ$1+2,ROW()&lt;=$BJ$1+4),"………………..",IFERROR(INDEX($AC$3:$AC$400,MATCH(ROWS(BQ$3:BQ312),BJ$3:BJ$400,0),1),"")))</f>
        <v/>
      </c>
      <c r="BR312" s="48">
        <f t="shared" ca="1" si="552"/>
        <v>0</v>
      </c>
      <c r="BS312" s="48">
        <f ca="1">IF(IF(AND(OR(INDEX(PDC,MATCH($AC312,DEN_PDC,0),4)="D",INDEX(PDC,MATCH($AC312,DEN_PDC,0),4)="D/A"),SUMIFS(DARE,DEN_G,$AC312)&gt;=SUMIFS(AVERE,DEN_G,$AC312)),SUMIFS(DARE,DEN_G,$AC312),IF(AND(OR(INDEX(PDC,MATCH($AC312,DEN_PDC,0),4)="A",INDEX(PDC,MATCH($AC312,DEN_PDC,0),4)="D/A"),SUMIFS(AVERE,DEN_G,$AC312)&gt;=SUMIFS(DARE,DEN_G,$AC312)),SUMIFS(AVERE,DEN_G,$AC312),))&gt;0,MAX($BS$2:BS311)+1,0)</f>
        <v>0</v>
      </c>
      <c r="BT312" s="48" t="str">
        <f ca="1">IF($CO$1=0,"",IF(AND($I$1=2,ROW()&gt;$BR$1,ROW()&lt;=$BS$1)," …………….",IF(AND($E$1=1,$BX$1=1,$I$1=2,ROW()=$BQ$1),"TOTALI",IFERROR(INDEX(PDC,MATCH(ROWS(BT$3:BT312),BS$3:BS709,0),2),""))))</f>
        <v/>
      </c>
      <c r="BU312" s="48">
        <f t="shared" ca="1" si="553"/>
        <v>0</v>
      </c>
      <c r="BV312" s="48">
        <f t="shared" ca="1" si="554"/>
        <v>0</v>
      </c>
      <c r="BW312" s="48">
        <f t="shared" ca="1" si="555"/>
        <v>0</v>
      </c>
      <c r="BX312" s="48">
        <f t="shared" ca="1" si="556"/>
        <v>0</v>
      </c>
      <c r="BY312" s="48">
        <f ca="1">IF(OR(BW312&gt;0,BX312&gt;0),MAX($BY$2:BY311)+1,0)</f>
        <v>0</v>
      </c>
      <c r="BZ312" s="48" t="str">
        <f ca="1">IFERROR(INDEX($BT$3:$BY$400,MATCH(ROWS(BZ$3:BZ312),$BY$3:$BY$400,0),1),"")</f>
        <v/>
      </c>
      <c r="CA312" s="48" t="str">
        <f ca="1">IFERROR(INDEX($BT$3:$BY$400,MATCH(ROWS(CA$3:CA312),$BY$3:$BY$400,0),4),"")</f>
        <v/>
      </c>
      <c r="CB312" s="48" t="str">
        <f ca="1">IFERROR(INDEX($BT$3:$BY$400,MATCH(ROWS(CB$3:CB312),$BY$3:$BY$400,0),5),"")</f>
        <v/>
      </c>
      <c r="CC312" s="48" t="str">
        <f t="shared" ca="1" si="557"/>
        <v/>
      </c>
      <c r="CM312" s="242" t="str">
        <f t="shared" ca="1" si="566"/>
        <v/>
      </c>
      <c r="CN312" s="243">
        <f t="shared" ca="1" si="567"/>
        <v>0</v>
      </c>
      <c r="CO312" s="48" t="str">
        <f t="shared" ca="1" si="568"/>
        <v/>
      </c>
      <c r="CU312" s="48">
        <f ca="1">IF(SUMIFS(AVERE,DEN_G,AC312,AVERE,"&gt;"&amp;0)+SUMIFS(DARE,DEN_G,AC312,DARE,"&gt;"&amp;0)&gt;0,MAX($CU$2:CU311)+1,0)</f>
        <v>0</v>
      </c>
      <c r="CV312" s="48" t="str">
        <f ca="1">IF(IFERROR(INDEX(PDC,MATCH(ROWS($CV$3:CV312),$CU$3:$CU$400,0),2),"")="CONTO DI RISULTATO ECONOMICO","",IFERROR(INDEX(PDC,MATCH(ROWS($CV$3:CV312),$CU$3:$CU$400,0),2),""))</f>
        <v/>
      </c>
      <c r="CW312" s="48">
        <f ca="1">IFERROR(IF(CV312&lt;&gt;"",MAX($CW$2:CW311)+1,0),0)</f>
        <v>0</v>
      </c>
      <c r="CX312" s="48">
        <f t="shared" ca="1" si="618"/>
        <v>24</v>
      </c>
      <c r="CY312" s="48" t="str">
        <f t="shared" ca="1" si="617"/>
        <v>MASTRO</v>
      </c>
      <c r="CZ312" s="48" t="e">
        <f t="shared" ca="1" si="620"/>
        <v>#N/A</v>
      </c>
      <c r="DA312" s="48" t="str">
        <f t="shared" ca="1" si="624"/>
        <v/>
      </c>
      <c r="DB312" s="48" t="str">
        <f t="shared" ca="1" si="592"/>
        <v/>
      </c>
      <c r="DC312" s="48" t="str">
        <f t="shared" ca="1" si="621"/>
        <v/>
      </c>
      <c r="DD312" s="48" t="str">
        <f t="shared" ca="1" si="622"/>
        <v/>
      </c>
      <c r="DE312" s="48" t="str">
        <f t="shared" ca="1" si="623"/>
        <v/>
      </c>
      <c r="DF312" s="48">
        <f ca="1">IF(AND(CX312=$DF$1,CX312&lt;&gt;""),0,IF(AND(DB312&lt;&gt;"",OR(DB311&lt;&gt;"",DB313&lt;&gt;"")),MAX($DF$2:DF311)+1,0))</f>
        <v>0</v>
      </c>
      <c r="DH312" s="244" t="s">
        <v>218</v>
      </c>
      <c r="DI312" s="48" t="s">
        <v>220</v>
      </c>
      <c r="DJ312" s="48" t="s">
        <v>311</v>
      </c>
      <c r="DK312" s="48" t="s">
        <v>275</v>
      </c>
      <c r="DL312" s="48" t="s">
        <v>7</v>
      </c>
      <c r="DM312" s="48" t="s">
        <v>301</v>
      </c>
      <c r="DN312" s="48">
        <f ca="1">IF(DI312&lt;&gt;"",MAX($DN$2:DN311)+1,0)</f>
        <v>244</v>
      </c>
      <c r="DO312" s="48" t="s">
        <v>711</v>
      </c>
      <c r="DW312" s="48">
        <f>IF(DR312&lt;&gt;"",MAX($DW$2:DW311)+1,0)</f>
        <v>0</v>
      </c>
      <c r="DY312" s="48" t="str">
        <f t="shared" ca="1" si="558"/>
        <v/>
      </c>
      <c r="EL312" s="48">
        <f t="shared" ca="1" si="559"/>
        <v>0</v>
      </c>
      <c r="EM312" s="48">
        <f ca="1">IF(EL312&gt;=0,0,MAX($EM$2:EM311)+1)</f>
        <v>0</v>
      </c>
      <c r="EN312" s="48" t="str">
        <f t="shared" ca="1" si="569"/>
        <v/>
      </c>
      <c r="EO312" s="48" t="str">
        <f ca="1">IFERROR(INDEX($EM$3:$EN$400,MATCH(ROWS($EO$3:EO312),$EM$3:$EM$400,0),2),"")</f>
        <v/>
      </c>
      <c r="EP312" s="48">
        <f>ROW()</f>
        <v>312</v>
      </c>
      <c r="EQ312" s="48">
        <f t="shared" ca="1" si="560"/>
        <v>0</v>
      </c>
      <c r="ER312" s="48">
        <f ca="1">IF(ISNA(EQ312)=TRUE,MAX($ER$2:ER311)+1,0)</f>
        <v>0</v>
      </c>
      <c r="ES312" s="48" t="str">
        <f t="shared" ca="1" si="570"/>
        <v/>
      </c>
      <c r="ET312" s="48" t="str">
        <f ca="1">IFERROR(INDEX($ER$3:$ES$400,MATCH(ROWS($ET$3:ET312),$ER$3:$ER$400,0),2),"")</f>
        <v/>
      </c>
      <c r="EV312" s="48">
        <f ca="1">IFERROR(INDEX(LIBRO_GIORNALE!$O$11:$P$408,MATCH(ROWS($EV$2:EV311),LIBRO_GIORNALE!$P$11:$P$408,0),1),0)</f>
        <v>0</v>
      </c>
      <c r="EW312" s="48" t="str">
        <f t="shared" ca="1" si="544"/>
        <v>0</v>
      </c>
      <c r="EX312" s="48">
        <f t="shared" ca="1" si="571"/>
        <v>0</v>
      </c>
      <c r="EY312" s="48">
        <f ca="1">IF(EX312&gt;0,MAX($EY$2:EY311)+1,0)</f>
        <v>0</v>
      </c>
      <c r="EZ312" s="48">
        <f ca="1">IFERROR(INDEX($EX$3:$EX$400,MATCH(ROWS($EZ$3:EZ312),$EY$3:$EY$400,0),1),0)</f>
        <v>0</v>
      </c>
      <c r="FA312" s="48">
        <f ca="1">IF(EZ312&gt;0,0,MAX($FA$2:FA311)+1)</f>
        <v>310</v>
      </c>
      <c r="FB312" s="48">
        <f t="shared" ca="1" si="545"/>
        <v>0</v>
      </c>
      <c r="FC312" s="48">
        <f t="shared" ca="1" si="546"/>
        <v>310</v>
      </c>
      <c r="FD312" s="48">
        <f t="shared" ca="1" si="572"/>
        <v>310</v>
      </c>
      <c r="FE312" s="48">
        <f ca="1">IF(FD312=0,0,MAX($FE$2:FE311)+1)</f>
        <v>310</v>
      </c>
      <c r="FF312" s="48">
        <f ca="1">IFERROR(INDEX($FD$3:$FE$400,MATCH(ROWS($FF$3:FF312),$FE$3:$FE$400,0),1),"")</f>
        <v>310</v>
      </c>
      <c r="FG312" s="48">
        <f t="shared" si="610"/>
        <v>0</v>
      </c>
      <c r="FH312" s="48">
        <f t="shared" ca="1" si="573"/>
        <v>0</v>
      </c>
      <c r="FI312" s="48">
        <f ca="1">IF(FH312&lt;&gt;0,MAX($FI$2:FI311)+1,0)</f>
        <v>0</v>
      </c>
      <c r="FJ312" s="48" t="str">
        <f ca="1">IFERROR(INDEX($FH$3:$FI$400,MATCH(ROWS($FJ$3:FJ312),$FI$3:$FI$400,0),1),"")</f>
        <v/>
      </c>
      <c r="FK312" s="48">
        <f ca="1">IF(ABS(SUMIFS(DARE,DEN_G,"="&amp;FJ312,DATA,"&lt;="&amp;FINE_AC,DATA,"&gt;="&amp;INIZIO_A_PC)-SUMIFS(AVERE,DEN_G,"="&amp;FJ312,DATA,"&lt;="&amp;FINE_AC,DATA,"&gt;="&amp;INIZIO_A_PC))&gt;0,MAX($FK$2:FK311)+1,0)</f>
        <v>0</v>
      </c>
      <c r="FL312" s="48" t="str">
        <f ca="1">IF(AND(ROW()-2&lt;&gt;1,ROW()-2&lt;=$FK$1),CONCATENATE(" - ",IFERROR(INDEX($FJ$3:$FK$400,MATCH(ROWS($FL$3:FL312),$FK$3:$FK$400,0),1),"")),IFERROR(INDEX($FJ$3:$FK$400,MATCH(ROWS($FL$3:FL312),$FK$3:$FK$400,0),1),""))</f>
        <v/>
      </c>
      <c r="FM312" s="48">
        <f ca="1">IF(OR(B312="IVA ns/credito",B312="IVA NS/DEBITO",B312="IVA C/ACCONTO",B312="IMPOSTE C/ACCONTO",B312="CREDITI PER RITENUTE SUBITE",B312="CREDITI D'IMPOSTA"),MAX($FM$2:FM311)+1,0)</f>
        <v>0</v>
      </c>
      <c r="FN312" s="48" t="str">
        <f t="shared" ca="1" si="574"/>
        <v/>
      </c>
      <c r="FO312" s="48" t="str">
        <f ca="1">IFERROR(INDEX($FM$3:$FN$400,MATCH(ROWS($FO$3:FO312),$FM$3:$FM$400,0),2),"")</f>
        <v/>
      </c>
      <c r="FP312" s="48">
        <f ca="1">IF(ABS(SUMIFS(DARE,DEN_G,"="&amp;FO312,DATA,"&lt;="&amp;FINE_AC,DATA,"&gt;="&amp;INIZIO_A_PC)-SUMIFS(AVERE,DEN_G,"="&amp;FO312,DATA,"&lt;="&amp;FINE_AC,DATA,"&gt;="&amp;INIZIO_A_PC))&gt;0,MAX($FP$2:FP311)+1,0)</f>
        <v>0</v>
      </c>
      <c r="FQ312" s="48" t="str">
        <f ca="1">IF(AND(ROW()-2&lt;&gt;1,ROW()-2&lt;=$FP$1),CONCATENATE(" - ",IFERROR(INDEX($FO$3:$FP$400,MATCH(ROWS($FQ$3:FQ312),$FP$3:$FP$400,0),1),"")),IFERROR(INDEX($FO$3:$FP$400,MATCH(ROWS($FQ$3:FQ312),$FP$3:$FP$400,0),1),""))</f>
        <v/>
      </c>
    </row>
    <row r="313" spans="1:173" x14ac:dyDescent="0.3">
      <c r="A313" s="48" t="str">
        <f ca="1">IFERROR(IF($A$1=2,INDEX($DH$3:$DN$401,MATCH(ROWS(A$3:A313),$DN$3:$DN$401,0),COLUMN()),IF($A$1=1,INDEX($DQ$3:$DW$401,MATCH(ROWS(A$3:A313),$DW$3:$DW$401,0),COLUMN()),"")),"")</f>
        <v>41.30</v>
      </c>
      <c r="B313" s="48" t="str">
        <f ca="1">IFERROR(IF($A$1=2,INDEX($DH$3:$DN$401,MATCH(ROWS(B$3:B313),$DN$3:$DN$401,0),COLUMN()),IF($A$1=1,INDEX($DQ$3:$DW$400,MATCH(ROWS(B$3:B313),$DW$3:$DW$401,0),COLUMN()),"")),"")</f>
        <v>INTERESSI PASSIVI A CONTROLLATE</v>
      </c>
      <c r="C313" s="48" t="str">
        <f ca="1">IFERROR(IF($A$1=2,INDEX($DH$3:$DN$401,MATCH(ROWS(C$3:C313),$DN$3:$DN$401,0),COLUMN()),IF($A$1=1,INDEX($DQ$3:$DW$401,MATCH(ROWS(C$3:C313),$DW$3:$DW$401,0),COLUMN()),"")),"")</f>
        <v>E</v>
      </c>
      <c r="D313" s="48" t="str">
        <f ca="1">IFERROR(IF($A$1=2,INDEX($DH$3:$DN$401,MATCH(ROWS(D$3:D313),$DN$3:$DN$401,0),COLUMN()),IF($A$1=1,INDEX($DQ$3:$DW$401,MATCH(ROWS(D$3:D313),$DW$3:$DW$401,0),COLUMN()),"")),"")</f>
        <v>D</v>
      </c>
      <c r="E313" s="48" t="str">
        <f ca="1">IFERROR(IF($A$1=2,INDEX($DH$3:$DN$401,MATCH(ROWS(E$3:E313),$DN$3:$DN$401,0),COLUMN()),IF($A$1=1,INDEX($DQ$3:$DW$401,MATCH(ROWS(E$3:E313),$DW$3:$DW$401,0),COLUMN()),"")),"")</f>
        <v>COSTI D'ESERCIZIO</v>
      </c>
      <c r="F313" s="48" t="str">
        <f ca="1">IFERROR(IF($A$1=2,INDEX($DH$3:$DN$401,MATCH(ROWS(F$3:F313),$DN$3:$DN$401,0),COLUMN()),IF($A$1=1,INDEX($DQ$3:$DX$401,MATCH(ROWS(F$3:F313),$DW$3:$DW$401,0),COLUMN()),"")),"")</f>
        <v>SE DARE</v>
      </c>
      <c r="G313" s="48" t="str">
        <f t="shared" ca="1" si="561"/>
        <v>SE</v>
      </c>
      <c r="H313" s="48" t="str">
        <f ca="1">IFERROR(IF($A$1=2,INDEX($DH$3:$DO$400,MATCH(ROWS(H$3:H313),$DN$3:$DN$400,0),COLUMN()),IF($A$1=1,INDEX($DQ$3:$DX$400,MATCH(ROWS(H$3:H313),$DW$3:$DW$400,0),COLUMN()),"")),"")</f>
        <v>ec17</v>
      </c>
      <c r="M313" s="48">
        <f ca="1">IFERROR(IF(IF(MID($A313,3,3)=".00",MID(A313,1,2),"")&lt;&gt;"",MAX($M$2:M312)+1,0),"")</f>
        <v>0</v>
      </c>
      <c r="N313" s="48" t="str">
        <f t="shared" ca="1" si="562"/>
        <v/>
      </c>
      <c r="O313" s="48" t="str">
        <f ca="1">IF(IFERROR(INDEX($N$3:$O$300,MATCH(ROWS($O$3:O313),$M$3:$M$300,0),1),"")&lt;&gt;"",CONCATENATE(INDEX($N$3:$O$300,MATCH(ROWS($O$3:O313),$M$3:$M$300,0),1),".00"),"")</f>
        <v/>
      </c>
      <c r="P313" s="48" t="str">
        <f t="shared" ca="1" si="563"/>
        <v/>
      </c>
      <c r="Q313" s="48">
        <f ca="1">IF(M313&gt;=1,0,MAX($Q$2:Q312)+1)</f>
        <v>278</v>
      </c>
      <c r="U313" s="48" t="str">
        <f ca="1">IFERROR(INDEX(PDC,MATCH(ROWS(U$3:U313),$V$3:$V$400,0),2),"")</f>
        <v/>
      </c>
      <c r="V313" s="48">
        <f ca="1">IF(AND($T$1="VISUALIZZA TUTTI I CONTI",AA313&lt;&gt;""),MAX($V$2:V312)+1,IF(AND($U$2=2,AI313=$T$1),MAX($V$2:V312)+1,IF(AND($U$2=1,$T$1=AF313),MAX($V$2:V312)+1,0)))</f>
        <v>0</v>
      </c>
      <c r="AA313" s="48" t="str">
        <f t="shared" ca="1" si="564"/>
        <v/>
      </c>
      <c r="AB313" s="48" t="str">
        <f ca="1">IFERROR(INDEX($A$3:$G$400,MATCH(ROWS(AB$3:AB313),$Q$3:$Q$400,0),1),"")</f>
        <v/>
      </c>
      <c r="AC313" s="48" t="str">
        <f ca="1">IFERROR(INDEX($A$3:$G$400,MATCH(ROWS($AC$3:AC313),$Q$3:$Q$400,0),2),"")</f>
        <v/>
      </c>
      <c r="AD313" s="48">
        <f ca="1">IFERROR(INDEX($A$3:$G$400,MATCH(ROWS(AD$3:AD313),$Q$3:$Q$400,0),3),"")</f>
        <v>0</v>
      </c>
      <c r="AE313" s="48" t="str">
        <f ca="1">IFERROR(INDEX($A$3:$G$400,MATCH(ROWS(AE$3:AE313),$Q$3:$Q$400,0),4),"")</f>
        <v/>
      </c>
      <c r="AF313" s="48" t="str">
        <f ca="1">IFERROR(INDEX($A$3:$G$400,MATCH(ROWS(AF$3:AF313),$Q$3:$Q$400,0),5),"")</f>
        <v/>
      </c>
      <c r="AG313" s="48" t="str">
        <f ca="1">IFERROR(INDEX($A$3:$G$400,MATCH(ROWS(AG$3:AG313),$Q$3:$Q$400,0),6),"")</f>
        <v/>
      </c>
      <c r="AH313" s="48" t="str">
        <f ca="1">IFERROR(INDEX($A$3:$G$400,MATCH(ROWS(AH$3:AH313),$Q$3:$Q$400,0),7),"")</f>
        <v/>
      </c>
      <c r="AI313" s="48" t="str">
        <f t="shared" ca="1" si="565"/>
        <v/>
      </c>
      <c r="AJ313" s="48" t="str">
        <f ca="1">IFERROR(INDEX($A$3:$H$400,MATCH(ROWS(AJ$3:AJ313),$Q$3:$Q$400,0),8),"")</f>
        <v/>
      </c>
      <c r="AZ313" s="48" t="str">
        <f t="shared" ca="1" si="584"/>
        <v/>
      </c>
      <c r="BA313" s="48">
        <f t="shared" ca="1" si="611"/>
        <v>0</v>
      </c>
      <c r="BB313" s="48">
        <f t="shared" ca="1" si="612"/>
        <v>0</v>
      </c>
      <c r="BC313" s="48">
        <f t="shared" ca="1" si="613"/>
        <v>0</v>
      </c>
      <c r="BD313" s="48">
        <f t="shared" ca="1" si="614"/>
        <v>0</v>
      </c>
      <c r="BE313" s="48">
        <f t="shared" ca="1" si="615"/>
        <v>0</v>
      </c>
      <c r="BF313" s="48">
        <f t="shared" si="585"/>
        <v>113</v>
      </c>
      <c r="BG313" s="48">
        <f ca="1">IF(IF(AND(OR(INDEX(PDC,MATCH($AC313,DEN_PDC,0),6)="SP DARE",INDEX(PDC,MATCH($AC313,DEN_PDC,0),6)="SP DARE/AVERE"),SUMIFS(DARE,DEN_G,$AC313)&gt;=SUMIFS(AVERE,DEN_G,$AC313)),SUMIFS(DARE,DEN_G,$AC313)-SUMIFS(AVERE,DEN_G,$AC313),0)&gt;0,MAX($BG$2:BG312)+1,0)</f>
        <v>0</v>
      </c>
      <c r="BH313" s="48">
        <f ca="1">IF(IF(AND(OR(INDEX(PDC,MATCH($AC313,DEN_PDC,0),6)="SP AVERE",INDEX(PDC,MATCH($AC313,DEN_PDC,0),6)="SP DARE/AVERE"),SUMIFS(AVERE,DEN_G,$AC313)&gt;=SUMIFS(DARE,DEN_G,$AC313)),SUMIFS(AVERE,DEN_G,$AC313)-SUMIFS(DARE,DEN_G,$AC313),0)&gt;0,MAX(BH$2:BH312)+1,0)</f>
        <v>0</v>
      </c>
      <c r="BI313" s="48">
        <f ca="1">IF(IF(AND(OR(INDEX(PDC,MATCH($AC313,DEN_PDC,0),6)="SE DARE",INDEX(PDC,MATCH($AC313,DEN_PDC,0),6)="SE DARE/AVERE"),SUMIFS(DARE,DEN_G,$AC313)&gt;=SUMIFS(AVERE,DEN_G,$AC313)),SUMIFS(DARE,DEN_G,$AC313)-SUMIFS(AVERE,DEN_G,$AC313),0)&gt;0,MAX(BI$2:BI312)+1,0)</f>
        <v>0</v>
      </c>
      <c r="BJ313" s="48">
        <f ca="1">IF(IF(AND(OR(INDEX(PDC,MATCH($AC313,DEN_PDC,0),6)="SE AVERE",INDEX(PDC,MATCH($AC313,DEN_PDC,0),6)="SE DARE/AVERE"),SUMIFS(AVERE,DEN_G,$AC313)&gt;=SUMIFS(DARE,DEN_G,$AC313)),SUMIFS(AVERE,DEN_G,$AC313)-SUMIFS(DARE,DEN_G,$AC313),0)&gt;0,MAX(BJ$2:BJ312)+1,0)</f>
        <v>0</v>
      </c>
      <c r="BK313" s="48" t="str">
        <f ca="1">IF(AND(AND($DY$2=0,$DY$1=0),$I$1=2,ROW()&gt;$BG$1+2,ROW()&lt;=$BG$1+4),"………………..",IF(AND(OR($DY$2&gt;0,$DY$1&gt;0),$I$1=2,ROW()&gt;$BG$1+2,ROW()&lt;=$BG$1+4),"………………..",IFERROR(INDEX($AC$3:$AC$398,MATCH(ROWS(BK$3:BK313),BG$3:BG$398,0),1),"")))</f>
        <v/>
      </c>
      <c r="BL313" s="48">
        <f t="shared" ca="1" si="549"/>
        <v>0</v>
      </c>
      <c r="BM313" s="48" t="str">
        <f ca="1">IF(AND(OR($DY$2=0,$DY$1=0),$I$1=2,ROW()&gt;$BH$1+2,ROW()&lt;=$BH$1+4),"………………..",IF(AND(OR($DY$2&gt;0,$DY$1&gt;0),$I$1=2,ROW()&gt;$BH$1+2,ROW()&lt;=$BH$1+4),"………………..",IFERROR(INDEX($AC$3:$AC$400,MATCH(ROWS(BM$3:BM313),BH$3:BH$400,0),1),"")))</f>
        <v/>
      </c>
      <c r="BN313" s="48">
        <f t="shared" ca="1" si="550"/>
        <v>0</v>
      </c>
      <c r="BO313" s="48" t="str">
        <f ca="1">IF(AND(OR($DY$2=0,$DY$1=0),$I$1=2,ROW()&gt;$BI$1+2,ROW()&lt;=$BI$1+4),"………………..",IF(AND(OR($DY$2&gt;0,$DY$1&gt;0),$I$1=2,ROW()&gt;$BI$1+2,ROW()&lt;=$BI$1+4),"………………..",IFERROR(INDEX($AC$3:$AC$400,MATCH(ROWS(BO$3:BO313),BI$3:BI$400,0),1),"")))</f>
        <v/>
      </c>
      <c r="BP313" s="48">
        <f t="shared" ca="1" si="551"/>
        <v>0</v>
      </c>
      <c r="BQ313" s="48" t="str">
        <f ca="1">IF(AND(OR($DY$2=0,$DY$1=0),$I$1=2,ROW()&gt;$BJ$1+2,ROW()&lt;=$BJ$1+4),"………………..",IF(AND(OR($DY$2&gt;0,$DY$1&gt;0),$I$1=2,ROW()&gt;$BJ$1+2,ROW()&lt;=$BJ$1+4),"………………..",IFERROR(INDEX($AC$3:$AC$400,MATCH(ROWS(BQ$3:BQ313),BJ$3:BJ$400,0),1),"")))</f>
        <v/>
      </c>
      <c r="BR313" s="48">
        <f t="shared" ca="1" si="552"/>
        <v>0</v>
      </c>
      <c r="BS313" s="48">
        <f ca="1">IF(IF(AND(OR(INDEX(PDC,MATCH($AC313,DEN_PDC,0),4)="D",INDEX(PDC,MATCH($AC313,DEN_PDC,0),4)="D/A"),SUMIFS(DARE,DEN_G,$AC313)&gt;=SUMIFS(AVERE,DEN_G,$AC313)),SUMIFS(DARE,DEN_G,$AC313),IF(AND(OR(INDEX(PDC,MATCH($AC313,DEN_PDC,0),4)="A",INDEX(PDC,MATCH($AC313,DEN_PDC,0),4)="D/A"),SUMIFS(AVERE,DEN_G,$AC313)&gt;=SUMIFS(DARE,DEN_G,$AC313)),SUMIFS(AVERE,DEN_G,$AC313),))&gt;0,MAX($BS$2:BS312)+1,0)</f>
        <v>0</v>
      </c>
      <c r="BT313" s="48" t="str">
        <f ca="1">IF($CO$1=0,"",IF(AND($I$1=2,ROW()&gt;$BR$1,ROW()&lt;=$BS$1)," …………….",IF(AND($E$1=1,$BX$1=1,$I$1=2,ROW()=$BQ$1),"TOTALI",IFERROR(INDEX(PDC,MATCH(ROWS(BT$3:BT313),BS$3:BS710,0),2),""))))</f>
        <v/>
      </c>
      <c r="BU313" s="48">
        <f t="shared" ca="1" si="553"/>
        <v>0</v>
      </c>
      <c r="BV313" s="48">
        <f t="shared" ca="1" si="554"/>
        <v>0</v>
      </c>
      <c r="BW313" s="48">
        <f t="shared" ca="1" si="555"/>
        <v>0</v>
      </c>
      <c r="BX313" s="48">
        <f t="shared" ca="1" si="556"/>
        <v>0</v>
      </c>
      <c r="BY313" s="48">
        <f ca="1">IF(OR(BW313&gt;0,BX313&gt;0),MAX($BY$2:BY312)+1,0)</f>
        <v>0</v>
      </c>
      <c r="BZ313" s="48" t="str">
        <f ca="1">IFERROR(INDEX($BT$3:$BY$400,MATCH(ROWS(BZ$3:BZ313),$BY$3:$BY$400,0),1),"")</f>
        <v/>
      </c>
      <c r="CA313" s="48" t="str">
        <f ca="1">IFERROR(INDEX($BT$3:$BY$400,MATCH(ROWS(CA$3:CA313),$BY$3:$BY$400,0),4),"")</f>
        <v/>
      </c>
      <c r="CB313" s="48" t="str">
        <f ca="1">IFERROR(INDEX($BT$3:$BY$400,MATCH(ROWS(CB$3:CB313),$BY$3:$BY$400,0),5),"")</f>
        <v/>
      </c>
      <c r="CC313" s="48" t="str">
        <f t="shared" ca="1" si="557"/>
        <v/>
      </c>
      <c r="CM313" s="242" t="str">
        <f t="shared" ca="1" si="566"/>
        <v/>
      </c>
      <c r="CN313" s="243">
        <f t="shared" ca="1" si="567"/>
        <v>0</v>
      </c>
      <c r="CO313" s="48" t="str">
        <f t="shared" ca="1" si="568"/>
        <v/>
      </c>
      <c r="CU313" s="48">
        <f ca="1">IF(SUMIFS(AVERE,DEN_G,AC313,AVERE,"&gt;"&amp;0)+SUMIFS(DARE,DEN_G,AC313,DARE,"&gt;"&amp;0)&gt;0,MAX($CU$2:CU312)+1,0)</f>
        <v>0</v>
      </c>
      <c r="CV313" s="48" t="str">
        <f ca="1">IF(IFERROR(INDEX(PDC,MATCH(ROWS($CV$3:CV313),$CU$3:$CU$400,0),2),"")="CONTO DI RISULTATO ECONOMICO","",IFERROR(INDEX(PDC,MATCH(ROWS($CV$3:CV313),$CU$3:$CU$400,0),2),""))</f>
        <v/>
      </c>
      <c r="CW313" s="48">
        <f ca="1">IFERROR(IF(CV313&lt;&gt;"",MAX($CW$2:CW312)+1,0),0)</f>
        <v>0</v>
      </c>
      <c r="CX313" s="48">
        <f t="shared" ca="1" si="618"/>
        <v>24</v>
      </c>
      <c r="CY313" s="48" t="str">
        <f t="shared" ca="1" si="617"/>
        <v>MASTRO</v>
      </c>
      <c r="CZ313" s="48" t="e">
        <f t="shared" ca="1" si="620"/>
        <v>#N/A</v>
      </c>
      <c r="DA313" s="48" t="str">
        <f t="shared" ca="1" si="624"/>
        <v/>
      </c>
      <c r="DB313" s="48" t="str">
        <f t="shared" ca="1" si="592"/>
        <v/>
      </c>
      <c r="DC313" s="48" t="str">
        <f t="shared" ca="1" si="621"/>
        <v/>
      </c>
      <c r="DD313" s="48" t="str">
        <f t="shared" ca="1" si="622"/>
        <v/>
      </c>
      <c r="DE313" s="48" t="str">
        <f t="shared" ca="1" si="623"/>
        <v/>
      </c>
      <c r="DF313" s="48">
        <f ca="1">IF(AND(CX313=$DF$1,CX313&lt;&gt;""),0,IF(AND(DB313&lt;&gt;"",OR(DB312&lt;&gt;"",DB314&lt;&gt;"")),MAX($DF$2:DF312)+1,0))</f>
        <v>0</v>
      </c>
      <c r="DH313" s="244" t="s">
        <v>222</v>
      </c>
      <c r="DI313" s="228" t="s">
        <v>221</v>
      </c>
      <c r="DN313" s="48">
        <f ca="1">IF(DI313&lt;&gt;"",MAX($DN$2:DN312)+1,0)</f>
        <v>245</v>
      </c>
      <c r="DQ313" s="227" t="s">
        <v>227</v>
      </c>
      <c r="DR313" s="228" t="s">
        <v>310</v>
      </c>
      <c r="DW313" s="48">
        <f ca="1">IF(DR313&lt;&gt;"",MAX($DW$2:DW312)+1,0)</f>
        <v>185</v>
      </c>
      <c r="DY313" s="48" t="str">
        <f t="shared" ca="1" si="558"/>
        <v/>
      </c>
      <c r="EL313" s="48">
        <f t="shared" ca="1" si="559"/>
        <v>0</v>
      </c>
      <c r="EM313" s="48">
        <f ca="1">IF(EL313&gt;=0,0,MAX($EM$2:EM312)+1)</f>
        <v>0</v>
      </c>
      <c r="EN313" s="48" t="str">
        <f t="shared" ca="1" si="569"/>
        <v/>
      </c>
      <c r="EO313" s="48" t="str">
        <f ca="1">IFERROR(INDEX($EM$3:$EN$400,MATCH(ROWS($EO$3:EO313),$EM$3:$EM$400,0),2),"")</f>
        <v/>
      </c>
      <c r="EP313" s="48">
        <f>ROW()</f>
        <v>313</v>
      </c>
      <c r="EQ313" s="48">
        <f t="shared" ca="1" si="560"/>
        <v>0</v>
      </c>
      <c r="ER313" s="48">
        <f ca="1">IF(ISNA(EQ313)=TRUE,MAX($ER$2:ER312)+1,0)</f>
        <v>0</v>
      </c>
      <c r="ES313" s="48" t="str">
        <f t="shared" ca="1" si="570"/>
        <v/>
      </c>
      <c r="ET313" s="48" t="str">
        <f ca="1">IFERROR(INDEX($ER$3:$ES$400,MATCH(ROWS($ET$3:ET313),$ER$3:$ER$400,0),2),"")</f>
        <v/>
      </c>
      <c r="EV313" s="48">
        <f ca="1">IFERROR(INDEX(LIBRO_GIORNALE!$O$11:$P$408,MATCH(ROWS($EV$2:EV312),LIBRO_GIORNALE!$P$11:$P$408,0),1),0)</f>
        <v>0</v>
      </c>
      <c r="EW313" s="48" t="str">
        <f t="shared" ca="1" si="544"/>
        <v>0</v>
      </c>
      <c r="EX313" s="48">
        <f t="shared" ca="1" si="571"/>
        <v>0</v>
      </c>
      <c r="EY313" s="48">
        <f ca="1">IF(EX313&gt;0,MAX($EY$2:EY312)+1,0)</f>
        <v>0</v>
      </c>
      <c r="EZ313" s="48">
        <f ca="1">IFERROR(INDEX($EX$3:$EX$400,MATCH(ROWS($EZ$3:EZ313),$EY$3:$EY$400,0),1),0)</f>
        <v>0</v>
      </c>
      <c r="FA313" s="48">
        <f ca="1">IF(EZ313&gt;0,0,MAX($FA$2:FA312)+1)</f>
        <v>311</v>
      </c>
      <c r="FB313" s="48">
        <f t="shared" ca="1" si="545"/>
        <v>0</v>
      </c>
      <c r="FC313" s="48">
        <f t="shared" ca="1" si="546"/>
        <v>311</v>
      </c>
      <c r="FD313" s="48">
        <f t="shared" ca="1" si="572"/>
        <v>311</v>
      </c>
      <c r="FE313" s="48">
        <f ca="1">IF(FD313=0,0,MAX($FE$2:FE312)+1)</f>
        <v>311</v>
      </c>
      <c r="FF313" s="48">
        <f ca="1">IFERROR(INDEX($FD$3:$FE$400,MATCH(ROWS($FF$3:FF313),$FE$3:$FE$400,0),1),"")</f>
        <v>311</v>
      </c>
      <c r="FG313" s="48">
        <f t="shared" si="610"/>
        <v>0</v>
      </c>
      <c r="FH313" s="48">
        <f t="shared" ca="1" si="573"/>
        <v>0</v>
      </c>
      <c r="FI313" s="48">
        <f ca="1">IF(FH313&lt;&gt;0,MAX($FI$2:FI312)+1,0)</f>
        <v>0</v>
      </c>
      <c r="FJ313" s="48" t="str">
        <f ca="1">IFERROR(INDEX($FH$3:$FI$400,MATCH(ROWS($FJ$3:FJ313),$FI$3:$FI$400,0),1),"")</f>
        <v/>
      </c>
      <c r="FK313" s="48">
        <f ca="1">IF(ABS(SUMIFS(DARE,DEN_G,"="&amp;FJ313,DATA,"&lt;="&amp;FINE_AC,DATA,"&gt;="&amp;INIZIO_A_PC)-SUMIFS(AVERE,DEN_G,"="&amp;FJ313,DATA,"&lt;="&amp;FINE_AC,DATA,"&gt;="&amp;INIZIO_A_PC))&gt;0,MAX($FK$2:FK312)+1,0)</f>
        <v>0</v>
      </c>
      <c r="FL313" s="48" t="str">
        <f ca="1">IF(AND(ROW()-2&lt;&gt;1,ROW()-2&lt;=$FK$1),CONCATENATE(" - ",IFERROR(INDEX($FJ$3:$FK$400,MATCH(ROWS($FL$3:FL313),$FK$3:$FK$400,0),1),"")),IFERROR(INDEX($FJ$3:$FK$400,MATCH(ROWS($FL$3:FL313),$FK$3:$FK$400,0),1),""))</f>
        <v/>
      </c>
      <c r="FM313" s="48">
        <f ca="1">IF(OR(B313="IVA ns/credito",B313="IVA NS/DEBITO",B313="IVA C/ACCONTO",B313="IMPOSTE C/ACCONTO",B313="CREDITI PER RITENUTE SUBITE",B313="CREDITI D'IMPOSTA"),MAX($FM$2:FM312)+1,0)</f>
        <v>0</v>
      </c>
      <c r="FN313" s="48" t="str">
        <f t="shared" ca="1" si="574"/>
        <v/>
      </c>
      <c r="FO313" s="48" t="str">
        <f ca="1">IFERROR(INDEX($FM$3:$FN$400,MATCH(ROWS($FO$3:FO313),$FM$3:$FM$400,0),2),"")</f>
        <v/>
      </c>
      <c r="FP313" s="48">
        <f ca="1">IF(ABS(SUMIFS(DARE,DEN_G,"="&amp;FO313,DATA,"&lt;="&amp;FINE_AC,DATA,"&gt;="&amp;INIZIO_A_PC)-SUMIFS(AVERE,DEN_G,"="&amp;FO313,DATA,"&lt;="&amp;FINE_AC,DATA,"&gt;="&amp;INIZIO_A_PC))&gt;0,MAX($FP$2:FP312)+1,0)</f>
        <v>0</v>
      </c>
      <c r="FQ313" s="48" t="str">
        <f ca="1">IF(AND(ROW()-2&lt;&gt;1,ROW()-2&lt;=$FP$1),CONCATENATE(" - ",IFERROR(INDEX($FO$3:$FP$400,MATCH(ROWS($FQ$3:FQ313),$FP$3:$FP$400,0),1),"")),IFERROR(INDEX($FO$3:$FP$400,MATCH(ROWS($FQ$3:FQ313),$FP$3:$FP$400,0),1),""))</f>
        <v/>
      </c>
    </row>
    <row r="314" spans="1:173" x14ac:dyDescent="0.3">
      <c r="A314" s="48" t="str">
        <f ca="1">IFERROR(IF($A$1=2,INDEX($DH$3:$DN$401,MATCH(ROWS(A$3:A314),$DN$3:$DN$401,0),COLUMN()),IF($A$1=1,INDEX($DQ$3:$DW$401,MATCH(ROWS(A$3:A314),$DW$3:$DW$401,0),COLUMN()),"")),"")</f>
        <v>41.31</v>
      </c>
      <c r="B314" s="48" t="str">
        <f ca="1">IFERROR(IF($A$1=2,INDEX($DH$3:$DN$401,MATCH(ROWS(B$3:B314),$DN$3:$DN$401,0),COLUMN()),IF($A$1=1,INDEX($DQ$3:$DW$400,MATCH(ROWS(B$3:B314),$DW$3:$DW$401,0),COLUMN()),"")),"")</f>
        <v>INTERESSI PASSIVI A COLLEGATE</v>
      </c>
      <c r="C314" s="48" t="str">
        <f ca="1">IFERROR(IF($A$1=2,INDEX($DH$3:$DN$401,MATCH(ROWS(C$3:C314),$DN$3:$DN$401,0),COLUMN()),IF($A$1=1,INDEX($DQ$3:$DW$401,MATCH(ROWS(C$3:C314),$DW$3:$DW$401,0),COLUMN()),"")),"")</f>
        <v>E</v>
      </c>
      <c r="D314" s="48" t="str">
        <f ca="1">IFERROR(IF($A$1=2,INDEX($DH$3:$DN$401,MATCH(ROWS(D$3:D314),$DN$3:$DN$401,0),COLUMN()),IF($A$1=1,INDEX($DQ$3:$DW$401,MATCH(ROWS(D$3:D314),$DW$3:$DW$401,0),COLUMN()),"")),"")</f>
        <v>D</v>
      </c>
      <c r="E314" s="48" t="str">
        <f ca="1">IFERROR(IF($A$1=2,INDEX($DH$3:$DN$401,MATCH(ROWS(E$3:E314),$DN$3:$DN$401,0),COLUMN()),IF($A$1=1,INDEX($DQ$3:$DW$401,MATCH(ROWS(E$3:E314),$DW$3:$DW$401,0),COLUMN()),"")),"")</f>
        <v>COSTI D'ESERCIZIO</v>
      </c>
      <c r="F314" s="48" t="str">
        <f ca="1">IFERROR(IF($A$1=2,INDEX($DH$3:$DN$401,MATCH(ROWS(F$3:F314),$DN$3:$DN$401,0),COLUMN()),IF($A$1=1,INDEX($DQ$3:$DX$401,MATCH(ROWS(F$3:F314),$DW$3:$DW$401,0),COLUMN()),"")),"")</f>
        <v>SE DARE</v>
      </c>
      <c r="G314" s="48" t="str">
        <f t="shared" ca="1" si="561"/>
        <v>SE</v>
      </c>
      <c r="H314" s="48" t="str">
        <f ca="1">IFERROR(IF($A$1=2,INDEX($DH$3:$DO$400,MATCH(ROWS(H$3:H314),$DN$3:$DN$400,0),COLUMN()),IF($A$1=1,INDEX($DQ$3:$DX$400,MATCH(ROWS(H$3:H314),$DW$3:$DW$400,0),COLUMN()),"")),"")</f>
        <v>ec17</v>
      </c>
      <c r="M314" s="48">
        <f ca="1">IFERROR(IF(IF(MID($A314,3,3)=".00",MID(A314,1,2),"")&lt;&gt;"",MAX($M$2:M313)+1,0),"")</f>
        <v>0</v>
      </c>
      <c r="N314" s="48" t="str">
        <f t="shared" ca="1" si="562"/>
        <v/>
      </c>
      <c r="O314" s="48" t="str">
        <f ca="1">IF(IFERROR(INDEX($N$3:$O$300,MATCH(ROWS($O$3:O314),$M$3:$M$300,0),1),"")&lt;&gt;"",CONCATENATE(INDEX($N$3:$O$300,MATCH(ROWS($O$3:O314),$M$3:$M$300,0),1),".00"),"")</f>
        <v/>
      </c>
      <c r="P314" s="48" t="str">
        <f t="shared" ca="1" si="563"/>
        <v/>
      </c>
      <c r="Q314" s="48">
        <f ca="1">IF(M314&gt;=1,0,MAX($Q$2:Q313)+1)</f>
        <v>279</v>
      </c>
      <c r="U314" s="48" t="str">
        <f ca="1">IFERROR(INDEX(PDC,MATCH(ROWS(U$3:U314),$V$3:$V$400,0),2),"")</f>
        <v/>
      </c>
      <c r="V314" s="48">
        <f ca="1">IF(AND($T$1="VISUALIZZA TUTTI I CONTI",AA314&lt;&gt;""),MAX($V$2:V313)+1,IF(AND($U$2=2,AI314=$T$1),MAX($V$2:V313)+1,IF(AND($U$2=1,$T$1=AF314),MAX($V$2:V313)+1,0)))</f>
        <v>0</v>
      </c>
      <c r="AA314" s="48" t="str">
        <f t="shared" ca="1" si="564"/>
        <v/>
      </c>
      <c r="AB314" s="48" t="str">
        <f ca="1">IFERROR(INDEX($A$3:$G$400,MATCH(ROWS(AB$3:AB314),$Q$3:$Q$400,0),1),"")</f>
        <v/>
      </c>
      <c r="AC314" s="48" t="str">
        <f ca="1">IFERROR(INDEX($A$3:$G$400,MATCH(ROWS($AC$3:AC314),$Q$3:$Q$400,0),2),"")</f>
        <v/>
      </c>
      <c r="AD314" s="48">
        <f ca="1">IFERROR(INDEX($A$3:$G$400,MATCH(ROWS(AD$3:AD314),$Q$3:$Q$400,0),3),"")</f>
        <v>0</v>
      </c>
      <c r="AE314" s="48" t="str">
        <f ca="1">IFERROR(INDEX($A$3:$G$400,MATCH(ROWS(AE$3:AE314),$Q$3:$Q$400,0),4),"")</f>
        <v/>
      </c>
      <c r="AF314" s="48" t="str">
        <f ca="1">IFERROR(INDEX($A$3:$G$400,MATCH(ROWS(AF$3:AF314),$Q$3:$Q$400,0),5),"")</f>
        <v/>
      </c>
      <c r="AG314" s="48" t="str">
        <f ca="1">IFERROR(INDEX($A$3:$G$400,MATCH(ROWS(AG$3:AG314),$Q$3:$Q$400,0),6),"")</f>
        <v/>
      </c>
      <c r="AH314" s="48" t="str">
        <f ca="1">IFERROR(INDEX($A$3:$G$400,MATCH(ROWS(AH$3:AH314),$Q$3:$Q$400,0),7),"")</f>
        <v/>
      </c>
      <c r="AI314" s="48" t="str">
        <f t="shared" ca="1" si="565"/>
        <v/>
      </c>
      <c r="AJ314" s="48" t="str">
        <f ca="1">IFERROR(INDEX($A$3:$H$400,MATCH(ROWS(AJ$3:AJ314),$Q$3:$Q$400,0),8),"")</f>
        <v/>
      </c>
      <c r="AZ314" s="48" t="str">
        <f t="shared" ca="1" si="584"/>
        <v/>
      </c>
      <c r="BA314" s="48">
        <f t="shared" ca="1" si="611"/>
        <v>0</v>
      </c>
      <c r="BB314" s="48">
        <f t="shared" ca="1" si="612"/>
        <v>0</v>
      </c>
      <c r="BC314" s="48">
        <f t="shared" ca="1" si="613"/>
        <v>0</v>
      </c>
      <c r="BD314" s="48">
        <f t="shared" ca="1" si="614"/>
        <v>0</v>
      </c>
      <c r="BE314" s="48">
        <f t="shared" ca="1" si="615"/>
        <v>0</v>
      </c>
      <c r="BF314" s="48">
        <f t="shared" si="585"/>
        <v>114</v>
      </c>
      <c r="BG314" s="48">
        <f ca="1">IF(IF(AND(OR(INDEX(PDC,MATCH($AC314,DEN_PDC,0),6)="SP DARE",INDEX(PDC,MATCH($AC314,DEN_PDC,0),6)="SP DARE/AVERE"),SUMIFS(DARE,DEN_G,$AC314)&gt;=SUMIFS(AVERE,DEN_G,$AC314)),SUMIFS(DARE,DEN_G,$AC314)-SUMIFS(AVERE,DEN_G,$AC314),0)&gt;0,MAX($BG$2:BG313)+1,0)</f>
        <v>0</v>
      </c>
      <c r="BH314" s="48">
        <f ca="1">IF(IF(AND(OR(INDEX(PDC,MATCH($AC314,DEN_PDC,0),6)="SP AVERE",INDEX(PDC,MATCH($AC314,DEN_PDC,0),6)="SP DARE/AVERE"),SUMIFS(AVERE,DEN_G,$AC314)&gt;=SUMIFS(DARE,DEN_G,$AC314)),SUMIFS(AVERE,DEN_G,$AC314)-SUMIFS(DARE,DEN_G,$AC314),0)&gt;0,MAX(BH$2:BH313)+1,0)</f>
        <v>0</v>
      </c>
      <c r="BI314" s="48">
        <f ca="1">IF(IF(AND(OR(INDEX(PDC,MATCH($AC314,DEN_PDC,0),6)="SE DARE",INDEX(PDC,MATCH($AC314,DEN_PDC,0),6)="SE DARE/AVERE"),SUMIFS(DARE,DEN_G,$AC314)&gt;=SUMIFS(AVERE,DEN_G,$AC314)),SUMIFS(DARE,DEN_G,$AC314)-SUMIFS(AVERE,DEN_G,$AC314),0)&gt;0,MAX(BI$2:BI313)+1,0)</f>
        <v>0</v>
      </c>
      <c r="BJ314" s="48">
        <f ca="1">IF(IF(AND(OR(INDEX(PDC,MATCH($AC314,DEN_PDC,0),6)="SE AVERE",INDEX(PDC,MATCH($AC314,DEN_PDC,0),6)="SE DARE/AVERE"),SUMIFS(AVERE,DEN_G,$AC314)&gt;=SUMIFS(DARE,DEN_G,$AC314)),SUMIFS(AVERE,DEN_G,$AC314)-SUMIFS(DARE,DEN_G,$AC314),0)&gt;0,MAX(BJ$2:BJ313)+1,0)</f>
        <v>0</v>
      </c>
      <c r="BK314" s="48" t="str">
        <f ca="1">IF(AND(AND($DY$2=0,$DY$1=0),$I$1=2,ROW()&gt;$BG$1+2,ROW()&lt;=$BG$1+4),"………………..",IF(AND(OR($DY$2&gt;0,$DY$1&gt;0),$I$1=2,ROW()&gt;$BG$1+2,ROW()&lt;=$BG$1+4),"………………..",IFERROR(INDEX($AC$3:$AC$398,MATCH(ROWS(BK$3:BK314),BG$3:BG$398,0),1),"")))</f>
        <v/>
      </c>
      <c r="BL314" s="48">
        <f t="shared" ca="1" si="549"/>
        <v>0</v>
      </c>
      <c r="BM314" s="48" t="str">
        <f ca="1">IF(AND(OR($DY$2=0,$DY$1=0),$I$1=2,ROW()&gt;$BH$1+2,ROW()&lt;=$BH$1+4),"………………..",IF(AND(OR($DY$2&gt;0,$DY$1&gt;0),$I$1=2,ROW()&gt;$BH$1+2,ROW()&lt;=$BH$1+4),"………………..",IFERROR(INDEX($AC$3:$AC$400,MATCH(ROWS(BM$3:BM314),BH$3:BH$400,0),1),"")))</f>
        <v/>
      </c>
      <c r="BN314" s="48">
        <f t="shared" ca="1" si="550"/>
        <v>0</v>
      </c>
      <c r="BO314" s="48" t="str">
        <f ca="1">IF(AND(OR($DY$2=0,$DY$1=0),$I$1=2,ROW()&gt;$BI$1+2,ROW()&lt;=$BI$1+4),"………………..",IF(AND(OR($DY$2&gt;0,$DY$1&gt;0),$I$1=2,ROW()&gt;$BI$1+2,ROW()&lt;=$BI$1+4),"………………..",IFERROR(INDEX($AC$3:$AC$400,MATCH(ROWS(BO$3:BO314),BI$3:BI$400,0),1),"")))</f>
        <v/>
      </c>
      <c r="BP314" s="48">
        <f t="shared" ca="1" si="551"/>
        <v>0</v>
      </c>
      <c r="BQ314" s="48" t="str">
        <f ca="1">IF(AND(OR($DY$2=0,$DY$1=0),$I$1=2,ROW()&gt;$BJ$1+2,ROW()&lt;=$BJ$1+4),"………………..",IF(AND(OR($DY$2&gt;0,$DY$1&gt;0),$I$1=2,ROW()&gt;$BJ$1+2,ROW()&lt;=$BJ$1+4),"………………..",IFERROR(INDEX($AC$3:$AC$400,MATCH(ROWS(BQ$3:BQ314),BJ$3:BJ$400,0),1),"")))</f>
        <v/>
      </c>
      <c r="BR314" s="48">
        <f t="shared" ca="1" si="552"/>
        <v>0</v>
      </c>
      <c r="BS314" s="48">
        <f ca="1">IF(IF(AND(OR(INDEX(PDC,MATCH($AC314,DEN_PDC,0),4)="D",INDEX(PDC,MATCH($AC314,DEN_PDC,0),4)="D/A"),SUMIFS(DARE,DEN_G,$AC314)&gt;=SUMIFS(AVERE,DEN_G,$AC314)),SUMIFS(DARE,DEN_G,$AC314),IF(AND(OR(INDEX(PDC,MATCH($AC314,DEN_PDC,0),4)="A",INDEX(PDC,MATCH($AC314,DEN_PDC,0),4)="D/A"),SUMIFS(AVERE,DEN_G,$AC314)&gt;=SUMIFS(DARE,DEN_G,$AC314)),SUMIFS(AVERE,DEN_G,$AC314),))&gt;0,MAX($BS$2:BS313)+1,0)</f>
        <v>0</v>
      </c>
      <c r="BT314" s="48" t="str">
        <f ca="1">IF($CO$1=0,"",IF(AND($I$1=2,ROW()&gt;$BR$1,ROW()&lt;=$BS$1)," …………….",IF(AND($E$1=1,$BX$1=1,$I$1=2,ROW()=$BQ$1),"TOTALI",IFERROR(INDEX(PDC,MATCH(ROWS(BT$3:BT314),BS$3:BS711,0),2),""))))</f>
        <v/>
      </c>
      <c r="BU314" s="48">
        <f t="shared" ca="1" si="553"/>
        <v>0</v>
      </c>
      <c r="BV314" s="48">
        <f t="shared" ca="1" si="554"/>
        <v>0</v>
      </c>
      <c r="BW314" s="48">
        <f t="shared" ca="1" si="555"/>
        <v>0</v>
      </c>
      <c r="BX314" s="48">
        <f t="shared" ca="1" si="556"/>
        <v>0</v>
      </c>
      <c r="BY314" s="48">
        <f ca="1">IF(OR(BW314&gt;0,BX314&gt;0),MAX($BY$2:BY313)+1,0)</f>
        <v>0</v>
      </c>
      <c r="BZ314" s="48" t="str">
        <f ca="1">IFERROR(INDEX($BT$3:$BY$400,MATCH(ROWS(BZ$3:BZ314),$BY$3:$BY$400,0),1),"")</f>
        <v/>
      </c>
      <c r="CA314" s="48" t="str">
        <f ca="1">IFERROR(INDEX($BT$3:$BY$400,MATCH(ROWS(CA$3:CA314),$BY$3:$BY$400,0),4),"")</f>
        <v/>
      </c>
      <c r="CB314" s="48" t="str">
        <f ca="1">IFERROR(INDEX($BT$3:$BY$400,MATCH(ROWS(CB$3:CB314),$BY$3:$BY$400,0),5),"")</f>
        <v/>
      </c>
      <c r="CC314" s="48" t="str">
        <f t="shared" ca="1" si="557"/>
        <v/>
      </c>
      <c r="CM314" s="242" t="str">
        <f t="shared" ca="1" si="566"/>
        <v/>
      </c>
      <c r="CN314" s="243">
        <f t="shared" ca="1" si="567"/>
        <v>0</v>
      </c>
      <c r="CO314" s="48" t="str">
        <f t="shared" ca="1" si="568"/>
        <v/>
      </c>
      <c r="CU314" s="48">
        <f ca="1">IF(SUMIFS(AVERE,DEN_G,AC314,AVERE,"&gt;"&amp;0)+SUMIFS(DARE,DEN_G,AC314,DARE,"&gt;"&amp;0)&gt;0,MAX($CU$2:CU313)+1,0)</f>
        <v>0</v>
      </c>
      <c r="CV314" s="48" t="str">
        <f ca="1">IF(IFERROR(INDEX(PDC,MATCH(ROWS($CV$3:CV314),$CU$3:$CU$400,0),2),"")="CONTO DI RISULTATO ECONOMICO","",IFERROR(INDEX(PDC,MATCH(ROWS($CV$3:CV314),$CU$3:$CU$400,0),2),""))</f>
        <v/>
      </c>
      <c r="CW314" s="48">
        <f ca="1">IFERROR(IF(CV314&lt;&gt;"",MAX($CW$2:CW313)+1,0),0)</f>
        <v>0</v>
      </c>
      <c r="CY314" s="48" t="s">
        <v>500</v>
      </c>
      <c r="DB314" s="48" t="str">
        <f t="shared" ref="DB314" ca="1" si="625">IF(CX313=$DF$1,"","MASTRO")</f>
        <v>MASTRO</v>
      </c>
      <c r="DF314" s="48">
        <f ca="1">IF(AND(CX314=$DF$1,CX314&lt;&gt;""),0,IF(AND(DB314&lt;&gt;"",OR(DB313&lt;&gt;"",DB315&lt;&gt;"")),MAX($DF$2:DF313)+1,0))</f>
        <v>0</v>
      </c>
      <c r="DH314" s="244" t="s">
        <v>225</v>
      </c>
      <c r="DI314" s="48" t="s">
        <v>938</v>
      </c>
      <c r="DJ314" s="48" t="s">
        <v>311</v>
      </c>
      <c r="DK314" s="48" t="s">
        <v>275</v>
      </c>
      <c r="DL314" s="48" t="s">
        <v>7</v>
      </c>
      <c r="DM314" s="48" t="s">
        <v>301</v>
      </c>
      <c r="DN314" s="48">
        <f ca="1">IF(DI314&lt;&gt;"",MAX($DN$2:DN313)+1,0)</f>
        <v>246</v>
      </c>
      <c r="DO314" s="48" t="s">
        <v>712</v>
      </c>
      <c r="DQ314" s="227" t="s">
        <v>228</v>
      </c>
      <c r="DR314" s="48" t="s">
        <v>939</v>
      </c>
      <c r="DS314" s="48" t="s">
        <v>311</v>
      </c>
      <c r="DT314" s="48" t="s">
        <v>275</v>
      </c>
      <c r="DU314" s="48" t="s">
        <v>7</v>
      </c>
      <c r="DV314" s="48" t="s">
        <v>301</v>
      </c>
      <c r="DW314" s="48">
        <f ca="1">IF(DR314&lt;&gt;"",MAX($DW$2:DW313)+1,0)</f>
        <v>186</v>
      </c>
      <c r="DX314" s="48" t="s">
        <v>716</v>
      </c>
      <c r="DY314" s="48" t="str">
        <f t="shared" ca="1" si="558"/>
        <v/>
      </c>
      <c r="EL314" s="48">
        <f t="shared" ca="1" si="559"/>
        <v>0</v>
      </c>
      <c r="EM314" s="48">
        <f ca="1">IF(EL314&gt;=0,0,MAX($EM$2:EM313)+1)</f>
        <v>0</v>
      </c>
      <c r="EN314" s="48" t="str">
        <f t="shared" ca="1" si="569"/>
        <v/>
      </c>
      <c r="EO314" s="48" t="str">
        <f ca="1">IFERROR(INDEX($EM$3:$EN$400,MATCH(ROWS($EO$3:EO314),$EM$3:$EM$400,0),2),"")</f>
        <v/>
      </c>
      <c r="EP314" s="48">
        <f>ROW()</f>
        <v>314</v>
      </c>
      <c r="EQ314" s="48">
        <f t="shared" ca="1" si="560"/>
        <v>0</v>
      </c>
      <c r="ER314" s="48">
        <f ca="1">IF(ISNA(EQ314)=TRUE,MAX($ER$2:ER313)+1,0)</f>
        <v>0</v>
      </c>
      <c r="ES314" s="48" t="str">
        <f t="shared" ca="1" si="570"/>
        <v/>
      </c>
      <c r="ET314" s="48" t="str">
        <f ca="1">IFERROR(INDEX($ER$3:$ES$400,MATCH(ROWS($ET$3:ET314),$ER$3:$ER$400,0),2),"")</f>
        <v/>
      </c>
      <c r="EV314" s="48">
        <f ca="1">IFERROR(INDEX(LIBRO_GIORNALE!$O$11:$P$408,MATCH(ROWS($EV$2:EV313),LIBRO_GIORNALE!$P$11:$P$408,0),1),0)</f>
        <v>0</v>
      </c>
      <c r="EW314" s="48" t="str">
        <f t="shared" ca="1" si="544"/>
        <v>0</v>
      </c>
      <c r="EX314" s="48">
        <f t="shared" ca="1" si="571"/>
        <v>0</v>
      </c>
      <c r="EY314" s="48">
        <f ca="1">IF(EX314&gt;0,MAX($EY$2:EY313)+1,0)</f>
        <v>0</v>
      </c>
      <c r="EZ314" s="48">
        <f ca="1">IFERROR(INDEX($EX$3:$EX$400,MATCH(ROWS($EZ$3:EZ314),$EY$3:$EY$400,0),1),0)</f>
        <v>0</v>
      </c>
      <c r="FA314" s="48">
        <f ca="1">IF(EZ314&gt;0,0,MAX($FA$2:FA313)+1)</f>
        <v>312</v>
      </c>
      <c r="FB314" s="48">
        <f t="shared" ca="1" si="545"/>
        <v>0</v>
      </c>
      <c r="FC314" s="48">
        <f t="shared" ca="1" si="546"/>
        <v>312</v>
      </c>
      <c r="FD314" s="48">
        <f t="shared" ca="1" si="572"/>
        <v>312</v>
      </c>
      <c r="FE314" s="48">
        <f ca="1">IF(FD314=0,0,MAX($FE$2:FE313)+1)</f>
        <v>312</v>
      </c>
      <c r="FF314" s="48">
        <f ca="1">IFERROR(INDEX($FD$3:$FE$400,MATCH(ROWS($FF$3:FF314),$FE$3:$FE$400,0),1),"")</f>
        <v>312</v>
      </c>
      <c r="FG314" s="48">
        <f t="shared" si="610"/>
        <v>0</v>
      </c>
      <c r="FH314" s="48">
        <f t="shared" ca="1" si="573"/>
        <v>0</v>
      </c>
      <c r="FI314" s="48">
        <f ca="1">IF(FH314&lt;&gt;0,MAX($FI$2:FI313)+1,0)</f>
        <v>0</v>
      </c>
      <c r="FJ314" s="48" t="str">
        <f ca="1">IFERROR(INDEX($FH$3:$FI$400,MATCH(ROWS($FJ$3:FJ314),$FI$3:$FI$400,0),1),"")</f>
        <v/>
      </c>
      <c r="FK314" s="48">
        <f ca="1">IF(ABS(SUMIFS(DARE,DEN_G,"="&amp;FJ314,DATA,"&lt;="&amp;FINE_AC,DATA,"&gt;="&amp;INIZIO_A_PC)-SUMIFS(AVERE,DEN_G,"="&amp;FJ314,DATA,"&lt;="&amp;FINE_AC,DATA,"&gt;="&amp;INIZIO_A_PC))&gt;0,MAX($FK$2:FK313)+1,0)</f>
        <v>0</v>
      </c>
      <c r="FL314" s="48" t="str">
        <f ca="1">IF(AND(ROW()-2&lt;&gt;1,ROW()-2&lt;=$FK$1),CONCATENATE(" - ",IFERROR(INDEX($FJ$3:$FK$400,MATCH(ROWS($FL$3:FL314),$FK$3:$FK$400,0),1),"")),IFERROR(INDEX($FJ$3:$FK$400,MATCH(ROWS($FL$3:FL314),$FK$3:$FK$400,0),1),""))</f>
        <v/>
      </c>
      <c r="FM314" s="48">
        <f ca="1">IF(OR(B314="IVA ns/credito",B314="IVA NS/DEBITO",B314="IVA C/ACCONTO",B314="IMPOSTE C/ACCONTO",B314="CREDITI PER RITENUTE SUBITE",B314="CREDITI D'IMPOSTA"),MAX($FM$2:FM313)+1,0)</f>
        <v>0</v>
      </c>
      <c r="FN314" s="48" t="str">
        <f t="shared" ca="1" si="574"/>
        <v/>
      </c>
      <c r="FO314" s="48" t="str">
        <f ca="1">IFERROR(INDEX($FM$3:$FN$400,MATCH(ROWS($FO$3:FO314),$FM$3:$FM$400,0),2),"")</f>
        <v/>
      </c>
      <c r="FP314" s="48">
        <f ca="1">IF(ABS(SUMIFS(DARE,DEN_G,"="&amp;FO314,DATA,"&lt;="&amp;FINE_AC,DATA,"&gt;="&amp;INIZIO_A_PC)-SUMIFS(AVERE,DEN_G,"="&amp;FO314,DATA,"&lt;="&amp;FINE_AC,DATA,"&gt;="&amp;INIZIO_A_PC))&gt;0,MAX($FP$2:FP313)+1,0)</f>
        <v>0</v>
      </c>
      <c r="FQ314" s="48" t="str">
        <f ca="1">IF(AND(ROW()-2&lt;&gt;1,ROW()-2&lt;=$FP$1),CONCATENATE(" - ",IFERROR(INDEX($FO$3:$FP$400,MATCH(ROWS($FQ$3:FQ314),$FP$3:$FP$400,0),1),"")),IFERROR(INDEX($FO$3:$FP$400,MATCH(ROWS($FQ$3:FQ314),$FP$3:$FP$400,0),1),""))</f>
        <v/>
      </c>
    </row>
    <row r="315" spans="1:173" x14ac:dyDescent="0.3">
      <c r="A315" s="48" t="str">
        <f ca="1">IFERROR(IF($A$1=2,INDEX($DH$3:$DN$401,MATCH(ROWS(A$3:A315),$DN$3:$DN$401,0),COLUMN()),IF($A$1=1,INDEX($DQ$3:$DW$401,MATCH(ROWS(A$3:A315),$DW$3:$DW$401,0),COLUMN()),"")),"")</f>
        <v>41.32</v>
      </c>
      <c r="B315" s="48" t="str">
        <f ca="1">IFERROR(IF($A$1=2,INDEX($DH$3:$DN$401,MATCH(ROWS(B$3:B315),$DN$3:$DN$401,0),COLUMN()),IF($A$1=1,INDEX($DQ$3:$DW$400,MATCH(ROWS(B$3:B315),$DW$3:$DW$401,0),COLUMN()),"")),"")</f>
        <v>INTERESSI PASSIVI A CONTROLLANTE</v>
      </c>
      <c r="C315" s="48" t="str">
        <f ca="1">IFERROR(IF($A$1=2,INDEX($DH$3:$DN$401,MATCH(ROWS(C$3:C315),$DN$3:$DN$401,0),COLUMN()),IF($A$1=1,INDEX($DQ$3:$DW$401,MATCH(ROWS(C$3:C315),$DW$3:$DW$401,0),COLUMN()),"")),"")</f>
        <v>E</v>
      </c>
      <c r="D315" s="48" t="str">
        <f ca="1">IFERROR(IF($A$1=2,INDEX($DH$3:$DN$401,MATCH(ROWS(D$3:D315),$DN$3:$DN$401,0),COLUMN()),IF($A$1=1,INDEX($DQ$3:$DW$401,MATCH(ROWS(D$3:D315),$DW$3:$DW$401,0),COLUMN()),"")),"")</f>
        <v>D</v>
      </c>
      <c r="E315" s="48" t="str">
        <f ca="1">IFERROR(IF($A$1=2,INDEX($DH$3:$DN$401,MATCH(ROWS(E$3:E315),$DN$3:$DN$401,0),COLUMN()),IF($A$1=1,INDEX($DQ$3:$DW$401,MATCH(ROWS(E$3:E315),$DW$3:$DW$401,0),COLUMN()),"")),"")</f>
        <v>COSTI D'ESERCIZIO</v>
      </c>
      <c r="F315" s="48" t="str">
        <f ca="1">IFERROR(IF($A$1=2,INDEX($DH$3:$DN$401,MATCH(ROWS(F$3:F315),$DN$3:$DN$401,0),COLUMN()),IF($A$1=1,INDEX($DQ$3:$DX$401,MATCH(ROWS(F$3:F315),$DW$3:$DW$401,0),COLUMN()),"")),"")</f>
        <v>SE DARE</v>
      </c>
      <c r="G315" s="48" t="str">
        <f t="shared" ca="1" si="561"/>
        <v>SE</v>
      </c>
      <c r="H315" s="48" t="str">
        <f ca="1">IFERROR(IF($A$1=2,INDEX($DH$3:$DO$400,MATCH(ROWS(H$3:H315),$DN$3:$DN$400,0),COLUMN()),IF($A$1=1,INDEX($DQ$3:$DX$400,MATCH(ROWS(H$3:H315),$DW$3:$DW$400,0),COLUMN()),"")),"")</f>
        <v>ec17</v>
      </c>
      <c r="M315" s="48">
        <f ca="1">IFERROR(IF(IF(MID($A315,3,3)=".00",MID(A315,1,2),"")&lt;&gt;"",MAX($M$2:M314)+1,0),"")</f>
        <v>0</v>
      </c>
      <c r="N315" s="48" t="str">
        <f t="shared" ca="1" si="562"/>
        <v/>
      </c>
      <c r="O315" s="48" t="str">
        <f ca="1">IF(IFERROR(INDEX($N$3:$O$300,MATCH(ROWS($O$3:O315),$M$3:$M$300,0),1),"")&lt;&gt;"",CONCATENATE(INDEX($N$3:$O$300,MATCH(ROWS($O$3:O315),$M$3:$M$300,0),1),".00"),"")</f>
        <v/>
      </c>
      <c r="P315" s="48" t="str">
        <f t="shared" ca="1" si="563"/>
        <v/>
      </c>
      <c r="Q315" s="48">
        <f ca="1">IF(M315&gt;=1,0,MAX($Q$2:Q314)+1)</f>
        <v>280</v>
      </c>
      <c r="U315" s="48" t="str">
        <f ca="1">IFERROR(INDEX(PDC,MATCH(ROWS(U$3:U315),$V$3:$V$400,0),2),"")</f>
        <v/>
      </c>
      <c r="V315" s="48">
        <f ca="1">IF(AND($T$1="VISUALIZZA TUTTI I CONTI",AA315&lt;&gt;""),MAX($V$2:V314)+1,IF(AND($U$2=2,AI315=$T$1),MAX($V$2:V314)+1,IF(AND($U$2=1,$T$1=AF315),MAX($V$2:V314)+1,0)))</f>
        <v>0</v>
      </c>
      <c r="AA315" s="48" t="str">
        <f t="shared" ca="1" si="564"/>
        <v/>
      </c>
      <c r="AB315" s="48" t="str">
        <f ca="1">IFERROR(INDEX($A$3:$G$400,MATCH(ROWS(AB$3:AB315),$Q$3:$Q$400,0),1),"")</f>
        <v/>
      </c>
      <c r="AC315" s="48" t="str">
        <f ca="1">IFERROR(INDEX($A$3:$G$400,MATCH(ROWS($AC$3:AC315),$Q$3:$Q$400,0),2),"")</f>
        <v/>
      </c>
      <c r="AD315" s="48">
        <f ca="1">IFERROR(INDEX($A$3:$G$400,MATCH(ROWS(AD$3:AD315),$Q$3:$Q$400,0),3),"")</f>
        <v>0</v>
      </c>
      <c r="AE315" s="48" t="str">
        <f ca="1">IFERROR(INDEX($A$3:$G$400,MATCH(ROWS(AE$3:AE315),$Q$3:$Q$400,0),4),"")</f>
        <v/>
      </c>
      <c r="AF315" s="48" t="str">
        <f ca="1">IFERROR(INDEX($A$3:$G$400,MATCH(ROWS(AF$3:AF315),$Q$3:$Q$400,0),5),"")</f>
        <v/>
      </c>
      <c r="AG315" s="48" t="str">
        <f ca="1">IFERROR(INDEX($A$3:$G$400,MATCH(ROWS(AG$3:AG315),$Q$3:$Q$400,0),6),"")</f>
        <v/>
      </c>
      <c r="AH315" s="48" t="str">
        <f ca="1">IFERROR(INDEX($A$3:$G$400,MATCH(ROWS(AH$3:AH315),$Q$3:$Q$400,0),7),"")</f>
        <v/>
      </c>
      <c r="AI315" s="48" t="str">
        <f t="shared" ca="1" si="565"/>
        <v/>
      </c>
      <c r="AJ315" s="48" t="str">
        <f ca="1">IFERROR(INDEX($A$3:$H$400,MATCH(ROWS(AJ$3:AJ315),$Q$3:$Q$400,0),8),"")</f>
        <v/>
      </c>
      <c r="AZ315" s="48" t="str">
        <f t="shared" ca="1" si="584"/>
        <v/>
      </c>
      <c r="BA315" s="48">
        <f t="shared" ca="1" si="611"/>
        <v>0</v>
      </c>
      <c r="BB315" s="48">
        <f t="shared" ca="1" si="612"/>
        <v>0</v>
      </c>
      <c r="BC315" s="48">
        <f t="shared" ca="1" si="613"/>
        <v>0</v>
      </c>
      <c r="BD315" s="48">
        <f t="shared" ca="1" si="614"/>
        <v>0</v>
      </c>
      <c r="BE315" s="48">
        <f t="shared" ca="1" si="615"/>
        <v>0</v>
      </c>
      <c r="BF315" s="48">
        <f t="shared" si="585"/>
        <v>115</v>
      </c>
      <c r="BG315" s="48">
        <f ca="1">IF(IF(AND(OR(INDEX(PDC,MATCH($AC315,DEN_PDC,0),6)="SP DARE",INDEX(PDC,MATCH($AC315,DEN_PDC,0),6)="SP DARE/AVERE"),SUMIFS(DARE,DEN_G,$AC315)&gt;=SUMIFS(AVERE,DEN_G,$AC315)),SUMIFS(DARE,DEN_G,$AC315)-SUMIFS(AVERE,DEN_G,$AC315),0)&gt;0,MAX($BG$2:BG314)+1,0)</f>
        <v>0</v>
      </c>
      <c r="BH315" s="48">
        <f ca="1">IF(IF(AND(OR(INDEX(PDC,MATCH($AC315,DEN_PDC,0),6)="SP AVERE",INDEX(PDC,MATCH($AC315,DEN_PDC,0),6)="SP DARE/AVERE"),SUMIFS(AVERE,DEN_G,$AC315)&gt;=SUMIFS(DARE,DEN_G,$AC315)),SUMIFS(AVERE,DEN_G,$AC315)-SUMIFS(DARE,DEN_G,$AC315),0)&gt;0,MAX(BH$2:BH314)+1,0)</f>
        <v>0</v>
      </c>
      <c r="BI315" s="48">
        <f ca="1">IF(IF(AND(OR(INDEX(PDC,MATCH($AC315,DEN_PDC,0),6)="SE DARE",INDEX(PDC,MATCH($AC315,DEN_PDC,0),6)="SE DARE/AVERE"),SUMIFS(DARE,DEN_G,$AC315)&gt;=SUMIFS(AVERE,DEN_G,$AC315)),SUMIFS(DARE,DEN_G,$AC315)-SUMIFS(AVERE,DEN_G,$AC315),0)&gt;0,MAX(BI$2:BI314)+1,0)</f>
        <v>0</v>
      </c>
      <c r="BJ315" s="48">
        <f ca="1">IF(IF(AND(OR(INDEX(PDC,MATCH($AC315,DEN_PDC,0),6)="SE AVERE",INDEX(PDC,MATCH($AC315,DEN_PDC,0),6)="SE DARE/AVERE"),SUMIFS(AVERE,DEN_G,$AC315)&gt;=SUMIFS(DARE,DEN_G,$AC315)),SUMIFS(AVERE,DEN_G,$AC315)-SUMIFS(DARE,DEN_G,$AC315),0)&gt;0,MAX(BJ$2:BJ314)+1,0)</f>
        <v>0</v>
      </c>
      <c r="BK315" s="48" t="str">
        <f ca="1">IF(AND(AND($DY$2=0,$DY$1=0),$I$1=2,ROW()&gt;$BG$1+2,ROW()&lt;=$BG$1+4),"………………..",IF(AND(OR($DY$2&gt;0,$DY$1&gt;0),$I$1=2,ROW()&gt;$BG$1+2,ROW()&lt;=$BG$1+4),"………………..",IFERROR(INDEX($AC$3:$AC$398,MATCH(ROWS(BK$3:BK315),BG$3:BG$398,0),1),"")))</f>
        <v/>
      </c>
      <c r="BL315" s="48">
        <f t="shared" ca="1" si="549"/>
        <v>0</v>
      </c>
      <c r="BM315" s="48" t="str">
        <f ca="1">IF(AND(OR($DY$2=0,$DY$1=0),$I$1=2,ROW()&gt;$BH$1+2,ROW()&lt;=$BH$1+4),"………………..",IF(AND(OR($DY$2&gt;0,$DY$1&gt;0),$I$1=2,ROW()&gt;$BH$1+2,ROW()&lt;=$BH$1+4),"………………..",IFERROR(INDEX($AC$3:$AC$400,MATCH(ROWS(BM$3:BM315),BH$3:BH$400,0),1),"")))</f>
        <v/>
      </c>
      <c r="BN315" s="48">
        <f t="shared" ca="1" si="550"/>
        <v>0</v>
      </c>
      <c r="BO315" s="48" t="str">
        <f ca="1">IF(AND(OR($DY$2=0,$DY$1=0),$I$1=2,ROW()&gt;$BI$1+2,ROW()&lt;=$BI$1+4),"………………..",IF(AND(OR($DY$2&gt;0,$DY$1&gt;0),$I$1=2,ROW()&gt;$BI$1+2,ROW()&lt;=$BI$1+4),"………………..",IFERROR(INDEX($AC$3:$AC$400,MATCH(ROWS(BO$3:BO315),BI$3:BI$400,0),1),"")))</f>
        <v/>
      </c>
      <c r="BP315" s="48">
        <f t="shared" ca="1" si="551"/>
        <v>0</v>
      </c>
      <c r="BQ315" s="48" t="str">
        <f ca="1">IF(AND(OR($DY$2=0,$DY$1=0),$I$1=2,ROW()&gt;$BJ$1+2,ROW()&lt;=$BJ$1+4),"………………..",IF(AND(OR($DY$2&gt;0,$DY$1&gt;0),$I$1=2,ROW()&gt;$BJ$1+2,ROW()&lt;=$BJ$1+4),"………………..",IFERROR(INDEX($AC$3:$AC$400,MATCH(ROWS(BQ$3:BQ315),BJ$3:BJ$400,0),1),"")))</f>
        <v/>
      </c>
      <c r="BR315" s="48">
        <f t="shared" ca="1" si="552"/>
        <v>0</v>
      </c>
      <c r="BS315" s="48">
        <f ca="1">IF(IF(AND(OR(INDEX(PDC,MATCH($AC315,DEN_PDC,0),4)="D",INDEX(PDC,MATCH($AC315,DEN_PDC,0),4)="D/A"),SUMIFS(DARE,DEN_G,$AC315)&gt;=SUMIFS(AVERE,DEN_G,$AC315)),SUMIFS(DARE,DEN_G,$AC315),IF(AND(OR(INDEX(PDC,MATCH($AC315,DEN_PDC,0),4)="A",INDEX(PDC,MATCH($AC315,DEN_PDC,0),4)="D/A"),SUMIFS(AVERE,DEN_G,$AC315)&gt;=SUMIFS(DARE,DEN_G,$AC315)),SUMIFS(AVERE,DEN_G,$AC315),))&gt;0,MAX($BS$2:BS314)+1,0)</f>
        <v>0</v>
      </c>
      <c r="BT315" s="48" t="str">
        <f ca="1">IF($CO$1=0,"",IF(AND($I$1=2,ROW()&gt;$BR$1,ROW()&lt;=$BS$1)," …………….",IF(AND($E$1=1,$BX$1=1,$I$1=2,ROW()=$BQ$1),"TOTALI",IFERROR(INDEX(PDC,MATCH(ROWS(BT$3:BT315),BS$3:BS712,0),2),""))))</f>
        <v/>
      </c>
      <c r="BU315" s="48">
        <f t="shared" ca="1" si="553"/>
        <v>0</v>
      </c>
      <c r="BV315" s="48">
        <f t="shared" ca="1" si="554"/>
        <v>0</v>
      </c>
      <c r="BW315" s="48">
        <f t="shared" ca="1" si="555"/>
        <v>0</v>
      </c>
      <c r="BX315" s="48">
        <f t="shared" ca="1" si="556"/>
        <v>0</v>
      </c>
      <c r="BY315" s="48">
        <f ca="1">IF(OR(BW315&gt;0,BX315&gt;0),MAX($BY$2:BY314)+1,0)</f>
        <v>0</v>
      </c>
      <c r="BZ315" s="48" t="str">
        <f ca="1">IFERROR(INDEX($BT$3:$BY$400,MATCH(ROWS(BZ$3:BZ315),$BY$3:$BY$400,0),1),"")</f>
        <v/>
      </c>
      <c r="CA315" s="48" t="str">
        <f ca="1">IFERROR(INDEX($BT$3:$BY$400,MATCH(ROWS(CA$3:CA315),$BY$3:$BY$400,0),4),"")</f>
        <v/>
      </c>
      <c r="CB315" s="48" t="str">
        <f ca="1">IFERROR(INDEX($BT$3:$BY$400,MATCH(ROWS(CB$3:CB315),$BY$3:$BY$400,0),5),"")</f>
        <v/>
      </c>
      <c r="CC315" s="48" t="str">
        <f t="shared" ca="1" si="557"/>
        <v/>
      </c>
      <c r="CM315" s="242" t="str">
        <f t="shared" ca="1" si="566"/>
        <v/>
      </c>
      <c r="CN315" s="243">
        <f t="shared" ca="1" si="567"/>
        <v>0</v>
      </c>
      <c r="CO315" s="48" t="str">
        <f t="shared" ca="1" si="568"/>
        <v/>
      </c>
      <c r="CU315" s="48">
        <f ca="1">IF(SUMIFS(AVERE,DEN_G,AC315,AVERE,"&gt;"&amp;0)+SUMIFS(DARE,DEN_G,AC315,DARE,"&gt;"&amp;0)&gt;0,MAX($CU$2:CU314)+1,0)</f>
        <v>0</v>
      </c>
      <c r="CV315" s="48" t="str">
        <f ca="1">IF(IFERROR(INDEX(PDC,MATCH(ROWS($CV$3:CV315),$CU$3:$CU$400,0),2),"")="CONTO DI RISULTATO ECONOMICO","",IFERROR(INDEX(PDC,MATCH(ROWS($CV$3:CV315),$CU$3:$CU$400,0),2),""))</f>
        <v/>
      </c>
      <c r="CW315" s="48">
        <f ca="1">IFERROR(IF(CV315&lt;&gt;"",MAX($CW$2:CW314)+1,0),0)</f>
        <v>0</v>
      </c>
      <c r="CX315" s="48">
        <f ca="1">$FF$27</f>
        <v>25</v>
      </c>
      <c r="CY315" s="48" t="str">
        <f t="shared" ref="CY315:CY326" ca="1" si="626">IF(ISERROR(INDEX($CV$3:$CX$1302,MATCH(CX315,$CW$3:$CW$1302,0),1)),"MASTRO",INDEX($CV$3:$CX$1302,MATCH(CX315,$CW$3:$CW$1302,0),1))</f>
        <v>MASTRO</v>
      </c>
      <c r="DA315" s="48" t="str">
        <f>IF(CY314="MASTRO","Conto n.","")</f>
        <v>Conto n.</v>
      </c>
      <c r="DB315" s="48" t="str">
        <f ca="1">IF(CY315=0,"",INDEX(PDC,MATCH(DC315,DEN_PDC,0),1))</f>
        <v/>
      </c>
      <c r="DC315" s="48" t="str">
        <f ca="1">IF(OR(CY315=0,CY315="mastro"),"",CY315)</f>
        <v/>
      </c>
      <c r="DD315" s="48" t="str">
        <f ca="1">IF(AND($DA$2=TRUE,OR(INDEX(PDC,MATCH($DC315,DEN_PDC,0),4)="A",INDEX(PDC,MATCH($DC315,DEN_PDC,0),4)="D/A"),SUMIFS(AVERE,DEN_G,"="&amp;$DC315,DATA,"&lt;="&amp;FINE_AC,DATA,"&gt;="&amp;INIZIO_AC)&gt;SUMIFS(DARE,DEN_G,"="&amp;$DC315,DATA,"&lt;="&amp;FINE_AC,DATA,"&gt;="&amp;INIZIO_AC)),CONCATENATE("s ",FIXED(ABS(SUMIFS(AVERE,DEN_G,"="&amp;$DC315,DATA,"&lt;="&amp;FINE_AC,DATA,"&gt;="&amp;INIZIO_AC)-SUMIFS(DARE,DEN_G,"="&amp;$DC315,DATA,"&lt;="&amp;FINE_AC,DATA,"&gt;="&amp;INIZIO_AC)),2)),"")</f>
        <v/>
      </c>
      <c r="DE315" s="48" t="str">
        <f ca="1">IF(AND($DA$2=TRUE,OR(INDEX(PDC,MATCH($DC315,DEN_PDC,0),4)="D",INDEX(PDC,MATCH($DC315,DEN_PDC,0),4)="D/A"),SUMIFS(DARE,DEN_G,"="&amp;$DC315,DATA,"&lt;="&amp;FINE_AC,DATA,"&gt;="&amp;INIZIO_AC)&gt;SUMIFS(AVERE,DEN_G,"="&amp;$DC315,DATA,"&lt;="&amp;FINE_AC,DATA,"&gt;="&amp;INIZIO_AC)),CONCATENATE("s ",FIXED(ABS(SUMIFS(DARE,DEN_G,"="&amp;$DC315,DATA,"&lt;="&amp;FINE_AC,DATA,"&gt;="&amp;INIZIO_AC)-SUMIFS(AVERE,DEN_G,"="&amp;$DC315,DATA,"&lt;="&amp;FINE_AC,DATA,"&gt;="&amp;INIZIO_AC)),2)),"")</f>
        <v/>
      </c>
      <c r="DF315" s="48">
        <f ca="1">IF(AND(CX315=$DF$1,CX315&lt;&gt;""),0,IF(AND(DB315&lt;&gt;"",OR(DB314&lt;&gt;"",DB316&lt;&gt;"")),MAX($DF$2:DF314)+1,0))</f>
        <v>0</v>
      </c>
      <c r="DH315" s="244" t="s">
        <v>226</v>
      </c>
      <c r="DI315" s="48" t="s">
        <v>223</v>
      </c>
      <c r="DJ315" s="48" t="s">
        <v>311</v>
      </c>
      <c r="DK315" s="48" t="s">
        <v>275</v>
      </c>
      <c r="DL315" s="48" t="s">
        <v>7</v>
      </c>
      <c r="DM315" s="48" t="s">
        <v>301</v>
      </c>
      <c r="DN315" s="48">
        <f ca="1">IF(DI315&lt;&gt;"",MAX($DN$2:DN314)+1,0)</f>
        <v>247</v>
      </c>
      <c r="DO315" s="48" t="s">
        <v>713</v>
      </c>
      <c r="DQ315" s="227" t="s">
        <v>898</v>
      </c>
      <c r="DR315" s="48" t="s">
        <v>1068</v>
      </c>
      <c r="DS315" s="48" t="s">
        <v>311</v>
      </c>
      <c r="DT315" s="48" t="s">
        <v>275</v>
      </c>
      <c r="DU315" s="48" t="s">
        <v>7</v>
      </c>
      <c r="DV315" s="48" t="s">
        <v>301</v>
      </c>
      <c r="DW315" s="48">
        <f ca="1">IF(DR315&lt;&gt;"",MAX($DW$2:DW314)+1,0)</f>
        <v>187</v>
      </c>
      <c r="DX315" s="48" t="s">
        <v>716</v>
      </c>
      <c r="DY315" s="48" t="str">
        <f t="shared" ca="1" si="558"/>
        <v/>
      </c>
      <c r="EL315" s="48">
        <f t="shared" ca="1" si="559"/>
        <v>0</v>
      </c>
      <c r="EM315" s="48">
        <f ca="1">IF(EL315&gt;=0,0,MAX($EM$2:EM314)+1)</f>
        <v>0</v>
      </c>
      <c r="EN315" s="48" t="str">
        <f t="shared" ca="1" si="569"/>
        <v/>
      </c>
      <c r="EO315" s="48" t="str">
        <f ca="1">IFERROR(INDEX($EM$3:$EN$400,MATCH(ROWS($EO$3:EO315),$EM$3:$EM$400,0),2),"")</f>
        <v/>
      </c>
      <c r="EP315" s="48">
        <f>ROW()</f>
        <v>315</v>
      </c>
      <c r="EQ315" s="48">
        <f t="shared" ca="1" si="560"/>
        <v>0</v>
      </c>
      <c r="ER315" s="48">
        <f ca="1">IF(ISNA(EQ315)=TRUE,MAX($ER$2:ER314)+1,0)</f>
        <v>0</v>
      </c>
      <c r="ES315" s="48" t="str">
        <f t="shared" ca="1" si="570"/>
        <v/>
      </c>
      <c r="ET315" s="48" t="str">
        <f ca="1">IFERROR(INDEX($ER$3:$ES$400,MATCH(ROWS($ET$3:ET315),$ER$3:$ER$400,0),2),"")</f>
        <v/>
      </c>
      <c r="EV315" s="48">
        <f ca="1">IFERROR(INDEX(LIBRO_GIORNALE!$O$11:$P$408,MATCH(ROWS($EV$2:EV314),LIBRO_GIORNALE!$P$11:$P$408,0),1),0)</f>
        <v>0</v>
      </c>
      <c r="EW315" s="48" t="str">
        <f t="shared" ca="1" si="544"/>
        <v>0</v>
      </c>
      <c r="EX315" s="48">
        <f t="shared" ca="1" si="571"/>
        <v>0</v>
      </c>
      <c r="EY315" s="48">
        <f ca="1">IF(EX315&gt;0,MAX($EY$2:EY314)+1,0)</f>
        <v>0</v>
      </c>
      <c r="EZ315" s="48">
        <f ca="1">IFERROR(INDEX($EX$3:$EX$400,MATCH(ROWS($EZ$3:EZ315),$EY$3:$EY$400,0),1),0)</f>
        <v>0</v>
      </c>
      <c r="FA315" s="48">
        <f ca="1">IF(EZ315&gt;0,0,MAX($FA$2:FA314)+1)</f>
        <v>313</v>
      </c>
      <c r="FB315" s="48">
        <f t="shared" ca="1" si="545"/>
        <v>0</v>
      </c>
      <c r="FC315" s="48">
        <f t="shared" ca="1" si="546"/>
        <v>313</v>
      </c>
      <c r="FD315" s="48">
        <f t="shared" ca="1" si="572"/>
        <v>313</v>
      </c>
      <c r="FE315" s="48">
        <f ca="1">IF(FD315=0,0,MAX($FE$2:FE314)+1)</f>
        <v>313</v>
      </c>
      <c r="FF315" s="48">
        <f ca="1">IFERROR(INDEX($FD$3:$FE$400,MATCH(ROWS($FF$3:FF315),$FE$3:$FE$400,0),1),"")</f>
        <v>313</v>
      </c>
      <c r="FG315" s="48">
        <f t="shared" si="610"/>
        <v>0</v>
      </c>
      <c r="FH315" s="48">
        <f t="shared" ca="1" si="573"/>
        <v>0</v>
      </c>
      <c r="FI315" s="48">
        <f ca="1">IF(FH315&lt;&gt;0,MAX($FI$2:FI314)+1,0)</f>
        <v>0</v>
      </c>
      <c r="FJ315" s="48" t="str">
        <f ca="1">IFERROR(INDEX($FH$3:$FI$400,MATCH(ROWS($FJ$3:FJ315),$FI$3:$FI$400,0),1),"")</f>
        <v/>
      </c>
      <c r="FK315" s="48">
        <f ca="1">IF(ABS(SUMIFS(DARE,DEN_G,"="&amp;FJ315,DATA,"&lt;="&amp;FINE_AC,DATA,"&gt;="&amp;INIZIO_A_PC)-SUMIFS(AVERE,DEN_G,"="&amp;FJ315,DATA,"&lt;="&amp;FINE_AC,DATA,"&gt;="&amp;INIZIO_A_PC))&gt;0,MAX($FK$2:FK314)+1,0)</f>
        <v>0</v>
      </c>
      <c r="FL315" s="48" t="str">
        <f ca="1">IF(AND(ROW()-2&lt;&gt;1,ROW()-2&lt;=$FK$1),CONCATENATE(" - ",IFERROR(INDEX($FJ$3:$FK$400,MATCH(ROWS($FL$3:FL315),$FK$3:$FK$400,0),1),"")),IFERROR(INDEX($FJ$3:$FK$400,MATCH(ROWS($FL$3:FL315),$FK$3:$FK$400,0),1),""))</f>
        <v/>
      </c>
      <c r="FM315" s="48">
        <f ca="1">IF(OR(B315="IVA ns/credito",B315="IVA NS/DEBITO",B315="IVA C/ACCONTO",B315="IMPOSTE C/ACCONTO",B315="CREDITI PER RITENUTE SUBITE",B315="CREDITI D'IMPOSTA"),MAX($FM$2:FM314)+1,0)</f>
        <v>0</v>
      </c>
      <c r="FN315" s="48" t="str">
        <f t="shared" ca="1" si="574"/>
        <v/>
      </c>
      <c r="FO315" s="48" t="str">
        <f ca="1">IFERROR(INDEX($FM$3:$FN$400,MATCH(ROWS($FO$3:FO315),$FM$3:$FM$400,0),2),"")</f>
        <v/>
      </c>
      <c r="FP315" s="48">
        <f ca="1">IF(ABS(SUMIFS(DARE,DEN_G,"="&amp;FO315,DATA,"&lt;="&amp;FINE_AC,DATA,"&gt;="&amp;INIZIO_A_PC)-SUMIFS(AVERE,DEN_G,"="&amp;FO315,DATA,"&lt;="&amp;FINE_AC,DATA,"&gt;="&amp;INIZIO_A_PC))&gt;0,MAX($FP$2:FP314)+1,0)</f>
        <v>0</v>
      </c>
      <c r="FQ315" s="48" t="str">
        <f ca="1">IF(AND(ROW()-2&lt;&gt;1,ROW()-2&lt;=$FP$1),CONCATENATE(" - ",IFERROR(INDEX($FO$3:$FP$400,MATCH(ROWS($FQ$3:FQ315),$FP$3:$FP$400,0),1),"")),IFERROR(INDEX($FO$3:$FP$400,MATCH(ROWS($FQ$3:FQ315),$FP$3:$FP$400,0),1),""))</f>
        <v/>
      </c>
    </row>
    <row r="316" spans="1:173" x14ac:dyDescent="0.3">
      <c r="A316" s="48" t="str">
        <f ca="1">IFERROR(IF($A$1=2,INDEX($DH$3:$DN$401,MATCH(ROWS(A$3:A316),$DN$3:$DN$401,0),COLUMN()),IF($A$1=1,INDEX($DQ$3:$DW$401,MATCH(ROWS(A$3:A316),$DW$3:$DW$401,0),COLUMN()),"")),"")</f>
        <v>41.40</v>
      </c>
      <c r="B316" s="48" t="str">
        <f ca="1">IFERROR(IF($A$1=2,INDEX($DH$3:$DN$401,MATCH(ROWS(B$3:B316),$DN$3:$DN$401,0),COLUMN()),IF($A$1=1,INDEX($DQ$3:$DW$400,MATCH(ROWS(B$3:B316),$DW$3:$DW$401,0),COLUMN()),"")),"")</f>
        <v>PERDITA SU TITOLI</v>
      </c>
      <c r="C316" s="48" t="str">
        <f ca="1">IFERROR(IF($A$1=2,INDEX($DH$3:$DN$401,MATCH(ROWS(C$3:C316),$DN$3:$DN$401,0),COLUMN()),IF($A$1=1,INDEX($DQ$3:$DW$401,MATCH(ROWS(C$3:C316),$DW$3:$DW$401,0),COLUMN()),"")),"")</f>
        <v>E</v>
      </c>
      <c r="D316" s="48" t="str">
        <f ca="1">IFERROR(IF($A$1=2,INDEX($DH$3:$DN$401,MATCH(ROWS(D$3:D316),$DN$3:$DN$401,0),COLUMN()),IF($A$1=1,INDEX($DQ$3:$DW$401,MATCH(ROWS(D$3:D316),$DW$3:$DW$401,0),COLUMN()),"")),"")</f>
        <v>D</v>
      </c>
      <c r="E316" s="48" t="str">
        <f ca="1">IFERROR(IF($A$1=2,INDEX($DH$3:$DN$401,MATCH(ROWS(E$3:E316),$DN$3:$DN$401,0),COLUMN()),IF($A$1=1,INDEX($DQ$3:$DW$401,MATCH(ROWS(E$3:E316),$DW$3:$DW$401,0),COLUMN()),"")),"")</f>
        <v>COSTI D'ESERCIZIO</v>
      </c>
      <c r="F316" s="48" t="str">
        <f ca="1">IFERROR(IF($A$1=2,INDEX($DH$3:$DN$401,MATCH(ROWS(F$3:F316),$DN$3:$DN$401,0),COLUMN()),IF($A$1=1,INDEX($DQ$3:$DX$401,MATCH(ROWS(F$3:F316),$DW$3:$DW$401,0),COLUMN()),"")),"")</f>
        <v>SE DARE</v>
      </c>
      <c r="G316" s="48" t="str">
        <f t="shared" ca="1" si="561"/>
        <v>SE</v>
      </c>
      <c r="H316" s="48" t="str">
        <f ca="1">IFERROR(IF($A$1=2,INDEX($DH$3:$DO$400,MATCH(ROWS(H$3:H316),$DN$3:$DN$400,0),COLUMN()),IF($A$1=1,INDEX($DQ$3:$DX$400,MATCH(ROWS(H$3:H316),$DW$3:$DW$400,0),COLUMN()),"")),"")</f>
        <v>ec17</v>
      </c>
      <c r="M316" s="48">
        <f ca="1">IFERROR(IF(IF(MID($A316,3,3)=".00",MID(A316,1,2),"")&lt;&gt;"",MAX($M$2:M315)+1,0),"")</f>
        <v>0</v>
      </c>
      <c r="N316" s="48" t="str">
        <f t="shared" ca="1" si="562"/>
        <v/>
      </c>
      <c r="O316" s="48" t="str">
        <f ca="1">IF(IFERROR(INDEX($N$3:$O$300,MATCH(ROWS($O$3:O316),$M$3:$M$300,0),1),"")&lt;&gt;"",CONCATENATE(INDEX($N$3:$O$300,MATCH(ROWS($O$3:O316),$M$3:$M$300,0),1),".00"),"")</f>
        <v/>
      </c>
      <c r="P316" s="48" t="str">
        <f t="shared" ca="1" si="563"/>
        <v/>
      </c>
      <c r="Q316" s="48">
        <f ca="1">IF(M316&gt;=1,0,MAX($Q$2:Q315)+1)</f>
        <v>281</v>
      </c>
      <c r="U316" s="48" t="str">
        <f ca="1">IFERROR(INDEX(PDC,MATCH(ROWS(U$3:U316),$V$3:$V$400,0),2),"")</f>
        <v/>
      </c>
      <c r="V316" s="48">
        <f ca="1">IF(AND($T$1="VISUALIZZA TUTTI I CONTI",AA316&lt;&gt;""),MAX($V$2:V315)+1,IF(AND($U$2=2,AI316=$T$1),MAX($V$2:V315)+1,IF(AND($U$2=1,$T$1=AF316),MAX($V$2:V315)+1,0)))</f>
        <v>0</v>
      </c>
      <c r="AA316" s="48" t="str">
        <f t="shared" ca="1" si="564"/>
        <v/>
      </c>
      <c r="AB316" s="48" t="str">
        <f ca="1">IFERROR(INDEX($A$3:$G$400,MATCH(ROWS(AB$3:AB316),$Q$3:$Q$400,0),1),"")</f>
        <v/>
      </c>
      <c r="AC316" s="48" t="str">
        <f ca="1">IFERROR(INDEX($A$3:$G$400,MATCH(ROWS($AC$3:AC316),$Q$3:$Q$400,0),2),"")</f>
        <v/>
      </c>
      <c r="AD316" s="48">
        <f ca="1">IFERROR(INDEX($A$3:$G$400,MATCH(ROWS(AD$3:AD316),$Q$3:$Q$400,0),3),"")</f>
        <v>0</v>
      </c>
      <c r="AE316" s="48" t="str">
        <f ca="1">IFERROR(INDEX($A$3:$G$400,MATCH(ROWS(AE$3:AE316),$Q$3:$Q$400,0),4),"")</f>
        <v/>
      </c>
      <c r="AF316" s="48" t="str">
        <f ca="1">IFERROR(INDEX($A$3:$G$400,MATCH(ROWS(AF$3:AF316),$Q$3:$Q$400,0),5),"")</f>
        <v/>
      </c>
      <c r="AG316" s="48" t="str">
        <f ca="1">IFERROR(INDEX($A$3:$G$400,MATCH(ROWS(AG$3:AG316),$Q$3:$Q$400,0),6),"")</f>
        <v/>
      </c>
      <c r="AH316" s="48" t="str">
        <f ca="1">IFERROR(INDEX($A$3:$G$400,MATCH(ROWS(AH$3:AH316),$Q$3:$Q$400,0),7),"")</f>
        <v/>
      </c>
      <c r="AI316" s="48" t="str">
        <f t="shared" ca="1" si="565"/>
        <v/>
      </c>
      <c r="AJ316" s="48" t="str">
        <f ca="1">IFERROR(INDEX($A$3:$H$400,MATCH(ROWS(AJ$3:AJ316),$Q$3:$Q$400,0),8),"")</f>
        <v/>
      </c>
      <c r="AZ316" s="48" t="str">
        <f t="shared" ca="1" si="584"/>
        <v/>
      </c>
      <c r="BA316" s="48">
        <f t="shared" ca="1" si="611"/>
        <v>0</v>
      </c>
      <c r="BB316" s="48">
        <f t="shared" ca="1" si="612"/>
        <v>0</v>
      </c>
      <c r="BC316" s="48">
        <f t="shared" ca="1" si="613"/>
        <v>0</v>
      </c>
      <c r="BD316" s="48">
        <f t="shared" ca="1" si="614"/>
        <v>0</v>
      </c>
      <c r="BE316" s="48">
        <f t="shared" ca="1" si="615"/>
        <v>0</v>
      </c>
      <c r="BF316" s="48">
        <f t="shared" si="585"/>
        <v>116</v>
      </c>
      <c r="BG316" s="48">
        <f ca="1">IF(IF(AND(OR(INDEX(PDC,MATCH($AC316,DEN_PDC,0),6)="SP DARE",INDEX(PDC,MATCH($AC316,DEN_PDC,0),6)="SP DARE/AVERE"),SUMIFS(DARE,DEN_G,$AC316)&gt;=SUMIFS(AVERE,DEN_G,$AC316)),SUMIFS(DARE,DEN_G,$AC316)-SUMIFS(AVERE,DEN_G,$AC316),0)&gt;0,MAX($BG$2:BG315)+1,0)</f>
        <v>0</v>
      </c>
      <c r="BH316" s="48">
        <f ca="1">IF(IF(AND(OR(INDEX(PDC,MATCH($AC316,DEN_PDC,0),6)="SP AVERE",INDEX(PDC,MATCH($AC316,DEN_PDC,0),6)="SP DARE/AVERE"),SUMIFS(AVERE,DEN_G,$AC316)&gt;=SUMIFS(DARE,DEN_G,$AC316)),SUMIFS(AVERE,DEN_G,$AC316)-SUMIFS(DARE,DEN_G,$AC316),0)&gt;0,MAX(BH$2:BH315)+1,0)</f>
        <v>0</v>
      </c>
      <c r="BI316" s="48">
        <f ca="1">IF(IF(AND(OR(INDEX(PDC,MATCH($AC316,DEN_PDC,0),6)="SE DARE",INDEX(PDC,MATCH($AC316,DEN_PDC,0),6)="SE DARE/AVERE"),SUMIFS(DARE,DEN_G,$AC316)&gt;=SUMIFS(AVERE,DEN_G,$AC316)),SUMIFS(DARE,DEN_G,$AC316)-SUMIFS(AVERE,DEN_G,$AC316),0)&gt;0,MAX(BI$2:BI315)+1,0)</f>
        <v>0</v>
      </c>
      <c r="BJ316" s="48">
        <f ca="1">IF(IF(AND(OR(INDEX(PDC,MATCH($AC316,DEN_PDC,0),6)="SE AVERE",INDEX(PDC,MATCH($AC316,DEN_PDC,0),6)="SE DARE/AVERE"),SUMIFS(AVERE,DEN_G,$AC316)&gt;=SUMIFS(DARE,DEN_G,$AC316)),SUMIFS(AVERE,DEN_G,$AC316)-SUMIFS(DARE,DEN_G,$AC316),0)&gt;0,MAX(BJ$2:BJ315)+1,0)</f>
        <v>0</v>
      </c>
      <c r="BK316" s="48" t="str">
        <f ca="1">IF(AND(AND($DY$2=0,$DY$1=0),$I$1=2,ROW()&gt;$BG$1+2,ROW()&lt;=$BG$1+4),"………………..",IF(AND(OR($DY$2&gt;0,$DY$1&gt;0),$I$1=2,ROW()&gt;$BG$1+2,ROW()&lt;=$BG$1+4),"………………..",IFERROR(INDEX($AC$3:$AC$398,MATCH(ROWS(BK$3:BK316),BG$3:BG$398,0),1),"")))</f>
        <v/>
      </c>
      <c r="BL316" s="48">
        <f t="shared" ca="1" si="549"/>
        <v>0</v>
      </c>
      <c r="BM316" s="48" t="str">
        <f ca="1">IF(AND(OR($DY$2=0,$DY$1=0),$I$1=2,ROW()&gt;$BH$1+2,ROW()&lt;=$BH$1+4),"………………..",IF(AND(OR($DY$2&gt;0,$DY$1&gt;0),$I$1=2,ROW()&gt;$BH$1+2,ROW()&lt;=$BH$1+4),"………………..",IFERROR(INDEX($AC$3:$AC$400,MATCH(ROWS(BM$3:BM316),BH$3:BH$400,0),1),"")))</f>
        <v/>
      </c>
      <c r="BN316" s="48">
        <f t="shared" ca="1" si="550"/>
        <v>0</v>
      </c>
      <c r="BO316" s="48" t="str">
        <f ca="1">IF(AND(OR($DY$2=0,$DY$1=0),$I$1=2,ROW()&gt;$BI$1+2,ROW()&lt;=$BI$1+4),"………………..",IF(AND(OR($DY$2&gt;0,$DY$1&gt;0),$I$1=2,ROW()&gt;$BI$1+2,ROW()&lt;=$BI$1+4),"………………..",IFERROR(INDEX($AC$3:$AC$400,MATCH(ROWS(BO$3:BO316),BI$3:BI$400,0),1),"")))</f>
        <v/>
      </c>
      <c r="BP316" s="48">
        <f t="shared" ca="1" si="551"/>
        <v>0</v>
      </c>
      <c r="BQ316" s="48" t="str">
        <f ca="1">IF(AND(OR($DY$2=0,$DY$1=0),$I$1=2,ROW()&gt;$BJ$1+2,ROW()&lt;=$BJ$1+4),"………………..",IF(AND(OR($DY$2&gt;0,$DY$1&gt;0),$I$1=2,ROW()&gt;$BJ$1+2,ROW()&lt;=$BJ$1+4),"………………..",IFERROR(INDEX($AC$3:$AC$400,MATCH(ROWS(BQ$3:BQ316),BJ$3:BJ$400,0),1),"")))</f>
        <v/>
      </c>
      <c r="BR316" s="48">
        <f t="shared" ca="1" si="552"/>
        <v>0</v>
      </c>
      <c r="BS316" s="48">
        <f ca="1">IF(IF(AND(OR(INDEX(PDC,MATCH($AC316,DEN_PDC,0),4)="D",INDEX(PDC,MATCH($AC316,DEN_PDC,0),4)="D/A"),SUMIFS(DARE,DEN_G,$AC316)&gt;=SUMIFS(AVERE,DEN_G,$AC316)),SUMIFS(DARE,DEN_G,$AC316),IF(AND(OR(INDEX(PDC,MATCH($AC316,DEN_PDC,0),4)="A",INDEX(PDC,MATCH($AC316,DEN_PDC,0),4)="D/A"),SUMIFS(AVERE,DEN_G,$AC316)&gt;=SUMIFS(DARE,DEN_G,$AC316)),SUMIFS(AVERE,DEN_G,$AC316),))&gt;0,MAX($BS$2:BS315)+1,0)</f>
        <v>0</v>
      </c>
      <c r="BT316" s="48" t="str">
        <f ca="1">IF($CO$1=0,"",IF(AND($I$1=2,ROW()&gt;$BR$1,ROW()&lt;=$BS$1)," …………….",IF(AND($E$1=1,$BX$1=1,$I$1=2,ROW()=$BQ$1),"TOTALI",IFERROR(INDEX(PDC,MATCH(ROWS(BT$3:BT316),BS$3:BS713,0),2),""))))</f>
        <v/>
      </c>
      <c r="BU316" s="48">
        <f t="shared" ca="1" si="553"/>
        <v>0</v>
      </c>
      <c r="BV316" s="48">
        <f t="shared" ca="1" si="554"/>
        <v>0</v>
      </c>
      <c r="BW316" s="48">
        <f t="shared" ca="1" si="555"/>
        <v>0</v>
      </c>
      <c r="BX316" s="48">
        <f t="shared" ca="1" si="556"/>
        <v>0</v>
      </c>
      <c r="BY316" s="48">
        <f ca="1">IF(OR(BW316&gt;0,BX316&gt;0),MAX($BY$2:BY315)+1,0)</f>
        <v>0</v>
      </c>
      <c r="BZ316" s="48" t="str">
        <f ca="1">IFERROR(INDEX($BT$3:$BY$400,MATCH(ROWS(BZ$3:BZ316),$BY$3:$BY$400,0),1),"")</f>
        <v/>
      </c>
      <c r="CA316" s="48" t="str">
        <f ca="1">IFERROR(INDEX($BT$3:$BY$400,MATCH(ROWS(CA$3:CA316),$BY$3:$BY$400,0),4),"")</f>
        <v/>
      </c>
      <c r="CB316" s="48" t="str">
        <f ca="1">IFERROR(INDEX($BT$3:$BY$400,MATCH(ROWS(CB$3:CB316),$BY$3:$BY$400,0),5),"")</f>
        <v/>
      </c>
      <c r="CC316" s="48" t="str">
        <f t="shared" ca="1" si="557"/>
        <v/>
      </c>
      <c r="CM316" s="242" t="str">
        <f t="shared" ca="1" si="566"/>
        <v/>
      </c>
      <c r="CN316" s="243">
        <f t="shared" ca="1" si="567"/>
        <v>0</v>
      </c>
      <c r="CO316" s="48" t="str">
        <f t="shared" ca="1" si="568"/>
        <v/>
      </c>
      <c r="CU316" s="48">
        <f ca="1">IF(SUMIFS(AVERE,DEN_G,AC316,AVERE,"&gt;"&amp;0)+SUMIFS(DARE,DEN_G,AC316,DARE,"&gt;"&amp;0)&gt;0,MAX($CU$2:CU315)+1,0)</f>
        <v>0</v>
      </c>
      <c r="CV316" s="48" t="str">
        <f ca="1">IF(IFERROR(INDEX(PDC,MATCH(ROWS($CV$3:CV316),$CU$3:$CU$400,0),2),"")="CONTO DI RISULTATO ECONOMICO","",IFERROR(INDEX(PDC,MATCH(ROWS($CV$3:CV316),$CU$3:$CU$400,0),2),""))</f>
        <v/>
      </c>
      <c r="CW316" s="48">
        <f ca="1">IFERROR(IF(CV316&lt;&gt;"",MAX($CW$2:CW315)+1,0),0)</f>
        <v>0</v>
      </c>
      <c r="CX316" s="48">
        <f t="shared" ref="CX316:CX326" ca="1" si="627">$FF$27</f>
        <v>25</v>
      </c>
      <c r="CY316" s="48" t="str">
        <f t="shared" ca="1" si="626"/>
        <v>MASTRO</v>
      </c>
      <c r="DA316" s="48" t="str">
        <f ca="1">IF(DB315="","","Num. riga")</f>
        <v/>
      </c>
      <c r="DB316" s="48" t="str">
        <f t="shared" ref="DB316" ca="1" si="628">IF(DB315="","","Data")</f>
        <v/>
      </c>
      <c r="DC316" s="48" t="str">
        <f ca="1">IF(DB315="","","Operazioni")</f>
        <v/>
      </c>
      <c r="DD316" s="48" t="str">
        <f ca="1">IF(DB315="","","Dare        ")</f>
        <v/>
      </c>
      <c r="DE316" s="48" t="str">
        <f ca="1">IF(DB315="","","Avere        ")</f>
        <v/>
      </c>
      <c r="DF316" s="48">
        <f ca="1">IF(AND(CX316=$DF$1,CX316&lt;&gt;""),0,IF(AND(DB316&lt;&gt;"",OR(DB315&lt;&gt;"",DB317&lt;&gt;"")),MAX($DF$2:DF315)+1,0))</f>
        <v>0</v>
      </c>
      <c r="DH316" s="244" t="s">
        <v>896</v>
      </c>
      <c r="DI316" s="48" t="s">
        <v>224</v>
      </c>
      <c r="DJ316" s="48" t="s">
        <v>311</v>
      </c>
      <c r="DK316" s="48" t="s">
        <v>275</v>
      </c>
      <c r="DL316" s="48" t="s">
        <v>7</v>
      </c>
      <c r="DM316" s="48" t="s">
        <v>301</v>
      </c>
      <c r="DN316" s="48">
        <f ca="1">IF(DI316&lt;&gt;"",MAX($DN$2:DN315)+1,0)</f>
        <v>248</v>
      </c>
      <c r="DO316" s="48" t="s">
        <v>714</v>
      </c>
      <c r="DQ316" s="227" t="s">
        <v>899</v>
      </c>
      <c r="DR316" s="48" t="s">
        <v>229</v>
      </c>
      <c r="DS316" s="48" t="s">
        <v>311</v>
      </c>
      <c r="DT316" s="48" t="s">
        <v>275</v>
      </c>
      <c r="DU316" s="48" t="s">
        <v>7</v>
      </c>
      <c r="DV316" s="48" t="s">
        <v>301</v>
      </c>
      <c r="DW316" s="48">
        <f ca="1">IF(DR316&lt;&gt;"",MAX($DW$2:DW315)+1,0)</f>
        <v>188</v>
      </c>
      <c r="DX316" s="48" t="s">
        <v>716</v>
      </c>
      <c r="DY316" s="48" t="str">
        <f t="shared" ca="1" si="558"/>
        <v/>
      </c>
      <c r="EL316" s="48">
        <f t="shared" ca="1" si="559"/>
        <v>0</v>
      </c>
      <c r="EM316" s="48">
        <f ca="1">IF(EL316&gt;=0,0,MAX($EM$2:EM315)+1)</f>
        <v>0</v>
      </c>
      <c r="EN316" s="48" t="str">
        <f t="shared" ca="1" si="569"/>
        <v/>
      </c>
      <c r="EO316" s="48" t="str">
        <f ca="1">IFERROR(INDEX($EM$3:$EN$400,MATCH(ROWS($EO$3:EO316),$EM$3:$EM$400,0),2),"")</f>
        <v/>
      </c>
      <c r="EP316" s="48">
        <f>ROW()</f>
        <v>316</v>
      </c>
      <c r="EQ316" s="48">
        <f t="shared" ca="1" si="560"/>
        <v>0</v>
      </c>
      <c r="ER316" s="48">
        <f ca="1">IF(ISNA(EQ316)=TRUE,MAX($ER$2:ER315)+1,0)</f>
        <v>0</v>
      </c>
      <c r="ES316" s="48" t="str">
        <f t="shared" ca="1" si="570"/>
        <v/>
      </c>
      <c r="ET316" s="48" t="str">
        <f ca="1">IFERROR(INDEX($ER$3:$ES$400,MATCH(ROWS($ET$3:ET316),$ER$3:$ER$400,0),2),"")</f>
        <v/>
      </c>
      <c r="EV316" s="48">
        <f ca="1">IFERROR(INDEX(LIBRO_GIORNALE!$O$11:$P$408,MATCH(ROWS($EV$2:EV315),LIBRO_GIORNALE!$P$11:$P$408,0),1),0)</f>
        <v>0</v>
      </c>
      <c r="EW316" s="48" t="str">
        <f t="shared" ref="EW316:EW379" ca="1" si="629">UPPER(IFERROR(INDEX($AZ$103:$BB$400,MATCH(EV316,$AZ$103:$AZ$400,0),3),0))</f>
        <v>0</v>
      </c>
      <c r="EX316" s="48">
        <f t="shared" ca="1" si="571"/>
        <v>0</v>
      </c>
      <c r="EY316" s="48">
        <f ca="1">IF(EX316&gt;0,MAX($EY$2:EY315)+1,0)</f>
        <v>0</v>
      </c>
      <c r="EZ316" s="48">
        <f ca="1">IFERROR(INDEX($EX$3:$EX$400,MATCH(ROWS($EZ$3:EZ316),$EY$3:$EY$400,0),1),0)</f>
        <v>0</v>
      </c>
      <c r="FA316" s="48">
        <f ca="1">IF(EZ316&gt;0,0,MAX($FA$2:FA315)+1)</f>
        <v>314</v>
      </c>
      <c r="FB316" s="48">
        <f t="shared" ref="FB316:FB379" ca="1" si="630">IFERROR(IF(FA316&gt;0,MATCH(FA316,$EZ$3:$EZ$400,0),0),0)</f>
        <v>0</v>
      </c>
      <c r="FC316" s="48">
        <f t="shared" ref="FC316:FC379" ca="1" si="631">IF(FB316=0,FA316,0)</f>
        <v>314</v>
      </c>
      <c r="FD316" s="48">
        <f t="shared" ca="1" si="572"/>
        <v>314</v>
      </c>
      <c r="FE316" s="48">
        <f ca="1">IF(FD316=0,0,MAX($FE$2:FE315)+1)</f>
        <v>314</v>
      </c>
      <c r="FF316" s="48">
        <f ca="1">IFERROR(INDEX($FD$3:$FE$400,MATCH(ROWS($FF$3:FF316),$FE$3:$FE$400,0),1),"")</f>
        <v>314</v>
      </c>
      <c r="FG316" s="48">
        <f t="shared" si="610"/>
        <v>0</v>
      </c>
      <c r="FH316" s="48">
        <f t="shared" ca="1" si="573"/>
        <v>0</v>
      </c>
      <c r="FI316" s="48">
        <f ca="1">IF(FH316&lt;&gt;0,MAX($FI$2:FI315)+1,0)</f>
        <v>0</v>
      </c>
      <c r="FJ316" s="48" t="str">
        <f ca="1">IFERROR(INDEX($FH$3:$FI$400,MATCH(ROWS($FJ$3:FJ316),$FI$3:$FI$400,0),1),"")</f>
        <v/>
      </c>
      <c r="FK316" s="48">
        <f ca="1">IF(ABS(SUMIFS(DARE,DEN_G,"="&amp;FJ316,DATA,"&lt;="&amp;FINE_AC,DATA,"&gt;="&amp;INIZIO_A_PC)-SUMIFS(AVERE,DEN_G,"="&amp;FJ316,DATA,"&lt;="&amp;FINE_AC,DATA,"&gt;="&amp;INIZIO_A_PC))&gt;0,MAX($FK$2:FK315)+1,0)</f>
        <v>0</v>
      </c>
      <c r="FL316" s="48" t="str">
        <f ca="1">IF(AND(ROW()-2&lt;&gt;1,ROW()-2&lt;=$FK$1),CONCATENATE(" - ",IFERROR(INDEX($FJ$3:$FK$400,MATCH(ROWS($FL$3:FL316),$FK$3:$FK$400,0),1),"")),IFERROR(INDEX($FJ$3:$FK$400,MATCH(ROWS($FL$3:FL316),$FK$3:$FK$400,0),1),""))</f>
        <v/>
      </c>
      <c r="FM316" s="48">
        <f ca="1">IF(OR(B316="IVA ns/credito",B316="IVA NS/DEBITO",B316="IVA C/ACCONTO",B316="IMPOSTE C/ACCONTO",B316="CREDITI PER RITENUTE SUBITE",B316="CREDITI D'IMPOSTA"),MAX($FM$2:FM315)+1,0)</f>
        <v>0</v>
      </c>
      <c r="FN316" s="48" t="str">
        <f t="shared" ca="1" si="574"/>
        <v/>
      </c>
      <c r="FO316" s="48" t="str">
        <f ca="1">IFERROR(INDEX($FM$3:$FN$400,MATCH(ROWS($FO$3:FO316),$FM$3:$FM$400,0),2),"")</f>
        <v/>
      </c>
      <c r="FP316" s="48">
        <f ca="1">IF(ABS(SUMIFS(DARE,DEN_G,"="&amp;FO316,DATA,"&lt;="&amp;FINE_AC,DATA,"&gt;="&amp;INIZIO_A_PC)-SUMIFS(AVERE,DEN_G,"="&amp;FO316,DATA,"&lt;="&amp;FINE_AC,DATA,"&gt;="&amp;INIZIO_A_PC))&gt;0,MAX($FP$2:FP315)+1,0)</f>
        <v>0</v>
      </c>
      <c r="FQ316" s="48" t="str">
        <f ca="1">IF(AND(ROW()-2&lt;&gt;1,ROW()-2&lt;=$FP$1),CONCATENATE(" - ",IFERROR(INDEX($FO$3:$FP$400,MATCH(ROWS($FQ$3:FQ316),$FP$3:$FP$400,0),1),"")),IFERROR(INDEX($FO$3:$FP$400,MATCH(ROWS($FQ$3:FQ316),$FP$3:$FP$400,0),1),""))</f>
        <v/>
      </c>
    </row>
    <row r="317" spans="1:173" x14ac:dyDescent="0.3">
      <c r="A317" s="48" t="str">
        <f ca="1">IFERROR(IF($A$1=2,INDEX($DH$3:$DN$401,MATCH(ROWS(A$3:A317),$DN$3:$DN$401,0),COLUMN()),IF($A$1=1,INDEX($DQ$3:$DW$401,MATCH(ROWS(A$3:A317),$DW$3:$DW$401,0),COLUMN()),"")),"")</f>
        <v>41.50</v>
      </c>
      <c r="B317" s="48" t="str">
        <f ca="1">IFERROR(IF($A$1=2,INDEX($DH$3:$DN$401,MATCH(ROWS(B$3:B317),$DN$3:$DN$401,0),COLUMN()),IF($A$1=1,INDEX($DQ$3:$DW$400,MATCH(ROWS(B$3:B317),$DW$3:$DW$401,0),COLUMN()),"")),"")</f>
        <v>ONERI FINANZIARI DIVERSI</v>
      </c>
      <c r="C317" s="48" t="str">
        <f ca="1">IFERROR(IF($A$1=2,INDEX($DH$3:$DN$401,MATCH(ROWS(C$3:C317),$DN$3:$DN$401,0),COLUMN()),IF($A$1=1,INDEX($DQ$3:$DW$401,MATCH(ROWS(C$3:C317),$DW$3:$DW$401,0),COLUMN()),"")),"")</f>
        <v>E</v>
      </c>
      <c r="D317" s="48" t="str">
        <f ca="1">IFERROR(IF($A$1=2,INDEX($DH$3:$DN$401,MATCH(ROWS(D$3:D317),$DN$3:$DN$401,0),COLUMN()),IF($A$1=1,INDEX($DQ$3:$DW$401,MATCH(ROWS(D$3:D317),$DW$3:$DW$401,0),COLUMN()),"")),"")</f>
        <v>D</v>
      </c>
      <c r="E317" s="48" t="str">
        <f ca="1">IFERROR(IF($A$1=2,INDEX($DH$3:$DN$401,MATCH(ROWS(E$3:E317),$DN$3:$DN$401,0),COLUMN()),IF($A$1=1,INDEX($DQ$3:$DW$401,MATCH(ROWS(E$3:E317),$DW$3:$DW$401,0),COLUMN()),"")),"")</f>
        <v>COSTI D'ESERCIZIO</v>
      </c>
      <c r="F317" s="48" t="str">
        <f ca="1">IFERROR(IF($A$1=2,INDEX($DH$3:$DN$401,MATCH(ROWS(F$3:F317),$DN$3:$DN$401,0),COLUMN()),IF($A$1=1,INDEX($DQ$3:$DX$401,MATCH(ROWS(F$3:F317),$DW$3:$DW$401,0),COLUMN()),"")),"")</f>
        <v>SE DARE</v>
      </c>
      <c r="G317" s="48" t="str">
        <f t="shared" ca="1" si="561"/>
        <v>SE</v>
      </c>
      <c r="H317" s="48" t="str">
        <f ca="1">IFERROR(IF($A$1=2,INDEX($DH$3:$DO$400,MATCH(ROWS(H$3:H317),$DN$3:$DN$400,0),COLUMN()),IF($A$1=1,INDEX($DQ$3:$DX$400,MATCH(ROWS(H$3:H317),$DW$3:$DW$400,0),COLUMN()),"")),"")</f>
        <v>ec17</v>
      </c>
      <c r="M317" s="48">
        <f ca="1">IFERROR(IF(IF(MID($A317,3,3)=".00",MID(A317,1,2),"")&lt;&gt;"",MAX($M$2:M316)+1,0),"")</f>
        <v>0</v>
      </c>
      <c r="N317" s="48" t="str">
        <f t="shared" ca="1" si="562"/>
        <v/>
      </c>
      <c r="O317" s="48" t="str">
        <f ca="1">IF(IFERROR(INDEX($N$3:$O$300,MATCH(ROWS($O$3:O317),$M$3:$M$300,0),1),"")&lt;&gt;"",CONCATENATE(INDEX($N$3:$O$300,MATCH(ROWS($O$3:O317),$M$3:$M$300,0),1),".00"),"")</f>
        <v/>
      </c>
      <c r="P317" s="48" t="str">
        <f t="shared" ca="1" si="563"/>
        <v/>
      </c>
      <c r="Q317" s="48">
        <f ca="1">IF(M317&gt;=1,0,MAX($Q$2:Q316)+1)</f>
        <v>282</v>
      </c>
      <c r="U317" s="48" t="str">
        <f ca="1">IFERROR(INDEX(PDC,MATCH(ROWS(U$3:U317),$V$3:$V$400,0),2),"")</f>
        <v/>
      </c>
      <c r="V317" s="48">
        <f ca="1">IF(AND($T$1="VISUALIZZA TUTTI I CONTI",AA317&lt;&gt;""),MAX($V$2:V316)+1,IF(AND($U$2=2,AI317=$T$1),MAX($V$2:V316)+1,IF(AND($U$2=1,$T$1=AF317),MAX($V$2:V316)+1,0)))</f>
        <v>0</v>
      </c>
      <c r="AA317" s="48" t="str">
        <f t="shared" ca="1" si="564"/>
        <v/>
      </c>
      <c r="AB317" s="48" t="str">
        <f ca="1">IFERROR(INDEX($A$3:$G$400,MATCH(ROWS(AB$3:AB317),$Q$3:$Q$400,0),1),"")</f>
        <v/>
      </c>
      <c r="AC317" s="48" t="str">
        <f ca="1">IFERROR(INDEX($A$3:$G$400,MATCH(ROWS($AC$3:AC317),$Q$3:$Q$400,0),2),"")</f>
        <v/>
      </c>
      <c r="AD317" s="48">
        <f ca="1">IFERROR(INDEX($A$3:$G$400,MATCH(ROWS(AD$3:AD317),$Q$3:$Q$400,0),3),"")</f>
        <v>0</v>
      </c>
      <c r="AE317" s="48" t="str">
        <f ca="1">IFERROR(INDEX($A$3:$G$400,MATCH(ROWS(AE$3:AE317),$Q$3:$Q$400,0),4),"")</f>
        <v/>
      </c>
      <c r="AF317" s="48" t="str">
        <f ca="1">IFERROR(INDEX($A$3:$G$400,MATCH(ROWS(AF$3:AF317),$Q$3:$Q$400,0),5),"")</f>
        <v/>
      </c>
      <c r="AG317" s="48" t="str">
        <f ca="1">IFERROR(INDEX($A$3:$G$400,MATCH(ROWS(AG$3:AG317),$Q$3:$Q$400,0),6),"")</f>
        <v/>
      </c>
      <c r="AH317" s="48" t="str">
        <f ca="1">IFERROR(INDEX($A$3:$G$400,MATCH(ROWS(AH$3:AH317),$Q$3:$Q$400,0),7),"")</f>
        <v/>
      </c>
      <c r="AI317" s="48" t="str">
        <f t="shared" ca="1" si="565"/>
        <v/>
      </c>
      <c r="AJ317" s="48" t="str">
        <f ca="1">IFERROR(INDEX($A$3:$H$400,MATCH(ROWS(AJ$3:AJ317),$Q$3:$Q$400,0),8),"")</f>
        <v/>
      </c>
      <c r="AZ317" s="48" t="str">
        <f t="shared" ca="1" si="584"/>
        <v/>
      </c>
      <c r="BA317" s="48">
        <f t="shared" ca="1" si="611"/>
        <v>0</v>
      </c>
      <c r="BB317" s="48">
        <f t="shared" ca="1" si="612"/>
        <v>0</v>
      </c>
      <c r="BC317" s="48">
        <f t="shared" ca="1" si="613"/>
        <v>0</v>
      </c>
      <c r="BD317" s="48">
        <f t="shared" ca="1" si="614"/>
        <v>0</v>
      </c>
      <c r="BE317" s="48">
        <f t="shared" ca="1" si="615"/>
        <v>0</v>
      </c>
      <c r="BF317" s="48">
        <f t="shared" si="585"/>
        <v>117</v>
      </c>
      <c r="BG317" s="48">
        <f ca="1">IF(IF(AND(OR(INDEX(PDC,MATCH($AC317,DEN_PDC,0),6)="SP DARE",INDEX(PDC,MATCH($AC317,DEN_PDC,0),6)="SP DARE/AVERE"),SUMIFS(DARE,DEN_G,$AC317)&gt;=SUMIFS(AVERE,DEN_G,$AC317)),SUMIFS(DARE,DEN_G,$AC317)-SUMIFS(AVERE,DEN_G,$AC317),0)&gt;0,MAX($BG$2:BG316)+1,0)</f>
        <v>0</v>
      </c>
      <c r="BH317" s="48">
        <f ca="1">IF(IF(AND(OR(INDEX(PDC,MATCH($AC317,DEN_PDC,0),6)="SP AVERE",INDEX(PDC,MATCH($AC317,DEN_PDC,0),6)="SP DARE/AVERE"),SUMIFS(AVERE,DEN_G,$AC317)&gt;=SUMIFS(DARE,DEN_G,$AC317)),SUMIFS(AVERE,DEN_G,$AC317)-SUMIFS(DARE,DEN_G,$AC317),0)&gt;0,MAX(BH$2:BH316)+1,0)</f>
        <v>0</v>
      </c>
      <c r="BI317" s="48">
        <f ca="1">IF(IF(AND(OR(INDEX(PDC,MATCH($AC317,DEN_PDC,0),6)="SE DARE",INDEX(PDC,MATCH($AC317,DEN_PDC,0),6)="SE DARE/AVERE"),SUMIFS(DARE,DEN_G,$AC317)&gt;=SUMIFS(AVERE,DEN_G,$AC317)),SUMIFS(DARE,DEN_G,$AC317)-SUMIFS(AVERE,DEN_G,$AC317),0)&gt;0,MAX(BI$2:BI316)+1,0)</f>
        <v>0</v>
      </c>
      <c r="BJ317" s="48">
        <f ca="1">IF(IF(AND(OR(INDEX(PDC,MATCH($AC317,DEN_PDC,0),6)="SE AVERE",INDEX(PDC,MATCH($AC317,DEN_PDC,0),6)="SE DARE/AVERE"),SUMIFS(AVERE,DEN_G,$AC317)&gt;=SUMIFS(DARE,DEN_G,$AC317)),SUMIFS(AVERE,DEN_G,$AC317)-SUMIFS(DARE,DEN_G,$AC317),0)&gt;0,MAX(BJ$2:BJ316)+1,0)</f>
        <v>0</v>
      </c>
      <c r="BK317" s="48" t="str">
        <f ca="1">IF(AND(AND($DY$2=0,$DY$1=0),$I$1=2,ROW()&gt;$BG$1+2,ROW()&lt;=$BG$1+4),"………………..",IF(AND(OR($DY$2&gt;0,$DY$1&gt;0),$I$1=2,ROW()&gt;$BG$1+2,ROW()&lt;=$BG$1+4),"………………..",IFERROR(INDEX($AC$3:$AC$398,MATCH(ROWS(BK$3:BK317),BG$3:BG$398,0),1),"")))</f>
        <v/>
      </c>
      <c r="BL317" s="48">
        <f t="shared" ca="1" si="549"/>
        <v>0</v>
      </c>
      <c r="BM317" s="48" t="str">
        <f ca="1">IF(AND(OR($DY$2=0,$DY$1=0),$I$1=2,ROW()&gt;$BH$1+2,ROW()&lt;=$BH$1+4),"………………..",IF(AND(OR($DY$2&gt;0,$DY$1&gt;0),$I$1=2,ROW()&gt;$BH$1+2,ROW()&lt;=$BH$1+4),"………………..",IFERROR(INDEX($AC$3:$AC$400,MATCH(ROWS(BM$3:BM317),BH$3:BH$400,0),1),"")))</f>
        <v/>
      </c>
      <c r="BN317" s="48">
        <f t="shared" ca="1" si="550"/>
        <v>0</v>
      </c>
      <c r="BO317" s="48" t="str">
        <f ca="1">IF(AND(OR($DY$2=0,$DY$1=0),$I$1=2,ROW()&gt;$BI$1+2,ROW()&lt;=$BI$1+4),"………………..",IF(AND(OR($DY$2&gt;0,$DY$1&gt;0),$I$1=2,ROW()&gt;$BI$1+2,ROW()&lt;=$BI$1+4),"………………..",IFERROR(INDEX($AC$3:$AC$400,MATCH(ROWS(BO$3:BO317),BI$3:BI$400,0),1),"")))</f>
        <v/>
      </c>
      <c r="BP317" s="48">
        <f t="shared" ca="1" si="551"/>
        <v>0</v>
      </c>
      <c r="BQ317" s="48" t="str">
        <f ca="1">IF(AND(OR($DY$2=0,$DY$1=0),$I$1=2,ROW()&gt;$BJ$1+2,ROW()&lt;=$BJ$1+4),"………………..",IF(AND(OR($DY$2&gt;0,$DY$1&gt;0),$I$1=2,ROW()&gt;$BJ$1+2,ROW()&lt;=$BJ$1+4),"………………..",IFERROR(INDEX($AC$3:$AC$400,MATCH(ROWS(BQ$3:BQ317),BJ$3:BJ$400,0),1),"")))</f>
        <v/>
      </c>
      <c r="BR317" s="48">
        <f t="shared" ca="1" si="552"/>
        <v>0</v>
      </c>
      <c r="BS317" s="48">
        <f ca="1">IF(IF(AND(OR(INDEX(PDC,MATCH($AC317,DEN_PDC,0),4)="D",INDEX(PDC,MATCH($AC317,DEN_PDC,0),4)="D/A"),SUMIFS(DARE,DEN_G,$AC317)&gt;=SUMIFS(AVERE,DEN_G,$AC317)),SUMIFS(DARE,DEN_G,$AC317),IF(AND(OR(INDEX(PDC,MATCH($AC317,DEN_PDC,0),4)="A",INDEX(PDC,MATCH($AC317,DEN_PDC,0),4)="D/A"),SUMIFS(AVERE,DEN_G,$AC317)&gt;=SUMIFS(DARE,DEN_G,$AC317)),SUMIFS(AVERE,DEN_G,$AC317),))&gt;0,MAX($BS$2:BS316)+1,0)</f>
        <v>0</v>
      </c>
      <c r="BT317" s="48" t="str">
        <f ca="1">IF($CO$1=0,"",IF(AND($I$1=2,ROW()&gt;$BR$1,ROW()&lt;=$BS$1)," …………….",IF(AND($E$1=1,$BX$1=1,$I$1=2,ROW()=$BQ$1),"TOTALI",IFERROR(INDEX(PDC,MATCH(ROWS(BT$3:BT317),BS$3:BS714,0),2),""))))</f>
        <v/>
      </c>
      <c r="BU317" s="48">
        <f t="shared" ca="1" si="553"/>
        <v>0</v>
      </c>
      <c r="BV317" s="48">
        <f t="shared" ca="1" si="554"/>
        <v>0</v>
      </c>
      <c r="BW317" s="48">
        <f t="shared" ca="1" si="555"/>
        <v>0</v>
      </c>
      <c r="BX317" s="48">
        <f t="shared" ca="1" si="556"/>
        <v>0</v>
      </c>
      <c r="BY317" s="48">
        <f ca="1">IF(OR(BW317&gt;0,BX317&gt;0),MAX($BY$2:BY316)+1,0)</f>
        <v>0</v>
      </c>
      <c r="BZ317" s="48" t="str">
        <f ca="1">IFERROR(INDEX($BT$3:$BY$400,MATCH(ROWS(BZ$3:BZ317),$BY$3:$BY$400,0),1),"")</f>
        <v/>
      </c>
      <c r="CA317" s="48" t="str">
        <f ca="1">IFERROR(INDEX($BT$3:$BY$400,MATCH(ROWS(CA$3:CA317),$BY$3:$BY$400,0),4),"")</f>
        <v/>
      </c>
      <c r="CB317" s="48" t="str">
        <f ca="1">IFERROR(INDEX($BT$3:$BY$400,MATCH(ROWS(CB$3:CB317),$BY$3:$BY$400,0),5),"")</f>
        <v/>
      </c>
      <c r="CC317" s="48" t="str">
        <f t="shared" ca="1" si="557"/>
        <v/>
      </c>
      <c r="CM317" s="242" t="str">
        <f t="shared" ca="1" si="566"/>
        <v/>
      </c>
      <c r="CN317" s="243">
        <f t="shared" ca="1" si="567"/>
        <v>0</v>
      </c>
      <c r="CO317" s="48" t="str">
        <f t="shared" ca="1" si="568"/>
        <v/>
      </c>
      <c r="CU317" s="48">
        <f ca="1">IF(SUMIFS(AVERE,DEN_G,AC317,AVERE,"&gt;"&amp;0)+SUMIFS(DARE,DEN_G,AC317,DARE,"&gt;"&amp;0)&gt;0,MAX($CU$2:CU316)+1,0)</f>
        <v>0</v>
      </c>
      <c r="CV317" s="48" t="str">
        <f ca="1">IF(IFERROR(INDEX(PDC,MATCH(ROWS($CV$3:CV317),$CU$3:$CU$400,0),2),"")="CONTO DI RISULTATO ECONOMICO","",IFERROR(INDEX(PDC,MATCH(ROWS($CV$3:CV317),$CU$3:$CU$400,0),2),""))</f>
        <v/>
      </c>
      <c r="CW317" s="48">
        <f ca="1">IFERROR(IF(CV317&lt;&gt;"",MAX($CW$2:CW316)+1,0),0)</f>
        <v>0</v>
      </c>
      <c r="CX317" s="48">
        <f t="shared" ca="1" si="627"/>
        <v>25</v>
      </c>
      <c r="CY317" s="48" t="str">
        <f t="shared" ca="1" si="626"/>
        <v>MASTRO</v>
      </c>
      <c r="CZ317" s="48" t="e">
        <f t="shared" ref="CZ317:CZ326" ca="1" si="632">SUM(MATCH($CY317,INDIRECT(ADDRESS(SUM(CZ316)+3,54)&amp;":"&amp;ADDRESS(400,54)),0),CZ316)</f>
        <v>#N/A</v>
      </c>
      <c r="DA317" s="48" t="str">
        <f ca="1">IFERROR(INDEX(LIBRO_GIORNALE,CZ317,1),"")</f>
        <v/>
      </c>
      <c r="DB317" s="48" t="str">
        <f t="shared" ca="1" si="592"/>
        <v/>
      </c>
      <c r="DC317" s="48" t="str">
        <f t="shared" ref="DC317:DC326" ca="1" si="633">IF(IFERROR(INDEX(LIBRO_GIORNALE,CZ317,4),"")=0,"manca la descrizione dell'operazione",IFERROR(INDEX(LIBRO_GIORNALE,CZ317,4),""))</f>
        <v/>
      </c>
      <c r="DD317" s="48" t="str">
        <f t="shared" ref="DD317:DD326" ca="1" si="634">IFERROR(IF(INDEX(LIBRO_GIORNALE,CZ317,5)&gt;0,INDEX(LIBRO_GIORNALE,CZ317,5),""),"")</f>
        <v/>
      </c>
      <c r="DE317" s="48" t="str">
        <f t="shared" ref="DE317:DE326" ca="1" si="635">IFERROR(IF(INDEX(LIBRO_GIORNALE,CZ317,6)&gt;0,INDEX(LIBRO_GIORNALE,CZ317,6),""),"")</f>
        <v/>
      </c>
      <c r="DF317" s="48">
        <f ca="1">IF(AND(CX317=$DF$1,CX317&lt;&gt;""),0,IF(AND(DB317&lt;&gt;"",OR(DB316&lt;&gt;"",DB318&lt;&gt;"")),MAX($DF$2:DF316)+1,0))</f>
        <v>0</v>
      </c>
      <c r="DH317" s="244" t="s">
        <v>897</v>
      </c>
      <c r="DI317" s="48" t="s">
        <v>441</v>
      </c>
      <c r="DJ317" s="48" t="s">
        <v>311</v>
      </c>
      <c r="DK317" s="48" t="s">
        <v>275</v>
      </c>
      <c r="DL317" s="48" t="s">
        <v>7</v>
      </c>
      <c r="DM317" s="48" t="s">
        <v>301</v>
      </c>
      <c r="DN317" s="48">
        <f ca="1">IF(DI317&lt;&gt;"",MAX($DN$2:DN316)+1,0)</f>
        <v>249</v>
      </c>
      <c r="DO317" s="48" t="s">
        <v>715</v>
      </c>
      <c r="DQ317" s="227" t="s">
        <v>900</v>
      </c>
      <c r="DR317" s="48" t="s">
        <v>230</v>
      </c>
      <c r="DS317" s="48" t="s">
        <v>311</v>
      </c>
      <c r="DT317" s="48" t="s">
        <v>275</v>
      </c>
      <c r="DU317" s="48" t="s">
        <v>7</v>
      </c>
      <c r="DV317" s="48" t="s">
        <v>301</v>
      </c>
      <c r="DW317" s="48">
        <f ca="1">IF(DR317&lt;&gt;"",MAX($DW$2:DW316)+1,0)</f>
        <v>189</v>
      </c>
      <c r="DX317" s="48" t="s">
        <v>716</v>
      </c>
      <c r="DY317" s="48" t="str">
        <f t="shared" ca="1" si="558"/>
        <v/>
      </c>
      <c r="EL317" s="48">
        <f t="shared" ca="1" si="559"/>
        <v>0</v>
      </c>
      <c r="EM317" s="48">
        <f ca="1">IF(EL317&gt;=0,0,MAX($EM$2:EM316)+1)</f>
        <v>0</v>
      </c>
      <c r="EN317" s="48" t="str">
        <f t="shared" ca="1" si="569"/>
        <v/>
      </c>
      <c r="EO317" s="48" t="str">
        <f ca="1">IFERROR(INDEX($EM$3:$EN$400,MATCH(ROWS($EO$3:EO317),$EM$3:$EM$400,0),2),"")</f>
        <v/>
      </c>
      <c r="EP317" s="48">
        <f>ROW()</f>
        <v>317</v>
      </c>
      <c r="EQ317" s="48">
        <f t="shared" ca="1" si="560"/>
        <v>0</v>
      </c>
      <c r="ER317" s="48">
        <f ca="1">IF(ISNA(EQ317)=TRUE,MAX($ER$2:ER316)+1,0)</f>
        <v>0</v>
      </c>
      <c r="ES317" s="48" t="str">
        <f t="shared" ca="1" si="570"/>
        <v/>
      </c>
      <c r="ET317" s="48" t="str">
        <f ca="1">IFERROR(INDEX($ER$3:$ES$400,MATCH(ROWS($ET$3:ET317),$ER$3:$ER$400,0),2),"")</f>
        <v/>
      </c>
      <c r="EV317" s="48">
        <f ca="1">IFERROR(INDEX(LIBRO_GIORNALE!$O$11:$P$408,MATCH(ROWS($EV$2:EV316),LIBRO_GIORNALE!$P$11:$P$408,0),1),0)</f>
        <v>0</v>
      </c>
      <c r="EW317" s="48" t="str">
        <f t="shared" ca="1" si="629"/>
        <v>0</v>
      </c>
      <c r="EX317" s="48">
        <f t="shared" ca="1" si="571"/>
        <v>0</v>
      </c>
      <c r="EY317" s="48">
        <f ca="1">IF(EX317&gt;0,MAX($EY$2:EY316)+1,0)</f>
        <v>0</v>
      </c>
      <c r="EZ317" s="48">
        <f ca="1">IFERROR(INDEX($EX$3:$EX$400,MATCH(ROWS($EZ$3:EZ317),$EY$3:$EY$400,0),1),0)</f>
        <v>0</v>
      </c>
      <c r="FA317" s="48">
        <f ca="1">IF(EZ317&gt;0,0,MAX($FA$2:FA316)+1)</f>
        <v>315</v>
      </c>
      <c r="FB317" s="48">
        <f t="shared" ca="1" si="630"/>
        <v>0</v>
      </c>
      <c r="FC317" s="48">
        <f t="shared" ca="1" si="631"/>
        <v>315</v>
      </c>
      <c r="FD317" s="48">
        <f t="shared" ca="1" si="572"/>
        <v>315</v>
      </c>
      <c r="FE317" s="48">
        <f ca="1">IF(FD317=0,0,MAX($FE$2:FE316)+1)</f>
        <v>315</v>
      </c>
      <c r="FF317" s="48">
        <f ca="1">IFERROR(INDEX($FD$3:$FE$400,MATCH(ROWS($FF$3:FF317),$FE$3:$FE$400,0),1),"")</f>
        <v>315</v>
      </c>
      <c r="FG317" s="48">
        <f t="shared" si="610"/>
        <v>0</v>
      </c>
      <c r="FH317" s="48">
        <f t="shared" ca="1" si="573"/>
        <v>0</v>
      </c>
      <c r="FI317" s="48">
        <f ca="1">IF(FH317&lt;&gt;0,MAX($FI$2:FI316)+1,0)</f>
        <v>0</v>
      </c>
      <c r="FJ317" s="48" t="str">
        <f ca="1">IFERROR(INDEX($FH$3:$FI$400,MATCH(ROWS($FJ$3:FJ317),$FI$3:$FI$400,0),1),"")</f>
        <v/>
      </c>
      <c r="FK317" s="48">
        <f ca="1">IF(ABS(SUMIFS(DARE,DEN_G,"="&amp;FJ317,DATA,"&lt;="&amp;FINE_AC,DATA,"&gt;="&amp;INIZIO_A_PC)-SUMIFS(AVERE,DEN_G,"="&amp;FJ317,DATA,"&lt;="&amp;FINE_AC,DATA,"&gt;="&amp;INIZIO_A_PC))&gt;0,MAX($FK$2:FK316)+1,0)</f>
        <v>0</v>
      </c>
      <c r="FL317" s="48" t="str">
        <f ca="1">IF(AND(ROW()-2&lt;&gt;1,ROW()-2&lt;=$FK$1),CONCATENATE(" - ",IFERROR(INDEX($FJ$3:$FK$400,MATCH(ROWS($FL$3:FL317),$FK$3:$FK$400,0),1),"")),IFERROR(INDEX($FJ$3:$FK$400,MATCH(ROWS($FL$3:FL317),$FK$3:$FK$400,0),1),""))</f>
        <v/>
      </c>
      <c r="FM317" s="48">
        <f ca="1">IF(OR(B317="IVA ns/credito",B317="IVA NS/DEBITO",B317="IVA C/ACCONTO",B317="IMPOSTE C/ACCONTO",B317="CREDITI PER RITENUTE SUBITE",B317="CREDITI D'IMPOSTA"),MAX($FM$2:FM316)+1,0)</f>
        <v>0</v>
      </c>
      <c r="FN317" s="48" t="str">
        <f t="shared" ca="1" si="574"/>
        <v/>
      </c>
      <c r="FO317" s="48" t="str">
        <f ca="1">IFERROR(INDEX($FM$3:$FN$400,MATCH(ROWS($FO$3:FO317),$FM$3:$FM$400,0),2),"")</f>
        <v/>
      </c>
      <c r="FP317" s="48">
        <f ca="1">IF(ABS(SUMIFS(DARE,DEN_G,"="&amp;FO317,DATA,"&lt;="&amp;FINE_AC,DATA,"&gt;="&amp;INIZIO_A_PC)-SUMIFS(AVERE,DEN_G,"="&amp;FO317,DATA,"&lt;="&amp;FINE_AC,DATA,"&gt;="&amp;INIZIO_A_PC))&gt;0,MAX($FP$2:FP316)+1,0)</f>
        <v>0</v>
      </c>
      <c r="FQ317" s="48" t="str">
        <f ca="1">IF(AND(ROW()-2&lt;&gt;1,ROW()-2&lt;=$FP$1),CONCATENATE(" - ",IFERROR(INDEX($FO$3:$FP$400,MATCH(ROWS($FQ$3:FQ317),$FP$3:$FP$400,0),1),"")),IFERROR(INDEX($FO$3:$FP$400,MATCH(ROWS($FQ$3:FQ317),$FP$3:$FP$400,0),1),""))</f>
        <v/>
      </c>
    </row>
    <row r="318" spans="1:173" x14ac:dyDescent="0.3">
      <c r="A318" s="48" t="str">
        <f ca="1">IFERROR(IF($A$1=2,INDEX($DH$3:$DN$401,MATCH(ROWS(A$3:A318),$DN$3:$DN$401,0),COLUMN()),IF($A$1=1,INDEX($DQ$3:$DW$401,MATCH(ROWS(A$3:A318),$DW$3:$DW$401,0),COLUMN()),"")),"")</f>
        <v>41.60</v>
      </c>
      <c r="B318" s="48" t="str">
        <f ca="1">IFERROR(IF($A$1=2,INDEX($DH$3:$DN$401,MATCH(ROWS(B$3:B318),$DN$3:$DN$401,0),COLUMN()),IF($A$1=1,INDEX($DQ$3:$DW$400,MATCH(ROWS(B$3:B318),$DW$3:$DW$401,0),COLUMN()),"")),"")</f>
        <v>CONTRIBUTI IN C/INTERESSI</v>
      </c>
      <c r="C318" s="48" t="str">
        <f ca="1">IFERROR(IF($A$1=2,INDEX($DH$3:$DN$401,MATCH(ROWS(C$3:C318),$DN$3:$DN$401,0),COLUMN()),IF($A$1=1,INDEX($DQ$3:$DW$401,MATCH(ROWS(C$3:C318),$DW$3:$DW$401,0),COLUMN()),"")),"")</f>
        <v>E</v>
      </c>
      <c r="D318" s="48" t="str">
        <f ca="1">IFERROR(IF($A$1=2,INDEX($DH$3:$DN$401,MATCH(ROWS(D$3:D318),$DN$3:$DN$401,0),COLUMN()),IF($A$1=1,INDEX($DQ$3:$DW$401,MATCH(ROWS(D$3:D318),$DW$3:$DW$401,0),COLUMN()),"")),"")</f>
        <v>A</v>
      </c>
      <c r="E318" s="48" t="str">
        <f ca="1">IFERROR(IF($A$1=2,INDEX($DH$3:$DN$401,MATCH(ROWS(E$3:E318),$DN$3:$DN$401,0),COLUMN()),IF($A$1=1,INDEX($DQ$3:$DW$401,MATCH(ROWS(E$3:E318),$DW$3:$DW$401,0),COLUMN()),"")),"")</f>
        <v>RETTIFICHE COSTI D'ESERCIZIO</v>
      </c>
      <c r="F318" s="48" t="str">
        <f ca="1">IFERROR(IF($A$1=2,INDEX($DH$3:$DN$401,MATCH(ROWS(F$3:F318),$DN$3:$DN$401,0),COLUMN()),IF($A$1=1,INDEX($DQ$3:$DX$401,MATCH(ROWS(F$3:F318),$DW$3:$DW$401,0),COLUMN()),"")),"")</f>
        <v>SE AVERE</v>
      </c>
      <c r="G318" s="48" t="str">
        <f t="shared" ca="1" si="561"/>
        <v>SE</v>
      </c>
      <c r="H318" s="48" t="str">
        <f ca="1">IFERROR(IF($A$1=2,INDEX($DH$3:$DO$400,MATCH(ROWS(H$3:H318),$DN$3:$DN$400,0),COLUMN()),IF($A$1=1,INDEX($DQ$3:$DX$400,MATCH(ROWS(H$3:H318),$DW$3:$DW$400,0),COLUMN()),"")),"")</f>
        <v>ec17</v>
      </c>
      <c r="M318" s="48">
        <f ca="1">IFERROR(IF(IF(MID($A318,3,3)=".00",MID(A318,1,2),"")&lt;&gt;"",MAX($M$2:M317)+1,0),"")</f>
        <v>0</v>
      </c>
      <c r="N318" s="48" t="str">
        <f t="shared" ca="1" si="562"/>
        <v/>
      </c>
      <c r="O318" s="48" t="str">
        <f ca="1">IF(IFERROR(INDEX($N$3:$O$300,MATCH(ROWS($O$3:O318),$M$3:$M$300,0),1),"")&lt;&gt;"",CONCATENATE(INDEX($N$3:$O$300,MATCH(ROWS($O$3:O318),$M$3:$M$300,0),1),".00"),"")</f>
        <v/>
      </c>
      <c r="P318" s="48" t="str">
        <f t="shared" ca="1" si="563"/>
        <v/>
      </c>
      <c r="Q318" s="48">
        <f ca="1">IF(M318&gt;=1,0,MAX($Q$2:Q317)+1)</f>
        <v>283</v>
      </c>
      <c r="U318" s="48" t="str">
        <f ca="1">IFERROR(INDEX(PDC,MATCH(ROWS(U$3:U318),$V$3:$V$400,0),2),"")</f>
        <v/>
      </c>
      <c r="V318" s="48">
        <f ca="1">IF(AND($T$1="VISUALIZZA TUTTI I CONTI",AA318&lt;&gt;""),MAX($V$2:V317)+1,IF(AND($U$2=2,AI318=$T$1),MAX($V$2:V317)+1,IF(AND($U$2=1,$T$1=AF318),MAX($V$2:V317)+1,0)))</f>
        <v>0</v>
      </c>
      <c r="AA318" s="48" t="str">
        <f t="shared" ca="1" si="564"/>
        <v/>
      </c>
      <c r="AB318" s="48" t="str">
        <f ca="1">IFERROR(INDEX($A$3:$G$400,MATCH(ROWS(AB$3:AB318),$Q$3:$Q$400,0),1),"")</f>
        <v/>
      </c>
      <c r="AC318" s="48" t="str">
        <f ca="1">IFERROR(INDEX($A$3:$G$400,MATCH(ROWS($AC$3:AC318),$Q$3:$Q$400,0),2),"")</f>
        <v/>
      </c>
      <c r="AD318" s="48">
        <f ca="1">IFERROR(INDEX($A$3:$G$400,MATCH(ROWS(AD$3:AD318),$Q$3:$Q$400,0),3),"")</f>
        <v>0</v>
      </c>
      <c r="AE318" s="48" t="str">
        <f ca="1">IFERROR(INDEX($A$3:$G$400,MATCH(ROWS(AE$3:AE318),$Q$3:$Q$400,0),4),"")</f>
        <v/>
      </c>
      <c r="AF318" s="48" t="str">
        <f ca="1">IFERROR(INDEX($A$3:$G$400,MATCH(ROWS(AF$3:AF318),$Q$3:$Q$400,0),5),"")</f>
        <v/>
      </c>
      <c r="AG318" s="48" t="str">
        <f ca="1">IFERROR(INDEX($A$3:$G$400,MATCH(ROWS(AG$3:AG318),$Q$3:$Q$400,0),6),"")</f>
        <v/>
      </c>
      <c r="AH318" s="48" t="str">
        <f ca="1">IFERROR(INDEX($A$3:$G$400,MATCH(ROWS(AH$3:AH318),$Q$3:$Q$400,0),7),"")</f>
        <v/>
      </c>
      <c r="AI318" s="48" t="str">
        <f t="shared" ca="1" si="565"/>
        <v/>
      </c>
      <c r="AJ318" s="48" t="str">
        <f ca="1">IFERROR(INDEX($A$3:$H$400,MATCH(ROWS(AJ$3:AJ318),$Q$3:$Q$400,0),8),"")</f>
        <v/>
      </c>
      <c r="AZ318" s="48" t="str">
        <f t="shared" ca="1" si="584"/>
        <v/>
      </c>
      <c r="BA318" s="48">
        <f t="shared" ca="1" si="611"/>
        <v>0</v>
      </c>
      <c r="BB318" s="48">
        <f t="shared" ca="1" si="612"/>
        <v>0</v>
      </c>
      <c r="BC318" s="48">
        <f t="shared" ca="1" si="613"/>
        <v>0</v>
      </c>
      <c r="BD318" s="48">
        <f t="shared" ca="1" si="614"/>
        <v>0</v>
      </c>
      <c r="BE318" s="48">
        <f t="shared" ca="1" si="615"/>
        <v>0</v>
      </c>
      <c r="BF318" s="48">
        <f t="shared" si="585"/>
        <v>118</v>
      </c>
      <c r="BG318" s="48">
        <f ca="1">IF(IF(AND(OR(INDEX(PDC,MATCH($AC318,DEN_PDC,0),6)="SP DARE",INDEX(PDC,MATCH($AC318,DEN_PDC,0),6)="SP DARE/AVERE"),SUMIFS(DARE,DEN_G,$AC318)&gt;=SUMIFS(AVERE,DEN_G,$AC318)),SUMIFS(DARE,DEN_G,$AC318)-SUMIFS(AVERE,DEN_G,$AC318),0)&gt;0,MAX($BG$2:BG317)+1,0)</f>
        <v>0</v>
      </c>
      <c r="BH318" s="48">
        <f ca="1">IF(IF(AND(OR(INDEX(PDC,MATCH($AC318,DEN_PDC,0),6)="SP AVERE",INDEX(PDC,MATCH($AC318,DEN_PDC,0),6)="SP DARE/AVERE"),SUMIFS(AVERE,DEN_G,$AC318)&gt;=SUMIFS(DARE,DEN_G,$AC318)),SUMIFS(AVERE,DEN_G,$AC318)-SUMIFS(DARE,DEN_G,$AC318),0)&gt;0,MAX(BH$2:BH317)+1,0)</f>
        <v>0</v>
      </c>
      <c r="BI318" s="48">
        <f ca="1">IF(IF(AND(OR(INDEX(PDC,MATCH($AC318,DEN_PDC,0),6)="SE DARE",INDEX(PDC,MATCH($AC318,DEN_PDC,0),6)="SE DARE/AVERE"),SUMIFS(DARE,DEN_G,$AC318)&gt;=SUMIFS(AVERE,DEN_G,$AC318)),SUMIFS(DARE,DEN_G,$AC318)-SUMIFS(AVERE,DEN_G,$AC318),0)&gt;0,MAX(BI$2:BI317)+1,0)</f>
        <v>0</v>
      </c>
      <c r="BJ318" s="48">
        <f ca="1">IF(IF(AND(OR(INDEX(PDC,MATCH($AC318,DEN_PDC,0),6)="SE AVERE",INDEX(PDC,MATCH($AC318,DEN_PDC,0),6)="SE DARE/AVERE"),SUMIFS(AVERE,DEN_G,$AC318)&gt;=SUMIFS(DARE,DEN_G,$AC318)),SUMIFS(AVERE,DEN_G,$AC318)-SUMIFS(DARE,DEN_G,$AC318),0)&gt;0,MAX(BJ$2:BJ317)+1,0)</f>
        <v>0</v>
      </c>
      <c r="BK318" s="48" t="str">
        <f ca="1">IF(AND(AND($DY$2=0,$DY$1=0),$I$1=2,ROW()&gt;$BG$1+2,ROW()&lt;=$BG$1+4),"………………..",IF(AND(OR($DY$2&gt;0,$DY$1&gt;0),$I$1=2,ROW()&gt;$BG$1+2,ROW()&lt;=$BG$1+4),"………………..",IFERROR(INDEX($AC$3:$AC$398,MATCH(ROWS(BK$3:BK318),BG$3:BG$398,0),1),"")))</f>
        <v/>
      </c>
      <c r="BL318" s="48">
        <f t="shared" ca="1" si="549"/>
        <v>0</v>
      </c>
      <c r="BM318" s="48" t="str">
        <f ca="1">IF(AND(OR($DY$2=0,$DY$1=0),$I$1=2,ROW()&gt;$BH$1+2,ROW()&lt;=$BH$1+4),"………………..",IF(AND(OR($DY$2&gt;0,$DY$1&gt;0),$I$1=2,ROW()&gt;$BH$1+2,ROW()&lt;=$BH$1+4),"………………..",IFERROR(INDEX($AC$3:$AC$400,MATCH(ROWS(BM$3:BM318),BH$3:BH$400,0),1),"")))</f>
        <v/>
      </c>
      <c r="BN318" s="48">
        <f t="shared" ca="1" si="550"/>
        <v>0</v>
      </c>
      <c r="BO318" s="48" t="str">
        <f ca="1">IF(AND(OR($DY$2=0,$DY$1=0),$I$1=2,ROW()&gt;$BI$1+2,ROW()&lt;=$BI$1+4),"………………..",IF(AND(OR($DY$2&gt;0,$DY$1&gt;0),$I$1=2,ROW()&gt;$BI$1+2,ROW()&lt;=$BI$1+4),"………………..",IFERROR(INDEX($AC$3:$AC$400,MATCH(ROWS(BO$3:BO318),BI$3:BI$400,0),1),"")))</f>
        <v/>
      </c>
      <c r="BP318" s="48">
        <f t="shared" ca="1" si="551"/>
        <v>0</v>
      </c>
      <c r="BQ318" s="48" t="str">
        <f ca="1">IF(AND(OR($DY$2=0,$DY$1=0),$I$1=2,ROW()&gt;$BJ$1+2,ROW()&lt;=$BJ$1+4),"………………..",IF(AND(OR($DY$2&gt;0,$DY$1&gt;0),$I$1=2,ROW()&gt;$BJ$1+2,ROW()&lt;=$BJ$1+4),"………………..",IFERROR(INDEX($AC$3:$AC$400,MATCH(ROWS(BQ$3:BQ318),BJ$3:BJ$400,0),1),"")))</f>
        <v/>
      </c>
      <c r="BR318" s="48">
        <f t="shared" ca="1" si="552"/>
        <v>0</v>
      </c>
      <c r="BS318" s="48">
        <f ca="1">IF(IF(AND(OR(INDEX(PDC,MATCH($AC318,DEN_PDC,0),4)="D",INDEX(PDC,MATCH($AC318,DEN_PDC,0),4)="D/A"),SUMIFS(DARE,DEN_G,$AC318)&gt;=SUMIFS(AVERE,DEN_G,$AC318)),SUMIFS(DARE,DEN_G,$AC318),IF(AND(OR(INDEX(PDC,MATCH($AC318,DEN_PDC,0),4)="A",INDEX(PDC,MATCH($AC318,DEN_PDC,0),4)="D/A"),SUMIFS(AVERE,DEN_G,$AC318)&gt;=SUMIFS(DARE,DEN_G,$AC318)),SUMIFS(AVERE,DEN_G,$AC318),))&gt;0,MAX($BS$2:BS317)+1,0)</f>
        <v>0</v>
      </c>
      <c r="BT318" s="48" t="str">
        <f ca="1">IF($CO$1=0,"",IF(AND($I$1=2,ROW()&gt;$BR$1,ROW()&lt;=$BS$1)," …………….",IF(AND($E$1=1,$BX$1=1,$I$1=2,ROW()=$BQ$1),"TOTALI",IFERROR(INDEX(PDC,MATCH(ROWS(BT$3:BT318),BS$3:BS715,0),2),""))))</f>
        <v/>
      </c>
      <c r="BU318" s="48">
        <f t="shared" ca="1" si="553"/>
        <v>0</v>
      </c>
      <c r="BV318" s="48">
        <f t="shared" ca="1" si="554"/>
        <v>0</v>
      </c>
      <c r="BW318" s="48">
        <f t="shared" ca="1" si="555"/>
        <v>0</v>
      </c>
      <c r="BX318" s="48">
        <f t="shared" ca="1" si="556"/>
        <v>0</v>
      </c>
      <c r="BY318" s="48">
        <f ca="1">IF(OR(BW318&gt;0,BX318&gt;0),MAX($BY$2:BY317)+1,0)</f>
        <v>0</v>
      </c>
      <c r="BZ318" s="48" t="str">
        <f ca="1">IFERROR(INDEX($BT$3:$BY$400,MATCH(ROWS(BZ$3:BZ318),$BY$3:$BY$400,0),1),"")</f>
        <v/>
      </c>
      <c r="CA318" s="48" t="str">
        <f ca="1">IFERROR(INDEX($BT$3:$BY$400,MATCH(ROWS(CA$3:CA318),$BY$3:$BY$400,0),4),"")</f>
        <v/>
      </c>
      <c r="CB318" s="48" t="str">
        <f ca="1">IFERROR(INDEX($BT$3:$BY$400,MATCH(ROWS(CB$3:CB318),$BY$3:$BY$400,0),5),"")</f>
        <v/>
      </c>
      <c r="CC318" s="48" t="str">
        <f t="shared" ca="1" si="557"/>
        <v/>
      </c>
      <c r="CM318" s="242" t="str">
        <f t="shared" ca="1" si="566"/>
        <v/>
      </c>
      <c r="CN318" s="243">
        <f t="shared" ca="1" si="567"/>
        <v>0</v>
      </c>
      <c r="CO318" s="48" t="str">
        <f t="shared" ca="1" si="568"/>
        <v/>
      </c>
      <c r="CU318" s="48">
        <f ca="1">IF(SUMIFS(AVERE,DEN_G,AC318,AVERE,"&gt;"&amp;0)+SUMIFS(DARE,DEN_G,AC318,DARE,"&gt;"&amp;0)&gt;0,MAX($CU$2:CU317)+1,0)</f>
        <v>0</v>
      </c>
      <c r="CV318" s="48" t="str">
        <f ca="1">IF(IFERROR(INDEX(PDC,MATCH(ROWS($CV$3:CV318),$CU$3:$CU$400,0),2),"")="CONTO DI RISULTATO ECONOMICO","",IFERROR(INDEX(PDC,MATCH(ROWS($CV$3:CV318),$CU$3:$CU$400,0),2),""))</f>
        <v/>
      </c>
      <c r="CW318" s="48">
        <f ca="1">IFERROR(IF(CV318&lt;&gt;"",MAX($CW$2:CW317)+1,0),0)</f>
        <v>0</v>
      </c>
      <c r="CX318" s="48">
        <f t="shared" ca="1" si="627"/>
        <v>25</v>
      </c>
      <c r="CY318" s="48" t="str">
        <f t="shared" ca="1" si="626"/>
        <v>MASTRO</v>
      </c>
      <c r="CZ318" s="48" t="e">
        <f t="shared" ca="1" si="632"/>
        <v>#N/A</v>
      </c>
      <c r="DA318" s="48" t="str">
        <f t="shared" ref="DA318:DA326" ca="1" si="636">IFERROR(INDEX(LIBRO_GIORNALE,CZ318,1),"")</f>
        <v/>
      </c>
      <c r="DB318" s="48" t="str">
        <f t="shared" ca="1" si="592"/>
        <v/>
      </c>
      <c r="DC318" s="48" t="str">
        <f t="shared" ca="1" si="633"/>
        <v/>
      </c>
      <c r="DD318" s="48" t="str">
        <f t="shared" ca="1" si="634"/>
        <v/>
      </c>
      <c r="DE318" s="48" t="str">
        <f t="shared" ca="1" si="635"/>
        <v/>
      </c>
      <c r="DF318" s="48">
        <f ca="1">IF(AND(CX318=$DF$1,CX318&lt;&gt;""),0,IF(AND(DB318&lt;&gt;"",OR(DB317&lt;&gt;"",DB319&lt;&gt;"")),MAX($DF$2:DF317)+1,0))</f>
        <v>0</v>
      </c>
      <c r="DH318" s="244" t="s">
        <v>227</v>
      </c>
      <c r="DI318" s="228" t="s">
        <v>310</v>
      </c>
      <c r="DN318" s="48">
        <f ca="1">IF(DI318&lt;&gt;"",MAX($DN$2:DN317)+1,0)</f>
        <v>250</v>
      </c>
      <c r="DW318" s="48">
        <f>IF(DR318&lt;&gt;"",MAX($DW$2:DW317)+1,0)</f>
        <v>0</v>
      </c>
      <c r="DY318" s="48" t="str">
        <f t="shared" ca="1" si="558"/>
        <v/>
      </c>
      <c r="EL318" s="48">
        <f t="shared" ca="1" si="559"/>
        <v>0</v>
      </c>
      <c r="EM318" s="48">
        <f ca="1">IF(EL318&gt;=0,0,MAX($EM$2:EM317)+1)</f>
        <v>0</v>
      </c>
      <c r="EN318" s="48" t="str">
        <f t="shared" ca="1" si="569"/>
        <v/>
      </c>
      <c r="EO318" s="48" t="str">
        <f ca="1">IFERROR(INDEX($EM$3:$EN$400,MATCH(ROWS($EO$3:EO318),$EM$3:$EM$400,0),2),"")</f>
        <v/>
      </c>
      <c r="EP318" s="48">
        <f>ROW()</f>
        <v>318</v>
      </c>
      <c r="EQ318" s="48">
        <f t="shared" ca="1" si="560"/>
        <v>0</v>
      </c>
      <c r="ER318" s="48">
        <f ca="1">IF(ISNA(EQ318)=TRUE,MAX($ER$2:ER317)+1,0)</f>
        <v>0</v>
      </c>
      <c r="ES318" s="48" t="str">
        <f t="shared" ca="1" si="570"/>
        <v/>
      </c>
      <c r="ET318" s="48" t="str">
        <f ca="1">IFERROR(INDEX($ER$3:$ES$400,MATCH(ROWS($ET$3:ET318),$ER$3:$ER$400,0),2),"")</f>
        <v/>
      </c>
      <c r="EV318" s="48">
        <f ca="1">IFERROR(INDEX(LIBRO_GIORNALE!$O$11:$P$408,MATCH(ROWS($EV$2:EV317),LIBRO_GIORNALE!$P$11:$P$408,0),1),0)</f>
        <v>0</v>
      </c>
      <c r="EW318" s="48" t="str">
        <f t="shared" ca="1" si="629"/>
        <v>0</v>
      </c>
      <c r="EX318" s="48">
        <f t="shared" ca="1" si="571"/>
        <v>0</v>
      </c>
      <c r="EY318" s="48">
        <f ca="1">IF(EX318&gt;0,MAX($EY$2:EY317)+1,0)</f>
        <v>0</v>
      </c>
      <c r="EZ318" s="48">
        <f ca="1">IFERROR(INDEX($EX$3:$EX$400,MATCH(ROWS($EZ$3:EZ318),$EY$3:$EY$400,0),1),0)</f>
        <v>0</v>
      </c>
      <c r="FA318" s="48">
        <f ca="1">IF(EZ318&gt;0,0,MAX($FA$2:FA317)+1)</f>
        <v>316</v>
      </c>
      <c r="FB318" s="48">
        <f t="shared" ca="1" si="630"/>
        <v>0</v>
      </c>
      <c r="FC318" s="48">
        <f t="shared" ca="1" si="631"/>
        <v>316</v>
      </c>
      <c r="FD318" s="48">
        <f t="shared" ca="1" si="572"/>
        <v>316</v>
      </c>
      <c r="FE318" s="48">
        <f ca="1">IF(FD318=0,0,MAX($FE$2:FE317)+1)</f>
        <v>316</v>
      </c>
      <c r="FF318" s="48">
        <f ca="1">IFERROR(INDEX($FD$3:$FE$400,MATCH(ROWS($FF$3:FF318),$FE$3:$FE$400,0),1),"")</f>
        <v>316</v>
      </c>
      <c r="FG318" s="48">
        <f t="shared" si="610"/>
        <v>0</v>
      </c>
      <c r="FH318" s="48">
        <f t="shared" ca="1" si="573"/>
        <v>0</v>
      </c>
      <c r="FI318" s="48">
        <f ca="1">IF(FH318&lt;&gt;0,MAX($FI$2:FI317)+1,0)</f>
        <v>0</v>
      </c>
      <c r="FJ318" s="48" t="str">
        <f ca="1">IFERROR(INDEX($FH$3:$FI$400,MATCH(ROWS($FJ$3:FJ318),$FI$3:$FI$400,0),1),"")</f>
        <v/>
      </c>
      <c r="FK318" s="48">
        <f ca="1">IF(ABS(SUMIFS(DARE,DEN_G,"="&amp;FJ318,DATA,"&lt;="&amp;FINE_AC,DATA,"&gt;="&amp;INIZIO_A_PC)-SUMIFS(AVERE,DEN_G,"="&amp;FJ318,DATA,"&lt;="&amp;FINE_AC,DATA,"&gt;="&amp;INIZIO_A_PC))&gt;0,MAX($FK$2:FK317)+1,0)</f>
        <v>0</v>
      </c>
      <c r="FL318" s="48" t="str">
        <f ca="1">IF(AND(ROW()-2&lt;&gt;1,ROW()-2&lt;=$FK$1),CONCATENATE(" - ",IFERROR(INDEX($FJ$3:$FK$400,MATCH(ROWS($FL$3:FL318),$FK$3:$FK$400,0),1),"")),IFERROR(INDEX($FJ$3:$FK$400,MATCH(ROWS($FL$3:FL318),$FK$3:$FK$400,0),1),""))</f>
        <v/>
      </c>
      <c r="FM318" s="48">
        <f ca="1">IF(OR(B318="IVA ns/credito",B318="IVA NS/DEBITO",B318="IVA C/ACCONTO",B318="IMPOSTE C/ACCONTO",B318="CREDITI PER RITENUTE SUBITE",B318="CREDITI D'IMPOSTA"),MAX($FM$2:FM317)+1,0)</f>
        <v>0</v>
      </c>
      <c r="FN318" s="48" t="str">
        <f t="shared" ca="1" si="574"/>
        <v/>
      </c>
      <c r="FO318" s="48" t="str">
        <f ca="1">IFERROR(INDEX($FM$3:$FN$400,MATCH(ROWS($FO$3:FO318),$FM$3:$FM$400,0),2),"")</f>
        <v/>
      </c>
      <c r="FP318" s="48">
        <f ca="1">IF(ABS(SUMIFS(DARE,DEN_G,"="&amp;FO318,DATA,"&lt;="&amp;FINE_AC,DATA,"&gt;="&amp;INIZIO_A_PC)-SUMIFS(AVERE,DEN_G,"="&amp;FO318,DATA,"&lt;="&amp;FINE_AC,DATA,"&gt;="&amp;INIZIO_A_PC))&gt;0,MAX($FP$2:FP317)+1,0)</f>
        <v>0</v>
      </c>
      <c r="FQ318" s="48" t="str">
        <f ca="1">IF(AND(ROW()-2&lt;&gt;1,ROW()-2&lt;=$FP$1),CONCATENATE(" - ",IFERROR(INDEX($FO$3:$FP$400,MATCH(ROWS($FQ$3:FQ318),$FP$3:$FP$400,0),1),"")),IFERROR(INDEX($FO$3:$FP$400,MATCH(ROWS($FQ$3:FQ318),$FP$3:$FP$400,0),1),""))</f>
        <v/>
      </c>
    </row>
    <row r="319" spans="1:173" x14ac:dyDescent="0.3">
      <c r="A319" s="48" t="str">
        <f ca="1">IFERROR(IF($A$1=2,INDEX($DH$3:$DN$401,MATCH(ROWS(A$3:A319),$DN$3:$DN$401,0),COLUMN()),IF($A$1=1,INDEX($DQ$3:$DW$401,MATCH(ROWS(A$3:A319),$DW$3:$DW$401,0),COLUMN()),"")),"")</f>
        <v>50.00</v>
      </c>
      <c r="B319" s="48" t="str">
        <f ca="1">IFERROR(IF($A$1=2,INDEX($DH$3:$DN$401,MATCH(ROWS(B$3:B319),$DN$3:$DN$401,0),COLUMN()),IF($A$1=1,INDEX($DQ$3:$DW$400,MATCH(ROWS(B$3:B319),$DW$3:$DW$401,0),COLUMN()),"")),"")</f>
        <v>RIVALUTAZIONI DI ATTIVITÀ FINANZIARIE</v>
      </c>
      <c r="C319" s="48">
        <f ca="1">IFERROR(IF($A$1=2,INDEX($DH$3:$DN$401,MATCH(ROWS(C$3:C319),$DN$3:$DN$401,0),COLUMN()),IF($A$1=1,INDEX($DQ$3:$DW$401,MATCH(ROWS(C$3:C319),$DW$3:$DW$401,0),COLUMN()),"")),"")</f>
        <v>0</v>
      </c>
      <c r="D319" s="48">
        <f ca="1">IFERROR(IF($A$1=2,INDEX($DH$3:$DN$401,MATCH(ROWS(D$3:D319),$DN$3:$DN$401,0),COLUMN()),IF($A$1=1,INDEX($DQ$3:$DW$401,MATCH(ROWS(D$3:D319),$DW$3:$DW$401,0),COLUMN()),"")),"")</f>
        <v>0</v>
      </c>
      <c r="E319" s="48">
        <f ca="1">IFERROR(IF($A$1=2,INDEX($DH$3:$DN$401,MATCH(ROWS(E$3:E319),$DN$3:$DN$401,0),COLUMN()),IF($A$1=1,INDEX($DQ$3:$DW$401,MATCH(ROWS(E$3:E319),$DW$3:$DW$401,0),COLUMN()),"")),"")</f>
        <v>0</v>
      </c>
      <c r="F319" s="48">
        <f ca="1">IFERROR(IF($A$1=2,INDEX($DH$3:$DN$401,MATCH(ROWS(F$3:F319),$DN$3:$DN$401,0),COLUMN()),IF($A$1=1,INDEX($DQ$3:$DX$401,MATCH(ROWS(F$3:F319),$DW$3:$DW$401,0),COLUMN()),"")),"")</f>
        <v>0</v>
      </c>
      <c r="G319" s="48" t="str">
        <f t="shared" ca="1" si="561"/>
        <v>0</v>
      </c>
      <c r="H319" s="48">
        <f ca="1">IFERROR(IF($A$1=2,INDEX($DH$3:$DO$400,MATCH(ROWS(H$3:H319),$DN$3:$DN$400,0),COLUMN()),IF($A$1=1,INDEX($DQ$3:$DX$400,MATCH(ROWS(H$3:H319),$DW$3:$DW$400,0),COLUMN()),"")),"")</f>
        <v>0</v>
      </c>
      <c r="M319" s="48">
        <f ca="1">IFERROR(IF(IF(MID($A319,3,3)=".00",MID(A319,1,2),"")&lt;&gt;"",MAX($M$2:M318)+1,0),"")</f>
        <v>34</v>
      </c>
      <c r="N319" s="48" t="str">
        <f t="shared" ca="1" si="562"/>
        <v>50</v>
      </c>
      <c r="O319" s="48" t="str">
        <f ca="1">IF(IFERROR(INDEX($N$3:$O$300,MATCH(ROWS($O$3:O319),$M$3:$M$300,0),1),"")&lt;&gt;"",CONCATENATE(INDEX($N$3:$O$300,MATCH(ROWS($O$3:O319),$M$3:$M$300,0),1),".00"),"")</f>
        <v/>
      </c>
      <c r="P319" s="48" t="str">
        <f t="shared" ca="1" si="563"/>
        <v/>
      </c>
      <c r="Q319" s="48">
        <f ca="1">IF(M319&gt;=1,0,MAX($Q$2:Q318)+1)</f>
        <v>0</v>
      </c>
      <c r="U319" s="48" t="str">
        <f ca="1">IFERROR(INDEX(PDC,MATCH(ROWS(U$3:U319),$V$3:$V$400,0),2),"")</f>
        <v/>
      </c>
      <c r="V319" s="48">
        <f ca="1">IF(AND($T$1="VISUALIZZA TUTTI I CONTI",AA319&lt;&gt;""),MAX($V$2:V318)+1,IF(AND($U$2=2,AI319=$T$1),MAX($V$2:V318)+1,IF(AND($U$2=1,$T$1=AF319),MAX($V$2:V318)+1,0)))</f>
        <v>0</v>
      </c>
      <c r="AA319" s="48" t="str">
        <f t="shared" ca="1" si="564"/>
        <v/>
      </c>
      <c r="AB319" s="48" t="str">
        <f ca="1">IFERROR(INDEX($A$3:$G$400,MATCH(ROWS(AB$3:AB319),$Q$3:$Q$400,0),1),"")</f>
        <v/>
      </c>
      <c r="AC319" s="48" t="str">
        <f ca="1">IFERROR(INDEX($A$3:$G$400,MATCH(ROWS($AC$3:AC319),$Q$3:$Q$400,0),2),"")</f>
        <v/>
      </c>
      <c r="AD319" s="48">
        <f ca="1">IFERROR(INDEX($A$3:$G$400,MATCH(ROWS(AD$3:AD319),$Q$3:$Q$400,0),3),"")</f>
        <v>0</v>
      </c>
      <c r="AE319" s="48" t="str">
        <f ca="1">IFERROR(INDEX($A$3:$G$400,MATCH(ROWS(AE$3:AE319),$Q$3:$Q$400,0),4),"")</f>
        <v/>
      </c>
      <c r="AF319" s="48" t="str">
        <f ca="1">IFERROR(INDEX($A$3:$G$400,MATCH(ROWS(AF$3:AF319),$Q$3:$Q$400,0),5),"")</f>
        <v/>
      </c>
      <c r="AG319" s="48" t="str">
        <f ca="1">IFERROR(INDEX($A$3:$G$400,MATCH(ROWS(AG$3:AG319),$Q$3:$Q$400,0),6),"")</f>
        <v/>
      </c>
      <c r="AH319" s="48" t="str">
        <f ca="1">IFERROR(INDEX($A$3:$G$400,MATCH(ROWS(AH$3:AH319),$Q$3:$Q$400,0),7),"")</f>
        <v/>
      </c>
      <c r="AI319" s="48" t="str">
        <f t="shared" ca="1" si="565"/>
        <v/>
      </c>
      <c r="AJ319" s="48" t="str">
        <f ca="1">IFERROR(INDEX($A$3:$H$400,MATCH(ROWS(AJ$3:AJ319),$Q$3:$Q$400,0),8),"")</f>
        <v/>
      </c>
      <c r="AZ319" s="48" t="str">
        <f t="shared" ca="1" si="584"/>
        <v/>
      </c>
      <c r="BA319" s="48">
        <f t="shared" ca="1" si="611"/>
        <v>0</v>
      </c>
      <c r="BB319" s="48">
        <f t="shared" ca="1" si="612"/>
        <v>0</v>
      </c>
      <c r="BC319" s="48">
        <f t="shared" ca="1" si="613"/>
        <v>0</v>
      </c>
      <c r="BD319" s="48">
        <f t="shared" ca="1" si="614"/>
        <v>0</v>
      </c>
      <c r="BE319" s="48">
        <f t="shared" ca="1" si="615"/>
        <v>0</v>
      </c>
      <c r="BF319" s="48">
        <f t="shared" si="585"/>
        <v>119</v>
      </c>
      <c r="BG319" s="48">
        <f ca="1">IF(IF(AND(OR(INDEX(PDC,MATCH($AC319,DEN_PDC,0),6)="SP DARE",INDEX(PDC,MATCH($AC319,DEN_PDC,0),6)="SP DARE/AVERE"),SUMIFS(DARE,DEN_G,$AC319)&gt;=SUMIFS(AVERE,DEN_G,$AC319)),SUMIFS(DARE,DEN_G,$AC319)-SUMIFS(AVERE,DEN_G,$AC319),0)&gt;0,MAX($BG$2:BG318)+1,0)</f>
        <v>0</v>
      </c>
      <c r="BH319" s="48">
        <f ca="1">IF(IF(AND(OR(INDEX(PDC,MATCH($AC319,DEN_PDC,0),6)="SP AVERE",INDEX(PDC,MATCH($AC319,DEN_PDC,0),6)="SP DARE/AVERE"),SUMIFS(AVERE,DEN_G,$AC319)&gt;=SUMIFS(DARE,DEN_G,$AC319)),SUMIFS(AVERE,DEN_G,$AC319)-SUMIFS(DARE,DEN_G,$AC319),0)&gt;0,MAX(BH$2:BH318)+1,0)</f>
        <v>0</v>
      </c>
      <c r="BI319" s="48">
        <f ca="1">IF(IF(AND(OR(INDEX(PDC,MATCH($AC319,DEN_PDC,0),6)="SE DARE",INDEX(PDC,MATCH($AC319,DEN_PDC,0),6)="SE DARE/AVERE"),SUMIFS(DARE,DEN_G,$AC319)&gt;=SUMIFS(AVERE,DEN_G,$AC319)),SUMIFS(DARE,DEN_G,$AC319)-SUMIFS(AVERE,DEN_G,$AC319),0)&gt;0,MAX(BI$2:BI318)+1,0)</f>
        <v>0</v>
      </c>
      <c r="BJ319" s="48">
        <f ca="1">IF(IF(AND(OR(INDEX(PDC,MATCH($AC319,DEN_PDC,0),6)="SE AVERE",INDEX(PDC,MATCH($AC319,DEN_PDC,0),6)="SE DARE/AVERE"),SUMIFS(AVERE,DEN_G,$AC319)&gt;=SUMIFS(DARE,DEN_G,$AC319)),SUMIFS(AVERE,DEN_G,$AC319)-SUMIFS(DARE,DEN_G,$AC319),0)&gt;0,MAX(BJ$2:BJ318)+1,0)</f>
        <v>0</v>
      </c>
      <c r="BK319" s="48" t="str">
        <f ca="1">IF(AND(AND($DY$2=0,$DY$1=0),$I$1=2,ROW()&gt;$BG$1+2,ROW()&lt;=$BG$1+4),"………………..",IF(AND(OR($DY$2&gt;0,$DY$1&gt;0),$I$1=2,ROW()&gt;$BG$1+2,ROW()&lt;=$BG$1+4),"………………..",IFERROR(INDEX($AC$3:$AC$398,MATCH(ROWS(BK$3:BK319),BG$3:BG$398,0),1),"")))</f>
        <v/>
      </c>
      <c r="BL319" s="48">
        <f t="shared" ca="1" si="549"/>
        <v>0</v>
      </c>
      <c r="BM319" s="48" t="str">
        <f ca="1">IF(AND(OR($DY$2=0,$DY$1=0),$I$1=2,ROW()&gt;$BH$1+2,ROW()&lt;=$BH$1+4),"………………..",IF(AND(OR($DY$2&gt;0,$DY$1&gt;0),$I$1=2,ROW()&gt;$BH$1+2,ROW()&lt;=$BH$1+4),"………………..",IFERROR(INDEX($AC$3:$AC$400,MATCH(ROWS(BM$3:BM319),BH$3:BH$400,0),1),"")))</f>
        <v/>
      </c>
      <c r="BN319" s="48">
        <f t="shared" ca="1" si="550"/>
        <v>0</v>
      </c>
      <c r="BO319" s="48" t="str">
        <f ca="1">IF(AND(OR($DY$2=0,$DY$1=0),$I$1=2,ROW()&gt;$BI$1+2,ROW()&lt;=$BI$1+4),"………………..",IF(AND(OR($DY$2&gt;0,$DY$1&gt;0),$I$1=2,ROW()&gt;$BI$1+2,ROW()&lt;=$BI$1+4),"………………..",IFERROR(INDEX($AC$3:$AC$400,MATCH(ROWS(BO$3:BO319),BI$3:BI$400,0),1),"")))</f>
        <v/>
      </c>
      <c r="BP319" s="48">
        <f t="shared" ca="1" si="551"/>
        <v>0</v>
      </c>
      <c r="BQ319" s="48" t="str">
        <f ca="1">IF(AND(OR($DY$2=0,$DY$1=0),$I$1=2,ROW()&gt;$BJ$1+2,ROW()&lt;=$BJ$1+4),"………………..",IF(AND(OR($DY$2&gt;0,$DY$1&gt;0),$I$1=2,ROW()&gt;$BJ$1+2,ROW()&lt;=$BJ$1+4),"………………..",IFERROR(INDEX($AC$3:$AC$400,MATCH(ROWS(BQ$3:BQ319),BJ$3:BJ$400,0),1),"")))</f>
        <v/>
      </c>
      <c r="BR319" s="48">
        <f t="shared" ca="1" si="552"/>
        <v>0</v>
      </c>
      <c r="BS319" s="48">
        <f ca="1">IF(IF(AND(OR(INDEX(PDC,MATCH($AC319,DEN_PDC,0),4)="D",INDEX(PDC,MATCH($AC319,DEN_PDC,0),4)="D/A"),SUMIFS(DARE,DEN_G,$AC319)&gt;=SUMIFS(AVERE,DEN_G,$AC319)),SUMIFS(DARE,DEN_G,$AC319),IF(AND(OR(INDEX(PDC,MATCH($AC319,DEN_PDC,0),4)="A",INDEX(PDC,MATCH($AC319,DEN_PDC,0),4)="D/A"),SUMIFS(AVERE,DEN_G,$AC319)&gt;=SUMIFS(DARE,DEN_G,$AC319)),SUMIFS(AVERE,DEN_G,$AC319),))&gt;0,MAX($BS$2:BS318)+1,0)</f>
        <v>0</v>
      </c>
      <c r="BT319" s="48" t="str">
        <f ca="1">IF($CO$1=0,"",IF(AND($I$1=2,ROW()&gt;$BR$1,ROW()&lt;=$BS$1)," …………….",IF(AND($E$1=1,$BX$1=1,$I$1=2,ROW()=$BQ$1),"TOTALI",IFERROR(INDEX(PDC,MATCH(ROWS(BT$3:BT319),BS$3:BS716,0),2),""))))</f>
        <v/>
      </c>
      <c r="BU319" s="48">
        <f t="shared" ca="1" si="553"/>
        <v>0</v>
      </c>
      <c r="BV319" s="48">
        <f t="shared" ca="1" si="554"/>
        <v>0</v>
      </c>
      <c r="BW319" s="48">
        <f t="shared" ca="1" si="555"/>
        <v>0</v>
      </c>
      <c r="BX319" s="48">
        <f t="shared" ca="1" si="556"/>
        <v>0</v>
      </c>
      <c r="BY319" s="48">
        <f ca="1">IF(OR(BW319&gt;0,BX319&gt;0),MAX($BY$2:BY318)+1,0)</f>
        <v>0</v>
      </c>
      <c r="BZ319" s="48" t="str">
        <f ca="1">IFERROR(INDEX($BT$3:$BY$400,MATCH(ROWS(BZ$3:BZ319),$BY$3:$BY$400,0),1),"")</f>
        <v/>
      </c>
      <c r="CA319" s="48" t="str">
        <f ca="1">IFERROR(INDEX($BT$3:$BY$400,MATCH(ROWS(CA$3:CA319),$BY$3:$BY$400,0),4),"")</f>
        <v/>
      </c>
      <c r="CB319" s="48" t="str">
        <f ca="1">IFERROR(INDEX($BT$3:$BY$400,MATCH(ROWS(CB$3:CB319),$BY$3:$BY$400,0),5),"")</f>
        <v/>
      </c>
      <c r="CC319" s="48" t="str">
        <f t="shared" ca="1" si="557"/>
        <v/>
      </c>
      <c r="CM319" s="242" t="str">
        <f t="shared" ca="1" si="566"/>
        <v/>
      </c>
      <c r="CN319" s="243">
        <f t="shared" ca="1" si="567"/>
        <v>0</v>
      </c>
      <c r="CO319" s="48" t="str">
        <f t="shared" ca="1" si="568"/>
        <v/>
      </c>
      <c r="CU319" s="48">
        <f ca="1">IF(SUMIFS(AVERE,DEN_G,AC319,AVERE,"&gt;"&amp;0)+SUMIFS(DARE,DEN_G,AC319,DARE,"&gt;"&amp;0)&gt;0,MAX($CU$2:CU318)+1,0)</f>
        <v>0</v>
      </c>
      <c r="CV319" s="48" t="str">
        <f ca="1">IF(IFERROR(INDEX(PDC,MATCH(ROWS($CV$3:CV319),$CU$3:$CU$400,0),2),"")="CONTO DI RISULTATO ECONOMICO","",IFERROR(INDEX(PDC,MATCH(ROWS($CV$3:CV319),$CU$3:$CU$400,0),2),""))</f>
        <v/>
      </c>
      <c r="CW319" s="48">
        <f ca="1">IFERROR(IF(CV319&lt;&gt;"",MAX($CW$2:CW318)+1,0),0)</f>
        <v>0</v>
      </c>
      <c r="CX319" s="48">
        <f t="shared" ca="1" si="627"/>
        <v>25</v>
      </c>
      <c r="CY319" s="48" t="str">
        <f t="shared" ca="1" si="626"/>
        <v>MASTRO</v>
      </c>
      <c r="CZ319" s="48" t="e">
        <f t="shared" ca="1" si="632"/>
        <v>#N/A</v>
      </c>
      <c r="DA319" s="48" t="str">
        <f t="shared" ca="1" si="636"/>
        <v/>
      </c>
      <c r="DB319" s="48" t="str">
        <f t="shared" ca="1" si="592"/>
        <v/>
      </c>
      <c r="DC319" s="48" t="str">
        <f t="shared" ca="1" si="633"/>
        <v/>
      </c>
      <c r="DD319" s="48" t="str">
        <f t="shared" ca="1" si="634"/>
        <v/>
      </c>
      <c r="DE319" s="48" t="str">
        <f t="shared" ca="1" si="635"/>
        <v/>
      </c>
      <c r="DF319" s="48">
        <f ca="1">IF(AND(CX319=$DF$1,CX319&lt;&gt;""),0,IF(AND(DB319&lt;&gt;"",OR(DB318&lt;&gt;"",DB320&lt;&gt;"")),MAX($DF$2:DF318)+1,0))</f>
        <v>0</v>
      </c>
      <c r="DH319" s="244" t="s">
        <v>228</v>
      </c>
      <c r="DI319" s="48" t="s">
        <v>939</v>
      </c>
      <c r="DJ319" s="48" t="s">
        <v>311</v>
      </c>
      <c r="DK319" s="48" t="s">
        <v>275</v>
      </c>
      <c r="DL319" s="48" t="s">
        <v>7</v>
      </c>
      <c r="DM319" s="48" t="s">
        <v>301</v>
      </c>
      <c r="DN319" s="48">
        <f ca="1">IF(DI319&lt;&gt;"",MAX($DN$2:DN318)+1,0)</f>
        <v>251</v>
      </c>
      <c r="DO319" s="48" t="s">
        <v>716</v>
      </c>
      <c r="DW319" s="48">
        <f>IF(DR319&lt;&gt;"",MAX($DW$2:DW318)+1,0)</f>
        <v>0</v>
      </c>
      <c r="DY319" s="48" t="str">
        <f t="shared" ca="1" si="558"/>
        <v/>
      </c>
      <c r="EL319" s="48">
        <f t="shared" ca="1" si="559"/>
        <v>0</v>
      </c>
      <c r="EM319" s="48">
        <f ca="1">IF(EL319&gt;=0,0,MAX($EM$2:EM318)+1)</f>
        <v>0</v>
      </c>
      <c r="EN319" s="48" t="str">
        <f t="shared" ca="1" si="569"/>
        <v/>
      </c>
      <c r="EO319" s="48" t="str">
        <f ca="1">IFERROR(INDEX($EM$3:$EN$400,MATCH(ROWS($EO$3:EO319),$EM$3:$EM$400,0),2),"")</f>
        <v/>
      </c>
      <c r="EP319" s="48">
        <f>ROW()</f>
        <v>319</v>
      </c>
      <c r="EQ319" s="48">
        <f t="shared" ca="1" si="560"/>
        <v>0</v>
      </c>
      <c r="ER319" s="48">
        <f ca="1">IF(ISNA(EQ319)=TRUE,MAX($ER$2:ER318)+1,0)</f>
        <v>0</v>
      </c>
      <c r="ES319" s="48" t="str">
        <f t="shared" ca="1" si="570"/>
        <v/>
      </c>
      <c r="ET319" s="48" t="str">
        <f ca="1">IFERROR(INDEX($ER$3:$ES$400,MATCH(ROWS($ET$3:ET319),$ER$3:$ER$400,0),2),"")</f>
        <v/>
      </c>
      <c r="EV319" s="48">
        <f ca="1">IFERROR(INDEX(LIBRO_GIORNALE!$O$11:$P$408,MATCH(ROWS($EV$2:EV318),LIBRO_GIORNALE!$P$11:$P$408,0),1),0)</f>
        <v>0</v>
      </c>
      <c r="EW319" s="48" t="str">
        <f t="shared" ca="1" si="629"/>
        <v>0</v>
      </c>
      <c r="EX319" s="48">
        <f t="shared" ca="1" si="571"/>
        <v>0</v>
      </c>
      <c r="EY319" s="48">
        <f ca="1">IF(EX319&gt;0,MAX($EY$2:EY318)+1,0)</f>
        <v>0</v>
      </c>
      <c r="EZ319" s="48">
        <f ca="1">IFERROR(INDEX($EX$3:$EX$400,MATCH(ROWS($EZ$3:EZ319),$EY$3:$EY$400,0),1),0)</f>
        <v>0</v>
      </c>
      <c r="FA319" s="48">
        <f ca="1">IF(EZ319&gt;0,0,MAX($FA$2:FA318)+1)</f>
        <v>317</v>
      </c>
      <c r="FB319" s="48">
        <f t="shared" ca="1" si="630"/>
        <v>0</v>
      </c>
      <c r="FC319" s="48">
        <f t="shared" ca="1" si="631"/>
        <v>317</v>
      </c>
      <c r="FD319" s="48">
        <f t="shared" ca="1" si="572"/>
        <v>317</v>
      </c>
      <c r="FE319" s="48">
        <f ca="1">IF(FD319=0,0,MAX($FE$2:FE318)+1)</f>
        <v>317</v>
      </c>
      <c r="FF319" s="48">
        <f ca="1">IFERROR(INDEX($FD$3:$FE$400,MATCH(ROWS($FF$3:FF319),$FE$3:$FE$400,0),1),"")</f>
        <v>317</v>
      </c>
      <c r="FG319" s="48">
        <f t="shared" si="610"/>
        <v>0</v>
      </c>
      <c r="FH319" s="48">
        <f t="shared" ca="1" si="573"/>
        <v>0</v>
      </c>
      <c r="FI319" s="48">
        <f ca="1">IF(FH319&lt;&gt;0,MAX($FI$2:FI318)+1,0)</f>
        <v>0</v>
      </c>
      <c r="FJ319" s="48" t="str">
        <f ca="1">IFERROR(INDEX($FH$3:$FI$400,MATCH(ROWS($FJ$3:FJ319),$FI$3:$FI$400,0),1),"")</f>
        <v/>
      </c>
      <c r="FK319" s="48">
        <f ca="1">IF(ABS(SUMIFS(DARE,DEN_G,"="&amp;FJ319,DATA,"&lt;="&amp;FINE_AC,DATA,"&gt;="&amp;INIZIO_A_PC)-SUMIFS(AVERE,DEN_G,"="&amp;FJ319,DATA,"&lt;="&amp;FINE_AC,DATA,"&gt;="&amp;INIZIO_A_PC))&gt;0,MAX($FK$2:FK318)+1,0)</f>
        <v>0</v>
      </c>
      <c r="FL319" s="48" t="str">
        <f ca="1">IF(AND(ROW()-2&lt;&gt;1,ROW()-2&lt;=$FK$1),CONCATENATE(" - ",IFERROR(INDEX($FJ$3:$FK$400,MATCH(ROWS($FL$3:FL319),$FK$3:$FK$400,0),1),"")),IFERROR(INDEX($FJ$3:$FK$400,MATCH(ROWS($FL$3:FL319),$FK$3:$FK$400,0),1),""))</f>
        <v/>
      </c>
      <c r="FM319" s="48">
        <f ca="1">IF(OR(B319="IVA ns/credito",B319="IVA NS/DEBITO",B319="IVA C/ACCONTO",B319="IMPOSTE C/ACCONTO",B319="CREDITI PER RITENUTE SUBITE",B319="CREDITI D'IMPOSTA"),MAX($FM$2:FM318)+1,0)</f>
        <v>0</v>
      </c>
      <c r="FN319" s="48" t="str">
        <f t="shared" ca="1" si="574"/>
        <v/>
      </c>
      <c r="FO319" s="48" t="str">
        <f ca="1">IFERROR(INDEX($FM$3:$FN$400,MATCH(ROWS($FO$3:FO319),$FM$3:$FM$400,0),2),"")</f>
        <v/>
      </c>
      <c r="FP319" s="48">
        <f ca="1">IF(ABS(SUMIFS(DARE,DEN_G,"="&amp;FO319,DATA,"&lt;="&amp;FINE_AC,DATA,"&gt;="&amp;INIZIO_A_PC)-SUMIFS(AVERE,DEN_G,"="&amp;FO319,DATA,"&lt;="&amp;FINE_AC,DATA,"&gt;="&amp;INIZIO_A_PC))&gt;0,MAX($FP$2:FP318)+1,0)</f>
        <v>0</v>
      </c>
      <c r="FQ319" s="48" t="str">
        <f ca="1">IF(AND(ROW()-2&lt;&gt;1,ROW()-2&lt;=$FP$1),CONCATENATE(" - ",IFERROR(INDEX($FO$3:$FP$400,MATCH(ROWS($FQ$3:FQ319),$FP$3:$FP$400,0),1),"")),IFERROR(INDEX($FO$3:$FP$400,MATCH(ROWS($FQ$3:FQ319),$FP$3:$FP$400,0),1),""))</f>
        <v/>
      </c>
    </row>
    <row r="320" spans="1:173" x14ac:dyDescent="0.3">
      <c r="A320" s="48" t="str">
        <f ca="1">IFERROR(IF($A$1=2,INDEX($DH$3:$DN$401,MATCH(ROWS(A$3:A320),$DN$3:$DN$401,0),COLUMN()),IF($A$1=1,INDEX($DQ$3:$DW$401,MATCH(ROWS(A$3:A320),$DW$3:$DW$401,0),COLUMN()),"")),"")</f>
        <v>50.01</v>
      </c>
      <c r="B320" s="48" t="str">
        <f ca="1">IFERROR(IF($A$1=2,INDEX($DH$3:$DN$401,MATCH(ROWS(B$3:B320),$DN$3:$DN$401,0),COLUMN()),IF($A$1=1,INDEX($DQ$3:$DW$400,MATCH(ROWS(B$3:B320),$DW$3:$DW$401,0),COLUMN()),"")),"")</f>
        <v>RIVALUTAZIONE PARTECIPAZIONI</v>
      </c>
      <c r="C320" s="48" t="str">
        <f ca="1">IFERROR(IF($A$1=2,INDEX($DH$3:$DN$401,MATCH(ROWS(C$3:C320),$DN$3:$DN$401,0),COLUMN()),IF($A$1=1,INDEX($DQ$3:$DW$401,MATCH(ROWS(C$3:C320),$DW$3:$DW$401,0),COLUMN()),"")),"")</f>
        <v>E</v>
      </c>
      <c r="D320" s="48" t="str">
        <f ca="1">IFERROR(IF($A$1=2,INDEX($DH$3:$DN$401,MATCH(ROWS(D$3:D320),$DN$3:$DN$401,0),COLUMN()),IF($A$1=1,INDEX($DQ$3:$DW$401,MATCH(ROWS(D$3:D320),$DW$3:$DW$401,0),COLUMN()),"")),"")</f>
        <v>A</v>
      </c>
      <c r="E320" s="48" t="str">
        <f ca="1">IFERROR(IF($A$1=2,INDEX($DH$3:$DN$401,MATCH(ROWS(E$3:E320),$DN$3:$DN$401,0),COLUMN()),IF($A$1=1,INDEX($DQ$3:$DW$401,MATCH(ROWS(E$3:E320),$DW$3:$DW$401,0),COLUMN()),"")),"")</f>
        <v>RICAVI D'ESERCIZIO</v>
      </c>
      <c r="F320" s="48" t="str">
        <f ca="1">IFERROR(IF($A$1=2,INDEX($DH$3:$DN$401,MATCH(ROWS(F$3:F320),$DN$3:$DN$401,0),COLUMN()),IF($A$1=1,INDEX($DQ$3:$DX$401,MATCH(ROWS(F$3:F320),$DW$3:$DW$401,0),COLUMN()),"")),"")</f>
        <v>SE AVERE</v>
      </c>
      <c r="G320" s="48" t="str">
        <f t="shared" ca="1" si="561"/>
        <v>SE</v>
      </c>
      <c r="H320" s="48" t="str">
        <f ca="1">IFERROR(IF($A$1=2,INDEX($DH$3:$DO$400,MATCH(ROWS(H$3:H320),$DN$3:$DN$400,0),COLUMN()),IF($A$1=1,INDEX($DQ$3:$DX$400,MATCH(ROWS(H$3:H320),$DW$3:$DW$400,0),COLUMN()),"")),"")</f>
        <v>ed18a</v>
      </c>
      <c r="M320" s="48">
        <f ca="1">IFERROR(IF(IF(MID($A320,3,3)=".00",MID(A320,1,2),"")&lt;&gt;"",MAX($M$2:M319)+1,0),"")</f>
        <v>0</v>
      </c>
      <c r="N320" s="48" t="str">
        <f t="shared" ca="1" si="562"/>
        <v/>
      </c>
      <c r="O320" s="48" t="str">
        <f ca="1">IF(IFERROR(INDEX($N$3:$O$300,MATCH(ROWS($O$3:O320),$M$3:$M$300,0),1),"")&lt;&gt;"",CONCATENATE(INDEX($N$3:$O$300,MATCH(ROWS($O$3:O320),$M$3:$M$300,0),1),".00"),"")</f>
        <v/>
      </c>
      <c r="P320" s="48" t="str">
        <f t="shared" ca="1" si="563"/>
        <v/>
      </c>
      <c r="Q320" s="48">
        <f ca="1">IF(M320&gt;=1,0,MAX($Q$2:Q319)+1)</f>
        <v>284</v>
      </c>
      <c r="U320" s="48" t="str">
        <f ca="1">IFERROR(INDEX(PDC,MATCH(ROWS(U$3:U320),$V$3:$V$400,0),2),"")</f>
        <v/>
      </c>
      <c r="V320" s="48">
        <f ca="1">IF(AND($T$1="VISUALIZZA TUTTI I CONTI",AA320&lt;&gt;""),MAX($V$2:V319)+1,IF(AND($U$2=2,AI320=$T$1),MAX($V$2:V319)+1,IF(AND($U$2=1,$T$1=AF320),MAX($V$2:V319)+1,0)))</f>
        <v>0</v>
      </c>
      <c r="AA320" s="48" t="str">
        <f t="shared" ca="1" si="564"/>
        <v/>
      </c>
      <c r="AB320" s="48" t="str">
        <f ca="1">IFERROR(INDEX($A$3:$G$400,MATCH(ROWS(AB$3:AB320),$Q$3:$Q$400,0),1),"")</f>
        <v/>
      </c>
      <c r="AC320" s="48" t="str">
        <f ca="1">IFERROR(INDEX($A$3:$G$400,MATCH(ROWS($AC$3:AC320),$Q$3:$Q$400,0),2),"")</f>
        <v/>
      </c>
      <c r="AD320" s="48">
        <f ca="1">IFERROR(INDEX($A$3:$G$400,MATCH(ROWS(AD$3:AD320),$Q$3:$Q$400,0),3),"")</f>
        <v>0</v>
      </c>
      <c r="AE320" s="48" t="str">
        <f ca="1">IFERROR(INDEX($A$3:$G$400,MATCH(ROWS(AE$3:AE320),$Q$3:$Q$400,0),4),"")</f>
        <v/>
      </c>
      <c r="AF320" s="48" t="str">
        <f ca="1">IFERROR(INDEX($A$3:$G$400,MATCH(ROWS(AF$3:AF320),$Q$3:$Q$400,0),5),"")</f>
        <v/>
      </c>
      <c r="AG320" s="48" t="str">
        <f ca="1">IFERROR(INDEX($A$3:$G$400,MATCH(ROWS(AG$3:AG320),$Q$3:$Q$400,0),6),"")</f>
        <v/>
      </c>
      <c r="AH320" s="48" t="str">
        <f ca="1">IFERROR(INDEX($A$3:$G$400,MATCH(ROWS(AH$3:AH320),$Q$3:$Q$400,0),7),"")</f>
        <v/>
      </c>
      <c r="AI320" s="48" t="str">
        <f t="shared" ca="1" si="565"/>
        <v/>
      </c>
      <c r="AJ320" s="48" t="str">
        <f ca="1">IFERROR(INDEX($A$3:$H$400,MATCH(ROWS(AJ$3:AJ320),$Q$3:$Q$400,0),8),"")</f>
        <v/>
      </c>
      <c r="AZ320" s="48" t="str">
        <f t="shared" ca="1" si="584"/>
        <v/>
      </c>
      <c r="BA320" s="48">
        <f t="shared" ca="1" si="611"/>
        <v>0</v>
      </c>
      <c r="BB320" s="48">
        <f t="shared" ca="1" si="612"/>
        <v>0</v>
      </c>
      <c r="BC320" s="48">
        <f t="shared" ca="1" si="613"/>
        <v>0</v>
      </c>
      <c r="BD320" s="48">
        <f t="shared" ca="1" si="614"/>
        <v>0</v>
      </c>
      <c r="BE320" s="48">
        <f t="shared" ca="1" si="615"/>
        <v>0</v>
      </c>
      <c r="BF320" s="48">
        <f t="shared" si="585"/>
        <v>120</v>
      </c>
      <c r="BG320" s="48">
        <f ca="1">IF(IF(AND(OR(INDEX(PDC,MATCH($AC320,DEN_PDC,0),6)="SP DARE",INDEX(PDC,MATCH($AC320,DEN_PDC,0),6)="SP DARE/AVERE"),SUMIFS(DARE,DEN_G,$AC320)&gt;=SUMIFS(AVERE,DEN_G,$AC320)),SUMIFS(DARE,DEN_G,$AC320)-SUMIFS(AVERE,DEN_G,$AC320),0)&gt;0,MAX($BG$2:BG319)+1,0)</f>
        <v>0</v>
      </c>
      <c r="BH320" s="48">
        <f ca="1">IF(IF(AND(OR(INDEX(PDC,MATCH($AC320,DEN_PDC,0),6)="SP AVERE",INDEX(PDC,MATCH($AC320,DEN_PDC,0),6)="SP DARE/AVERE"),SUMIFS(AVERE,DEN_G,$AC320)&gt;=SUMIFS(DARE,DEN_G,$AC320)),SUMIFS(AVERE,DEN_G,$AC320)-SUMIFS(DARE,DEN_G,$AC320),0)&gt;0,MAX(BH$2:BH319)+1,0)</f>
        <v>0</v>
      </c>
      <c r="BI320" s="48">
        <f ca="1">IF(IF(AND(OR(INDEX(PDC,MATCH($AC320,DEN_PDC,0),6)="SE DARE",INDEX(PDC,MATCH($AC320,DEN_PDC,0),6)="SE DARE/AVERE"),SUMIFS(DARE,DEN_G,$AC320)&gt;=SUMIFS(AVERE,DEN_G,$AC320)),SUMIFS(DARE,DEN_G,$AC320)-SUMIFS(AVERE,DEN_G,$AC320),0)&gt;0,MAX(BI$2:BI319)+1,0)</f>
        <v>0</v>
      </c>
      <c r="BJ320" s="48">
        <f ca="1">IF(IF(AND(OR(INDEX(PDC,MATCH($AC320,DEN_PDC,0),6)="SE AVERE",INDEX(PDC,MATCH($AC320,DEN_PDC,0),6)="SE DARE/AVERE"),SUMIFS(AVERE,DEN_G,$AC320)&gt;=SUMIFS(DARE,DEN_G,$AC320)),SUMIFS(AVERE,DEN_G,$AC320)-SUMIFS(DARE,DEN_G,$AC320),0)&gt;0,MAX(BJ$2:BJ319)+1,0)</f>
        <v>0</v>
      </c>
      <c r="BK320" s="48" t="str">
        <f ca="1">IF(AND(AND($DY$2=0,$DY$1=0),$I$1=2,ROW()&gt;$BG$1+2,ROW()&lt;=$BG$1+4),"………………..",IF(AND(OR($DY$2&gt;0,$DY$1&gt;0),$I$1=2,ROW()&gt;$BG$1+2,ROW()&lt;=$BG$1+4),"………………..",IFERROR(INDEX($AC$3:$AC$398,MATCH(ROWS(BK$3:BK320),BG$3:BG$398,0),1),"")))</f>
        <v/>
      </c>
      <c r="BL320" s="48">
        <f t="shared" ca="1" si="549"/>
        <v>0</v>
      </c>
      <c r="BM320" s="48" t="str">
        <f ca="1">IF(AND(OR($DY$2=0,$DY$1=0),$I$1=2,ROW()&gt;$BH$1+2,ROW()&lt;=$BH$1+4),"………………..",IF(AND(OR($DY$2&gt;0,$DY$1&gt;0),$I$1=2,ROW()&gt;$BH$1+2,ROW()&lt;=$BH$1+4),"………………..",IFERROR(INDEX($AC$3:$AC$400,MATCH(ROWS(BM$3:BM320),BH$3:BH$400,0),1),"")))</f>
        <v/>
      </c>
      <c r="BN320" s="48">
        <f t="shared" ca="1" si="550"/>
        <v>0</v>
      </c>
      <c r="BO320" s="48" t="str">
        <f ca="1">IF(AND(OR($DY$2=0,$DY$1=0),$I$1=2,ROW()&gt;$BI$1+2,ROW()&lt;=$BI$1+4),"………………..",IF(AND(OR($DY$2&gt;0,$DY$1&gt;0),$I$1=2,ROW()&gt;$BI$1+2,ROW()&lt;=$BI$1+4),"………………..",IFERROR(INDEX($AC$3:$AC$400,MATCH(ROWS(BO$3:BO320),BI$3:BI$400,0),1),"")))</f>
        <v/>
      </c>
      <c r="BP320" s="48">
        <f t="shared" ca="1" si="551"/>
        <v>0</v>
      </c>
      <c r="BQ320" s="48" t="str">
        <f ca="1">IF(AND(OR($DY$2=0,$DY$1=0),$I$1=2,ROW()&gt;$BJ$1+2,ROW()&lt;=$BJ$1+4),"………………..",IF(AND(OR($DY$2&gt;0,$DY$1&gt;0),$I$1=2,ROW()&gt;$BJ$1+2,ROW()&lt;=$BJ$1+4),"………………..",IFERROR(INDEX($AC$3:$AC$400,MATCH(ROWS(BQ$3:BQ320),BJ$3:BJ$400,0),1),"")))</f>
        <v/>
      </c>
      <c r="BR320" s="48">
        <f t="shared" ca="1" si="552"/>
        <v>0</v>
      </c>
      <c r="BS320" s="48">
        <f ca="1">IF(IF(AND(OR(INDEX(PDC,MATCH($AC320,DEN_PDC,0),4)="D",INDEX(PDC,MATCH($AC320,DEN_PDC,0),4)="D/A"),SUMIFS(DARE,DEN_G,$AC320)&gt;=SUMIFS(AVERE,DEN_G,$AC320)),SUMIFS(DARE,DEN_G,$AC320),IF(AND(OR(INDEX(PDC,MATCH($AC320,DEN_PDC,0),4)="A",INDEX(PDC,MATCH($AC320,DEN_PDC,0),4)="D/A"),SUMIFS(AVERE,DEN_G,$AC320)&gt;=SUMIFS(DARE,DEN_G,$AC320)),SUMIFS(AVERE,DEN_G,$AC320),))&gt;0,MAX($BS$2:BS319)+1,0)</f>
        <v>0</v>
      </c>
      <c r="BT320" s="48" t="str">
        <f ca="1">IF($CO$1=0,"",IF(AND($I$1=2,ROW()&gt;$BR$1,ROW()&lt;=$BS$1)," …………….",IF(AND($E$1=1,$BX$1=1,$I$1=2,ROW()=$BQ$1),"TOTALI",IFERROR(INDEX(PDC,MATCH(ROWS(BT$3:BT320),BS$3:BS717,0),2),""))))</f>
        <v/>
      </c>
      <c r="BU320" s="48">
        <f t="shared" ca="1" si="553"/>
        <v>0</v>
      </c>
      <c r="BV320" s="48">
        <f t="shared" ca="1" si="554"/>
        <v>0</v>
      </c>
      <c r="BW320" s="48">
        <f t="shared" ca="1" si="555"/>
        <v>0</v>
      </c>
      <c r="BX320" s="48">
        <f t="shared" ca="1" si="556"/>
        <v>0</v>
      </c>
      <c r="BY320" s="48">
        <f ca="1">IF(OR(BW320&gt;0,BX320&gt;0),MAX($BY$2:BY319)+1,0)</f>
        <v>0</v>
      </c>
      <c r="BZ320" s="48" t="str">
        <f ca="1">IFERROR(INDEX($BT$3:$BY$400,MATCH(ROWS(BZ$3:BZ320),$BY$3:$BY$400,0),1),"")</f>
        <v/>
      </c>
      <c r="CA320" s="48" t="str">
        <f ca="1">IFERROR(INDEX($BT$3:$BY$400,MATCH(ROWS(CA$3:CA320),$BY$3:$BY$400,0),4),"")</f>
        <v/>
      </c>
      <c r="CB320" s="48" t="str">
        <f ca="1">IFERROR(INDEX($BT$3:$BY$400,MATCH(ROWS(CB$3:CB320),$BY$3:$BY$400,0),5),"")</f>
        <v/>
      </c>
      <c r="CC320" s="48" t="str">
        <f t="shared" ca="1" si="557"/>
        <v/>
      </c>
      <c r="CM320" s="242" t="str">
        <f t="shared" ca="1" si="566"/>
        <v/>
      </c>
      <c r="CN320" s="243">
        <f t="shared" ca="1" si="567"/>
        <v>0</v>
      </c>
      <c r="CO320" s="48" t="str">
        <f t="shared" ca="1" si="568"/>
        <v/>
      </c>
      <c r="CU320" s="48">
        <f ca="1">IF(SUMIFS(AVERE,DEN_G,AC320,AVERE,"&gt;"&amp;0)+SUMIFS(DARE,DEN_G,AC320,DARE,"&gt;"&amp;0)&gt;0,MAX($CU$2:CU319)+1,0)</f>
        <v>0</v>
      </c>
      <c r="CV320" s="48" t="str">
        <f ca="1">IF(IFERROR(INDEX(PDC,MATCH(ROWS($CV$3:CV320),$CU$3:$CU$400,0),2),"")="CONTO DI RISULTATO ECONOMICO","",IFERROR(INDEX(PDC,MATCH(ROWS($CV$3:CV320),$CU$3:$CU$400,0),2),""))</f>
        <v/>
      </c>
      <c r="CW320" s="48">
        <f ca="1">IFERROR(IF(CV320&lt;&gt;"",MAX($CW$2:CW319)+1,0),0)</f>
        <v>0</v>
      </c>
      <c r="CX320" s="48">
        <f t="shared" ca="1" si="627"/>
        <v>25</v>
      </c>
      <c r="CY320" s="48" t="str">
        <f t="shared" ca="1" si="626"/>
        <v>MASTRO</v>
      </c>
      <c r="CZ320" s="48" t="e">
        <f t="shared" ca="1" si="632"/>
        <v>#N/A</v>
      </c>
      <c r="DA320" s="48" t="str">
        <f t="shared" ca="1" si="636"/>
        <v/>
      </c>
      <c r="DB320" s="48" t="str">
        <f t="shared" ca="1" si="592"/>
        <v/>
      </c>
      <c r="DC320" s="48" t="str">
        <f t="shared" ca="1" si="633"/>
        <v/>
      </c>
      <c r="DD320" s="48" t="str">
        <f t="shared" ca="1" si="634"/>
        <v/>
      </c>
      <c r="DE320" s="48" t="str">
        <f t="shared" ca="1" si="635"/>
        <v/>
      </c>
      <c r="DF320" s="48">
        <f ca="1">IF(AND(CX320=$DF$1,CX320&lt;&gt;""),0,IF(AND(DB320&lt;&gt;"",OR(DB319&lt;&gt;"",DB321&lt;&gt;"")),MAX($DF$2:DF319)+1,0))</f>
        <v>0</v>
      </c>
      <c r="DH320" s="244" t="s">
        <v>442</v>
      </c>
      <c r="DI320" s="48" t="s">
        <v>443</v>
      </c>
      <c r="DJ320" s="48" t="s">
        <v>311</v>
      </c>
      <c r="DK320" s="48" t="s">
        <v>275</v>
      </c>
      <c r="DL320" s="48" t="s">
        <v>7</v>
      </c>
      <c r="DM320" s="48" t="s">
        <v>301</v>
      </c>
      <c r="DN320" s="48">
        <f ca="1">IF(DI320&lt;&gt;"",MAX($DN$2:DN319)+1,0)</f>
        <v>252</v>
      </c>
      <c r="DO320" s="48" t="s">
        <v>716</v>
      </c>
      <c r="DW320" s="48">
        <f>IF(DR320&lt;&gt;"",MAX($DW$2:DW319)+1,0)</f>
        <v>0</v>
      </c>
      <c r="DY320" s="48" t="str">
        <f t="shared" ca="1" si="558"/>
        <v/>
      </c>
      <c r="EL320" s="48">
        <f t="shared" ca="1" si="559"/>
        <v>0</v>
      </c>
      <c r="EM320" s="48">
        <f ca="1">IF(EL320&gt;=0,0,MAX($EM$2:EM319)+1)</f>
        <v>0</v>
      </c>
      <c r="EN320" s="48" t="str">
        <f t="shared" ca="1" si="569"/>
        <v/>
      </c>
      <c r="EO320" s="48" t="str">
        <f ca="1">IFERROR(INDEX($EM$3:$EN$400,MATCH(ROWS($EO$3:EO320),$EM$3:$EM$400,0),2),"")</f>
        <v/>
      </c>
      <c r="EP320" s="48">
        <f>ROW()</f>
        <v>320</v>
      </c>
      <c r="EQ320" s="48">
        <f t="shared" ca="1" si="560"/>
        <v>0</v>
      </c>
      <c r="ER320" s="48">
        <f ca="1">IF(ISNA(EQ320)=TRUE,MAX($ER$2:ER319)+1,0)</f>
        <v>0</v>
      </c>
      <c r="ES320" s="48" t="str">
        <f t="shared" ca="1" si="570"/>
        <v/>
      </c>
      <c r="ET320" s="48" t="str">
        <f ca="1">IFERROR(INDEX($ER$3:$ES$400,MATCH(ROWS($ET$3:ET320),$ER$3:$ER$400,0),2),"")</f>
        <v/>
      </c>
      <c r="EV320" s="48">
        <f ca="1">IFERROR(INDEX(LIBRO_GIORNALE!$O$11:$P$408,MATCH(ROWS($EV$2:EV319),LIBRO_GIORNALE!$P$11:$P$408,0),1),0)</f>
        <v>0</v>
      </c>
      <c r="EW320" s="48" t="str">
        <f t="shared" ca="1" si="629"/>
        <v>0</v>
      </c>
      <c r="EX320" s="48">
        <f t="shared" ca="1" si="571"/>
        <v>0</v>
      </c>
      <c r="EY320" s="48">
        <f ca="1">IF(EX320&gt;0,MAX($EY$2:EY319)+1,0)</f>
        <v>0</v>
      </c>
      <c r="EZ320" s="48">
        <f ca="1">IFERROR(INDEX($EX$3:$EX$400,MATCH(ROWS($EZ$3:EZ320),$EY$3:$EY$400,0),1),0)</f>
        <v>0</v>
      </c>
      <c r="FA320" s="48">
        <f ca="1">IF(EZ320&gt;0,0,MAX($FA$2:FA319)+1)</f>
        <v>318</v>
      </c>
      <c r="FB320" s="48">
        <f t="shared" ca="1" si="630"/>
        <v>0</v>
      </c>
      <c r="FC320" s="48">
        <f t="shared" ca="1" si="631"/>
        <v>318</v>
      </c>
      <c r="FD320" s="48">
        <f t="shared" ca="1" si="572"/>
        <v>318</v>
      </c>
      <c r="FE320" s="48">
        <f ca="1">IF(FD320=0,0,MAX($FE$2:FE319)+1)</f>
        <v>318</v>
      </c>
      <c r="FF320" s="48">
        <f ca="1">IFERROR(INDEX($FD$3:$FE$400,MATCH(ROWS($FF$3:FF320),$FE$3:$FE$400,0),1),"")</f>
        <v>318</v>
      </c>
      <c r="FG320" s="48">
        <f t="shared" si="610"/>
        <v>0</v>
      </c>
      <c r="FH320" s="48">
        <f t="shared" ca="1" si="573"/>
        <v>0</v>
      </c>
      <c r="FI320" s="48">
        <f ca="1">IF(FH320&lt;&gt;0,MAX($FI$2:FI319)+1,0)</f>
        <v>0</v>
      </c>
      <c r="FJ320" s="48" t="str">
        <f ca="1">IFERROR(INDEX($FH$3:$FI$400,MATCH(ROWS($FJ$3:FJ320),$FI$3:$FI$400,0),1),"")</f>
        <v/>
      </c>
      <c r="FK320" s="48">
        <f ca="1">IF(ABS(SUMIFS(DARE,DEN_G,"="&amp;FJ320,DATA,"&lt;="&amp;FINE_AC,DATA,"&gt;="&amp;INIZIO_A_PC)-SUMIFS(AVERE,DEN_G,"="&amp;FJ320,DATA,"&lt;="&amp;FINE_AC,DATA,"&gt;="&amp;INIZIO_A_PC))&gt;0,MAX($FK$2:FK319)+1,0)</f>
        <v>0</v>
      </c>
      <c r="FL320" s="48" t="str">
        <f ca="1">IF(AND(ROW()-2&lt;&gt;1,ROW()-2&lt;=$FK$1),CONCATENATE(" - ",IFERROR(INDEX($FJ$3:$FK$400,MATCH(ROWS($FL$3:FL320),$FK$3:$FK$400,0),1),"")),IFERROR(INDEX($FJ$3:$FK$400,MATCH(ROWS($FL$3:FL320),$FK$3:$FK$400,0),1),""))</f>
        <v/>
      </c>
      <c r="FM320" s="48">
        <f ca="1">IF(OR(B320="IVA ns/credito",B320="IVA NS/DEBITO",B320="IVA C/ACCONTO",B320="IMPOSTE C/ACCONTO",B320="CREDITI PER RITENUTE SUBITE",B320="CREDITI D'IMPOSTA"),MAX($FM$2:FM319)+1,0)</f>
        <v>0</v>
      </c>
      <c r="FN320" s="48" t="str">
        <f t="shared" ca="1" si="574"/>
        <v/>
      </c>
      <c r="FO320" s="48" t="str">
        <f ca="1">IFERROR(INDEX($FM$3:$FN$400,MATCH(ROWS($FO$3:FO320),$FM$3:$FM$400,0),2),"")</f>
        <v/>
      </c>
      <c r="FP320" s="48">
        <f ca="1">IF(ABS(SUMIFS(DARE,DEN_G,"="&amp;FO320,DATA,"&lt;="&amp;FINE_AC,DATA,"&gt;="&amp;INIZIO_A_PC)-SUMIFS(AVERE,DEN_G,"="&amp;FO320,DATA,"&lt;="&amp;FINE_AC,DATA,"&gt;="&amp;INIZIO_A_PC))&gt;0,MAX($FP$2:FP319)+1,0)</f>
        <v>0</v>
      </c>
      <c r="FQ320" s="48" t="str">
        <f ca="1">IF(AND(ROW()-2&lt;&gt;1,ROW()-2&lt;=$FP$1),CONCATENATE(" - ",IFERROR(INDEX($FO$3:$FP$400,MATCH(ROWS($FQ$3:FQ320),$FP$3:$FP$400,0),1),"")),IFERROR(INDEX($FO$3:$FP$400,MATCH(ROWS($FQ$3:FQ320),$FP$3:$FP$400,0),1),""))</f>
        <v/>
      </c>
    </row>
    <row r="321" spans="1:173" x14ac:dyDescent="0.3">
      <c r="A321" s="48" t="str">
        <f ca="1">IFERROR(IF($A$1=2,INDEX($DH$3:$DN$401,MATCH(ROWS(A$3:A321),$DN$3:$DN$401,0),COLUMN()),IF($A$1=1,INDEX($DQ$3:$DW$401,MATCH(ROWS(A$3:A321),$DW$3:$DW$401,0),COLUMN()),"")),"")</f>
        <v>50.02</v>
      </c>
      <c r="B321" s="48" t="str">
        <f ca="1">IFERROR(IF($A$1=2,INDEX($DH$3:$DN$401,MATCH(ROWS(B$3:B321),$DN$3:$DN$401,0),COLUMN()),IF($A$1=1,INDEX($DQ$3:$DW$400,MATCH(ROWS(B$3:B321),$DW$3:$DW$401,0),COLUMN()),"")),"")</f>
        <v>RIVALUTAZIONE TITOLI</v>
      </c>
      <c r="C321" s="48" t="str">
        <f ca="1">IFERROR(IF($A$1=2,INDEX($DH$3:$DN$401,MATCH(ROWS(C$3:C321),$DN$3:$DN$401,0),COLUMN()),IF($A$1=1,INDEX($DQ$3:$DW$401,MATCH(ROWS(C$3:C321),$DW$3:$DW$401,0),COLUMN()),"")),"")</f>
        <v>E</v>
      </c>
      <c r="D321" s="48" t="str">
        <f ca="1">IFERROR(IF($A$1=2,INDEX($DH$3:$DN$401,MATCH(ROWS(D$3:D321),$DN$3:$DN$401,0),COLUMN()),IF($A$1=1,INDEX($DQ$3:$DW$401,MATCH(ROWS(D$3:D321),$DW$3:$DW$401,0),COLUMN()),"")),"")</f>
        <v>A</v>
      </c>
      <c r="E321" s="48" t="str">
        <f ca="1">IFERROR(IF($A$1=2,INDEX($DH$3:$DN$401,MATCH(ROWS(E$3:E321),$DN$3:$DN$401,0),COLUMN()),IF($A$1=1,INDEX($DQ$3:$DW$401,MATCH(ROWS(E$3:E321),$DW$3:$DW$401,0),COLUMN()),"")),"")</f>
        <v>RICAVI D'ESERCIZIO</v>
      </c>
      <c r="F321" s="48" t="str">
        <f ca="1">IFERROR(IF($A$1=2,INDEX($DH$3:$DN$401,MATCH(ROWS(F$3:F321),$DN$3:$DN$401,0),COLUMN()),IF($A$1=1,INDEX($DQ$3:$DX$401,MATCH(ROWS(F$3:F321),$DW$3:$DW$401,0),COLUMN()),"")),"")</f>
        <v>SE AVERE</v>
      </c>
      <c r="G321" s="48" t="str">
        <f t="shared" ca="1" si="561"/>
        <v>SE</v>
      </c>
      <c r="H321" s="48" t="str">
        <f ca="1">IFERROR(IF($A$1=2,INDEX($DH$3:$DO$400,MATCH(ROWS(H$3:H321),$DN$3:$DN$400,0),COLUMN()),IF($A$1=1,INDEX($DQ$3:$DX$400,MATCH(ROWS(H$3:H321),$DW$3:$DW$400,0),COLUMN()),"")),"")</f>
        <v>ed18c</v>
      </c>
      <c r="M321" s="48">
        <f ca="1">IFERROR(IF(IF(MID($A321,3,3)=".00",MID(A321,1,2),"")&lt;&gt;"",MAX($M$2:M320)+1,0),"")</f>
        <v>0</v>
      </c>
      <c r="N321" s="48" t="str">
        <f t="shared" ca="1" si="562"/>
        <v/>
      </c>
      <c r="O321" s="48" t="str">
        <f ca="1">IF(IFERROR(INDEX($N$3:$O$300,MATCH(ROWS($O$3:O321),$M$3:$M$300,0),1),"")&lt;&gt;"",CONCATENATE(INDEX($N$3:$O$300,MATCH(ROWS($O$3:O321),$M$3:$M$300,0),1),".00"),"")</f>
        <v/>
      </c>
      <c r="P321" s="48" t="str">
        <f t="shared" ca="1" si="563"/>
        <v/>
      </c>
      <c r="Q321" s="48">
        <f ca="1">IF(M321&gt;=1,0,MAX($Q$2:Q320)+1)</f>
        <v>285</v>
      </c>
      <c r="U321" s="48" t="str">
        <f ca="1">IFERROR(INDEX(PDC,MATCH(ROWS(U$3:U321),$V$3:$V$400,0),2),"")</f>
        <v/>
      </c>
      <c r="V321" s="48">
        <f ca="1">IF(AND($T$1="VISUALIZZA TUTTI I CONTI",AA321&lt;&gt;""),MAX($V$2:V320)+1,IF(AND($U$2=2,AI321=$T$1),MAX($V$2:V320)+1,IF(AND($U$2=1,$T$1=AF321),MAX($V$2:V320)+1,0)))</f>
        <v>0</v>
      </c>
      <c r="AA321" s="48" t="str">
        <f t="shared" ca="1" si="564"/>
        <v/>
      </c>
      <c r="AB321" s="48" t="str">
        <f ca="1">IFERROR(INDEX($A$3:$G$400,MATCH(ROWS(AB$3:AB321),$Q$3:$Q$400,0),1),"")</f>
        <v/>
      </c>
      <c r="AC321" s="48" t="str">
        <f ca="1">IFERROR(INDEX($A$3:$G$400,MATCH(ROWS($AC$3:AC321),$Q$3:$Q$400,0),2),"")</f>
        <v/>
      </c>
      <c r="AD321" s="48">
        <f ca="1">IFERROR(INDEX($A$3:$G$400,MATCH(ROWS(AD$3:AD321),$Q$3:$Q$400,0),3),"")</f>
        <v>0</v>
      </c>
      <c r="AE321" s="48" t="str">
        <f ca="1">IFERROR(INDEX($A$3:$G$400,MATCH(ROWS(AE$3:AE321),$Q$3:$Q$400,0),4),"")</f>
        <v/>
      </c>
      <c r="AF321" s="48" t="str">
        <f ca="1">IFERROR(INDEX($A$3:$G$400,MATCH(ROWS(AF$3:AF321),$Q$3:$Q$400,0),5),"")</f>
        <v/>
      </c>
      <c r="AG321" s="48" t="str">
        <f ca="1">IFERROR(INDEX($A$3:$G$400,MATCH(ROWS(AG$3:AG321),$Q$3:$Q$400,0),6),"")</f>
        <v/>
      </c>
      <c r="AH321" s="48" t="str">
        <f ca="1">IFERROR(INDEX($A$3:$G$400,MATCH(ROWS(AH$3:AH321),$Q$3:$Q$400,0),7),"")</f>
        <v/>
      </c>
      <c r="AI321" s="48" t="str">
        <f t="shared" ca="1" si="565"/>
        <v/>
      </c>
      <c r="AJ321" s="48" t="str">
        <f ca="1">IFERROR(INDEX($A$3:$H$400,MATCH(ROWS(AJ$3:AJ321),$Q$3:$Q$400,0),8),"")</f>
        <v/>
      </c>
      <c r="AZ321" s="48" t="str">
        <f t="shared" ca="1" si="584"/>
        <v/>
      </c>
      <c r="BA321" s="48">
        <f t="shared" ca="1" si="611"/>
        <v>0</v>
      </c>
      <c r="BB321" s="48">
        <f t="shared" ca="1" si="612"/>
        <v>0</v>
      </c>
      <c r="BC321" s="48">
        <f t="shared" ca="1" si="613"/>
        <v>0</v>
      </c>
      <c r="BD321" s="48">
        <f t="shared" ca="1" si="614"/>
        <v>0</v>
      </c>
      <c r="BE321" s="48">
        <f t="shared" ca="1" si="615"/>
        <v>0</v>
      </c>
      <c r="BF321" s="48">
        <f t="shared" si="585"/>
        <v>121</v>
      </c>
      <c r="BG321" s="48">
        <f ca="1">IF(IF(AND(OR(INDEX(PDC,MATCH($AC321,DEN_PDC,0),6)="SP DARE",INDEX(PDC,MATCH($AC321,DEN_PDC,0),6)="SP DARE/AVERE"),SUMIFS(DARE,DEN_G,$AC321)&gt;=SUMIFS(AVERE,DEN_G,$AC321)),SUMIFS(DARE,DEN_G,$AC321)-SUMIFS(AVERE,DEN_G,$AC321),0)&gt;0,MAX($BG$2:BG320)+1,0)</f>
        <v>0</v>
      </c>
      <c r="BH321" s="48">
        <f ca="1">IF(IF(AND(OR(INDEX(PDC,MATCH($AC321,DEN_PDC,0),6)="SP AVERE",INDEX(PDC,MATCH($AC321,DEN_PDC,0),6)="SP DARE/AVERE"),SUMIFS(AVERE,DEN_G,$AC321)&gt;=SUMIFS(DARE,DEN_G,$AC321)),SUMIFS(AVERE,DEN_G,$AC321)-SUMIFS(DARE,DEN_G,$AC321),0)&gt;0,MAX(BH$2:BH320)+1,0)</f>
        <v>0</v>
      </c>
      <c r="BI321" s="48">
        <f ca="1">IF(IF(AND(OR(INDEX(PDC,MATCH($AC321,DEN_PDC,0),6)="SE DARE",INDEX(PDC,MATCH($AC321,DEN_PDC,0),6)="SE DARE/AVERE"),SUMIFS(DARE,DEN_G,$AC321)&gt;=SUMIFS(AVERE,DEN_G,$AC321)),SUMIFS(DARE,DEN_G,$AC321)-SUMIFS(AVERE,DEN_G,$AC321),0)&gt;0,MAX(BI$2:BI320)+1,0)</f>
        <v>0</v>
      </c>
      <c r="BJ321" s="48">
        <f ca="1">IF(IF(AND(OR(INDEX(PDC,MATCH($AC321,DEN_PDC,0),6)="SE AVERE",INDEX(PDC,MATCH($AC321,DEN_PDC,0),6)="SE DARE/AVERE"),SUMIFS(AVERE,DEN_G,$AC321)&gt;=SUMIFS(DARE,DEN_G,$AC321)),SUMIFS(AVERE,DEN_G,$AC321)-SUMIFS(DARE,DEN_G,$AC321),0)&gt;0,MAX(BJ$2:BJ320)+1,0)</f>
        <v>0</v>
      </c>
      <c r="BK321" s="48" t="str">
        <f ca="1">IF(AND(AND($DY$2=0,$DY$1=0),$I$1=2,ROW()&gt;$BG$1+2,ROW()&lt;=$BG$1+4),"………………..",IF(AND(OR($DY$2&gt;0,$DY$1&gt;0),$I$1=2,ROW()&gt;$BG$1+2,ROW()&lt;=$BG$1+4),"………………..",IFERROR(INDEX($AC$3:$AC$398,MATCH(ROWS(BK$3:BK321),BG$3:BG$398,0),1),"")))</f>
        <v/>
      </c>
      <c r="BL321" s="48">
        <f t="shared" ca="1" si="549"/>
        <v>0</v>
      </c>
      <c r="BM321" s="48" t="str">
        <f ca="1">IF(AND(OR($DY$2=0,$DY$1=0),$I$1=2,ROW()&gt;$BH$1+2,ROW()&lt;=$BH$1+4),"………………..",IF(AND(OR($DY$2&gt;0,$DY$1&gt;0),$I$1=2,ROW()&gt;$BH$1+2,ROW()&lt;=$BH$1+4),"………………..",IFERROR(INDEX($AC$3:$AC$400,MATCH(ROWS(BM$3:BM321),BH$3:BH$400,0),1),"")))</f>
        <v/>
      </c>
      <c r="BN321" s="48">
        <f t="shared" ca="1" si="550"/>
        <v>0</v>
      </c>
      <c r="BO321" s="48" t="str">
        <f ca="1">IF(AND(OR($DY$2=0,$DY$1=0),$I$1=2,ROW()&gt;$BI$1+2,ROW()&lt;=$BI$1+4),"………………..",IF(AND(OR($DY$2&gt;0,$DY$1&gt;0),$I$1=2,ROW()&gt;$BI$1+2,ROW()&lt;=$BI$1+4),"………………..",IFERROR(INDEX($AC$3:$AC$400,MATCH(ROWS(BO$3:BO321),BI$3:BI$400,0),1),"")))</f>
        <v/>
      </c>
      <c r="BP321" s="48">
        <f t="shared" ca="1" si="551"/>
        <v>0</v>
      </c>
      <c r="BQ321" s="48" t="str">
        <f ca="1">IF(AND(OR($DY$2=0,$DY$1=0),$I$1=2,ROW()&gt;$BJ$1+2,ROW()&lt;=$BJ$1+4),"………………..",IF(AND(OR($DY$2&gt;0,$DY$1&gt;0),$I$1=2,ROW()&gt;$BJ$1+2,ROW()&lt;=$BJ$1+4),"………………..",IFERROR(INDEX($AC$3:$AC$400,MATCH(ROWS(BQ$3:BQ321),BJ$3:BJ$400,0),1),"")))</f>
        <v/>
      </c>
      <c r="BR321" s="48">
        <f t="shared" ca="1" si="552"/>
        <v>0</v>
      </c>
      <c r="BS321" s="48">
        <f ca="1">IF(IF(AND(OR(INDEX(PDC,MATCH($AC321,DEN_PDC,0),4)="D",INDEX(PDC,MATCH($AC321,DEN_PDC,0),4)="D/A"),SUMIFS(DARE,DEN_G,$AC321)&gt;=SUMIFS(AVERE,DEN_G,$AC321)),SUMIFS(DARE,DEN_G,$AC321),IF(AND(OR(INDEX(PDC,MATCH($AC321,DEN_PDC,0),4)="A",INDEX(PDC,MATCH($AC321,DEN_PDC,0),4)="D/A"),SUMIFS(AVERE,DEN_G,$AC321)&gt;=SUMIFS(DARE,DEN_G,$AC321)),SUMIFS(AVERE,DEN_G,$AC321),))&gt;0,MAX($BS$2:BS320)+1,0)</f>
        <v>0</v>
      </c>
      <c r="BT321" s="48" t="str">
        <f ca="1">IF($CO$1=0,"",IF(AND($I$1=2,ROW()&gt;$BR$1,ROW()&lt;=$BS$1)," …………….",IF(AND($E$1=1,$BX$1=1,$I$1=2,ROW()=$BQ$1),"TOTALI",IFERROR(INDEX(PDC,MATCH(ROWS(BT$3:BT321),BS$3:BS718,0),2),""))))</f>
        <v/>
      </c>
      <c r="BU321" s="48">
        <f t="shared" ca="1" si="553"/>
        <v>0</v>
      </c>
      <c r="BV321" s="48">
        <f t="shared" ca="1" si="554"/>
        <v>0</v>
      </c>
      <c r="BW321" s="48">
        <f t="shared" ca="1" si="555"/>
        <v>0</v>
      </c>
      <c r="BX321" s="48">
        <f t="shared" ca="1" si="556"/>
        <v>0</v>
      </c>
      <c r="BY321" s="48">
        <f ca="1">IF(OR(BW321&gt;0,BX321&gt;0),MAX($BY$2:BY320)+1,0)</f>
        <v>0</v>
      </c>
      <c r="BZ321" s="48" t="str">
        <f ca="1">IFERROR(INDEX($BT$3:$BY$400,MATCH(ROWS(BZ$3:BZ321),$BY$3:$BY$400,0),1),"")</f>
        <v/>
      </c>
      <c r="CA321" s="48" t="str">
        <f ca="1">IFERROR(INDEX($BT$3:$BY$400,MATCH(ROWS(CA$3:CA321),$BY$3:$BY$400,0),4),"")</f>
        <v/>
      </c>
      <c r="CB321" s="48" t="str">
        <f ca="1">IFERROR(INDEX($BT$3:$BY$400,MATCH(ROWS(CB$3:CB321),$BY$3:$BY$400,0),5),"")</f>
        <v/>
      </c>
      <c r="CC321" s="48" t="str">
        <f t="shared" ca="1" si="557"/>
        <v/>
      </c>
      <c r="CM321" s="242" t="str">
        <f t="shared" ca="1" si="566"/>
        <v/>
      </c>
      <c r="CN321" s="243">
        <f t="shared" ca="1" si="567"/>
        <v>0</v>
      </c>
      <c r="CO321" s="48" t="str">
        <f t="shared" ca="1" si="568"/>
        <v/>
      </c>
      <c r="CU321" s="48">
        <f ca="1">IF(SUMIFS(AVERE,DEN_G,AC321,AVERE,"&gt;"&amp;0)+SUMIFS(DARE,DEN_G,AC321,DARE,"&gt;"&amp;0)&gt;0,MAX($CU$2:CU320)+1,0)</f>
        <v>0</v>
      </c>
      <c r="CV321" s="48" t="str">
        <f ca="1">IF(IFERROR(INDEX(PDC,MATCH(ROWS($CV$3:CV321),$CU$3:$CU$400,0),2),"")="CONTO DI RISULTATO ECONOMICO","",IFERROR(INDEX(PDC,MATCH(ROWS($CV$3:CV321),$CU$3:$CU$400,0),2),""))</f>
        <v/>
      </c>
      <c r="CW321" s="48">
        <f ca="1">IFERROR(IF(CV321&lt;&gt;"",MAX($CW$2:CW320)+1,0),0)</f>
        <v>0</v>
      </c>
      <c r="CX321" s="48">
        <f t="shared" ca="1" si="627"/>
        <v>25</v>
      </c>
      <c r="CY321" s="48" t="str">
        <f t="shared" ca="1" si="626"/>
        <v>MASTRO</v>
      </c>
      <c r="CZ321" s="48" t="e">
        <f t="shared" ca="1" si="632"/>
        <v>#N/A</v>
      </c>
      <c r="DA321" s="48" t="str">
        <f t="shared" ca="1" si="636"/>
        <v/>
      </c>
      <c r="DB321" s="48" t="str">
        <f t="shared" ca="1" si="592"/>
        <v/>
      </c>
      <c r="DC321" s="48" t="str">
        <f t="shared" ca="1" si="633"/>
        <v/>
      </c>
      <c r="DD321" s="48" t="str">
        <f t="shared" ca="1" si="634"/>
        <v/>
      </c>
      <c r="DE321" s="48" t="str">
        <f t="shared" ca="1" si="635"/>
        <v/>
      </c>
      <c r="DF321" s="48">
        <f ca="1">IF(AND(CX321=$DF$1,CX321&lt;&gt;""),0,IF(AND(DB321&lt;&gt;"",OR(DB320&lt;&gt;"",DB322&lt;&gt;"")),MAX($DF$2:DF320)+1,0))</f>
        <v>0</v>
      </c>
      <c r="DH321" s="244" t="s">
        <v>898</v>
      </c>
      <c r="DI321" s="48" t="s">
        <v>444</v>
      </c>
      <c r="DJ321" s="48" t="s">
        <v>311</v>
      </c>
      <c r="DK321" s="48" t="s">
        <v>275</v>
      </c>
      <c r="DL321" s="48" t="s">
        <v>7</v>
      </c>
      <c r="DM321" s="48" t="s">
        <v>301</v>
      </c>
      <c r="DN321" s="48">
        <f ca="1">IF(DI321&lt;&gt;"",MAX($DN$2:DN320)+1,0)</f>
        <v>253</v>
      </c>
      <c r="DO321" s="48" t="s">
        <v>716</v>
      </c>
      <c r="DQ321" s="227" t="s">
        <v>231</v>
      </c>
      <c r="DR321" s="228" t="s">
        <v>292</v>
      </c>
      <c r="DW321" s="48">
        <f ca="1">IF(DR321&lt;&gt;"",MAX($DW$2:DW320)+1,0)</f>
        <v>190</v>
      </c>
      <c r="DY321" s="48" t="str">
        <f t="shared" ca="1" si="558"/>
        <v/>
      </c>
      <c r="EL321" s="48">
        <f t="shared" ca="1" si="559"/>
        <v>0</v>
      </c>
      <c r="EM321" s="48">
        <f ca="1">IF(EL321&gt;=0,0,MAX($EM$2:EM320)+1)</f>
        <v>0</v>
      </c>
      <c r="EN321" s="48" t="str">
        <f t="shared" ca="1" si="569"/>
        <v/>
      </c>
      <c r="EO321" s="48" t="str">
        <f ca="1">IFERROR(INDEX($EM$3:$EN$400,MATCH(ROWS($EO$3:EO321),$EM$3:$EM$400,0),2),"")</f>
        <v/>
      </c>
      <c r="EP321" s="48">
        <f>ROW()</f>
        <v>321</v>
      </c>
      <c r="EQ321" s="48">
        <f t="shared" ca="1" si="560"/>
        <v>0</v>
      </c>
      <c r="ER321" s="48">
        <f ca="1">IF(ISNA(EQ321)=TRUE,MAX($ER$2:ER320)+1,0)</f>
        <v>0</v>
      </c>
      <c r="ES321" s="48" t="str">
        <f t="shared" ca="1" si="570"/>
        <v/>
      </c>
      <c r="ET321" s="48" t="str">
        <f ca="1">IFERROR(INDEX($ER$3:$ES$400,MATCH(ROWS($ET$3:ET321),$ER$3:$ER$400,0),2),"")</f>
        <v/>
      </c>
      <c r="EV321" s="48">
        <f ca="1">IFERROR(INDEX(LIBRO_GIORNALE!$O$11:$P$408,MATCH(ROWS($EV$2:EV320),LIBRO_GIORNALE!$P$11:$P$408,0),1),0)</f>
        <v>0</v>
      </c>
      <c r="EW321" s="48" t="str">
        <f t="shared" ca="1" si="629"/>
        <v>0</v>
      </c>
      <c r="EX321" s="48">
        <f t="shared" ca="1" si="571"/>
        <v>0</v>
      </c>
      <c r="EY321" s="48">
        <f ca="1">IF(EX321&gt;0,MAX($EY$2:EY320)+1,0)</f>
        <v>0</v>
      </c>
      <c r="EZ321" s="48">
        <f ca="1">IFERROR(INDEX($EX$3:$EX$400,MATCH(ROWS($EZ$3:EZ321),$EY$3:$EY$400,0),1),0)</f>
        <v>0</v>
      </c>
      <c r="FA321" s="48">
        <f ca="1">IF(EZ321&gt;0,0,MAX($FA$2:FA320)+1)</f>
        <v>319</v>
      </c>
      <c r="FB321" s="48">
        <f t="shared" ca="1" si="630"/>
        <v>0</v>
      </c>
      <c r="FC321" s="48">
        <f t="shared" ca="1" si="631"/>
        <v>319</v>
      </c>
      <c r="FD321" s="48">
        <f t="shared" ca="1" si="572"/>
        <v>319</v>
      </c>
      <c r="FE321" s="48">
        <f ca="1">IF(FD321=0,0,MAX($FE$2:FE320)+1)</f>
        <v>319</v>
      </c>
      <c r="FF321" s="48">
        <f ca="1">IFERROR(INDEX($FD$3:$FE$400,MATCH(ROWS($FF$3:FF321),$FE$3:$FE$400,0),1),"")</f>
        <v>319</v>
      </c>
      <c r="FG321" s="48">
        <f t="shared" si="610"/>
        <v>0</v>
      </c>
      <c r="FH321" s="48">
        <f t="shared" ca="1" si="573"/>
        <v>0</v>
      </c>
      <c r="FI321" s="48">
        <f ca="1">IF(FH321&lt;&gt;0,MAX($FI$2:FI320)+1,0)</f>
        <v>0</v>
      </c>
      <c r="FJ321" s="48" t="str">
        <f ca="1">IFERROR(INDEX($FH$3:$FI$400,MATCH(ROWS($FJ$3:FJ321),$FI$3:$FI$400,0),1),"")</f>
        <v/>
      </c>
      <c r="FK321" s="48">
        <f ca="1">IF(ABS(SUMIFS(DARE,DEN_G,"="&amp;FJ321,DATA,"&lt;="&amp;FINE_AC,DATA,"&gt;="&amp;INIZIO_A_PC)-SUMIFS(AVERE,DEN_G,"="&amp;FJ321,DATA,"&lt;="&amp;FINE_AC,DATA,"&gt;="&amp;INIZIO_A_PC))&gt;0,MAX($FK$2:FK320)+1,0)</f>
        <v>0</v>
      </c>
      <c r="FL321" s="48" t="str">
        <f ca="1">IF(AND(ROW()-2&lt;&gt;1,ROW()-2&lt;=$FK$1),CONCATENATE(" - ",IFERROR(INDEX($FJ$3:$FK$400,MATCH(ROWS($FL$3:FL321),$FK$3:$FK$400,0),1),"")),IFERROR(INDEX($FJ$3:$FK$400,MATCH(ROWS($FL$3:FL321),$FK$3:$FK$400,0),1),""))</f>
        <v/>
      </c>
      <c r="FM321" s="48">
        <f ca="1">IF(OR(B321="IVA ns/credito",B321="IVA NS/DEBITO",B321="IVA C/ACCONTO",B321="IMPOSTE C/ACCONTO",B321="CREDITI PER RITENUTE SUBITE",B321="CREDITI D'IMPOSTA"),MAX($FM$2:FM320)+1,0)</f>
        <v>0</v>
      </c>
      <c r="FN321" s="48" t="str">
        <f t="shared" ca="1" si="574"/>
        <v/>
      </c>
      <c r="FO321" s="48" t="str">
        <f ca="1">IFERROR(INDEX($FM$3:$FN$400,MATCH(ROWS($FO$3:FO321),$FM$3:$FM$400,0),2),"")</f>
        <v/>
      </c>
      <c r="FP321" s="48">
        <f ca="1">IF(ABS(SUMIFS(DARE,DEN_G,"="&amp;FO321,DATA,"&lt;="&amp;FINE_AC,DATA,"&gt;="&amp;INIZIO_A_PC)-SUMIFS(AVERE,DEN_G,"="&amp;FO321,DATA,"&lt;="&amp;FINE_AC,DATA,"&gt;="&amp;INIZIO_A_PC))&gt;0,MAX($FP$2:FP320)+1,0)</f>
        <v>0</v>
      </c>
      <c r="FQ321" s="48" t="str">
        <f ca="1">IF(AND(ROW()-2&lt;&gt;1,ROW()-2&lt;=$FP$1),CONCATENATE(" - ",IFERROR(INDEX($FO$3:$FP$400,MATCH(ROWS($FQ$3:FQ321),$FP$3:$FP$400,0),1),"")),IFERROR(INDEX($FO$3:$FP$400,MATCH(ROWS($FQ$3:FQ321),$FP$3:$FP$400,0),1),""))</f>
        <v/>
      </c>
    </row>
    <row r="322" spans="1:173" x14ac:dyDescent="0.3">
      <c r="A322" s="48" t="str">
        <f ca="1">IFERROR(IF($A$1=2,INDEX($DH$3:$DN$401,MATCH(ROWS(A$3:A322),$DN$3:$DN$401,0),COLUMN()),IF($A$1=1,INDEX($DQ$3:$DW$401,MATCH(ROWS(A$3:A322),$DW$3:$DW$401,0),COLUMN()),"")),"")</f>
        <v>51.00</v>
      </c>
      <c r="B322" s="48" t="str">
        <f ca="1">IFERROR(IF($A$1=2,INDEX($DH$3:$DN$401,MATCH(ROWS(B$3:B322),$DN$3:$DN$401,0),COLUMN()),IF($A$1=1,INDEX($DQ$3:$DW$400,MATCH(ROWS(B$3:B322),$DW$3:$DW$401,0),COLUMN()),"")),"")</f>
        <v>SVALUTAZIONI DI ATTIVITÀ FINANZIARIE</v>
      </c>
      <c r="C322" s="48">
        <f ca="1">IFERROR(IF($A$1=2,INDEX($DH$3:$DN$401,MATCH(ROWS(C$3:C322),$DN$3:$DN$401,0),COLUMN()),IF($A$1=1,INDEX($DQ$3:$DW$401,MATCH(ROWS(C$3:C322),$DW$3:$DW$401,0),COLUMN()),"")),"")</f>
        <v>0</v>
      </c>
      <c r="D322" s="48">
        <f ca="1">IFERROR(IF($A$1=2,INDEX($DH$3:$DN$401,MATCH(ROWS(D$3:D322),$DN$3:$DN$401,0),COLUMN()),IF($A$1=1,INDEX($DQ$3:$DW$401,MATCH(ROWS(D$3:D322),$DW$3:$DW$401,0),COLUMN()),"")),"")</f>
        <v>0</v>
      </c>
      <c r="E322" s="48">
        <f ca="1">IFERROR(IF($A$1=2,INDEX($DH$3:$DN$401,MATCH(ROWS(E$3:E322),$DN$3:$DN$401,0),COLUMN()),IF($A$1=1,INDEX($DQ$3:$DW$401,MATCH(ROWS(E$3:E322),$DW$3:$DW$401,0),COLUMN()),"")),"")</f>
        <v>0</v>
      </c>
      <c r="F322" s="48">
        <f ca="1">IFERROR(IF($A$1=2,INDEX($DH$3:$DN$401,MATCH(ROWS(F$3:F322),$DN$3:$DN$401,0),COLUMN()),IF($A$1=1,INDEX($DQ$3:$DX$401,MATCH(ROWS(F$3:F322),$DW$3:$DW$401,0),COLUMN()),"")),"")</f>
        <v>0</v>
      </c>
      <c r="G322" s="48" t="str">
        <f t="shared" ca="1" si="561"/>
        <v>0</v>
      </c>
      <c r="H322" s="48">
        <f ca="1">IFERROR(IF($A$1=2,INDEX($DH$3:$DO$400,MATCH(ROWS(H$3:H322),$DN$3:$DN$400,0),COLUMN()),IF($A$1=1,INDEX($DQ$3:$DX$400,MATCH(ROWS(H$3:H322),$DW$3:$DW$400,0),COLUMN()),"")),"")</f>
        <v>0</v>
      </c>
      <c r="M322" s="48">
        <f ca="1">IFERROR(IF(IF(MID($A322,3,3)=".00",MID(A322,1,2),"")&lt;&gt;"",MAX($M$2:M321)+1,0),"")</f>
        <v>35</v>
      </c>
      <c r="N322" s="48" t="str">
        <f t="shared" ca="1" si="562"/>
        <v>51</v>
      </c>
      <c r="O322" s="48" t="str">
        <f ca="1">IF(IFERROR(INDEX($N$3:$O$300,MATCH(ROWS($O$3:O322),$M$3:$M$300,0),1),"")&lt;&gt;"",CONCATENATE(INDEX($N$3:$O$300,MATCH(ROWS($O$3:O322),$M$3:$M$300,0),1),".00"),"")</f>
        <v/>
      </c>
      <c r="P322" s="48" t="str">
        <f t="shared" ca="1" si="563"/>
        <v/>
      </c>
      <c r="Q322" s="48">
        <f ca="1">IF(M322&gt;=1,0,MAX($Q$2:Q321)+1)</f>
        <v>0</v>
      </c>
      <c r="U322" s="48" t="str">
        <f ca="1">IFERROR(INDEX(PDC,MATCH(ROWS(U$3:U322),$V$3:$V$400,0),2),"")</f>
        <v/>
      </c>
      <c r="V322" s="48">
        <f ca="1">IF(AND($T$1="VISUALIZZA TUTTI I CONTI",AA322&lt;&gt;""),MAX($V$2:V321)+1,IF(AND($U$2=2,AI322=$T$1),MAX($V$2:V321)+1,IF(AND($U$2=1,$T$1=AF322),MAX($V$2:V321)+1,0)))</f>
        <v>0</v>
      </c>
      <c r="AA322" s="48" t="str">
        <f t="shared" ca="1" si="564"/>
        <v/>
      </c>
      <c r="AB322" s="48" t="str">
        <f ca="1">IFERROR(INDEX($A$3:$G$400,MATCH(ROWS(AB$3:AB322),$Q$3:$Q$400,0),1),"")</f>
        <v/>
      </c>
      <c r="AC322" s="48" t="str">
        <f ca="1">IFERROR(INDEX($A$3:$G$400,MATCH(ROWS($AC$3:AC322),$Q$3:$Q$400,0),2),"")</f>
        <v/>
      </c>
      <c r="AD322" s="48">
        <f ca="1">IFERROR(INDEX($A$3:$G$400,MATCH(ROWS(AD$3:AD322),$Q$3:$Q$400,0),3),"")</f>
        <v>0</v>
      </c>
      <c r="AE322" s="48" t="str">
        <f ca="1">IFERROR(INDEX($A$3:$G$400,MATCH(ROWS(AE$3:AE322),$Q$3:$Q$400,0),4),"")</f>
        <v/>
      </c>
      <c r="AF322" s="48" t="str">
        <f ca="1">IFERROR(INDEX($A$3:$G$400,MATCH(ROWS(AF$3:AF322),$Q$3:$Q$400,0),5),"")</f>
        <v/>
      </c>
      <c r="AG322" s="48" t="str">
        <f ca="1">IFERROR(INDEX($A$3:$G$400,MATCH(ROWS(AG$3:AG322),$Q$3:$Q$400,0),6),"")</f>
        <v/>
      </c>
      <c r="AH322" s="48" t="str">
        <f ca="1">IFERROR(INDEX($A$3:$G$400,MATCH(ROWS(AH$3:AH322),$Q$3:$Q$400,0),7),"")</f>
        <v/>
      </c>
      <c r="AI322" s="48" t="str">
        <f t="shared" ca="1" si="565"/>
        <v/>
      </c>
      <c r="AJ322" s="48" t="str">
        <f ca="1">IFERROR(INDEX($A$3:$H$400,MATCH(ROWS(AJ$3:AJ322),$Q$3:$Q$400,0),8),"")</f>
        <v/>
      </c>
      <c r="AZ322" s="48" t="str">
        <f t="shared" ca="1" si="584"/>
        <v/>
      </c>
      <c r="BA322" s="48">
        <f t="shared" ca="1" si="611"/>
        <v>0</v>
      </c>
      <c r="BB322" s="48">
        <f t="shared" ca="1" si="612"/>
        <v>0</v>
      </c>
      <c r="BC322" s="48">
        <f t="shared" ca="1" si="613"/>
        <v>0</v>
      </c>
      <c r="BD322" s="48">
        <f t="shared" ca="1" si="614"/>
        <v>0</v>
      </c>
      <c r="BE322" s="48">
        <f t="shared" ca="1" si="615"/>
        <v>0</v>
      </c>
      <c r="BF322" s="48">
        <f t="shared" si="585"/>
        <v>122</v>
      </c>
      <c r="BG322" s="48">
        <f ca="1">IF(IF(AND(OR(INDEX(PDC,MATCH($AC322,DEN_PDC,0),6)="SP DARE",INDEX(PDC,MATCH($AC322,DEN_PDC,0),6)="SP DARE/AVERE"),SUMIFS(DARE,DEN_G,$AC322)&gt;=SUMIFS(AVERE,DEN_G,$AC322)),SUMIFS(DARE,DEN_G,$AC322)-SUMIFS(AVERE,DEN_G,$AC322),0)&gt;0,MAX($BG$2:BG321)+1,0)</f>
        <v>0</v>
      </c>
      <c r="BH322" s="48">
        <f ca="1">IF(IF(AND(OR(INDEX(PDC,MATCH($AC322,DEN_PDC,0),6)="SP AVERE",INDEX(PDC,MATCH($AC322,DEN_PDC,0),6)="SP DARE/AVERE"),SUMIFS(AVERE,DEN_G,$AC322)&gt;=SUMIFS(DARE,DEN_G,$AC322)),SUMIFS(AVERE,DEN_G,$AC322)-SUMIFS(DARE,DEN_G,$AC322),0)&gt;0,MAX(BH$2:BH321)+1,0)</f>
        <v>0</v>
      </c>
      <c r="BI322" s="48">
        <f ca="1">IF(IF(AND(OR(INDEX(PDC,MATCH($AC322,DEN_PDC,0),6)="SE DARE",INDEX(PDC,MATCH($AC322,DEN_PDC,0),6)="SE DARE/AVERE"),SUMIFS(DARE,DEN_G,$AC322)&gt;=SUMIFS(AVERE,DEN_G,$AC322)),SUMIFS(DARE,DEN_G,$AC322)-SUMIFS(AVERE,DEN_G,$AC322),0)&gt;0,MAX(BI$2:BI321)+1,0)</f>
        <v>0</v>
      </c>
      <c r="BJ322" s="48">
        <f ca="1">IF(IF(AND(OR(INDEX(PDC,MATCH($AC322,DEN_PDC,0),6)="SE AVERE",INDEX(PDC,MATCH($AC322,DEN_PDC,0),6)="SE DARE/AVERE"),SUMIFS(AVERE,DEN_G,$AC322)&gt;=SUMIFS(DARE,DEN_G,$AC322)),SUMIFS(AVERE,DEN_G,$AC322)-SUMIFS(DARE,DEN_G,$AC322),0)&gt;0,MAX(BJ$2:BJ321)+1,0)</f>
        <v>0</v>
      </c>
      <c r="BK322" s="48" t="str">
        <f ca="1">IF(AND(AND($DY$2=0,$DY$1=0),$I$1=2,ROW()&gt;$BG$1+2,ROW()&lt;=$BG$1+4),"………………..",IF(AND(OR($DY$2&gt;0,$DY$1&gt;0),$I$1=2,ROW()&gt;$BG$1+2,ROW()&lt;=$BG$1+4),"………………..",IFERROR(INDEX($AC$3:$AC$398,MATCH(ROWS(BK$3:BK322),BG$3:BG$398,0),1),"")))</f>
        <v/>
      </c>
      <c r="BL322" s="48">
        <f t="shared" ca="1" si="549"/>
        <v>0</v>
      </c>
      <c r="BM322" s="48" t="str">
        <f ca="1">IF(AND(OR($DY$2=0,$DY$1=0),$I$1=2,ROW()&gt;$BH$1+2,ROW()&lt;=$BH$1+4),"………………..",IF(AND(OR($DY$2&gt;0,$DY$1&gt;0),$I$1=2,ROW()&gt;$BH$1+2,ROW()&lt;=$BH$1+4),"………………..",IFERROR(INDEX($AC$3:$AC$400,MATCH(ROWS(BM$3:BM322),BH$3:BH$400,0),1),"")))</f>
        <v/>
      </c>
      <c r="BN322" s="48">
        <f t="shared" ca="1" si="550"/>
        <v>0</v>
      </c>
      <c r="BO322" s="48" t="str">
        <f ca="1">IF(AND(OR($DY$2=0,$DY$1=0),$I$1=2,ROW()&gt;$BI$1+2,ROW()&lt;=$BI$1+4),"………………..",IF(AND(OR($DY$2&gt;0,$DY$1&gt;0),$I$1=2,ROW()&gt;$BI$1+2,ROW()&lt;=$BI$1+4),"………………..",IFERROR(INDEX($AC$3:$AC$400,MATCH(ROWS(BO$3:BO322),BI$3:BI$400,0),1),"")))</f>
        <v/>
      </c>
      <c r="BP322" s="48">
        <f t="shared" ca="1" si="551"/>
        <v>0</v>
      </c>
      <c r="BQ322" s="48" t="str">
        <f ca="1">IF(AND(OR($DY$2=0,$DY$1=0),$I$1=2,ROW()&gt;$BJ$1+2,ROW()&lt;=$BJ$1+4),"………………..",IF(AND(OR($DY$2&gt;0,$DY$1&gt;0),$I$1=2,ROW()&gt;$BJ$1+2,ROW()&lt;=$BJ$1+4),"………………..",IFERROR(INDEX($AC$3:$AC$400,MATCH(ROWS(BQ$3:BQ322),BJ$3:BJ$400,0),1),"")))</f>
        <v/>
      </c>
      <c r="BR322" s="48">
        <f t="shared" ca="1" si="552"/>
        <v>0</v>
      </c>
      <c r="BS322" s="48">
        <f ca="1">IF(IF(AND(OR(INDEX(PDC,MATCH($AC322,DEN_PDC,0),4)="D",INDEX(PDC,MATCH($AC322,DEN_PDC,0),4)="D/A"),SUMIFS(DARE,DEN_G,$AC322)&gt;=SUMIFS(AVERE,DEN_G,$AC322)),SUMIFS(DARE,DEN_G,$AC322),IF(AND(OR(INDEX(PDC,MATCH($AC322,DEN_PDC,0),4)="A",INDEX(PDC,MATCH($AC322,DEN_PDC,0),4)="D/A"),SUMIFS(AVERE,DEN_G,$AC322)&gt;=SUMIFS(DARE,DEN_G,$AC322)),SUMIFS(AVERE,DEN_G,$AC322),))&gt;0,MAX($BS$2:BS321)+1,0)</f>
        <v>0</v>
      </c>
      <c r="BT322" s="48" t="str">
        <f ca="1">IF($CO$1=0,"",IF(AND($I$1=2,ROW()&gt;$BR$1,ROW()&lt;=$BS$1)," …………….",IF(AND($E$1=1,$BX$1=1,$I$1=2,ROW()=$BQ$1),"TOTALI",IFERROR(INDEX(PDC,MATCH(ROWS(BT$3:BT322),BS$3:BS719,0),2),""))))</f>
        <v/>
      </c>
      <c r="BU322" s="48">
        <f t="shared" ca="1" si="553"/>
        <v>0</v>
      </c>
      <c r="BV322" s="48">
        <f t="shared" ca="1" si="554"/>
        <v>0</v>
      </c>
      <c r="BW322" s="48">
        <f t="shared" ca="1" si="555"/>
        <v>0</v>
      </c>
      <c r="BX322" s="48">
        <f t="shared" ca="1" si="556"/>
        <v>0</v>
      </c>
      <c r="BY322" s="48">
        <f ca="1">IF(OR(BW322&gt;0,BX322&gt;0),MAX($BY$2:BY321)+1,0)</f>
        <v>0</v>
      </c>
      <c r="BZ322" s="48" t="str">
        <f ca="1">IFERROR(INDEX($BT$3:$BY$400,MATCH(ROWS(BZ$3:BZ322),$BY$3:$BY$400,0),1),"")</f>
        <v/>
      </c>
      <c r="CA322" s="48" t="str">
        <f ca="1">IFERROR(INDEX($BT$3:$BY$400,MATCH(ROWS(CA$3:CA322),$BY$3:$BY$400,0),4),"")</f>
        <v/>
      </c>
      <c r="CB322" s="48" t="str">
        <f ca="1">IFERROR(INDEX($BT$3:$BY$400,MATCH(ROWS(CB$3:CB322),$BY$3:$BY$400,0),5),"")</f>
        <v/>
      </c>
      <c r="CC322" s="48" t="str">
        <f t="shared" ca="1" si="557"/>
        <v/>
      </c>
      <c r="CM322" s="242" t="str">
        <f t="shared" ca="1" si="566"/>
        <v/>
      </c>
      <c r="CN322" s="243">
        <f t="shared" ca="1" si="567"/>
        <v>0</v>
      </c>
      <c r="CO322" s="48" t="str">
        <f t="shared" ca="1" si="568"/>
        <v/>
      </c>
      <c r="CU322" s="48">
        <f ca="1">IF(SUMIFS(AVERE,DEN_G,AC322,AVERE,"&gt;"&amp;0)+SUMIFS(DARE,DEN_G,AC322,DARE,"&gt;"&amp;0)&gt;0,MAX($CU$2:CU321)+1,0)</f>
        <v>0</v>
      </c>
      <c r="CV322" s="48" t="str">
        <f ca="1">IF(IFERROR(INDEX(PDC,MATCH(ROWS($CV$3:CV322),$CU$3:$CU$400,0),2),"")="CONTO DI RISULTATO ECONOMICO","",IFERROR(INDEX(PDC,MATCH(ROWS($CV$3:CV322),$CU$3:$CU$400,0),2),""))</f>
        <v/>
      </c>
      <c r="CW322" s="48">
        <f ca="1">IFERROR(IF(CV322&lt;&gt;"",MAX($CW$2:CW321)+1,0),0)</f>
        <v>0</v>
      </c>
      <c r="CX322" s="48">
        <f t="shared" ca="1" si="627"/>
        <v>25</v>
      </c>
      <c r="CY322" s="48" t="str">
        <f t="shared" ca="1" si="626"/>
        <v>MASTRO</v>
      </c>
      <c r="CZ322" s="48" t="e">
        <f t="shared" ca="1" si="632"/>
        <v>#N/A</v>
      </c>
      <c r="DA322" s="48" t="str">
        <f t="shared" ca="1" si="636"/>
        <v/>
      </c>
      <c r="DB322" s="48" t="str">
        <f t="shared" ca="1" si="592"/>
        <v/>
      </c>
      <c r="DC322" s="48" t="str">
        <f t="shared" ca="1" si="633"/>
        <v/>
      </c>
      <c r="DD322" s="48" t="str">
        <f t="shared" ca="1" si="634"/>
        <v/>
      </c>
      <c r="DE322" s="48" t="str">
        <f t="shared" ca="1" si="635"/>
        <v/>
      </c>
      <c r="DF322" s="48">
        <f ca="1">IF(AND(CX322=$DF$1,CX322&lt;&gt;""),0,IF(AND(DB322&lt;&gt;"",OR(DB321&lt;&gt;"",DB323&lt;&gt;"")),MAX($DF$2:DF321)+1,0))</f>
        <v>0</v>
      </c>
      <c r="DH322" s="244" t="s">
        <v>899</v>
      </c>
      <c r="DI322" s="48" t="s">
        <v>1068</v>
      </c>
      <c r="DJ322" s="48" t="s">
        <v>311</v>
      </c>
      <c r="DK322" s="48" t="s">
        <v>275</v>
      </c>
      <c r="DL322" s="48" t="s">
        <v>7</v>
      </c>
      <c r="DM322" s="48" t="s">
        <v>301</v>
      </c>
      <c r="DN322" s="48">
        <f ca="1">IF(DI322&lt;&gt;"",MAX($DN$2:DN321)+1,0)</f>
        <v>254</v>
      </c>
      <c r="DO322" s="48" t="s">
        <v>716</v>
      </c>
      <c r="DQ322" s="227" t="s">
        <v>238</v>
      </c>
      <c r="DR322" s="48" t="s">
        <v>232</v>
      </c>
      <c r="DS322" s="48" t="s">
        <v>311</v>
      </c>
      <c r="DT322" s="48" t="s">
        <v>275</v>
      </c>
      <c r="DU322" s="48" t="s">
        <v>7</v>
      </c>
      <c r="DV322" s="48" t="s">
        <v>301</v>
      </c>
      <c r="DW322" s="48">
        <f ca="1">IF(DR322&lt;&gt;"",MAX($DW$2:DW321)+1,0)</f>
        <v>191</v>
      </c>
      <c r="DX322" s="48" t="str">
        <f ca="1">IF($BF$9=1,"eb10b","eb10a")</f>
        <v>eb10a</v>
      </c>
      <c r="DY322" s="48" t="str">
        <f t="shared" ca="1" si="558"/>
        <v/>
      </c>
      <c r="EL322" s="48">
        <f t="shared" ca="1" si="559"/>
        <v>0</v>
      </c>
      <c r="EM322" s="48">
        <f ca="1">IF(EL322&gt;=0,0,MAX($EM$2:EM321)+1)</f>
        <v>0</v>
      </c>
      <c r="EN322" s="48" t="str">
        <f t="shared" ca="1" si="569"/>
        <v/>
      </c>
      <c r="EO322" s="48" t="str">
        <f ca="1">IFERROR(INDEX($EM$3:$EN$400,MATCH(ROWS($EO$3:EO322),$EM$3:$EM$400,0),2),"")</f>
        <v/>
      </c>
      <c r="EP322" s="48">
        <f>ROW()</f>
        <v>322</v>
      </c>
      <c r="EQ322" s="48">
        <f t="shared" ca="1" si="560"/>
        <v>0</v>
      </c>
      <c r="ER322" s="48">
        <f ca="1">IF(ISNA(EQ322)=TRUE,MAX($ER$2:ER321)+1,0)</f>
        <v>0</v>
      </c>
      <c r="ES322" s="48" t="str">
        <f t="shared" ca="1" si="570"/>
        <v/>
      </c>
      <c r="ET322" s="48" t="str">
        <f ca="1">IFERROR(INDEX($ER$3:$ES$400,MATCH(ROWS($ET$3:ET322),$ER$3:$ER$400,0),2),"")</f>
        <v/>
      </c>
      <c r="EV322" s="48">
        <f ca="1">IFERROR(INDEX(LIBRO_GIORNALE!$O$11:$P$408,MATCH(ROWS($EV$2:EV321),LIBRO_GIORNALE!$P$11:$P$408,0),1),0)</f>
        <v>0</v>
      </c>
      <c r="EW322" s="48" t="str">
        <f t="shared" ca="1" si="629"/>
        <v>0</v>
      </c>
      <c r="EX322" s="48">
        <f t="shared" ca="1" si="571"/>
        <v>0</v>
      </c>
      <c r="EY322" s="48">
        <f ca="1">IF(EX322&gt;0,MAX($EY$2:EY321)+1,0)</f>
        <v>0</v>
      </c>
      <c r="EZ322" s="48">
        <f ca="1">IFERROR(INDEX($EX$3:$EX$400,MATCH(ROWS($EZ$3:EZ322),$EY$3:$EY$400,0),1),0)</f>
        <v>0</v>
      </c>
      <c r="FA322" s="48">
        <f ca="1">IF(EZ322&gt;0,0,MAX($FA$2:FA321)+1)</f>
        <v>320</v>
      </c>
      <c r="FB322" s="48">
        <f t="shared" ca="1" si="630"/>
        <v>0</v>
      </c>
      <c r="FC322" s="48">
        <f t="shared" ca="1" si="631"/>
        <v>320</v>
      </c>
      <c r="FD322" s="48">
        <f t="shared" ca="1" si="572"/>
        <v>320</v>
      </c>
      <c r="FE322" s="48">
        <f ca="1">IF(FD322=0,0,MAX($FE$2:FE321)+1)</f>
        <v>320</v>
      </c>
      <c r="FF322" s="48">
        <f ca="1">IFERROR(INDEX($FD$3:$FE$400,MATCH(ROWS($FF$3:FF322),$FE$3:$FE$400,0),1),"")</f>
        <v>320</v>
      </c>
      <c r="FG322" s="48">
        <f t="shared" si="610"/>
        <v>0</v>
      </c>
      <c r="FH322" s="48">
        <f t="shared" ca="1" si="573"/>
        <v>0</v>
      </c>
      <c r="FI322" s="48">
        <f ca="1">IF(FH322&lt;&gt;0,MAX($FI$2:FI321)+1,0)</f>
        <v>0</v>
      </c>
      <c r="FJ322" s="48" t="str">
        <f ca="1">IFERROR(INDEX($FH$3:$FI$400,MATCH(ROWS($FJ$3:FJ322),$FI$3:$FI$400,0),1),"")</f>
        <v/>
      </c>
      <c r="FK322" s="48">
        <f ca="1">IF(ABS(SUMIFS(DARE,DEN_G,"="&amp;FJ322,DATA,"&lt;="&amp;FINE_AC,DATA,"&gt;="&amp;INIZIO_A_PC)-SUMIFS(AVERE,DEN_G,"="&amp;FJ322,DATA,"&lt;="&amp;FINE_AC,DATA,"&gt;="&amp;INIZIO_A_PC))&gt;0,MAX($FK$2:FK321)+1,0)</f>
        <v>0</v>
      </c>
      <c r="FL322" s="48" t="str">
        <f ca="1">IF(AND(ROW()-2&lt;&gt;1,ROW()-2&lt;=$FK$1),CONCATENATE(" - ",IFERROR(INDEX($FJ$3:$FK$400,MATCH(ROWS($FL$3:FL322),$FK$3:$FK$400,0),1),"")),IFERROR(INDEX($FJ$3:$FK$400,MATCH(ROWS($FL$3:FL322),$FK$3:$FK$400,0),1),""))</f>
        <v/>
      </c>
      <c r="FM322" s="48">
        <f ca="1">IF(OR(B322="IVA ns/credito",B322="IVA NS/DEBITO",B322="IVA C/ACCONTO",B322="IMPOSTE C/ACCONTO",B322="CREDITI PER RITENUTE SUBITE",B322="CREDITI D'IMPOSTA"),MAX($FM$2:FM321)+1,0)</f>
        <v>0</v>
      </c>
      <c r="FN322" s="48" t="str">
        <f t="shared" ca="1" si="574"/>
        <v/>
      </c>
      <c r="FO322" s="48" t="str">
        <f ca="1">IFERROR(INDEX($FM$3:$FN$400,MATCH(ROWS($FO$3:FO322),$FM$3:$FM$400,0),2),"")</f>
        <v/>
      </c>
      <c r="FP322" s="48">
        <f ca="1">IF(ABS(SUMIFS(DARE,DEN_G,"="&amp;FO322,DATA,"&lt;="&amp;FINE_AC,DATA,"&gt;="&amp;INIZIO_A_PC)-SUMIFS(AVERE,DEN_G,"="&amp;FO322,DATA,"&lt;="&amp;FINE_AC,DATA,"&gt;="&amp;INIZIO_A_PC))&gt;0,MAX($FP$2:FP321)+1,0)</f>
        <v>0</v>
      </c>
      <c r="FQ322" s="48" t="str">
        <f ca="1">IF(AND(ROW()-2&lt;&gt;1,ROW()-2&lt;=$FP$1),CONCATENATE(" - ",IFERROR(INDEX($FO$3:$FP$400,MATCH(ROWS($FQ$3:FQ322),$FP$3:$FP$400,0),1),"")),IFERROR(INDEX($FO$3:$FP$400,MATCH(ROWS($FQ$3:FQ322),$FP$3:$FP$400,0),1),""))</f>
        <v/>
      </c>
    </row>
    <row r="323" spans="1:173" x14ac:dyDescent="0.3">
      <c r="A323" s="48" t="str">
        <f ca="1">IFERROR(IF($A$1=2,INDEX($DH$3:$DN$401,MATCH(ROWS(A$3:A323),$DN$3:$DN$401,0),COLUMN()),IF($A$1=1,INDEX($DQ$3:$DW$401,MATCH(ROWS(A$3:A323),$DW$3:$DW$401,0),COLUMN()),"")),"")</f>
        <v>51.10</v>
      </c>
      <c r="B323" s="48" t="str">
        <f ca="1">IFERROR(IF($A$1=2,INDEX($DH$3:$DN$401,MATCH(ROWS(B$3:B323),$DN$3:$DN$401,0),COLUMN()),IF($A$1=1,INDEX($DQ$3:$DW$400,MATCH(ROWS(B$3:B323),$DW$3:$DW$401,0),COLUMN()),"")),"")</f>
        <v>SVALUTAZIONE PARTECIPAZIONI</v>
      </c>
      <c r="C323" s="48" t="str">
        <f ca="1">IFERROR(IF($A$1=2,INDEX($DH$3:$DN$401,MATCH(ROWS(C$3:C323),$DN$3:$DN$401,0),COLUMN()),IF($A$1=1,INDEX($DQ$3:$DW$401,MATCH(ROWS(C$3:C323),$DW$3:$DW$401,0),COLUMN()),"")),"")</f>
        <v>E</v>
      </c>
      <c r="D323" s="48" t="str">
        <f ca="1">IFERROR(IF($A$1=2,INDEX($DH$3:$DN$401,MATCH(ROWS(D$3:D323),$DN$3:$DN$401,0),COLUMN()),IF($A$1=1,INDEX($DQ$3:$DW$401,MATCH(ROWS(D$3:D323),$DW$3:$DW$401,0),COLUMN()),"")),"")</f>
        <v>D</v>
      </c>
      <c r="E323" s="48" t="str">
        <f ca="1">IFERROR(IF($A$1=2,INDEX($DH$3:$DN$401,MATCH(ROWS(E$3:E323),$DN$3:$DN$401,0),COLUMN()),IF($A$1=1,INDEX($DQ$3:$DW$401,MATCH(ROWS(E$3:E323),$DW$3:$DW$401,0),COLUMN()),"")),"")</f>
        <v>COSTI D'ESERCIZIO</v>
      </c>
      <c r="F323" s="48" t="str">
        <f ca="1">IFERROR(IF($A$1=2,INDEX($DH$3:$DN$401,MATCH(ROWS(F$3:F323),$DN$3:$DN$401,0),COLUMN()),IF($A$1=1,INDEX($DQ$3:$DX$401,MATCH(ROWS(F$3:F323),$DW$3:$DW$401,0),COLUMN()),"")),"")</f>
        <v>SE DARE</v>
      </c>
      <c r="G323" s="48" t="str">
        <f t="shared" ca="1" si="561"/>
        <v>SE</v>
      </c>
      <c r="H323" s="48" t="str">
        <f ca="1">IFERROR(IF($A$1=2,INDEX($DH$3:$DO$400,MATCH(ROWS(H$3:H323),$DN$3:$DN$400,0),COLUMN()),IF($A$1=1,INDEX($DQ$3:$DX$400,MATCH(ROWS(H$3:H323),$DW$3:$DW$400,0),COLUMN()),"")),"")</f>
        <v>ed19a</v>
      </c>
      <c r="M323" s="48">
        <f ca="1">IFERROR(IF(IF(MID($A323,3,3)=".00",MID(A323,1,2),"")&lt;&gt;"",MAX($M$2:M322)+1,0),"")</f>
        <v>0</v>
      </c>
      <c r="N323" s="48" t="str">
        <f t="shared" ca="1" si="562"/>
        <v/>
      </c>
      <c r="O323" s="48" t="str">
        <f ca="1">IF(IFERROR(INDEX($N$3:$O$300,MATCH(ROWS($O$3:O323),$M$3:$M$300,0),1),"")&lt;&gt;"",CONCATENATE(INDEX($N$3:$O$300,MATCH(ROWS($O$3:O323),$M$3:$M$300,0),1),".00"),"")</f>
        <v/>
      </c>
      <c r="P323" s="48" t="str">
        <f t="shared" ca="1" si="563"/>
        <v/>
      </c>
      <c r="Q323" s="48">
        <f ca="1">IF(M323&gt;=1,0,MAX($Q$2:Q322)+1)</f>
        <v>286</v>
      </c>
      <c r="U323" s="48" t="str">
        <f ca="1">IFERROR(INDEX(PDC,MATCH(ROWS(U$3:U323),$V$3:$V$400,0),2),"")</f>
        <v/>
      </c>
      <c r="V323" s="48">
        <f ca="1">IF(AND($T$1="VISUALIZZA TUTTI I CONTI",AA323&lt;&gt;""),MAX($V$2:V322)+1,IF(AND($U$2=2,AI323=$T$1),MAX($V$2:V322)+1,IF(AND($U$2=1,$T$1=AF323),MAX($V$2:V322)+1,0)))</f>
        <v>0</v>
      </c>
      <c r="AA323" s="48" t="str">
        <f t="shared" ca="1" si="564"/>
        <v/>
      </c>
      <c r="AB323" s="48" t="str">
        <f ca="1">IFERROR(INDEX($A$3:$G$400,MATCH(ROWS(AB$3:AB323),$Q$3:$Q$400,0),1),"")</f>
        <v/>
      </c>
      <c r="AC323" s="48" t="str">
        <f ca="1">IFERROR(INDEX($A$3:$G$400,MATCH(ROWS($AC$3:AC323),$Q$3:$Q$400,0),2),"")</f>
        <v/>
      </c>
      <c r="AD323" s="48">
        <f ca="1">IFERROR(INDEX($A$3:$G$400,MATCH(ROWS(AD$3:AD323),$Q$3:$Q$400,0),3),"")</f>
        <v>0</v>
      </c>
      <c r="AE323" s="48" t="str">
        <f ca="1">IFERROR(INDEX($A$3:$G$400,MATCH(ROWS(AE$3:AE323),$Q$3:$Q$400,0),4),"")</f>
        <v/>
      </c>
      <c r="AF323" s="48" t="str">
        <f ca="1">IFERROR(INDEX($A$3:$G$400,MATCH(ROWS(AF$3:AF323),$Q$3:$Q$400,0),5),"")</f>
        <v/>
      </c>
      <c r="AG323" s="48" t="str">
        <f ca="1">IFERROR(INDEX($A$3:$G$400,MATCH(ROWS(AG$3:AG323),$Q$3:$Q$400,0),6),"")</f>
        <v/>
      </c>
      <c r="AH323" s="48" t="str">
        <f ca="1">IFERROR(INDEX($A$3:$G$400,MATCH(ROWS(AH$3:AH323),$Q$3:$Q$400,0),7),"")</f>
        <v/>
      </c>
      <c r="AI323" s="48" t="str">
        <f t="shared" ca="1" si="565"/>
        <v/>
      </c>
      <c r="AJ323" s="48" t="str">
        <f ca="1">IFERROR(INDEX($A$3:$H$400,MATCH(ROWS(AJ$3:AJ323),$Q$3:$Q$400,0),8),"")</f>
        <v/>
      </c>
      <c r="AZ323" s="48" t="str">
        <f t="shared" ca="1" si="584"/>
        <v/>
      </c>
      <c r="BA323" s="48">
        <f t="shared" ca="1" si="611"/>
        <v>0</v>
      </c>
      <c r="BB323" s="48">
        <f t="shared" ca="1" si="612"/>
        <v>0</v>
      </c>
      <c r="BC323" s="48">
        <f t="shared" ca="1" si="613"/>
        <v>0</v>
      </c>
      <c r="BD323" s="48">
        <f t="shared" ca="1" si="614"/>
        <v>0</v>
      </c>
      <c r="BE323" s="48">
        <f t="shared" ca="1" si="615"/>
        <v>0</v>
      </c>
      <c r="BF323" s="48">
        <f t="shared" si="585"/>
        <v>123</v>
      </c>
      <c r="BG323" s="48">
        <f ca="1">IF(IF(AND(OR(INDEX(PDC,MATCH($AC323,DEN_PDC,0),6)="SP DARE",INDEX(PDC,MATCH($AC323,DEN_PDC,0),6)="SP DARE/AVERE"),SUMIFS(DARE,DEN_G,$AC323)&gt;=SUMIFS(AVERE,DEN_G,$AC323)),SUMIFS(DARE,DEN_G,$AC323)-SUMIFS(AVERE,DEN_G,$AC323),0)&gt;0,MAX($BG$2:BG322)+1,0)</f>
        <v>0</v>
      </c>
      <c r="BH323" s="48">
        <f ca="1">IF(IF(AND(OR(INDEX(PDC,MATCH($AC323,DEN_PDC,0),6)="SP AVERE",INDEX(PDC,MATCH($AC323,DEN_PDC,0),6)="SP DARE/AVERE"),SUMIFS(AVERE,DEN_G,$AC323)&gt;=SUMIFS(DARE,DEN_G,$AC323)),SUMIFS(AVERE,DEN_G,$AC323)-SUMIFS(DARE,DEN_G,$AC323),0)&gt;0,MAX(BH$2:BH322)+1,0)</f>
        <v>0</v>
      </c>
      <c r="BI323" s="48">
        <f ca="1">IF(IF(AND(OR(INDEX(PDC,MATCH($AC323,DEN_PDC,0),6)="SE DARE",INDEX(PDC,MATCH($AC323,DEN_PDC,0),6)="SE DARE/AVERE"),SUMIFS(DARE,DEN_G,$AC323)&gt;=SUMIFS(AVERE,DEN_G,$AC323)),SUMIFS(DARE,DEN_G,$AC323)-SUMIFS(AVERE,DEN_G,$AC323),0)&gt;0,MAX(BI$2:BI322)+1,0)</f>
        <v>0</v>
      </c>
      <c r="BJ323" s="48">
        <f ca="1">IF(IF(AND(OR(INDEX(PDC,MATCH($AC323,DEN_PDC,0),6)="SE AVERE",INDEX(PDC,MATCH($AC323,DEN_PDC,0),6)="SE DARE/AVERE"),SUMIFS(AVERE,DEN_G,$AC323)&gt;=SUMIFS(DARE,DEN_G,$AC323)),SUMIFS(AVERE,DEN_G,$AC323)-SUMIFS(DARE,DEN_G,$AC323),0)&gt;0,MAX(BJ$2:BJ322)+1,0)</f>
        <v>0</v>
      </c>
      <c r="BK323" s="48" t="str">
        <f ca="1">IF(AND(AND($DY$2=0,$DY$1=0),$I$1=2,ROW()&gt;$BG$1+2,ROW()&lt;=$BG$1+4),"………………..",IF(AND(OR($DY$2&gt;0,$DY$1&gt;0),$I$1=2,ROW()&gt;$BG$1+2,ROW()&lt;=$BG$1+4),"………………..",IFERROR(INDEX($AC$3:$AC$398,MATCH(ROWS(BK$3:BK323),BG$3:BG$398,0),1),"")))</f>
        <v/>
      </c>
      <c r="BL323" s="48">
        <f t="shared" ref="BL323:BL386" ca="1" si="637">IF(BK323&lt;&gt;0,SUMIFS(DARE,DEN_G,$BK323)-SUMIFS(AVERE,DEN_G,$BK323),0)</f>
        <v>0</v>
      </c>
      <c r="BM323" s="48" t="str">
        <f ca="1">IF(AND(OR($DY$2=0,$DY$1=0),$I$1=2,ROW()&gt;$BH$1+2,ROW()&lt;=$BH$1+4),"………………..",IF(AND(OR($DY$2&gt;0,$DY$1&gt;0),$I$1=2,ROW()&gt;$BH$1+2,ROW()&lt;=$BH$1+4),"………………..",IFERROR(INDEX($AC$3:$AC$400,MATCH(ROWS(BM$3:BM323),BH$3:BH$400,0),1),"")))</f>
        <v/>
      </c>
      <c r="BN323" s="48">
        <f t="shared" ref="BN323:BN386" ca="1" si="638">IF(AND($I$1=2,BM323="……………….."),"_ _ _",IF(BM323&lt;&gt;0,SUMIFS(AVERE,DEN_G,$BM323)-SUMIFS(DARE,DEN_G,$BM323),0))</f>
        <v>0</v>
      </c>
      <c r="BO323" s="48" t="str">
        <f ca="1">IF(AND(OR($DY$2=0,$DY$1=0),$I$1=2,ROW()&gt;$BI$1+2,ROW()&lt;=$BI$1+4),"………………..",IF(AND(OR($DY$2&gt;0,$DY$1&gt;0),$I$1=2,ROW()&gt;$BI$1+2,ROW()&lt;=$BI$1+4),"………………..",IFERROR(INDEX($AC$3:$AC$400,MATCH(ROWS(BO$3:BO323),BI$3:BI$400,0),1),"")))</f>
        <v/>
      </c>
      <c r="BP323" s="48">
        <f t="shared" ref="BP323:BP386" ca="1" si="639">IF(AND($I$1=2,BO323="……………….."),"_ _ _",IF(BO323&lt;&gt;0,(SUMIFS(DARE,DEN_G,$BO323)-SUMIFS(AVERE,DEN_G,$BO323)),0))</f>
        <v>0</v>
      </c>
      <c r="BQ323" s="48" t="str">
        <f ca="1">IF(AND(OR($DY$2=0,$DY$1=0),$I$1=2,ROW()&gt;$BJ$1+2,ROW()&lt;=$BJ$1+4),"………………..",IF(AND(OR($DY$2&gt;0,$DY$1&gt;0),$I$1=2,ROW()&gt;$BJ$1+2,ROW()&lt;=$BJ$1+4),"………………..",IFERROR(INDEX($AC$3:$AC$400,MATCH(ROWS(BQ$3:BQ323),BJ$3:BJ$400,0),1),"")))</f>
        <v/>
      </c>
      <c r="BR323" s="48">
        <f t="shared" ref="BR323:BR386" ca="1" si="640">IF(AND($I$1=2,BQ323="……………….."),"_ _ _",IF(BQ323&lt;&gt;0,SUMIFS(AVERE,DEN_G,$BQ323)-SUMIFS(DARE,DEN_G,$BQ323),0))</f>
        <v>0</v>
      </c>
      <c r="BS323" s="48">
        <f ca="1">IF(IF(AND(OR(INDEX(PDC,MATCH($AC323,DEN_PDC,0),4)="D",INDEX(PDC,MATCH($AC323,DEN_PDC,0),4)="D/A"),SUMIFS(DARE,DEN_G,$AC323)&gt;=SUMIFS(AVERE,DEN_G,$AC323)),SUMIFS(DARE,DEN_G,$AC323),IF(AND(OR(INDEX(PDC,MATCH($AC323,DEN_PDC,0),4)="A",INDEX(PDC,MATCH($AC323,DEN_PDC,0),4)="D/A"),SUMIFS(AVERE,DEN_G,$AC323)&gt;=SUMIFS(DARE,DEN_G,$AC323)),SUMIFS(AVERE,DEN_G,$AC323),))&gt;0,MAX($BS$2:BS322)+1,0)</f>
        <v>0</v>
      </c>
      <c r="BT323" s="48" t="str">
        <f ca="1">IF($CO$1=0,"",IF(AND($I$1=2,ROW()&gt;$BR$1,ROW()&lt;=$BS$1)," …………….",IF(AND($E$1=1,$BX$1=1,$I$1=2,ROW()=$BQ$1),"TOTALI",IFERROR(INDEX(PDC,MATCH(ROWS(BT$3:BT323),BS$3:BS720,0),2),""))))</f>
        <v/>
      </c>
      <c r="BU323" s="48">
        <f t="shared" ref="BU323:BU386" ca="1" si="641">IF(BT323="",0,IF(BT323=" …………….","_ _ _    ",IF(BT323="",0,IF(AND($I$1=2,BT323="TOTALI"),"_ _ _    ",SUMIFS(DARE,DEN_G,$BT323)))))</f>
        <v>0</v>
      </c>
      <c r="BV323" s="48">
        <f t="shared" ref="BV323:BV386" ca="1" si="642">IF(BT323="",0,IF(BT323=" …………….","_ _ _    ",IF(BT323="",0,IF(AND($I$1=2,BT323="TOTALI"),"_ _ _    ",SUMIFS(AVERE,DEN_G,$BT323)))))</f>
        <v>0</v>
      </c>
      <c r="BW323" s="48">
        <f t="shared" ref="BW323:BW386" ca="1" si="643">IF(BU323&gt;BV323,BU323-BV323,IF(BU323="_ _ _    ","_ _ _    ",0))</f>
        <v>0</v>
      </c>
      <c r="BX323" s="48">
        <f t="shared" ref="BX323:BX386" ca="1" si="644">IF(BV323&gt;BU323,BV323-BU323,IF(BU323="_ _ _    ","_ _ _    ",0))</f>
        <v>0</v>
      </c>
      <c r="BY323" s="48">
        <f ca="1">IF(OR(BW323&gt;0,BX323&gt;0),MAX($BY$2:BY322)+1,0)</f>
        <v>0</v>
      </c>
      <c r="BZ323" s="48" t="str">
        <f ca="1">IFERROR(INDEX($BT$3:$BY$400,MATCH(ROWS(BZ$3:BZ323),$BY$3:$BY$400,0),1),"")</f>
        <v/>
      </c>
      <c r="CA323" s="48" t="str">
        <f ca="1">IFERROR(INDEX($BT$3:$BY$400,MATCH(ROWS(CA$3:CA323),$BY$3:$BY$400,0),4),"")</f>
        <v/>
      </c>
      <c r="CB323" s="48" t="str">
        <f ca="1">IFERROR(INDEX($BT$3:$BY$400,MATCH(ROWS(CB$3:CB323),$BY$3:$BY$400,0),5),"")</f>
        <v/>
      </c>
      <c r="CC323" s="48" t="str">
        <f t="shared" ref="CC323:CC386" ca="1" si="645">IFERROR(INDEX(PDC,MATCH(BZ323,DEN_PDC,0),9),"")</f>
        <v/>
      </c>
      <c r="CM323" s="242" t="str">
        <f t="shared" ca="1" si="566"/>
        <v/>
      </c>
      <c r="CN323" s="243">
        <f t="shared" ca="1" si="567"/>
        <v>0</v>
      </c>
      <c r="CO323" s="48" t="str">
        <f t="shared" ca="1" si="568"/>
        <v/>
      </c>
      <c r="CU323" s="48">
        <f ca="1">IF(SUMIFS(AVERE,DEN_G,AC323,AVERE,"&gt;"&amp;0)+SUMIFS(DARE,DEN_G,AC323,DARE,"&gt;"&amp;0)&gt;0,MAX($CU$2:CU322)+1,0)</f>
        <v>0</v>
      </c>
      <c r="CV323" s="48" t="str">
        <f ca="1">IF(IFERROR(INDEX(PDC,MATCH(ROWS($CV$3:CV323),$CU$3:$CU$400,0),2),"")="CONTO DI RISULTATO ECONOMICO","",IFERROR(INDEX(PDC,MATCH(ROWS($CV$3:CV323),$CU$3:$CU$400,0),2),""))</f>
        <v/>
      </c>
      <c r="CW323" s="48">
        <f ca="1">IFERROR(IF(CV323&lt;&gt;"",MAX($CW$2:CW322)+1,0),0)</f>
        <v>0</v>
      </c>
      <c r="CX323" s="48">
        <f t="shared" ca="1" si="627"/>
        <v>25</v>
      </c>
      <c r="CY323" s="48" t="str">
        <f t="shared" ca="1" si="626"/>
        <v>MASTRO</v>
      </c>
      <c r="CZ323" s="48" t="e">
        <f t="shared" ca="1" si="632"/>
        <v>#N/A</v>
      </c>
      <c r="DA323" s="48" t="str">
        <f t="shared" ca="1" si="636"/>
        <v/>
      </c>
      <c r="DB323" s="48" t="str">
        <f t="shared" ca="1" si="592"/>
        <v/>
      </c>
      <c r="DC323" s="48" t="str">
        <f t="shared" ca="1" si="633"/>
        <v/>
      </c>
      <c r="DD323" s="48" t="str">
        <f t="shared" ca="1" si="634"/>
        <v/>
      </c>
      <c r="DE323" s="48" t="str">
        <f t="shared" ca="1" si="635"/>
        <v/>
      </c>
      <c r="DF323" s="48">
        <f ca="1">IF(AND(CX323=$DF$1,CX323&lt;&gt;""),0,IF(AND(DB323&lt;&gt;"",OR(DB322&lt;&gt;"",DB324&lt;&gt;"")),MAX($DF$2:DF322)+1,0))</f>
        <v>0</v>
      </c>
      <c r="DH323" s="244" t="s">
        <v>900</v>
      </c>
      <c r="DI323" s="48" t="s">
        <v>229</v>
      </c>
      <c r="DJ323" s="48" t="s">
        <v>311</v>
      </c>
      <c r="DK323" s="48" t="s">
        <v>275</v>
      </c>
      <c r="DL323" s="48" t="s">
        <v>7</v>
      </c>
      <c r="DM323" s="48" t="s">
        <v>301</v>
      </c>
      <c r="DN323" s="48">
        <f ca="1">IF(DI323&lt;&gt;"",MAX($DN$2:DN322)+1,0)</f>
        <v>255</v>
      </c>
      <c r="DO323" s="48" t="s">
        <v>716</v>
      </c>
      <c r="DQ323" s="227" t="s">
        <v>239</v>
      </c>
      <c r="DR323" s="48" t="s">
        <v>233</v>
      </c>
      <c r="DS323" s="48" t="s">
        <v>311</v>
      </c>
      <c r="DT323" s="48" t="s">
        <v>275</v>
      </c>
      <c r="DU323" s="48" t="s">
        <v>7</v>
      </c>
      <c r="DV323" s="48" t="s">
        <v>301</v>
      </c>
      <c r="DW323" s="48">
        <f ca="1">IF(DR323&lt;&gt;"",MAX($DW$2:DW322)+1,0)</f>
        <v>192</v>
      </c>
      <c r="DX323" s="48" t="str">
        <f t="shared" ref="DX323:DX328" ca="1" si="646">IF($BF$9=1,"eb10b","eb10a")</f>
        <v>eb10a</v>
      </c>
      <c r="DY323" s="48" t="str">
        <f t="shared" ref="DY323:DY386" ca="1" si="647">IF(BB323=0,"",INDEX(PDC,MATCH(BB323,DEN_PDC,0),1))</f>
        <v/>
      </c>
      <c r="EL323" s="48">
        <f t="shared" ref="EL323:EL386" ca="1" si="648">IF(OR(AND($I$1=1,AC323="perdita d'esercizio"),AND($I$1=1,AC323="utile d'esercizio")),0,IF(AND(AE323="d",AG323="SP DARE"),SUMIFS(dare_grezzo,den_grezzo,AC323,data_grezzo,"&lt;="&amp;FINE_AC,data_grezzo,"&gt;="&amp;INIZIO_A_PC)-SUMIFS(avere_grezzo,den_grezzo,AC323,data_grezzo,"&lt;="&amp;FINE_AC,data_grezzo,"&gt;="&amp;INIZIO_A_PC),IF(AND(AE323="a",AG323="SP AVERE"),SUMIFS(avere_grezzo,den_grezzo,AC323,data_grezzo,"&lt;="&amp;FINE_AC,data_grezzo,"&gt;="&amp;INIZIO_A_PC)-SUMIFS(dare_grezzo,den_grezzo,AC323,data_grezzo,"&lt;="&amp;FINE_AC,data_grezzo,"&gt;="&amp;INIZIO_A_PC),IF(AND(AE323="d",AG323="SE DARE"),SUMIFS(dare_grezzo,den_grezzo,AC323,data_grezzo,"&lt;="&amp;FINE_AC,data_grezzo,"&gt;="&amp;INIZIO_A_PC,data_grezzo,"&gt;="&amp;INIZIO_AC)-SUMIFS(avere_grezzo,den_grezzo,AC323,data_grezzo,"&lt;="&amp;FINE_AC,data_grezzo,"&gt;="&amp;INIZIO_A_PC,data_grezzo,"&gt;="&amp;INIZIO_AC),IF(AND(AE323="a",AG323="SE AVERE"),SUMIFS(avere_grezzo,den_grezzo,AC323,data_grezzo,"&lt;="&amp;FINE_AC,data_grezzo,"&gt;="&amp;INIZIO_A_PC,data_grezzo,"&gt;="&amp;INIZIO_AC)-SUMIFS(dare_grezzo,den_grezzo,AC323,data_grezzo,"&lt;="&amp;FINE_AC,data_grezzo,"&gt;="&amp;INIZIO_A_PC,data_grezzo,"&gt;="&amp;INIZIO_AC),0)))))</f>
        <v>0</v>
      </c>
      <c r="EM323" s="48">
        <f ca="1">IF(EL323&gt;=0,0,MAX($EM$2:EM322)+1)</f>
        <v>0</v>
      </c>
      <c r="EN323" s="48" t="str">
        <f t="shared" ca="1" si="569"/>
        <v/>
      </c>
      <c r="EO323" s="48" t="str">
        <f ca="1">IFERROR(INDEX($EM$3:$EN$400,MATCH(ROWS($EO$3:EO323),$EM$3:$EM$400,0),2),"")</f>
        <v/>
      </c>
      <c r="EP323" s="48">
        <f>ROW()</f>
        <v>323</v>
      </c>
      <c r="EQ323" s="48">
        <f t="shared" ref="EQ323:EQ386" ca="1" si="649">IF(AND(AM323&lt;&gt;0,AL323&lt;=FINE_AC),INDEX(PDC,MATCH(SUBSTITUTE(AM323,"[",""),DEN_PDC,0),1),0)</f>
        <v>0</v>
      </c>
      <c r="ER323" s="48">
        <f ca="1">IF(ISNA(EQ323)=TRUE,MAX($ER$2:ER322)+1,0)</f>
        <v>0</v>
      </c>
      <c r="ES323" s="48" t="str">
        <f t="shared" ca="1" si="570"/>
        <v/>
      </c>
      <c r="ET323" s="48" t="str">
        <f ca="1">IFERROR(INDEX($ER$3:$ES$400,MATCH(ROWS($ET$3:ET323),$ER$3:$ER$400,0),2),"")</f>
        <v/>
      </c>
      <c r="EV323" s="48">
        <f ca="1">IFERROR(INDEX(LIBRO_GIORNALE!$O$11:$P$408,MATCH(ROWS($EV$2:EV322),LIBRO_GIORNALE!$P$11:$P$408,0),1),0)</f>
        <v>0</v>
      </c>
      <c r="EW323" s="48" t="str">
        <f t="shared" ca="1" si="629"/>
        <v>0</v>
      </c>
      <c r="EX323" s="48">
        <f t="shared" ca="1" si="571"/>
        <v>0</v>
      </c>
      <c r="EY323" s="48">
        <f ca="1">IF(EX323&gt;0,MAX($EY$2:EY322)+1,0)</f>
        <v>0</v>
      </c>
      <c r="EZ323" s="48">
        <f ca="1">IFERROR(INDEX($EX$3:$EX$400,MATCH(ROWS($EZ$3:EZ323),$EY$3:$EY$400,0),1),0)</f>
        <v>0</v>
      </c>
      <c r="FA323" s="48">
        <f ca="1">IF(EZ323&gt;0,0,MAX($FA$2:FA322)+1)</f>
        <v>321</v>
      </c>
      <c r="FB323" s="48">
        <f t="shared" ca="1" si="630"/>
        <v>0</v>
      </c>
      <c r="FC323" s="48">
        <f t="shared" ca="1" si="631"/>
        <v>321</v>
      </c>
      <c r="FD323" s="48">
        <f t="shared" ca="1" si="572"/>
        <v>321</v>
      </c>
      <c r="FE323" s="48">
        <f ca="1">IF(FD323=0,0,MAX($FE$2:FE322)+1)</f>
        <v>321</v>
      </c>
      <c r="FF323" s="48">
        <f ca="1">IFERROR(INDEX($FD$3:$FE$400,MATCH(ROWS($FF$3:FF323),$FE$3:$FE$400,0),1),"")</f>
        <v>321</v>
      </c>
      <c r="FG323" s="48">
        <f t="shared" si="610"/>
        <v>0</v>
      </c>
      <c r="FH323" s="48">
        <f t="shared" ca="1" si="573"/>
        <v>0</v>
      </c>
      <c r="FI323" s="48">
        <f ca="1">IF(FH323&lt;&gt;0,MAX($FI$2:FI322)+1,0)</f>
        <v>0</v>
      </c>
      <c r="FJ323" s="48" t="str">
        <f ca="1">IFERROR(INDEX($FH$3:$FI$400,MATCH(ROWS($FJ$3:FJ323),$FI$3:$FI$400,0),1),"")</f>
        <v/>
      </c>
      <c r="FK323" s="48">
        <f ca="1">IF(ABS(SUMIFS(DARE,DEN_G,"="&amp;FJ323,DATA,"&lt;="&amp;FINE_AC,DATA,"&gt;="&amp;INIZIO_A_PC)-SUMIFS(AVERE,DEN_G,"="&amp;FJ323,DATA,"&lt;="&amp;FINE_AC,DATA,"&gt;="&amp;INIZIO_A_PC))&gt;0,MAX($FK$2:FK322)+1,0)</f>
        <v>0</v>
      </c>
      <c r="FL323" s="48" t="str">
        <f ca="1">IF(AND(ROW()-2&lt;&gt;1,ROW()-2&lt;=$FK$1),CONCATENATE(" - ",IFERROR(INDEX($FJ$3:$FK$400,MATCH(ROWS($FL$3:FL323),$FK$3:$FK$400,0),1),"")),IFERROR(INDEX($FJ$3:$FK$400,MATCH(ROWS($FL$3:FL323),$FK$3:$FK$400,0),1),""))</f>
        <v/>
      </c>
      <c r="FM323" s="48">
        <f ca="1">IF(OR(B323="IVA ns/credito",B323="IVA NS/DEBITO",B323="IVA C/ACCONTO",B323="IMPOSTE C/ACCONTO",B323="CREDITI PER RITENUTE SUBITE",B323="CREDITI D'IMPOSTA"),MAX($FM$2:FM322)+1,0)</f>
        <v>0</v>
      </c>
      <c r="FN323" s="48" t="str">
        <f t="shared" ca="1" si="574"/>
        <v/>
      </c>
      <c r="FO323" s="48" t="str">
        <f ca="1">IFERROR(INDEX($FM$3:$FN$400,MATCH(ROWS($FO$3:FO323),$FM$3:$FM$400,0),2),"")</f>
        <v/>
      </c>
      <c r="FP323" s="48">
        <f ca="1">IF(ABS(SUMIFS(DARE,DEN_G,"="&amp;FO323,DATA,"&lt;="&amp;FINE_AC,DATA,"&gt;="&amp;INIZIO_A_PC)-SUMIFS(AVERE,DEN_G,"="&amp;FO323,DATA,"&lt;="&amp;FINE_AC,DATA,"&gt;="&amp;INIZIO_A_PC))&gt;0,MAX($FP$2:FP322)+1,0)</f>
        <v>0</v>
      </c>
      <c r="FQ323" s="48" t="str">
        <f ca="1">IF(AND(ROW()-2&lt;&gt;1,ROW()-2&lt;=$FP$1),CONCATENATE(" - ",IFERROR(INDEX($FO$3:$FP$400,MATCH(ROWS($FQ$3:FQ323),$FP$3:$FP$400,0),1),"")),IFERROR(INDEX($FO$3:$FP$400,MATCH(ROWS($FQ$3:FQ323),$FP$3:$FP$400,0),1),""))</f>
        <v/>
      </c>
    </row>
    <row r="324" spans="1:173" x14ac:dyDescent="0.3">
      <c r="A324" s="48" t="str">
        <f ca="1">IFERROR(IF($A$1=2,INDEX($DH$3:$DN$401,MATCH(ROWS(A$3:A324),$DN$3:$DN$401,0),COLUMN()),IF($A$1=1,INDEX($DQ$3:$DW$401,MATCH(ROWS(A$3:A324),$DW$3:$DW$401,0),COLUMN()),"")),"")</f>
        <v>51.11</v>
      </c>
      <c r="B324" s="48" t="str">
        <f ca="1">IFERROR(IF($A$1=2,INDEX($DH$3:$DN$401,MATCH(ROWS(B$3:B324),$DN$3:$DN$401,0),COLUMN()),IF($A$1=1,INDEX($DQ$3:$DW$400,MATCH(ROWS(B$3:B324),$DW$3:$DW$401,0),COLUMN()),"")),"")</f>
        <v>SVALUTAZIONE TITOLI</v>
      </c>
      <c r="C324" s="48" t="str">
        <f ca="1">IFERROR(IF($A$1=2,INDEX($DH$3:$DN$401,MATCH(ROWS(C$3:C324),$DN$3:$DN$401,0),COLUMN()),IF($A$1=1,INDEX($DQ$3:$DW$401,MATCH(ROWS(C$3:C324),$DW$3:$DW$401,0),COLUMN()),"")),"")</f>
        <v>E</v>
      </c>
      <c r="D324" s="48" t="str">
        <f ca="1">IFERROR(IF($A$1=2,INDEX($DH$3:$DN$401,MATCH(ROWS(D$3:D324),$DN$3:$DN$401,0),COLUMN()),IF($A$1=1,INDEX($DQ$3:$DW$401,MATCH(ROWS(D$3:D324),$DW$3:$DW$401,0),COLUMN()),"")),"")</f>
        <v>D</v>
      </c>
      <c r="E324" s="48" t="str">
        <f ca="1">IFERROR(IF($A$1=2,INDEX($DH$3:$DN$401,MATCH(ROWS(E$3:E324),$DN$3:$DN$401,0),COLUMN()),IF($A$1=1,INDEX($DQ$3:$DW$401,MATCH(ROWS(E$3:E324),$DW$3:$DW$401,0),COLUMN()),"")),"")</f>
        <v>COSTI D'ESERCIZIO</v>
      </c>
      <c r="F324" s="48" t="str">
        <f ca="1">IFERROR(IF($A$1=2,INDEX($DH$3:$DN$401,MATCH(ROWS(F$3:F324),$DN$3:$DN$401,0),COLUMN()),IF($A$1=1,INDEX($DQ$3:$DX$401,MATCH(ROWS(F$3:F324),$DW$3:$DW$401,0),COLUMN()),"")),"")</f>
        <v>SE DARE</v>
      </c>
      <c r="G324" s="48" t="str">
        <f t="shared" ref="G324:G387" ca="1" si="650">IFERROR(MID(F324,1,2),"")</f>
        <v>SE</v>
      </c>
      <c r="H324" s="48" t="str">
        <f ca="1">IFERROR(IF($A$1=2,INDEX($DH$3:$DO$400,MATCH(ROWS(H$3:H324),$DN$3:$DN$400,0),COLUMN()),IF($A$1=1,INDEX($DQ$3:$DX$400,MATCH(ROWS(H$3:H324),$DW$3:$DW$400,0),COLUMN()),"")),"")</f>
        <v>ed19c</v>
      </c>
      <c r="M324" s="48">
        <f ca="1">IFERROR(IF(IF(MID($A324,3,3)=".00",MID(A324,1,2),"")&lt;&gt;"",MAX($M$2:M323)+1,0),"")</f>
        <v>0</v>
      </c>
      <c r="N324" s="48" t="str">
        <f t="shared" ref="N324:N387" ca="1" si="651">IFERROR(IF(MID($A324,3,3)=".00",MID(A324,1,2),""),"")</f>
        <v/>
      </c>
      <c r="O324" s="48" t="str">
        <f ca="1">IF(IFERROR(INDEX($N$3:$O$300,MATCH(ROWS($O$3:O324),$M$3:$M$300,0),1),"")&lt;&gt;"",CONCATENATE(INDEX($N$3:$O$300,MATCH(ROWS($O$3:O324),$M$3:$M$300,0),1),".00"),"")</f>
        <v/>
      </c>
      <c r="P324" s="48" t="str">
        <f t="shared" ref="P324:P387" ca="1" si="652">IFERROR(INDEX($A$3:$B$400,MATCH(O324,$A$3:$A$400,0),2),"")</f>
        <v/>
      </c>
      <c r="Q324" s="48">
        <f ca="1">IF(M324&gt;=1,0,MAX($Q$2:Q323)+1)</f>
        <v>287</v>
      </c>
      <c r="U324" s="48" t="str">
        <f ca="1">IFERROR(INDEX(PDC,MATCH(ROWS(U$3:U324),$V$3:$V$400,0),2),"")</f>
        <v/>
      </c>
      <c r="V324" s="48">
        <f ca="1">IF(AND($T$1="VISUALIZZA TUTTI I CONTI",AA324&lt;&gt;""),MAX($V$2:V323)+1,IF(AND($U$2=2,AI324=$T$1),MAX($V$2:V323)+1,IF(AND($U$2=1,$T$1=AF324),MAX($V$2:V323)+1,0)))</f>
        <v>0</v>
      </c>
      <c r="AA324" s="48" t="str">
        <f t="shared" ref="AA324:AA387" ca="1" si="653">IF(AC324&lt;&gt;"",CONCATENATE(MID(AB324,1,2),".00"),"")</f>
        <v/>
      </c>
      <c r="AB324" s="48" t="str">
        <f ca="1">IFERROR(INDEX($A$3:$G$400,MATCH(ROWS(AB$3:AB324),$Q$3:$Q$400,0),1),"")</f>
        <v/>
      </c>
      <c r="AC324" s="48" t="str">
        <f ca="1">IFERROR(INDEX($A$3:$G$400,MATCH(ROWS($AC$3:AC324),$Q$3:$Q$400,0),2),"")</f>
        <v/>
      </c>
      <c r="AD324" s="48">
        <f ca="1">IFERROR(INDEX($A$3:$G$400,MATCH(ROWS(AD$3:AD324),$Q$3:$Q$400,0),3),"")</f>
        <v>0</v>
      </c>
      <c r="AE324" s="48" t="str">
        <f ca="1">IFERROR(INDEX($A$3:$G$400,MATCH(ROWS(AE$3:AE324),$Q$3:$Q$400,0),4),"")</f>
        <v/>
      </c>
      <c r="AF324" s="48" t="str">
        <f ca="1">IFERROR(INDEX($A$3:$G$400,MATCH(ROWS(AF$3:AF324),$Q$3:$Q$400,0),5),"")</f>
        <v/>
      </c>
      <c r="AG324" s="48" t="str">
        <f ca="1">IFERROR(INDEX($A$3:$G$400,MATCH(ROWS(AG$3:AG324),$Q$3:$Q$400,0),6),"")</f>
        <v/>
      </c>
      <c r="AH324" s="48" t="str">
        <f ca="1">IFERROR(INDEX($A$3:$G$400,MATCH(ROWS(AH$3:AH324),$Q$3:$Q$400,0),7),"")</f>
        <v/>
      </c>
      <c r="AI324" s="48" t="str">
        <f t="shared" ref="AI324:AI387" ca="1" si="654">INDEX($O$3:$P$50,MATCH(AA324,$O$3:$O$50,0),2)</f>
        <v/>
      </c>
      <c r="AJ324" s="48" t="str">
        <f ca="1">IFERROR(INDEX($A$3:$H$400,MATCH(ROWS(AJ$3:AJ324),$Q$3:$Q$400,0),8),"")</f>
        <v/>
      </c>
      <c r="AZ324" s="48" t="str">
        <f t="shared" ca="1" si="584"/>
        <v/>
      </c>
      <c r="BA324" s="48">
        <f t="shared" ca="1" si="611"/>
        <v>0</v>
      </c>
      <c r="BB324" s="48">
        <f t="shared" ca="1" si="612"/>
        <v>0</v>
      </c>
      <c r="BC324" s="48">
        <f t="shared" ca="1" si="613"/>
        <v>0</v>
      </c>
      <c r="BD324" s="48">
        <f t="shared" ca="1" si="614"/>
        <v>0</v>
      </c>
      <c r="BE324" s="48">
        <f t="shared" ca="1" si="615"/>
        <v>0</v>
      </c>
      <c r="BF324" s="48">
        <f t="shared" si="585"/>
        <v>124</v>
      </c>
      <c r="BG324" s="48">
        <f ca="1">IF(IF(AND(OR(INDEX(PDC,MATCH($AC324,DEN_PDC,0),6)="SP DARE",INDEX(PDC,MATCH($AC324,DEN_PDC,0),6)="SP DARE/AVERE"),SUMIFS(DARE,DEN_G,$AC324)&gt;=SUMIFS(AVERE,DEN_G,$AC324)),SUMIFS(DARE,DEN_G,$AC324)-SUMIFS(AVERE,DEN_G,$AC324),0)&gt;0,MAX($BG$2:BG323)+1,0)</f>
        <v>0</v>
      </c>
      <c r="BH324" s="48">
        <f ca="1">IF(IF(AND(OR(INDEX(PDC,MATCH($AC324,DEN_PDC,0),6)="SP AVERE",INDEX(PDC,MATCH($AC324,DEN_PDC,0),6)="SP DARE/AVERE"),SUMIFS(AVERE,DEN_G,$AC324)&gt;=SUMIFS(DARE,DEN_G,$AC324)),SUMIFS(AVERE,DEN_G,$AC324)-SUMIFS(DARE,DEN_G,$AC324),0)&gt;0,MAX(BH$2:BH323)+1,0)</f>
        <v>0</v>
      </c>
      <c r="BI324" s="48">
        <f ca="1">IF(IF(AND(OR(INDEX(PDC,MATCH($AC324,DEN_PDC,0),6)="SE DARE",INDEX(PDC,MATCH($AC324,DEN_PDC,0),6)="SE DARE/AVERE"),SUMIFS(DARE,DEN_G,$AC324)&gt;=SUMIFS(AVERE,DEN_G,$AC324)),SUMIFS(DARE,DEN_G,$AC324)-SUMIFS(AVERE,DEN_G,$AC324),0)&gt;0,MAX(BI$2:BI323)+1,0)</f>
        <v>0</v>
      </c>
      <c r="BJ324" s="48">
        <f ca="1">IF(IF(AND(OR(INDEX(PDC,MATCH($AC324,DEN_PDC,0),6)="SE AVERE",INDEX(PDC,MATCH($AC324,DEN_PDC,0),6)="SE DARE/AVERE"),SUMIFS(AVERE,DEN_G,$AC324)&gt;=SUMIFS(DARE,DEN_G,$AC324)),SUMIFS(AVERE,DEN_G,$AC324)-SUMIFS(DARE,DEN_G,$AC324),0)&gt;0,MAX(BJ$2:BJ323)+1,0)</f>
        <v>0</v>
      </c>
      <c r="BK324" s="48" t="str">
        <f ca="1">IF(AND(AND($DY$2=0,$DY$1=0),$I$1=2,ROW()&gt;$BG$1+2,ROW()&lt;=$BG$1+4),"………………..",IF(AND(OR($DY$2&gt;0,$DY$1&gt;0),$I$1=2,ROW()&gt;$BG$1+2,ROW()&lt;=$BG$1+4),"………………..",IFERROR(INDEX($AC$3:$AC$398,MATCH(ROWS(BK$3:BK324),BG$3:BG$398,0),1),"")))</f>
        <v/>
      </c>
      <c r="BL324" s="48">
        <f t="shared" ca="1" si="637"/>
        <v>0</v>
      </c>
      <c r="BM324" s="48" t="str">
        <f ca="1">IF(AND(OR($DY$2=0,$DY$1=0),$I$1=2,ROW()&gt;$BH$1+2,ROW()&lt;=$BH$1+4),"………………..",IF(AND(OR($DY$2&gt;0,$DY$1&gt;0),$I$1=2,ROW()&gt;$BH$1+2,ROW()&lt;=$BH$1+4),"………………..",IFERROR(INDEX($AC$3:$AC$400,MATCH(ROWS(BM$3:BM324),BH$3:BH$400,0),1),"")))</f>
        <v/>
      </c>
      <c r="BN324" s="48">
        <f t="shared" ca="1" si="638"/>
        <v>0</v>
      </c>
      <c r="BO324" s="48" t="str">
        <f ca="1">IF(AND(OR($DY$2=0,$DY$1=0),$I$1=2,ROW()&gt;$BI$1+2,ROW()&lt;=$BI$1+4),"………………..",IF(AND(OR($DY$2&gt;0,$DY$1&gt;0),$I$1=2,ROW()&gt;$BI$1+2,ROW()&lt;=$BI$1+4),"………………..",IFERROR(INDEX($AC$3:$AC$400,MATCH(ROWS(BO$3:BO324),BI$3:BI$400,0),1),"")))</f>
        <v/>
      </c>
      <c r="BP324" s="48">
        <f t="shared" ca="1" si="639"/>
        <v>0</v>
      </c>
      <c r="BQ324" s="48" t="str">
        <f ca="1">IF(AND(OR($DY$2=0,$DY$1=0),$I$1=2,ROW()&gt;$BJ$1+2,ROW()&lt;=$BJ$1+4),"………………..",IF(AND(OR($DY$2&gt;0,$DY$1&gt;0),$I$1=2,ROW()&gt;$BJ$1+2,ROW()&lt;=$BJ$1+4),"………………..",IFERROR(INDEX($AC$3:$AC$400,MATCH(ROWS(BQ$3:BQ324),BJ$3:BJ$400,0),1),"")))</f>
        <v/>
      </c>
      <c r="BR324" s="48">
        <f t="shared" ca="1" si="640"/>
        <v>0</v>
      </c>
      <c r="BS324" s="48">
        <f ca="1">IF(IF(AND(OR(INDEX(PDC,MATCH($AC324,DEN_PDC,0),4)="D",INDEX(PDC,MATCH($AC324,DEN_PDC,0),4)="D/A"),SUMIFS(DARE,DEN_G,$AC324)&gt;=SUMIFS(AVERE,DEN_G,$AC324)),SUMIFS(DARE,DEN_G,$AC324),IF(AND(OR(INDEX(PDC,MATCH($AC324,DEN_PDC,0),4)="A",INDEX(PDC,MATCH($AC324,DEN_PDC,0),4)="D/A"),SUMIFS(AVERE,DEN_G,$AC324)&gt;=SUMIFS(DARE,DEN_G,$AC324)),SUMIFS(AVERE,DEN_G,$AC324),))&gt;0,MAX($BS$2:BS323)+1,0)</f>
        <v>0</v>
      </c>
      <c r="BT324" s="48" t="str">
        <f ca="1">IF($CO$1=0,"",IF(AND($I$1=2,ROW()&gt;$BR$1,ROW()&lt;=$BS$1)," …………….",IF(AND($E$1=1,$BX$1=1,$I$1=2,ROW()=$BQ$1),"TOTALI",IFERROR(INDEX(PDC,MATCH(ROWS(BT$3:BT324),BS$3:BS721,0),2),""))))</f>
        <v/>
      </c>
      <c r="BU324" s="48">
        <f t="shared" ca="1" si="641"/>
        <v>0</v>
      </c>
      <c r="BV324" s="48">
        <f t="shared" ca="1" si="642"/>
        <v>0</v>
      </c>
      <c r="BW324" s="48">
        <f t="shared" ca="1" si="643"/>
        <v>0</v>
      </c>
      <c r="BX324" s="48">
        <f t="shared" ca="1" si="644"/>
        <v>0</v>
      </c>
      <c r="BY324" s="48">
        <f ca="1">IF(OR(BW324&gt;0,BX324&gt;0),MAX($BY$2:BY323)+1,0)</f>
        <v>0</v>
      </c>
      <c r="BZ324" s="48" t="str">
        <f ca="1">IFERROR(INDEX($BT$3:$BY$400,MATCH(ROWS(BZ$3:BZ324),$BY$3:$BY$400,0),1),"")</f>
        <v/>
      </c>
      <c r="CA324" s="48" t="str">
        <f ca="1">IFERROR(INDEX($BT$3:$BY$400,MATCH(ROWS(CA$3:CA324),$BY$3:$BY$400,0),4),"")</f>
        <v/>
      </c>
      <c r="CB324" s="48" t="str">
        <f ca="1">IFERROR(INDEX($BT$3:$BY$400,MATCH(ROWS(CB$3:CB324),$BY$3:$BY$400,0),5),"")</f>
        <v/>
      </c>
      <c r="CC324" s="48" t="str">
        <f t="shared" ca="1" si="645"/>
        <v/>
      </c>
      <c r="CM324" s="242" t="str">
        <f t="shared" ref="CM324:CM387" ca="1" si="655">IF($CO$1=0,"",IF(AND($E$1=1,$I$1=2,OR($BU$1=1,$BU$1=3)),"",IF(AND($E$1=1,$I$1=2,$BW$1=1,ROW()=$BS$1+1,OR($BU$1=1,$BU$1=3,$CL$1=1)),"TOTALI",IF(AND($F$1=1,$BA$1&gt;0,$I$1=1,ROW()=$BT$1+3,$CL$1=1,$BD$1=1,$EL$2=0),"TOTALI",""))))</f>
        <v/>
      </c>
      <c r="CN324" s="243">
        <f t="shared" ref="CN324:CN387" ca="1" si="656">IF(CM324="TOTALI",$BU$401,0)</f>
        <v>0</v>
      </c>
      <c r="CO324" s="48" t="str">
        <f t="shared" ref="CO324:CO387" ca="1" si="657">IF($CO$1=0,"",CONCATENATE(BT324,CM324))</f>
        <v/>
      </c>
      <c r="CU324" s="48">
        <f ca="1">IF(SUMIFS(AVERE,DEN_G,AC324,AVERE,"&gt;"&amp;0)+SUMIFS(DARE,DEN_G,AC324,DARE,"&gt;"&amp;0)&gt;0,MAX($CU$2:CU323)+1,0)</f>
        <v>0</v>
      </c>
      <c r="CV324" s="48" t="str">
        <f ca="1">IF(IFERROR(INDEX(PDC,MATCH(ROWS($CV$3:CV324),$CU$3:$CU$400,0),2),"")="CONTO DI RISULTATO ECONOMICO","",IFERROR(INDEX(PDC,MATCH(ROWS($CV$3:CV324),$CU$3:$CU$400,0),2),""))</f>
        <v/>
      </c>
      <c r="CW324" s="48">
        <f ca="1">IFERROR(IF(CV324&lt;&gt;"",MAX($CW$2:CW323)+1,0),0)</f>
        <v>0</v>
      </c>
      <c r="CX324" s="48">
        <f t="shared" ca="1" si="627"/>
        <v>25</v>
      </c>
      <c r="CY324" s="48" t="str">
        <f t="shared" ca="1" si="626"/>
        <v>MASTRO</v>
      </c>
      <c r="CZ324" s="48" t="e">
        <f t="shared" ca="1" si="632"/>
        <v>#N/A</v>
      </c>
      <c r="DA324" s="48" t="str">
        <f t="shared" ca="1" si="636"/>
        <v/>
      </c>
      <c r="DB324" s="48" t="str">
        <f t="shared" ca="1" si="592"/>
        <v/>
      </c>
      <c r="DC324" s="48" t="str">
        <f t="shared" ca="1" si="633"/>
        <v/>
      </c>
      <c r="DD324" s="48" t="str">
        <f t="shared" ca="1" si="634"/>
        <v/>
      </c>
      <c r="DE324" s="48" t="str">
        <f t="shared" ca="1" si="635"/>
        <v/>
      </c>
      <c r="DF324" s="48">
        <f ca="1">IF(AND(CX324=$DF$1,CX324&lt;&gt;""),0,IF(AND(DB324&lt;&gt;"",OR(DB323&lt;&gt;"",DB325&lt;&gt;"")),MAX($DF$2:DF323)+1,0))</f>
        <v>0</v>
      </c>
      <c r="DH324" s="244"/>
      <c r="DJ324" s="48" t="s">
        <v>311</v>
      </c>
      <c r="DK324" s="48" t="s">
        <v>275</v>
      </c>
      <c r="DL324" s="48" t="s">
        <v>7</v>
      </c>
      <c r="DM324" s="48" t="s">
        <v>301</v>
      </c>
      <c r="DN324" s="48">
        <f>IF(DI324&lt;&gt;"",MAX($DN$2:DN323)+1,0)</f>
        <v>0</v>
      </c>
      <c r="DO324" s="48" t="s">
        <v>716</v>
      </c>
      <c r="DQ324" s="227" t="s">
        <v>901</v>
      </c>
      <c r="DR324" s="48" t="s">
        <v>446</v>
      </c>
      <c r="DS324" s="48" t="s">
        <v>311</v>
      </c>
      <c r="DT324" s="48" t="s">
        <v>275</v>
      </c>
      <c r="DU324" s="48" t="s">
        <v>7</v>
      </c>
      <c r="DV324" s="48" t="s">
        <v>301</v>
      </c>
      <c r="DW324" s="48">
        <f ca="1">IF(DR324&lt;&gt;"",MAX($DW$2:DW323)+1,0)</f>
        <v>193</v>
      </c>
      <c r="DX324" s="48" t="str">
        <f t="shared" ca="1" si="646"/>
        <v>eb10a</v>
      </c>
      <c r="DY324" s="48" t="str">
        <f t="shared" ca="1" si="647"/>
        <v/>
      </c>
      <c r="EL324" s="48">
        <f t="shared" ca="1" si="648"/>
        <v>0</v>
      </c>
      <c r="EM324" s="48">
        <f ca="1">IF(EL324&gt;=0,0,MAX($EM$2:EM323)+1)</f>
        <v>0</v>
      </c>
      <c r="EN324" s="48" t="str">
        <f t="shared" ref="EN324:EN387" ca="1" si="658">IF(EL324&lt;0,AC324,"")</f>
        <v/>
      </c>
      <c r="EO324" s="48" t="str">
        <f ca="1">IFERROR(INDEX($EM$3:$EN$400,MATCH(ROWS($EO$3:EO324),$EM$3:$EM$400,0),2),"")</f>
        <v/>
      </c>
      <c r="EP324" s="48">
        <f>ROW()</f>
        <v>324</v>
      </c>
      <c r="EQ324" s="48">
        <f t="shared" ca="1" si="649"/>
        <v>0</v>
      </c>
      <c r="ER324" s="48">
        <f ca="1">IF(ISNA(EQ324)=TRUE,MAX($ER$2:ER323)+1,0)</f>
        <v>0</v>
      </c>
      <c r="ES324" s="48" t="str">
        <f t="shared" ref="ES324:ES387" ca="1" si="659">IF(ER324&lt;&gt;0,AM324,"")</f>
        <v/>
      </c>
      <c r="ET324" s="48" t="str">
        <f ca="1">IFERROR(INDEX($ER$3:$ES$400,MATCH(ROWS($ET$3:ET324),$ER$3:$ER$400,0),2),"")</f>
        <v/>
      </c>
      <c r="EV324" s="48">
        <f ca="1">IFERROR(INDEX(LIBRO_GIORNALE!$O$11:$P$408,MATCH(ROWS($EV$2:EV323),LIBRO_GIORNALE!$P$11:$P$408,0),1),0)</f>
        <v>0</v>
      </c>
      <c r="EW324" s="48" t="str">
        <f t="shared" ca="1" si="629"/>
        <v>0</v>
      </c>
      <c r="EX324" s="48">
        <f t="shared" ref="EX324:EX387" ca="1" si="660">IF(EXACT(EW324,EW323),0,IF($EV$1=1,IFERROR(MATCH($EW324,$CV$3:$CV$400,0),0),0))</f>
        <v>0</v>
      </c>
      <c r="EY324" s="48">
        <f ca="1">IF(EX324&gt;0,MAX($EY$2:EY323)+1,0)</f>
        <v>0</v>
      </c>
      <c r="EZ324" s="48">
        <f ca="1">IFERROR(INDEX($EX$3:$EX$400,MATCH(ROWS($EZ$3:EZ324),$EY$3:$EY$400,0),1),0)</f>
        <v>0</v>
      </c>
      <c r="FA324" s="48">
        <f ca="1">IF(EZ324&gt;0,0,MAX($FA$2:FA323)+1)</f>
        <v>322</v>
      </c>
      <c r="FB324" s="48">
        <f t="shared" ca="1" si="630"/>
        <v>0</v>
      </c>
      <c r="FC324" s="48">
        <f t="shared" ca="1" si="631"/>
        <v>322</v>
      </c>
      <c r="FD324" s="48">
        <f t="shared" ref="FD324:FD387" ca="1" si="661">SUM(EZ324,FC324)</f>
        <v>322</v>
      </c>
      <c r="FE324" s="48">
        <f ca="1">IF(FD324=0,0,MAX($FE$2:FE323)+1)</f>
        <v>322</v>
      </c>
      <c r="FF324" s="48">
        <f ca="1">IFERROR(INDEX($FD$3:$FE$400,MATCH(ROWS($FF$3:FF324),$FE$3:$FE$400,0),1),"")</f>
        <v>322</v>
      </c>
      <c r="FG324" s="48">
        <f t="shared" si="610"/>
        <v>0</v>
      </c>
      <c r="FH324" s="48">
        <f t="shared" ref="FH324:FH387" ca="1" si="662">IF(F324="SP DARE/AVERE",B324,0)</f>
        <v>0</v>
      </c>
      <c r="FI324" s="48">
        <f ca="1">IF(FH324&lt;&gt;0,MAX($FI$2:FI323)+1,0)</f>
        <v>0</v>
      </c>
      <c r="FJ324" s="48" t="str">
        <f ca="1">IFERROR(INDEX($FH$3:$FI$400,MATCH(ROWS($FJ$3:FJ324),$FI$3:$FI$400,0),1),"")</f>
        <v/>
      </c>
      <c r="FK324" s="48">
        <f ca="1">IF(ABS(SUMIFS(DARE,DEN_G,"="&amp;FJ324,DATA,"&lt;="&amp;FINE_AC,DATA,"&gt;="&amp;INIZIO_A_PC)-SUMIFS(AVERE,DEN_G,"="&amp;FJ324,DATA,"&lt;="&amp;FINE_AC,DATA,"&gt;="&amp;INIZIO_A_PC))&gt;0,MAX($FK$2:FK323)+1,0)</f>
        <v>0</v>
      </c>
      <c r="FL324" s="48" t="str">
        <f ca="1">IF(AND(ROW()-2&lt;&gt;1,ROW()-2&lt;=$FK$1),CONCATENATE(" - ",IFERROR(INDEX($FJ$3:$FK$400,MATCH(ROWS($FL$3:FL324),$FK$3:$FK$400,0),1),"")),IFERROR(INDEX($FJ$3:$FK$400,MATCH(ROWS($FL$3:FL324),$FK$3:$FK$400,0),1),""))</f>
        <v/>
      </c>
      <c r="FM324" s="48">
        <f ca="1">IF(OR(B324="IVA ns/credito",B324="IVA NS/DEBITO",B324="IVA C/ACCONTO",B324="IMPOSTE C/ACCONTO",B324="CREDITI PER RITENUTE SUBITE",B324="CREDITI D'IMPOSTA"),MAX($FM$2:FM323)+1,0)</f>
        <v>0</v>
      </c>
      <c r="FN324" s="48" t="str">
        <f t="shared" ref="FN324:FN387" ca="1" si="663">IF(FM324&gt;0,B324,"")</f>
        <v/>
      </c>
      <c r="FO324" s="48" t="str">
        <f ca="1">IFERROR(INDEX($FM$3:$FN$400,MATCH(ROWS($FO$3:FO324),$FM$3:$FM$400,0),2),"")</f>
        <v/>
      </c>
      <c r="FP324" s="48">
        <f ca="1">IF(ABS(SUMIFS(DARE,DEN_G,"="&amp;FO324,DATA,"&lt;="&amp;FINE_AC,DATA,"&gt;="&amp;INIZIO_A_PC)-SUMIFS(AVERE,DEN_G,"="&amp;FO324,DATA,"&lt;="&amp;FINE_AC,DATA,"&gt;="&amp;INIZIO_A_PC))&gt;0,MAX($FP$2:FP323)+1,0)</f>
        <v>0</v>
      </c>
      <c r="FQ324" s="48" t="str">
        <f ca="1">IF(AND(ROW()-2&lt;&gt;1,ROW()-2&lt;=$FP$1),CONCATENATE(" - ",IFERROR(INDEX($FO$3:$FP$400,MATCH(ROWS($FQ$3:FQ324),$FP$3:$FP$400,0),1),"")),IFERROR(INDEX($FO$3:$FP$400,MATCH(ROWS($FQ$3:FQ324),$FP$3:$FP$400,0),1),""))</f>
        <v/>
      </c>
    </row>
    <row r="325" spans="1:173" x14ac:dyDescent="0.3">
      <c r="A325" s="48" t="str">
        <f ca="1">IFERROR(IF($A$1=2,INDEX($DH$3:$DN$401,MATCH(ROWS(A$3:A325),$DN$3:$DN$401,0),COLUMN()),IF($A$1=1,INDEX($DQ$3:$DW$401,MATCH(ROWS(A$3:A325),$DW$3:$DW$401,0),COLUMN()),"")),"")</f>
        <v>60.00</v>
      </c>
      <c r="B325" s="48" t="str">
        <f ca="1">IFERROR(IF($A$1=2,INDEX($DH$3:$DN$401,MATCH(ROWS(B$3:B325),$DN$3:$DN$401,0),COLUMN()),IF($A$1=1,INDEX($DQ$3:$DW$400,MATCH(ROWS(B$3:B325),$DW$3:$DW$401,0),COLUMN()),"")),"")</f>
        <v>IMPOSTE DELL'ESERCIZIO</v>
      </c>
      <c r="C325" s="48">
        <f ca="1">IFERROR(IF($A$1=2,INDEX($DH$3:$DN$401,MATCH(ROWS(C$3:C325),$DN$3:$DN$401,0),COLUMN()),IF($A$1=1,INDEX($DQ$3:$DW$401,MATCH(ROWS(C$3:C325),$DW$3:$DW$401,0),COLUMN()),"")),"")</f>
        <v>0</v>
      </c>
      <c r="D325" s="48">
        <f ca="1">IFERROR(IF($A$1=2,INDEX($DH$3:$DN$401,MATCH(ROWS(D$3:D325),$DN$3:$DN$401,0),COLUMN()),IF($A$1=1,INDEX($DQ$3:$DW$401,MATCH(ROWS(D$3:D325),$DW$3:$DW$401,0),COLUMN()),"")),"")</f>
        <v>0</v>
      </c>
      <c r="E325" s="48">
        <f ca="1">IFERROR(IF($A$1=2,INDEX($DH$3:$DN$401,MATCH(ROWS(E$3:E325),$DN$3:$DN$401,0),COLUMN()),IF($A$1=1,INDEX($DQ$3:$DW$401,MATCH(ROWS(E$3:E325),$DW$3:$DW$401,0),COLUMN()),"")),"")</f>
        <v>0</v>
      </c>
      <c r="F325" s="48">
        <f ca="1">IFERROR(IF($A$1=2,INDEX($DH$3:$DN$401,MATCH(ROWS(F$3:F325),$DN$3:$DN$401,0),COLUMN()),IF($A$1=1,INDEX($DQ$3:$DX$401,MATCH(ROWS(F$3:F325),$DW$3:$DW$401,0),COLUMN()),"")),"")</f>
        <v>0</v>
      </c>
      <c r="G325" s="48" t="str">
        <f t="shared" ca="1" si="650"/>
        <v>0</v>
      </c>
      <c r="H325" s="48">
        <f ca="1">IFERROR(IF($A$1=2,INDEX($DH$3:$DO$400,MATCH(ROWS(H$3:H325),$DN$3:$DN$400,0),COLUMN()),IF($A$1=1,INDEX($DQ$3:$DX$400,MATCH(ROWS(H$3:H325),$DW$3:$DW$400,0),COLUMN()),"")),"")</f>
        <v>0</v>
      </c>
      <c r="M325" s="48">
        <f ca="1">IFERROR(IF(IF(MID($A325,3,3)=".00",MID(A325,1,2),"")&lt;&gt;"",MAX($M$2:M324)+1,0),"")</f>
        <v>36</v>
      </c>
      <c r="N325" s="48" t="str">
        <f t="shared" ca="1" si="651"/>
        <v>60</v>
      </c>
      <c r="O325" s="48" t="str">
        <f ca="1">IF(IFERROR(INDEX($N$3:$O$300,MATCH(ROWS($O$3:O325),$M$3:$M$300,0),1),"")&lt;&gt;"",CONCATENATE(INDEX($N$3:$O$300,MATCH(ROWS($O$3:O325),$M$3:$M$300,0),1),".00"),"")</f>
        <v/>
      </c>
      <c r="P325" s="48" t="str">
        <f t="shared" ca="1" si="652"/>
        <v/>
      </c>
      <c r="Q325" s="48">
        <f ca="1">IF(M325&gt;=1,0,MAX($Q$2:Q324)+1)</f>
        <v>0</v>
      </c>
      <c r="U325" s="48" t="str">
        <f ca="1">IFERROR(INDEX(PDC,MATCH(ROWS(U$3:U325),$V$3:$V$400,0),2),"")</f>
        <v/>
      </c>
      <c r="V325" s="48">
        <f ca="1">IF(AND($T$1="VISUALIZZA TUTTI I CONTI",AA325&lt;&gt;""),MAX($V$2:V324)+1,IF(AND($U$2=2,AI325=$T$1),MAX($V$2:V324)+1,IF(AND($U$2=1,$T$1=AF325),MAX($V$2:V324)+1,0)))</f>
        <v>0</v>
      </c>
      <c r="AA325" s="48" t="str">
        <f t="shared" ca="1" si="653"/>
        <v/>
      </c>
      <c r="AB325" s="48" t="str">
        <f ca="1">IFERROR(INDEX($A$3:$G$400,MATCH(ROWS(AB$3:AB325),$Q$3:$Q$400,0),1),"")</f>
        <v/>
      </c>
      <c r="AC325" s="48" t="str">
        <f ca="1">IFERROR(INDEX($A$3:$G$400,MATCH(ROWS($AC$3:AC325),$Q$3:$Q$400,0),2),"")</f>
        <v/>
      </c>
      <c r="AD325" s="48">
        <f ca="1">IFERROR(INDEX($A$3:$G$400,MATCH(ROWS(AD$3:AD325),$Q$3:$Q$400,0),3),"")</f>
        <v>0</v>
      </c>
      <c r="AE325" s="48" t="str">
        <f ca="1">IFERROR(INDEX($A$3:$G$400,MATCH(ROWS(AE$3:AE325),$Q$3:$Q$400,0),4),"")</f>
        <v/>
      </c>
      <c r="AF325" s="48" t="str">
        <f ca="1">IFERROR(INDEX($A$3:$G$400,MATCH(ROWS(AF$3:AF325),$Q$3:$Q$400,0),5),"")</f>
        <v/>
      </c>
      <c r="AG325" s="48" t="str">
        <f ca="1">IFERROR(INDEX($A$3:$G$400,MATCH(ROWS(AG$3:AG325),$Q$3:$Q$400,0),6),"")</f>
        <v/>
      </c>
      <c r="AH325" s="48" t="str">
        <f ca="1">IFERROR(INDEX($A$3:$G$400,MATCH(ROWS(AH$3:AH325),$Q$3:$Q$400,0),7),"")</f>
        <v/>
      </c>
      <c r="AI325" s="48" t="str">
        <f t="shared" ca="1" si="654"/>
        <v/>
      </c>
      <c r="AJ325" s="48" t="str">
        <f ca="1">IFERROR(INDEX($A$3:$H$400,MATCH(ROWS(AJ$3:AJ325),$Q$3:$Q$400,0),8),"")</f>
        <v/>
      </c>
      <c r="AZ325" s="48" t="str">
        <f t="shared" ca="1" si="584"/>
        <v/>
      </c>
      <c r="BA325" s="48">
        <f t="shared" ca="1" si="611"/>
        <v>0</v>
      </c>
      <c r="BB325" s="48">
        <f t="shared" ca="1" si="612"/>
        <v>0</v>
      </c>
      <c r="BC325" s="48">
        <f t="shared" ca="1" si="613"/>
        <v>0</v>
      </c>
      <c r="BD325" s="48">
        <f t="shared" ca="1" si="614"/>
        <v>0</v>
      </c>
      <c r="BE325" s="48">
        <f t="shared" ca="1" si="615"/>
        <v>0</v>
      </c>
      <c r="BF325" s="48">
        <f t="shared" si="585"/>
        <v>125</v>
      </c>
      <c r="BG325" s="48">
        <f ca="1">IF(IF(AND(OR(INDEX(PDC,MATCH($AC325,DEN_PDC,0),6)="SP DARE",INDEX(PDC,MATCH($AC325,DEN_PDC,0),6)="SP DARE/AVERE"),SUMIFS(DARE,DEN_G,$AC325)&gt;=SUMIFS(AVERE,DEN_G,$AC325)),SUMIFS(DARE,DEN_G,$AC325)-SUMIFS(AVERE,DEN_G,$AC325),0)&gt;0,MAX($BG$2:BG324)+1,0)</f>
        <v>0</v>
      </c>
      <c r="BH325" s="48">
        <f ca="1">IF(IF(AND(OR(INDEX(PDC,MATCH($AC325,DEN_PDC,0),6)="SP AVERE",INDEX(PDC,MATCH($AC325,DEN_PDC,0),6)="SP DARE/AVERE"),SUMIFS(AVERE,DEN_G,$AC325)&gt;=SUMIFS(DARE,DEN_G,$AC325)),SUMIFS(AVERE,DEN_G,$AC325)-SUMIFS(DARE,DEN_G,$AC325),0)&gt;0,MAX(BH$2:BH324)+1,0)</f>
        <v>0</v>
      </c>
      <c r="BI325" s="48">
        <f ca="1">IF(IF(AND(OR(INDEX(PDC,MATCH($AC325,DEN_PDC,0),6)="SE DARE",INDEX(PDC,MATCH($AC325,DEN_PDC,0),6)="SE DARE/AVERE"),SUMIFS(DARE,DEN_G,$AC325)&gt;=SUMIFS(AVERE,DEN_G,$AC325)),SUMIFS(DARE,DEN_G,$AC325)-SUMIFS(AVERE,DEN_G,$AC325),0)&gt;0,MAX(BI$2:BI324)+1,0)</f>
        <v>0</v>
      </c>
      <c r="BJ325" s="48">
        <f ca="1">IF(IF(AND(OR(INDEX(PDC,MATCH($AC325,DEN_PDC,0),6)="SE AVERE",INDEX(PDC,MATCH($AC325,DEN_PDC,0),6)="SE DARE/AVERE"),SUMIFS(AVERE,DEN_G,$AC325)&gt;=SUMIFS(DARE,DEN_G,$AC325)),SUMIFS(AVERE,DEN_G,$AC325)-SUMIFS(DARE,DEN_G,$AC325),0)&gt;0,MAX(BJ$2:BJ324)+1,0)</f>
        <v>0</v>
      </c>
      <c r="BK325" s="48" t="str">
        <f ca="1">IF(AND(AND($DY$2=0,$DY$1=0),$I$1=2,ROW()&gt;$BG$1+2,ROW()&lt;=$BG$1+4),"………………..",IF(AND(OR($DY$2&gt;0,$DY$1&gt;0),$I$1=2,ROW()&gt;$BG$1+2,ROW()&lt;=$BG$1+4),"………………..",IFERROR(INDEX($AC$3:$AC$398,MATCH(ROWS(BK$3:BK325),BG$3:BG$398,0),1),"")))</f>
        <v/>
      </c>
      <c r="BL325" s="48">
        <f t="shared" ca="1" si="637"/>
        <v>0</v>
      </c>
      <c r="BM325" s="48" t="str">
        <f ca="1">IF(AND(OR($DY$2=0,$DY$1=0),$I$1=2,ROW()&gt;$BH$1+2,ROW()&lt;=$BH$1+4),"………………..",IF(AND(OR($DY$2&gt;0,$DY$1&gt;0),$I$1=2,ROW()&gt;$BH$1+2,ROW()&lt;=$BH$1+4),"………………..",IFERROR(INDEX($AC$3:$AC$400,MATCH(ROWS(BM$3:BM325),BH$3:BH$400,0),1),"")))</f>
        <v/>
      </c>
      <c r="BN325" s="48">
        <f t="shared" ca="1" si="638"/>
        <v>0</v>
      </c>
      <c r="BO325" s="48" t="str">
        <f ca="1">IF(AND(OR($DY$2=0,$DY$1=0),$I$1=2,ROW()&gt;$BI$1+2,ROW()&lt;=$BI$1+4),"………………..",IF(AND(OR($DY$2&gt;0,$DY$1&gt;0),$I$1=2,ROW()&gt;$BI$1+2,ROW()&lt;=$BI$1+4),"………………..",IFERROR(INDEX($AC$3:$AC$400,MATCH(ROWS(BO$3:BO325),BI$3:BI$400,0),1),"")))</f>
        <v/>
      </c>
      <c r="BP325" s="48">
        <f t="shared" ca="1" si="639"/>
        <v>0</v>
      </c>
      <c r="BQ325" s="48" t="str">
        <f ca="1">IF(AND(OR($DY$2=0,$DY$1=0),$I$1=2,ROW()&gt;$BJ$1+2,ROW()&lt;=$BJ$1+4),"………………..",IF(AND(OR($DY$2&gt;0,$DY$1&gt;0),$I$1=2,ROW()&gt;$BJ$1+2,ROW()&lt;=$BJ$1+4),"………………..",IFERROR(INDEX($AC$3:$AC$400,MATCH(ROWS(BQ$3:BQ325),BJ$3:BJ$400,0),1),"")))</f>
        <v/>
      </c>
      <c r="BR325" s="48">
        <f t="shared" ca="1" si="640"/>
        <v>0</v>
      </c>
      <c r="BS325" s="48">
        <f ca="1">IF(IF(AND(OR(INDEX(PDC,MATCH($AC325,DEN_PDC,0),4)="D",INDEX(PDC,MATCH($AC325,DEN_PDC,0),4)="D/A"),SUMIFS(DARE,DEN_G,$AC325)&gt;=SUMIFS(AVERE,DEN_G,$AC325)),SUMIFS(DARE,DEN_G,$AC325),IF(AND(OR(INDEX(PDC,MATCH($AC325,DEN_PDC,0),4)="A",INDEX(PDC,MATCH($AC325,DEN_PDC,0),4)="D/A"),SUMIFS(AVERE,DEN_G,$AC325)&gt;=SUMIFS(DARE,DEN_G,$AC325)),SUMIFS(AVERE,DEN_G,$AC325),))&gt;0,MAX($BS$2:BS324)+1,0)</f>
        <v>0</v>
      </c>
      <c r="BT325" s="48" t="str">
        <f ca="1">IF($CO$1=0,"",IF(AND($I$1=2,ROW()&gt;$BR$1,ROW()&lt;=$BS$1)," …………….",IF(AND($E$1=1,$BX$1=1,$I$1=2,ROW()=$BQ$1),"TOTALI",IFERROR(INDEX(PDC,MATCH(ROWS(BT$3:BT325),BS$3:BS722,0),2),""))))</f>
        <v/>
      </c>
      <c r="BU325" s="48">
        <f t="shared" ca="1" si="641"/>
        <v>0</v>
      </c>
      <c r="BV325" s="48">
        <f t="shared" ca="1" si="642"/>
        <v>0</v>
      </c>
      <c r="BW325" s="48">
        <f t="shared" ca="1" si="643"/>
        <v>0</v>
      </c>
      <c r="BX325" s="48">
        <f t="shared" ca="1" si="644"/>
        <v>0</v>
      </c>
      <c r="BY325" s="48">
        <f ca="1">IF(OR(BW325&gt;0,BX325&gt;0),MAX($BY$2:BY324)+1,0)</f>
        <v>0</v>
      </c>
      <c r="BZ325" s="48" t="str">
        <f ca="1">IFERROR(INDEX($BT$3:$BY$400,MATCH(ROWS(BZ$3:BZ325),$BY$3:$BY$400,0),1),"")</f>
        <v/>
      </c>
      <c r="CA325" s="48" t="str">
        <f ca="1">IFERROR(INDEX($BT$3:$BY$400,MATCH(ROWS(CA$3:CA325),$BY$3:$BY$400,0),4),"")</f>
        <v/>
      </c>
      <c r="CB325" s="48" t="str">
        <f ca="1">IFERROR(INDEX($BT$3:$BY$400,MATCH(ROWS(CB$3:CB325),$BY$3:$BY$400,0),5),"")</f>
        <v/>
      </c>
      <c r="CC325" s="48" t="str">
        <f t="shared" ca="1" si="645"/>
        <v/>
      </c>
      <c r="CM325" s="242" t="str">
        <f t="shared" ca="1" si="655"/>
        <v/>
      </c>
      <c r="CN325" s="243">
        <f t="shared" ca="1" si="656"/>
        <v>0</v>
      </c>
      <c r="CO325" s="48" t="str">
        <f t="shared" ca="1" si="657"/>
        <v/>
      </c>
      <c r="CU325" s="48">
        <f ca="1">IF(SUMIFS(AVERE,DEN_G,AC325,AVERE,"&gt;"&amp;0)+SUMIFS(DARE,DEN_G,AC325,DARE,"&gt;"&amp;0)&gt;0,MAX($CU$2:CU324)+1,0)</f>
        <v>0</v>
      </c>
      <c r="CV325" s="48" t="str">
        <f ca="1">IF(IFERROR(INDEX(PDC,MATCH(ROWS($CV$3:CV325),$CU$3:$CU$400,0),2),"")="CONTO DI RISULTATO ECONOMICO","",IFERROR(INDEX(PDC,MATCH(ROWS($CV$3:CV325),$CU$3:$CU$400,0),2),""))</f>
        <v/>
      </c>
      <c r="CW325" s="48">
        <f ca="1">IFERROR(IF(CV325&lt;&gt;"",MAX($CW$2:CW324)+1,0),0)</f>
        <v>0</v>
      </c>
      <c r="CX325" s="48">
        <f t="shared" ca="1" si="627"/>
        <v>25</v>
      </c>
      <c r="CY325" s="48" t="str">
        <f t="shared" ca="1" si="626"/>
        <v>MASTRO</v>
      </c>
      <c r="CZ325" s="48" t="e">
        <f t="shared" ca="1" si="632"/>
        <v>#N/A</v>
      </c>
      <c r="DA325" s="48" t="str">
        <f t="shared" ca="1" si="636"/>
        <v/>
      </c>
      <c r="DB325" s="48" t="str">
        <f t="shared" ca="1" si="592"/>
        <v/>
      </c>
      <c r="DC325" s="48" t="str">
        <f t="shared" ca="1" si="633"/>
        <v/>
      </c>
      <c r="DD325" s="48" t="str">
        <f t="shared" ca="1" si="634"/>
        <v/>
      </c>
      <c r="DE325" s="48" t="str">
        <f t="shared" ca="1" si="635"/>
        <v/>
      </c>
      <c r="DF325" s="48">
        <f ca="1">IF(AND(CX325=$DF$1,CX325&lt;&gt;""),0,IF(AND(DB325&lt;&gt;"",OR(DB324&lt;&gt;"",DB326&lt;&gt;"")),MAX($DF$2:DF324)+1,0))</f>
        <v>0</v>
      </c>
      <c r="DH325" s="244" t="s">
        <v>940</v>
      </c>
      <c r="DI325" s="48" t="s">
        <v>230</v>
      </c>
      <c r="DJ325" s="48" t="s">
        <v>311</v>
      </c>
      <c r="DK325" s="48" t="s">
        <v>275</v>
      </c>
      <c r="DL325" s="48" t="s">
        <v>7</v>
      </c>
      <c r="DM325" s="48" t="s">
        <v>301</v>
      </c>
      <c r="DN325" s="48">
        <f ca="1">IF(DI325&lt;&gt;"",MAX($DN$2:DN324)+1,0)</f>
        <v>256</v>
      </c>
      <c r="DO325" s="48" t="s">
        <v>716</v>
      </c>
      <c r="DQ325" s="227" t="s">
        <v>902</v>
      </c>
      <c r="DR325" s="48" t="s">
        <v>234</v>
      </c>
      <c r="DS325" s="48" t="s">
        <v>311</v>
      </c>
      <c r="DT325" s="48" t="s">
        <v>275</v>
      </c>
      <c r="DU325" s="48" t="s">
        <v>7</v>
      </c>
      <c r="DV325" s="48" t="s">
        <v>301</v>
      </c>
      <c r="DW325" s="48">
        <f ca="1">IF(DR325&lt;&gt;"",MAX($DW$2:DW324)+1,0)</f>
        <v>194</v>
      </c>
      <c r="DX325" s="48" t="str">
        <f t="shared" ca="1" si="646"/>
        <v>eb10a</v>
      </c>
      <c r="DY325" s="48" t="str">
        <f t="shared" ca="1" si="647"/>
        <v/>
      </c>
      <c r="EL325" s="48">
        <f t="shared" ca="1" si="648"/>
        <v>0</v>
      </c>
      <c r="EM325" s="48">
        <f ca="1">IF(EL325&gt;=0,0,MAX($EM$2:EM324)+1)</f>
        <v>0</v>
      </c>
      <c r="EN325" s="48" t="str">
        <f t="shared" ca="1" si="658"/>
        <v/>
      </c>
      <c r="EO325" s="48" t="str">
        <f ca="1">IFERROR(INDEX($EM$3:$EN$400,MATCH(ROWS($EO$3:EO325),$EM$3:$EM$400,0),2),"")</f>
        <v/>
      </c>
      <c r="EP325" s="48">
        <f>ROW()</f>
        <v>325</v>
      </c>
      <c r="EQ325" s="48">
        <f t="shared" ca="1" si="649"/>
        <v>0</v>
      </c>
      <c r="ER325" s="48">
        <f ca="1">IF(ISNA(EQ325)=TRUE,MAX($ER$2:ER324)+1,0)</f>
        <v>0</v>
      </c>
      <c r="ES325" s="48" t="str">
        <f t="shared" ca="1" si="659"/>
        <v/>
      </c>
      <c r="ET325" s="48" t="str">
        <f ca="1">IFERROR(INDEX($ER$3:$ES$400,MATCH(ROWS($ET$3:ET325),$ER$3:$ER$400,0),2),"")</f>
        <v/>
      </c>
      <c r="EV325" s="48">
        <f ca="1">IFERROR(INDEX(LIBRO_GIORNALE!$O$11:$P$408,MATCH(ROWS($EV$2:EV324),LIBRO_GIORNALE!$P$11:$P$408,0),1),0)</f>
        <v>0</v>
      </c>
      <c r="EW325" s="48" t="str">
        <f t="shared" ca="1" si="629"/>
        <v>0</v>
      </c>
      <c r="EX325" s="48">
        <f t="shared" ca="1" si="660"/>
        <v>0</v>
      </c>
      <c r="EY325" s="48">
        <f ca="1">IF(EX325&gt;0,MAX($EY$2:EY324)+1,0)</f>
        <v>0</v>
      </c>
      <c r="EZ325" s="48">
        <f ca="1">IFERROR(INDEX($EX$3:$EX$400,MATCH(ROWS($EZ$3:EZ325),$EY$3:$EY$400,0),1),0)</f>
        <v>0</v>
      </c>
      <c r="FA325" s="48">
        <f ca="1">IF(EZ325&gt;0,0,MAX($FA$2:FA324)+1)</f>
        <v>323</v>
      </c>
      <c r="FB325" s="48">
        <f t="shared" ca="1" si="630"/>
        <v>0</v>
      </c>
      <c r="FC325" s="48">
        <f t="shared" ca="1" si="631"/>
        <v>323</v>
      </c>
      <c r="FD325" s="48">
        <f t="shared" ca="1" si="661"/>
        <v>323</v>
      </c>
      <c r="FE325" s="48">
        <f ca="1">IF(FD325=0,0,MAX($FE$2:FE324)+1)</f>
        <v>323</v>
      </c>
      <c r="FF325" s="48">
        <f ca="1">IFERROR(INDEX($FD$3:$FE$400,MATCH(ROWS($FF$3:FF325),$FE$3:$FE$400,0),1),"")</f>
        <v>323</v>
      </c>
      <c r="FG325" s="48">
        <f t="shared" si="610"/>
        <v>0</v>
      </c>
      <c r="FH325" s="48">
        <f t="shared" ca="1" si="662"/>
        <v>0</v>
      </c>
      <c r="FI325" s="48">
        <f ca="1">IF(FH325&lt;&gt;0,MAX($FI$2:FI324)+1,0)</f>
        <v>0</v>
      </c>
      <c r="FJ325" s="48" t="str">
        <f ca="1">IFERROR(INDEX($FH$3:$FI$400,MATCH(ROWS($FJ$3:FJ325),$FI$3:$FI$400,0),1),"")</f>
        <v/>
      </c>
      <c r="FK325" s="48">
        <f ca="1">IF(ABS(SUMIFS(DARE,DEN_G,"="&amp;FJ325,DATA,"&lt;="&amp;FINE_AC,DATA,"&gt;="&amp;INIZIO_A_PC)-SUMIFS(AVERE,DEN_G,"="&amp;FJ325,DATA,"&lt;="&amp;FINE_AC,DATA,"&gt;="&amp;INIZIO_A_PC))&gt;0,MAX($FK$2:FK324)+1,0)</f>
        <v>0</v>
      </c>
      <c r="FL325" s="48" t="str">
        <f ca="1">IF(AND(ROW()-2&lt;&gt;1,ROW()-2&lt;=$FK$1),CONCATENATE(" - ",IFERROR(INDEX($FJ$3:$FK$400,MATCH(ROWS($FL$3:FL325),$FK$3:$FK$400,0),1),"")),IFERROR(INDEX($FJ$3:$FK$400,MATCH(ROWS($FL$3:FL325),$FK$3:$FK$400,0),1),""))</f>
        <v/>
      </c>
      <c r="FM325" s="48">
        <f ca="1">IF(OR(B325="IVA ns/credito",B325="IVA NS/DEBITO",B325="IVA C/ACCONTO",B325="IMPOSTE C/ACCONTO",B325="CREDITI PER RITENUTE SUBITE",B325="CREDITI D'IMPOSTA"),MAX($FM$2:FM324)+1,0)</f>
        <v>0</v>
      </c>
      <c r="FN325" s="48" t="str">
        <f t="shared" ca="1" si="663"/>
        <v/>
      </c>
      <c r="FO325" s="48" t="str">
        <f ca="1">IFERROR(INDEX($FM$3:$FN$400,MATCH(ROWS($FO$3:FO325),$FM$3:$FM$400,0),2),"")</f>
        <v/>
      </c>
      <c r="FP325" s="48">
        <f ca="1">IF(ABS(SUMIFS(DARE,DEN_G,"="&amp;FO325,DATA,"&lt;="&amp;FINE_AC,DATA,"&gt;="&amp;INIZIO_A_PC)-SUMIFS(AVERE,DEN_G,"="&amp;FO325,DATA,"&lt;="&amp;FINE_AC,DATA,"&gt;="&amp;INIZIO_A_PC))&gt;0,MAX($FP$2:FP324)+1,0)</f>
        <v>0</v>
      </c>
      <c r="FQ325" s="48" t="str">
        <f ca="1">IF(AND(ROW()-2&lt;&gt;1,ROW()-2&lt;=$FP$1),CONCATENATE(" - ",IFERROR(INDEX($FO$3:$FP$400,MATCH(ROWS($FQ$3:FQ325),$FP$3:$FP$400,0),1),"")),IFERROR(INDEX($FO$3:$FP$400,MATCH(ROWS($FQ$3:FQ325),$FP$3:$FP$400,0),1),""))</f>
        <v/>
      </c>
    </row>
    <row r="326" spans="1:173" x14ac:dyDescent="0.3">
      <c r="A326" s="48" t="str">
        <f ca="1">IFERROR(IF($A$1=2,INDEX($DH$3:$DN$401,MATCH(ROWS(A$3:A326),$DN$3:$DN$401,0),COLUMN()),IF($A$1=1,INDEX($DQ$3:$DW$401,MATCH(ROWS(A$3:A326),$DW$3:$DW$401,0),COLUMN()),"")),"")</f>
        <v>60.01</v>
      </c>
      <c r="B326" s="48" t="str">
        <f ca="1">IFERROR(IF($A$1=2,INDEX($DH$3:$DN$401,MATCH(ROWS(B$3:B326),$DN$3:$DN$401,0),COLUMN()),IF($A$1=1,INDEX($DQ$3:$DW$400,MATCH(ROWS(B$3:B326),$DW$3:$DW$401,0),COLUMN()),"")),"")</f>
        <v>IMPOSTE DELL'ESERCIZIO</v>
      </c>
      <c r="C326" s="48" t="str">
        <f ca="1">IFERROR(IF($A$1=2,INDEX($DH$3:$DN$401,MATCH(ROWS(C$3:C326),$DN$3:$DN$401,0),COLUMN()),IF($A$1=1,INDEX($DQ$3:$DW$401,MATCH(ROWS(C$3:C326),$DW$3:$DW$401,0),COLUMN()),"")),"")</f>
        <v>E</v>
      </c>
      <c r="D326" s="48" t="str">
        <f ca="1">IFERROR(IF($A$1=2,INDEX($DH$3:$DN$401,MATCH(ROWS(D$3:D326),$DN$3:$DN$401,0),COLUMN()),IF($A$1=1,INDEX($DQ$3:$DW$401,MATCH(ROWS(D$3:D326),$DW$3:$DW$401,0),COLUMN()),"")),"")</f>
        <v>D</v>
      </c>
      <c r="E326" s="48" t="str">
        <f ca="1">IFERROR(IF($A$1=2,INDEX($DH$3:$DN$401,MATCH(ROWS(E$3:E326),$DN$3:$DN$401,0),COLUMN()),IF($A$1=1,INDEX($DQ$3:$DW$401,MATCH(ROWS(E$3:E326),$DW$3:$DW$401,0),COLUMN()),"")),"")</f>
        <v>COSTI D'ESERCIZIO</v>
      </c>
      <c r="F326" s="48" t="str">
        <f ca="1">IFERROR(IF($A$1=2,INDEX($DH$3:$DN$401,MATCH(ROWS(F$3:F326),$DN$3:$DN$401,0),COLUMN()),IF($A$1=1,INDEX($DQ$3:$DX$401,MATCH(ROWS(F$3:F326),$DW$3:$DW$401,0),COLUMN()),"")),"")</f>
        <v>SE DARE</v>
      </c>
      <c r="G326" s="48" t="str">
        <f t="shared" ca="1" si="650"/>
        <v>SE</v>
      </c>
      <c r="H326" s="48" t="str">
        <f ca="1">IFERROR(IF($A$1=2,INDEX($DH$3:$DO$400,MATCH(ROWS(H$3:H326),$DN$3:$DN$400,0),COLUMN()),IF($A$1=1,INDEX($DQ$3:$DX$400,MATCH(ROWS(H$3:H326),$DW$3:$DW$400,0),COLUMN()),"")),"")</f>
        <v>e20</v>
      </c>
      <c r="M326" s="48">
        <f ca="1">IFERROR(IF(IF(MID($A326,3,3)=".00",MID(A326,1,2),"")&lt;&gt;"",MAX($M$2:M325)+1,0),"")</f>
        <v>0</v>
      </c>
      <c r="N326" s="48" t="str">
        <f t="shared" ca="1" si="651"/>
        <v/>
      </c>
      <c r="O326" s="48" t="str">
        <f ca="1">IF(IFERROR(INDEX($N$3:$O$300,MATCH(ROWS($O$3:O326),$M$3:$M$300,0),1),"")&lt;&gt;"",CONCATENATE(INDEX($N$3:$O$300,MATCH(ROWS($O$3:O326),$M$3:$M$300,0),1),".00"),"")</f>
        <v/>
      </c>
      <c r="P326" s="48" t="str">
        <f t="shared" ca="1" si="652"/>
        <v/>
      </c>
      <c r="Q326" s="48">
        <f ca="1">IF(M326&gt;=1,0,MAX($Q$2:Q325)+1)</f>
        <v>288</v>
      </c>
      <c r="U326" s="48" t="str">
        <f ca="1">IFERROR(INDEX(PDC,MATCH(ROWS(U$3:U326),$V$3:$V$400,0),2),"")</f>
        <v/>
      </c>
      <c r="V326" s="48">
        <f ca="1">IF(AND($T$1="VISUALIZZA TUTTI I CONTI",AA326&lt;&gt;""),MAX($V$2:V325)+1,IF(AND($U$2=2,AI326=$T$1),MAX($V$2:V325)+1,IF(AND($U$2=1,$T$1=AF326),MAX($V$2:V325)+1,0)))</f>
        <v>0</v>
      </c>
      <c r="AA326" s="48" t="str">
        <f t="shared" ca="1" si="653"/>
        <v/>
      </c>
      <c r="AB326" s="48" t="str">
        <f ca="1">IFERROR(INDEX($A$3:$G$400,MATCH(ROWS(AB$3:AB326),$Q$3:$Q$400,0),1),"")</f>
        <v/>
      </c>
      <c r="AC326" s="48" t="str">
        <f ca="1">IFERROR(INDEX($A$3:$G$400,MATCH(ROWS($AC$3:AC326),$Q$3:$Q$400,0),2),"")</f>
        <v/>
      </c>
      <c r="AD326" s="48">
        <f ca="1">IFERROR(INDEX($A$3:$G$400,MATCH(ROWS(AD$3:AD326),$Q$3:$Q$400,0),3),"")</f>
        <v>0</v>
      </c>
      <c r="AE326" s="48" t="str">
        <f ca="1">IFERROR(INDEX($A$3:$G$400,MATCH(ROWS(AE$3:AE326),$Q$3:$Q$400,0),4),"")</f>
        <v/>
      </c>
      <c r="AF326" s="48" t="str">
        <f ca="1">IFERROR(INDEX($A$3:$G$400,MATCH(ROWS(AF$3:AF326),$Q$3:$Q$400,0),5),"")</f>
        <v/>
      </c>
      <c r="AG326" s="48" t="str">
        <f ca="1">IFERROR(INDEX($A$3:$G$400,MATCH(ROWS(AG$3:AG326),$Q$3:$Q$400,0),6),"")</f>
        <v/>
      </c>
      <c r="AH326" s="48" t="str">
        <f ca="1">IFERROR(INDEX($A$3:$G$400,MATCH(ROWS(AH$3:AH326),$Q$3:$Q$400,0),7),"")</f>
        <v/>
      </c>
      <c r="AI326" s="48" t="str">
        <f t="shared" ca="1" si="654"/>
        <v/>
      </c>
      <c r="AJ326" s="48" t="str">
        <f ca="1">IFERROR(INDEX($A$3:$H$400,MATCH(ROWS(AJ$3:AJ326),$Q$3:$Q$400,0),8),"")</f>
        <v/>
      </c>
      <c r="AZ326" s="48" t="str">
        <f t="shared" ca="1" si="584"/>
        <v/>
      </c>
      <c r="BA326" s="48">
        <f t="shared" ca="1" si="611"/>
        <v>0</v>
      </c>
      <c r="BB326" s="48">
        <f t="shared" ca="1" si="612"/>
        <v>0</v>
      </c>
      <c r="BC326" s="48">
        <f t="shared" ca="1" si="613"/>
        <v>0</v>
      </c>
      <c r="BD326" s="48">
        <f t="shared" ca="1" si="614"/>
        <v>0</v>
      </c>
      <c r="BE326" s="48">
        <f t="shared" ca="1" si="615"/>
        <v>0</v>
      </c>
      <c r="BF326" s="48">
        <f t="shared" si="585"/>
        <v>126</v>
      </c>
      <c r="BG326" s="48">
        <f ca="1">IF(IF(AND(OR(INDEX(PDC,MATCH($AC326,DEN_PDC,0),6)="SP DARE",INDEX(PDC,MATCH($AC326,DEN_PDC,0),6)="SP DARE/AVERE"),SUMIFS(DARE,DEN_G,$AC326)&gt;=SUMIFS(AVERE,DEN_G,$AC326)),SUMIFS(DARE,DEN_G,$AC326)-SUMIFS(AVERE,DEN_G,$AC326),0)&gt;0,MAX($BG$2:BG325)+1,0)</f>
        <v>0</v>
      </c>
      <c r="BH326" s="48">
        <f ca="1">IF(IF(AND(OR(INDEX(PDC,MATCH($AC326,DEN_PDC,0),6)="SP AVERE",INDEX(PDC,MATCH($AC326,DEN_PDC,0),6)="SP DARE/AVERE"),SUMIFS(AVERE,DEN_G,$AC326)&gt;=SUMIFS(DARE,DEN_G,$AC326)),SUMIFS(AVERE,DEN_G,$AC326)-SUMIFS(DARE,DEN_G,$AC326),0)&gt;0,MAX(BH$2:BH325)+1,0)</f>
        <v>0</v>
      </c>
      <c r="BI326" s="48">
        <f ca="1">IF(IF(AND(OR(INDEX(PDC,MATCH($AC326,DEN_PDC,0),6)="SE DARE",INDEX(PDC,MATCH($AC326,DEN_PDC,0),6)="SE DARE/AVERE"),SUMIFS(DARE,DEN_G,$AC326)&gt;=SUMIFS(AVERE,DEN_G,$AC326)),SUMIFS(DARE,DEN_G,$AC326)-SUMIFS(AVERE,DEN_G,$AC326),0)&gt;0,MAX(BI$2:BI325)+1,0)</f>
        <v>0</v>
      </c>
      <c r="BJ326" s="48">
        <f ca="1">IF(IF(AND(OR(INDEX(PDC,MATCH($AC326,DEN_PDC,0),6)="SE AVERE",INDEX(PDC,MATCH($AC326,DEN_PDC,0),6)="SE DARE/AVERE"),SUMIFS(AVERE,DEN_G,$AC326)&gt;=SUMIFS(DARE,DEN_G,$AC326)),SUMIFS(AVERE,DEN_G,$AC326)-SUMIFS(DARE,DEN_G,$AC326),0)&gt;0,MAX(BJ$2:BJ325)+1,0)</f>
        <v>0</v>
      </c>
      <c r="BK326" s="48" t="str">
        <f ca="1">IF(AND(AND($DY$2=0,$DY$1=0),$I$1=2,ROW()&gt;$BG$1+2,ROW()&lt;=$BG$1+4),"………………..",IF(AND(OR($DY$2&gt;0,$DY$1&gt;0),$I$1=2,ROW()&gt;$BG$1+2,ROW()&lt;=$BG$1+4),"………………..",IFERROR(INDEX($AC$3:$AC$398,MATCH(ROWS(BK$3:BK326),BG$3:BG$398,0),1),"")))</f>
        <v/>
      </c>
      <c r="BL326" s="48">
        <f t="shared" ca="1" si="637"/>
        <v>0</v>
      </c>
      <c r="BM326" s="48" t="str">
        <f ca="1">IF(AND(OR($DY$2=0,$DY$1=0),$I$1=2,ROW()&gt;$BH$1+2,ROW()&lt;=$BH$1+4),"………………..",IF(AND(OR($DY$2&gt;0,$DY$1&gt;0),$I$1=2,ROW()&gt;$BH$1+2,ROW()&lt;=$BH$1+4),"………………..",IFERROR(INDEX($AC$3:$AC$400,MATCH(ROWS(BM$3:BM326),BH$3:BH$400,0),1),"")))</f>
        <v/>
      </c>
      <c r="BN326" s="48">
        <f t="shared" ca="1" si="638"/>
        <v>0</v>
      </c>
      <c r="BO326" s="48" t="str">
        <f ca="1">IF(AND(OR($DY$2=0,$DY$1=0),$I$1=2,ROW()&gt;$BI$1+2,ROW()&lt;=$BI$1+4),"………………..",IF(AND(OR($DY$2&gt;0,$DY$1&gt;0),$I$1=2,ROW()&gt;$BI$1+2,ROW()&lt;=$BI$1+4),"………………..",IFERROR(INDEX($AC$3:$AC$400,MATCH(ROWS(BO$3:BO326),BI$3:BI$400,0),1),"")))</f>
        <v/>
      </c>
      <c r="BP326" s="48">
        <f t="shared" ca="1" si="639"/>
        <v>0</v>
      </c>
      <c r="BQ326" s="48" t="str">
        <f ca="1">IF(AND(OR($DY$2=0,$DY$1=0),$I$1=2,ROW()&gt;$BJ$1+2,ROW()&lt;=$BJ$1+4),"………………..",IF(AND(OR($DY$2&gt;0,$DY$1&gt;0),$I$1=2,ROW()&gt;$BJ$1+2,ROW()&lt;=$BJ$1+4),"………………..",IFERROR(INDEX($AC$3:$AC$400,MATCH(ROWS(BQ$3:BQ326),BJ$3:BJ$400,0),1),"")))</f>
        <v/>
      </c>
      <c r="BR326" s="48">
        <f t="shared" ca="1" si="640"/>
        <v>0</v>
      </c>
      <c r="BS326" s="48">
        <f ca="1">IF(IF(AND(OR(INDEX(PDC,MATCH($AC326,DEN_PDC,0),4)="D",INDEX(PDC,MATCH($AC326,DEN_PDC,0),4)="D/A"),SUMIFS(DARE,DEN_G,$AC326)&gt;=SUMIFS(AVERE,DEN_G,$AC326)),SUMIFS(DARE,DEN_G,$AC326),IF(AND(OR(INDEX(PDC,MATCH($AC326,DEN_PDC,0),4)="A",INDEX(PDC,MATCH($AC326,DEN_PDC,0),4)="D/A"),SUMIFS(AVERE,DEN_G,$AC326)&gt;=SUMIFS(DARE,DEN_G,$AC326)),SUMIFS(AVERE,DEN_G,$AC326),))&gt;0,MAX($BS$2:BS325)+1,0)</f>
        <v>0</v>
      </c>
      <c r="BT326" s="48" t="str">
        <f ca="1">IF($CO$1=0,"",IF(AND($I$1=2,ROW()&gt;$BR$1,ROW()&lt;=$BS$1)," …………….",IF(AND($E$1=1,$BX$1=1,$I$1=2,ROW()=$BQ$1),"TOTALI",IFERROR(INDEX(PDC,MATCH(ROWS(BT$3:BT326),BS$3:BS723,0),2),""))))</f>
        <v/>
      </c>
      <c r="BU326" s="48">
        <f t="shared" ca="1" si="641"/>
        <v>0</v>
      </c>
      <c r="BV326" s="48">
        <f t="shared" ca="1" si="642"/>
        <v>0</v>
      </c>
      <c r="BW326" s="48">
        <f t="shared" ca="1" si="643"/>
        <v>0</v>
      </c>
      <c r="BX326" s="48">
        <f t="shared" ca="1" si="644"/>
        <v>0</v>
      </c>
      <c r="BY326" s="48">
        <f ca="1">IF(OR(BW326&gt;0,BX326&gt;0),MAX($BY$2:BY325)+1,0)</f>
        <v>0</v>
      </c>
      <c r="BZ326" s="48" t="str">
        <f ca="1">IFERROR(INDEX($BT$3:$BY$400,MATCH(ROWS(BZ$3:BZ326),$BY$3:$BY$400,0),1),"")</f>
        <v/>
      </c>
      <c r="CA326" s="48" t="str">
        <f ca="1">IFERROR(INDEX($BT$3:$BY$400,MATCH(ROWS(CA$3:CA326),$BY$3:$BY$400,0),4),"")</f>
        <v/>
      </c>
      <c r="CB326" s="48" t="str">
        <f ca="1">IFERROR(INDEX($BT$3:$BY$400,MATCH(ROWS(CB$3:CB326),$BY$3:$BY$400,0),5),"")</f>
        <v/>
      </c>
      <c r="CC326" s="48" t="str">
        <f t="shared" ca="1" si="645"/>
        <v/>
      </c>
      <c r="CM326" s="242" t="str">
        <f t="shared" ca="1" si="655"/>
        <v/>
      </c>
      <c r="CN326" s="243">
        <f t="shared" ca="1" si="656"/>
        <v>0</v>
      </c>
      <c r="CO326" s="48" t="str">
        <f t="shared" ca="1" si="657"/>
        <v/>
      </c>
      <c r="CU326" s="48">
        <f ca="1">IF(SUMIFS(AVERE,DEN_G,AC326,AVERE,"&gt;"&amp;0)+SUMIFS(DARE,DEN_G,AC326,DARE,"&gt;"&amp;0)&gt;0,MAX($CU$2:CU325)+1,0)</f>
        <v>0</v>
      </c>
      <c r="CV326" s="48" t="str">
        <f ca="1">IF(IFERROR(INDEX(PDC,MATCH(ROWS($CV$3:CV326),$CU$3:$CU$400,0),2),"")="CONTO DI RISULTATO ECONOMICO","",IFERROR(INDEX(PDC,MATCH(ROWS($CV$3:CV326),$CU$3:$CU$400,0),2),""))</f>
        <v/>
      </c>
      <c r="CW326" s="48">
        <f ca="1">IFERROR(IF(CV326&lt;&gt;"",MAX($CW$2:CW325)+1,0),0)</f>
        <v>0</v>
      </c>
      <c r="CX326" s="48">
        <f t="shared" ca="1" si="627"/>
        <v>25</v>
      </c>
      <c r="CY326" s="48" t="str">
        <f t="shared" ca="1" si="626"/>
        <v>MASTRO</v>
      </c>
      <c r="CZ326" s="48" t="e">
        <f t="shared" ca="1" si="632"/>
        <v>#N/A</v>
      </c>
      <c r="DA326" s="48" t="str">
        <f t="shared" ca="1" si="636"/>
        <v/>
      </c>
      <c r="DB326" s="48" t="str">
        <f t="shared" ca="1" si="592"/>
        <v/>
      </c>
      <c r="DC326" s="48" t="str">
        <f t="shared" ca="1" si="633"/>
        <v/>
      </c>
      <c r="DD326" s="48" t="str">
        <f t="shared" ca="1" si="634"/>
        <v/>
      </c>
      <c r="DE326" s="48" t="str">
        <f t="shared" ca="1" si="635"/>
        <v/>
      </c>
      <c r="DF326" s="48">
        <f ca="1">IF(AND(CX326=$DF$1,CX326&lt;&gt;""),0,IF(AND(DB326&lt;&gt;"",OR(DB325&lt;&gt;"",DB327&lt;&gt;"")),MAX($DF$2:DF325)+1,0))</f>
        <v>0</v>
      </c>
      <c r="DH326" s="244" t="s">
        <v>231</v>
      </c>
      <c r="DI326" s="228" t="s">
        <v>292</v>
      </c>
      <c r="DN326" s="48">
        <f ca="1">IF(DI326&lt;&gt;"",MAX($DN$2:DN325)+1,0)</f>
        <v>257</v>
      </c>
      <c r="DQ326" s="227" t="s">
        <v>903</v>
      </c>
      <c r="DR326" s="48" t="s">
        <v>235</v>
      </c>
      <c r="DS326" s="48" t="s">
        <v>311</v>
      </c>
      <c r="DT326" s="48" t="s">
        <v>275</v>
      </c>
      <c r="DU326" s="48" t="s">
        <v>7</v>
      </c>
      <c r="DV326" s="48" t="s">
        <v>301</v>
      </c>
      <c r="DW326" s="48">
        <f ca="1">IF(DR326&lt;&gt;"",MAX($DW$2:DW325)+1,0)</f>
        <v>195</v>
      </c>
      <c r="DX326" s="48" t="str">
        <f t="shared" ca="1" si="646"/>
        <v>eb10a</v>
      </c>
      <c r="DY326" s="48" t="str">
        <f t="shared" ca="1" si="647"/>
        <v/>
      </c>
      <c r="EL326" s="48">
        <f t="shared" ca="1" si="648"/>
        <v>0</v>
      </c>
      <c r="EM326" s="48">
        <f ca="1">IF(EL326&gt;=0,0,MAX($EM$2:EM325)+1)</f>
        <v>0</v>
      </c>
      <c r="EN326" s="48" t="str">
        <f t="shared" ca="1" si="658"/>
        <v/>
      </c>
      <c r="EO326" s="48" t="str">
        <f ca="1">IFERROR(INDEX($EM$3:$EN$400,MATCH(ROWS($EO$3:EO326),$EM$3:$EM$400,0),2),"")</f>
        <v/>
      </c>
      <c r="EP326" s="48">
        <f>ROW()</f>
        <v>326</v>
      </c>
      <c r="EQ326" s="48">
        <f t="shared" ca="1" si="649"/>
        <v>0</v>
      </c>
      <c r="ER326" s="48">
        <f ca="1">IF(ISNA(EQ326)=TRUE,MAX($ER$2:ER325)+1,0)</f>
        <v>0</v>
      </c>
      <c r="ES326" s="48" t="str">
        <f t="shared" ca="1" si="659"/>
        <v/>
      </c>
      <c r="ET326" s="48" t="str">
        <f ca="1">IFERROR(INDEX($ER$3:$ES$400,MATCH(ROWS($ET$3:ET326),$ER$3:$ER$400,0),2),"")</f>
        <v/>
      </c>
      <c r="EV326" s="48">
        <f ca="1">IFERROR(INDEX(LIBRO_GIORNALE!$O$11:$P$408,MATCH(ROWS($EV$2:EV325),LIBRO_GIORNALE!$P$11:$P$408,0),1),0)</f>
        <v>0</v>
      </c>
      <c r="EW326" s="48" t="str">
        <f t="shared" ca="1" si="629"/>
        <v>0</v>
      </c>
      <c r="EX326" s="48">
        <f t="shared" ca="1" si="660"/>
        <v>0</v>
      </c>
      <c r="EY326" s="48">
        <f ca="1">IF(EX326&gt;0,MAX($EY$2:EY325)+1,0)</f>
        <v>0</v>
      </c>
      <c r="EZ326" s="48">
        <f ca="1">IFERROR(INDEX($EX$3:$EX$400,MATCH(ROWS($EZ$3:EZ326),$EY$3:$EY$400,0),1),0)</f>
        <v>0</v>
      </c>
      <c r="FA326" s="48">
        <f ca="1">IF(EZ326&gt;0,0,MAX($FA$2:FA325)+1)</f>
        <v>324</v>
      </c>
      <c r="FB326" s="48">
        <f t="shared" ca="1" si="630"/>
        <v>0</v>
      </c>
      <c r="FC326" s="48">
        <f t="shared" ca="1" si="631"/>
        <v>324</v>
      </c>
      <c r="FD326" s="48">
        <f t="shared" ca="1" si="661"/>
        <v>324</v>
      </c>
      <c r="FE326" s="48">
        <f ca="1">IF(FD326=0,0,MAX($FE$2:FE325)+1)</f>
        <v>324</v>
      </c>
      <c r="FF326" s="48">
        <f ca="1">IFERROR(INDEX($FD$3:$FE$400,MATCH(ROWS($FF$3:FF326),$FE$3:$FE$400,0),1),"")</f>
        <v>324</v>
      </c>
      <c r="FG326" s="48">
        <f t="shared" si="610"/>
        <v>0</v>
      </c>
      <c r="FH326" s="48">
        <f t="shared" ca="1" si="662"/>
        <v>0</v>
      </c>
      <c r="FI326" s="48">
        <f ca="1">IF(FH326&lt;&gt;0,MAX($FI$2:FI325)+1,0)</f>
        <v>0</v>
      </c>
      <c r="FJ326" s="48" t="str">
        <f ca="1">IFERROR(INDEX($FH$3:$FI$400,MATCH(ROWS($FJ$3:FJ326),$FI$3:$FI$400,0),1),"")</f>
        <v/>
      </c>
      <c r="FK326" s="48">
        <f ca="1">IF(ABS(SUMIFS(DARE,DEN_G,"="&amp;FJ326,DATA,"&lt;="&amp;FINE_AC,DATA,"&gt;="&amp;INIZIO_A_PC)-SUMIFS(AVERE,DEN_G,"="&amp;FJ326,DATA,"&lt;="&amp;FINE_AC,DATA,"&gt;="&amp;INIZIO_A_PC))&gt;0,MAX($FK$2:FK325)+1,0)</f>
        <v>0</v>
      </c>
      <c r="FL326" s="48" t="str">
        <f ca="1">IF(AND(ROW()-2&lt;&gt;1,ROW()-2&lt;=$FK$1),CONCATENATE(" - ",IFERROR(INDEX($FJ$3:$FK$400,MATCH(ROWS($FL$3:FL326),$FK$3:$FK$400,0),1),"")),IFERROR(INDEX($FJ$3:$FK$400,MATCH(ROWS($FL$3:FL326),$FK$3:$FK$400,0),1),""))</f>
        <v/>
      </c>
      <c r="FM326" s="48">
        <f ca="1">IF(OR(B326="IVA ns/credito",B326="IVA NS/DEBITO",B326="IVA C/ACCONTO",B326="IMPOSTE C/ACCONTO",B326="CREDITI PER RITENUTE SUBITE",B326="CREDITI D'IMPOSTA"),MAX($FM$2:FM325)+1,0)</f>
        <v>0</v>
      </c>
      <c r="FN326" s="48" t="str">
        <f t="shared" ca="1" si="663"/>
        <v/>
      </c>
      <c r="FO326" s="48" t="str">
        <f ca="1">IFERROR(INDEX($FM$3:$FN$400,MATCH(ROWS($FO$3:FO326),$FM$3:$FM$400,0),2),"")</f>
        <v/>
      </c>
      <c r="FP326" s="48">
        <f ca="1">IF(ABS(SUMIFS(DARE,DEN_G,"="&amp;FO326,DATA,"&lt;="&amp;FINE_AC,DATA,"&gt;="&amp;INIZIO_A_PC)-SUMIFS(AVERE,DEN_G,"="&amp;FO326,DATA,"&lt;="&amp;FINE_AC,DATA,"&gt;="&amp;INIZIO_A_PC))&gt;0,MAX($FP$2:FP325)+1,0)</f>
        <v>0</v>
      </c>
      <c r="FQ326" s="48" t="str">
        <f ca="1">IF(AND(ROW()-2&lt;&gt;1,ROW()-2&lt;=$FP$1),CONCATENATE(" - ",IFERROR(INDEX($FO$3:$FP$400,MATCH(ROWS($FQ$3:FQ326),$FP$3:$FP$400,0),1),"")),IFERROR(INDEX($FO$3:$FP$400,MATCH(ROWS($FQ$3:FQ326),$FP$3:$FP$400,0),1),""))</f>
        <v/>
      </c>
    </row>
    <row r="327" spans="1:173" x14ac:dyDescent="0.3">
      <c r="A327" s="48" t="str">
        <f ca="1">IFERROR(IF($A$1=2,INDEX($DH$3:$DN$401,MATCH(ROWS(A$3:A327),$DN$3:$DN$401,0),COLUMN()),IF($A$1=1,INDEX($DQ$3:$DW$401,MATCH(ROWS(A$3:A327),$DW$3:$DW$401,0),COLUMN()),"")),"")</f>
        <v>60.02</v>
      </c>
      <c r="B327" s="48" t="str">
        <f ca="1">IFERROR(IF($A$1=2,INDEX($DH$3:$DN$401,MATCH(ROWS(B$3:B327),$DN$3:$DN$401,0),COLUMN()),IF($A$1=1,INDEX($DQ$3:$DW$400,MATCH(ROWS(B$3:B327),$DW$3:$DW$401,0),COLUMN()),"")),"")</f>
        <v>ACCANTONAMENTO PER IMPOSTE DIRETTE</v>
      </c>
      <c r="C327" s="48" t="str">
        <f ca="1">IFERROR(IF($A$1=2,INDEX($DH$3:$DN$401,MATCH(ROWS(C$3:C327),$DN$3:$DN$401,0),COLUMN()),IF($A$1=1,INDEX($DQ$3:$DW$401,MATCH(ROWS(C$3:C327),$DW$3:$DW$401,0),COLUMN()),"")),"")</f>
        <v>E</v>
      </c>
      <c r="D327" s="48" t="str">
        <f ca="1">IFERROR(IF($A$1=2,INDEX($DH$3:$DN$401,MATCH(ROWS(D$3:D327),$DN$3:$DN$401,0),COLUMN()),IF($A$1=1,INDEX($DQ$3:$DW$401,MATCH(ROWS(D$3:D327),$DW$3:$DW$401,0),COLUMN()),"")),"")</f>
        <v>D</v>
      </c>
      <c r="E327" s="48" t="str">
        <f ca="1">IFERROR(IF($A$1=2,INDEX($DH$3:$DN$401,MATCH(ROWS(E$3:E327),$DN$3:$DN$401,0),COLUMN()),IF($A$1=1,INDEX($DQ$3:$DW$401,MATCH(ROWS(E$3:E327),$DW$3:$DW$401,0),COLUMN()),"")),"")</f>
        <v>COSTI D'ESERCIZIO</v>
      </c>
      <c r="F327" s="48" t="str">
        <f ca="1">IFERROR(IF($A$1=2,INDEX($DH$3:$DN$401,MATCH(ROWS(F$3:F327),$DN$3:$DN$401,0),COLUMN()),IF($A$1=1,INDEX($DQ$3:$DX$401,MATCH(ROWS(F$3:F327),$DW$3:$DW$401,0),COLUMN()),"")),"")</f>
        <v>SE DARE</v>
      </c>
      <c r="G327" s="48" t="str">
        <f t="shared" ca="1" si="650"/>
        <v>SE</v>
      </c>
      <c r="H327" s="48" t="str">
        <f ca="1">IFERROR(IF($A$1=2,INDEX($DH$3:$DO$400,MATCH(ROWS(H$3:H327),$DN$3:$DN$400,0),COLUMN()),IF($A$1=1,INDEX($DQ$3:$DX$400,MATCH(ROWS(H$3:H327),$DW$3:$DW$400,0),COLUMN()),"")),"")</f>
        <v>e20</v>
      </c>
      <c r="M327" s="48">
        <f ca="1">IFERROR(IF(IF(MID($A327,3,3)=".00",MID(A327,1,2),"")&lt;&gt;"",MAX($M$2:M326)+1,0),"")</f>
        <v>0</v>
      </c>
      <c r="N327" s="48" t="str">
        <f t="shared" ca="1" si="651"/>
        <v/>
      </c>
      <c r="O327" s="48" t="str">
        <f ca="1">IF(IFERROR(INDEX($N$3:$O$300,MATCH(ROWS($O$3:O327),$M$3:$M$300,0),1),"")&lt;&gt;"",CONCATENATE(INDEX($N$3:$O$300,MATCH(ROWS($O$3:O327),$M$3:$M$300,0),1),".00"),"")</f>
        <v/>
      </c>
      <c r="P327" s="48" t="str">
        <f t="shared" ca="1" si="652"/>
        <v/>
      </c>
      <c r="Q327" s="48">
        <f ca="1">IF(M327&gt;=1,0,MAX($Q$2:Q326)+1)</f>
        <v>289</v>
      </c>
      <c r="U327" s="48" t="str">
        <f ca="1">IFERROR(INDEX(PDC,MATCH(ROWS(U$3:U327),$V$3:$V$400,0),2),"")</f>
        <v/>
      </c>
      <c r="V327" s="48">
        <f ca="1">IF(AND($T$1="VISUALIZZA TUTTI I CONTI",AA327&lt;&gt;""),MAX($V$2:V326)+1,IF(AND($U$2=2,AI327=$T$1),MAX($V$2:V326)+1,IF(AND($U$2=1,$T$1=AF327),MAX($V$2:V326)+1,0)))</f>
        <v>0</v>
      </c>
      <c r="AA327" s="48" t="str">
        <f t="shared" ca="1" si="653"/>
        <v/>
      </c>
      <c r="AB327" s="48" t="str">
        <f ca="1">IFERROR(INDEX($A$3:$G$400,MATCH(ROWS(AB$3:AB327),$Q$3:$Q$400,0),1),"")</f>
        <v/>
      </c>
      <c r="AC327" s="48" t="str">
        <f ca="1">IFERROR(INDEX($A$3:$G$400,MATCH(ROWS($AC$3:AC327),$Q$3:$Q$400,0),2),"")</f>
        <v/>
      </c>
      <c r="AD327" s="48">
        <f ca="1">IFERROR(INDEX($A$3:$G$400,MATCH(ROWS(AD$3:AD327),$Q$3:$Q$400,0),3),"")</f>
        <v>0</v>
      </c>
      <c r="AE327" s="48" t="str">
        <f ca="1">IFERROR(INDEX($A$3:$G$400,MATCH(ROWS(AE$3:AE327),$Q$3:$Q$400,0),4),"")</f>
        <v/>
      </c>
      <c r="AF327" s="48" t="str">
        <f ca="1">IFERROR(INDEX($A$3:$G$400,MATCH(ROWS(AF$3:AF327),$Q$3:$Q$400,0),5),"")</f>
        <v/>
      </c>
      <c r="AG327" s="48" t="str">
        <f ca="1">IFERROR(INDEX($A$3:$G$400,MATCH(ROWS(AG$3:AG327),$Q$3:$Q$400,0),6),"")</f>
        <v/>
      </c>
      <c r="AH327" s="48" t="str">
        <f ca="1">IFERROR(INDEX($A$3:$G$400,MATCH(ROWS(AH$3:AH327),$Q$3:$Q$400,0),7),"")</f>
        <v/>
      </c>
      <c r="AI327" s="48" t="str">
        <f t="shared" ca="1" si="654"/>
        <v/>
      </c>
      <c r="AJ327" s="48" t="str">
        <f ca="1">IFERROR(INDEX($A$3:$H$400,MATCH(ROWS(AJ$3:AJ327),$Q$3:$Q$400,0),8),"")</f>
        <v/>
      </c>
      <c r="AZ327" s="48" t="str">
        <f t="shared" ca="1" si="584"/>
        <v/>
      </c>
      <c r="BA327" s="48">
        <f t="shared" ca="1" si="611"/>
        <v>0</v>
      </c>
      <c r="BB327" s="48">
        <f t="shared" ca="1" si="612"/>
        <v>0</v>
      </c>
      <c r="BC327" s="48">
        <f t="shared" ca="1" si="613"/>
        <v>0</v>
      </c>
      <c r="BD327" s="48">
        <f t="shared" ca="1" si="614"/>
        <v>0</v>
      </c>
      <c r="BE327" s="48">
        <f t="shared" ca="1" si="615"/>
        <v>0</v>
      </c>
      <c r="BF327" s="48">
        <f t="shared" si="585"/>
        <v>127</v>
      </c>
      <c r="BG327" s="48">
        <f ca="1">IF(IF(AND(OR(INDEX(PDC,MATCH($AC327,DEN_PDC,0),6)="SP DARE",INDEX(PDC,MATCH($AC327,DEN_PDC,0),6)="SP DARE/AVERE"),SUMIFS(DARE,DEN_G,$AC327)&gt;=SUMIFS(AVERE,DEN_G,$AC327)),SUMIFS(DARE,DEN_G,$AC327)-SUMIFS(AVERE,DEN_G,$AC327),0)&gt;0,MAX($BG$2:BG326)+1,0)</f>
        <v>0</v>
      </c>
      <c r="BH327" s="48">
        <f ca="1">IF(IF(AND(OR(INDEX(PDC,MATCH($AC327,DEN_PDC,0),6)="SP AVERE",INDEX(PDC,MATCH($AC327,DEN_PDC,0),6)="SP DARE/AVERE"),SUMIFS(AVERE,DEN_G,$AC327)&gt;=SUMIFS(DARE,DEN_G,$AC327)),SUMIFS(AVERE,DEN_G,$AC327)-SUMIFS(DARE,DEN_G,$AC327),0)&gt;0,MAX(BH$2:BH326)+1,0)</f>
        <v>0</v>
      </c>
      <c r="BI327" s="48">
        <f ca="1">IF(IF(AND(OR(INDEX(PDC,MATCH($AC327,DEN_PDC,0),6)="SE DARE",INDEX(PDC,MATCH($AC327,DEN_PDC,0),6)="SE DARE/AVERE"),SUMIFS(DARE,DEN_G,$AC327)&gt;=SUMIFS(AVERE,DEN_G,$AC327)),SUMIFS(DARE,DEN_G,$AC327)-SUMIFS(AVERE,DEN_G,$AC327),0)&gt;0,MAX(BI$2:BI326)+1,0)</f>
        <v>0</v>
      </c>
      <c r="BJ327" s="48">
        <f ca="1">IF(IF(AND(OR(INDEX(PDC,MATCH($AC327,DEN_PDC,0),6)="SE AVERE",INDEX(PDC,MATCH($AC327,DEN_PDC,0),6)="SE DARE/AVERE"),SUMIFS(AVERE,DEN_G,$AC327)&gt;=SUMIFS(DARE,DEN_G,$AC327)),SUMIFS(AVERE,DEN_G,$AC327)-SUMIFS(DARE,DEN_G,$AC327),0)&gt;0,MAX(BJ$2:BJ326)+1,0)</f>
        <v>0</v>
      </c>
      <c r="BK327" s="48" t="str">
        <f ca="1">IF(AND(AND($DY$2=0,$DY$1=0),$I$1=2,ROW()&gt;$BG$1+2,ROW()&lt;=$BG$1+4),"………………..",IF(AND(OR($DY$2&gt;0,$DY$1&gt;0),$I$1=2,ROW()&gt;$BG$1+2,ROW()&lt;=$BG$1+4),"………………..",IFERROR(INDEX($AC$3:$AC$398,MATCH(ROWS(BK$3:BK327),BG$3:BG$398,0),1),"")))</f>
        <v/>
      </c>
      <c r="BL327" s="48">
        <f t="shared" ca="1" si="637"/>
        <v>0</v>
      </c>
      <c r="BM327" s="48" t="str">
        <f ca="1">IF(AND(OR($DY$2=0,$DY$1=0),$I$1=2,ROW()&gt;$BH$1+2,ROW()&lt;=$BH$1+4),"………………..",IF(AND(OR($DY$2&gt;0,$DY$1&gt;0),$I$1=2,ROW()&gt;$BH$1+2,ROW()&lt;=$BH$1+4),"………………..",IFERROR(INDEX($AC$3:$AC$400,MATCH(ROWS(BM$3:BM327),BH$3:BH$400,0),1),"")))</f>
        <v/>
      </c>
      <c r="BN327" s="48">
        <f t="shared" ca="1" si="638"/>
        <v>0</v>
      </c>
      <c r="BO327" s="48" t="str">
        <f ca="1">IF(AND(OR($DY$2=0,$DY$1=0),$I$1=2,ROW()&gt;$BI$1+2,ROW()&lt;=$BI$1+4),"………………..",IF(AND(OR($DY$2&gt;0,$DY$1&gt;0),$I$1=2,ROW()&gt;$BI$1+2,ROW()&lt;=$BI$1+4),"………………..",IFERROR(INDEX($AC$3:$AC$400,MATCH(ROWS(BO$3:BO327),BI$3:BI$400,0),1),"")))</f>
        <v/>
      </c>
      <c r="BP327" s="48">
        <f t="shared" ca="1" si="639"/>
        <v>0</v>
      </c>
      <c r="BQ327" s="48" t="str">
        <f ca="1">IF(AND(OR($DY$2=0,$DY$1=0),$I$1=2,ROW()&gt;$BJ$1+2,ROW()&lt;=$BJ$1+4),"………………..",IF(AND(OR($DY$2&gt;0,$DY$1&gt;0),$I$1=2,ROW()&gt;$BJ$1+2,ROW()&lt;=$BJ$1+4),"………………..",IFERROR(INDEX($AC$3:$AC$400,MATCH(ROWS(BQ$3:BQ327),BJ$3:BJ$400,0),1),"")))</f>
        <v/>
      </c>
      <c r="BR327" s="48">
        <f t="shared" ca="1" si="640"/>
        <v>0</v>
      </c>
      <c r="BS327" s="48">
        <f ca="1">IF(IF(AND(OR(INDEX(PDC,MATCH($AC327,DEN_PDC,0),4)="D",INDEX(PDC,MATCH($AC327,DEN_PDC,0),4)="D/A"),SUMIFS(DARE,DEN_G,$AC327)&gt;=SUMIFS(AVERE,DEN_G,$AC327)),SUMIFS(DARE,DEN_G,$AC327),IF(AND(OR(INDEX(PDC,MATCH($AC327,DEN_PDC,0),4)="A",INDEX(PDC,MATCH($AC327,DEN_PDC,0),4)="D/A"),SUMIFS(AVERE,DEN_G,$AC327)&gt;=SUMIFS(DARE,DEN_G,$AC327)),SUMIFS(AVERE,DEN_G,$AC327),))&gt;0,MAX($BS$2:BS326)+1,0)</f>
        <v>0</v>
      </c>
      <c r="BT327" s="48" t="str">
        <f ca="1">IF($CO$1=0,"",IF(AND($I$1=2,ROW()&gt;$BR$1,ROW()&lt;=$BS$1)," …………….",IF(AND($E$1=1,$BX$1=1,$I$1=2,ROW()=$BQ$1),"TOTALI",IFERROR(INDEX(PDC,MATCH(ROWS(BT$3:BT327),BS$3:BS724,0),2),""))))</f>
        <v/>
      </c>
      <c r="BU327" s="48">
        <f t="shared" ca="1" si="641"/>
        <v>0</v>
      </c>
      <c r="BV327" s="48">
        <f t="shared" ca="1" si="642"/>
        <v>0</v>
      </c>
      <c r="BW327" s="48">
        <f t="shared" ca="1" si="643"/>
        <v>0</v>
      </c>
      <c r="BX327" s="48">
        <f t="shared" ca="1" si="644"/>
        <v>0</v>
      </c>
      <c r="BY327" s="48">
        <f ca="1">IF(OR(BW327&gt;0,BX327&gt;0),MAX($BY$2:BY326)+1,0)</f>
        <v>0</v>
      </c>
      <c r="BZ327" s="48" t="str">
        <f ca="1">IFERROR(INDEX($BT$3:$BY$400,MATCH(ROWS(BZ$3:BZ327),$BY$3:$BY$400,0),1),"")</f>
        <v/>
      </c>
      <c r="CA327" s="48" t="str">
        <f ca="1">IFERROR(INDEX($BT$3:$BY$400,MATCH(ROWS(CA$3:CA327),$BY$3:$BY$400,0),4),"")</f>
        <v/>
      </c>
      <c r="CB327" s="48" t="str">
        <f ca="1">IFERROR(INDEX($BT$3:$BY$400,MATCH(ROWS(CB$3:CB327),$BY$3:$BY$400,0),5),"")</f>
        <v/>
      </c>
      <c r="CC327" s="48" t="str">
        <f t="shared" ca="1" si="645"/>
        <v/>
      </c>
      <c r="CM327" s="242" t="str">
        <f t="shared" ca="1" si="655"/>
        <v/>
      </c>
      <c r="CN327" s="243">
        <f t="shared" ca="1" si="656"/>
        <v>0</v>
      </c>
      <c r="CO327" s="48" t="str">
        <f t="shared" ca="1" si="657"/>
        <v/>
      </c>
      <c r="CU327" s="48">
        <f ca="1">IF(SUMIFS(AVERE,DEN_G,AC327,AVERE,"&gt;"&amp;0)+SUMIFS(DARE,DEN_G,AC327,DARE,"&gt;"&amp;0)&gt;0,MAX($CU$2:CU326)+1,0)</f>
        <v>0</v>
      </c>
      <c r="CV327" s="48" t="str">
        <f ca="1">IF(IFERROR(INDEX(PDC,MATCH(ROWS($CV$3:CV327),$CU$3:$CU$400,0),2),"")="CONTO DI RISULTATO ECONOMICO","",IFERROR(INDEX(PDC,MATCH(ROWS($CV$3:CV327),$CU$3:$CU$400,0),2),""))</f>
        <v/>
      </c>
      <c r="CW327" s="48">
        <f ca="1">IFERROR(IF(CV327&lt;&gt;"",MAX($CW$2:CW326)+1,0),0)</f>
        <v>0</v>
      </c>
      <c r="CY327" s="48" t="s">
        <v>500</v>
      </c>
      <c r="DB327" s="48" t="str">
        <f t="shared" ref="DB327" ca="1" si="664">IF(CX326=$DF$1,"","MASTRO")</f>
        <v>MASTRO</v>
      </c>
      <c r="DF327" s="48">
        <f ca="1">IF(AND(CX327=$DF$1,CX327&lt;&gt;""),0,IF(AND(DB327&lt;&gt;"",OR(DB326&lt;&gt;"",DB328&lt;&gt;"")),MAX($DF$2:DF326)+1,0))</f>
        <v>0</v>
      </c>
      <c r="DH327" s="244" t="s">
        <v>238</v>
      </c>
      <c r="DI327" s="48" t="s">
        <v>232</v>
      </c>
      <c r="DJ327" s="48" t="s">
        <v>311</v>
      </c>
      <c r="DK327" s="48" t="s">
        <v>275</v>
      </c>
      <c r="DL327" s="48" t="s">
        <v>7</v>
      </c>
      <c r="DM327" s="48" t="s">
        <v>301</v>
      </c>
      <c r="DN327" s="48">
        <f ca="1">IF(DI327&lt;&gt;"",MAX($DN$2:DN326)+1,0)</f>
        <v>258</v>
      </c>
      <c r="DO327" s="48" t="str">
        <f ca="1">IF($BF$9=1,"eb10b","eb10a")</f>
        <v>eb10a</v>
      </c>
      <c r="DQ327" s="227" t="s">
        <v>904</v>
      </c>
      <c r="DR327" s="48" t="s">
        <v>236</v>
      </c>
      <c r="DS327" s="48" t="s">
        <v>311</v>
      </c>
      <c r="DT327" s="48" t="s">
        <v>275</v>
      </c>
      <c r="DU327" s="48" t="s">
        <v>7</v>
      </c>
      <c r="DV327" s="48" t="s">
        <v>301</v>
      </c>
      <c r="DW327" s="48">
        <f ca="1">IF(DR327&lt;&gt;"",MAX($DW$2:DW326)+1,0)</f>
        <v>196</v>
      </c>
      <c r="DX327" s="48" t="str">
        <f t="shared" ca="1" si="646"/>
        <v>eb10a</v>
      </c>
      <c r="DY327" s="48" t="str">
        <f t="shared" ca="1" si="647"/>
        <v/>
      </c>
      <c r="EL327" s="48">
        <f t="shared" ca="1" si="648"/>
        <v>0</v>
      </c>
      <c r="EM327" s="48">
        <f ca="1">IF(EL327&gt;=0,0,MAX($EM$2:EM326)+1)</f>
        <v>0</v>
      </c>
      <c r="EN327" s="48" t="str">
        <f t="shared" ca="1" si="658"/>
        <v/>
      </c>
      <c r="EO327" s="48" t="str">
        <f ca="1">IFERROR(INDEX($EM$3:$EN$400,MATCH(ROWS($EO$3:EO327),$EM$3:$EM$400,0),2),"")</f>
        <v/>
      </c>
      <c r="EP327" s="48">
        <f>ROW()</f>
        <v>327</v>
      </c>
      <c r="EQ327" s="48">
        <f t="shared" ca="1" si="649"/>
        <v>0</v>
      </c>
      <c r="ER327" s="48">
        <f ca="1">IF(ISNA(EQ327)=TRUE,MAX($ER$2:ER326)+1,0)</f>
        <v>0</v>
      </c>
      <c r="ES327" s="48" t="str">
        <f t="shared" ca="1" si="659"/>
        <v/>
      </c>
      <c r="ET327" s="48" t="str">
        <f ca="1">IFERROR(INDEX($ER$3:$ES$400,MATCH(ROWS($ET$3:ET327),$ER$3:$ER$400,0),2),"")</f>
        <v/>
      </c>
      <c r="EV327" s="48">
        <f ca="1">IFERROR(INDEX(LIBRO_GIORNALE!$O$11:$P$408,MATCH(ROWS($EV$2:EV326),LIBRO_GIORNALE!$P$11:$P$408,0),1),0)</f>
        <v>0</v>
      </c>
      <c r="EW327" s="48" t="str">
        <f t="shared" ca="1" si="629"/>
        <v>0</v>
      </c>
      <c r="EX327" s="48">
        <f t="shared" ca="1" si="660"/>
        <v>0</v>
      </c>
      <c r="EY327" s="48">
        <f ca="1">IF(EX327&gt;0,MAX($EY$2:EY326)+1,0)</f>
        <v>0</v>
      </c>
      <c r="EZ327" s="48">
        <f ca="1">IFERROR(INDEX($EX$3:$EX$400,MATCH(ROWS($EZ$3:EZ327),$EY$3:$EY$400,0),1),0)</f>
        <v>0</v>
      </c>
      <c r="FA327" s="48">
        <f ca="1">IF(EZ327&gt;0,0,MAX($FA$2:FA326)+1)</f>
        <v>325</v>
      </c>
      <c r="FB327" s="48">
        <f t="shared" ca="1" si="630"/>
        <v>0</v>
      </c>
      <c r="FC327" s="48">
        <f t="shared" ca="1" si="631"/>
        <v>325</v>
      </c>
      <c r="FD327" s="48">
        <f t="shared" ca="1" si="661"/>
        <v>325</v>
      </c>
      <c r="FE327" s="48">
        <f ca="1">IF(FD327=0,0,MAX($FE$2:FE326)+1)</f>
        <v>325</v>
      </c>
      <c r="FF327" s="48">
        <f ca="1">IFERROR(INDEX($FD$3:$FE$400,MATCH(ROWS($FF$3:FF327),$FE$3:$FE$400,0),1),"")</f>
        <v>325</v>
      </c>
      <c r="FG327" s="48">
        <f t="shared" si="610"/>
        <v>0</v>
      </c>
      <c r="FH327" s="48">
        <f t="shared" ca="1" si="662"/>
        <v>0</v>
      </c>
      <c r="FI327" s="48">
        <f ca="1">IF(FH327&lt;&gt;0,MAX($FI$2:FI326)+1,0)</f>
        <v>0</v>
      </c>
      <c r="FJ327" s="48" t="str">
        <f ca="1">IFERROR(INDEX($FH$3:$FI$400,MATCH(ROWS($FJ$3:FJ327),$FI$3:$FI$400,0),1),"")</f>
        <v/>
      </c>
      <c r="FK327" s="48">
        <f ca="1">IF(ABS(SUMIFS(DARE,DEN_G,"="&amp;FJ327,DATA,"&lt;="&amp;FINE_AC,DATA,"&gt;="&amp;INIZIO_A_PC)-SUMIFS(AVERE,DEN_G,"="&amp;FJ327,DATA,"&lt;="&amp;FINE_AC,DATA,"&gt;="&amp;INIZIO_A_PC))&gt;0,MAX($FK$2:FK326)+1,0)</f>
        <v>0</v>
      </c>
      <c r="FL327" s="48" t="str">
        <f ca="1">IF(AND(ROW()-2&lt;&gt;1,ROW()-2&lt;=$FK$1),CONCATENATE(" - ",IFERROR(INDEX($FJ$3:$FK$400,MATCH(ROWS($FL$3:FL327),$FK$3:$FK$400,0),1),"")),IFERROR(INDEX($FJ$3:$FK$400,MATCH(ROWS($FL$3:FL327),$FK$3:$FK$400,0),1),""))</f>
        <v/>
      </c>
      <c r="FM327" s="48">
        <f ca="1">IF(OR(B327="IVA ns/credito",B327="IVA NS/DEBITO",B327="IVA C/ACCONTO",B327="IMPOSTE C/ACCONTO",B327="CREDITI PER RITENUTE SUBITE",B327="CREDITI D'IMPOSTA"),MAX($FM$2:FM326)+1,0)</f>
        <v>0</v>
      </c>
      <c r="FN327" s="48" t="str">
        <f t="shared" ca="1" si="663"/>
        <v/>
      </c>
      <c r="FO327" s="48" t="str">
        <f ca="1">IFERROR(INDEX($FM$3:$FN$400,MATCH(ROWS($FO$3:FO327),$FM$3:$FM$400,0),2),"")</f>
        <v/>
      </c>
      <c r="FP327" s="48">
        <f ca="1">IF(ABS(SUMIFS(DARE,DEN_G,"="&amp;FO327,DATA,"&lt;="&amp;FINE_AC,DATA,"&gt;="&amp;INIZIO_A_PC)-SUMIFS(AVERE,DEN_G,"="&amp;FO327,DATA,"&lt;="&amp;FINE_AC,DATA,"&gt;="&amp;INIZIO_A_PC))&gt;0,MAX($FP$2:FP326)+1,0)</f>
        <v>0</v>
      </c>
      <c r="FQ327" s="48" t="str">
        <f ca="1">IF(AND(ROW()-2&lt;&gt;1,ROW()-2&lt;=$FP$1),CONCATENATE(" - ",IFERROR(INDEX($FO$3:$FP$400,MATCH(ROWS($FQ$3:FQ327),$FP$3:$FP$400,0),1),"")),IFERROR(INDEX($FO$3:$FP$400,MATCH(ROWS($FQ$3:FQ327),$FP$3:$FP$400,0),1),""))</f>
        <v/>
      </c>
    </row>
    <row r="328" spans="1:173" x14ac:dyDescent="0.3">
      <c r="A328" s="48" t="str">
        <f ca="1">IFERROR(IF($A$1=2,INDEX($DH$3:$DN$401,MATCH(ROWS(A$3:A328),$DN$3:$DN$401,0),COLUMN()),IF($A$1=1,INDEX($DQ$3:$DW$401,MATCH(ROWS(A$3:A328),$DW$3:$DW$401,0),COLUMN()),"")),"")</f>
        <v>90.00</v>
      </c>
      <c r="B328" s="48" t="str">
        <f ca="1">IFERROR(IF($A$1=2,INDEX($DH$3:$DN$401,MATCH(ROWS(B$3:B328),$DN$3:$DN$401,0),COLUMN()),IF($A$1=1,INDEX($DQ$3:$DW$400,MATCH(ROWS(B$3:B328),$DW$3:$DW$401,0),COLUMN()),"")),"")</f>
        <v>CONTI DI RISULTATO</v>
      </c>
      <c r="C328" s="48">
        <f ca="1">IFERROR(IF($A$1=2,INDEX($DH$3:$DN$401,MATCH(ROWS(C$3:C328),$DN$3:$DN$401,0),COLUMN()),IF($A$1=1,INDEX($DQ$3:$DW$401,MATCH(ROWS(C$3:C328),$DW$3:$DW$401,0),COLUMN()),"")),"")</f>
        <v>0</v>
      </c>
      <c r="D328" s="48">
        <f ca="1">IFERROR(IF($A$1=2,INDEX($DH$3:$DN$401,MATCH(ROWS(D$3:D328),$DN$3:$DN$401,0),COLUMN()),IF($A$1=1,INDEX($DQ$3:$DW$401,MATCH(ROWS(D$3:D328),$DW$3:$DW$401,0),COLUMN()),"")),"")</f>
        <v>0</v>
      </c>
      <c r="E328" s="48">
        <f ca="1">IFERROR(IF($A$1=2,INDEX($DH$3:$DN$401,MATCH(ROWS(E$3:E328),$DN$3:$DN$401,0),COLUMN()),IF($A$1=1,INDEX($DQ$3:$DW$401,MATCH(ROWS(E$3:E328),$DW$3:$DW$401,0),COLUMN()),"")),"")</f>
        <v>0</v>
      </c>
      <c r="F328" s="48">
        <f ca="1">IFERROR(IF($A$1=2,INDEX($DH$3:$DN$401,MATCH(ROWS(F$3:F328),$DN$3:$DN$401,0),COLUMN()),IF($A$1=1,INDEX($DQ$3:$DX$401,MATCH(ROWS(F$3:F328),$DW$3:$DW$401,0),COLUMN()),"")),"")</f>
        <v>0</v>
      </c>
      <c r="G328" s="48" t="str">
        <f t="shared" ca="1" si="650"/>
        <v>0</v>
      </c>
      <c r="H328" s="48">
        <f ca="1">IFERROR(IF($A$1=2,INDEX($DH$3:$DO$400,MATCH(ROWS(H$3:H328),$DN$3:$DN$400,0),COLUMN()),IF($A$1=1,INDEX($DQ$3:$DX$400,MATCH(ROWS(H$3:H328),$DW$3:$DW$400,0),COLUMN()),"")),"")</f>
        <v>0</v>
      </c>
      <c r="M328" s="48">
        <f ca="1">IFERROR(IF(IF(MID($A328,3,3)=".00",MID(A328,1,2),"")&lt;&gt;"",MAX($M$2:M327)+1,0),"")</f>
        <v>37</v>
      </c>
      <c r="N328" s="48" t="str">
        <f t="shared" ca="1" si="651"/>
        <v>90</v>
      </c>
      <c r="O328" s="48" t="str">
        <f ca="1">IF(IFERROR(INDEX($N$3:$O$300,MATCH(ROWS($O$3:O328),$M$3:$M$300,0),1),"")&lt;&gt;"",CONCATENATE(INDEX($N$3:$O$300,MATCH(ROWS($O$3:O328),$M$3:$M$300,0),1),".00"),"")</f>
        <v/>
      </c>
      <c r="P328" s="48" t="str">
        <f t="shared" ca="1" si="652"/>
        <v/>
      </c>
      <c r="Q328" s="48">
        <f ca="1">IF(M328&gt;=1,0,MAX($Q$2:Q327)+1)</f>
        <v>0</v>
      </c>
      <c r="U328" s="48" t="str">
        <f ca="1">IFERROR(INDEX(PDC,MATCH(ROWS(U$3:U328),$V$3:$V$400,0),2),"")</f>
        <v/>
      </c>
      <c r="V328" s="48">
        <f ca="1">IF(AND($T$1="VISUALIZZA TUTTI I CONTI",AA328&lt;&gt;""),MAX($V$2:V327)+1,IF(AND($U$2=2,AI328=$T$1),MAX($V$2:V327)+1,IF(AND($U$2=1,$T$1=AF328),MAX($V$2:V327)+1,0)))</f>
        <v>0</v>
      </c>
      <c r="AA328" s="48" t="str">
        <f t="shared" ca="1" si="653"/>
        <v/>
      </c>
      <c r="AB328" s="48" t="str">
        <f ca="1">IFERROR(INDEX($A$3:$G$400,MATCH(ROWS(AB$3:AB328),$Q$3:$Q$400,0),1),"")</f>
        <v/>
      </c>
      <c r="AC328" s="48" t="str">
        <f ca="1">IFERROR(INDEX($A$3:$G$400,MATCH(ROWS($AC$3:AC328),$Q$3:$Q$400,0),2),"")</f>
        <v/>
      </c>
      <c r="AD328" s="48">
        <f ca="1">IFERROR(INDEX($A$3:$G$400,MATCH(ROWS(AD$3:AD328),$Q$3:$Q$400,0),3),"")</f>
        <v>0</v>
      </c>
      <c r="AE328" s="48" t="str">
        <f ca="1">IFERROR(INDEX($A$3:$G$400,MATCH(ROWS(AE$3:AE328),$Q$3:$Q$400,0),4),"")</f>
        <v/>
      </c>
      <c r="AF328" s="48" t="str">
        <f ca="1">IFERROR(INDEX($A$3:$G$400,MATCH(ROWS(AF$3:AF328),$Q$3:$Q$400,0),5),"")</f>
        <v/>
      </c>
      <c r="AG328" s="48" t="str">
        <f ca="1">IFERROR(INDEX($A$3:$G$400,MATCH(ROWS(AG$3:AG328),$Q$3:$Q$400,0),6),"")</f>
        <v/>
      </c>
      <c r="AH328" s="48" t="str">
        <f ca="1">IFERROR(INDEX($A$3:$G$400,MATCH(ROWS(AH$3:AH328),$Q$3:$Q$400,0),7),"")</f>
        <v/>
      </c>
      <c r="AI328" s="48" t="str">
        <f t="shared" ca="1" si="654"/>
        <v/>
      </c>
      <c r="AJ328" s="48" t="str">
        <f ca="1">IFERROR(INDEX($A$3:$H$400,MATCH(ROWS(AJ$3:AJ328),$Q$3:$Q$400,0),8),"")</f>
        <v/>
      </c>
      <c r="AZ328" s="48" t="str">
        <f t="shared" ca="1" si="584"/>
        <v/>
      </c>
      <c r="BA328" s="48">
        <f t="shared" ca="1" si="611"/>
        <v>0</v>
      </c>
      <c r="BB328" s="48">
        <f t="shared" ca="1" si="612"/>
        <v>0</v>
      </c>
      <c r="BC328" s="48">
        <f t="shared" ca="1" si="613"/>
        <v>0</v>
      </c>
      <c r="BD328" s="48">
        <f t="shared" ca="1" si="614"/>
        <v>0</v>
      </c>
      <c r="BE328" s="48">
        <f t="shared" ca="1" si="615"/>
        <v>0</v>
      </c>
      <c r="BF328" s="48">
        <f t="shared" si="585"/>
        <v>128</v>
      </c>
      <c r="BG328" s="48">
        <f ca="1">IF(IF(AND(OR(INDEX(PDC,MATCH($AC328,DEN_PDC,0),6)="SP DARE",INDEX(PDC,MATCH($AC328,DEN_PDC,0),6)="SP DARE/AVERE"),SUMIFS(DARE,DEN_G,$AC328)&gt;=SUMIFS(AVERE,DEN_G,$AC328)),SUMIFS(DARE,DEN_G,$AC328)-SUMIFS(AVERE,DEN_G,$AC328),0)&gt;0,MAX($BG$2:BG327)+1,0)</f>
        <v>0</v>
      </c>
      <c r="BH328" s="48">
        <f ca="1">IF(IF(AND(OR(INDEX(PDC,MATCH($AC328,DEN_PDC,0),6)="SP AVERE",INDEX(PDC,MATCH($AC328,DEN_PDC,0),6)="SP DARE/AVERE"),SUMIFS(AVERE,DEN_G,$AC328)&gt;=SUMIFS(DARE,DEN_G,$AC328)),SUMIFS(AVERE,DEN_G,$AC328)-SUMIFS(DARE,DEN_G,$AC328),0)&gt;0,MAX(BH$2:BH327)+1,0)</f>
        <v>0</v>
      </c>
      <c r="BI328" s="48">
        <f ca="1">IF(IF(AND(OR(INDEX(PDC,MATCH($AC328,DEN_PDC,0),6)="SE DARE",INDEX(PDC,MATCH($AC328,DEN_PDC,0),6)="SE DARE/AVERE"),SUMIFS(DARE,DEN_G,$AC328)&gt;=SUMIFS(AVERE,DEN_G,$AC328)),SUMIFS(DARE,DEN_G,$AC328)-SUMIFS(AVERE,DEN_G,$AC328),0)&gt;0,MAX(BI$2:BI327)+1,0)</f>
        <v>0</v>
      </c>
      <c r="BJ328" s="48">
        <f ca="1">IF(IF(AND(OR(INDEX(PDC,MATCH($AC328,DEN_PDC,0),6)="SE AVERE",INDEX(PDC,MATCH($AC328,DEN_PDC,0),6)="SE DARE/AVERE"),SUMIFS(AVERE,DEN_G,$AC328)&gt;=SUMIFS(DARE,DEN_G,$AC328)),SUMIFS(AVERE,DEN_G,$AC328)-SUMIFS(DARE,DEN_G,$AC328),0)&gt;0,MAX(BJ$2:BJ327)+1,0)</f>
        <v>0</v>
      </c>
      <c r="BK328" s="48" t="str">
        <f ca="1">IF(AND(AND($DY$2=0,$DY$1=0),$I$1=2,ROW()&gt;$BG$1+2,ROW()&lt;=$BG$1+4),"………………..",IF(AND(OR($DY$2&gt;0,$DY$1&gt;0),$I$1=2,ROW()&gt;$BG$1+2,ROW()&lt;=$BG$1+4),"………………..",IFERROR(INDEX($AC$3:$AC$398,MATCH(ROWS(BK$3:BK328),BG$3:BG$398,0),1),"")))</f>
        <v/>
      </c>
      <c r="BL328" s="48">
        <f t="shared" ca="1" si="637"/>
        <v>0</v>
      </c>
      <c r="BM328" s="48" t="str">
        <f ca="1">IF(AND(OR($DY$2=0,$DY$1=0),$I$1=2,ROW()&gt;$BH$1+2,ROW()&lt;=$BH$1+4),"………………..",IF(AND(OR($DY$2&gt;0,$DY$1&gt;0),$I$1=2,ROW()&gt;$BH$1+2,ROW()&lt;=$BH$1+4),"………………..",IFERROR(INDEX($AC$3:$AC$400,MATCH(ROWS(BM$3:BM328),BH$3:BH$400,0),1),"")))</f>
        <v/>
      </c>
      <c r="BN328" s="48">
        <f t="shared" ca="1" si="638"/>
        <v>0</v>
      </c>
      <c r="BO328" s="48" t="str">
        <f ca="1">IF(AND(OR($DY$2=0,$DY$1=0),$I$1=2,ROW()&gt;$BI$1+2,ROW()&lt;=$BI$1+4),"………………..",IF(AND(OR($DY$2&gt;0,$DY$1&gt;0),$I$1=2,ROW()&gt;$BI$1+2,ROW()&lt;=$BI$1+4),"………………..",IFERROR(INDEX($AC$3:$AC$400,MATCH(ROWS(BO$3:BO328),BI$3:BI$400,0),1),"")))</f>
        <v/>
      </c>
      <c r="BP328" s="48">
        <f t="shared" ca="1" si="639"/>
        <v>0</v>
      </c>
      <c r="BQ328" s="48" t="str">
        <f ca="1">IF(AND(OR($DY$2=0,$DY$1=0),$I$1=2,ROW()&gt;$BJ$1+2,ROW()&lt;=$BJ$1+4),"………………..",IF(AND(OR($DY$2&gt;0,$DY$1&gt;0),$I$1=2,ROW()&gt;$BJ$1+2,ROW()&lt;=$BJ$1+4),"………………..",IFERROR(INDEX($AC$3:$AC$400,MATCH(ROWS(BQ$3:BQ328),BJ$3:BJ$400,0),1),"")))</f>
        <v/>
      </c>
      <c r="BR328" s="48">
        <f t="shared" ca="1" si="640"/>
        <v>0</v>
      </c>
      <c r="BS328" s="48">
        <f ca="1">IF(IF(AND(OR(INDEX(PDC,MATCH($AC328,DEN_PDC,0),4)="D",INDEX(PDC,MATCH($AC328,DEN_PDC,0),4)="D/A"),SUMIFS(DARE,DEN_G,$AC328)&gt;=SUMIFS(AVERE,DEN_G,$AC328)),SUMIFS(DARE,DEN_G,$AC328),IF(AND(OR(INDEX(PDC,MATCH($AC328,DEN_PDC,0),4)="A",INDEX(PDC,MATCH($AC328,DEN_PDC,0),4)="D/A"),SUMIFS(AVERE,DEN_G,$AC328)&gt;=SUMIFS(DARE,DEN_G,$AC328)),SUMIFS(AVERE,DEN_G,$AC328),))&gt;0,MAX($BS$2:BS327)+1,0)</f>
        <v>0</v>
      </c>
      <c r="BT328" s="48" t="str">
        <f ca="1">IF($CO$1=0,"",IF(AND($I$1=2,ROW()&gt;$BR$1,ROW()&lt;=$BS$1)," …………….",IF(AND($E$1=1,$BX$1=1,$I$1=2,ROW()=$BQ$1),"TOTALI",IFERROR(INDEX(PDC,MATCH(ROWS(BT$3:BT328),BS$3:BS725,0),2),""))))</f>
        <v/>
      </c>
      <c r="BU328" s="48">
        <f t="shared" ca="1" si="641"/>
        <v>0</v>
      </c>
      <c r="BV328" s="48">
        <f t="shared" ca="1" si="642"/>
        <v>0</v>
      </c>
      <c r="BW328" s="48">
        <f t="shared" ca="1" si="643"/>
        <v>0</v>
      </c>
      <c r="BX328" s="48">
        <f t="shared" ca="1" si="644"/>
        <v>0</v>
      </c>
      <c r="BY328" s="48">
        <f ca="1">IF(OR(BW328&gt;0,BX328&gt;0),MAX($BY$2:BY327)+1,0)</f>
        <v>0</v>
      </c>
      <c r="BZ328" s="48" t="str">
        <f ca="1">IFERROR(INDEX($BT$3:$BY$400,MATCH(ROWS(BZ$3:BZ328),$BY$3:$BY$400,0),1),"")</f>
        <v/>
      </c>
      <c r="CA328" s="48" t="str">
        <f ca="1">IFERROR(INDEX($BT$3:$BY$400,MATCH(ROWS(CA$3:CA328),$BY$3:$BY$400,0),4),"")</f>
        <v/>
      </c>
      <c r="CB328" s="48" t="str">
        <f ca="1">IFERROR(INDEX($BT$3:$BY$400,MATCH(ROWS(CB$3:CB328),$BY$3:$BY$400,0),5),"")</f>
        <v/>
      </c>
      <c r="CC328" s="48" t="str">
        <f t="shared" ca="1" si="645"/>
        <v/>
      </c>
      <c r="CM328" s="242" t="str">
        <f t="shared" ca="1" si="655"/>
        <v/>
      </c>
      <c r="CN328" s="243">
        <f t="shared" ca="1" si="656"/>
        <v>0</v>
      </c>
      <c r="CO328" s="48" t="str">
        <f t="shared" ca="1" si="657"/>
        <v/>
      </c>
      <c r="CU328" s="48">
        <f ca="1">IF(SUMIFS(AVERE,DEN_G,AC328,AVERE,"&gt;"&amp;0)+SUMIFS(DARE,DEN_G,AC328,DARE,"&gt;"&amp;0)&gt;0,MAX($CU$2:CU327)+1,0)</f>
        <v>0</v>
      </c>
      <c r="CV328" s="48" t="str">
        <f ca="1">IF(IFERROR(INDEX(PDC,MATCH(ROWS($CV$3:CV328),$CU$3:$CU$400,0),2),"")="CONTO DI RISULTATO ECONOMICO","",IFERROR(INDEX(PDC,MATCH(ROWS($CV$3:CV328),$CU$3:$CU$400,0),2),""))</f>
        <v/>
      </c>
      <c r="CW328" s="48">
        <f ca="1">IFERROR(IF(CV328&lt;&gt;"",MAX($CW$2:CW327)+1,0),0)</f>
        <v>0</v>
      </c>
      <c r="CX328" s="48">
        <f ca="1">$FF$28</f>
        <v>26</v>
      </c>
      <c r="CY328" s="48" t="str">
        <f t="shared" ref="CY328:CY339" ca="1" si="665">IF(ISERROR(INDEX($CV$3:$CX$1302,MATCH(CX328,$CW$3:$CW$1302,0),1)),"MASTRO",INDEX($CV$3:$CX$1302,MATCH(CX328,$CW$3:$CW$1302,0),1))</f>
        <v>MASTRO</v>
      </c>
      <c r="DA328" s="48" t="str">
        <f>IF(CY327="MASTRO","Conto n.","")</f>
        <v>Conto n.</v>
      </c>
      <c r="DB328" s="48" t="str">
        <f ca="1">IF(CY328=0,"",INDEX(PDC,MATCH(DC328,DEN_PDC,0),1))</f>
        <v/>
      </c>
      <c r="DC328" s="48" t="str">
        <f ca="1">IF(OR(CY328=0,CY328="mastro"),"",CY328)</f>
        <v/>
      </c>
      <c r="DD328" s="48" t="str">
        <f ca="1">IF(AND($DA$2=TRUE,OR(INDEX(PDC,MATCH($DC328,DEN_PDC,0),4)="A",INDEX(PDC,MATCH($DC328,DEN_PDC,0),4)="D/A"),SUMIFS(AVERE,DEN_G,"="&amp;$DC328,DATA,"&lt;="&amp;FINE_AC,DATA,"&gt;="&amp;INIZIO_AC)&gt;SUMIFS(DARE,DEN_G,"="&amp;$DC328,DATA,"&lt;="&amp;FINE_AC,DATA,"&gt;="&amp;INIZIO_AC)),CONCATENATE("s ",FIXED(ABS(SUMIFS(AVERE,DEN_G,"="&amp;$DC328,DATA,"&lt;="&amp;FINE_AC,DATA,"&gt;="&amp;INIZIO_AC)-SUMIFS(DARE,DEN_G,"="&amp;$DC328,DATA,"&lt;="&amp;FINE_AC,DATA,"&gt;="&amp;INIZIO_AC)),2)),"")</f>
        <v/>
      </c>
      <c r="DE328" s="48" t="str">
        <f ca="1">IF(AND($DA$2=TRUE,OR(INDEX(PDC,MATCH($DC328,DEN_PDC,0),4)="D",INDEX(PDC,MATCH($DC328,DEN_PDC,0),4)="D/A"),SUMIFS(DARE,DEN_G,"="&amp;$DC328,DATA,"&lt;="&amp;FINE_AC,DATA,"&gt;="&amp;INIZIO_AC)&gt;SUMIFS(AVERE,DEN_G,"="&amp;$DC328,DATA,"&lt;="&amp;FINE_AC,DATA,"&gt;="&amp;INIZIO_AC)),CONCATENATE("s ",FIXED(ABS(SUMIFS(DARE,DEN_G,"="&amp;$DC328,DATA,"&lt;="&amp;FINE_AC,DATA,"&gt;="&amp;INIZIO_AC)-SUMIFS(AVERE,DEN_G,"="&amp;$DC328,DATA,"&lt;="&amp;FINE_AC,DATA,"&gt;="&amp;INIZIO_AC)),2)),"")</f>
        <v/>
      </c>
      <c r="DF328" s="48">
        <f ca="1">IF(AND(CX328=$DF$1,CX328&lt;&gt;""),0,IF(AND(DB328&lt;&gt;"",OR(DB327&lt;&gt;"",DB329&lt;&gt;"")),MAX($DF$2:DF327)+1,0))</f>
        <v>0</v>
      </c>
      <c r="DH328" s="244" t="s">
        <v>239</v>
      </c>
      <c r="DI328" s="48" t="s">
        <v>233</v>
      </c>
      <c r="DJ328" s="48" t="s">
        <v>311</v>
      </c>
      <c r="DK328" s="48" t="s">
        <v>275</v>
      </c>
      <c r="DL328" s="48" t="s">
        <v>7</v>
      </c>
      <c r="DM328" s="48" t="s">
        <v>301</v>
      </c>
      <c r="DN328" s="48">
        <f ca="1">IF(DI328&lt;&gt;"",MAX($DN$2:DN327)+1,0)</f>
        <v>259</v>
      </c>
      <c r="DO328" s="48" t="str">
        <f t="shared" ref="DO328:DO334" ca="1" si="666">IF($BF$9=1,"eb10b","eb10a")</f>
        <v>eb10a</v>
      </c>
      <c r="DQ328" s="227" t="s">
        <v>905</v>
      </c>
      <c r="DR328" s="48" t="s">
        <v>237</v>
      </c>
      <c r="DS328" s="48" t="s">
        <v>311</v>
      </c>
      <c r="DT328" s="48" t="s">
        <v>275</v>
      </c>
      <c r="DU328" s="48" t="s">
        <v>7</v>
      </c>
      <c r="DV328" s="48" t="s">
        <v>301</v>
      </c>
      <c r="DW328" s="48">
        <f ca="1">IF(DR328&lt;&gt;"",MAX($DW$2:DW327)+1,0)</f>
        <v>197</v>
      </c>
      <c r="DX328" s="48" t="str">
        <f t="shared" ca="1" si="646"/>
        <v>eb10a</v>
      </c>
      <c r="DY328" s="48" t="str">
        <f t="shared" ca="1" si="647"/>
        <v/>
      </c>
      <c r="EL328" s="48">
        <f t="shared" ca="1" si="648"/>
        <v>0</v>
      </c>
      <c r="EM328" s="48">
        <f ca="1">IF(EL328&gt;=0,0,MAX($EM$2:EM327)+1)</f>
        <v>0</v>
      </c>
      <c r="EN328" s="48" t="str">
        <f t="shared" ca="1" si="658"/>
        <v/>
      </c>
      <c r="EO328" s="48" t="str">
        <f ca="1">IFERROR(INDEX($EM$3:$EN$400,MATCH(ROWS($EO$3:EO328),$EM$3:$EM$400,0),2),"")</f>
        <v/>
      </c>
      <c r="EP328" s="48">
        <f>ROW()</f>
        <v>328</v>
      </c>
      <c r="EQ328" s="48">
        <f t="shared" ca="1" si="649"/>
        <v>0</v>
      </c>
      <c r="ER328" s="48">
        <f ca="1">IF(ISNA(EQ328)=TRUE,MAX($ER$2:ER327)+1,0)</f>
        <v>0</v>
      </c>
      <c r="ES328" s="48" t="str">
        <f t="shared" ca="1" si="659"/>
        <v/>
      </c>
      <c r="ET328" s="48" t="str">
        <f ca="1">IFERROR(INDEX($ER$3:$ES$400,MATCH(ROWS($ET$3:ET328),$ER$3:$ER$400,0),2),"")</f>
        <v/>
      </c>
      <c r="EV328" s="48">
        <f ca="1">IFERROR(INDEX(LIBRO_GIORNALE!$O$11:$P$408,MATCH(ROWS($EV$2:EV327),LIBRO_GIORNALE!$P$11:$P$408,0),1),0)</f>
        <v>0</v>
      </c>
      <c r="EW328" s="48" t="str">
        <f t="shared" ca="1" si="629"/>
        <v>0</v>
      </c>
      <c r="EX328" s="48">
        <f t="shared" ca="1" si="660"/>
        <v>0</v>
      </c>
      <c r="EY328" s="48">
        <f ca="1">IF(EX328&gt;0,MAX($EY$2:EY327)+1,0)</f>
        <v>0</v>
      </c>
      <c r="EZ328" s="48">
        <f ca="1">IFERROR(INDEX($EX$3:$EX$400,MATCH(ROWS($EZ$3:EZ328),$EY$3:$EY$400,0),1),0)</f>
        <v>0</v>
      </c>
      <c r="FA328" s="48">
        <f ca="1">IF(EZ328&gt;0,0,MAX($FA$2:FA327)+1)</f>
        <v>326</v>
      </c>
      <c r="FB328" s="48">
        <f t="shared" ca="1" si="630"/>
        <v>0</v>
      </c>
      <c r="FC328" s="48">
        <f t="shared" ca="1" si="631"/>
        <v>326</v>
      </c>
      <c r="FD328" s="48">
        <f t="shared" ca="1" si="661"/>
        <v>326</v>
      </c>
      <c r="FE328" s="48">
        <f ca="1">IF(FD328=0,0,MAX($FE$2:FE327)+1)</f>
        <v>326</v>
      </c>
      <c r="FF328" s="48">
        <f ca="1">IFERROR(INDEX($FD$3:$FE$400,MATCH(ROWS($FF$3:FF328),$FE$3:$FE$400,0),1),"")</f>
        <v>326</v>
      </c>
      <c r="FG328" s="48">
        <f t="shared" si="610"/>
        <v>0</v>
      </c>
      <c r="FH328" s="48">
        <f t="shared" ca="1" si="662"/>
        <v>0</v>
      </c>
      <c r="FI328" s="48">
        <f ca="1">IF(FH328&lt;&gt;0,MAX($FI$2:FI327)+1,0)</f>
        <v>0</v>
      </c>
      <c r="FJ328" s="48" t="str">
        <f ca="1">IFERROR(INDEX($FH$3:$FI$400,MATCH(ROWS($FJ$3:FJ328),$FI$3:$FI$400,0),1),"")</f>
        <v/>
      </c>
      <c r="FK328" s="48">
        <f ca="1">IF(ABS(SUMIFS(DARE,DEN_G,"="&amp;FJ328,DATA,"&lt;="&amp;FINE_AC,DATA,"&gt;="&amp;INIZIO_A_PC)-SUMIFS(AVERE,DEN_G,"="&amp;FJ328,DATA,"&lt;="&amp;FINE_AC,DATA,"&gt;="&amp;INIZIO_A_PC))&gt;0,MAX($FK$2:FK327)+1,0)</f>
        <v>0</v>
      </c>
      <c r="FL328" s="48" t="str">
        <f ca="1">IF(AND(ROW()-2&lt;&gt;1,ROW()-2&lt;=$FK$1),CONCATENATE(" - ",IFERROR(INDEX($FJ$3:$FK$400,MATCH(ROWS($FL$3:FL328),$FK$3:$FK$400,0),1),"")),IFERROR(INDEX($FJ$3:$FK$400,MATCH(ROWS($FL$3:FL328),$FK$3:$FK$400,0),1),""))</f>
        <v/>
      </c>
      <c r="FM328" s="48">
        <f ca="1">IF(OR(B328="IVA ns/credito",B328="IVA NS/DEBITO",B328="IVA C/ACCONTO",B328="IMPOSTE C/ACCONTO",B328="CREDITI PER RITENUTE SUBITE",B328="CREDITI D'IMPOSTA"),MAX($FM$2:FM327)+1,0)</f>
        <v>0</v>
      </c>
      <c r="FN328" s="48" t="str">
        <f t="shared" ca="1" si="663"/>
        <v/>
      </c>
      <c r="FO328" s="48" t="str">
        <f ca="1">IFERROR(INDEX($FM$3:$FN$400,MATCH(ROWS($FO$3:FO328),$FM$3:$FM$400,0),2),"")</f>
        <v/>
      </c>
      <c r="FP328" s="48">
        <f ca="1">IF(ABS(SUMIFS(DARE,DEN_G,"="&amp;FO328,DATA,"&lt;="&amp;FINE_AC,DATA,"&gt;="&amp;INIZIO_A_PC)-SUMIFS(AVERE,DEN_G,"="&amp;FO328,DATA,"&lt;="&amp;FINE_AC,DATA,"&gt;="&amp;INIZIO_A_PC))&gt;0,MAX($FP$2:FP327)+1,0)</f>
        <v>0</v>
      </c>
      <c r="FQ328" s="48" t="str">
        <f ca="1">IF(AND(ROW()-2&lt;&gt;1,ROW()-2&lt;=$FP$1),CONCATENATE(" - ",IFERROR(INDEX($FO$3:$FP$400,MATCH(ROWS($FQ$3:FQ328),$FP$3:$FP$400,0),1),"")),IFERROR(INDEX($FO$3:$FP$400,MATCH(ROWS($FQ$3:FQ328),$FP$3:$FP$400,0),1),""))</f>
        <v/>
      </c>
    </row>
    <row r="329" spans="1:173" x14ac:dyDescent="0.3">
      <c r="A329" s="48" t="str">
        <f ca="1">IFERROR(IF($A$1=2,INDEX($DH$3:$DN$401,MATCH(ROWS(A$3:A329),$DN$3:$DN$401,0),COLUMN()),IF($A$1=1,INDEX($DQ$3:$DW$401,MATCH(ROWS(A$3:A329),$DW$3:$DW$401,0),COLUMN()),"")),"")</f>
        <v>90.01</v>
      </c>
      <c r="B329" s="48" t="str">
        <f ca="1">IFERROR(IF($A$1=2,INDEX($DH$3:$DN$401,MATCH(ROWS(B$3:B329),$DN$3:$DN$401,0),COLUMN()),IF($A$1=1,INDEX($DQ$3:$DW$400,MATCH(ROWS(B$3:B329),$DW$3:$DW$401,0),COLUMN()),"")),"")</f>
        <v>CONTO DI RISULTATO ECONOMICO</v>
      </c>
      <c r="C329" s="48" t="str">
        <f ca="1">IFERROR(IF($A$1=2,INDEX($DH$3:$DN$401,MATCH(ROWS(C$3:C329),$DN$3:$DN$401,0),COLUMN()),IF($A$1=1,INDEX($DQ$3:$DW$401,MATCH(ROWS(C$3:C329),$DW$3:$DW$401,0),COLUMN()),"")),"")</f>
        <v>E</v>
      </c>
      <c r="D329" s="48" t="str">
        <f ca="1">IFERROR(IF($A$1=2,INDEX($DH$3:$DN$401,MATCH(ROWS(D$3:D329),$DN$3:$DN$401,0),COLUMN()),IF($A$1=1,INDEX($DQ$3:$DW$401,MATCH(ROWS(D$3:D329),$DW$3:$DW$401,0),COLUMN()),"")),"")</f>
        <v>D/A</v>
      </c>
      <c r="E329" s="48" t="str">
        <f ca="1">IFERROR(IF($A$1=2,INDEX($DH$3:$DN$401,MATCH(ROWS(E$3:E329),$DN$3:$DN$401,0),COLUMN()),IF($A$1=1,INDEX($DQ$3:$DW$401,MATCH(ROWS(E$3:E329),$DW$3:$DW$401,0),COLUMN()),"")),"")</f>
        <v>CONTI DI RISULTATO</v>
      </c>
      <c r="F329" s="48">
        <f ca="1">IFERROR(IF($A$1=2,INDEX($DH$3:$DN$401,MATCH(ROWS(F$3:F329),$DN$3:$DN$401,0),COLUMN()),IF($A$1=1,INDEX($DQ$3:$DX$401,MATCH(ROWS(F$3:F329),$DW$3:$DW$401,0),COLUMN()),"")),"")</f>
        <v>0</v>
      </c>
      <c r="G329" s="48" t="str">
        <f t="shared" ca="1" si="650"/>
        <v>0</v>
      </c>
      <c r="H329" s="48">
        <f ca="1">IFERROR(IF($A$1=2,INDEX($DH$3:$DO$400,MATCH(ROWS(H$3:H329),$DN$3:$DN$400,0),COLUMN()),IF($A$1=1,INDEX($DQ$3:$DX$400,MATCH(ROWS(H$3:H329),$DW$3:$DW$400,0),COLUMN()),"")),"")</f>
        <v>0</v>
      </c>
      <c r="M329" s="48">
        <f ca="1">IFERROR(IF(IF(MID($A329,3,3)=".00",MID(A329,1,2),"")&lt;&gt;"",MAX($M$2:M328)+1,0),"")</f>
        <v>0</v>
      </c>
      <c r="N329" s="48" t="str">
        <f t="shared" ca="1" si="651"/>
        <v/>
      </c>
      <c r="O329" s="48" t="str">
        <f ca="1">IF(IFERROR(INDEX($N$3:$O$300,MATCH(ROWS($O$3:O329),$M$3:$M$300,0),1),"")&lt;&gt;"",CONCATENATE(INDEX($N$3:$O$300,MATCH(ROWS($O$3:O329),$M$3:$M$300,0),1),".00"),"")</f>
        <v/>
      </c>
      <c r="P329" s="48" t="str">
        <f t="shared" ca="1" si="652"/>
        <v/>
      </c>
      <c r="Q329" s="48">
        <f ca="1">IF(M329&gt;=1,0,MAX($Q$2:Q328)+1)</f>
        <v>290</v>
      </c>
      <c r="U329" s="48" t="str">
        <f ca="1">IFERROR(INDEX(PDC,MATCH(ROWS(U$3:U329),$V$3:$V$400,0),2),"")</f>
        <v/>
      </c>
      <c r="V329" s="48">
        <f ca="1">IF(AND($T$1="VISUALIZZA TUTTI I CONTI",AA329&lt;&gt;""),MAX($V$2:V328)+1,IF(AND($U$2=2,AI329=$T$1),MAX($V$2:V328)+1,IF(AND($U$2=1,$T$1=AF329),MAX($V$2:V328)+1,0)))</f>
        <v>0</v>
      </c>
      <c r="AA329" s="48" t="str">
        <f t="shared" ca="1" si="653"/>
        <v/>
      </c>
      <c r="AB329" s="48" t="str">
        <f ca="1">IFERROR(INDEX($A$3:$G$400,MATCH(ROWS(AB$3:AB329),$Q$3:$Q$400,0),1),"")</f>
        <v/>
      </c>
      <c r="AC329" s="48" t="str">
        <f ca="1">IFERROR(INDEX($A$3:$G$400,MATCH(ROWS($AC$3:AC329),$Q$3:$Q$400,0),2),"")</f>
        <v/>
      </c>
      <c r="AD329" s="48">
        <f ca="1">IFERROR(INDEX($A$3:$G$400,MATCH(ROWS(AD$3:AD329),$Q$3:$Q$400,0),3),"")</f>
        <v>0</v>
      </c>
      <c r="AE329" s="48" t="str">
        <f ca="1">IFERROR(INDEX($A$3:$G$400,MATCH(ROWS(AE$3:AE329),$Q$3:$Q$400,0),4),"")</f>
        <v/>
      </c>
      <c r="AF329" s="48" t="str">
        <f ca="1">IFERROR(INDEX($A$3:$G$400,MATCH(ROWS(AF$3:AF329),$Q$3:$Q$400,0),5),"")</f>
        <v/>
      </c>
      <c r="AG329" s="48" t="str">
        <f ca="1">IFERROR(INDEX($A$3:$G$400,MATCH(ROWS(AG$3:AG329),$Q$3:$Q$400,0),6),"")</f>
        <v/>
      </c>
      <c r="AH329" s="48" t="str">
        <f ca="1">IFERROR(INDEX($A$3:$G$400,MATCH(ROWS(AH$3:AH329),$Q$3:$Q$400,0),7),"")</f>
        <v/>
      </c>
      <c r="AI329" s="48" t="str">
        <f t="shared" ca="1" si="654"/>
        <v/>
      </c>
      <c r="AJ329" s="48" t="str">
        <f ca="1">IFERROR(INDEX($A$3:$H$400,MATCH(ROWS(AJ$3:AJ329),$Q$3:$Q$400,0),8),"")</f>
        <v/>
      </c>
      <c r="AZ329" s="48" t="str">
        <f t="shared" ca="1" si="584"/>
        <v/>
      </c>
      <c r="BA329" s="48">
        <f t="shared" ca="1" si="611"/>
        <v>0</v>
      </c>
      <c r="BB329" s="48">
        <f t="shared" ca="1" si="612"/>
        <v>0</v>
      </c>
      <c r="BC329" s="48">
        <f t="shared" ca="1" si="613"/>
        <v>0</v>
      </c>
      <c r="BD329" s="48">
        <f t="shared" ca="1" si="614"/>
        <v>0</v>
      </c>
      <c r="BE329" s="48">
        <f t="shared" ca="1" si="615"/>
        <v>0</v>
      </c>
      <c r="BF329" s="48">
        <f t="shared" si="585"/>
        <v>129</v>
      </c>
      <c r="BG329" s="48">
        <f ca="1">IF(IF(AND(OR(INDEX(PDC,MATCH($AC329,DEN_PDC,0),6)="SP DARE",INDEX(PDC,MATCH($AC329,DEN_PDC,0),6)="SP DARE/AVERE"),SUMIFS(DARE,DEN_G,$AC329)&gt;=SUMIFS(AVERE,DEN_G,$AC329)),SUMIFS(DARE,DEN_G,$AC329)-SUMIFS(AVERE,DEN_G,$AC329),0)&gt;0,MAX($BG$2:BG328)+1,0)</f>
        <v>0</v>
      </c>
      <c r="BH329" s="48">
        <f ca="1">IF(IF(AND(OR(INDEX(PDC,MATCH($AC329,DEN_PDC,0),6)="SP AVERE",INDEX(PDC,MATCH($AC329,DEN_PDC,0),6)="SP DARE/AVERE"),SUMIFS(AVERE,DEN_G,$AC329)&gt;=SUMIFS(DARE,DEN_G,$AC329)),SUMIFS(AVERE,DEN_G,$AC329)-SUMIFS(DARE,DEN_G,$AC329),0)&gt;0,MAX(BH$2:BH328)+1,0)</f>
        <v>0</v>
      </c>
      <c r="BI329" s="48">
        <f ca="1">IF(IF(AND(OR(INDEX(PDC,MATCH($AC329,DEN_PDC,0),6)="SE DARE",INDEX(PDC,MATCH($AC329,DEN_PDC,0),6)="SE DARE/AVERE"),SUMIFS(DARE,DEN_G,$AC329)&gt;=SUMIFS(AVERE,DEN_G,$AC329)),SUMIFS(DARE,DEN_G,$AC329)-SUMIFS(AVERE,DEN_G,$AC329),0)&gt;0,MAX(BI$2:BI328)+1,0)</f>
        <v>0</v>
      </c>
      <c r="BJ329" s="48">
        <f ca="1">IF(IF(AND(OR(INDEX(PDC,MATCH($AC329,DEN_PDC,0),6)="SE AVERE",INDEX(PDC,MATCH($AC329,DEN_PDC,0),6)="SE DARE/AVERE"),SUMIFS(AVERE,DEN_G,$AC329)&gt;=SUMIFS(DARE,DEN_G,$AC329)),SUMIFS(AVERE,DEN_G,$AC329)-SUMIFS(DARE,DEN_G,$AC329),0)&gt;0,MAX(BJ$2:BJ328)+1,0)</f>
        <v>0</v>
      </c>
      <c r="BK329" s="48" t="str">
        <f ca="1">IF(AND(AND($DY$2=0,$DY$1=0),$I$1=2,ROW()&gt;$BG$1+2,ROW()&lt;=$BG$1+4),"………………..",IF(AND(OR($DY$2&gt;0,$DY$1&gt;0),$I$1=2,ROW()&gt;$BG$1+2,ROW()&lt;=$BG$1+4),"………………..",IFERROR(INDEX($AC$3:$AC$398,MATCH(ROWS(BK$3:BK329),BG$3:BG$398,0),1),"")))</f>
        <v/>
      </c>
      <c r="BL329" s="48">
        <f t="shared" ca="1" si="637"/>
        <v>0</v>
      </c>
      <c r="BM329" s="48" t="str">
        <f ca="1">IF(AND(OR($DY$2=0,$DY$1=0),$I$1=2,ROW()&gt;$BH$1+2,ROW()&lt;=$BH$1+4),"………………..",IF(AND(OR($DY$2&gt;0,$DY$1&gt;0),$I$1=2,ROW()&gt;$BH$1+2,ROW()&lt;=$BH$1+4),"………………..",IFERROR(INDEX($AC$3:$AC$400,MATCH(ROWS(BM$3:BM329),BH$3:BH$400,0),1),"")))</f>
        <v/>
      </c>
      <c r="BN329" s="48">
        <f t="shared" ca="1" si="638"/>
        <v>0</v>
      </c>
      <c r="BO329" s="48" t="str">
        <f ca="1">IF(AND(OR($DY$2=0,$DY$1=0),$I$1=2,ROW()&gt;$BI$1+2,ROW()&lt;=$BI$1+4),"………………..",IF(AND(OR($DY$2&gt;0,$DY$1&gt;0),$I$1=2,ROW()&gt;$BI$1+2,ROW()&lt;=$BI$1+4),"………………..",IFERROR(INDEX($AC$3:$AC$400,MATCH(ROWS(BO$3:BO329),BI$3:BI$400,0),1),"")))</f>
        <v/>
      </c>
      <c r="BP329" s="48">
        <f t="shared" ca="1" si="639"/>
        <v>0</v>
      </c>
      <c r="BQ329" s="48" t="str">
        <f ca="1">IF(AND(OR($DY$2=0,$DY$1=0),$I$1=2,ROW()&gt;$BJ$1+2,ROW()&lt;=$BJ$1+4),"………………..",IF(AND(OR($DY$2&gt;0,$DY$1&gt;0),$I$1=2,ROW()&gt;$BJ$1+2,ROW()&lt;=$BJ$1+4),"………………..",IFERROR(INDEX($AC$3:$AC$400,MATCH(ROWS(BQ$3:BQ329),BJ$3:BJ$400,0),1),"")))</f>
        <v/>
      </c>
      <c r="BR329" s="48">
        <f t="shared" ca="1" si="640"/>
        <v>0</v>
      </c>
      <c r="BS329" s="48">
        <f ca="1">IF(IF(AND(OR(INDEX(PDC,MATCH($AC329,DEN_PDC,0),4)="D",INDEX(PDC,MATCH($AC329,DEN_PDC,0),4)="D/A"),SUMIFS(DARE,DEN_G,$AC329)&gt;=SUMIFS(AVERE,DEN_G,$AC329)),SUMIFS(DARE,DEN_G,$AC329),IF(AND(OR(INDEX(PDC,MATCH($AC329,DEN_PDC,0),4)="A",INDEX(PDC,MATCH($AC329,DEN_PDC,0),4)="D/A"),SUMIFS(AVERE,DEN_G,$AC329)&gt;=SUMIFS(DARE,DEN_G,$AC329)),SUMIFS(AVERE,DEN_G,$AC329),))&gt;0,MAX($BS$2:BS328)+1,0)</f>
        <v>0</v>
      </c>
      <c r="BT329" s="48" t="str">
        <f ca="1">IF($CO$1=0,"",IF(AND($I$1=2,ROW()&gt;$BR$1,ROW()&lt;=$BS$1)," …………….",IF(AND($E$1=1,$BX$1=1,$I$1=2,ROW()=$BQ$1),"TOTALI",IFERROR(INDEX(PDC,MATCH(ROWS(BT$3:BT329),BS$3:BS726,0),2),""))))</f>
        <v/>
      </c>
      <c r="BU329" s="48">
        <f t="shared" ca="1" si="641"/>
        <v>0</v>
      </c>
      <c r="BV329" s="48">
        <f t="shared" ca="1" si="642"/>
        <v>0</v>
      </c>
      <c r="BW329" s="48">
        <f t="shared" ca="1" si="643"/>
        <v>0</v>
      </c>
      <c r="BX329" s="48">
        <f t="shared" ca="1" si="644"/>
        <v>0</v>
      </c>
      <c r="BY329" s="48">
        <f ca="1">IF(OR(BW329&gt;0,BX329&gt;0),MAX($BY$2:BY328)+1,0)</f>
        <v>0</v>
      </c>
      <c r="BZ329" s="48" t="str">
        <f ca="1">IFERROR(INDEX($BT$3:$BY$400,MATCH(ROWS(BZ$3:BZ329),$BY$3:$BY$400,0),1),"")</f>
        <v/>
      </c>
      <c r="CA329" s="48" t="str">
        <f ca="1">IFERROR(INDEX($BT$3:$BY$400,MATCH(ROWS(CA$3:CA329),$BY$3:$BY$400,0),4),"")</f>
        <v/>
      </c>
      <c r="CB329" s="48" t="str">
        <f ca="1">IFERROR(INDEX($BT$3:$BY$400,MATCH(ROWS(CB$3:CB329),$BY$3:$BY$400,0),5),"")</f>
        <v/>
      </c>
      <c r="CC329" s="48" t="str">
        <f t="shared" ca="1" si="645"/>
        <v/>
      </c>
      <c r="CM329" s="242" t="str">
        <f t="shared" ca="1" si="655"/>
        <v/>
      </c>
      <c r="CN329" s="243">
        <f t="shared" ca="1" si="656"/>
        <v>0</v>
      </c>
      <c r="CO329" s="48" t="str">
        <f t="shared" ca="1" si="657"/>
        <v/>
      </c>
      <c r="CU329" s="48">
        <f ca="1">IF(SUMIFS(AVERE,DEN_G,AC329,AVERE,"&gt;"&amp;0)+SUMIFS(DARE,DEN_G,AC329,DARE,"&gt;"&amp;0)&gt;0,MAX($CU$2:CU328)+1,0)</f>
        <v>0</v>
      </c>
      <c r="CV329" s="48" t="str">
        <f ca="1">IF(IFERROR(INDEX(PDC,MATCH(ROWS($CV$3:CV329),$CU$3:$CU$400,0),2),"")="CONTO DI RISULTATO ECONOMICO","",IFERROR(INDEX(PDC,MATCH(ROWS($CV$3:CV329),$CU$3:$CU$400,0),2),""))</f>
        <v/>
      </c>
      <c r="CW329" s="48">
        <f ca="1">IFERROR(IF(CV329&lt;&gt;"",MAX($CW$2:CW328)+1,0),0)</f>
        <v>0</v>
      </c>
      <c r="CX329" s="48">
        <f t="shared" ref="CX329:CX339" ca="1" si="667">$FF$28</f>
        <v>26</v>
      </c>
      <c r="CY329" s="48" t="str">
        <f t="shared" ca="1" si="665"/>
        <v>MASTRO</v>
      </c>
      <c r="DA329" s="48" t="str">
        <f ca="1">IF(DB328="","","Num. riga")</f>
        <v/>
      </c>
      <c r="DB329" s="48" t="str">
        <f t="shared" ref="DB329" ca="1" si="668">IF(DB328="","","Data")</f>
        <v/>
      </c>
      <c r="DC329" s="48" t="str">
        <f ca="1">IF(DB328="","","Operazioni")</f>
        <v/>
      </c>
      <c r="DD329" s="48" t="str">
        <f ca="1">IF(DB328="","","Dare        ")</f>
        <v/>
      </c>
      <c r="DE329" s="48" t="str">
        <f ca="1">IF(DB328="","","Avere        ")</f>
        <v/>
      </c>
      <c r="DF329" s="48">
        <f ca="1">IF(AND(CX329=$DF$1,CX329&lt;&gt;""),0,IF(AND(DB329&lt;&gt;"",OR(DB328&lt;&gt;"",DB330&lt;&gt;"")),MAX($DF$2:DF328)+1,0))</f>
        <v>0</v>
      </c>
      <c r="DH329" s="244" t="s">
        <v>941</v>
      </c>
      <c r="DI329" s="48" t="s">
        <v>445</v>
      </c>
      <c r="DJ329" s="48" t="s">
        <v>311</v>
      </c>
      <c r="DK329" s="48" t="s">
        <v>275</v>
      </c>
      <c r="DL329" s="48" t="s">
        <v>7</v>
      </c>
      <c r="DM329" s="48" t="s">
        <v>301</v>
      </c>
      <c r="DN329" s="48">
        <f ca="1">IF(DI329&lt;&gt;"",MAX($DN$2:DN328)+1,0)</f>
        <v>260</v>
      </c>
      <c r="DO329" s="48" t="str">
        <f t="shared" ca="1" si="666"/>
        <v>eb10a</v>
      </c>
      <c r="DQ329" s="227" t="s">
        <v>240</v>
      </c>
      <c r="DR329" s="228" t="s">
        <v>241</v>
      </c>
      <c r="DW329" s="48">
        <f ca="1">IF(DR329&lt;&gt;"",MAX($DW$2:DW328)+1,0)</f>
        <v>198</v>
      </c>
      <c r="DY329" s="48" t="str">
        <f t="shared" ca="1" si="647"/>
        <v/>
      </c>
      <c r="EL329" s="48">
        <f t="shared" ca="1" si="648"/>
        <v>0</v>
      </c>
      <c r="EM329" s="48">
        <f ca="1">IF(EL329&gt;=0,0,MAX($EM$2:EM328)+1)</f>
        <v>0</v>
      </c>
      <c r="EN329" s="48" t="str">
        <f t="shared" ca="1" si="658"/>
        <v/>
      </c>
      <c r="EO329" s="48" t="str">
        <f ca="1">IFERROR(INDEX($EM$3:$EN$400,MATCH(ROWS($EO$3:EO329),$EM$3:$EM$400,0),2),"")</f>
        <v/>
      </c>
      <c r="EP329" s="48">
        <f>ROW()</f>
        <v>329</v>
      </c>
      <c r="EQ329" s="48">
        <f t="shared" ca="1" si="649"/>
        <v>0</v>
      </c>
      <c r="ER329" s="48">
        <f ca="1">IF(ISNA(EQ329)=TRUE,MAX($ER$2:ER328)+1,0)</f>
        <v>0</v>
      </c>
      <c r="ES329" s="48" t="str">
        <f t="shared" ca="1" si="659"/>
        <v/>
      </c>
      <c r="ET329" s="48" t="str">
        <f ca="1">IFERROR(INDEX($ER$3:$ES$400,MATCH(ROWS($ET$3:ET329),$ER$3:$ER$400,0),2),"")</f>
        <v/>
      </c>
      <c r="EV329" s="48">
        <f ca="1">IFERROR(INDEX(LIBRO_GIORNALE!$O$11:$P$408,MATCH(ROWS($EV$2:EV328),LIBRO_GIORNALE!$P$11:$P$408,0),1),0)</f>
        <v>0</v>
      </c>
      <c r="EW329" s="48" t="str">
        <f t="shared" ca="1" si="629"/>
        <v>0</v>
      </c>
      <c r="EX329" s="48">
        <f t="shared" ca="1" si="660"/>
        <v>0</v>
      </c>
      <c r="EY329" s="48">
        <f ca="1">IF(EX329&gt;0,MAX($EY$2:EY328)+1,0)</f>
        <v>0</v>
      </c>
      <c r="EZ329" s="48">
        <f ca="1">IFERROR(INDEX($EX$3:$EX$400,MATCH(ROWS($EZ$3:EZ329),$EY$3:$EY$400,0),1),0)</f>
        <v>0</v>
      </c>
      <c r="FA329" s="48">
        <f ca="1">IF(EZ329&gt;0,0,MAX($FA$2:FA328)+1)</f>
        <v>327</v>
      </c>
      <c r="FB329" s="48">
        <f t="shared" ca="1" si="630"/>
        <v>0</v>
      </c>
      <c r="FC329" s="48">
        <f t="shared" ca="1" si="631"/>
        <v>327</v>
      </c>
      <c r="FD329" s="48">
        <f t="shared" ca="1" si="661"/>
        <v>327</v>
      </c>
      <c r="FE329" s="48">
        <f ca="1">IF(FD329=0,0,MAX($FE$2:FE328)+1)</f>
        <v>327</v>
      </c>
      <c r="FF329" s="48">
        <f ca="1">IFERROR(INDEX($FD$3:$FE$400,MATCH(ROWS($FF$3:FF329),$FE$3:$FE$400,0),1),"")</f>
        <v>327</v>
      </c>
      <c r="FG329" s="48">
        <f t="shared" si="610"/>
        <v>0</v>
      </c>
      <c r="FH329" s="48">
        <f t="shared" ca="1" si="662"/>
        <v>0</v>
      </c>
      <c r="FI329" s="48">
        <f ca="1">IF(FH329&lt;&gt;0,MAX($FI$2:FI328)+1,0)</f>
        <v>0</v>
      </c>
      <c r="FJ329" s="48" t="str">
        <f ca="1">IFERROR(INDEX($FH$3:$FI$400,MATCH(ROWS($FJ$3:FJ329),$FI$3:$FI$400,0),1),"")</f>
        <v/>
      </c>
      <c r="FK329" s="48">
        <f ca="1">IF(ABS(SUMIFS(DARE,DEN_G,"="&amp;FJ329,DATA,"&lt;="&amp;FINE_AC,DATA,"&gt;="&amp;INIZIO_A_PC)-SUMIFS(AVERE,DEN_G,"="&amp;FJ329,DATA,"&lt;="&amp;FINE_AC,DATA,"&gt;="&amp;INIZIO_A_PC))&gt;0,MAX($FK$2:FK328)+1,0)</f>
        <v>0</v>
      </c>
      <c r="FL329" s="48" t="str">
        <f ca="1">IF(AND(ROW()-2&lt;&gt;1,ROW()-2&lt;=$FK$1),CONCATENATE(" - ",IFERROR(INDEX($FJ$3:$FK$400,MATCH(ROWS($FL$3:FL329),$FK$3:$FK$400,0),1),"")),IFERROR(INDEX($FJ$3:$FK$400,MATCH(ROWS($FL$3:FL329),$FK$3:$FK$400,0),1),""))</f>
        <v/>
      </c>
      <c r="FM329" s="48">
        <f ca="1">IF(OR(B329="IVA ns/credito",B329="IVA NS/DEBITO",B329="IVA C/ACCONTO",B329="IMPOSTE C/ACCONTO",B329="CREDITI PER RITENUTE SUBITE",B329="CREDITI D'IMPOSTA"),MAX($FM$2:FM328)+1,0)</f>
        <v>0</v>
      </c>
      <c r="FN329" s="48" t="str">
        <f t="shared" ca="1" si="663"/>
        <v/>
      </c>
      <c r="FO329" s="48" t="str">
        <f ca="1">IFERROR(INDEX($FM$3:$FN$400,MATCH(ROWS($FO$3:FO329),$FM$3:$FM$400,0),2),"")</f>
        <v/>
      </c>
      <c r="FP329" s="48">
        <f ca="1">IF(ABS(SUMIFS(DARE,DEN_G,"="&amp;FO329,DATA,"&lt;="&amp;FINE_AC,DATA,"&gt;="&amp;INIZIO_A_PC)-SUMIFS(AVERE,DEN_G,"="&amp;FO329,DATA,"&lt;="&amp;FINE_AC,DATA,"&gt;="&amp;INIZIO_A_PC))&gt;0,MAX($FP$2:FP328)+1,0)</f>
        <v>0</v>
      </c>
      <c r="FQ329" s="48" t="str">
        <f ca="1">IF(AND(ROW()-2&lt;&gt;1,ROW()-2&lt;=$FP$1),CONCATENATE(" - ",IFERROR(INDEX($FO$3:$FP$400,MATCH(ROWS($FQ$3:FQ329),$FP$3:$FP$400,0),1),"")),IFERROR(INDEX($FO$3:$FP$400,MATCH(ROWS($FQ$3:FQ329),$FP$3:$FP$400,0),1),""))</f>
        <v/>
      </c>
    </row>
    <row r="330" spans="1:173" x14ac:dyDescent="0.3">
      <c r="A330" s="48" t="str">
        <f ca="1">IFERROR(IF($A$1=2,INDEX($DH$3:$DN$401,MATCH(ROWS(A$3:A330),$DN$3:$DN$401,0),COLUMN()),IF($A$1=1,INDEX($DQ$3:$DW$401,MATCH(ROWS(A$3:A330),$DW$3:$DW$401,0),COLUMN()),"")),"")</f>
        <v>90.02</v>
      </c>
      <c r="B330" s="48" t="str">
        <f ca="1">IFERROR(IF($A$1=2,INDEX($DH$3:$DN$401,MATCH(ROWS(B$3:B330),$DN$3:$DN$401,0),COLUMN()),IF($A$1=1,INDEX($DQ$3:$DW$400,MATCH(ROWS(B$3:B330),$DW$3:$DW$401,0),COLUMN()),"")),"")</f>
        <v>GESTIONE TITOLI</v>
      </c>
      <c r="C330" s="48" t="str">
        <f ca="1">IFERROR(IF($A$1=2,INDEX($DH$3:$DN$401,MATCH(ROWS(C$3:C330),$DN$3:$DN$401,0),COLUMN()),IF($A$1=1,INDEX($DQ$3:$DW$401,MATCH(ROWS(C$3:C330),$DW$3:$DW$401,0),COLUMN()),"")),"")</f>
        <v>E</v>
      </c>
      <c r="D330" s="48" t="str">
        <f ca="1">IFERROR(IF($A$1=2,INDEX($DH$3:$DN$401,MATCH(ROWS(D$3:D330),$DN$3:$DN$401,0),COLUMN()),IF($A$1=1,INDEX($DQ$3:$DW$401,MATCH(ROWS(D$3:D330),$DW$3:$DW$401,0),COLUMN()),"")),"")</f>
        <v>D/A</v>
      </c>
      <c r="E330" s="48" t="str">
        <f ca="1">IFERROR(IF($A$1=2,INDEX($DH$3:$DN$401,MATCH(ROWS(E$3:E330),$DN$3:$DN$401,0),COLUMN()),IF($A$1=1,INDEX($DQ$3:$DW$401,MATCH(ROWS(E$3:E330),$DW$3:$DW$401,0),COLUMN()),"")),"")</f>
        <v>CONTI DI RISULTATO</v>
      </c>
      <c r="F330" s="48">
        <f ca="1">IFERROR(IF($A$1=2,INDEX($DH$3:$DN$401,MATCH(ROWS(F$3:F330),$DN$3:$DN$401,0),COLUMN()),IF($A$1=1,INDEX($DQ$3:$DX$401,MATCH(ROWS(F$3:F330),$DW$3:$DW$401,0),COLUMN()),"")),"")</f>
        <v>0</v>
      </c>
      <c r="G330" s="48" t="str">
        <f t="shared" ca="1" si="650"/>
        <v>0</v>
      </c>
      <c r="H330" s="48">
        <f ca="1">IFERROR(IF($A$1=2,INDEX($DH$3:$DO$400,MATCH(ROWS(H$3:H330),$DN$3:$DN$400,0),COLUMN()),IF($A$1=1,INDEX($DQ$3:$DX$400,MATCH(ROWS(H$3:H330),$DW$3:$DW$400,0),COLUMN()),"")),"")</f>
        <v>0</v>
      </c>
      <c r="M330" s="48">
        <f ca="1">IFERROR(IF(IF(MID($A330,3,3)=".00",MID(A330,1,2),"")&lt;&gt;"",MAX($M$2:M329)+1,0),"")</f>
        <v>0</v>
      </c>
      <c r="N330" s="48" t="str">
        <f t="shared" ca="1" si="651"/>
        <v/>
      </c>
      <c r="O330" s="48" t="str">
        <f ca="1">IF(IFERROR(INDEX($N$3:$O$300,MATCH(ROWS($O$3:O330),$M$3:$M$300,0),1),"")&lt;&gt;"",CONCATENATE(INDEX($N$3:$O$300,MATCH(ROWS($O$3:O330),$M$3:$M$300,0),1),".00"),"")</f>
        <v/>
      </c>
      <c r="P330" s="48" t="str">
        <f t="shared" ca="1" si="652"/>
        <v/>
      </c>
      <c r="Q330" s="48">
        <f ca="1">IF(M330&gt;=1,0,MAX($Q$2:Q329)+1)</f>
        <v>291</v>
      </c>
      <c r="U330" s="48" t="str">
        <f ca="1">IFERROR(INDEX(PDC,MATCH(ROWS(U$3:U330),$V$3:$V$400,0),2),"")</f>
        <v/>
      </c>
      <c r="V330" s="48">
        <f ca="1">IF(AND($T$1="VISUALIZZA TUTTI I CONTI",AA330&lt;&gt;""),MAX($V$2:V329)+1,IF(AND($U$2=2,AI330=$T$1),MAX($V$2:V329)+1,IF(AND($U$2=1,$T$1=AF330),MAX($V$2:V329)+1,0)))</f>
        <v>0</v>
      </c>
      <c r="AA330" s="48" t="str">
        <f t="shared" ca="1" si="653"/>
        <v/>
      </c>
      <c r="AB330" s="48" t="str">
        <f ca="1">IFERROR(INDEX($A$3:$G$400,MATCH(ROWS(AB$3:AB330),$Q$3:$Q$400,0),1),"")</f>
        <v/>
      </c>
      <c r="AC330" s="48" t="str">
        <f ca="1">IFERROR(INDEX($A$3:$G$400,MATCH(ROWS($AC$3:AC330),$Q$3:$Q$400,0),2),"")</f>
        <v/>
      </c>
      <c r="AD330" s="48">
        <f ca="1">IFERROR(INDEX($A$3:$G$400,MATCH(ROWS(AD$3:AD330),$Q$3:$Q$400,0),3),"")</f>
        <v>0</v>
      </c>
      <c r="AE330" s="48" t="str">
        <f ca="1">IFERROR(INDEX($A$3:$G$400,MATCH(ROWS(AE$3:AE330),$Q$3:$Q$400,0),4),"")</f>
        <v/>
      </c>
      <c r="AF330" s="48" t="str">
        <f ca="1">IFERROR(INDEX($A$3:$G$400,MATCH(ROWS(AF$3:AF330),$Q$3:$Q$400,0),5),"")</f>
        <v/>
      </c>
      <c r="AG330" s="48" t="str">
        <f ca="1">IFERROR(INDEX($A$3:$G$400,MATCH(ROWS(AG$3:AG330),$Q$3:$Q$400,0),6),"")</f>
        <v/>
      </c>
      <c r="AH330" s="48" t="str">
        <f ca="1">IFERROR(INDEX($A$3:$G$400,MATCH(ROWS(AH$3:AH330),$Q$3:$Q$400,0),7),"")</f>
        <v/>
      </c>
      <c r="AI330" s="48" t="str">
        <f t="shared" ca="1" si="654"/>
        <v/>
      </c>
      <c r="AJ330" s="48" t="str">
        <f ca="1">IFERROR(INDEX($A$3:$H$400,MATCH(ROWS(AJ$3:AJ330),$Q$3:$Q$400,0),8),"")</f>
        <v/>
      </c>
      <c r="AZ330" s="48" t="str">
        <f t="shared" ref="AZ330:AZ368" ca="1" si="669">IF(BB330=0,"",ROW()-200)</f>
        <v/>
      </c>
      <c r="BA330" s="48">
        <f t="shared" ca="1" si="611"/>
        <v>0</v>
      </c>
      <c r="BB330" s="48">
        <f t="shared" ca="1" si="612"/>
        <v>0</v>
      </c>
      <c r="BC330" s="48">
        <f t="shared" ca="1" si="613"/>
        <v>0</v>
      </c>
      <c r="BD330" s="48">
        <f t="shared" ca="1" si="614"/>
        <v>0</v>
      </c>
      <c r="BE330" s="48">
        <f t="shared" ca="1" si="615"/>
        <v>0</v>
      </c>
      <c r="BF330" s="48">
        <f t="shared" ref="BF330:BF368" si="670">ROW()-200</f>
        <v>130</v>
      </c>
      <c r="BG330" s="48">
        <f ca="1">IF(IF(AND(OR(INDEX(PDC,MATCH($AC330,DEN_PDC,0),6)="SP DARE",INDEX(PDC,MATCH($AC330,DEN_PDC,0),6)="SP DARE/AVERE"),SUMIFS(DARE,DEN_G,$AC330)&gt;=SUMIFS(AVERE,DEN_G,$AC330)),SUMIFS(DARE,DEN_G,$AC330)-SUMIFS(AVERE,DEN_G,$AC330),0)&gt;0,MAX($BG$2:BG329)+1,0)</f>
        <v>0</v>
      </c>
      <c r="BH330" s="48">
        <f ca="1">IF(IF(AND(OR(INDEX(PDC,MATCH($AC330,DEN_PDC,0),6)="SP AVERE",INDEX(PDC,MATCH($AC330,DEN_PDC,0),6)="SP DARE/AVERE"),SUMIFS(AVERE,DEN_G,$AC330)&gt;=SUMIFS(DARE,DEN_G,$AC330)),SUMIFS(AVERE,DEN_G,$AC330)-SUMIFS(DARE,DEN_G,$AC330),0)&gt;0,MAX(BH$2:BH329)+1,0)</f>
        <v>0</v>
      </c>
      <c r="BI330" s="48">
        <f ca="1">IF(IF(AND(OR(INDEX(PDC,MATCH($AC330,DEN_PDC,0),6)="SE DARE",INDEX(PDC,MATCH($AC330,DEN_PDC,0),6)="SE DARE/AVERE"),SUMIFS(DARE,DEN_G,$AC330)&gt;=SUMIFS(AVERE,DEN_G,$AC330)),SUMIFS(DARE,DEN_G,$AC330)-SUMIFS(AVERE,DEN_G,$AC330),0)&gt;0,MAX(BI$2:BI329)+1,0)</f>
        <v>0</v>
      </c>
      <c r="BJ330" s="48">
        <f ca="1">IF(IF(AND(OR(INDEX(PDC,MATCH($AC330,DEN_PDC,0),6)="SE AVERE",INDEX(PDC,MATCH($AC330,DEN_PDC,0),6)="SE DARE/AVERE"),SUMIFS(AVERE,DEN_G,$AC330)&gt;=SUMIFS(DARE,DEN_G,$AC330)),SUMIFS(AVERE,DEN_G,$AC330)-SUMIFS(DARE,DEN_G,$AC330),0)&gt;0,MAX(BJ$2:BJ329)+1,0)</f>
        <v>0</v>
      </c>
      <c r="BK330" s="48" t="str">
        <f ca="1">IF(AND(AND($DY$2=0,$DY$1=0),$I$1=2,ROW()&gt;$BG$1+2,ROW()&lt;=$BG$1+4),"………………..",IF(AND(OR($DY$2&gt;0,$DY$1&gt;0),$I$1=2,ROW()&gt;$BG$1+2,ROW()&lt;=$BG$1+4),"………………..",IFERROR(INDEX($AC$3:$AC$398,MATCH(ROWS(BK$3:BK330),BG$3:BG$398,0),1),"")))</f>
        <v/>
      </c>
      <c r="BL330" s="48">
        <f t="shared" ca="1" si="637"/>
        <v>0</v>
      </c>
      <c r="BM330" s="48" t="str">
        <f ca="1">IF(AND(OR($DY$2=0,$DY$1=0),$I$1=2,ROW()&gt;$BH$1+2,ROW()&lt;=$BH$1+4),"………………..",IF(AND(OR($DY$2&gt;0,$DY$1&gt;0),$I$1=2,ROW()&gt;$BH$1+2,ROW()&lt;=$BH$1+4),"………………..",IFERROR(INDEX($AC$3:$AC$400,MATCH(ROWS(BM$3:BM330),BH$3:BH$400,0),1),"")))</f>
        <v/>
      </c>
      <c r="BN330" s="48">
        <f t="shared" ca="1" si="638"/>
        <v>0</v>
      </c>
      <c r="BO330" s="48" t="str">
        <f ca="1">IF(AND(OR($DY$2=0,$DY$1=0),$I$1=2,ROW()&gt;$BI$1+2,ROW()&lt;=$BI$1+4),"………………..",IF(AND(OR($DY$2&gt;0,$DY$1&gt;0),$I$1=2,ROW()&gt;$BI$1+2,ROW()&lt;=$BI$1+4),"………………..",IFERROR(INDEX($AC$3:$AC$400,MATCH(ROWS(BO$3:BO330),BI$3:BI$400,0),1),"")))</f>
        <v/>
      </c>
      <c r="BP330" s="48">
        <f t="shared" ca="1" si="639"/>
        <v>0</v>
      </c>
      <c r="BQ330" s="48" t="str">
        <f ca="1">IF(AND(OR($DY$2=0,$DY$1=0),$I$1=2,ROW()&gt;$BJ$1+2,ROW()&lt;=$BJ$1+4),"………………..",IF(AND(OR($DY$2&gt;0,$DY$1&gt;0),$I$1=2,ROW()&gt;$BJ$1+2,ROW()&lt;=$BJ$1+4),"………………..",IFERROR(INDEX($AC$3:$AC$400,MATCH(ROWS(BQ$3:BQ330),BJ$3:BJ$400,0),1),"")))</f>
        <v/>
      </c>
      <c r="BR330" s="48">
        <f t="shared" ca="1" si="640"/>
        <v>0</v>
      </c>
      <c r="BS330" s="48">
        <f ca="1">IF(IF(AND(OR(INDEX(PDC,MATCH($AC330,DEN_PDC,0),4)="D",INDEX(PDC,MATCH($AC330,DEN_PDC,0),4)="D/A"),SUMIFS(DARE,DEN_G,$AC330)&gt;=SUMIFS(AVERE,DEN_G,$AC330)),SUMIFS(DARE,DEN_G,$AC330),IF(AND(OR(INDEX(PDC,MATCH($AC330,DEN_PDC,0),4)="A",INDEX(PDC,MATCH($AC330,DEN_PDC,0),4)="D/A"),SUMIFS(AVERE,DEN_G,$AC330)&gt;=SUMIFS(DARE,DEN_G,$AC330)),SUMIFS(AVERE,DEN_G,$AC330),))&gt;0,MAX($BS$2:BS329)+1,0)</f>
        <v>0</v>
      </c>
      <c r="BT330" s="48" t="str">
        <f ca="1">IF($CO$1=0,"",IF(AND($I$1=2,ROW()&gt;$BR$1,ROW()&lt;=$BS$1)," …………….",IF(AND($E$1=1,$BX$1=1,$I$1=2,ROW()=$BQ$1),"TOTALI",IFERROR(INDEX(PDC,MATCH(ROWS(BT$3:BT330),BS$3:BS727,0),2),""))))</f>
        <v/>
      </c>
      <c r="BU330" s="48">
        <f t="shared" ca="1" si="641"/>
        <v>0</v>
      </c>
      <c r="BV330" s="48">
        <f t="shared" ca="1" si="642"/>
        <v>0</v>
      </c>
      <c r="BW330" s="48">
        <f t="shared" ca="1" si="643"/>
        <v>0</v>
      </c>
      <c r="BX330" s="48">
        <f t="shared" ca="1" si="644"/>
        <v>0</v>
      </c>
      <c r="BY330" s="48">
        <f ca="1">IF(OR(BW330&gt;0,BX330&gt;0),MAX($BY$2:BY329)+1,0)</f>
        <v>0</v>
      </c>
      <c r="BZ330" s="48" t="str">
        <f ca="1">IFERROR(INDEX($BT$3:$BY$400,MATCH(ROWS(BZ$3:BZ330),$BY$3:$BY$400,0),1),"")</f>
        <v/>
      </c>
      <c r="CA330" s="48" t="str">
        <f ca="1">IFERROR(INDEX($BT$3:$BY$400,MATCH(ROWS(CA$3:CA330),$BY$3:$BY$400,0),4),"")</f>
        <v/>
      </c>
      <c r="CB330" s="48" t="str">
        <f ca="1">IFERROR(INDEX($BT$3:$BY$400,MATCH(ROWS(CB$3:CB330),$BY$3:$BY$400,0),5),"")</f>
        <v/>
      </c>
      <c r="CC330" s="48" t="str">
        <f t="shared" ca="1" si="645"/>
        <v/>
      </c>
      <c r="CM330" s="242" t="str">
        <f t="shared" ca="1" si="655"/>
        <v/>
      </c>
      <c r="CN330" s="243">
        <f t="shared" ca="1" si="656"/>
        <v>0</v>
      </c>
      <c r="CO330" s="48" t="str">
        <f t="shared" ca="1" si="657"/>
        <v/>
      </c>
      <c r="CU330" s="48">
        <f ca="1">IF(SUMIFS(AVERE,DEN_G,AC330,AVERE,"&gt;"&amp;0)+SUMIFS(DARE,DEN_G,AC330,DARE,"&gt;"&amp;0)&gt;0,MAX($CU$2:CU329)+1,0)</f>
        <v>0</v>
      </c>
      <c r="CV330" s="48" t="str">
        <f ca="1">IF(IFERROR(INDEX(PDC,MATCH(ROWS($CV$3:CV330),$CU$3:$CU$400,0),2),"")="CONTO DI RISULTATO ECONOMICO","",IFERROR(INDEX(PDC,MATCH(ROWS($CV$3:CV330),$CU$3:$CU$400,0),2),""))</f>
        <v/>
      </c>
      <c r="CW330" s="48">
        <f ca="1">IFERROR(IF(CV330&lt;&gt;"",MAX($CW$2:CW329)+1,0),0)</f>
        <v>0</v>
      </c>
      <c r="CX330" s="48">
        <f t="shared" ca="1" si="667"/>
        <v>26</v>
      </c>
      <c r="CY330" s="48" t="str">
        <f t="shared" ca="1" si="665"/>
        <v>MASTRO</v>
      </c>
      <c r="CZ330" s="48" t="e">
        <f t="shared" ref="CZ330:CZ339" ca="1" si="671">SUM(MATCH($CY330,INDIRECT(ADDRESS(SUM(CZ329)+3,54)&amp;":"&amp;ADDRESS(400,54)),0),CZ329)</f>
        <v>#N/A</v>
      </c>
      <c r="DA330" s="48" t="str">
        <f ca="1">IFERROR(INDEX(LIBRO_GIORNALE,CZ330,1),"")</f>
        <v/>
      </c>
      <c r="DB330" s="48" t="str">
        <f t="shared" ca="1" si="592"/>
        <v/>
      </c>
      <c r="DC330" s="48" t="str">
        <f t="shared" ref="DC330:DC339" ca="1" si="672">IF(IFERROR(INDEX(LIBRO_GIORNALE,CZ330,4),"")=0,"manca la descrizione dell'operazione",IFERROR(INDEX(LIBRO_GIORNALE,CZ330,4),""))</f>
        <v/>
      </c>
      <c r="DD330" s="48" t="str">
        <f t="shared" ref="DD330:DD339" ca="1" si="673">IFERROR(IF(INDEX(LIBRO_GIORNALE,CZ330,5)&gt;0,INDEX(LIBRO_GIORNALE,CZ330,5),""),"")</f>
        <v/>
      </c>
      <c r="DE330" s="48" t="str">
        <f t="shared" ref="DE330:DE339" ca="1" si="674">IFERROR(IF(INDEX(LIBRO_GIORNALE,CZ330,6)&gt;0,INDEX(LIBRO_GIORNALE,CZ330,6),""),"")</f>
        <v/>
      </c>
      <c r="DF330" s="48">
        <f ca="1">IF(AND(CX330=$DF$1,CX330&lt;&gt;""),0,IF(AND(DB330&lt;&gt;"",OR(DB329&lt;&gt;"",DB331&lt;&gt;"")),MAX($DF$2:DF329)+1,0))</f>
        <v>0</v>
      </c>
      <c r="DH330" s="244" t="s">
        <v>901</v>
      </c>
      <c r="DI330" s="48" t="s">
        <v>446</v>
      </c>
      <c r="DJ330" s="48" t="s">
        <v>311</v>
      </c>
      <c r="DK330" s="48" t="s">
        <v>275</v>
      </c>
      <c r="DL330" s="48" t="s">
        <v>7</v>
      </c>
      <c r="DM330" s="48" t="s">
        <v>301</v>
      </c>
      <c r="DN330" s="48">
        <f ca="1">IF(DI330&lt;&gt;"",MAX($DN$2:DN329)+1,0)</f>
        <v>261</v>
      </c>
      <c r="DO330" s="48" t="str">
        <f t="shared" ca="1" si="666"/>
        <v>eb10a</v>
      </c>
      <c r="DQ330" s="227" t="s">
        <v>447</v>
      </c>
      <c r="DR330" s="48" t="s">
        <v>759</v>
      </c>
      <c r="DS330" s="48" t="s">
        <v>311</v>
      </c>
      <c r="DT330" s="48" t="s">
        <v>275</v>
      </c>
      <c r="DU330" s="48" t="s">
        <v>7</v>
      </c>
      <c r="DV330" s="48" t="s">
        <v>301</v>
      </c>
      <c r="DW330" s="48">
        <f ca="1">IF(DR330&lt;&gt;"",MAX($DW$2:DW329)+1,0)</f>
        <v>199</v>
      </c>
      <c r="DX330" s="48" t="str">
        <f ca="1">IF($BF$9=1,"eb10c","eb10a")</f>
        <v>eb10a</v>
      </c>
      <c r="DY330" s="48" t="str">
        <f t="shared" ca="1" si="647"/>
        <v/>
      </c>
      <c r="EL330" s="48">
        <f t="shared" ca="1" si="648"/>
        <v>0</v>
      </c>
      <c r="EM330" s="48">
        <f ca="1">IF(EL330&gt;=0,0,MAX($EM$2:EM329)+1)</f>
        <v>0</v>
      </c>
      <c r="EN330" s="48" t="str">
        <f t="shared" ca="1" si="658"/>
        <v/>
      </c>
      <c r="EO330" s="48" t="str">
        <f ca="1">IFERROR(INDEX($EM$3:$EN$400,MATCH(ROWS($EO$3:EO330),$EM$3:$EM$400,0),2),"")</f>
        <v/>
      </c>
      <c r="EP330" s="48">
        <f>ROW()</f>
        <v>330</v>
      </c>
      <c r="EQ330" s="48">
        <f t="shared" ca="1" si="649"/>
        <v>0</v>
      </c>
      <c r="ER330" s="48">
        <f ca="1">IF(ISNA(EQ330)=TRUE,MAX($ER$2:ER329)+1,0)</f>
        <v>0</v>
      </c>
      <c r="ES330" s="48" t="str">
        <f t="shared" ca="1" si="659"/>
        <v/>
      </c>
      <c r="ET330" s="48" t="str">
        <f ca="1">IFERROR(INDEX($ER$3:$ES$400,MATCH(ROWS($ET$3:ET330),$ER$3:$ER$400,0),2),"")</f>
        <v/>
      </c>
      <c r="EV330" s="48">
        <f ca="1">IFERROR(INDEX(LIBRO_GIORNALE!$O$11:$P$408,MATCH(ROWS($EV$2:EV329),LIBRO_GIORNALE!$P$11:$P$408,0),1),0)</f>
        <v>0</v>
      </c>
      <c r="EW330" s="48" t="str">
        <f t="shared" ca="1" si="629"/>
        <v>0</v>
      </c>
      <c r="EX330" s="48">
        <f t="shared" ca="1" si="660"/>
        <v>0</v>
      </c>
      <c r="EY330" s="48">
        <f ca="1">IF(EX330&gt;0,MAX($EY$2:EY329)+1,0)</f>
        <v>0</v>
      </c>
      <c r="EZ330" s="48">
        <f ca="1">IFERROR(INDEX($EX$3:$EX$400,MATCH(ROWS($EZ$3:EZ330),$EY$3:$EY$400,0),1),0)</f>
        <v>0</v>
      </c>
      <c r="FA330" s="48">
        <f ca="1">IF(EZ330&gt;0,0,MAX($FA$2:FA329)+1)</f>
        <v>328</v>
      </c>
      <c r="FB330" s="48">
        <f t="shared" ca="1" si="630"/>
        <v>0</v>
      </c>
      <c r="FC330" s="48">
        <f t="shared" ca="1" si="631"/>
        <v>328</v>
      </c>
      <c r="FD330" s="48">
        <f t="shared" ca="1" si="661"/>
        <v>328</v>
      </c>
      <c r="FE330" s="48">
        <f ca="1">IF(FD330=0,0,MAX($FE$2:FE329)+1)</f>
        <v>328</v>
      </c>
      <c r="FF330" s="48">
        <f ca="1">IFERROR(INDEX($FD$3:$FE$400,MATCH(ROWS($FF$3:FF330),$FE$3:$FE$400,0),1),"")</f>
        <v>328</v>
      </c>
      <c r="FG330" s="48">
        <f t="shared" si="610"/>
        <v>0</v>
      </c>
      <c r="FH330" s="48">
        <f t="shared" ca="1" si="662"/>
        <v>0</v>
      </c>
      <c r="FI330" s="48">
        <f ca="1">IF(FH330&lt;&gt;0,MAX($FI$2:FI329)+1,0)</f>
        <v>0</v>
      </c>
      <c r="FJ330" s="48" t="str">
        <f ca="1">IFERROR(INDEX($FH$3:$FI$400,MATCH(ROWS($FJ$3:FJ330),$FI$3:$FI$400,0),1),"")</f>
        <v/>
      </c>
      <c r="FK330" s="48">
        <f ca="1">IF(ABS(SUMIFS(DARE,DEN_G,"="&amp;FJ330,DATA,"&lt;="&amp;FINE_AC,DATA,"&gt;="&amp;INIZIO_A_PC)-SUMIFS(AVERE,DEN_G,"="&amp;FJ330,DATA,"&lt;="&amp;FINE_AC,DATA,"&gt;="&amp;INIZIO_A_PC))&gt;0,MAX($FK$2:FK329)+1,0)</f>
        <v>0</v>
      </c>
      <c r="FL330" s="48" t="str">
        <f ca="1">IF(AND(ROW()-2&lt;&gt;1,ROW()-2&lt;=$FK$1),CONCATENATE(" - ",IFERROR(INDEX($FJ$3:$FK$400,MATCH(ROWS($FL$3:FL330),$FK$3:$FK$400,0),1),"")),IFERROR(INDEX($FJ$3:$FK$400,MATCH(ROWS($FL$3:FL330),$FK$3:$FK$400,0),1),""))</f>
        <v/>
      </c>
      <c r="FM330" s="48">
        <f ca="1">IF(OR(B330="IVA ns/credito",B330="IVA NS/DEBITO",B330="IVA C/ACCONTO",B330="IMPOSTE C/ACCONTO",B330="CREDITI PER RITENUTE SUBITE",B330="CREDITI D'IMPOSTA"),MAX($FM$2:FM329)+1,0)</f>
        <v>0</v>
      </c>
      <c r="FN330" s="48" t="str">
        <f t="shared" ca="1" si="663"/>
        <v/>
      </c>
      <c r="FO330" s="48" t="str">
        <f ca="1">IFERROR(INDEX($FM$3:$FN$400,MATCH(ROWS($FO$3:FO330),$FM$3:$FM$400,0),2),"")</f>
        <v/>
      </c>
      <c r="FP330" s="48">
        <f ca="1">IF(ABS(SUMIFS(DARE,DEN_G,"="&amp;FO330,DATA,"&lt;="&amp;FINE_AC,DATA,"&gt;="&amp;INIZIO_A_PC)-SUMIFS(AVERE,DEN_G,"="&amp;FO330,DATA,"&lt;="&amp;FINE_AC,DATA,"&gt;="&amp;INIZIO_A_PC))&gt;0,MAX($FP$2:FP329)+1,0)</f>
        <v>0</v>
      </c>
      <c r="FQ330" s="48" t="str">
        <f ca="1">IF(AND(ROW()-2&lt;&gt;1,ROW()-2&lt;=$FP$1),CONCATENATE(" - ",IFERROR(INDEX($FO$3:$FP$400,MATCH(ROWS($FQ$3:FQ330),$FP$3:$FP$400,0),1),"")),IFERROR(INDEX($FO$3:$FP$400,MATCH(ROWS($FQ$3:FQ330),$FP$3:$FP$400,0),1),""))</f>
        <v/>
      </c>
    </row>
    <row r="331" spans="1:173" x14ac:dyDescent="0.3">
      <c r="A331" s="48" t="str">
        <f ca="1">IFERROR(IF($A$1=2,INDEX($DH$3:$DN$401,MATCH(ROWS(A$3:A331),$DN$3:$DN$401,0),COLUMN()),IF($A$1=1,INDEX($DQ$3:$DW$401,MATCH(ROWS(A$3:A331),$DW$3:$DW$401,0),COLUMN()),"")),"")</f>
        <v/>
      </c>
      <c r="B331" s="48" t="str">
        <f ca="1">IFERROR(IF($A$1=2,INDEX($DH$3:$DN$401,MATCH(ROWS(B$3:B331),$DN$3:$DN$401,0),COLUMN()),IF($A$1=1,INDEX($DQ$3:$DW$400,MATCH(ROWS(B$3:B331),$DW$3:$DW$401,0),COLUMN()),"")),"")</f>
        <v/>
      </c>
      <c r="C331" s="48" t="str">
        <f ca="1">IFERROR(IF($A$1=2,INDEX($DH$3:$DN$401,MATCH(ROWS(C$3:C331),$DN$3:$DN$401,0),COLUMN()),IF($A$1=1,INDEX($DQ$3:$DW$401,MATCH(ROWS(C$3:C331),$DW$3:$DW$401,0),COLUMN()),"")),"")</f>
        <v/>
      </c>
      <c r="D331" s="48" t="str">
        <f ca="1">IFERROR(IF($A$1=2,INDEX($DH$3:$DN$401,MATCH(ROWS(D$3:D331),$DN$3:$DN$401,0),COLUMN()),IF($A$1=1,INDEX($DQ$3:$DW$401,MATCH(ROWS(D$3:D331),$DW$3:$DW$401,0),COLUMN()),"")),"")</f>
        <v/>
      </c>
      <c r="E331" s="48" t="str">
        <f ca="1">IFERROR(IF($A$1=2,INDEX($DH$3:$DN$401,MATCH(ROWS(E$3:E331),$DN$3:$DN$401,0),COLUMN()),IF($A$1=1,INDEX($DQ$3:$DW$401,MATCH(ROWS(E$3:E331),$DW$3:$DW$401,0),COLUMN()),"")),"")</f>
        <v/>
      </c>
      <c r="F331" s="48" t="str">
        <f ca="1">IFERROR(IF($A$1=2,INDEX($DH$3:$DN$401,MATCH(ROWS(F$3:F331),$DN$3:$DN$401,0),COLUMN()),IF($A$1=1,INDEX($DQ$3:$DX$401,MATCH(ROWS(F$3:F331),$DW$3:$DW$401,0),COLUMN()),"")),"")</f>
        <v/>
      </c>
      <c r="G331" s="48" t="str">
        <f t="shared" ca="1" si="650"/>
        <v/>
      </c>
      <c r="H331" s="48" t="str">
        <f ca="1">IFERROR(IF($A$1=2,INDEX($DH$3:$DO$400,MATCH(ROWS(H$3:H331),$DN$3:$DN$400,0),COLUMN()),IF($A$1=1,INDEX($DQ$3:$DX$400,MATCH(ROWS(H$3:H331),$DW$3:$DW$400,0),COLUMN()),"")),"")</f>
        <v/>
      </c>
      <c r="M331" s="48">
        <f ca="1">IFERROR(IF(IF(MID($A331,3,3)=".00",MID(A331,1,2),"")&lt;&gt;"",MAX($M$2:M330)+1,0),"")</f>
        <v>0</v>
      </c>
      <c r="N331" s="48" t="str">
        <f t="shared" ca="1" si="651"/>
        <v/>
      </c>
      <c r="O331" s="48" t="str">
        <f ca="1">IF(IFERROR(INDEX($N$3:$O$300,MATCH(ROWS($O$3:O331),$M$3:$M$300,0),1),"")&lt;&gt;"",CONCATENATE(INDEX($N$3:$O$300,MATCH(ROWS($O$3:O331),$M$3:$M$300,0),1),".00"),"")</f>
        <v/>
      </c>
      <c r="P331" s="48" t="str">
        <f t="shared" ca="1" si="652"/>
        <v/>
      </c>
      <c r="Q331" s="48">
        <f ca="1">IF(M331&gt;=1,0,MAX($Q$2:Q330)+1)</f>
        <v>292</v>
      </c>
      <c r="U331" s="48" t="str">
        <f ca="1">IFERROR(INDEX(PDC,MATCH(ROWS(U$3:U331),$V$3:$V$400,0),2),"")</f>
        <v/>
      </c>
      <c r="V331" s="48">
        <f ca="1">IF(AND($T$1="VISUALIZZA TUTTI I CONTI",AA331&lt;&gt;""),MAX($V$2:V330)+1,IF(AND($U$2=2,AI331=$T$1),MAX($V$2:V330)+1,IF(AND($U$2=1,$T$1=AF331),MAX($V$2:V330)+1,0)))</f>
        <v>0</v>
      </c>
      <c r="AA331" s="48" t="str">
        <f t="shared" ca="1" si="653"/>
        <v/>
      </c>
      <c r="AB331" s="48" t="str">
        <f ca="1">IFERROR(INDEX($A$3:$G$400,MATCH(ROWS(AB$3:AB331),$Q$3:$Q$400,0),1),"")</f>
        <v/>
      </c>
      <c r="AC331" s="48" t="str">
        <f ca="1">IFERROR(INDEX($A$3:$G$400,MATCH(ROWS($AC$3:AC331),$Q$3:$Q$400,0),2),"")</f>
        <v/>
      </c>
      <c r="AD331" s="48">
        <f ca="1">IFERROR(INDEX($A$3:$G$400,MATCH(ROWS(AD$3:AD331),$Q$3:$Q$400,0),3),"")</f>
        <v>0</v>
      </c>
      <c r="AE331" s="48" t="str">
        <f ca="1">IFERROR(INDEX($A$3:$G$400,MATCH(ROWS(AE$3:AE331),$Q$3:$Q$400,0),4),"")</f>
        <v/>
      </c>
      <c r="AF331" s="48" t="str">
        <f ca="1">IFERROR(INDEX($A$3:$G$400,MATCH(ROWS(AF$3:AF331),$Q$3:$Q$400,0),5),"")</f>
        <v/>
      </c>
      <c r="AG331" s="48" t="str">
        <f ca="1">IFERROR(INDEX($A$3:$G$400,MATCH(ROWS(AG$3:AG331),$Q$3:$Q$400,0),6),"")</f>
        <v/>
      </c>
      <c r="AH331" s="48" t="str">
        <f ca="1">IFERROR(INDEX($A$3:$G$400,MATCH(ROWS(AH$3:AH331),$Q$3:$Q$400,0),7),"")</f>
        <v/>
      </c>
      <c r="AI331" s="48" t="str">
        <f t="shared" ca="1" si="654"/>
        <v/>
      </c>
      <c r="AJ331" s="48" t="str">
        <f ca="1">IFERROR(INDEX($A$3:$H$400,MATCH(ROWS(AJ$3:AJ331),$Q$3:$Q$400,0),8),"")</f>
        <v/>
      </c>
      <c r="AZ331" s="48" t="str">
        <f t="shared" ca="1" si="669"/>
        <v/>
      </c>
      <c r="BA331" s="48">
        <f t="shared" ca="1" si="611"/>
        <v>0</v>
      </c>
      <c r="BB331" s="48">
        <f t="shared" ca="1" si="612"/>
        <v>0</v>
      </c>
      <c r="BC331" s="48">
        <f t="shared" ca="1" si="613"/>
        <v>0</v>
      </c>
      <c r="BD331" s="48">
        <f t="shared" ca="1" si="614"/>
        <v>0</v>
      </c>
      <c r="BE331" s="48">
        <f t="shared" ca="1" si="615"/>
        <v>0</v>
      </c>
      <c r="BF331" s="48">
        <f t="shared" si="670"/>
        <v>131</v>
      </c>
      <c r="BG331" s="48">
        <f ca="1">IF(IF(AND(OR(INDEX(PDC,MATCH($AC331,DEN_PDC,0),6)="SP DARE",INDEX(PDC,MATCH($AC331,DEN_PDC,0),6)="SP DARE/AVERE"),SUMIFS(DARE,DEN_G,$AC331)&gt;=SUMIFS(AVERE,DEN_G,$AC331)),SUMIFS(DARE,DEN_G,$AC331)-SUMIFS(AVERE,DEN_G,$AC331),0)&gt;0,MAX($BG$2:BG330)+1,0)</f>
        <v>0</v>
      </c>
      <c r="BH331" s="48">
        <f ca="1">IF(IF(AND(OR(INDEX(PDC,MATCH($AC331,DEN_PDC,0),6)="SP AVERE",INDEX(PDC,MATCH($AC331,DEN_PDC,0),6)="SP DARE/AVERE"),SUMIFS(AVERE,DEN_G,$AC331)&gt;=SUMIFS(DARE,DEN_G,$AC331)),SUMIFS(AVERE,DEN_G,$AC331)-SUMIFS(DARE,DEN_G,$AC331),0)&gt;0,MAX(BH$2:BH330)+1,0)</f>
        <v>0</v>
      </c>
      <c r="BI331" s="48">
        <f ca="1">IF(IF(AND(OR(INDEX(PDC,MATCH($AC331,DEN_PDC,0),6)="SE DARE",INDEX(PDC,MATCH($AC331,DEN_PDC,0),6)="SE DARE/AVERE"),SUMIFS(DARE,DEN_G,$AC331)&gt;=SUMIFS(AVERE,DEN_G,$AC331)),SUMIFS(DARE,DEN_G,$AC331)-SUMIFS(AVERE,DEN_G,$AC331),0)&gt;0,MAX(BI$2:BI330)+1,0)</f>
        <v>0</v>
      </c>
      <c r="BJ331" s="48">
        <f ca="1">IF(IF(AND(OR(INDEX(PDC,MATCH($AC331,DEN_PDC,0),6)="SE AVERE",INDEX(PDC,MATCH($AC331,DEN_PDC,0),6)="SE DARE/AVERE"),SUMIFS(AVERE,DEN_G,$AC331)&gt;=SUMIFS(DARE,DEN_G,$AC331)),SUMIFS(AVERE,DEN_G,$AC331)-SUMIFS(DARE,DEN_G,$AC331),0)&gt;0,MAX(BJ$2:BJ330)+1,0)</f>
        <v>0</v>
      </c>
      <c r="BK331" s="48" t="str">
        <f ca="1">IF(AND(AND($DY$2=0,$DY$1=0),$I$1=2,ROW()&gt;$BG$1+2,ROW()&lt;=$BG$1+4),"………………..",IF(AND(OR($DY$2&gt;0,$DY$1&gt;0),$I$1=2,ROW()&gt;$BG$1+2,ROW()&lt;=$BG$1+4),"………………..",IFERROR(INDEX($AC$3:$AC$398,MATCH(ROWS(BK$3:BK331),BG$3:BG$398,0),1),"")))</f>
        <v/>
      </c>
      <c r="BL331" s="48">
        <f t="shared" ca="1" si="637"/>
        <v>0</v>
      </c>
      <c r="BM331" s="48" t="str">
        <f ca="1">IF(AND(OR($DY$2=0,$DY$1=0),$I$1=2,ROW()&gt;$BH$1+2,ROW()&lt;=$BH$1+4),"………………..",IF(AND(OR($DY$2&gt;0,$DY$1&gt;0),$I$1=2,ROW()&gt;$BH$1+2,ROW()&lt;=$BH$1+4),"………………..",IFERROR(INDEX($AC$3:$AC$400,MATCH(ROWS(BM$3:BM331),BH$3:BH$400,0),1),"")))</f>
        <v/>
      </c>
      <c r="BN331" s="48">
        <f t="shared" ca="1" si="638"/>
        <v>0</v>
      </c>
      <c r="BO331" s="48" t="str">
        <f ca="1">IF(AND(OR($DY$2=0,$DY$1=0),$I$1=2,ROW()&gt;$BI$1+2,ROW()&lt;=$BI$1+4),"………………..",IF(AND(OR($DY$2&gt;0,$DY$1&gt;0),$I$1=2,ROW()&gt;$BI$1+2,ROW()&lt;=$BI$1+4),"………………..",IFERROR(INDEX($AC$3:$AC$400,MATCH(ROWS(BO$3:BO331),BI$3:BI$400,0),1),"")))</f>
        <v/>
      </c>
      <c r="BP331" s="48">
        <f t="shared" ca="1" si="639"/>
        <v>0</v>
      </c>
      <c r="BQ331" s="48" t="str">
        <f ca="1">IF(AND(OR($DY$2=0,$DY$1=0),$I$1=2,ROW()&gt;$BJ$1+2,ROW()&lt;=$BJ$1+4),"………………..",IF(AND(OR($DY$2&gt;0,$DY$1&gt;0),$I$1=2,ROW()&gt;$BJ$1+2,ROW()&lt;=$BJ$1+4),"………………..",IFERROR(INDEX($AC$3:$AC$400,MATCH(ROWS(BQ$3:BQ331),BJ$3:BJ$400,0),1),"")))</f>
        <v/>
      </c>
      <c r="BR331" s="48">
        <f t="shared" ca="1" si="640"/>
        <v>0</v>
      </c>
      <c r="BS331" s="48">
        <f ca="1">IF(IF(AND(OR(INDEX(PDC,MATCH($AC331,DEN_PDC,0),4)="D",INDEX(PDC,MATCH($AC331,DEN_PDC,0),4)="D/A"),SUMIFS(DARE,DEN_G,$AC331)&gt;=SUMIFS(AVERE,DEN_G,$AC331)),SUMIFS(DARE,DEN_G,$AC331),IF(AND(OR(INDEX(PDC,MATCH($AC331,DEN_PDC,0),4)="A",INDEX(PDC,MATCH($AC331,DEN_PDC,0),4)="D/A"),SUMIFS(AVERE,DEN_G,$AC331)&gt;=SUMIFS(DARE,DEN_G,$AC331)),SUMIFS(AVERE,DEN_G,$AC331),))&gt;0,MAX($BS$2:BS330)+1,0)</f>
        <v>0</v>
      </c>
      <c r="BT331" s="48" t="str">
        <f ca="1">IF($CO$1=0,"",IF(AND($I$1=2,ROW()&gt;$BR$1,ROW()&lt;=$BS$1)," …………….",IF(AND($E$1=1,$BX$1=1,$I$1=2,ROW()=$BQ$1),"TOTALI",IFERROR(INDEX(PDC,MATCH(ROWS(BT$3:BT331),BS$3:BS728,0),2),""))))</f>
        <v/>
      </c>
      <c r="BU331" s="48">
        <f t="shared" ca="1" si="641"/>
        <v>0</v>
      </c>
      <c r="BV331" s="48">
        <f t="shared" ca="1" si="642"/>
        <v>0</v>
      </c>
      <c r="BW331" s="48">
        <f t="shared" ca="1" si="643"/>
        <v>0</v>
      </c>
      <c r="BX331" s="48">
        <f t="shared" ca="1" si="644"/>
        <v>0</v>
      </c>
      <c r="BY331" s="48">
        <f ca="1">IF(OR(BW331&gt;0,BX331&gt;0),MAX($BY$2:BY330)+1,0)</f>
        <v>0</v>
      </c>
      <c r="BZ331" s="48" t="str">
        <f ca="1">IFERROR(INDEX($BT$3:$BY$400,MATCH(ROWS(BZ$3:BZ331),$BY$3:$BY$400,0),1),"")</f>
        <v/>
      </c>
      <c r="CA331" s="48" t="str">
        <f ca="1">IFERROR(INDEX($BT$3:$BY$400,MATCH(ROWS(CA$3:CA331),$BY$3:$BY$400,0),4),"")</f>
        <v/>
      </c>
      <c r="CB331" s="48" t="str">
        <f ca="1">IFERROR(INDEX($BT$3:$BY$400,MATCH(ROWS(CB$3:CB331),$BY$3:$BY$400,0),5),"")</f>
        <v/>
      </c>
      <c r="CC331" s="48" t="str">
        <f t="shared" ca="1" si="645"/>
        <v/>
      </c>
      <c r="CM331" s="242" t="str">
        <f t="shared" ca="1" si="655"/>
        <v/>
      </c>
      <c r="CN331" s="243">
        <f t="shared" ca="1" si="656"/>
        <v>0</v>
      </c>
      <c r="CO331" s="48" t="str">
        <f t="shared" ca="1" si="657"/>
        <v/>
      </c>
      <c r="CU331" s="48">
        <f ca="1">IF(SUMIFS(AVERE,DEN_G,AC331,AVERE,"&gt;"&amp;0)+SUMIFS(DARE,DEN_G,AC331,DARE,"&gt;"&amp;0)&gt;0,MAX($CU$2:CU330)+1,0)</f>
        <v>0</v>
      </c>
      <c r="CV331" s="48" t="str">
        <f ca="1">IF(IFERROR(INDEX(PDC,MATCH(ROWS($CV$3:CV331),$CU$3:$CU$400,0),2),"")="CONTO DI RISULTATO ECONOMICO","",IFERROR(INDEX(PDC,MATCH(ROWS($CV$3:CV331),$CU$3:$CU$400,0),2),""))</f>
        <v/>
      </c>
      <c r="CW331" s="48">
        <f ca="1">IFERROR(IF(CV331&lt;&gt;"",MAX($CW$2:CW330)+1,0),0)</f>
        <v>0</v>
      </c>
      <c r="CX331" s="48">
        <f t="shared" ca="1" si="667"/>
        <v>26</v>
      </c>
      <c r="CY331" s="48" t="str">
        <f t="shared" ca="1" si="665"/>
        <v>MASTRO</v>
      </c>
      <c r="CZ331" s="48" t="e">
        <f t="shared" ca="1" si="671"/>
        <v>#N/A</v>
      </c>
      <c r="DA331" s="48" t="str">
        <f t="shared" ref="DA331:DA339" ca="1" si="675">IFERROR(INDEX(LIBRO_GIORNALE,CZ331,1),"")</f>
        <v/>
      </c>
      <c r="DB331" s="48" t="str">
        <f t="shared" ca="1" si="592"/>
        <v/>
      </c>
      <c r="DC331" s="48" t="str">
        <f t="shared" ca="1" si="672"/>
        <v/>
      </c>
      <c r="DD331" s="48" t="str">
        <f t="shared" ca="1" si="673"/>
        <v/>
      </c>
      <c r="DE331" s="48" t="str">
        <f t="shared" ca="1" si="674"/>
        <v/>
      </c>
      <c r="DF331" s="48">
        <f ca="1">IF(AND(CX331=$DF$1,CX331&lt;&gt;""),0,IF(AND(DB331&lt;&gt;"",OR(DB330&lt;&gt;"",DB332&lt;&gt;"")),MAX($DF$2:DF330)+1,0))</f>
        <v>0</v>
      </c>
      <c r="DH331" s="244" t="s">
        <v>902</v>
      </c>
      <c r="DI331" s="48" t="s">
        <v>234</v>
      </c>
      <c r="DJ331" s="48" t="s">
        <v>311</v>
      </c>
      <c r="DK331" s="48" t="s">
        <v>275</v>
      </c>
      <c r="DL331" s="48" t="s">
        <v>7</v>
      </c>
      <c r="DM331" s="48" t="s">
        <v>301</v>
      </c>
      <c r="DN331" s="48">
        <f ca="1">IF(DI331&lt;&gt;"",MAX($DN$2:DN330)+1,0)</f>
        <v>262</v>
      </c>
      <c r="DO331" s="48" t="str">
        <f t="shared" ca="1" si="666"/>
        <v>eb10a</v>
      </c>
      <c r="DQ331" s="227" t="s">
        <v>448</v>
      </c>
      <c r="DR331" s="48" t="s">
        <v>449</v>
      </c>
      <c r="DS331" s="48" t="s">
        <v>311</v>
      </c>
      <c r="DT331" s="48" t="s">
        <v>275</v>
      </c>
      <c r="DU331" s="48" t="s">
        <v>7</v>
      </c>
      <c r="DV331" s="48" t="s">
        <v>301</v>
      </c>
      <c r="DW331" s="48">
        <f ca="1">IF(DR331&lt;&gt;"",MAX($DW$2:DW330)+1,0)</f>
        <v>200</v>
      </c>
      <c r="DX331" s="48" t="str">
        <f ca="1">IF($BF$9=1,"eb10c","eb10a")</f>
        <v>eb10a</v>
      </c>
      <c r="DY331" s="48" t="str">
        <f t="shared" ca="1" si="647"/>
        <v/>
      </c>
      <c r="EL331" s="48">
        <f t="shared" ca="1" si="648"/>
        <v>0</v>
      </c>
      <c r="EM331" s="48">
        <f ca="1">IF(EL331&gt;=0,0,MAX($EM$2:EM330)+1)</f>
        <v>0</v>
      </c>
      <c r="EN331" s="48" t="str">
        <f t="shared" ca="1" si="658"/>
        <v/>
      </c>
      <c r="EO331" s="48" t="str">
        <f ca="1">IFERROR(INDEX($EM$3:$EN$400,MATCH(ROWS($EO$3:EO331),$EM$3:$EM$400,0),2),"")</f>
        <v/>
      </c>
      <c r="EP331" s="48">
        <f>ROW()</f>
        <v>331</v>
      </c>
      <c r="EQ331" s="48">
        <f t="shared" ca="1" si="649"/>
        <v>0</v>
      </c>
      <c r="ER331" s="48">
        <f ca="1">IF(ISNA(EQ331)=TRUE,MAX($ER$2:ER330)+1,0)</f>
        <v>0</v>
      </c>
      <c r="ES331" s="48" t="str">
        <f t="shared" ca="1" si="659"/>
        <v/>
      </c>
      <c r="ET331" s="48" t="str">
        <f ca="1">IFERROR(INDEX($ER$3:$ES$400,MATCH(ROWS($ET$3:ET331),$ER$3:$ER$400,0),2),"")</f>
        <v/>
      </c>
      <c r="EV331" s="48">
        <f ca="1">IFERROR(INDEX(LIBRO_GIORNALE!$O$11:$P$408,MATCH(ROWS($EV$2:EV330),LIBRO_GIORNALE!$P$11:$P$408,0),1),0)</f>
        <v>0</v>
      </c>
      <c r="EW331" s="48" t="str">
        <f t="shared" ca="1" si="629"/>
        <v>0</v>
      </c>
      <c r="EX331" s="48">
        <f t="shared" ca="1" si="660"/>
        <v>0</v>
      </c>
      <c r="EY331" s="48">
        <f ca="1">IF(EX331&gt;0,MAX($EY$2:EY330)+1,0)</f>
        <v>0</v>
      </c>
      <c r="EZ331" s="48">
        <f ca="1">IFERROR(INDEX($EX$3:$EX$400,MATCH(ROWS($EZ$3:EZ331),$EY$3:$EY$400,0),1),0)</f>
        <v>0</v>
      </c>
      <c r="FA331" s="48">
        <f ca="1">IF(EZ331&gt;0,0,MAX($FA$2:FA330)+1)</f>
        <v>329</v>
      </c>
      <c r="FB331" s="48">
        <f t="shared" ca="1" si="630"/>
        <v>0</v>
      </c>
      <c r="FC331" s="48">
        <f t="shared" ca="1" si="631"/>
        <v>329</v>
      </c>
      <c r="FD331" s="48">
        <f t="shared" ca="1" si="661"/>
        <v>329</v>
      </c>
      <c r="FE331" s="48">
        <f ca="1">IF(FD331=0,0,MAX($FE$2:FE330)+1)</f>
        <v>329</v>
      </c>
      <c r="FF331" s="48">
        <f ca="1">IFERROR(INDEX($FD$3:$FE$400,MATCH(ROWS($FF$3:FF331),$FE$3:$FE$400,0),1),"")</f>
        <v>329</v>
      </c>
      <c r="FG331" s="48">
        <f t="shared" si="610"/>
        <v>0</v>
      </c>
      <c r="FH331" s="48">
        <f t="shared" ca="1" si="662"/>
        <v>0</v>
      </c>
      <c r="FI331" s="48">
        <f ca="1">IF(FH331&lt;&gt;0,MAX($FI$2:FI330)+1,0)</f>
        <v>0</v>
      </c>
      <c r="FJ331" s="48" t="str">
        <f ca="1">IFERROR(INDEX($FH$3:$FI$400,MATCH(ROWS($FJ$3:FJ331),$FI$3:$FI$400,0),1),"")</f>
        <v/>
      </c>
      <c r="FK331" s="48">
        <f ca="1">IF(ABS(SUMIFS(DARE,DEN_G,"="&amp;FJ331,DATA,"&lt;="&amp;FINE_AC,DATA,"&gt;="&amp;INIZIO_A_PC)-SUMIFS(AVERE,DEN_G,"="&amp;FJ331,DATA,"&lt;="&amp;FINE_AC,DATA,"&gt;="&amp;INIZIO_A_PC))&gt;0,MAX($FK$2:FK330)+1,0)</f>
        <v>0</v>
      </c>
      <c r="FL331" s="48" t="str">
        <f ca="1">IF(AND(ROW()-2&lt;&gt;1,ROW()-2&lt;=$FK$1),CONCATENATE(" - ",IFERROR(INDEX($FJ$3:$FK$400,MATCH(ROWS($FL$3:FL331),$FK$3:$FK$400,0),1),"")),IFERROR(INDEX($FJ$3:$FK$400,MATCH(ROWS($FL$3:FL331),$FK$3:$FK$400,0),1),""))</f>
        <v/>
      </c>
      <c r="FM331" s="48">
        <f ca="1">IF(OR(B331="IVA ns/credito",B331="IVA NS/DEBITO",B331="IVA C/ACCONTO",B331="IMPOSTE C/ACCONTO",B331="CREDITI PER RITENUTE SUBITE",B331="CREDITI D'IMPOSTA"),MAX($FM$2:FM330)+1,0)</f>
        <v>0</v>
      </c>
      <c r="FN331" s="48" t="str">
        <f t="shared" ca="1" si="663"/>
        <v/>
      </c>
      <c r="FO331" s="48" t="str">
        <f ca="1">IFERROR(INDEX($FM$3:$FN$400,MATCH(ROWS($FO$3:FO331),$FM$3:$FM$400,0),2),"")</f>
        <v/>
      </c>
      <c r="FP331" s="48">
        <f ca="1">IF(ABS(SUMIFS(DARE,DEN_G,"="&amp;FO331,DATA,"&lt;="&amp;FINE_AC,DATA,"&gt;="&amp;INIZIO_A_PC)-SUMIFS(AVERE,DEN_G,"="&amp;FO331,DATA,"&lt;="&amp;FINE_AC,DATA,"&gt;="&amp;INIZIO_A_PC))&gt;0,MAX($FP$2:FP330)+1,0)</f>
        <v>0</v>
      </c>
      <c r="FQ331" s="48" t="str">
        <f ca="1">IF(AND(ROW()-2&lt;&gt;1,ROW()-2&lt;=$FP$1),CONCATENATE(" - ",IFERROR(INDEX($FO$3:$FP$400,MATCH(ROWS($FQ$3:FQ331),$FP$3:$FP$400,0),1),"")),IFERROR(INDEX($FO$3:$FP$400,MATCH(ROWS($FQ$3:FQ331),$FP$3:$FP$400,0),1),""))</f>
        <v/>
      </c>
    </row>
    <row r="332" spans="1:173" x14ac:dyDescent="0.3">
      <c r="A332" s="48" t="str">
        <f ca="1">IFERROR(IF($A$1=2,INDEX($DH$3:$DN$401,MATCH(ROWS(A$3:A332),$DN$3:$DN$401,0),COLUMN()),IF($A$1=1,INDEX($DQ$3:$DW$401,MATCH(ROWS(A$3:A332),$DW$3:$DW$401,0),COLUMN()),"")),"")</f>
        <v/>
      </c>
      <c r="B332" s="48" t="str">
        <f ca="1">IFERROR(IF($A$1=2,INDEX($DH$3:$DN$401,MATCH(ROWS(B$3:B332),$DN$3:$DN$401,0),COLUMN()),IF($A$1=1,INDEX($DQ$3:$DW$400,MATCH(ROWS(B$3:B332),$DW$3:$DW$401,0),COLUMN()),"")),"")</f>
        <v/>
      </c>
      <c r="C332" s="48" t="str">
        <f ca="1">IFERROR(IF($A$1=2,INDEX($DH$3:$DN$401,MATCH(ROWS(C$3:C332),$DN$3:$DN$401,0),COLUMN()),IF($A$1=1,INDEX($DQ$3:$DW$401,MATCH(ROWS(C$3:C332),$DW$3:$DW$401,0),COLUMN()),"")),"")</f>
        <v/>
      </c>
      <c r="D332" s="48" t="str">
        <f ca="1">IFERROR(IF($A$1=2,INDEX($DH$3:$DN$401,MATCH(ROWS(D$3:D332),$DN$3:$DN$401,0),COLUMN()),IF($A$1=1,INDEX($DQ$3:$DW$401,MATCH(ROWS(D$3:D332),$DW$3:$DW$401,0),COLUMN()),"")),"")</f>
        <v/>
      </c>
      <c r="E332" s="48" t="str">
        <f ca="1">IFERROR(IF($A$1=2,INDEX($DH$3:$DN$401,MATCH(ROWS(E$3:E332),$DN$3:$DN$401,0),COLUMN()),IF($A$1=1,INDEX($DQ$3:$DW$401,MATCH(ROWS(E$3:E332),$DW$3:$DW$401,0),COLUMN()),"")),"")</f>
        <v/>
      </c>
      <c r="F332" s="48" t="str">
        <f ca="1">IFERROR(IF($A$1=2,INDEX($DH$3:$DN$401,MATCH(ROWS(F$3:F332),$DN$3:$DN$401,0),COLUMN()),IF($A$1=1,INDEX($DQ$3:$DX$401,MATCH(ROWS(F$3:F332),$DW$3:$DW$401,0),COLUMN()),"")),"")</f>
        <v/>
      </c>
      <c r="G332" s="48" t="str">
        <f t="shared" ca="1" si="650"/>
        <v/>
      </c>
      <c r="H332" s="48" t="str">
        <f ca="1">IFERROR(IF($A$1=2,INDEX($DH$3:$DO$400,MATCH(ROWS(H$3:H332),$DN$3:$DN$400,0),COLUMN()),IF($A$1=1,INDEX($DQ$3:$DX$400,MATCH(ROWS(H$3:H332),$DW$3:$DW$400,0),COLUMN()),"")),"")</f>
        <v/>
      </c>
      <c r="M332" s="48">
        <f ca="1">IFERROR(IF(IF(MID($A332,3,3)=".00",MID(A332,1,2),"")&lt;&gt;"",MAX($M$2:M331)+1,0),"")</f>
        <v>0</v>
      </c>
      <c r="N332" s="48" t="str">
        <f t="shared" ca="1" si="651"/>
        <v/>
      </c>
      <c r="O332" s="48" t="str">
        <f ca="1">IF(IFERROR(INDEX($N$3:$O$300,MATCH(ROWS($O$3:O332),$M$3:$M$300,0),1),"")&lt;&gt;"",CONCATENATE(INDEX($N$3:$O$300,MATCH(ROWS($O$3:O332),$M$3:$M$300,0),1),".00"),"")</f>
        <v/>
      </c>
      <c r="P332" s="48" t="str">
        <f t="shared" ca="1" si="652"/>
        <v/>
      </c>
      <c r="Q332" s="48">
        <f ca="1">IF(M332&gt;=1,0,MAX($Q$2:Q331)+1)</f>
        <v>293</v>
      </c>
      <c r="U332" s="48" t="str">
        <f ca="1">IFERROR(INDEX(PDC,MATCH(ROWS(U$3:U332),$V$3:$V$400,0),2),"")</f>
        <v/>
      </c>
      <c r="V332" s="48">
        <f ca="1">IF(AND($T$1="VISUALIZZA TUTTI I CONTI",AA332&lt;&gt;""),MAX($V$2:V331)+1,IF(AND($U$2=2,AI332=$T$1),MAX($V$2:V331)+1,IF(AND($U$2=1,$T$1=AF332),MAX($V$2:V331)+1,0)))</f>
        <v>0</v>
      </c>
      <c r="AA332" s="48" t="str">
        <f t="shared" ca="1" si="653"/>
        <v/>
      </c>
      <c r="AB332" s="48" t="str">
        <f ca="1">IFERROR(INDEX($A$3:$G$400,MATCH(ROWS(AB$3:AB332),$Q$3:$Q$400,0),1),"")</f>
        <v/>
      </c>
      <c r="AC332" s="48" t="str">
        <f ca="1">IFERROR(INDEX($A$3:$G$400,MATCH(ROWS($AC$3:AC332),$Q$3:$Q$400,0),2),"")</f>
        <v/>
      </c>
      <c r="AD332" s="48">
        <f ca="1">IFERROR(INDEX($A$3:$G$400,MATCH(ROWS(AD$3:AD332),$Q$3:$Q$400,0),3),"")</f>
        <v>0</v>
      </c>
      <c r="AE332" s="48" t="str">
        <f ca="1">IFERROR(INDEX($A$3:$G$400,MATCH(ROWS(AE$3:AE332),$Q$3:$Q$400,0),4),"")</f>
        <v/>
      </c>
      <c r="AF332" s="48" t="str">
        <f ca="1">IFERROR(INDEX($A$3:$G$400,MATCH(ROWS(AF$3:AF332),$Q$3:$Q$400,0),5),"")</f>
        <v/>
      </c>
      <c r="AG332" s="48" t="str">
        <f ca="1">IFERROR(INDEX($A$3:$G$400,MATCH(ROWS(AG$3:AG332),$Q$3:$Q$400,0),6),"")</f>
        <v/>
      </c>
      <c r="AH332" s="48" t="str">
        <f ca="1">IFERROR(INDEX($A$3:$G$400,MATCH(ROWS(AH$3:AH332),$Q$3:$Q$400,0),7),"")</f>
        <v/>
      </c>
      <c r="AI332" s="48" t="str">
        <f t="shared" ca="1" si="654"/>
        <v/>
      </c>
      <c r="AJ332" s="48" t="str">
        <f ca="1">IFERROR(INDEX($A$3:$H$400,MATCH(ROWS(AJ$3:AJ332),$Q$3:$Q$400,0),8),"")</f>
        <v/>
      </c>
      <c r="AZ332" s="48" t="str">
        <f t="shared" ca="1" si="669"/>
        <v/>
      </c>
      <c r="BA332" s="48">
        <f t="shared" ca="1" si="611"/>
        <v>0</v>
      </c>
      <c r="BB332" s="48">
        <f t="shared" ca="1" si="612"/>
        <v>0</v>
      </c>
      <c r="BC332" s="48">
        <f t="shared" ca="1" si="613"/>
        <v>0</v>
      </c>
      <c r="BD332" s="48">
        <f t="shared" ca="1" si="614"/>
        <v>0</v>
      </c>
      <c r="BE332" s="48">
        <f t="shared" ca="1" si="615"/>
        <v>0</v>
      </c>
      <c r="BF332" s="48">
        <f t="shared" si="670"/>
        <v>132</v>
      </c>
      <c r="BG332" s="48">
        <f ca="1">IF(IF(AND(OR(INDEX(PDC,MATCH($AC332,DEN_PDC,0),6)="SP DARE",INDEX(PDC,MATCH($AC332,DEN_PDC,0),6)="SP DARE/AVERE"),SUMIFS(DARE,DEN_G,$AC332)&gt;=SUMIFS(AVERE,DEN_G,$AC332)),SUMIFS(DARE,DEN_G,$AC332)-SUMIFS(AVERE,DEN_G,$AC332),0)&gt;0,MAX($BG$2:BG331)+1,0)</f>
        <v>0</v>
      </c>
      <c r="BH332" s="48">
        <f ca="1">IF(IF(AND(OR(INDEX(PDC,MATCH($AC332,DEN_PDC,0),6)="SP AVERE",INDEX(PDC,MATCH($AC332,DEN_PDC,0),6)="SP DARE/AVERE"),SUMIFS(AVERE,DEN_G,$AC332)&gt;=SUMIFS(DARE,DEN_G,$AC332)),SUMIFS(AVERE,DEN_G,$AC332)-SUMIFS(DARE,DEN_G,$AC332),0)&gt;0,MAX(BH$2:BH331)+1,0)</f>
        <v>0</v>
      </c>
      <c r="BI332" s="48">
        <f ca="1">IF(IF(AND(OR(INDEX(PDC,MATCH($AC332,DEN_PDC,0),6)="SE DARE",INDEX(PDC,MATCH($AC332,DEN_PDC,0),6)="SE DARE/AVERE"),SUMIFS(DARE,DEN_G,$AC332)&gt;=SUMIFS(AVERE,DEN_G,$AC332)),SUMIFS(DARE,DEN_G,$AC332)-SUMIFS(AVERE,DEN_G,$AC332),0)&gt;0,MAX(BI$2:BI331)+1,0)</f>
        <v>0</v>
      </c>
      <c r="BJ332" s="48">
        <f ca="1">IF(IF(AND(OR(INDEX(PDC,MATCH($AC332,DEN_PDC,0),6)="SE AVERE",INDEX(PDC,MATCH($AC332,DEN_PDC,0),6)="SE DARE/AVERE"),SUMIFS(AVERE,DEN_G,$AC332)&gt;=SUMIFS(DARE,DEN_G,$AC332)),SUMIFS(AVERE,DEN_G,$AC332)-SUMIFS(DARE,DEN_G,$AC332),0)&gt;0,MAX(BJ$2:BJ331)+1,0)</f>
        <v>0</v>
      </c>
      <c r="BK332" s="48" t="str">
        <f ca="1">IF(AND(AND($DY$2=0,$DY$1=0),$I$1=2,ROW()&gt;$BG$1+2,ROW()&lt;=$BG$1+4),"………………..",IF(AND(OR($DY$2&gt;0,$DY$1&gt;0),$I$1=2,ROW()&gt;$BG$1+2,ROW()&lt;=$BG$1+4),"………………..",IFERROR(INDEX($AC$3:$AC$398,MATCH(ROWS(BK$3:BK332),BG$3:BG$398,0),1),"")))</f>
        <v/>
      </c>
      <c r="BL332" s="48">
        <f t="shared" ca="1" si="637"/>
        <v>0</v>
      </c>
      <c r="BM332" s="48" t="str">
        <f ca="1">IF(AND(OR($DY$2=0,$DY$1=0),$I$1=2,ROW()&gt;$BH$1+2,ROW()&lt;=$BH$1+4),"………………..",IF(AND(OR($DY$2&gt;0,$DY$1&gt;0),$I$1=2,ROW()&gt;$BH$1+2,ROW()&lt;=$BH$1+4),"………………..",IFERROR(INDEX($AC$3:$AC$400,MATCH(ROWS(BM$3:BM332),BH$3:BH$400,0),1),"")))</f>
        <v/>
      </c>
      <c r="BN332" s="48">
        <f t="shared" ca="1" si="638"/>
        <v>0</v>
      </c>
      <c r="BO332" s="48" t="str">
        <f ca="1">IF(AND(OR($DY$2=0,$DY$1=0),$I$1=2,ROW()&gt;$BI$1+2,ROW()&lt;=$BI$1+4),"………………..",IF(AND(OR($DY$2&gt;0,$DY$1&gt;0),$I$1=2,ROW()&gt;$BI$1+2,ROW()&lt;=$BI$1+4),"………………..",IFERROR(INDEX($AC$3:$AC$400,MATCH(ROWS(BO$3:BO332),BI$3:BI$400,0),1),"")))</f>
        <v/>
      </c>
      <c r="BP332" s="48">
        <f t="shared" ca="1" si="639"/>
        <v>0</v>
      </c>
      <c r="BQ332" s="48" t="str">
        <f ca="1">IF(AND(OR($DY$2=0,$DY$1=0),$I$1=2,ROW()&gt;$BJ$1+2,ROW()&lt;=$BJ$1+4),"………………..",IF(AND(OR($DY$2&gt;0,$DY$1&gt;0),$I$1=2,ROW()&gt;$BJ$1+2,ROW()&lt;=$BJ$1+4),"………………..",IFERROR(INDEX($AC$3:$AC$400,MATCH(ROWS(BQ$3:BQ332),BJ$3:BJ$400,0),1),"")))</f>
        <v/>
      </c>
      <c r="BR332" s="48">
        <f t="shared" ca="1" si="640"/>
        <v>0</v>
      </c>
      <c r="BS332" s="48">
        <f ca="1">IF(IF(AND(OR(INDEX(PDC,MATCH($AC332,DEN_PDC,0),4)="D",INDEX(PDC,MATCH($AC332,DEN_PDC,0),4)="D/A"),SUMIFS(DARE,DEN_G,$AC332)&gt;=SUMIFS(AVERE,DEN_G,$AC332)),SUMIFS(DARE,DEN_G,$AC332),IF(AND(OR(INDEX(PDC,MATCH($AC332,DEN_PDC,0),4)="A",INDEX(PDC,MATCH($AC332,DEN_PDC,0),4)="D/A"),SUMIFS(AVERE,DEN_G,$AC332)&gt;=SUMIFS(DARE,DEN_G,$AC332)),SUMIFS(AVERE,DEN_G,$AC332),))&gt;0,MAX($BS$2:BS331)+1,0)</f>
        <v>0</v>
      </c>
      <c r="BT332" s="48" t="str">
        <f ca="1">IF($CO$1=0,"",IF(AND($I$1=2,ROW()&gt;$BR$1,ROW()&lt;=$BS$1)," …………….",IF(AND($E$1=1,$BX$1=1,$I$1=2,ROW()=$BQ$1),"TOTALI",IFERROR(INDEX(PDC,MATCH(ROWS(BT$3:BT332),BS$3:BS729,0),2),""))))</f>
        <v/>
      </c>
      <c r="BU332" s="48">
        <f t="shared" ca="1" si="641"/>
        <v>0</v>
      </c>
      <c r="BV332" s="48">
        <f t="shared" ca="1" si="642"/>
        <v>0</v>
      </c>
      <c r="BW332" s="48">
        <f t="shared" ca="1" si="643"/>
        <v>0</v>
      </c>
      <c r="BX332" s="48">
        <f t="shared" ca="1" si="644"/>
        <v>0</v>
      </c>
      <c r="BY332" s="48">
        <f ca="1">IF(OR(BW332&gt;0,BX332&gt;0),MAX($BY$2:BY331)+1,0)</f>
        <v>0</v>
      </c>
      <c r="BZ332" s="48" t="str">
        <f ca="1">IFERROR(INDEX($BT$3:$BY$400,MATCH(ROWS(BZ$3:BZ332),$BY$3:$BY$400,0),1),"")</f>
        <v/>
      </c>
      <c r="CA332" s="48" t="str">
        <f ca="1">IFERROR(INDEX($BT$3:$BY$400,MATCH(ROWS(CA$3:CA332),$BY$3:$BY$400,0),4),"")</f>
        <v/>
      </c>
      <c r="CB332" s="48" t="str">
        <f ca="1">IFERROR(INDEX($BT$3:$BY$400,MATCH(ROWS(CB$3:CB332),$BY$3:$BY$400,0),5),"")</f>
        <v/>
      </c>
      <c r="CC332" s="48" t="str">
        <f t="shared" ca="1" si="645"/>
        <v/>
      </c>
      <c r="CM332" s="242" t="str">
        <f t="shared" ca="1" si="655"/>
        <v/>
      </c>
      <c r="CN332" s="243">
        <f t="shared" ca="1" si="656"/>
        <v>0</v>
      </c>
      <c r="CO332" s="48" t="str">
        <f t="shared" ca="1" si="657"/>
        <v/>
      </c>
      <c r="CU332" s="48">
        <f ca="1">IF(SUMIFS(AVERE,DEN_G,AC332,AVERE,"&gt;"&amp;0)+SUMIFS(DARE,DEN_G,AC332,DARE,"&gt;"&amp;0)&gt;0,MAX($CU$2:CU331)+1,0)</f>
        <v>0</v>
      </c>
      <c r="CV332" s="48" t="str">
        <f ca="1">IF(IFERROR(INDEX(PDC,MATCH(ROWS($CV$3:CV332),$CU$3:$CU$400,0),2),"")="CONTO DI RISULTATO ECONOMICO","",IFERROR(INDEX(PDC,MATCH(ROWS($CV$3:CV332),$CU$3:$CU$400,0),2),""))</f>
        <v/>
      </c>
      <c r="CW332" s="48">
        <f ca="1">IFERROR(IF(CV332&lt;&gt;"",MAX($CW$2:CW331)+1,0),0)</f>
        <v>0</v>
      </c>
      <c r="CX332" s="48">
        <f t="shared" ca="1" si="667"/>
        <v>26</v>
      </c>
      <c r="CY332" s="48" t="str">
        <f t="shared" ca="1" si="665"/>
        <v>MASTRO</v>
      </c>
      <c r="CZ332" s="48" t="e">
        <f t="shared" ca="1" si="671"/>
        <v>#N/A</v>
      </c>
      <c r="DA332" s="48" t="str">
        <f t="shared" ca="1" si="675"/>
        <v/>
      </c>
      <c r="DB332" s="48" t="str">
        <f t="shared" ca="1" si="592"/>
        <v/>
      </c>
      <c r="DC332" s="48" t="str">
        <f t="shared" ca="1" si="672"/>
        <v/>
      </c>
      <c r="DD332" s="48" t="str">
        <f t="shared" ca="1" si="673"/>
        <v/>
      </c>
      <c r="DE332" s="48" t="str">
        <f t="shared" ca="1" si="674"/>
        <v/>
      </c>
      <c r="DF332" s="48">
        <f ca="1">IF(AND(CX332=$DF$1,CX332&lt;&gt;""),0,IF(AND(DB332&lt;&gt;"",OR(DB331&lt;&gt;"",DB333&lt;&gt;"")),MAX($DF$2:DF331)+1,0))</f>
        <v>0</v>
      </c>
      <c r="DH332" s="244" t="s">
        <v>903</v>
      </c>
      <c r="DI332" s="48" t="s">
        <v>235</v>
      </c>
      <c r="DJ332" s="48" t="s">
        <v>311</v>
      </c>
      <c r="DK332" s="48" t="s">
        <v>275</v>
      </c>
      <c r="DL332" s="48" t="s">
        <v>7</v>
      </c>
      <c r="DM332" s="48" t="s">
        <v>301</v>
      </c>
      <c r="DN332" s="48">
        <f ca="1">IF(DI332&lt;&gt;"",MAX($DN$2:DN331)+1,0)</f>
        <v>263</v>
      </c>
      <c r="DO332" s="48" t="str">
        <f t="shared" ca="1" si="666"/>
        <v>eb10a</v>
      </c>
      <c r="DQ332" s="227" t="s">
        <v>1069</v>
      </c>
      <c r="DR332" s="48" t="s">
        <v>303</v>
      </c>
      <c r="DS332" s="48" t="s">
        <v>311</v>
      </c>
      <c r="DT332" s="48" t="s">
        <v>275</v>
      </c>
      <c r="DU332" s="48" t="s">
        <v>7</v>
      </c>
      <c r="DV332" s="48" t="s">
        <v>301</v>
      </c>
      <c r="DW332" s="48">
        <f ca="1">IF(DR332&lt;&gt;"",MAX($DW$2:DW331)+1,0)</f>
        <v>201</v>
      </c>
      <c r="DX332" s="48" t="s">
        <v>749</v>
      </c>
      <c r="DY332" s="48" t="str">
        <f t="shared" ca="1" si="647"/>
        <v/>
      </c>
      <c r="EL332" s="48">
        <f t="shared" ca="1" si="648"/>
        <v>0</v>
      </c>
      <c r="EM332" s="48">
        <f ca="1">IF(EL332&gt;=0,0,MAX($EM$2:EM331)+1)</f>
        <v>0</v>
      </c>
      <c r="EN332" s="48" t="str">
        <f t="shared" ca="1" si="658"/>
        <v/>
      </c>
      <c r="EO332" s="48" t="str">
        <f ca="1">IFERROR(INDEX($EM$3:$EN$400,MATCH(ROWS($EO$3:EO332),$EM$3:$EM$400,0),2),"")</f>
        <v/>
      </c>
      <c r="EP332" s="48">
        <f>ROW()</f>
        <v>332</v>
      </c>
      <c r="EQ332" s="48">
        <f t="shared" ca="1" si="649"/>
        <v>0</v>
      </c>
      <c r="ER332" s="48">
        <f ca="1">IF(ISNA(EQ332)=TRUE,MAX($ER$2:ER331)+1,0)</f>
        <v>0</v>
      </c>
      <c r="ES332" s="48" t="str">
        <f t="shared" ca="1" si="659"/>
        <v/>
      </c>
      <c r="ET332" s="48" t="str">
        <f ca="1">IFERROR(INDEX($ER$3:$ES$400,MATCH(ROWS($ET$3:ET332),$ER$3:$ER$400,0),2),"")</f>
        <v/>
      </c>
      <c r="EV332" s="48">
        <f ca="1">IFERROR(INDEX(LIBRO_GIORNALE!$O$11:$P$408,MATCH(ROWS($EV$2:EV331),LIBRO_GIORNALE!$P$11:$P$408,0),1),0)</f>
        <v>0</v>
      </c>
      <c r="EW332" s="48" t="str">
        <f t="shared" ca="1" si="629"/>
        <v>0</v>
      </c>
      <c r="EX332" s="48">
        <f t="shared" ca="1" si="660"/>
        <v>0</v>
      </c>
      <c r="EY332" s="48">
        <f ca="1">IF(EX332&gt;0,MAX($EY$2:EY331)+1,0)</f>
        <v>0</v>
      </c>
      <c r="EZ332" s="48">
        <f ca="1">IFERROR(INDEX($EX$3:$EX$400,MATCH(ROWS($EZ$3:EZ332),$EY$3:$EY$400,0),1),0)</f>
        <v>0</v>
      </c>
      <c r="FA332" s="48">
        <f ca="1">IF(EZ332&gt;0,0,MAX($FA$2:FA331)+1)</f>
        <v>330</v>
      </c>
      <c r="FB332" s="48">
        <f t="shared" ca="1" si="630"/>
        <v>0</v>
      </c>
      <c r="FC332" s="48">
        <f t="shared" ca="1" si="631"/>
        <v>330</v>
      </c>
      <c r="FD332" s="48">
        <f t="shared" ca="1" si="661"/>
        <v>330</v>
      </c>
      <c r="FE332" s="48">
        <f ca="1">IF(FD332=0,0,MAX($FE$2:FE331)+1)</f>
        <v>330</v>
      </c>
      <c r="FF332" s="48">
        <f ca="1">IFERROR(INDEX($FD$3:$FE$400,MATCH(ROWS($FF$3:FF332),$FE$3:$FE$400,0),1),"")</f>
        <v>330</v>
      </c>
      <c r="FG332" s="48">
        <f t="shared" si="610"/>
        <v>0</v>
      </c>
      <c r="FH332" s="48">
        <f t="shared" ca="1" si="662"/>
        <v>0</v>
      </c>
      <c r="FI332" s="48">
        <f ca="1">IF(FH332&lt;&gt;0,MAX($FI$2:FI331)+1,0)</f>
        <v>0</v>
      </c>
      <c r="FJ332" s="48" t="str">
        <f ca="1">IFERROR(INDEX($FH$3:$FI$400,MATCH(ROWS($FJ$3:FJ332),$FI$3:$FI$400,0),1),"")</f>
        <v/>
      </c>
      <c r="FK332" s="48">
        <f ca="1">IF(ABS(SUMIFS(DARE,DEN_G,"="&amp;FJ332,DATA,"&lt;="&amp;FINE_AC,DATA,"&gt;="&amp;INIZIO_A_PC)-SUMIFS(AVERE,DEN_G,"="&amp;FJ332,DATA,"&lt;="&amp;FINE_AC,DATA,"&gt;="&amp;INIZIO_A_PC))&gt;0,MAX($FK$2:FK331)+1,0)</f>
        <v>0</v>
      </c>
      <c r="FL332" s="48" t="str">
        <f ca="1">IF(AND(ROW()-2&lt;&gt;1,ROW()-2&lt;=$FK$1),CONCATENATE(" - ",IFERROR(INDEX($FJ$3:$FK$400,MATCH(ROWS($FL$3:FL332),$FK$3:$FK$400,0),1),"")),IFERROR(INDEX($FJ$3:$FK$400,MATCH(ROWS($FL$3:FL332),$FK$3:$FK$400,0),1),""))</f>
        <v/>
      </c>
      <c r="FM332" s="48">
        <f ca="1">IF(OR(B332="IVA ns/credito",B332="IVA NS/DEBITO",B332="IVA C/ACCONTO",B332="IMPOSTE C/ACCONTO",B332="CREDITI PER RITENUTE SUBITE",B332="CREDITI D'IMPOSTA"),MAX($FM$2:FM331)+1,0)</f>
        <v>0</v>
      </c>
      <c r="FN332" s="48" t="str">
        <f t="shared" ca="1" si="663"/>
        <v/>
      </c>
      <c r="FO332" s="48" t="str">
        <f ca="1">IFERROR(INDEX($FM$3:$FN$400,MATCH(ROWS($FO$3:FO332),$FM$3:$FM$400,0),2),"")</f>
        <v/>
      </c>
      <c r="FP332" s="48">
        <f ca="1">IF(ABS(SUMIFS(DARE,DEN_G,"="&amp;FO332,DATA,"&lt;="&amp;FINE_AC,DATA,"&gt;="&amp;INIZIO_A_PC)-SUMIFS(AVERE,DEN_G,"="&amp;FO332,DATA,"&lt;="&amp;FINE_AC,DATA,"&gt;="&amp;INIZIO_A_PC))&gt;0,MAX($FP$2:FP331)+1,0)</f>
        <v>0</v>
      </c>
      <c r="FQ332" s="48" t="str">
        <f ca="1">IF(AND(ROW()-2&lt;&gt;1,ROW()-2&lt;=$FP$1),CONCATENATE(" - ",IFERROR(INDEX($FO$3:$FP$400,MATCH(ROWS($FQ$3:FQ332),$FP$3:$FP$400,0),1),"")),IFERROR(INDEX($FO$3:$FP$400,MATCH(ROWS($FQ$3:FQ332),$FP$3:$FP$400,0),1),""))</f>
        <v/>
      </c>
    </row>
    <row r="333" spans="1:173" x14ac:dyDescent="0.3">
      <c r="A333" s="48" t="str">
        <f ca="1">IFERROR(IF($A$1=2,INDEX($DH$3:$DN$401,MATCH(ROWS(A$3:A333),$DN$3:$DN$401,0),COLUMN()),IF($A$1=1,INDEX($DQ$3:$DW$401,MATCH(ROWS(A$3:A333),$DW$3:$DW$401,0),COLUMN()),"")),"")</f>
        <v/>
      </c>
      <c r="B333" s="48" t="str">
        <f ca="1">IFERROR(IF($A$1=2,INDEX($DH$3:$DN$401,MATCH(ROWS(B$3:B333),$DN$3:$DN$401,0),COLUMN()),IF($A$1=1,INDEX($DQ$3:$DW$400,MATCH(ROWS(B$3:B333),$DW$3:$DW$401,0),COLUMN()),"")),"")</f>
        <v/>
      </c>
      <c r="C333" s="48" t="str">
        <f ca="1">IFERROR(IF($A$1=2,INDEX($DH$3:$DN$401,MATCH(ROWS(C$3:C333),$DN$3:$DN$401,0),COLUMN()),IF($A$1=1,INDEX($DQ$3:$DW$401,MATCH(ROWS(C$3:C333),$DW$3:$DW$401,0),COLUMN()),"")),"")</f>
        <v/>
      </c>
      <c r="D333" s="48" t="str">
        <f ca="1">IFERROR(IF($A$1=2,INDEX($DH$3:$DN$401,MATCH(ROWS(D$3:D333),$DN$3:$DN$401,0),COLUMN()),IF($A$1=1,INDEX($DQ$3:$DW$401,MATCH(ROWS(D$3:D333),$DW$3:$DW$401,0),COLUMN()),"")),"")</f>
        <v/>
      </c>
      <c r="E333" s="48" t="str">
        <f ca="1">IFERROR(IF($A$1=2,INDEX($DH$3:$DN$401,MATCH(ROWS(E$3:E333),$DN$3:$DN$401,0),COLUMN()),IF($A$1=1,INDEX($DQ$3:$DW$401,MATCH(ROWS(E$3:E333),$DW$3:$DW$401,0),COLUMN()),"")),"")</f>
        <v/>
      </c>
      <c r="F333" s="48" t="str">
        <f ca="1">IFERROR(IF($A$1=2,INDEX($DH$3:$DN$401,MATCH(ROWS(F$3:F333),$DN$3:$DN$401,0),COLUMN()),IF($A$1=1,INDEX($DQ$3:$DX$401,MATCH(ROWS(F$3:F333),$DW$3:$DW$401,0),COLUMN()),"")),"")</f>
        <v/>
      </c>
      <c r="G333" s="48" t="str">
        <f t="shared" ca="1" si="650"/>
        <v/>
      </c>
      <c r="H333" s="48" t="str">
        <f ca="1">IFERROR(IF($A$1=2,INDEX($DH$3:$DO$400,MATCH(ROWS(H$3:H333),$DN$3:$DN$400,0),COLUMN()),IF($A$1=1,INDEX($DQ$3:$DX$400,MATCH(ROWS(H$3:H333),$DW$3:$DW$400,0),COLUMN()),"")),"")</f>
        <v/>
      </c>
      <c r="M333" s="48">
        <f ca="1">IFERROR(IF(IF(MID($A333,3,3)=".00",MID(A333,1,2),"")&lt;&gt;"",MAX($M$2:M332)+1,0),"")</f>
        <v>0</v>
      </c>
      <c r="N333" s="48" t="str">
        <f t="shared" ca="1" si="651"/>
        <v/>
      </c>
      <c r="O333" s="48" t="str">
        <f ca="1">IF(IFERROR(INDEX($N$3:$O$300,MATCH(ROWS($O$3:O333),$M$3:$M$300,0),1),"")&lt;&gt;"",CONCATENATE(INDEX($N$3:$O$300,MATCH(ROWS($O$3:O333),$M$3:$M$300,0),1),".00"),"")</f>
        <v/>
      </c>
      <c r="P333" s="48" t="str">
        <f t="shared" ca="1" si="652"/>
        <v/>
      </c>
      <c r="Q333" s="48">
        <f ca="1">IF(M333&gt;=1,0,MAX($Q$2:Q332)+1)</f>
        <v>294</v>
      </c>
      <c r="U333" s="48" t="str">
        <f ca="1">IFERROR(INDEX(PDC,MATCH(ROWS(U$3:U333),$V$3:$V$400,0),2),"")</f>
        <v/>
      </c>
      <c r="V333" s="48">
        <f ca="1">IF(AND($T$1="VISUALIZZA TUTTI I CONTI",AA333&lt;&gt;""),MAX($V$2:V332)+1,IF(AND($U$2=2,AI333=$T$1),MAX($V$2:V332)+1,IF(AND($U$2=1,$T$1=AF333),MAX($V$2:V332)+1,0)))</f>
        <v>0</v>
      </c>
      <c r="AA333" s="48" t="str">
        <f t="shared" ca="1" si="653"/>
        <v/>
      </c>
      <c r="AB333" s="48" t="str">
        <f ca="1">IFERROR(INDEX($A$3:$G$400,MATCH(ROWS(AB$3:AB333),$Q$3:$Q$400,0),1),"")</f>
        <v/>
      </c>
      <c r="AC333" s="48" t="str">
        <f ca="1">IFERROR(INDEX($A$3:$G$400,MATCH(ROWS($AC$3:AC333),$Q$3:$Q$400,0),2),"")</f>
        <v/>
      </c>
      <c r="AD333" s="48">
        <f ca="1">IFERROR(INDEX($A$3:$G$400,MATCH(ROWS(AD$3:AD333),$Q$3:$Q$400,0),3),"")</f>
        <v>0</v>
      </c>
      <c r="AE333" s="48" t="str">
        <f ca="1">IFERROR(INDEX($A$3:$G$400,MATCH(ROWS(AE$3:AE333),$Q$3:$Q$400,0),4),"")</f>
        <v/>
      </c>
      <c r="AF333" s="48" t="str">
        <f ca="1">IFERROR(INDEX($A$3:$G$400,MATCH(ROWS(AF$3:AF333),$Q$3:$Q$400,0),5),"")</f>
        <v/>
      </c>
      <c r="AG333" s="48" t="str">
        <f ca="1">IFERROR(INDEX($A$3:$G$400,MATCH(ROWS(AG$3:AG333),$Q$3:$Q$400,0),6),"")</f>
        <v/>
      </c>
      <c r="AH333" s="48" t="str">
        <f ca="1">IFERROR(INDEX($A$3:$G$400,MATCH(ROWS(AH$3:AH333),$Q$3:$Q$400,0),7),"")</f>
        <v/>
      </c>
      <c r="AI333" s="48" t="str">
        <f t="shared" ca="1" si="654"/>
        <v/>
      </c>
      <c r="AJ333" s="48" t="str">
        <f ca="1">IFERROR(INDEX($A$3:$H$400,MATCH(ROWS(AJ$3:AJ333),$Q$3:$Q$400,0),8),"")</f>
        <v/>
      </c>
      <c r="AZ333" s="48" t="str">
        <f t="shared" ca="1" si="669"/>
        <v/>
      </c>
      <c r="BA333" s="48">
        <f t="shared" ca="1" si="611"/>
        <v>0</v>
      </c>
      <c r="BB333" s="48">
        <f t="shared" ca="1" si="612"/>
        <v>0</v>
      </c>
      <c r="BC333" s="48">
        <f t="shared" ca="1" si="613"/>
        <v>0</v>
      </c>
      <c r="BD333" s="48">
        <f t="shared" ca="1" si="614"/>
        <v>0</v>
      </c>
      <c r="BE333" s="48">
        <f t="shared" ca="1" si="615"/>
        <v>0</v>
      </c>
      <c r="BF333" s="48">
        <f t="shared" si="670"/>
        <v>133</v>
      </c>
      <c r="BG333" s="48">
        <f ca="1">IF(IF(AND(OR(INDEX(PDC,MATCH($AC333,DEN_PDC,0),6)="SP DARE",INDEX(PDC,MATCH($AC333,DEN_PDC,0),6)="SP DARE/AVERE"),SUMIFS(DARE,DEN_G,$AC333)&gt;=SUMIFS(AVERE,DEN_G,$AC333)),SUMIFS(DARE,DEN_G,$AC333)-SUMIFS(AVERE,DEN_G,$AC333),0)&gt;0,MAX($BG$2:BG332)+1,0)</f>
        <v>0</v>
      </c>
      <c r="BH333" s="48">
        <f ca="1">IF(IF(AND(OR(INDEX(PDC,MATCH($AC333,DEN_PDC,0),6)="SP AVERE",INDEX(PDC,MATCH($AC333,DEN_PDC,0),6)="SP DARE/AVERE"),SUMIFS(AVERE,DEN_G,$AC333)&gt;=SUMIFS(DARE,DEN_G,$AC333)),SUMIFS(AVERE,DEN_G,$AC333)-SUMIFS(DARE,DEN_G,$AC333),0)&gt;0,MAX(BH$2:BH332)+1,0)</f>
        <v>0</v>
      </c>
      <c r="BI333" s="48">
        <f ca="1">IF(IF(AND(OR(INDEX(PDC,MATCH($AC333,DEN_PDC,0),6)="SE DARE",INDEX(PDC,MATCH($AC333,DEN_PDC,0),6)="SE DARE/AVERE"),SUMIFS(DARE,DEN_G,$AC333)&gt;=SUMIFS(AVERE,DEN_G,$AC333)),SUMIFS(DARE,DEN_G,$AC333)-SUMIFS(AVERE,DEN_G,$AC333),0)&gt;0,MAX(BI$2:BI332)+1,0)</f>
        <v>0</v>
      </c>
      <c r="BJ333" s="48">
        <f ca="1">IF(IF(AND(OR(INDEX(PDC,MATCH($AC333,DEN_PDC,0),6)="SE AVERE",INDEX(PDC,MATCH($AC333,DEN_PDC,0),6)="SE DARE/AVERE"),SUMIFS(AVERE,DEN_G,$AC333)&gt;=SUMIFS(DARE,DEN_G,$AC333)),SUMIFS(AVERE,DEN_G,$AC333)-SUMIFS(DARE,DEN_G,$AC333),0)&gt;0,MAX(BJ$2:BJ332)+1,0)</f>
        <v>0</v>
      </c>
      <c r="BK333" s="48" t="str">
        <f ca="1">IF(AND(AND($DY$2=0,$DY$1=0),$I$1=2,ROW()&gt;$BG$1+2,ROW()&lt;=$BG$1+4),"………………..",IF(AND(OR($DY$2&gt;0,$DY$1&gt;0),$I$1=2,ROW()&gt;$BG$1+2,ROW()&lt;=$BG$1+4),"………………..",IFERROR(INDEX($AC$3:$AC$398,MATCH(ROWS(BK$3:BK333),BG$3:BG$398,0),1),"")))</f>
        <v/>
      </c>
      <c r="BL333" s="48">
        <f t="shared" ca="1" si="637"/>
        <v>0</v>
      </c>
      <c r="BM333" s="48" t="str">
        <f ca="1">IF(AND(OR($DY$2=0,$DY$1=0),$I$1=2,ROW()&gt;$BH$1+2,ROW()&lt;=$BH$1+4),"………………..",IF(AND(OR($DY$2&gt;0,$DY$1&gt;0),$I$1=2,ROW()&gt;$BH$1+2,ROW()&lt;=$BH$1+4),"………………..",IFERROR(INDEX($AC$3:$AC$400,MATCH(ROWS(BM$3:BM333),BH$3:BH$400,0),1),"")))</f>
        <v/>
      </c>
      <c r="BN333" s="48">
        <f t="shared" ca="1" si="638"/>
        <v>0</v>
      </c>
      <c r="BO333" s="48" t="str">
        <f ca="1">IF(AND(OR($DY$2=0,$DY$1=0),$I$1=2,ROW()&gt;$BI$1+2,ROW()&lt;=$BI$1+4),"………………..",IF(AND(OR($DY$2&gt;0,$DY$1&gt;0),$I$1=2,ROW()&gt;$BI$1+2,ROW()&lt;=$BI$1+4),"………………..",IFERROR(INDEX($AC$3:$AC$400,MATCH(ROWS(BO$3:BO333),BI$3:BI$400,0),1),"")))</f>
        <v/>
      </c>
      <c r="BP333" s="48">
        <f t="shared" ca="1" si="639"/>
        <v>0</v>
      </c>
      <c r="BQ333" s="48" t="str">
        <f ca="1">IF(AND(OR($DY$2=0,$DY$1=0),$I$1=2,ROW()&gt;$BJ$1+2,ROW()&lt;=$BJ$1+4),"………………..",IF(AND(OR($DY$2&gt;0,$DY$1&gt;0),$I$1=2,ROW()&gt;$BJ$1+2,ROW()&lt;=$BJ$1+4),"………………..",IFERROR(INDEX($AC$3:$AC$400,MATCH(ROWS(BQ$3:BQ333),BJ$3:BJ$400,0),1),"")))</f>
        <v/>
      </c>
      <c r="BR333" s="48">
        <f t="shared" ca="1" si="640"/>
        <v>0</v>
      </c>
      <c r="BS333" s="48">
        <f ca="1">IF(IF(AND(OR(INDEX(PDC,MATCH($AC333,DEN_PDC,0),4)="D",INDEX(PDC,MATCH($AC333,DEN_PDC,0),4)="D/A"),SUMIFS(DARE,DEN_G,$AC333)&gt;=SUMIFS(AVERE,DEN_G,$AC333)),SUMIFS(DARE,DEN_G,$AC333),IF(AND(OR(INDEX(PDC,MATCH($AC333,DEN_PDC,0),4)="A",INDEX(PDC,MATCH($AC333,DEN_PDC,0),4)="D/A"),SUMIFS(AVERE,DEN_G,$AC333)&gt;=SUMIFS(DARE,DEN_G,$AC333)),SUMIFS(AVERE,DEN_G,$AC333),))&gt;0,MAX($BS$2:BS332)+1,0)</f>
        <v>0</v>
      </c>
      <c r="BT333" s="48" t="str">
        <f ca="1">IF($CO$1=0,"",IF(AND($I$1=2,ROW()&gt;$BR$1,ROW()&lt;=$BS$1)," …………….",IF(AND($E$1=1,$BX$1=1,$I$1=2,ROW()=$BQ$1),"TOTALI",IFERROR(INDEX(PDC,MATCH(ROWS(BT$3:BT333),BS$3:BS730,0),2),""))))</f>
        <v/>
      </c>
      <c r="BU333" s="48">
        <f t="shared" ca="1" si="641"/>
        <v>0</v>
      </c>
      <c r="BV333" s="48">
        <f t="shared" ca="1" si="642"/>
        <v>0</v>
      </c>
      <c r="BW333" s="48">
        <f t="shared" ca="1" si="643"/>
        <v>0</v>
      </c>
      <c r="BX333" s="48">
        <f t="shared" ca="1" si="644"/>
        <v>0</v>
      </c>
      <c r="BY333" s="48">
        <f ca="1">IF(OR(BW333&gt;0,BX333&gt;0),MAX($BY$2:BY332)+1,0)</f>
        <v>0</v>
      </c>
      <c r="BZ333" s="48" t="str">
        <f ca="1">IFERROR(INDEX($BT$3:$BY$400,MATCH(ROWS(BZ$3:BZ333),$BY$3:$BY$400,0),1),"")</f>
        <v/>
      </c>
      <c r="CA333" s="48" t="str">
        <f ca="1">IFERROR(INDEX($BT$3:$BY$400,MATCH(ROWS(CA$3:CA333),$BY$3:$BY$400,0),4),"")</f>
        <v/>
      </c>
      <c r="CB333" s="48" t="str">
        <f ca="1">IFERROR(INDEX($BT$3:$BY$400,MATCH(ROWS(CB$3:CB333),$BY$3:$BY$400,0),5),"")</f>
        <v/>
      </c>
      <c r="CC333" s="48" t="str">
        <f t="shared" ca="1" si="645"/>
        <v/>
      </c>
      <c r="CM333" s="242" t="str">
        <f t="shared" ca="1" si="655"/>
        <v/>
      </c>
      <c r="CN333" s="243">
        <f t="shared" ca="1" si="656"/>
        <v>0</v>
      </c>
      <c r="CO333" s="48" t="str">
        <f t="shared" ca="1" si="657"/>
        <v/>
      </c>
      <c r="CU333" s="48">
        <f ca="1">IF(SUMIFS(AVERE,DEN_G,AC333,AVERE,"&gt;"&amp;0)+SUMIFS(DARE,DEN_G,AC333,DARE,"&gt;"&amp;0)&gt;0,MAX($CU$2:CU332)+1,0)</f>
        <v>0</v>
      </c>
      <c r="CV333" s="48" t="str">
        <f ca="1">IF(IFERROR(INDEX(PDC,MATCH(ROWS($CV$3:CV333),$CU$3:$CU$400,0),2),"")="CONTO DI RISULTATO ECONOMICO","",IFERROR(INDEX(PDC,MATCH(ROWS($CV$3:CV333),$CU$3:$CU$400,0),2),""))</f>
        <v/>
      </c>
      <c r="CW333" s="48">
        <f ca="1">IFERROR(IF(CV333&lt;&gt;"",MAX($CW$2:CW332)+1,0),0)</f>
        <v>0</v>
      </c>
      <c r="CX333" s="48">
        <f t="shared" ca="1" si="667"/>
        <v>26</v>
      </c>
      <c r="CY333" s="48" t="str">
        <f t="shared" ca="1" si="665"/>
        <v>MASTRO</v>
      </c>
      <c r="CZ333" s="48" t="e">
        <f t="shared" ca="1" si="671"/>
        <v>#N/A</v>
      </c>
      <c r="DA333" s="48" t="str">
        <f t="shared" ca="1" si="675"/>
        <v/>
      </c>
      <c r="DB333" s="48" t="str">
        <f t="shared" ca="1" si="592"/>
        <v/>
      </c>
      <c r="DC333" s="48" t="str">
        <f t="shared" ca="1" si="672"/>
        <v/>
      </c>
      <c r="DD333" s="48" t="str">
        <f t="shared" ca="1" si="673"/>
        <v/>
      </c>
      <c r="DE333" s="48" t="str">
        <f t="shared" ca="1" si="674"/>
        <v/>
      </c>
      <c r="DF333" s="48">
        <f ca="1">IF(AND(CX333=$DF$1,CX333&lt;&gt;""),0,IF(AND(DB333&lt;&gt;"",OR(DB332&lt;&gt;"",DB334&lt;&gt;"")),MAX($DF$2:DF332)+1,0))</f>
        <v>0</v>
      </c>
      <c r="DH333" s="244" t="s">
        <v>904</v>
      </c>
      <c r="DI333" s="48" t="s">
        <v>236</v>
      </c>
      <c r="DJ333" s="48" t="s">
        <v>311</v>
      </c>
      <c r="DK333" s="48" t="s">
        <v>275</v>
      </c>
      <c r="DL333" s="48" t="s">
        <v>7</v>
      </c>
      <c r="DM333" s="48" t="s">
        <v>301</v>
      </c>
      <c r="DN333" s="48">
        <f ca="1">IF(DI333&lt;&gt;"",MAX($DN$2:DN332)+1,0)</f>
        <v>264</v>
      </c>
      <c r="DO333" s="48" t="str">
        <f t="shared" ca="1" si="666"/>
        <v>eb10a</v>
      </c>
      <c r="DQ333" s="251" t="s">
        <v>242</v>
      </c>
      <c r="DR333" s="228" t="s">
        <v>1081</v>
      </c>
      <c r="DW333" s="48">
        <f ca="1">IF(DR333&lt;&gt;"",MAX($DW$2:DW332)+1,0)</f>
        <v>202</v>
      </c>
      <c r="DY333" s="48" t="str">
        <f t="shared" ca="1" si="647"/>
        <v/>
      </c>
      <c r="EL333" s="48">
        <f t="shared" ca="1" si="648"/>
        <v>0</v>
      </c>
      <c r="EM333" s="48">
        <f ca="1">IF(EL333&gt;=0,0,MAX($EM$2:EM332)+1)</f>
        <v>0</v>
      </c>
      <c r="EN333" s="48" t="str">
        <f t="shared" ca="1" si="658"/>
        <v/>
      </c>
      <c r="EO333" s="48" t="str">
        <f ca="1">IFERROR(INDEX($EM$3:$EN$400,MATCH(ROWS($EO$3:EO333),$EM$3:$EM$400,0),2),"")</f>
        <v/>
      </c>
      <c r="EP333" s="48">
        <f>ROW()</f>
        <v>333</v>
      </c>
      <c r="EQ333" s="48">
        <f t="shared" ca="1" si="649"/>
        <v>0</v>
      </c>
      <c r="ER333" s="48">
        <f ca="1">IF(ISNA(EQ333)=TRUE,MAX($ER$2:ER332)+1,0)</f>
        <v>0</v>
      </c>
      <c r="ES333" s="48" t="str">
        <f t="shared" ca="1" si="659"/>
        <v/>
      </c>
      <c r="ET333" s="48" t="str">
        <f ca="1">IFERROR(INDEX($ER$3:$ES$400,MATCH(ROWS($ET$3:ET333),$ER$3:$ER$400,0),2),"")</f>
        <v/>
      </c>
      <c r="EV333" s="48">
        <f ca="1">IFERROR(INDEX(LIBRO_GIORNALE!$O$11:$P$408,MATCH(ROWS($EV$2:EV332),LIBRO_GIORNALE!$P$11:$P$408,0),1),0)</f>
        <v>0</v>
      </c>
      <c r="EW333" s="48" t="str">
        <f t="shared" ca="1" si="629"/>
        <v>0</v>
      </c>
      <c r="EX333" s="48">
        <f t="shared" ca="1" si="660"/>
        <v>0</v>
      </c>
      <c r="EY333" s="48">
        <f ca="1">IF(EX333&gt;0,MAX($EY$2:EY332)+1,0)</f>
        <v>0</v>
      </c>
      <c r="EZ333" s="48">
        <f ca="1">IFERROR(INDEX($EX$3:$EX$400,MATCH(ROWS($EZ$3:EZ333),$EY$3:$EY$400,0),1),0)</f>
        <v>0</v>
      </c>
      <c r="FA333" s="48">
        <f ca="1">IF(EZ333&gt;0,0,MAX($FA$2:FA332)+1)</f>
        <v>331</v>
      </c>
      <c r="FB333" s="48">
        <f t="shared" ca="1" si="630"/>
        <v>0</v>
      </c>
      <c r="FC333" s="48">
        <f t="shared" ca="1" si="631"/>
        <v>331</v>
      </c>
      <c r="FD333" s="48">
        <f t="shared" ca="1" si="661"/>
        <v>331</v>
      </c>
      <c r="FE333" s="48">
        <f ca="1">IF(FD333=0,0,MAX($FE$2:FE332)+1)</f>
        <v>331</v>
      </c>
      <c r="FF333" s="48">
        <f ca="1">IFERROR(INDEX($FD$3:$FE$400,MATCH(ROWS($FF$3:FF333),$FE$3:$FE$400,0),1),"")</f>
        <v>331</v>
      </c>
      <c r="FG333" s="48">
        <f t="shared" si="610"/>
        <v>0</v>
      </c>
      <c r="FH333" s="48">
        <f t="shared" ca="1" si="662"/>
        <v>0</v>
      </c>
      <c r="FI333" s="48">
        <f ca="1">IF(FH333&lt;&gt;0,MAX($FI$2:FI332)+1,0)</f>
        <v>0</v>
      </c>
      <c r="FJ333" s="48" t="str">
        <f ca="1">IFERROR(INDEX($FH$3:$FI$400,MATCH(ROWS($FJ$3:FJ333),$FI$3:$FI$400,0),1),"")</f>
        <v/>
      </c>
      <c r="FK333" s="48">
        <f ca="1">IF(ABS(SUMIFS(DARE,DEN_G,"="&amp;FJ333,DATA,"&lt;="&amp;FINE_AC,DATA,"&gt;="&amp;INIZIO_A_PC)-SUMIFS(AVERE,DEN_G,"="&amp;FJ333,DATA,"&lt;="&amp;FINE_AC,DATA,"&gt;="&amp;INIZIO_A_PC))&gt;0,MAX($FK$2:FK332)+1,0)</f>
        <v>0</v>
      </c>
      <c r="FL333" s="48" t="str">
        <f ca="1">IF(AND(ROW()-2&lt;&gt;1,ROW()-2&lt;=$FK$1),CONCATENATE(" - ",IFERROR(INDEX($FJ$3:$FK$400,MATCH(ROWS($FL$3:FL333),$FK$3:$FK$400,0),1),"")),IFERROR(INDEX($FJ$3:$FK$400,MATCH(ROWS($FL$3:FL333),$FK$3:$FK$400,0),1),""))</f>
        <v/>
      </c>
      <c r="FM333" s="48">
        <f ca="1">IF(OR(B333="IVA ns/credito",B333="IVA NS/DEBITO",B333="IVA C/ACCONTO",B333="IMPOSTE C/ACCONTO",B333="CREDITI PER RITENUTE SUBITE",B333="CREDITI D'IMPOSTA"),MAX($FM$2:FM332)+1,0)</f>
        <v>0</v>
      </c>
      <c r="FN333" s="48" t="str">
        <f t="shared" ca="1" si="663"/>
        <v/>
      </c>
      <c r="FO333" s="48" t="str">
        <f ca="1">IFERROR(INDEX($FM$3:$FN$400,MATCH(ROWS($FO$3:FO333),$FM$3:$FM$400,0),2),"")</f>
        <v/>
      </c>
      <c r="FP333" s="48">
        <f ca="1">IF(ABS(SUMIFS(DARE,DEN_G,"="&amp;FO333,DATA,"&lt;="&amp;FINE_AC,DATA,"&gt;="&amp;INIZIO_A_PC)-SUMIFS(AVERE,DEN_G,"="&amp;FO333,DATA,"&lt;="&amp;FINE_AC,DATA,"&gt;="&amp;INIZIO_A_PC))&gt;0,MAX($FP$2:FP332)+1,0)</f>
        <v>0</v>
      </c>
      <c r="FQ333" s="48" t="str">
        <f ca="1">IF(AND(ROW()-2&lt;&gt;1,ROW()-2&lt;=$FP$1),CONCATENATE(" - ",IFERROR(INDEX($FO$3:$FP$400,MATCH(ROWS($FQ$3:FQ333),$FP$3:$FP$400,0),1),"")),IFERROR(INDEX($FO$3:$FP$400,MATCH(ROWS($FQ$3:FQ333),$FP$3:$FP$400,0),1),""))</f>
        <v/>
      </c>
    </row>
    <row r="334" spans="1:173" x14ac:dyDescent="0.3">
      <c r="A334" s="48" t="str">
        <f ca="1">IFERROR(IF($A$1=2,INDEX($DH$3:$DN$401,MATCH(ROWS(A$3:A334),$DN$3:$DN$401,0),COLUMN()),IF($A$1=1,INDEX($DQ$3:$DW$401,MATCH(ROWS(A$3:A334),$DW$3:$DW$401,0),COLUMN()),"")),"")</f>
        <v/>
      </c>
      <c r="B334" s="48" t="str">
        <f ca="1">IFERROR(IF($A$1=2,INDEX($DH$3:$DN$401,MATCH(ROWS(B$3:B334),$DN$3:$DN$401,0),COLUMN()),IF($A$1=1,INDEX($DQ$3:$DW$400,MATCH(ROWS(B$3:B334),$DW$3:$DW$401,0),COLUMN()),"")),"")</f>
        <v/>
      </c>
      <c r="C334" s="48" t="str">
        <f ca="1">IFERROR(IF($A$1=2,INDEX($DH$3:$DN$401,MATCH(ROWS(C$3:C334),$DN$3:$DN$401,0),COLUMN()),IF($A$1=1,INDEX($DQ$3:$DW$401,MATCH(ROWS(C$3:C334),$DW$3:$DW$401,0),COLUMN()),"")),"")</f>
        <v/>
      </c>
      <c r="D334" s="48" t="str">
        <f ca="1">IFERROR(IF($A$1=2,INDEX($DH$3:$DN$401,MATCH(ROWS(D$3:D334),$DN$3:$DN$401,0),COLUMN()),IF($A$1=1,INDEX($DQ$3:$DW$401,MATCH(ROWS(D$3:D334),$DW$3:$DW$401,0),COLUMN()),"")),"")</f>
        <v/>
      </c>
      <c r="E334" s="48" t="str">
        <f ca="1">IFERROR(IF($A$1=2,INDEX($DH$3:$DN$401,MATCH(ROWS(E$3:E334),$DN$3:$DN$401,0),COLUMN()),IF($A$1=1,INDEX($DQ$3:$DW$401,MATCH(ROWS(E$3:E334),$DW$3:$DW$401,0),COLUMN()),"")),"")</f>
        <v/>
      </c>
      <c r="F334" s="48" t="str">
        <f ca="1">IFERROR(IF($A$1=2,INDEX($DH$3:$DN$401,MATCH(ROWS(F$3:F334),$DN$3:$DN$401,0),COLUMN()),IF($A$1=1,INDEX($DQ$3:$DX$401,MATCH(ROWS(F$3:F334),$DW$3:$DW$401,0),COLUMN()),"")),"")</f>
        <v/>
      </c>
      <c r="G334" s="48" t="str">
        <f t="shared" ca="1" si="650"/>
        <v/>
      </c>
      <c r="H334" s="48" t="str">
        <f ca="1">IFERROR(IF($A$1=2,INDEX($DH$3:$DO$400,MATCH(ROWS(H$3:H334),$DN$3:$DN$400,0),COLUMN()),IF($A$1=1,INDEX($DQ$3:$DX$400,MATCH(ROWS(H$3:H334),$DW$3:$DW$400,0),COLUMN()),"")),"")</f>
        <v/>
      </c>
      <c r="M334" s="48">
        <f ca="1">IFERROR(IF(IF(MID($A334,3,3)=".00",MID(A334,1,2),"")&lt;&gt;"",MAX($M$2:M333)+1,0),"")</f>
        <v>0</v>
      </c>
      <c r="N334" s="48" t="str">
        <f t="shared" ca="1" si="651"/>
        <v/>
      </c>
      <c r="O334" s="48" t="str">
        <f ca="1">IF(IFERROR(INDEX($N$3:$O$300,MATCH(ROWS($O$3:O334),$M$3:$M$300,0),1),"")&lt;&gt;"",CONCATENATE(INDEX($N$3:$O$300,MATCH(ROWS($O$3:O334),$M$3:$M$300,0),1),".00"),"")</f>
        <v/>
      </c>
      <c r="P334" s="48" t="str">
        <f t="shared" ca="1" si="652"/>
        <v/>
      </c>
      <c r="Q334" s="48">
        <f ca="1">IF(M334&gt;=1,0,MAX($Q$2:Q333)+1)</f>
        <v>295</v>
      </c>
      <c r="U334" s="48" t="str">
        <f ca="1">IFERROR(INDEX(PDC,MATCH(ROWS(U$3:U334),$V$3:$V$400,0),2),"")</f>
        <v/>
      </c>
      <c r="V334" s="48">
        <f ca="1">IF(AND($T$1="VISUALIZZA TUTTI I CONTI",AA334&lt;&gt;""),MAX($V$2:V333)+1,IF(AND($U$2=2,AI334=$T$1),MAX($V$2:V333)+1,IF(AND($U$2=1,$T$1=AF334),MAX($V$2:V333)+1,0)))</f>
        <v>0</v>
      </c>
      <c r="AA334" s="48" t="str">
        <f t="shared" ca="1" si="653"/>
        <v/>
      </c>
      <c r="AB334" s="48" t="str">
        <f ca="1">IFERROR(INDEX($A$3:$G$400,MATCH(ROWS(AB$3:AB334),$Q$3:$Q$400,0),1),"")</f>
        <v/>
      </c>
      <c r="AC334" s="48" t="str">
        <f ca="1">IFERROR(INDEX($A$3:$G$400,MATCH(ROWS($AC$3:AC334),$Q$3:$Q$400,0),2),"")</f>
        <v/>
      </c>
      <c r="AD334" s="48">
        <f ca="1">IFERROR(INDEX($A$3:$G$400,MATCH(ROWS(AD$3:AD334),$Q$3:$Q$400,0),3),"")</f>
        <v>0</v>
      </c>
      <c r="AE334" s="48" t="str">
        <f ca="1">IFERROR(INDEX($A$3:$G$400,MATCH(ROWS(AE$3:AE334),$Q$3:$Q$400,0),4),"")</f>
        <v/>
      </c>
      <c r="AF334" s="48" t="str">
        <f ca="1">IFERROR(INDEX($A$3:$G$400,MATCH(ROWS(AF$3:AF334),$Q$3:$Q$400,0),5),"")</f>
        <v/>
      </c>
      <c r="AG334" s="48" t="str">
        <f ca="1">IFERROR(INDEX($A$3:$G$400,MATCH(ROWS(AG$3:AG334),$Q$3:$Q$400,0),6),"")</f>
        <v/>
      </c>
      <c r="AH334" s="48" t="str">
        <f ca="1">IFERROR(INDEX($A$3:$G$400,MATCH(ROWS(AH$3:AH334),$Q$3:$Q$400,0),7),"")</f>
        <v/>
      </c>
      <c r="AI334" s="48" t="str">
        <f t="shared" ca="1" si="654"/>
        <v/>
      </c>
      <c r="AJ334" s="48" t="str">
        <f ca="1">IFERROR(INDEX($A$3:$H$400,MATCH(ROWS(AJ$3:AJ334),$Q$3:$Q$400,0),8),"")</f>
        <v/>
      </c>
      <c r="AZ334" s="48" t="str">
        <f t="shared" ca="1" si="669"/>
        <v/>
      </c>
      <c r="BA334" s="48">
        <f t="shared" ca="1" si="611"/>
        <v>0</v>
      </c>
      <c r="BB334" s="48">
        <f t="shared" ca="1" si="612"/>
        <v>0</v>
      </c>
      <c r="BC334" s="48">
        <f t="shared" ca="1" si="613"/>
        <v>0</v>
      </c>
      <c r="BD334" s="48">
        <f t="shared" ca="1" si="614"/>
        <v>0</v>
      </c>
      <c r="BE334" s="48">
        <f t="shared" ca="1" si="615"/>
        <v>0</v>
      </c>
      <c r="BF334" s="48">
        <f t="shared" si="670"/>
        <v>134</v>
      </c>
      <c r="BG334" s="48">
        <f ca="1">IF(IF(AND(OR(INDEX(PDC,MATCH($AC334,DEN_PDC,0),6)="SP DARE",INDEX(PDC,MATCH($AC334,DEN_PDC,0),6)="SP DARE/AVERE"),SUMIFS(DARE,DEN_G,$AC334)&gt;=SUMIFS(AVERE,DEN_G,$AC334)),SUMIFS(DARE,DEN_G,$AC334)-SUMIFS(AVERE,DEN_G,$AC334),0)&gt;0,MAX($BG$2:BG333)+1,0)</f>
        <v>0</v>
      </c>
      <c r="BH334" s="48">
        <f ca="1">IF(IF(AND(OR(INDEX(PDC,MATCH($AC334,DEN_PDC,0),6)="SP AVERE",INDEX(PDC,MATCH($AC334,DEN_PDC,0),6)="SP DARE/AVERE"),SUMIFS(AVERE,DEN_G,$AC334)&gt;=SUMIFS(DARE,DEN_G,$AC334)),SUMIFS(AVERE,DEN_G,$AC334)-SUMIFS(DARE,DEN_G,$AC334),0)&gt;0,MAX(BH$2:BH333)+1,0)</f>
        <v>0</v>
      </c>
      <c r="BI334" s="48">
        <f ca="1">IF(IF(AND(OR(INDEX(PDC,MATCH($AC334,DEN_PDC,0),6)="SE DARE",INDEX(PDC,MATCH($AC334,DEN_PDC,0),6)="SE DARE/AVERE"),SUMIFS(DARE,DEN_G,$AC334)&gt;=SUMIFS(AVERE,DEN_G,$AC334)),SUMIFS(DARE,DEN_G,$AC334)-SUMIFS(AVERE,DEN_G,$AC334),0)&gt;0,MAX(BI$2:BI333)+1,0)</f>
        <v>0</v>
      </c>
      <c r="BJ334" s="48">
        <f ca="1">IF(IF(AND(OR(INDEX(PDC,MATCH($AC334,DEN_PDC,0),6)="SE AVERE",INDEX(PDC,MATCH($AC334,DEN_PDC,0),6)="SE DARE/AVERE"),SUMIFS(AVERE,DEN_G,$AC334)&gt;=SUMIFS(DARE,DEN_G,$AC334)),SUMIFS(AVERE,DEN_G,$AC334)-SUMIFS(DARE,DEN_G,$AC334),0)&gt;0,MAX(BJ$2:BJ333)+1,0)</f>
        <v>0</v>
      </c>
      <c r="BK334" s="48" t="str">
        <f ca="1">IF(AND(AND($DY$2=0,$DY$1=0),$I$1=2,ROW()&gt;$BG$1+2,ROW()&lt;=$BG$1+4),"………………..",IF(AND(OR($DY$2&gt;0,$DY$1&gt;0),$I$1=2,ROW()&gt;$BG$1+2,ROW()&lt;=$BG$1+4),"………………..",IFERROR(INDEX($AC$3:$AC$398,MATCH(ROWS(BK$3:BK334),BG$3:BG$398,0),1),"")))</f>
        <v/>
      </c>
      <c r="BL334" s="48">
        <f t="shared" ca="1" si="637"/>
        <v>0</v>
      </c>
      <c r="BM334" s="48" t="str">
        <f ca="1">IF(AND(OR($DY$2=0,$DY$1=0),$I$1=2,ROW()&gt;$BH$1+2,ROW()&lt;=$BH$1+4),"………………..",IF(AND(OR($DY$2&gt;0,$DY$1&gt;0),$I$1=2,ROW()&gt;$BH$1+2,ROW()&lt;=$BH$1+4),"………………..",IFERROR(INDEX($AC$3:$AC$400,MATCH(ROWS(BM$3:BM334),BH$3:BH$400,0),1),"")))</f>
        <v/>
      </c>
      <c r="BN334" s="48">
        <f t="shared" ca="1" si="638"/>
        <v>0</v>
      </c>
      <c r="BO334" s="48" t="str">
        <f ca="1">IF(AND(OR($DY$2=0,$DY$1=0),$I$1=2,ROW()&gt;$BI$1+2,ROW()&lt;=$BI$1+4),"………………..",IF(AND(OR($DY$2&gt;0,$DY$1&gt;0),$I$1=2,ROW()&gt;$BI$1+2,ROW()&lt;=$BI$1+4),"………………..",IFERROR(INDEX($AC$3:$AC$400,MATCH(ROWS(BO$3:BO334),BI$3:BI$400,0),1),"")))</f>
        <v/>
      </c>
      <c r="BP334" s="48">
        <f t="shared" ca="1" si="639"/>
        <v>0</v>
      </c>
      <c r="BQ334" s="48" t="str">
        <f ca="1">IF(AND(OR($DY$2=0,$DY$1=0),$I$1=2,ROW()&gt;$BJ$1+2,ROW()&lt;=$BJ$1+4),"………………..",IF(AND(OR($DY$2&gt;0,$DY$1&gt;0),$I$1=2,ROW()&gt;$BJ$1+2,ROW()&lt;=$BJ$1+4),"………………..",IFERROR(INDEX($AC$3:$AC$400,MATCH(ROWS(BQ$3:BQ334),BJ$3:BJ$400,0),1),"")))</f>
        <v/>
      </c>
      <c r="BR334" s="48">
        <f t="shared" ca="1" si="640"/>
        <v>0</v>
      </c>
      <c r="BS334" s="48">
        <f ca="1">IF(IF(AND(OR(INDEX(PDC,MATCH($AC334,DEN_PDC,0),4)="D",INDEX(PDC,MATCH($AC334,DEN_PDC,0),4)="D/A"),SUMIFS(DARE,DEN_G,$AC334)&gt;=SUMIFS(AVERE,DEN_G,$AC334)),SUMIFS(DARE,DEN_G,$AC334),IF(AND(OR(INDEX(PDC,MATCH($AC334,DEN_PDC,0),4)="A",INDEX(PDC,MATCH($AC334,DEN_PDC,0),4)="D/A"),SUMIFS(AVERE,DEN_G,$AC334)&gt;=SUMIFS(DARE,DEN_G,$AC334)),SUMIFS(AVERE,DEN_G,$AC334),))&gt;0,MAX($BS$2:BS333)+1,0)</f>
        <v>0</v>
      </c>
      <c r="BT334" s="48" t="str">
        <f ca="1">IF($CO$1=0,"",IF(AND($I$1=2,ROW()&gt;$BR$1,ROW()&lt;=$BS$1)," …………….",IF(AND($E$1=1,$BX$1=1,$I$1=2,ROW()=$BQ$1),"TOTALI",IFERROR(INDEX(PDC,MATCH(ROWS(BT$3:BT334),BS$3:BS731,0),2),""))))</f>
        <v/>
      </c>
      <c r="BU334" s="48">
        <f t="shared" ca="1" si="641"/>
        <v>0</v>
      </c>
      <c r="BV334" s="48">
        <f t="shared" ca="1" si="642"/>
        <v>0</v>
      </c>
      <c r="BW334" s="48">
        <f t="shared" ca="1" si="643"/>
        <v>0</v>
      </c>
      <c r="BX334" s="48">
        <f t="shared" ca="1" si="644"/>
        <v>0</v>
      </c>
      <c r="BY334" s="48">
        <f ca="1">IF(OR(BW334&gt;0,BX334&gt;0),MAX($BY$2:BY333)+1,0)</f>
        <v>0</v>
      </c>
      <c r="BZ334" s="48" t="str">
        <f ca="1">IFERROR(INDEX($BT$3:$BY$400,MATCH(ROWS(BZ$3:BZ334),$BY$3:$BY$400,0),1),"")</f>
        <v/>
      </c>
      <c r="CA334" s="48" t="str">
        <f ca="1">IFERROR(INDEX($BT$3:$BY$400,MATCH(ROWS(CA$3:CA334),$BY$3:$BY$400,0),4),"")</f>
        <v/>
      </c>
      <c r="CB334" s="48" t="str">
        <f ca="1">IFERROR(INDEX($BT$3:$BY$400,MATCH(ROWS(CB$3:CB334),$BY$3:$BY$400,0),5),"")</f>
        <v/>
      </c>
      <c r="CC334" s="48" t="str">
        <f t="shared" ca="1" si="645"/>
        <v/>
      </c>
      <c r="CM334" s="242" t="str">
        <f t="shared" ca="1" si="655"/>
        <v/>
      </c>
      <c r="CN334" s="243">
        <f t="shared" ca="1" si="656"/>
        <v>0</v>
      </c>
      <c r="CO334" s="48" t="str">
        <f t="shared" ca="1" si="657"/>
        <v/>
      </c>
      <c r="CU334" s="48">
        <f ca="1">IF(SUMIFS(AVERE,DEN_G,AC334,AVERE,"&gt;"&amp;0)+SUMIFS(DARE,DEN_G,AC334,DARE,"&gt;"&amp;0)&gt;0,MAX($CU$2:CU333)+1,0)</f>
        <v>0</v>
      </c>
      <c r="CV334" s="48" t="str">
        <f ca="1">IF(IFERROR(INDEX(PDC,MATCH(ROWS($CV$3:CV334),$CU$3:$CU$400,0),2),"")="CONTO DI RISULTATO ECONOMICO","",IFERROR(INDEX(PDC,MATCH(ROWS($CV$3:CV334),$CU$3:$CU$400,0),2),""))</f>
        <v/>
      </c>
      <c r="CW334" s="48">
        <f ca="1">IFERROR(IF(CV334&lt;&gt;"",MAX($CW$2:CW333)+1,0),0)</f>
        <v>0</v>
      </c>
      <c r="CX334" s="48">
        <f t="shared" ca="1" si="667"/>
        <v>26</v>
      </c>
      <c r="CY334" s="48" t="str">
        <f t="shared" ca="1" si="665"/>
        <v>MASTRO</v>
      </c>
      <c r="CZ334" s="48" t="e">
        <f t="shared" ca="1" si="671"/>
        <v>#N/A</v>
      </c>
      <c r="DA334" s="48" t="str">
        <f t="shared" ca="1" si="675"/>
        <v/>
      </c>
      <c r="DB334" s="48" t="str">
        <f t="shared" ca="1" si="592"/>
        <v/>
      </c>
      <c r="DC334" s="48" t="str">
        <f t="shared" ca="1" si="672"/>
        <v/>
      </c>
      <c r="DD334" s="48" t="str">
        <f t="shared" ca="1" si="673"/>
        <v/>
      </c>
      <c r="DE334" s="48" t="str">
        <f t="shared" ca="1" si="674"/>
        <v/>
      </c>
      <c r="DF334" s="48">
        <f ca="1">IF(AND(CX334=$DF$1,CX334&lt;&gt;""),0,IF(AND(DB334&lt;&gt;"",OR(DB333&lt;&gt;"",DB335&lt;&gt;"")),MAX($DF$2:DF333)+1,0))</f>
        <v>0</v>
      </c>
      <c r="DH334" s="244" t="s">
        <v>905</v>
      </c>
      <c r="DI334" s="48" t="s">
        <v>237</v>
      </c>
      <c r="DJ334" s="48" t="s">
        <v>311</v>
      </c>
      <c r="DK334" s="48" t="s">
        <v>275</v>
      </c>
      <c r="DL334" s="48" t="s">
        <v>7</v>
      </c>
      <c r="DM334" s="48" t="s">
        <v>301</v>
      </c>
      <c r="DN334" s="48">
        <f ca="1">IF(DI334&lt;&gt;"",MAX($DN$2:DN333)+1,0)</f>
        <v>265</v>
      </c>
      <c r="DO334" s="48" t="str">
        <f t="shared" ca="1" si="666"/>
        <v>eb10a</v>
      </c>
      <c r="DQ334" s="227" t="s">
        <v>906</v>
      </c>
      <c r="DR334" s="48" t="s">
        <v>243</v>
      </c>
      <c r="DS334" s="48" t="s">
        <v>311</v>
      </c>
      <c r="DT334" s="48" t="s">
        <v>275</v>
      </c>
      <c r="DU334" s="48" t="s">
        <v>7</v>
      </c>
      <c r="DV334" s="48" t="s">
        <v>301</v>
      </c>
      <c r="DW334" s="48">
        <f ca="1">IF(DR334&lt;&gt;"",MAX($DW$2:DW333)+1,0)</f>
        <v>203</v>
      </c>
      <c r="DX334" s="48" t="s">
        <v>719</v>
      </c>
      <c r="DY334" s="48" t="str">
        <f t="shared" ca="1" si="647"/>
        <v/>
      </c>
      <c r="EL334" s="48">
        <f t="shared" ca="1" si="648"/>
        <v>0</v>
      </c>
      <c r="EM334" s="48">
        <f ca="1">IF(EL334&gt;=0,0,MAX($EM$2:EM333)+1)</f>
        <v>0</v>
      </c>
      <c r="EN334" s="48" t="str">
        <f t="shared" ca="1" si="658"/>
        <v/>
      </c>
      <c r="EO334" s="48" t="str">
        <f ca="1">IFERROR(INDEX($EM$3:$EN$400,MATCH(ROWS($EO$3:EO334),$EM$3:$EM$400,0),2),"")</f>
        <v/>
      </c>
      <c r="EP334" s="48">
        <f>ROW()</f>
        <v>334</v>
      </c>
      <c r="EQ334" s="48">
        <f t="shared" ca="1" si="649"/>
        <v>0</v>
      </c>
      <c r="ER334" s="48">
        <f ca="1">IF(ISNA(EQ334)=TRUE,MAX($ER$2:ER333)+1,0)</f>
        <v>0</v>
      </c>
      <c r="ES334" s="48" t="str">
        <f t="shared" ca="1" si="659"/>
        <v/>
      </c>
      <c r="ET334" s="48" t="str">
        <f ca="1">IFERROR(INDEX($ER$3:$ES$400,MATCH(ROWS($ET$3:ET334),$ER$3:$ER$400,0),2),"")</f>
        <v/>
      </c>
      <c r="EV334" s="48">
        <f ca="1">IFERROR(INDEX(LIBRO_GIORNALE!$O$11:$P$408,MATCH(ROWS($EV$2:EV333),LIBRO_GIORNALE!$P$11:$P$408,0),1),0)</f>
        <v>0</v>
      </c>
      <c r="EW334" s="48" t="str">
        <f t="shared" ca="1" si="629"/>
        <v>0</v>
      </c>
      <c r="EX334" s="48">
        <f t="shared" ca="1" si="660"/>
        <v>0</v>
      </c>
      <c r="EY334" s="48">
        <f ca="1">IF(EX334&gt;0,MAX($EY$2:EY333)+1,0)</f>
        <v>0</v>
      </c>
      <c r="EZ334" s="48">
        <f ca="1">IFERROR(INDEX($EX$3:$EX$400,MATCH(ROWS($EZ$3:EZ334),$EY$3:$EY$400,0),1),0)</f>
        <v>0</v>
      </c>
      <c r="FA334" s="48">
        <f ca="1">IF(EZ334&gt;0,0,MAX($FA$2:FA333)+1)</f>
        <v>332</v>
      </c>
      <c r="FB334" s="48">
        <f t="shared" ca="1" si="630"/>
        <v>0</v>
      </c>
      <c r="FC334" s="48">
        <f t="shared" ca="1" si="631"/>
        <v>332</v>
      </c>
      <c r="FD334" s="48">
        <f t="shared" ca="1" si="661"/>
        <v>332</v>
      </c>
      <c r="FE334" s="48">
        <f ca="1">IF(FD334=0,0,MAX($FE$2:FE333)+1)</f>
        <v>332</v>
      </c>
      <c r="FF334" s="48">
        <f ca="1">IFERROR(INDEX($FD$3:$FE$400,MATCH(ROWS($FF$3:FF334),$FE$3:$FE$400,0),1),"")</f>
        <v>332</v>
      </c>
      <c r="FG334" s="48">
        <f t="shared" si="610"/>
        <v>0</v>
      </c>
      <c r="FH334" s="48">
        <f t="shared" ca="1" si="662"/>
        <v>0</v>
      </c>
      <c r="FI334" s="48">
        <f ca="1">IF(FH334&lt;&gt;0,MAX($FI$2:FI333)+1,0)</f>
        <v>0</v>
      </c>
      <c r="FJ334" s="48" t="str">
        <f ca="1">IFERROR(INDEX($FH$3:$FI$400,MATCH(ROWS($FJ$3:FJ334),$FI$3:$FI$400,0),1),"")</f>
        <v/>
      </c>
      <c r="FK334" s="48">
        <f ca="1">IF(ABS(SUMIFS(DARE,DEN_G,"="&amp;FJ334,DATA,"&lt;="&amp;FINE_AC,DATA,"&gt;="&amp;INIZIO_A_PC)-SUMIFS(AVERE,DEN_G,"="&amp;FJ334,DATA,"&lt;="&amp;FINE_AC,DATA,"&gt;="&amp;INIZIO_A_PC))&gt;0,MAX($FK$2:FK333)+1,0)</f>
        <v>0</v>
      </c>
      <c r="FL334" s="48" t="str">
        <f ca="1">IF(AND(ROW()-2&lt;&gt;1,ROW()-2&lt;=$FK$1),CONCATENATE(" - ",IFERROR(INDEX($FJ$3:$FK$400,MATCH(ROWS($FL$3:FL334),$FK$3:$FK$400,0),1),"")),IFERROR(INDEX($FJ$3:$FK$400,MATCH(ROWS($FL$3:FL334),$FK$3:$FK$400,0),1),""))</f>
        <v/>
      </c>
      <c r="FM334" s="48">
        <f ca="1">IF(OR(B334="IVA ns/credito",B334="IVA NS/DEBITO",B334="IVA C/ACCONTO",B334="IMPOSTE C/ACCONTO",B334="CREDITI PER RITENUTE SUBITE",B334="CREDITI D'IMPOSTA"),MAX($FM$2:FM333)+1,0)</f>
        <v>0</v>
      </c>
      <c r="FN334" s="48" t="str">
        <f t="shared" ca="1" si="663"/>
        <v/>
      </c>
      <c r="FO334" s="48" t="str">
        <f ca="1">IFERROR(INDEX($FM$3:$FN$400,MATCH(ROWS($FO$3:FO334),$FM$3:$FM$400,0),2),"")</f>
        <v/>
      </c>
      <c r="FP334" s="48">
        <f ca="1">IF(ABS(SUMIFS(DARE,DEN_G,"="&amp;FO334,DATA,"&lt;="&amp;FINE_AC,DATA,"&gt;="&amp;INIZIO_A_PC)-SUMIFS(AVERE,DEN_G,"="&amp;FO334,DATA,"&lt;="&amp;FINE_AC,DATA,"&gt;="&amp;INIZIO_A_PC))&gt;0,MAX($FP$2:FP333)+1,0)</f>
        <v>0</v>
      </c>
      <c r="FQ334" s="48" t="str">
        <f ca="1">IF(AND(ROW()-2&lt;&gt;1,ROW()-2&lt;=$FP$1),CONCATENATE(" - ",IFERROR(INDEX($FO$3:$FP$400,MATCH(ROWS($FQ$3:FQ334),$FP$3:$FP$400,0),1),"")),IFERROR(INDEX($FO$3:$FP$400,MATCH(ROWS($FQ$3:FQ334),$FP$3:$FP$400,0),1),""))</f>
        <v/>
      </c>
    </row>
    <row r="335" spans="1:173" x14ac:dyDescent="0.3">
      <c r="A335" s="48" t="str">
        <f ca="1">IFERROR(IF($A$1=2,INDEX($DH$3:$DN$401,MATCH(ROWS(A$3:A335),$DN$3:$DN$401,0),COLUMN()),IF($A$1=1,INDEX($DQ$3:$DW$401,MATCH(ROWS(A$3:A335),$DW$3:$DW$401,0),COLUMN()),"")),"")</f>
        <v/>
      </c>
      <c r="B335" s="48" t="str">
        <f ca="1">IFERROR(IF($A$1=2,INDEX($DH$3:$DN$401,MATCH(ROWS(B$3:B335),$DN$3:$DN$401,0),COLUMN()),IF($A$1=1,INDEX($DQ$3:$DW$400,MATCH(ROWS(B$3:B335),$DW$3:$DW$401,0),COLUMN()),"")),"")</f>
        <v/>
      </c>
      <c r="C335" s="48" t="str">
        <f ca="1">IFERROR(IF($A$1=2,INDEX($DH$3:$DN$401,MATCH(ROWS(C$3:C335),$DN$3:$DN$401,0),COLUMN()),IF($A$1=1,INDEX($DQ$3:$DW$401,MATCH(ROWS(C$3:C335),$DW$3:$DW$401,0),COLUMN()),"")),"")</f>
        <v/>
      </c>
      <c r="D335" s="48" t="str">
        <f ca="1">IFERROR(IF($A$1=2,INDEX($DH$3:$DN$401,MATCH(ROWS(D$3:D335),$DN$3:$DN$401,0),COLUMN()),IF($A$1=1,INDEX($DQ$3:$DW$401,MATCH(ROWS(D$3:D335),$DW$3:$DW$401,0),COLUMN()),"")),"")</f>
        <v/>
      </c>
      <c r="E335" s="48" t="str">
        <f ca="1">IFERROR(IF($A$1=2,INDEX($DH$3:$DN$401,MATCH(ROWS(E$3:E335),$DN$3:$DN$401,0),COLUMN()),IF($A$1=1,INDEX($DQ$3:$DW$401,MATCH(ROWS(E$3:E335),$DW$3:$DW$401,0),COLUMN()),"")),"")</f>
        <v/>
      </c>
      <c r="F335" s="48" t="str">
        <f ca="1">IFERROR(IF($A$1=2,INDEX($DH$3:$DN$401,MATCH(ROWS(F$3:F335),$DN$3:$DN$401,0),COLUMN()),IF($A$1=1,INDEX($DQ$3:$DX$401,MATCH(ROWS(F$3:F335),$DW$3:$DW$401,0),COLUMN()),"")),"")</f>
        <v/>
      </c>
      <c r="G335" s="48" t="str">
        <f t="shared" ca="1" si="650"/>
        <v/>
      </c>
      <c r="H335" s="48" t="str">
        <f ca="1">IFERROR(IF($A$1=2,INDEX($DH$3:$DO$400,MATCH(ROWS(H$3:H335),$DN$3:$DN$400,0),COLUMN()),IF($A$1=1,INDEX($DQ$3:$DX$400,MATCH(ROWS(H$3:H335),$DW$3:$DW$400,0),COLUMN()),"")),"")</f>
        <v/>
      </c>
      <c r="M335" s="48">
        <f ca="1">IFERROR(IF(IF(MID($A335,3,3)=".00",MID(A335,1,2),"")&lt;&gt;"",MAX($M$2:M334)+1,0),"")</f>
        <v>0</v>
      </c>
      <c r="N335" s="48" t="str">
        <f t="shared" ca="1" si="651"/>
        <v/>
      </c>
      <c r="O335" s="48" t="str">
        <f ca="1">IF(IFERROR(INDEX($N$3:$O$300,MATCH(ROWS($O$3:O335),$M$3:$M$300,0),1),"")&lt;&gt;"",CONCATENATE(INDEX($N$3:$O$300,MATCH(ROWS($O$3:O335),$M$3:$M$300,0),1),".00"),"")</f>
        <v/>
      </c>
      <c r="P335" s="48" t="str">
        <f t="shared" ca="1" si="652"/>
        <v/>
      </c>
      <c r="Q335" s="48">
        <f ca="1">IF(M335&gt;=1,0,MAX($Q$2:Q334)+1)</f>
        <v>296</v>
      </c>
      <c r="U335" s="48" t="str">
        <f ca="1">IFERROR(INDEX(PDC,MATCH(ROWS(U$3:U335),$V$3:$V$400,0),2),"")</f>
        <v/>
      </c>
      <c r="V335" s="48">
        <f ca="1">IF(AND($T$1="VISUALIZZA TUTTI I CONTI",AA335&lt;&gt;""),MAX($V$2:V334)+1,IF(AND($U$2=2,AI335=$T$1),MAX($V$2:V334)+1,IF(AND($U$2=1,$T$1=AF335),MAX($V$2:V334)+1,0)))</f>
        <v>0</v>
      </c>
      <c r="AA335" s="48" t="str">
        <f t="shared" ca="1" si="653"/>
        <v/>
      </c>
      <c r="AB335" s="48" t="str">
        <f ca="1">IFERROR(INDEX($A$3:$G$400,MATCH(ROWS(AB$3:AB335),$Q$3:$Q$400,0),1),"")</f>
        <v/>
      </c>
      <c r="AC335" s="48" t="str">
        <f ca="1">IFERROR(INDEX($A$3:$G$400,MATCH(ROWS($AC$3:AC335),$Q$3:$Q$400,0),2),"")</f>
        <v/>
      </c>
      <c r="AD335" s="48">
        <f ca="1">IFERROR(INDEX($A$3:$G$400,MATCH(ROWS(AD$3:AD335),$Q$3:$Q$400,0),3),"")</f>
        <v>0</v>
      </c>
      <c r="AE335" s="48" t="str">
        <f ca="1">IFERROR(INDEX($A$3:$G$400,MATCH(ROWS(AE$3:AE335),$Q$3:$Q$400,0),4),"")</f>
        <v/>
      </c>
      <c r="AF335" s="48" t="str">
        <f ca="1">IFERROR(INDEX($A$3:$G$400,MATCH(ROWS(AF$3:AF335),$Q$3:$Q$400,0),5),"")</f>
        <v/>
      </c>
      <c r="AG335" s="48" t="str">
        <f ca="1">IFERROR(INDEX($A$3:$G$400,MATCH(ROWS(AG$3:AG335),$Q$3:$Q$400,0),6),"")</f>
        <v/>
      </c>
      <c r="AH335" s="48" t="str">
        <f ca="1">IFERROR(INDEX($A$3:$G$400,MATCH(ROWS(AH$3:AH335),$Q$3:$Q$400,0),7),"")</f>
        <v/>
      </c>
      <c r="AI335" s="48" t="str">
        <f t="shared" ca="1" si="654"/>
        <v/>
      </c>
      <c r="AJ335" s="48" t="str">
        <f ca="1">IFERROR(INDEX($A$3:$H$400,MATCH(ROWS(AJ$3:AJ335),$Q$3:$Q$400,0),8),"")</f>
        <v/>
      </c>
      <c r="AZ335" s="48" t="str">
        <f t="shared" ca="1" si="669"/>
        <v/>
      </c>
      <c r="BA335" s="48">
        <f t="shared" ca="1" si="611"/>
        <v>0</v>
      </c>
      <c r="BB335" s="48">
        <f t="shared" ca="1" si="612"/>
        <v>0</v>
      </c>
      <c r="BC335" s="48">
        <f t="shared" ca="1" si="613"/>
        <v>0</v>
      </c>
      <c r="BD335" s="48">
        <f t="shared" ca="1" si="614"/>
        <v>0</v>
      </c>
      <c r="BE335" s="48">
        <f t="shared" ca="1" si="615"/>
        <v>0</v>
      </c>
      <c r="BF335" s="48">
        <f t="shared" si="670"/>
        <v>135</v>
      </c>
      <c r="BG335" s="48">
        <f ca="1">IF(IF(AND(OR(INDEX(PDC,MATCH($AC335,DEN_PDC,0),6)="SP DARE",INDEX(PDC,MATCH($AC335,DEN_PDC,0),6)="SP DARE/AVERE"),SUMIFS(DARE,DEN_G,$AC335)&gt;=SUMIFS(AVERE,DEN_G,$AC335)),SUMIFS(DARE,DEN_G,$AC335)-SUMIFS(AVERE,DEN_G,$AC335),0)&gt;0,MAX($BG$2:BG334)+1,0)</f>
        <v>0</v>
      </c>
      <c r="BH335" s="48">
        <f ca="1">IF(IF(AND(OR(INDEX(PDC,MATCH($AC335,DEN_PDC,0),6)="SP AVERE",INDEX(PDC,MATCH($AC335,DEN_PDC,0),6)="SP DARE/AVERE"),SUMIFS(AVERE,DEN_G,$AC335)&gt;=SUMIFS(DARE,DEN_G,$AC335)),SUMIFS(AVERE,DEN_G,$AC335)-SUMIFS(DARE,DEN_G,$AC335),0)&gt;0,MAX(BH$2:BH334)+1,0)</f>
        <v>0</v>
      </c>
      <c r="BI335" s="48">
        <f ca="1">IF(IF(AND(OR(INDEX(PDC,MATCH($AC335,DEN_PDC,0),6)="SE DARE",INDEX(PDC,MATCH($AC335,DEN_PDC,0),6)="SE DARE/AVERE"),SUMIFS(DARE,DEN_G,$AC335)&gt;=SUMIFS(AVERE,DEN_G,$AC335)),SUMIFS(DARE,DEN_G,$AC335)-SUMIFS(AVERE,DEN_G,$AC335),0)&gt;0,MAX(BI$2:BI334)+1,0)</f>
        <v>0</v>
      </c>
      <c r="BJ335" s="48">
        <f ca="1">IF(IF(AND(OR(INDEX(PDC,MATCH($AC335,DEN_PDC,0),6)="SE AVERE",INDEX(PDC,MATCH($AC335,DEN_PDC,0),6)="SE DARE/AVERE"),SUMIFS(AVERE,DEN_G,$AC335)&gt;=SUMIFS(DARE,DEN_G,$AC335)),SUMIFS(AVERE,DEN_G,$AC335)-SUMIFS(DARE,DEN_G,$AC335),0)&gt;0,MAX(BJ$2:BJ334)+1,0)</f>
        <v>0</v>
      </c>
      <c r="BK335" s="48" t="str">
        <f ca="1">IF(AND(AND($DY$2=0,$DY$1=0),$I$1=2,ROW()&gt;$BG$1+2,ROW()&lt;=$BG$1+4),"………………..",IF(AND(OR($DY$2&gt;0,$DY$1&gt;0),$I$1=2,ROW()&gt;$BG$1+2,ROW()&lt;=$BG$1+4),"………………..",IFERROR(INDEX($AC$3:$AC$398,MATCH(ROWS(BK$3:BK335),BG$3:BG$398,0),1),"")))</f>
        <v/>
      </c>
      <c r="BL335" s="48">
        <f t="shared" ca="1" si="637"/>
        <v>0</v>
      </c>
      <c r="BM335" s="48" t="str">
        <f ca="1">IF(AND(OR($DY$2=0,$DY$1=0),$I$1=2,ROW()&gt;$BH$1+2,ROW()&lt;=$BH$1+4),"………………..",IF(AND(OR($DY$2&gt;0,$DY$1&gt;0),$I$1=2,ROW()&gt;$BH$1+2,ROW()&lt;=$BH$1+4),"………………..",IFERROR(INDEX($AC$3:$AC$400,MATCH(ROWS(BM$3:BM335),BH$3:BH$400,0),1),"")))</f>
        <v/>
      </c>
      <c r="BN335" s="48">
        <f t="shared" ca="1" si="638"/>
        <v>0</v>
      </c>
      <c r="BO335" s="48" t="str">
        <f ca="1">IF(AND(OR($DY$2=0,$DY$1=0),$I$1=2,ROW()&gt;$BI$1+2,ROW()&lt;=$BI$1+4),"………………..",IF(AND(OR($DY$2&gt;0,$DY$1&gt;0),$I$1=2,ROW()&gt;$BI$1+2,ROW()&lt;=$BI$1+4),"………………..",IFERROR(INDEX($AC$3:$AC$400,MATCH(ROWS(BO$3:BO335),BI$3:BI$400,0),1),"")))</f>
        <v/>
      </c>
      <c r="BP335" s="48">
        <f t="shared" ca="1" si="639"/>
        <v>0</v>
      </c>
      <c r="BQ335" s="48" t="str">
        <f ca="1">IF(AND(OR($DY$2=0,$DY$1=0),$I$1=2,ROW()&gt;$BJ$1+2,ROW()&lt;=$BJ$1+4),"………………..",IF(AND(OR($DY$2&gt;0,$DY$1&gt;0),$I$1=2,ROW()&gt;$BJ$1+2,ROW()&lt;=$BJ$1+4),"………………..",IFERROR(INDEX($AC$3:$AC$400,MATCH(ROWS(BQ$3:BQ335),BJ$3:BJ$400,0),1),"")))</f>
        <v/>
      </c>
      <c r="BR335" s="48">
        <f t="shared" ca="1" si="640"/>
        <v>0</v>
      </c>
      <c r="BS335" s="48">
        <f ca="1">IF(IF(AND(OR(INDEX(PDC,MATCH($AC335,DEN_PDC,0),4)="D",INDEX(PDC,MATCH($AC335,DEN_PDC,0),4)="D/A"),SUMIFS(DARE,DEN_G,$AC335)&gt;=SUMIFS(AVERE,DEN_G,$AC335)),SUMIFS(DARE,DEN_G,$AC335),IF(AND(OR(INDEX(PDC,MATCH($AC335,DEN_PDC,0),4)="A",INDEX(PDC,MATCH($AC335,DEN_PDC,0),4)="D/A"),SUMIFS(AVERE,DEN_G,$AC335)&gt;=SUMIFS(DARE,DEN_G,$AC335)),SUMIFS(AVERE,DEN_G,$AC335),))&gt;0,MAX($BS$2:BS334)+1,0)</f>
        <v>0</v>
      </c>
      <c r="BT335" s="48" t="str">
        <f ca="1">IF($CO$1=0,"",IF(AND($I$1=2,ROW()&gt;$BR$1,ROW()&lt;=$BS$1)," …………….",IF(AND($E$1=1,$BX$1=1,$I$1=2,ROW()=$BQ$1),"TOTALI",IFERROR(INDEX(PDC,MATCH(ROWS(BT$3:BT335),BS$3:BS732,0),2),""))))</f>
        <v/>
      </c>
      <c r="BU335" s="48">
        <f t="shared" ca="1" si="641"/>
        <v>0</v>
      </c>
      <c r="BV335" s="48">
        <f t="shared" ca="1" si="642"/>
        <v>0</v>
      </c>
      <c r="BW335" s="48">
        <f t="shared" ca="1" si="643"/>
        <v>0</v>
      </c>
      <c r="BX335" s="48">
        <f t="shared" ca="1" si="644"/>
        <v>0</v>
      </c>
      <c r="BY335" s="48">
        <f ca="1">IF(OR(BW335&gt;0,BX335&gt;0),MAX($BY$2:BY334)+1,0)</f>
        <v>0</v>
      </c>
      <c r="BZ335" s="48" t="str">
        <f ca="1">IFERROR(INDEX($BT$3:$BY$400,MATCH(ROWS(BZ$3:BZ335),$BY$3:$BY$400,0),1),"")</f>
        <v/>
      </c>
      <c r="CA335" s="48" t="str">
        <f ca="1">IFERROR(INDEX($BT$3:$BY$400,MATCH(ROWS(CA$3:CA335),$BY$3:$BY$400,0),4),"")</f>
        <v/>
      </c>
      <c r="CB335" s="48" t="str">
        <f ca="1">IFERROR(INDEX($BT$3:$BY$400,MATCH(ROWS(CB$3:CB335),$BY$3:$BY$400,0),5),"")</f>
        <v/>
      </c>
      <c r="CC335" s="48" t="str">
        <f t="shared" ca="1" si="645"/>
        <v/>
      </c>
      <c r="CM335" s="242" t="str">
        <f t="shared" ca="1" si="655"/>
        <v/>
      </c>
      <c r="CN335" s="243">
        <f t="shared" ca="1" si="656"/>
        <v>0</v>
      </c>
      <c r="CO335" s="48" t="str">
        <f t="shared" ca="1" si="657"/>
        <v/>
      </c>
      <c r="CU335" s="48">
        <f ca="1">IF(SUMIFS(AVERE,DEN_G,AC335,AVERE,"&gt;"&amp;0)+SUMIFS(DARE,DEN_G,AC335,DARE,"&gt;"&amp;0)&gt;0,MAX($CU$2:CU334)+1,0)</f>
        <v>0</v>
      </c>
      <c r="CV335" s="48" t="str">
        <f ca="1">IF(IFERROR(INDEX(PDC,MATCH(ROWS($CV$3:CV335),$CU$3:$CU$400,0),2),"")="CONTO DI RISULTATO ECONOMICO","",IFERROR(INDEX(PDC,MATCH(ROWS($CV$3:CV335),$CU$3:$CU$400,0),2),""))</f>
        <v/>
      </c>
      <c r="CW335" s="48">
        <f ca="1">IFERROR(IF(CV335&lt;&gt;"",MAX($CW$2:CW334)+1,0),0)</f>
        <v>0</v>
      </c>
      <c r="CX335" s="48">
        <f t="shared" ca="1" si="667"/>
        <v>26</v>
      </c>
      <c r="CY335" s="48" t="str">
        <f t="shared" ca="1" si="665"/>
        <v>MASTRO</v>
      </c>
      <c r="CZ335" s="48" t="e">
        <f t="shared" ca="1" si="671"/>
        <v>#N/A</v>
      </c>
      <c r="DA335" s="48" t="str">
        <f t="shared" ca="1" si="675"/>
        <v/>
      </c>
      <c r="DB335" s="48" t="str">
        <f t="shared" ca="1" si="592"/>
        <v/>
      </c>
      <c r="DC335" s="48" t="str">
        <f t="shared" ca="1" si="672"/>
        <v/>
      </c>
      <c r="DD335" s="48" t="str">
        <f t="shared" ca="1" si="673"/>
        <v/>
      </c>
      <c r="DE335" s="48" t="str">
        <f t="shared" ca="1" si="674"/>
        <v/>
      </c>
      <c r="DF335" s="48">
        <f ca="1">IF(AND(CX335=$DF$1,CX335&lt;&gt;""),0,IF(AND(DB335&lt;&gt;"",OR(DB334&lt;&gt;"",DB336&lt;&gt;"")),MAX($DF$2:DF334)+1,0))</f>
        <v>0</v>
      </c>
      <c r="DH335" s="244" t="s">
        <v>240</v>
      </c>
      <c r="DI335" s="228" t="s">
        <v>241</v>
      </c>
      <c r="DN335" s="48">
        <f ca="1">IF(DI335&lt;&gt;"",MAX($DN$2:DN334)+1,0)</f>
        <v>266</v>
      </c>
      <c r="DQ335" s="227" t="s">
        <v>907</v>
      </c>
      <c r="DR335" s="48" t="s">
        <v>244</v>
      </c>
      <c r="DS335" s="48" t="s">
        <v>311</v>
      </c>
      <c r="DT335" s="48" t="s">
        <v>275</v>
      </c>
      <c r="DU335" s="48" t="s">
        <v>7</v>
      </c>
      <c r="DV335" s="48" t="s">
        <v>301</v>
      </c>
      <c r="DW335" s="48">
        <f ca="1">IF(DR335&lt;&gt;"",MAX($DW$2:DW334)+1,0)</f>
        <v>204</v>
      </c>
      <c r="DX335" s="48" t="s">
        <v>719</v>
      </c>
      <c r="DY335" s="48" t="str">
        <f t="shared" ca="1" si="647"/>
        <v/>
      </c>
      <c r="EL335" s="48">
        <f t="shared" ca="1" si="648"/>
        <v>0</v>
      </c>
      <c r="EM335" s="48">
        <f ca="1">IF(EL335&gt;=0,0,MAX($EM$2:EM334)+1)</f>
        <v>0</v>
      </c>
      <c r="EN335" s="48" t="str">
        <f t="shared" ca="1" si="658"/>
        <v/>
      </c>
      <c r="EO335" s="48" t="str">
        <f ca="1">IFERROR(INDEX($EM$3:$EN$400,MATCH(ROWS($EO$3:EO335),$EM$3:$EM$400,0),2),"")</f>
        <v/>
      </c>
      <c r="EP335" s="48">
        <f>ROW()</f>
        <v>335</v>
      </c>
      <c r="EQ335" s="48">
        <f t="shared" ca="1" si="649"/>
        <v>0</v>
      </c>
      <c r="ER335" s="48">
        <f ca="1">IF(ISNA(EQ335)=TRUE,MAX($ER$2:ER334)+1,0)</f>
        <v>0</v>
      </c>
      <c r="ES335" s="48" t="str">
        <f t="shared" ca="1" si="659"/>
        <v/>
      </c>
      <c r="ET335" s="48" t="str">
        <f ca="1">IFERROR(INDEX($ER$3:$ES$400,MATCH(ROWS($ET$3:ET335),$ER$3:$ER$400,0),2),"")</f>
        <v/>
      </c>
      <c r="EV335" s="48">
        <f ca="1">IFERROR(INDEX(LIBRO_GIORNALE!$O$11:$P$408,MATCH(ROWS($EV$2:EV334),LIBRO_GIORNALE!$P$11:$P$408,0),1),0)</f>
        <v>0</v>
      </c>
      <c r="EW335" s="48" t="str">
        <f t="shared" ca="1" si="629"/>
        <v>0</v>
      </c>
      <c r="EX335" s="48">
        <f t="shared" ca="1" si="660"/>
        <v>0</v>
      </c>
      <c r="EY335" s="48">
        <f ca="1">IF(EX335&gt;0,MAX($EY$2:EY334)+1,0)</f>
        <v>0</v>
      </c>
      <c r="EZ335" s="48">
        <f ca="1">IFERROR(INDEX($EX$3:$EX$400,MATCH(ROWS($EZ$3:EZ335),$EY$3:$EY$400,0),1),0)</f>
        <v>0</v>
      </c>
      <c r="FA335" s="48">
        <f ca="1">IF(EZ335&gt;0,0,MAX($FA$2:FA334)+1)</f>
        <v>333</v>
      </c>
      <c r="FB335" s="48">
        <f t="shared" ca="1" si="630"/>
        <v>0</v>
      </c>
      <c r="FC335" s="48">
        <f t="shared" ca="1" si="631"/>
        <v>333</v>
      </c>
      <c r="FD335" s="48">
        <f t="shared" ca="1" si="661"/>
        <v>333</v>
      </c>
      <c r="FE335" s="48">
        <f ca="1">IF(FD335=0,0,MAX($FE$2:FE334)+1)</f>
        <v>333</v>
      </c>
      <c r="FF335" s="48">
        <f ca="1">IFERROR(INDEX($FD$3:$FE$400,MATCH(ROWS($FF$3:FF335),$FE$3:$FE$400,0),1),"")</f>
        <v>333</v>
      </c>
      <c r="FG335" s="48">
        <f t="shared" si="610"/>
        <v>0</v>
      </c>
      <c r="FH335" s="48">
        <f t="shared" ca="1" si="662"/>
        <v>0</v>
      </c>
      <c r="FI335" s="48">
        <f ca="1">IF(FH335&lt;&gt;0,MAX($FI$2:FI334)+1,0)</f>
        <v>0</v>
      </c>
      <c r="FJ335" s="48" t="str">
        <f ca="1">IFERROR(INDEX($FH$3:$FI$400,MATCH(ROWS($FJ$3:FJ335),$FI$3:$FI$400,0),1),"")</f>
        <v/>
      </c>
      <c r="FK335" s="48">
        <f ca="1">IF(ABS(SUMIFS(DARE,DEN_G,"="&amp;FJ335,DATA,"&lt;="&amp;FINE_AC,DATA,"&gt;="&amp;INIZIO_A_PC)-SUMIFS(AVERE,DEN_G,"="&amp;FJ335,DATA,"&lt;="&amp;FINE_AC,DATA,"&gt;="&amp;INIZIO_A_PC))&gt;0,MAX($FK$2:FK334)+1,0)</f>
        <v>0</v>
      </c>
      <c r="FL335" s="48" t="str">
        <f ca="1">IF(AND(ROW()-2&lt;&gt;1,ROW()-2&lt;=$FK$1),CONCATENATE(" - ",IFERROR(INDEX($FJ$3:$FK$400,MATCH(ROWS($FL$3:FL335),$FK$3:$FK$400,0),1),"")),IFERROR(INDEX($FJ$3:$FK$400,MATCH(ROWS($FL$3:FL335),$FK$3:$FK$400,0),1),""))</f>
        <v/>
      </c>
      <c r="FM335" s="48">
        <f ca="1">IF(OR(B335="IVA ns/credito",B335="IVA NS/DEBITO",B335="IVA C/ACCONTO",B335="IMPOSTE C/ACCONTO",B335="CREDITI PER RITENUTE SUBITE",B335="CREDITI D'IMPOSTA"),MAX($FM$2:FM334)+1,0)</f>
        <v>0</v>
      </c>
      <c r="FN335" s="48" t="str">
        <f t="shared" ca="1" si="663"/>
        <v/>
      </c>
      <c r="FO335" s="48" t="str">
        <f ca="1">IFERROR(INDEX($FM$3:$FN$400,MATCH(ROWS($FO$3:FO335),$FM$3:$FM$400,0),2),"")</f>
        <v/>
      </c>
      <c r="FP335" s="48">
        <f ca="1">IF(ABS(SUMIFS(DARE,DEN_G,"="&amp;FO335,DATA,"&lt;="&amp;FINE_AC,DATA,"&gt;="&amp;INIZIO_A_PC)-SUMIFS(AVERE,DEN_G,"="&amp;FO335,DATA,"&lt;="&amp;FINE_AC,DATA,"&gt;="&amp;INIZIO_A_PC))&gt;0,MAX($FP$2:FP334)+1,0)</f>
        <v>0</v>
      </c>
      <c r="FQ335" s="48" t="str">
        <f ca="1">IF(AND(ROW()-2&lt;&gt;1,ROW()-2&lt;=$FP$1),CONCATENATE(" - ",IFERROR(INDEX($FO$3:$FP$400,MATCH(ROWS($FQ$3:FQ335),$FP$3:$FP$400,0),1),"")),IFERROR(INDEX($FO$3:$FP$400,MATCH(ROWS($FQ$3:FQ335),$FP$3:$FP$400,0),1),""))</f>
        <v/>
      </c>
    </row>
    <row r="336" spans="1:173" x14ac:dyDescent="0.3">
      <c r="A336" s="48" t="str">
        <f ca="1">IFERROR(IF($A$1=2,INDEX($DH$3:$DN$401,MATCH(ROWS(A$3:A336),$DN$3:$DN$401,0),COLUMN()),IF($A$1=1,INDEX($DQ$3:$DW$401,MATCH(ROWS(A$3:A336),$DW$3:$DW$401,0),COLUMN()),"")),"")</f>
        <v/>
      </c>
      <c r="B336" s="48" t="str">
        <f ca="1">IFERROR(IF($A$1=2,INDEX($DH$3:$DN$401,MATCH(ROWS(B$3:B336),$DN$3:$DN$401,0),COLUMN()),IF($A$1=1,INDEX($DQ$3:$DW$400,MATCH(ROWS(B$3:B336),$DW$3:$DW$401,0),COLUMN()),"")),"")</f>
        <v/>
      </c>
      <c r="C336" s="48" t="str">
        <f ca="1">IFERROR(IF($A$1=2,INDEX($DH$3:$DN$401,MATCH(ROWS(C$3:C336),$DN$3:$DN$401,0),COLUMN()),IF($A$1=1,INDEX($DQ$3:$DW$401,MATCH(ROWS(C$3:C336),$DW$3:$DW$401,0),COLUMN()),"")),"")</f>
        <v/>
      </c>
      <c r="D336" s="48" t="str">
        <f ca="1">IFERROR(IF($A$1=2,INDEX($DH$3:$DN$401,MATCH(ROWS(D$3:D336),$DN$3:$DN$401,0),COLUMN()),IF($A$1=1,INDEX($DQ$3:$DW$401,MATCH(ROWS(D$3:D336),$DW$3:$DW$401,0),COLUMN()),"")),"")</f>
        <v/>
      </c>
      <c r="E336" s="48" t="str">
        <f ca="1">IFERROR(IF($A$1=2,INDEX($DH$3:$DN$401,MATCH(ROWS(E$3:E336),$DN$3:$DN$401,0),COLUMN()),IF($A$1=1,INDEX($DQ$3:$DW$401,MATCH(ROWS(E$3:E336),$DW$3:$DW$401,0),COLUMN()),"")),"")</f>
        <v/>
      </c>
      <c r="F336" s="48" t="str">
        <f ca="1">IFERROR(IF($A$1=2,INDEX($DH$3:$DN$401,MATCH(ROWS(F$3:F336),$DN$3:$DN$401,0),COLUMN()),IF($A$1=1,INDEX($DQ$3:$DX$401,MATCH(ROWS(F$3:F336),$DW$3:$DW$401,0),COLUMN()),"")),"")</f>
        <v/>
      </c>
      <c r="G336" s="48" t="str">
        <f t="shared" ca="1" si="650"/>
        <v/>
      </c>
      <c r="H336" s="48" t="str">
        <f ca="1">IFERROR(IF($A$1=2,INDEX($DH$3:$DO$400,MATCH(ROWS(H$3:H336),$DN$3:$DN$400,0),COLUMN()),IF($A$1=1,INDEX($DQ$3:$DX$400,MATCH(ROWS(H$3:H336),$DW$3:$DW$400,0),COLUMN()),"")),"")</f>
        <v/>
      </c>
      <c r="M336" s="48">
        <f ca="1">IFERROR(IF(IF(MID($A336,3,3)=".00",MID(A336,1,2),"")&lt;&gt;"",MAX($M$2:M335)+1,0),"")</f>
        <v>0</v>
      </c>
      <c r="N336" s="48" t="str">
        <f t="shared" ca="1" si="651"/>
        <v/>
      </c>
      <c r="O336" s="48" t="str">
        <f ca="1">IF(IFERROR(INDEX($N$3:$O$300,MATCH(ROWS($O$3:O336),$M$3:$M$300,0),1),"")&lt;&gt;"",CONCATENATE(INDEX($N$3:$O$300,MATCH(ROWS($O$3:O336),$M$3:$M$300,0),1),".00"),"")</f>
        <v/>
      </c>
      <c r="P336" s="48" t="str">
        <f t="shared" ca="1" si="652"/>
        <v/>
      </c>
      <c r="Q336" s="48">
        <f ca="1">IF(M336&gt;=1,0,MAX($Q$2:Q335)+1)</f>
        <v>297</v>
      </c>
      <c r="U336" s="48" t="str">
        <f ca="1">IFERROR(INDEX(PDC,MATCH(ROWS(U$3:U336),$V$3:$V$400,0),2),"")</f>
        <v/>
      </c>
      <c r="V336" s="48">
        <f ca="1">IF(AND($T$1="VISUALIZZA TUTTI I CONTI",AA336&lt;&gt;""),MAX($V$2:V335)+1,IF(AND($U$2=2,AI336=$T$1),MAX($V$2:V335)+1,IF(AND($U$2=1,$T$1=AF336),MAX($V$2:V335)+1,0)))</f>
        <v>0</v>
      </c>
      <c r="AA336" s="48" t="str">
        <f t="shared" ca="1" si="653"/>
        <v/>
      </c>
      <c r="AB336" s="48" t="str">
        <f ca="1">IFERROR(INDEX($A$3:$G$400,MATCH(ROWS(AB$3:AB336),$Q$3:$Q$400,0),1),"")</f>
        <v/>
      </c>
      <c r="AC336" s="48" t="str">
        <f ca="1">IFERROR(INDEX($A$3:$G$400,MATCH(ROWS($AC$3:AC336),$Q$3:$Q$400,0),2),"")</f>
        <v/>
      </c>
      <c r="AD336" s="48">
        <f ca="1">IFERROR(INDEX($A$3:$G$400,MATCH(ROWS(AD$3:AD336),$Q$3:$Q$400,0),3),"")</f>
        <v>0</v>
      </c>
      <c r="AE336" s="48" t="str">
        <f ca="1">IFERROR(INDEX($A$3:$G$400,MATCH(ROWS(AE$3:AE336),$Q$3:$Q$400,0),4),"")</f>
        <v/>
      </c>
      <c r="AF336" s="48" t="str">
        <f ca="1">IFERROR(INDEX($A$3:$G$400,MATCH(ROWS(AF$3:AF336),$Q$3:$Q$400,0),5),"")</f>
        <v/>
      </c>
      <c r="AG336" s="48" t="str">
        <f ca="1">IFERROR(INDEX($A$3:$G$400,MATCH(ROWS(AG$3:AG336),$Q$3:$Q$400,0),6),"")</f>
        <v/>
      </c>
      <c r="AH336" s="48" t="str">
        <f ca="1">IFERROR(INDEX($A$3:$G$400,MATCH(ROWS(AH$3:AH336),$Q$3:$Q$400,0),7),"")</f>
        <v/>
      </c>
      <c r="AI336" s="48" t="str">
        <f t="shared" ca="1" si="654"/>
        <v/>
      </c>
      <c r="AJ336" s="48" t="str">
        <f ca="1">IFERROR(INDEX($A$3:$H$400,MATCH(ROWS(AJ$3:AJ336),$Q$3:$Q$400,0),8),"")</f>
        <v/>
      </c>
      <c r="AZ336" s="48" t="str">
        <f t="shared" ca="1" si="669"/>
        <v/>
      </c>
      <c r="BA336" s="48">
        <f t="shared" ca="1" si="611"/>
        <v>0</v>
      </c>
      <c r="BB336" s="48">
        <f t="shared" ca="1" si="612"/>
        <v>0</v>
      </c>
      <c r="BC336" s="48">
        <f t="shared" ca="1" si="613"/>
        <v>0</v>
      </c>
      <c r="BD336" s="48">
        <f t="shared" ca="1" si="614"/>
        <v>0</v>
      </c>
      <c r="BE336" s="48">
        <f t="shared" ca="1" si="615"/>
        <v>0</v>
      </c>
      <c r="BF336" s="48">
        <f t="shared" si="670"/>
        <v>136</v>
      </c>
      <c r="BG336" s="48">
        <f ca="1">IF(IF(AND(OR(INDEX(PDC,MATCH($AC336,DEN_PDC,0),6)="SP DARE",INDEX(PDC,MATCH($AC336,DEN_PDC,0),6)="SP DARE/AVERE"),SUMIFS(DARE,DEN_G,$AC336)&gt;=SUMIFS(AVERE,DEN_G,$AC336)),SUMIFS(DARE,DEN_G,$AC336)-SUMIFS(AVERE,DEN_G,$AC336),0)&gt;0,MAX($BG$2:BG335)+1,0)</f>
        <v>0</v>
      </c>
      <c r="BH336" s="48">
        <f ca="1">IF(IF(AND(OR(INDEX(PDC,MATCH($AC336,DEN_PDC,0),6)="SP AVERE",INDEX(PDC,MATCH($AC336,DEN_PDC,0),6)="SP DARE/AVERE"),SUMIFS(AVERE,DEN_G,$AC336)&gt;=SUMIFS(DARE,DEN_G,$AC336)),SUMIFS(AVERE,DEN_G,$AC336)-SUMIFS(DARE,DEN_G,$AC336),0)&gt;0,MAX(BH$2:BH335)+1,0)</f>
        <v>0</v>
      </c>
      <c r="BI336" s="48">
        <f ca="1">IF(IF(AND(OR(INDEX(PDC,MATCH($AC336,DEN_PDC,0),6)="SE DARE",INDEX(PDC,MATCH($AC336,DEN_PDC,0),6)="SE DARE/AVERE"),SUMIFS(DARE,DEN_G,$AC336)&gt;=SUMIFS(AVERE,DEN_G,$AC336)),SUMIFS(DARE,DEN_G,$AC336)-SUMIFS(AVERE,DEN_G,$AC336),0)&gt;0,MAX(BI$2:BI335)+1,0)</f>
        <v>0</v>
      </c>
      <c r="BJ336" s="48">
        <f ca="1">IF(IF(AND(OR(INDEX(PDC,MATCH($AC336,DEN_PDC,0),6)="SE AVERE",INDEX(PDC,MATCH($AC336,DEN_PDC,0),6)="SE DARE/AVERE"),SUMIFS(AVERE,DEN_G,$AC336)&gt;=SUMIFS(DARE,DEN_G,$AC336)),SUMIFS(AVERE,DEN_G,$AC336)-SUMIFS(DARE,DEN_G,$AC336),0)&gt;0,MAX(BJ$2:BJ335)+1,0)</f>
        <v>0</v>
      </c>
      <c r="BK336" s="48" t="str">
        <f ca="1">IF(AND(AND($DY$2=0,$DY$1=0),$I$1=2,ROW()&gt;$BG$1+2,ROW()&lt;=$BG$1+4),"………………..",IF(AND(OR($DY$2&gt;0,$DY$1&gt;0),$I$1=2,ROW()&gt;$BG$1+2,ROW()&lt;=$BG$1+4),"………………..",IFERROR(INDEX($AC$3:$AC$398,MATCH(ROWS(BK$3:BK336),BG$3:BG$398,0),1),"")))</f>
        <v/>
      </c>
      <c r="BL336" s="48">
        <f t="shared" ca="1" si="637"/>
        <v>0</v>
      </c>
      <c r="BM336" s="48" t="str">
        <f ca="1">IF(AND(OR($DY$2=0,$DY$1=0),$I$1=2,ROW()&gt;$BH$1+2,ROW()&lt;=$BH$1+4),"………………..",IF(AND(OR($DY$2&gt;0,$DY$1&gt;0),$I$1=2,ROW()&gt;$BH$1+2,ROW()&lt;=$BH$1+4),"………………..",IFERROR(INDEX($AC$3:$AC$400,MATCH(ROWS(BM$3:BM336),BH$3:BH$400,0),1),"")))</f>
        <v/>
      </c>
      <c r="BN336" s="48">
        <f t="shared" ca="1" si="638"/>
        <v>0</v>
      </c>
      <c r="BO336" s="48" t="str">
        <f ca="1">IF(AND(OR($DY$2=0,$DY$1=0),$I$1=2,ROW()&gt;$BI$1+2,ROW()&lt;=$BI$1+4),"………………..",IF(AND(OR($DY$2&gt;0,$DY$1&gt;0),$I$1=2,ROW()&gt;$BI$1+2,ROW()&lt;=$BI$1+4),"………………..",IFERROR(INDEX($AC$3:$AC$400,MATCH(ROWS(BO$3:BO336),BI$3:BI$400,0),1),"")))</f>
        <v/>
      </c>
      <c r="BP336" s="48">
        <f t="shared" ca="1" si="639"/>
        <v>0</v>
      </c>
      <c r="BQ336" s="48" t="str">
        <f ca="1">IF(AND(OR($DY$2=0,$DY$1=0),$I$1=2,ROW()&gt;$BJ$1+2,ROW()&lt;=$BJ$1+4),"………………..",IF(AND(OR($DY$2&gt;0,$DY$1&gt;0),$I$1=2,ROW()&gt;$BJ$1+2,ROW()&lt;=$BJ$1+4),"………………..",IFERROR(INDEX($AC$3:$AC$400,MATCH(ROWS(BQ$3:BQ336),BJ$3:BJ$400,0),1),"")))</f>
        <v/>
      </c>
      <c r="BR336" s="48">
        <f t="shared" ca="1" si="640"/>
        <v>0</v>
      </c>
      <c r="BS336" s="48">
        <f ca="1">IF(IF(AND(OR(INDEX(PDC,MATCH($AC336,DEN_PDC,0),4)="D",INDEX(PDC,MATCH($AC336,DEN_PDC,0),4)="D/A"),SUMIFS(DARE,DEN_G,$AC336)&gt;=SUMIFS(AVERE,DEN_G,$AC336)),SUMIFS(DARE,DEN_G,$AC336),IF(AND(OR(INDEX(PDC,MATCH($AC336,DEN_PDC,0),4)="A",INDEX(PDC,MATCH($AC336,DEN_PDC,0),4)="D/A"),SUMIFS(AVERE,DEN_G,$AC336)&gt;=SUMIFS(DARE,DEN_G,$AC336)),SUMIFS(AVERE,DEN_G,$AC336),))&gt;0,MAX($BS$2:BS335)+1,0)</f>
        <v>0</v>
      </c>
      <c r="BT336" s="48" t="str">
        <f ca="1">IF($CO$1=0,"",IF(AND($I$1=2,ROW()&gt;$BR$1,ROW()&lt;=$BS$1)," …………….",IF(AND($E$1=1,$BX$1=1,$I$1=2,ROW()=$BQ$1),"TOTALI",IFERROR(INDEX(PDC,MATCH(ROWS(BT$3:BT336),BS$3:BS733,0),2),""))))</f>
        <v/>
      </c>
      <c r="BU336" s="48">
        <f t="shared" ca="1" si="641"/>
        <v>0</v>
      </c>
      <c r="BV336" s="48">
        <f t="shared" ca="1" si="642"/>
        <v>0</v>
      </c>
      <c r="BW336" s="48">
        <f t="shared" ca="1" si="643"/>
        <v>0</v>
      </c>
      <c r="BX336" s="48">
        <f t="shared" ca="1" si="644"/>
        <v>0</v>
      </c>
      <c r="BY336" s="48">
        <f ca="1">IF(OR(BW336&gt;0,BX336&gt;0),MAX($BY$2:BY335)+1,0)</f>
        <v>0</v>
      </c>
      <c r="BZ336" s="48" t="str">
        <f ca="1">IFERROR(INDEX($BT$3:$BY$400,MATCH(ROWS(BZ$3:BZ336),$BY$3:$BY$400,0),1),"")</f>
        <v/>
      </c>
      <c r="CA336" s="48" t="str">
        <f ca="1">IFERROR(INDEX($BT$3:$BY$400,MATCH(ROWS(CA$3:CA336),$BY$3:$BY$400,0),4),"")</f>
        <v/>
      </c>
      <c r="CB336" s="48" t="str">
        <f ca="1">IFERROR(INDEX($BT$3:$BY$400,MATCH(ROWS(CB$3:CB336),$BY$3:$BY$400,0),5),"")</f>
        <v/>
      </c>
      <c r="CC336" s="48" t="str">
        <f t="shared" ca="1" si="645"/>
        <v/>
      </c>
      <c r="CM336" s="242" t="str">
        <f t="shared" ca="1" si="655"/>
        <v/>
      </c>
      <c r="CN336" s="243">
        <f t="shared" ca="1" si="656"/>
        <v>0</v>
      </c>
      <c r="CO336" s="48" t="str">
        <f t="shared" ca="1" si="657"/>
        <v/>
      </c>
      <c r="CU336" s="48">
        <f ca="1">IF(SUMIFS(AVERE,DEN_G,AC336,AVERE,"&gt;"&amp;0)+SUMIFS(DARE,DEN_G,AC336,DARE,"&gt;"&amp;0)&gt;0,MAX($CU$2:CU335)+1,0)</f>
        <v>0</v>
      </c>
      <c r="CV336" s="48" t="str">
        <f ca="1">IF(IFERROR(INDEX(PDC,MATCH(ROWS($CV$3:CV336),$CU$3:$CU$400,0),2),"")="CONTO DI RISULTATO ECONOMICO","",IFERROR(INDEX(PDC,MATCH(ROWS($CV$3:CV336),$CU$3:$CU$400,0),2),""))</f>
        <v/>
      </c>
      <c r="CW336" s="48">
        <f ca="1">IFERROR(IF(CV336&lt;&gt;"",MAX($CW$2:CW335)+1,0),0)</f>
        <v>0</v>
      </c>
      <c r="CX336" s="48">
        <f t="shared" ca="1" si="667"/>
        <v>26</v>
      </c>
      <c r="CY336" s="48" t="str">
        <f t="shared" ca="1" si="665"/>
        <v>MASTRO</v>
      </c>
      <c r="CZ336" s="48" t="e">
        <f t="shared" ca="1" si="671"/>
        <v>#N/A</v>
      </c>
      <c r="DA336" s="48" t="str">
        <f t="shared" ca="1" si="675"/>
        <v/>
      </c>
      <c r="DB336" s="48" t="str">
        <f t="shared" ca="1" si="592"/>
        <v/>
      </c>
      <c r="DC336" s="48" t="str">
        <f t="shared" ca="1" si="672"/>
        <v/>
      </c>
      <c r="DD336" s="48" t="str">
        <f t="shared" ca="1" si="673"/>
        <v/>
      </c>
      <c r="DE336" s="48" t="str">
        <f t="shared" ca="1" si="674"/>
        <v/>
      </c>
      <c r="DF336" s="48">
        <f ca="1">IF(AND(CX336=$DF$1,CX336&lt;&gt;""),0,IF(AND(DB336&lt;&gt;"",OR(DB335&lt;&gt;"",DB337&lt;&gt;"")),MAX($DF$2:DF335)+1,0))</f>
        <v>0</v>
      </c>
      <c r="DH336" s="244" t="s">
        <v>447</v>
      </c>
      <c r="DI336" s="48" t="s">
        <v>759</v>
      </c>
      <c r="DJ336" s="48" t="s">
        <v>311</v>
      </c>
      <c r="DK336" s="48" t="s">
        <v>275</v>
      </c>
      <c r="DL336" s="48" t="s">
        <v>7</v>
      </c>
      <c r="DM336" s="48" t="s">
        <v>301</v>
      </c>
      <c r="DN336" s="48">
        <f ca="1">IF(DI336&lt;&gt;"",MAX($DN$2:DN335)+1,0)</f>
        <v>267</v>
      </c>
      <c r="DO336" s="48" t="str">
        <f ca="1">IF($BF$9=1,"eb10c","eb10a")</f>
        <v>eb10a</v>
      </c>
      <c r="DQ336" s="227" t="s">
        <v>942</v>
      </c>
      <c r="DR336" s="48" t="s">
        <v>245</v>
      </c>
      <c r="DS336" s="48" t="s">
        <v>311</v>
      </c>
      <c r="DT336" s="48" t="s">
        <v>298</v>
      </c>
      <c r="DU336" s="48" t="s">
        <v>320</v>
      </c>
      <c r="DV336" s="48" t="s">
        <v>300</v>
      </c>
      <c r="DW336" s="48">
        <f ca="1">IF(DR336&lt;&gt;"",MAX($DW$2:DW335)+1,0)</f>
        <v>205</v>
      </c>
      <c r="DX336" s="48" t="s">
        <v>719</v>
      </c>
      <c r="DY336" s="48" t="str">
        <f t="shared" ca="1" si="647"/>
        <v/>
      </c>
      <c r="EL336" s="48">
        <f t="shared" ca="1" si="648"/>
        <v>0</v>
      </c>
      <c r="EM336" s="48">
        <f ca="1">IF(EL336&gt;=0,0,MAX($EM$2:EM335)+1)</f>
        <v>0</v>
      </c>
      <c r="EN336" s="48" t="str">
        <f t="shared" ca="1" si="658"/>
        <v/>
      </c>
      <c r="EO336" s="48" t="str">
        <f ca="1">IFERROR(INDEX($EM$3:$EN$400,MATCH(ROWS($EO$3:EO336),$EM$3:$EM$400,0),2),"")</f>
        <v/>
      </c>
      <c r="EP336" s="48">
        <f>ROW()</f>
        <v>336</v>
      </c>
      <c r="EQ336" s="48">
        <f t="shared" ca="1" si="649"/>
        <v>0</v>
      </c>
      <c r="ER336" s="48">
        <f ca="1">IF(ISNA(EQ336)=TRUE,MAX($ER$2:ER335)+1,0)</f>
        <v>0</v>
      </c>
      <c r="ES336" s="48" t="str">
        <f t="shared" ca="1" si="659"/>
        <v/>
      </c>
      <c r="ET336" s="48" t="str">
        <f ca="1">IFERROR(INDEX($ER$3:$ES$400,MATCH(ROWS($ET$3:ET336),$ER$3:$ER$400,0),2),"")</f>
        <v/>
      </c>
      <c r="EV336" s="48">
        <f ca="1">IFERROR(INDEX(LIBRO_GIORNALE!$O$11:$P$408,MATCH(ROWS($EV$2:EV335),LIBRO_GIORNALE!$P$11:$P$408,0),1),0)</f>
        <v>0</v>
      </c>
      <c r="EW336" s="48" t="str">
        <f t="shared" ca="1" si="629"/>
        <v>0</v>
      </c>
      <c r="EX336" s="48">
        <f t="shared" ca="1" si="660"/>
        <v>0</v>
      </c>
      <c r="EY336" s="48">
        <f ca="1">IF(EX336&gt;0,MAX($EY$2:EY335)+1,0)</f>
        <v>0</v>
      </c>
      <c r="EZ336" s="48">
        <f ca="1">IFERROR(INDEX($EX$3:$EX$400,MATCH(ROWS($EZ$3:EZ336),$EY$3:$EY$400,0),1),0)</f>
        <v>0</v>
      </c>
      <c r="FA336" s="48">
        <f ca="1">IF(EZ336&gt;0,0,MAX($FA$2:FA335)+1)</f>
        <v>334</v>
      </c>
      <c r="FB336" s="48">
        <f t="shared" ca="1" si="630"/>
        <v>0</v>
      </c>
      <c r="FC336" s="48">
        <f t="shared" ca="1" si="631"/>
        <v>334</v>
      </c>
      <c r="FD336" s="48">
        <f t="shared" ca="1" si="661"/>
        <v>334</v>
      </c>
      <c r="FE336" s="48">
        <f ca="1">IF(FD336=0,0,MAX($FE$2:FE335)+1)</f>
        <v>334</v>
      </c>
      <c r="FF336" s="48">
        <f ca="1">IFERROR(INDEX($FD$3:$FE$400,MATCH(ROWS($FF$3:FF336),$FE$3:$FE$400,0),1),"")</f>
        <v>334</v>
      </c>
      <c r="FG336" s="48">
        <f t="shared" si="610"/>
        <v>0</v>
      </c>
      <c r="FH336" s="48">
        <f t="shared" ca="1" si="662"/>
        <v>0</v>
      </c>
      <c r="FI336" s="48">
        <f ca="1">IF(FH336&lt;&gt;0,MAX($FI$2:FI335)+1,0)</f>
        <v>0</v>
      </c>
      <c r="FJ336" s="48" t="str">
        <f ca="1">IFERROR(INDEX($FH$3:$FI$400,MATCH(ROWS($FJ$3:FJ336),$FI$3:$FI$400,0),1),"")</f>
        <v/>
      </c>
      <c r="FK336" s="48">
        <f ca="1">IF(ABS(SUMIFS(DARE,DEN_G,"="&amp;FJ336,DATA,"&lt;="&amp;FINE_AC,DATA,"&gt;="&amp;INIZIO_A_PC)-SUMIFS(AVERE,DEN_G,"="&amp;FJ336,DATA,"&lt;="&amp;FINE_AC,DATA,"&gt;="&amp;INIZIO_A_PC))&gt;0,MAX($FK$2:FK335)+1,0)</f>
        <v>0</v>
      </c>
      <c r="FL336" s="48" t="str">
        <f ca="1">IF(AND(ROW()-2&lt;&gt;1,ROW()-2&lt;=$FK$1),CONCATENATE(" - ",IFERROR(INDEX($FJ$3:$FK$400,MATCH(ROWS($FL$3:FL336),$FK$3:$FK$400,0),1),"")),IFERROR(INDEX($FJ$3:$FK$400,MATCH(ROWS($FL$3:FL336),$FK$3:$FK$400,0),1),""))</f>
        <v/>
      </c>
      <c r="FM336" s="48">
        <f ca="1">IF(OR(B336="IVA ns/credito",B336="IVA NS/DEBITO",B336="IVA C/ACCONTO",B336="IMPOSTE C/ACCONTO",B336="CREDITI PER RITENUTE SUBITE",B336="CREDITI D'IMPOSTA"),MAX($FM$2:FM335)+1,0)</f>
        <v>0</v>
      </c>
      <c r="FN336" s="48" t="str">
        <f t="shared" ca="1" si="663"/>
        <v/>
      </c>
      <c r="FO336" s="48" t="str">
        <f ca="1">IFERROR(INDEX($FM$3:$FN$400,MATCH(ROWS($FO$3:FO336),$FM$3:$FM$400,0),2),"")</f>
        <v/>
      </c>
      <c r="FP336" s="48">
        <f ca="1">IF(ABS(SUMIFS(DARE,DEN_G,"="&amp;FO336,DATA,"&lt;="&amp;FINE_AC,DATA,"&gt;="&amp;INIZIO_A_PC)-SUMIFS(AVERE,DEN_G,"="&amp;FO336,DATA,"&lt;="&amp;FINE_AC,DATA,"&gt;="&amp;INIZIO_A_PC))&gt;0,MAX($FP$2:FP335)+1,0)</f>
        <v>0</v>
      </c>
      <c r="FQ336" s="48" t="str">
        <f ca="1">IF(AND(ROW()-2&lt;&gt;1,ROW()-2&lt;=$FP$1),CONCATENATE(" - ",IFERROR(INDEX($FO$3:$FP$400,MATCH(ROWS($FQ$3:FQ336),$FP$3:$FP$400,0),1),"")),IFERROR(INDEX($FO$3:$FP$400,MATCH(ROWS($FQ$3:FQ336),$FP$3:$FP$400,0),1),""))</f>
        <v/>
      </c>
    </row>
    <row r="337" spans="1:173" x14ac:dyDescent="0.3">
      <c r="A337" s="48" t="str">
        <f ca="1">IFERROR(IF($A$1=2,INDEX($DH$3:$DN$401,MATCH(ROWS(A$3:A337),$DN$3:$DN$401,0),COLUMN()),IF($A$1=1,INDEX($DQ$3:$DW$401,MATCH(ROWS(A$3:A337),$DW$3:$DW$401,0),COLUMN()),"")),"")</f>
        <v/>
      </c>
      <c r="B337" s="48" t="str">
        <f ca="1">IFERROR(IF($A$1=2,INDEX($DH$3:$DN$401,MATCH(ROWS(B$3:B337),$DN$3:$DN$401,0),COLUMN()),IF($A$1=1,INDEX($DQ$3:$DW$400,MATCH(ROWS(B$3:B337),$DW$3:$DW$401,0),COLUMN()),"")),"")</f>
        <v/>
      </c>
      <c r="C337" s="48" t="str">
        <f ca="1">IFERROR(IF($A$1=2,INDEX($DH$3:$DN$401,MATCH(ROWS(C$3:C337),$DN$3:$DN$401,0),COLUMN()),IF($A$1=1,INDEX($DQ$3:$DW$401,MATCH(ROWS(C$3:C337),$DW$3:$DW$401,0),COLUMN()),"")),"")</f>
        <v/>
      </c>
      <c r="D337" s="48" t="str">
        <f ca="1">IFERROR(IF($A$1=2,INDEX($DH$3:$DN$401,MATCH(ROWS(D$3:D337),$DN$3:$DN$401,0),COLUMN()),IF($A$1=1,INDEX($DQ$3:$DW$401,MATCH(ROWS(D$3:D337),$DW$3:$DW$401,0),COLUMN()),"")),"")</f>
        <v/>
      </c>
      <c r="E337" s="48" t="str">
        <f ca="1">IFERROR(IF($A$1=2,INDEX($DH$3:$DN$401,MATCH(ROWS(E$3:E337),$DN$3:$DN$401,0),COLUMN()),IF($A$1=1,INDEX($DQ$3:$DW$401,MATCH(ROWS(E$3:E337),$DW$3:$DW$401,0),COLUMN()),"")),"")</f>
        <v/>
      </c>
      <c r="F337" s="48" t="str">
        <f ca="1">IFERROR(IF($A$1=2,INDEX($DH$3:$DN$401,MATCH(ROWS(F$3:F337),$DN$3:$DN$401,0),COLUMN()),IF($A$1=1,INDEX($DQ$3:$DX$401,MATCH(ROWS(F$3:F337),$DW$3:$DW$401,0),COLUMN()),"")),"")</f>
        <v/>
      </c>
      <c r="G337" s="48" t="str">
        <f t="shared" ca="1" si="650"/>
        <v/>
      </c>
      <c r="H337" s="48" t="str">
        <f ca="1">IFERROR(IF($A$1=2,INDEX($DH$3:$DO$400,MATCH(ROWS(H$3:H337),$DN$3:$DN$400,0),COLUMN()),IF($A$1=1,INDEX($DQ$3:$DX$400,MATCH(ROWS(H$3:H337),$DW$3:$DW$400,0),COLUMN()),"")),"")</f>
        <v/>
      </c>
      <c r="M337" s="48">
        <f ca="1">IFERROR(IF(IF(MID($A337,3,3)=".00",MID(A337,1,2),"")&lt;&gt;"",MAX($M$2:M336)+1,0),"")</f>
        <v>0</v>
      </c>
      <c r="N337" s="48" t="str">
        <f t="shared" ca="1" si="651"/>
        <v/>
      </c>
      <c r="O337" s="48" t="str">
        <f ca="1">IF(IFERROR(INDEX($N$3:$O$300,MATCH(ROWS($O$3:O337),$M$3:$M$300,0),1),"")&lt;&gt;"",CONCATENATE(INDEX($N$3:$O$300,MATCH(ROWS($O$3:O337),$M$3:$M$300,0),1),".00"),"")</f>
        <v/>
      </c>
      <c r="P337" s="48" t="str">
        <f t="shared" ca="1" si="652"/>
        <v/>
      </c>
      <c r="Q337" s="48">
        <f ca="1">IF(M337&gt;=1,0,MAX($Q$2:Q336)+1)</f>
        <v>298</v>
      </c>
      <c r="U337" s="48" t="str">
        <f ca="1">IFERROR(INDEX(PDC,MATCH(ROWS(U$3:U337),$V$3:$V$400,0),2),"")</f>
        <v/>
      </c>
      <c r="V337" s="48">
        <f ca="1">IF(AND($T$1="VISUALIZZA TUTTI I CONTI",AA337&lt;&gt;""),MAX($V$2:V336)+1,IF(AND($U$2=2,AI337=$T$1),MAX($V$2:V336)+1,IF(AND($U$2=1,$T$1=AF337),MAX($V$2:V336)+1,0)))</f>
        <v>0</v>
      </c>
      <c r="AA337" s="48" t="str">
        <f t="shared" ca="1" si="653"/>
        <v/>
      </c>
      <c r="AB337" s="48" t="str">
        <f ca="1">IFERROR(INDEX($A$3:$G$400,MATCH(ROWS(AB$3:AB337),$Q$3:$Q$400,0),1),"")</f>
        <v/>
      </c>
      <c r="AC337" s="48" t="str">
        <f ca="1">IFERROR(INDEX($A$3:$G$400,MATCH(ROWS($AC$3:AC337),$Q$3:$Q$400,0),2),"")</f>
        <v/>
      </c>
      <c r="AD337" s="48">
        <f ca="1">IFERROR(INDEX($A$3:$G$400,MATCH(ROWS(AD$3:AD337),$Q$3:$Q$400,0),3),"")</f>
        <v>0</v>
      </c>
      <c r="AE337" s="48" t="str">
        <f ca="1">IFERROR(INDEX($A$3:$G$400,MATCH(ROWS(AE$3:AE337),$Q$3:$Q$400,0),4),"")</f>
        <v/>
      </c>
      <c r="AF337" s="48" t="str">
        <f ca="1">IFERROR(INDEX($A$3:$G$400,MATCH(ROWS(AF$3:AF337),$Q$3:$Q$400,0),5),"")</f>
        <v/>
      </c>
      <c r="AG337" s="48" t="str">
        <f ca="1">IFERROR(INDEX($A$3:$G$400,MATCH(ROWS(AG$3:AG337),$Q$3:$Q$400,0),6),"")</f>
        <v/>
      </c>
      <c r="AH337" s="48" t="str">
        <f ca="1">IFERROR(INDEX($A$3:$G$400,MATCH(ROWS(AH$3:AH337),$Q$3:$Q$400,0),7),"")</f>
        <v/>
      </c>
      <c r="AI337" s="48" t="str">
        <f t="shared" ca="1" si="654"/>
        <v/>
      </c>
      <c r="AJ337" s="48" t="str">
        <f ca="1">IFERROR(INDEX($A$3:$H$400,MATCH(ROWS(AJ$3:AJ337),$Q$3:$Q$400,0),8),"")</f>
        <v/>
      </c>
      <c r="AZ337" s="48" t="str">
        <f t="shared" ca="1" si="669"/>
        <v/>
      </c>
      <c r="BA337" s="48">
        <f t="shared" ca="1" si="611"/>
        <v>0</v>
      </c>
      <c r="BB337" s="48">
        <f t="shared" ca="1" si="612"/>
        <v>0</v>
      </c>
      <c r="BC337" s="48">
        <f t="shared" ca="1" si="613"/>
        <v>0</v>
      </c>
      <c r="BD337" s="48">
        <f t="shared" ca="1" si="614"/>
        <v>0</v>
      </c>
      <c r="BE337" s="48">
        <f t="shared" ca="1" si="615"/>
        <v>0</v>
      </c>
      <c r="BF337" s="48">
        <f t="shared" si="670"/>
        <v>137</v>
      </c>
      <c r="BG337" s="48">
        <f ca="1">IF(IF(AND(OR(INDEX(PDC,MATCH($AC337,DEN_PDC,0),6)="SP DARE",INDEX(PDC,MATCH($AC337,DEN_PDC,0),6)="SP DARE/AVERE"),SUMIFS(DARE,DEN_G,$AC337)&gt;=SUMIFS(AVERE,DEN_G,$AC337)),SUMIFS(DARE,DEN_G,$AC337)-SUMIFS(AVERE,DEN_G,$AC337),0)&gt;0,MAX($BG$2:BG336)+1,0)</f>
        <v>0</v>
      </c>
      <c r="BH337" s="48">
        <f ca="1">IF(IF(AND(OR(INDEX(PDC,MATCH($AC337,DEN_PDC,0),6)="SP AVERE",INDEX(PDC,MATCH($AC337,DEN_PDC,0),6)="SP DARE/AVERE"),SUMIFS(AVERE,DEN_G,$AC337)&gt;=SUMIFS(DARE,DEN_G,$AC337)),SUMIFS(AVERE,DEN_G,$AC337)-SUMIFS(DARE,DEN_G,$AC337),0)&gt;0,MAX(BH$2:BH336)+1,0)</f>
        <v>0</v>
      </c>
      <c r="BI337" s="48">
        <f ca="1">IF(IF(AND(OR(INDEX(PDC,MATCH($AC337,DEN_PDC,0),6)="SE DARE",INDEX(PDC,MATCH($AC337,DEN_PDC,0),6)="SE DARE/AVERE"),SUMIFS(DARE,DEN_G,$AC337)&gt;=SUMIFS(AVERE,DEN_G,$AC337)),SUMIFS(DARE,DEN_G,$AC337)-SUMIFS(AVERE,DEN_G,$AC337),0)&gt;0,MAX(BI$2:BI336)+1,0)</f>
        <v>0</v>
      </c>
      <c r="BJ337" s="48">
        <f ca="1">IF(IF(AND(OR(INDEX(PDC,MATCH($AC337,DEN_PDC,0),6)="SE AVERE",INDEX(PDC,MATCH($AC337,DEN_PDC,0),6)="SE DARE/AVERE"),SUMIFS(AVERE,DEN_G,$AC337)&gt;=SUMIFS(DARE,DEN_G,$AC337)),SUMIFS(AVERE,DEN_G,$AC337)-SUMIFS(DARE,DEN_G,$AC337),0)&gt;0,MAX(BJ$2:BJ336)+1,0)</f>
        <v>0</v>
      </c>
      <c r="BK337" s="48" t="str">
        <f ca="1">IF(AND(AND($DY$2=0,$DY$1=0),$I$1=2,ROW()&gt;$BG$1+2,ROW()&lt;=$BG$1+4),"………………..",IF(AND(OR($DY$2&gt;0,$DY$1&gt;0),$I$1=2,ROW()&gt;$BG$1+2,ROW()&lt;=$BG$1+4),"………………..",IFERROR(INDEX($AC$3:$AC$398,MATCH(ROWS(BK$3:BK337),BG$3:BG$398,0),1),"")))</f>
        <v/>
      </c>
      <c r="BL337" s="48">
        <f t="shared" ca="1" si="637"/>
        <v>0</v>
      </c>
      <c r="BM337" s="48" t="str">
        <f ca="1">IF(AND(OR($DY$2=0,$DY$1=0),$I$1=2,ROW()&gt;$BH$1+2,ROW()&lt;=$BH$1+4),"………………..",IF(AND(OR($DY$2&gt;0,$DY$1&gt;0),$I$1=2,ROW()&gt;$BH$1+2,ROW()&lt;=$BH$1+4),"………………..",IFERROR(INDEX($AC$3:$AC$400,MATCH(ROWS(BM$3:BM337),BH$3:BH$400,0),1),"")))</f>
        <v/>
      </c>
      <c r="BN337" s="48">
        <f t="shared" ca="1" si="638"/>
        <v>0</v>
      </c>
      <c r="BO337" s="48" t="str">
        <f ca="1">IF(AND(OR($DY$2=0,$DY$1=0),$I$1=2,ROW()&gt;$BI$1+2,ROW()&lt;=$BI$1+4),"………………..",IF(AND(OR($DY$2&gt;0,$DY$1&gt;0),$I$1=2,ROW()&gt;$BI$1+2,ROW()&lt;=$BI$1+4),"………………..",IFERROR(INDEX($AC$3:$AC$400,MATCH(ROWS(BO$3:BO337),BI$3:BI$400,0),1),"")))</f>
        <v/>
      </c>
      <c r="BP337" s="48">
        <f t="shared" ca="1" si="639"/>
        <v>0</v>
      </c>
      <c r="BQ337" s="48" t="str">
        <f ca="1">IF(AND(OR($DY$2=0,$DY$1=0),$I$1=2,ROW()&gt;$BJ$1+2,ROW()&lt;=$BJ$1+4),"………………..",IF(AND(OR($DY$2&gt;0,$DY$1&gt;0),$I$1=2,ROW()&gt;$BJ$1+2,ROW()&lt;=$BJ$1+4),"………………..",IFERROR(INDEX($AC$3:$AC$400,MATCH(ROWS(BQ$3:BQ337),BJ$3:BJ$400,0),1),"")))</f>
        <v/>
      </c>
      <c r="BR337" s="48">
        <f t="shared" ca="1" si="640"/>
        <v>0</v>
      </c>
      <c r="BS337" s="48">
        <f ca="1">IF(IF(AND(OR(INDEX(PDC,MATCH($AC337,DEN_PDC,0),4)="D",INDEX(PDC,MATCH($AC337,DEN_PDC,0),4)="D/A"),SUMIFS(DARE,DEN_G,$AC337)&gt;=SUMIFS(AVERE,DEN_G,$AC337)),SUMIFS(DARE,DEN_G,$AC337),IF(AND(OR(INDEX(PDC,MATCH($AC337,DEN_PDC,0),4)="A",INDEX(PDC,MATCH($AC337,DEN_PDC,0),4)="D/A"),SUMIFS(AVERE,DEN_G,$AC337)&gt;=SUMIFS(DARE,DEN_G,$AC337)),SUMIFS(AVERE,DEN_G,$AC337),))&gt;0,MAX($BS$2:BS336)+1,0)</f>
        <v>0</v>
      </c>
      <c r="BT337" s="48" t="str">
        <f ca="1">IF($CO$1=0,"",IF(AND($I$1=2,ROW()&gt;$BR$1,ROW()&lt;=$BS$1)," …………….",IF(AND($E$1=1,$BX$1=1,$I$1=2,ROW()=$BQ$1),"TOTALI",IFERROR(INDEX(PDC,MATCH(ROWS(BT$3:BT337),BS$3:BS734,0),2),""))))</f>
        <v/>
      </c>
      <c r="BU337" s="48">
        <f t="shared" ca="1" si="641"/>
        <v>0</v>
      </c>
      <c r="BV337" s="48">
        <f t="shared" ca="1" si="642"/>
        <v>0</v>
      </c>
      <c r="BW337" s="48">
        <f t="shared" ca="1" si="643"/>
        <v>0</v>
      </c>
      <c r="BX337" s="48">
        <f t="shared" ca="1" si="644"/>
        <v>0</v>
      </c>
      <c r="BY337" s="48">
        <f ca="1">IF(OR(BW337&gt;0,BX337&gt;0),MAX($BY$2:BY336)+1,0)</f>
        <v>0</v>
      </c>
      <c r="BZ337" s="48" t="str">
        <f ca="1">IFERROR(INDEX($BT$3:$BY$400,MATCH(ROWS(BZ$3:BZ337),$BY$3:$BY$400,0),1),"")</f>
        <v/>
      </c>
      <c r="CA337" s="48" t="str">
        <f ca="1">IFERROR(INDEX($BT$3:$BY$400,MATCH(ROWS(CA$3:CA337),$BY$3:$BY$400,0),4),"")</f>
        <v/>
      </c>
      <c r="CB337" s="48" t="str">
        <f ca="1">IFERROR(INDEX($BT$3:$BY$400,MATCH(ROWS(CB$3:CB337),$BY$3:$BY$400,0),5),"")</f>
        <v/>
      </c>
      <c r="CC337" s="48" t="str">
        <f t="shared" ca="1" si="645"/>
        <v/>
      </c>
      <c r="CM337" s="242" t="str">
        <f t="shared" ca="1" si="655"/>
        <v/>
      </c>
      <c r="CN337" s="243">
        <f t="shared" ca="1" si="656"/>
        <v>0</v>
      </c>
      <c r="CO337" s="48" t="str">
        <f t="shared" ca="1" si="657"/>
        <v/>
      </c>
      <c r="CU337" s="48">
        <f ca="1">IF(SUMIFS(AVERE,DEN_G,AC337,AVERE,"&gt;"&amp;0)+SUMIFS(DARE,DEN_G,AC337,DARE,"&gt;"&amp;0)&gt;0,MAX($CU$2:CU336)+1,0)</f>
        <v>0</v>
      </c>
      <c r="CV337" s="48" t="str">
        <f ca="1">IF(IFERROR(INDEX(PDC,MATCH(ROWS($CV$3:CV337),$CU$3:$CU$400,0),2),"")="CONTO DI RISULTATO ECONOMICO","",IFERROR(INDEX(PDC,MATCH(ROWS($CV$3:CV337),$CU$3:$CU$400,0),2),""))</f>
        <v/>
      </c>
      <c r="CW337" s="48">
        <f ca="1">IFERROR(IF(CV337&lt;&gt;"",MAX($CW$2:CW336)+1,0),0)</f>
        <v>0</v>
      </c>
      <c r="CX337" s="48">
        <f t="shared" ca="1" si="667"/>
        <v>26</v>
      </c>
      <c r="CY337" s="48" t="str">
        <f t="shared" ca="1" si="665"/>
        <v>MASTRO</v>
      </c>
      <c r="CZ337" s="48" t="e">
        <f t="shared" ca="1" si="671"/>
        <v>#N/A</v>
      </c>
      <c r="DA337" s="48" t="str">
        <f t="shared" ca="1" si="675"/>
        <v/>
      </c>
      <c r="DB337" s="48" t="str">
        <f t="shared" ca="1" si="592"/>
        <v/>
      </c>
      <c r="DC337" s="48" t="str">
        <f t="shared" ca="1" si="672"/>
        <v/>
      </c>
      <c r="DD337" s="48" t="str">
        <f t="shared" ca="1" si="673"/>
        <v/>
      </c>
      <c r="DE337" s="48" t="str">
        <f t="shared" ca="1" si="674"/>
        <v/>
      </c>
      <c r="DF337" s="48">
        <f ca="1">IF(AND(CX337=$DF$1,CX337&lt;&gt;""),0,IF(AND(DB337&lt;&gt;"",OR(DB336&lt;&gt;"",DB338&lt;&gt;"")),MAX($DF$2:DF336)+1,0))</f>
        <v>0</v>
      </c>
      <c r="DH337" s="244" t="s">
        <v>448</v>
      </c>
      <c r="DI337" s="48" t="s">
        <v>449</v>
      </c>
      <c r="DJ337" s="48" t="s">
        <v>311</v>
      </c>
      <c r="DK337" s="48" t="s">
        <v>275</v>
      </c>
      <c r="DL337" s="48" t="s">
        <v>7</v>
      </c>
      <c r="DM337" s="48" t="s">
        <v>301</v>
      </c>
      <c r="DN337" s="48">
        <f ca="1">IF(DI337&lt;&gt;"",MAX($DN$2:DN336)+1,0)</f>
        <v>268</v>
      </c>
      <c r="DO337" s="48" t="str">
        <f t="shared" ref="DO337:DO338" ca="1" si="676">IF($BF$9=1,"eb10c","eb10a")</f>
        <v>eb10a</v>
      </c>
      <c r="DQ337" s="227" t="s">
        <v>943</v>
      </c>
      <c r="DR337" s="48" t="s">
        <v>246</v>
      </c>
      <c r="DS337" s="48" t="s">
        <v>311</v>
      </c>
      <c r="DT337" s="48" t="s">
        <v>298</v>
      </c>
      <c r="DU337" s="48" t="s">
        <v>320</v>
      </c>
      <c r="DV337" s="48" t="s">
        <v>300</v>
      </c>
      <c r="DW337" s="48">
        <f ca="1">IF(DR337&lt;&gt;"",MAX($DW$2:DW336)+1,0)</f>
        <v>206</v>
      </c>
      <c r="DX337" s="48" t="s">
        <v>719</v>
      </c>
      <c r="DY337" s="48" t="str">
        <f t="shared" ca="1" si="647"/>
        <v/>
      </c>
      <c r="EL337" s="48">
        <f t="shared" ca="1" si="648"/>
        <v>0</v>
      </c>
      <c r="EM337" s="48">
        <f ca="1">IF(EL337&gt;=0,0,MAX($EM$2:EM336)+1)</f>
        <v>0</v>
      </c>
      <c r="EN337" s="48" t="str">
        <f t="shared" ca="1" si="658"/>
        <v/>
      </c>
      <c r="EO337" s="48" t="str">
        <f ca="1">IFERROR(INDEX($EM$3:$EN$400,MATCH(ROWS($EO$3:EO337),$EM$3:$EM$400,0),2),"")</f>
        <v/>
      </c>
      <c r="EP337" s="48">
        <f>ROW()</f>
        <v>337</v>
      </c>
      <c r="EQ337" s="48">
        <f t="shared" ca="1" si="649"/>
        <v>0</v>
      </c>
      <c r="ER337" s="48">
        <f ca="1">IF(ISNA(EQ337)=TRUE,MAX($ER$2:ER336)+1,0)</f>
        <v>0</v>
      </c>
      <c r="ES337" s="48" t="str">
        <f t="shared" ca="1" si="659"/>
        <v/>
      </c>
      <c r="ET337" s="48" t="str">
        <f ca="1">IFERROR(INDEX($ER$3:$ES$400,MATCH(ROWS($ET$3:ET337),$ER$3:$ER$400,0),2),"")</f>
        <v/>
      </c>
      <c r="EV337" s="48">
        <f ca="1">IFERROR(INDEX(LIBRO_GIORNALE!$O$11:$P$408,MATCH(ROWS($EV$2:EV336),LIBRO_GIORNALE!$P$11:$P$408,0),1),0)</f>
        <v>0</v>
      </c>
      <c r="EW337" s="48" t="str">
        <f t="shared" ca="1" si="629"/>
        <v>0</v>
      </c>
      <c r="EX337" s="48">
        <f t="shared" ca="1" si="660"/>
        <v>0</v>
      </c>
      <c r="EY337" s="48">
        <f ca="1">IF(EX337&gt;0,MAX($EY$2:EY336)+1,0)</f>
        <v>0</v>
      </c>
      <c r="EZ337" s="48">
        <f ca="1">IFERROR(INDEX($EX$3:$EX$400,MATCH(ROWS($EZ$3:EZ337),$EY$3:$EY$400,0),1),0)</f>
        <v>0</v>
      </c>
      <c r="FA337" s="48">
        <f ca="1">IF(EZ337&gt;0,0,MAX($FA$2:FA336)+1)</f>
        <v>335</v>
      </c>
      <c r="FB337" s="48">
        <f t="shared" ca="1" si="630"/>
        <v>0</v>
      </c>
      <c r="FC337" s="48">
        <f t="shared" ca="1" si="631"/>
        <v>335</v>
      </c>
      <c r="FD337" s="48">
        <f t="shared" ca="1" si="661"/>
        <v>335</v>
      </c>
      <c r="FE337" s="48">
        <f ca="1">IF(FD337=0,0,MAX($FE$2:FE336)+1)</f>
        <v>335</v>
      </c>
      <c r="FF337" s="48">
        <f ca="1">IFERROR(INDEX($FD$3:$FE$400,MATCH(ROWS($FF$3:FF337),$FE$3:$FE$400,0),1),"")</f>
        <v>335</v>
      </c>
      <c r="FG337" s="48">
        <f t="shared" si="610"/>
        <v>0</v>
      </c>
      <c r="FH337" s="48">
        <f t="shared" ca="1" si="662"/>
        <v>0</v>
      </c>
      <c r="FI337" s="48">
        <f ca="1">IF(FH337&lt;&gt;0,MAX($FI$2:FI336)+1,0)</f>
        <v>0</v>
      </c>
      <c r="FJ337" s="48" t="str">
        <f ca="1">IFERROR(INDEX($FH$3:$FI$400,MATCH(ROWS($FJ$3:FJ337),$FI$3:$FI$400,0),1),"")</f>
        <v/>
      </c>
      <c r="FK337" s="48">
        <f ca="1">IF(ABS(SUMIFS(DARE,DEN_G,"="&amp;FJ337,DATA,"&lt;="&amp;FINE_AC,DATA,"&gt;="&amp;INIZIO_A_PC)-SUMIFS(AVERE,DEN_G,"="&amp;FJ337,DATA,"&lt;="&amp;FINE_AC,DATA,"&gt;="&amp;INIZIO_A_PC))&gt;0,MAX($FK$2:FK336)+1,0)</f>
        <v>0</v>
      </c>
      <c r="FL337" s="48" t="str">
        <f ca="1">IF(AND(ROW()-2&lt;&gt;1,ROW()-2&lt;=$FK$1),CONCATENATE(" - ",IFERROR(INDEX($FJ$3:$FK$400,MATCH(ROWS($FL$3:FL337),$FK$3:$FK$400,0),1),"")),IFERROR(INDEX($FJ$3:$FK$400,MATCH(ROWS($FL$3:FL337),$FK$3:$FK$400,0),1),""))</f>
        <v/>
      </c>
      <c r="FM337" s="48">
        <f ca="1">IF(OR(B337="IVA ns/credito",B337="IVA NS/DEBITO",B337="IVA C/ACCONTO",B337="IMPOSTE C/ACCONTO",B337="CREDITI PER RITENUTE SUBITE",B337="CREDITI D'IMPOSTA"),MAX($FM$2:FM336)+1,0)</f>
        <v>0</v>
      </c>
      <c r="FN337" s="48" t="str">
        <f t="shared" ca="1" si="663"/>
        <v/>
      </c>
      <c r="FO337" s="48" t="str">
        <f ca="1">IFERROR(INDEX($FM$3:$FN$400,MATCH(ROWS($FO$3:FO337),$FM$3:$FM$400,0),2),"")</f>
        <v/>
      </c>
      <c r="FP337" s="48">
        <f ca="1">IF(ABS(SUMIFS(DARE,DEN_G,"="&amp;FO337,DATA,"&lt;="&amp;FINE_AC,DATA,"&gt;="&amp;INIZIO_A_PC)-SUMIFS(AVERE,DEN_G,"="&amp;FO337,DATA,"&lt;="&amp;FINE_AC,DATA,"&gt;="&amp;INIZIO_A_PC))&gt;0,MAX($FP$2:FP336)+1,0)</f>
        <v>0</v>
      </c>
      <c r="FQ337" s="48" t="str">
        <f ca="1">IF(AND(ROW()-2&lt;&gt;1,ROW()-2&lt;=$FP$1),CONCATENATE(" - ",IFERROR(INDEX($FO$3:$FP$400,MATCH(ROWS($FQ$3:FQ337),$FP$3:$FP$400,0),1),"")),IFERROR(INDEX($FO$3:$FP$400,MATCH(ROWS($FQ$3:FQ337),$FP$3:$FP$400,0),1),""))</f>
        <v/>
      </c>
    </row>
    <row r="338" spans="1:173" x14ac:dyDescent="0.3">
      <c r="A338" s="48" t="str">
        <f ca="1">IFERROR(IF($A$1=2,INDEX($DH$3:$DN$401,MATCH(ROWS(A$3:A338),$DN$3:$DN$401,0),COLUMN()),IF($A$1=1,INDEX($DQ$3:$DW$401,MATCH(ROWS(A$3:A338),$DW$3:$DW$401,0),COLUMN()),"")),"")</f>
        <v/>
      </c>
      <c r="B338" s="48" t="str">
        <f ca="1">IFERROR(IF($A$1=2,INDEX($DH$3:$DN$401,MATCH(ROWS(B$3:B338),$DN$3:$DN$401,0),COLUMN()),IF($A$1=1,INDEX($DQ$3:$DW$400,MATCH(ROWS(B$3:B338),$DW$3:$DW$401,0),COLUMN()),"")),"")</f>
        <v/>
      </c>
      <c r="C338" s="48" t="str">
        <f ca="1">IFERROR(IF($A$1=2,INDEX($DH$3:$DN$401,MATCH(ROWS(C$3:C338),$DN$3:$DN$401,0),COLUMN()),IF($A$1=1,INDEX($DQ$3:$DW$401,MATCH(ROWS(C$3:C338),$DW$3:$DW$401,0),COLUMN()),"")),"")</f>
        <v/>
      </c>
      <c r="D338" s="48" t="str">
        <f ca="1">IFERROR(IF($A$1=2,INDEX($DH$3:$DN$401,MATCH(ROWS(D$3:D338),$DN$3:$DN$401,0),COLUMN()),IF($A$1=1,INDEX($DQ$3:$DW$401,MATCH(ROWS(D$3:D338),$DW$3:$DW$401,0),COLUMN()),"")),"")</f>
        <v/>
      </c>
      <c r="E338" s="48" t="str">
        <f ca="1">IFERROR(IF($A$1=2,INDEX($DH$3:$DN$401,MATCH(ROWS(E$3:E338),$DN$3:$DN$401,0),COLUMN()),IF($A$1=1,INDEX($DQ$3:$DW$401,MATCH(ROWS(E$3:E338),$DW$3:$DW$401,0),COLUMN()),"")),"")</f>
        <v/>
      </c>
      <c r="F338" s="48" t="str">
        <f ca="1">IFERROR(IF($A$1=2,INDEX($DH$3:$DN$401,MATCH(ROWS(F$3:F338),$DN$3:$DN$401,0),COLUMN()),IF($A$1=1,INDEX($DQ$3:$DX$401,MATCH(ROWS(F$3:F338),$DW$3:$DW$401,0),COLUMN()),"")),"")</f>
        <v/>
      </c>
      <c r="G338" s="48" t="str">
        <f t="shared" ca="1" si="650"/>
        <v/>
      </c>
      <c r="H338" s="48" t="str">
        <f ca="1">IFERROR(IF($A$1=2,INDEX($DH$3:$DO$400,MATCH(ROWS(H$3:H338),$DN$3:$DN$400,0),COLUMN()),IF($A$1=1,INDEX($DQ$3:$DX$400,MATCH(ROWS(H$3:H338),$DW$3:$DW$400,0),COLUMN()),"")),"")</f>
        <v/>
      </c>
      <c r="M338" s="48">
        <f ca="1">IFERROR(IF(IF(MID($A338,3,3)=".00",MID(A338,1,2),"")&lt;&gt;"",MAX($M$2:M337)+1,0),"")</f>
        <v>0</v>
      </c>
      <c r="N338" s="48" t="str">
        <f t="shared" ca="1" si="651"/>
        <v/>
      </c>
      <c r="O338" s="48" t="str">
        <f ca="1">IF(IFERROR(INDEX($N$3:$O$300,MATCH(ROWS($O$3:O338),$M$3:$M$300,0),1),"")&lt;&gt;"",CONCATENATE(INDEX($N$3:$O$300,MATCH(ROWS($O$3:O338),$M$3:$M$300,0),1),".00"),"")</f>
        <v/>
      </c>
      <c r="P338" s="48" t="str">
        <f t="shared" ca="1" si="652"/>
        <v/>
      </c>
      <c r="Q338" s="48">
        <f ca="1">IF(M338&gt;=1,0,MAX($Q$2:Q337)+1)</f>
        <v>299</v>
      </c>
      <c r="U338" s="48" t="str">
        <f ca="1">IFERROR(INDEX(PDC,MATCH(ROWS(U$3:U338),$V$3:$V$400,0),2),"")</f>
        <v/>
      </c>
      <c r="V338" s="48">
        <f ca="1">IF(AND($T$1="VISUALIZZA TUTTI I CONTI",AA338&lt;&gt;""),MAX($V$2:V337)+1,IF(AND($U$2=2,AI338=$T$1),MAX($V$2:V337)+1,IF(AND($U$2=1,$T$1=AF338),MAX($V$2:V337)+1,0)))</f>
        <v>0</v>
      </c>
      <c r="AA338" s="48" t="str">
        <f t="shared" ca="1" si="653"/>
        <v/>
      </c>
      <c r="AB338" s="48" t="str">
        <f ca="1">IFERROR(INDEX($A$3:$G$400,MATCH(ROWS(AB$3:AB338),$Q$3:$Q$400,0),1),"")</f>
        <v/>
      </c>
      <c r="AC338" s="48" t="str">
        <f ca="1">IFERROR(INDEX($A$3:$G$400,MATCH(ROWS($AC$3:AC338),$Q$3:$Q$400,0),2),"")</f>
        <v/>
      </c>
      <c r="AD338" s="48">
        <f ca="1">IFERROR(INDEX($A$3:$G$400,MATCH(ROWS(AD$3:AD338),$Q$3:$Q$400,0),3),"")</f>
        <v>0</v>
      </c>
      <c r="AE338" s="48" t="str">
        <f ca="1">IFERROR(INDEX($A$3:$G$400,MATCH(ROWS(AE$3:AE338),$Q$3:$Q$400,0),4),"")</f>
        <v/>
      </c>
      <c r="AF338" s="48" t="str">
        <f ca="1">IFERROR(INDEX($A$3:$G$400,MATCH(ROWS(AF$3:AF338),$Q$3:$Q$400,0),5),"")</f>
        <v/>
      </c>
      <c r="AG338" s="48" t="str">
        <f ca="1">IFERROR(INDEX($A$3:$G$400,MATCH(ROWS(AG$3:AG338),$Q$3:$Q$400,0),6),"")</f>
        <v/>
      </c>
      <c r="AH338" s="48" t="str">
        <f ca="1">IFERROR(INDEX($A$3:$G$400,MATCH(ROWS(AH$3:AH338),$Q$3:$Q$400,0),7),"")</f>
        <v/>
      </c>
      <c r="AI338" s="48" t="str">
        <f t="shared" ca="1" si="654"/>
        <v/>
      </c>
      <c r="AJ338" s="48" t="str">
        <f ca="1">IFERROR(INDEX($A$3:$H$400,MATCH(ROWS(AJ$3:AJ338),$Q$3:$Q$400,0),8),"")</f>
        <v/>
      </c>
      <c r="AZ338" s="48" t="str">
        <f t="shared" ca="1" si="669"/>
        <v/>
      </c>
      <c r="BA338" s="48">
        <f t="shared" ca="1" si="611"/>
        <v>0</v>
      </c>
      <c r="BB338" s="48">
        <f t="shared" ca="1" si="612"/>
        <v>0</v>
      </c>
      <c r="BC338" s="48">
        <f t="shared" ca="1" si="613"/>
        <v>0</v>
      </c>
      <c r="BD338" s="48">
        <f t="shared" ca="1" si="614"/>
        <v>0</v>
      </c>
      <c r="BE338" s="48">
        <f t="shared" ca="1" si="615"/>
        <v>0</v>
      </c>
      <c r="BF338" s="48">
        <f t="shared" si="670"/>
        <v>138</v>
      </c>
      <c r="BG338" s="48">
        <f ca="1">IF(IF(AND(OR(INDEX(PDC,MATCH($AC338,DEN_PDC,0),6)="SP DARE",INDEX(PDC,MATCH($AC338,DEN_PDC,0),6)="SP DARE/AVERE"),SUMIFS(DARE,DEN_G,$AC338)&gt;=SUMIFS(AVERE,DEN_G,$AC338)),SUMIFS(DARE,DEN_G,$AC338)-SUMIFS(AVERE,DEN_G,$AC338),0)&gt;0,MAX($BG$2:BG337)+1,0)</f>
        <v>0</v>
      </c>
      <c r="BH338" s="48">
        <f ca="1">IF(IF(AND(OR(INDEX(PDC,MATCH($AC338,DEN_PDC,0),6)="SP AVERE",INDEX(PDC,MATCH($AC338,DEN_PDC,0),6)="SP DARE/AVERE"),SUMIFS(AVERE,DEN_G,$AC338)&gt;=SUMIFS(DARE,DEN_G,$AC338)),SUMIFS(AVERE,DEN_G,$AC338)-SUMIFS(DARE,DEN_G,$AC338),0)&gt;0,MAX(BH$2:BH337)+1,0)</f>
        <v>0</v>
      </c>
      <c r="BI338" s="48">
        <f ca="1">IF(IF(AND(OR(INDEX(PDC,MATCH($AC338,DEN_PDC,0),6)="SE DARE",INDEX(PDC,MATCH($AC338,DEN_PDC,0),6)="SE DARE/AVERE"),SUMIFS(DARE,DEN_G,$AC338)&gt;=SUMIFS(AVERE,DEN_G,$AC338)),SUMIFS(DARE,DEN_G,$AC338)-SUMIFS(AVERE,DEN_G,$AC338),0)&gt;0,MAX(BI$2:BI337)+1,0)</f>
        <v>0</v>
      </c>
      <c r="BJ338" s="48">
        <f ca="1">IF(IF(AND(OR(INDEX(PDC,MATCH($AC338,DEN_PDC,0),6)="SE AVERE",INDEX(PDC,MATCH($AC338,DEN_PDC,0),6)="SE DARE/AVERE"),SUMIFS(AVERE,DEN_G,$AC338)&gt;=SUMIFS(DARE,DEN_G,$AC338)),SUMIFS(AVERE,DEN_G,$AC338)-SUMIFS(DARE,DEN_G,$AC338),0)&gt;0,MAX(BJ$2:BJ337)+1,0)</f>
        <v>0</v>
      </c>
      <c r="BK338" s="48" t="str">
        <f ca="1">IF(AND(AND($DY$2=0,$DY$1=0),$I$1=2,ROW()&gt;$BG$1+2,ROW()&lt;=$BG$1+4),"………………..",IF(AND(OR($DY$2&gt;0,$DY$1&gt;0),$I$1=2,ROW()&gt;$BG$1+2,ROW()&lt;=$BG$1+4),"………………..",IFERROR(INDEX($AC$3:$AC$398,MATCH(ROWS(BK$3:BK338),BG$3:BG$398,0),1),"")))</f>
        <v/>
      </c>
      <c r="BL338" s="48">
        <f t="shared" ca="1" si="637"/>
        <v>0</v>
      </c>
      <c r="BM338" s="48" t="str">
        <f ca="1">IF(AND(OR($DY$2=0,$DY$1=0),$I$1=2,ROW()&gt;$BH$1+2,ROW()&lt;=$BH$1+4),"………………..",IF(AND(OR($DY$2&gt;0,$DY$1&gt;0),$I$1=2,ROW()&gt;$BH$1+2,ROW()&lt;=$BH$1+4),"………………..",IFERROR(INDEX($AC$3:$AC$400,MATCH(ROWS(BM$3:BM338),BH$3:BH$400,0),1),"")))</f>
        <v/>
      </c>
      <c r="BN338" s="48">
        <f t="shared" ca="1" si="638"/>
        <v>0</v>
      </c>
      <c r="BO338" s="48" t="str">
        <f ca="1">IF(AND(OR($DY$2=0,$DY$1=0),$I$1=2,ROW()&gt;$BI$1+2,ROW()&lt;=$BI$1+4),"………………..",IF(AND(OR($DY$2&gt;0,$DY$1&gt;0),$I$1=2,ROW()&gt;$BI$1+2,ROW()&lt;=$BI$1+4),"………………..",IFERROR(INDEX($AC$3:$AC$400,MATCH(ROWS(BO$3:BO338),BI$3:BI$400,0),1),"")))</f>
        <v/>
      </c>
      <c r="BP338" s="48">
        <f t="shared" ca="1" si="639"/>
        <v>0</v>
      </c>
      <c r="BQ338" s="48" t="str">
        <f ca="1">IF(AND(OR($DY$2=0,$DY$1=0),$I$1=2,ROW()&gt;$BJ$1+2,ROW()&lt;=$BJ$1+4),"………………..",IF(AND(OR($DY$2&gt;0,$DY$1&gt;0),$I$1=2,ROW()&gt;$BJ$1+2,ROW()&lt;=$BJ$1+4),"………………..",IFERROR(INDEX($AC$3:$AC$400,MATCH(ROWS(BQ$3:BQ338),BJ$3:BJ$400,0),1),"")))</f>
        <v/>
      </c>
      <c r="BR338" s="48">
        <f t="shared" ca="1" si="640"/>
        <v>0</v>
      </c>
      <c r="BS338" s="48">
        <f ca="1">IF(IF(AND(OR(INDEX(PDC,MATCH($AC338,DEN_PDC,0),4)="D",INDEX(PDC,MATCH($AC338,DEN_PDC,0),4)="D/A"),SUMIFS(DARE,DEN_G,$AC338)&gt;=SUMIFS(AVERE,DEN_G,$AC338)),SUMIFS(DARE,DEN_G,$AC338),IF(AND(OR(INDEX(PDC,MATCH($AC338,DEN_PDC,0),4)="A",INDEX(PDC,MATCH($AC338,DEN_PDC,0),4)="D/A"),SUMIFS(AVERE,DEN_G,$AC338)&gt;=SUMIFS(DARE,DEN_G,$AC338)),SUMIFS(AVERE,DEN_G,$AC338),))&gt;0,MAX($BS$2:BS337)+1,0)</f>
        <v>0</v>
      </c>
      <c r="BT338" s="48" t="str">
        <f ca="1">IF($CO$1=0,"",IF(AND($I$1=2,ROW()&gt;$BR$1,ROW()&lt;=$BS$1)," …………….",IF(AND($E$1=1,$BX$1=1,$I$1=2,ROW()=$BQ$1),"TOTALI",IFERROR(INDEX(PDC,MATCH(ROWS(BT$3:BT338),BS$3:BS735,0),2),""))))</f>
        <v/>
      </c>
      <c r="BU338" s="48">
        <f t="shared" ca="1" si="641"/>
        <v>0</v>
      </c>
      <c r="BV338" s="48">
        <f t="shared" ca="1" si="642"/>
        <v>0</v>
      </c>
      <c r="BW338" s="48">
        <f t="shared" ca="1" si="643"/>
        <v>0</v>
      </c>
      <c r="BX338" s="48">
        <f t="shared" ca="1" si="644"/>
        <v>0</v>
      </c>
      <c r="BY338" s="48">
        <f ca="1">IF(OR(BW338&gt;0,BX338&gt;0),MAX($BY$2:BY337)+1,0)</f>
        <v>0</v>
      </c>
      <c r="BZ338" s="48" t="str">
        <f ca="1">IFERROR(INDEX($BT$3:$BY$400,MATCH(ROWS(BZ$3:BZ338),$BY$3:$BY$400,0),1),"")</f>
        <v/>
      </c>
      <c r="CA338" s="48" t="str">
        <f ca="1">IFERROR(INDEX($BT$3:$BY$400,MATCH(ROWS(CA$3:CA338),$BY$3:$BY$400,0),4),"")</f>
        <v/>
      </c>
      <c r="CB338" s="48" t="str">
        <f ca="1">IFERROR(INDEX($BT$3:$BY$400,MATCH(ROWS(CB$3:CB338),$BY$3:$BY$400,0),5),"")</f>
        <v/>
      </c>
      <c r="CC338" s="48" t="str">
        <f t="shared" ca="1" si="645"/>
        <v/>
      </c>
      <c r="CM338" s="242" t="str">
        <f t="shared" ca="1" si="655"/>
        <v/>
      </c>
      <c r="CN338" s="243">
        <f t="shared" ca="1" si="656"/>
        <v>0</v>
      </c>
      <c r="CO338" s="48" t="str">
        <f t="shared" ca="1" si="657"/>
        <v/>
      </c>
      <c r="CU338" s="48">
        <f ca="1">IF(SUMIFS(AVERE,DEN_G,AC338,AVERE,"&gt;"&amp;0)+SUMIFS(DARE,DEN_G,AC338,DARE,"&gt;"&amp;0)&gt;0,MAX($CU$2:CU337)+1,0)</f>
        <v>0</v>
      </c>
      <c r="CV338" s="48" t="str">
        <f ca="1">IF(IFERROR(INDEX(PDC,MATCH(ROWS($CV$3:CV338),$CU$3:$CU$400,0),2),"")="CONTO DI RISULTATO ECONOMICO","",IFERROR(INDEX(PDC,MATCH(ROWS($CV$3:CV338),$CU$3:$CU$400,0),2),""))</f>
        <v/>
      </c>
      <c r="CW338" s="48">
        <f ca="1">IFERROR(IF(CV338&lt;&gt;"",MAX($CW$2:CW337)+1,0),0)</f>
        <v>0</v>
      </c>
      <c r="CX338" s="48">
        <f t="shared" ca="1" si="667"/>
        <v>26</v>
      </c>
      <c r="CY338" s="48" t="str">
        <f t="shared" ca="1" si="665"/>
        <v>MASTRO</v>
      </c>
      <c r="CZ338" s="48" t="e">
        <f t="shared" ca="1" si="671"/>
        <v>#N/A</v>
      </c>
      <c r="DA338" s="48" t="str">
        <f t="shared" ca="1" si="675"/>
        <v/>
      </c>
      <c r="DB338" s="48" t="str">
        <f t="shared" ca="1" si="592"/>
        <v/>
      </c>
      <c r="DC338" s="48" t="str">
        <f t="shared" ca="1" si="672"/>
        <v/>
      </c>
      <c r="DD338" s="48" t="str">
        <f t="shared" ca="1" si="673"/>
        <v/>
      </c>
      <c r="DE338" s="48" t="str">
        <f t="shared" ca="1" si="674"/>
        <v/>
      </c>
      <c r="DF338" s="48">
        <f ca="1">IF(AND(CX338=$DF$1,CX338&lt;&gt;""),0,IF(AND(DB338&lt;&gt;"",OR(DB337&lt;&gt;"",DB339&lt;&gt;"")),MAX($DF$2:DF337)+1,0))</f>
        <v>0</v>
      </c>
      <c r="DH338" s="244"/>
      <c r="DJ338" s="48" t="s">
        <v>311</v>
      </c>
      <c r="DK338" s="48" t="s">
        <v>275</v>
      </c>
      <c r="DL338" s="48" t="s">
        <v>7</v>
      </c>
      <c r="DM338" s="48" t="s">
        <v>301</v>
      </c>
      <c r="DN338" s="48">
        <f>IF(DI338&lt;&gt;"",MAX($DN$2:DN337)+1,0)</f>
        <v>0</v>
      </c>
      <c r="DO338" s="48" t="str">
        <f t="shared" ca="1" si="676"/>
        <v>eb10a</v>
      </c>
      <c r="DR338" s="228"/>
      <c r="DW338" s="48">
        <f>IF(DR338&lt;&gt;"",MAX($DW$2:DW337)+1,0)</f>
        <v>0</v>
      </c>
      <c r="DY338" s="48" t="str">
        <f t="shared" ca="1" si="647"/>
        <v/>
      </c>
      <c r="EL338" s="48">
        <f t="shared" ca="1" si="648"/>
        <v>0</v>
      </c>
      <c r="EM338" s="48">
        <f ca="1">IF(EL338&gt;=0,0,MAX($EM$2:EM337)+1)</f>
        <v>0</v>
      </c>
      <c r="EN338" s="48" t="str">
        <f t="shared" ca="1" si="658"/>
        <v/>
      </c>
      <c r="EO338" s="48" t="str">
        <f ca="1">IFERROR(INDEX($EM$3:$EN$400,MATCH(ROWS($EO$3:EO338),$EM$3:$EM$400,0),2),"")</f>
        <v/>
      </c>
      <c r="EP338" s="48">
        <f>ROW()</f>
        <v>338</v>
      </c>
      <c r="EQ338" s="48">
        <f t="shared" ca="1" si="649"/>
        <v>0</v>
      </c>
      <c r="ER338" s="48">
        <f ca="1">IF(ISNA(EQ338)=TRUE,MAX($ER$2:ER337)+1,0)</f>
        <v>0</v>
      </c>
      <c r="ES338" s="48" t="str">
        <f t="shared" ca="1" si="659"/>
        <v/>
      </c>
      <c r="ET338" s="48" t="str">
        <f ca="1">IFERROR(INDEX($ER$3:$ES$400,MATCH(ROWS($ET$3:ET338),$ER$3:$ER$400,0),2),"")</f>
        <v/>
      </c>
      <c r="EV338" s="48">
        <f ca="1">IFERROR(INDEX(LIBRO_GIORNALE!$O$11:$P$408,MATCH(ROWS($EV$2:EV337),LIBRO_GIORNALE!$P$11:$P$408,0),1),0)</f>
        <v>0</v>
      </c>
      <c r="EW338" s="48" t="str">
        <f t="shared" ca="1" si="629"/>
        <v>0</v>
      </c>
      <c r="EX338" s="48">
        <f t="shared" ca="1" si="660"/>
        <v>0</v>
      </c>
      <c r="EY338" s="48">
        <f ca="1">IF(EX338&gt;0,MAX($EY$2:EY337)+1,0)</f>
        <v>0</v>
      </c>
      <c r="EZ338" s="48">
        <f ca="1">IFERROR(INDEX($EX$3:$EX$400,MATCH(ROWS($EZ$3:EZ338),$EY$3:$EY$400,0),1),0)</f>
        <v>0</v>
      </c>
      <c r="FA338" s="48">
        <f ca="1">IF(EZ338&gt;0,0,MAX($FA$2:FA337)+1)</f>
        <v>336</v>
      </c>
      <c r="FB338" s="48">
        <f t="shared" ca="1" si="630"/>
        <v>0</v>
      </c>
      <c r="FC338" s="48">
        <f t="shared" ca="1" si="631"/>
        <v>336</v>
      </c>
      <c r="FD338" s="48">
        <f t="shared" ca="1" si="661"/>
        <v>336</v>
      </c>
      <c r="FE338" s="48">
        <f ca="1">IF(FD338=0,0,MAX($FE$2:FE337)+1)</f>
        <v>336</v>
      </c>
      <c r="FF338" s="48">
        <f ca="1">IFERROR(INDEX($FD$3:$FE$400,MATCH(ROWS($FF$3:FF338),$FE$3:$FE$400,0),1),"")</f>
        <v>336</v>
      </c>
      <c r="FG338" s="48">
        <f t="shared" si="610"/>
        <v>0</v>
      </c>
      <c r="FH338" s="48">
        <f t="shared" ca="1" si="662"/>
        <v>0</v>
      </c>
      <c r="FI338" s="48">
        <f ca="1">IF(FH338&lt;&gt;0,MAX($FI$2:FI337)+1,0)</f>
        <v>0</v>
      </c>
      <c r="FJ338" s="48" t="str">
        <f ca="1">IFERROR(INDEX($FH$3:$FI$400,MATCH(ROWS($FJ$3:FJ338),$FI$3:$FI$400,0),1),"")</f>
        <v/>
      </c>
      <c r="FK338" s="48">
        <f ca="1">IF(ABS(SUMIFS(DARE,DEN_G,"="&amp;FJ338,DATA,"&lt;="&amp;FINE_AC,DATA,"&gt;="&amp;INIZIO_A_PC)-SUMIFS(AVERE,DEN_G,"="&amp;FJ338,DATA,"&lt;="&amp;FINE_AC,DATA,"&gt;="&amp;INIZIO_A_PC))&gt;0,MAX($FK$2:FK337)+1,0)</f>
        <v>0</v>
      </c>
      <c r="FL338" s="48" t="str">
        <f ca="1">IF(AND(ROW()-2&lt;&gt;1,ROW()-2&lt;=$FK$1),CONCATENATE(" - ",IFERROR(INDEX($FJ$3:$FK$400,MATCH(ROWS($FL$3:FL338),$FK$3:$FK$400,0),1),"")),IFERROR(INDEX($FJ$3:$FK$400,MATCH(ROWS($FL$3:FL338),$FK$3:$FK$400,0),1),""))</f>
        <v/>
      </c>
      <c r="FM338" s="48">
        <f ca="1">IF(OR(B338="IVA ns/credito",B338="IVA NS/DEBITO",B338="IVA C/ACCONTO",B338="IMPOSTE C/ACCONTO",B338="CREDITI PER RITENUTE SUBITE",B338="CREDITI D'IMPOSTA"),MAX($FM$2:FM337)+1,0)</f>
        <v>0</v>
      </c>
      <c r="FN338" s="48" t="str">
        <f t="shared" ca="1" si="663"/>
        <v/>
      </c>
      <c r="FO338" s="48" t="str">
        <f ca="1">IFERROR(INDEX($FM$3:$FN$400,MATCH(ROWS($FO$3:FO338),$FM$3:$FM$400,0),2),"")</f>
        <v/>
      </c>
      <c r="FP338" s="48">
        <f ca="1">IF(ABS(SUMIFS(DARE,DEN_G,"="&amp;FO338,DATA,"&lt;="&amp;FINE_AC,DATA,"&gt;="&amp;INIZIO_A_PC)-SUMIFS(AVERE,DEN_G,"="&amp;FO338,DATA,"&lt;="&amp;FINE_AC,DATA,"&gt;="&amp;INIZIO_A_PC))&gt;0,MAX($FP$2:FP337)+1,0)</f>
        <v>0</v>
      </c>
      <c r="FQ338" s="48" t="str">
        <f ca="1">IF(AND(ROW()-2&lt;&gt;1,ROW()-2&lt;=$FP$1),CONCATENATE(" - ",IFERROR(INDEX($FO$3:$FP$400,MATCH(ROWS($FQ$3:FQ338),$FP$3:$FP$400,0),1),"")),IFERROR(INDEX($FO$3:$FP$400,MATCH(ROWS($FQ$3:FQ338),$FP$3:$FP$400,0),1),""))</f>
        <v/>
      </c>
    </row>
    <row r="339" spans="1:173" x14ac:dyDescent="0.3">
      <c r="A339" s="48" t="str">
        <f ca="1">IFERROR(IF($A$1=2,INDEX($DH$3:$DN$401,MATCH(ROWS(A$3:A339),$DN$3:$DN$401,0),COLUMN()),IF($A$1=1,INDEX($DQ$3:$DW$401,MATCH(ROWS(A$3:A339),$DW$3:$DW$401,0),COLUMN()),"")),"")</f>
        <v/>
      </c>
      <c r="B339" s="48" t="str">
        <f ca="1">IFERROR(IF($A$1=2,INDEX($DH$3:$DN$401,MATCH(ROWS(B$3:B339),$DN$3:$DN$401,0),COLUMN()),IF($A$1=1,INDEX($DQ$3:$DW$400,MATCH(ROWS(B$3:B339),$DW$3:$DW$401,0),COLUMN()),"")),"")</f>
        <v/>
      </c>
      <c r="C339" s="48" t="str">
        <f ca="1">IFERROR(IF($A$1=2,INDEX($DH$3:$DN$401,MATCH(ROWS(C$3:C339),$DN$3:$DN$401,0),COLUMN()),IF($A$1=1,INDEX($DQ$3:$DW$401,MATCH(ROWS(C$3:C339),$DW$3:$DW$401,0),COLUMN()),"")),"")</f>
        <v/>
      </c>
      <c r="D339" s="48" t="str">
        <f ca="1">IFERROR(IF($A$1=2,INDEX($DH$3:$DN$401,MATCH(ROWS(D$3:D339),$DN$3:$DN$401,0),COLUMN()),IF($A$1=1,INDEX($DQ$3:$DW$401,MATCH(ROWS(D$3:D339),$DW$3:$DW$401,0),COLUMN()),"")),"")</f>
        <v/>
      </c>
      <c r="E339" s="48" t="str">
        <f ca="1">IFERROR(IF($A$1=2,INDEX($DH$3:$DN$401,MATCH(ROWS(E$3:E339),$DN$3:$DN$401,0),COLUMN()),IF($A$1=1,INDEX($DQ$3:$DW$401,MATCH(ROWS(E$3:E339),$DW$3:$DW$401,0),COLUMN()),"")),"")</f>
        <v/>
      </c>
      <c r="F339" s="48" t="str">
        <f ca="1">IFERROR(IF($A$1=2,INDEX($DH$3:$DN$401,MATCH(ROWS(F$3:F339),$DN$3:$DN$401,0),COLUMN()),IF($A$1=1,INDEX($DQ$3:$DX$401,MATCH(ROWS(F$3:F339),$DW$3:$DW$401,0),COLUMN()),"")),"")</f>
        <v/>
      </c>
      <c r="G339" s="48" t="str">
        <f t="shared" ca="1" si="650"/>
        <v/>
      </c>
      <c r="H339" s="48" t="str">
        <f ca="1">IFERROR(IF($A$1=2,INDEX($DH$3:$DO$400,MATCH(ROWS(H$3:H339),$DN$3:$DN$400,0),COLUMN()),IF($A$1=1,INDEX($DQ$3:$DX$400,MATCH(ROWS(H$3:H339),$DW$3:$DW$400,0),COLUMN()),"")),"")</f>
        <v/>
      </c>
      <c r="M339" s="48">
        <f ca="1">IFERROR(IF(IF(MID($A339,3,3)=".00",MID(A339,1,2),"")&lt;&gt;"",MAX($M$2:M338)+1,0),"")</f>
        <v>0</v>
      </c>
      <c r="N339" s="48" t="str">
        <f t="shared" ca="1" si="651"/>
        <v/>
      </c>
      <c r="O339" s="48" t="str">
        <f ca="1">IF(IFERROR(INDEX($N$3:$O$300,MATCH(ROWS($O$3:O339),$M$3:$M$300,0),1),"")&lt;&gt;"",CONCATENATE(INDEX($N$3:$O$300,MATCH(ROWS($O$3:O339),$M$3:$M$300,0),1),".00"),"")</f>
        <v/>
      </c>
      <c r="P339" s="48" t="str">
        <f t="shared" ca="1" si="652"/>
        <v/>
      </c>
      <c r="Q339" s="48">
        <f ca="1">IF(M339&gt;=1,0,MAX($Q$2:Q338)+1)</f>
        <v>300</v>
      </c>
      <c r="U339" s="48" t="str">
        <f ca="1">IFERROR(INDEX(PDC,MATCH(ROWS(U$3:U339),$V$3:$V$400,0),2),"")</f>
        <v/>
      </c>
      <c r="V339" s="48">
        <f ca="1">IF(AND($T$1="VISUALIZZA TUTTI I CONTI",AA339&lt;&gt;""),MAX($V$2:V338)+1,IF(AND($U$2=2,AI339=$T$1),MAX($V$2:V338)+1,IF(AND($U$2=1,$T$1=AF339),MAX($V$2:V338)+1,0)))</f>
        <v>0</v>
      </c>
      <c r="AA339" s="48" t="str">
        <f t="shared" ca="1" si="653"/>
        <v/>
      </c>
      <c r="AB339" s="48" t="str">
        <f ca="1">IFERROR(INDEX($A$3:$G$400,MATCH(ROWS(AB$3:AB339),$Q$3:$Q$400,0),1),"")</f>
        <v/>
      </c>
      <c r="AC339" s="48" t="str">
        <f ca="1">IFERROR(INDEX($A$3:$G$400,MATCH(ROWS($AC$3:AC339),$Q$3:$Q$400,0),2),"")</f>
        <v/>
      </c>
      <c r="AD339" s="48">
        <f ca="1">IFERROR(INDEX($A$3:$G$400,MATCH(ROWS(AD$3:AD339),$Q$3:$Q$400,0),3),"")</f>
        <v>0</v>
      </c>
      <c r="AE339" s="48" t="str">
        <f ca="1">IFERROR(INDEX($A$3:$G$400,MATCH(ROWS(AE$3:AE339),$Q$3:$Q$400,0),4),"")</f>
        <v/>
      </c>
      <c r="AF339" s="48" t="str">
        <f ca="1">IFERROR(INDEX($A$3:$G$400,MATCH(ROWS(AF$3:AF339),$Q$3:$Q$400,0),5),"")</f>
        <v/>
      </c>
      <c r="AG339" s="48" t="str">
        <f ca="1">IFERROR(INDEX($A$3:$G$400,MATCH(ROWS(AG$3:AG339),$Q$3:$Q$400,0),6),"")</f>
        <v/>
      </c>
      <c r="AH339" s="48" t="str">
        <f ca="1">IFERROR(INDEX($A$3:$G$400,MATCH(ROWS(AH$3:AH339),$Q$3:$Q$400,0),7),"")</f>
        <v/>
      </c>
      <c r="AI339" s="48" t="str">
        <f t="shared" ca="1" si="654"/>
        <v/>
      </c>
      <c r="AJ339" s="48" t="str">
        <f ca="1">IFERROR(INDEX($A$3:$H$400,MATCH(ROWS(AJ$3:AJ339),$Q$3:$Q$400,0),8),"")</f>
        <v/>
      </c>
      <c r="AZ339" s="48" t="str">
        <f t="shared" ca="1" si="669"/>
        <v/>
      </c>
      <c r="BA339" s="48">
        <f t="shared" ca="1" si="611"/>
        <v>0</v>
      </c>
      <c r="BB339" s="48">
        <f t="shared" ca="1" si="612"/>
        <v>0</v>
      </c>
      <c r="BC339" s="48">
        <f t="shared" ca="1" si="613"/>
        <v>0</v>
      </c>
      <c r="BD339" s="48">
        <f t="shared" ca="1" si="614"/>
        <v>0</v>
      </c>
      <c r="BE339" s="48">
        <f t="shared" ca="1" si="615"/>
        <v>0</v>
      </c>
      <c r="BF339" s="48">
        <f t="shared" si="670"/>
        <v>139</v>
      </c>
      <c r="BG339" s="48">
        <f ca="1">IF(IF(AND(OR(INDEX(PDC,MATCH($AC339,DEN_PDC,0),6)="SP DARE",INDEX(PDC,MATCH($AC339,DEN_PDC,0),6)="SP DARE/AVERE"),SUMIFS(DARE,DEN_G,$AC339)&gt;=SUMIFS(AVERE,DEN_G,$AC339)),SUMIFS(DARE,DEN_G,$AC339)-SUMIFS(AVERE,DEN_G,$AC339),0)&gt;0,MAX($BG$2:BG338)+1,0)</f>
        <v>0</v>
      </c>
      <c r="BH339" s="48">
        <f ca="1">IF(IF(AND(OR(INDEX(PDC,MATCH($AC339,DEN_PDC,0),6)="SP AVERE",INDEX(PDC,MATCH($AC339,DEN_PDC,0),6)="SP DARE/AVERE"),SUMIFS(AVERE,DEN_G,$AC339)&gt;=SUMIFS(DARE,DEN_G,$AC339)),SUMIFS(AVERE,DEN_G,$AC339)-SUMIFS(DARE,DEN_G,$AC339),0)&gt;0,MAX(BH$2:BH338)+1,0)</f>
        <v>0</v>
      </c>
      <c r="BI339" s="48">
        <f ca="1">IF(IF(AND(OR(INDEX(PDC,MATCH($AC339,DEN_PDC,0),6)="SE DARE",INDEX(PDC,MATCH($AC339,DEN_PDC,0),6)="SE DARE/AVERE"),SUMIFS(DARE,DEN_G,$AC339)&gt;=SUMIFS(AVERE,DEN_G,$AC339)),SUMIFS(DARE,DEN_G,$AC339)-SUMIFS(AVERE,DEN_G,$AC339),0)&gt;0,MAX(BI$2:BI338)+1,0)</f>
        <v>0</v>
      </c>
      <c r="BJ339" s="48">
        <f ca="1">IF(IF(AND(OR(INDEX(PDC,MATCH($AC339,DEN_PDC,0),6)="SE AVERE",INDEX(PDC,MATCH($AC339,DEN_PDC,0),6)="SE DARE/AVERE"),SUMIFS(AVERE,DEN_G,$AC339)&gt;=SUMIFS(DARE,DEN_G,$AC339)),SUMIFS(AVERE,DEN_G,$AC339)-SUMIFS(DARE,DEN_G,$AC339),0)&gt;0,MAX(BJ$2:BJ338)+1,0)</f>
        <v>0</v>
      </c>
      <c r="BK339" s="48" t="str">
        <f ca="1">IF(AND(AND($DY$2=0,$DY$1=0),$I$1=2,ROW()&gt;$BG$1+2,ROW()&lt;=$BG$1+4),"………………..",IF(AND(OR($DY$2&gt;0,$DY$1&gt;0),$I$1=2,ROW()&gt;$BG$1+2,ROW()&lt;=$BG$1+4),"………………..",IFERROR(INDEX($AC$3:$AC$398,MATCH(ROWS(BK$3:BK339),BG$3:BG$398,0),1),"")))</f>
        <v/>
      </c>
      <c r="BL339" s="48">
        <f t="shared" ca="1" si="637"/>
        <v>0</v>
      </c>
      <c r="BM339" s="48" t="str">
        <f ca="1">IF(AND(OR($DY$2=0,$DY$1=0),$I$1=2,ROW()&gt;$BH$1+2,ROW()&lt;=$BH$1+4),"………………..",IF(AND(OR($DY$2&gt;0,$DY$1&gt;0),$I$1=2,ROW()&gt;$BH$1+2,ROW()&lt;=$BH$1+4),"………………..",IFERROR(INDEX($AC$3:$AC$400,MATCH(ROWS(BM$3:BM339),BH$3:BH$400,0),1),"")))</f>
        <v/>
      </c>
      <c r="BN339" s="48">
        <f t="shared" ca="1" si="638"/>
        <v>0</v>
      </c>
      <c r="BO339" s="48" t="str">
        <f ca="1">IF(AND(OR($DY$2=0,$DY$1=0),$I$1=2,ROW()&gt;$BI$1+2,ROW()&lt;=$BI$1+4),"………………..",IF(AND(OR($DY$2&gt;0,$DY$1&gt;0),$I$1=2,ROW()&gt;$BI$1+2,ROW()&lt;=$BI$1+4),"………………..",IFERROR(INDEX($AC$3:$AC$400,MATCH(ROWS(BO$3:BO339),BI$3:BI$400,0),1),"")))</f>
        <v/>
      </c>
      <c r="BP339" s="48">
        <f t="shared" ca="1" si="639"/>
        <v>0</v>
      </c>
      <c r="BQ339" s="48" t="str">
        <f ca="1">IF(AND(OR($DY$2=0,$DY$1=0),$I$1=2,ROW()&gt;$BJ$1+2,ROW()&lt;=$BJ$1+4),"………………..",IF(AND(OR($DY$2&gt;0,$DY$1&gt;0),$I$1=2,ROW()&gt;$BJ$1+2,ROW()&lt;=$BJ$1+4),"………………..",IFERROR(INDEX($AC$3:$AC$400,MATCH(ROWS(BQ$3:BQ339),BJ$3:BJ$400,0),1),"")))</f>
        <v/>
      </c>
      <c r="BR339" s="48">
        <f t="shared" ca="1" si="640"/>
        <v>0</v>
      </c>
      <c r="BS339" s="48">
        <f ca="1">IF(IF(AND(OR(INDEX(PDC,MATCH($AC339,DEN_PDC,0),4)="D",INDEX(PDC,MATCH($AC339,DEN_PDC,0),4)="D/A"),SUMIFS(DARE,DEN_G,$AC339)&gt;=SUMIFS(AVERE,DEN_G,$AC339)),SUMIFS(DARE,DEN_G,$AC339),IF(AND(OR(INDEX(PDC,MATCH($AC339,DEN_PDC,0),4)="A",INDEX(PDC,MATCH($AC339,DEN_PDC,0),4)="D/A"),SUMIFS(AVERE,DEN_G,$AC339)&gt;=SUMIFS(DARE,DEN_G,$AC339)),SUMIFS(AVERE,DEN_G,$AC339),))&gt;0,MAX($BS$2:BS338)+1,0)</f>
        <v>0</v>
      </c>
      <c r="BT339" s="48" t="str">
        <f ca="1">IF($CO$1=0,"",IF(AND($I$1=2,ROW()&gt;$BR$1,ROW()&lt;=$BS$1)," …………….",IF(AND($E$1=1,$BX$1=1,$I$1=2,ROW()=$BQ$1),"TOTALI",IFERROR(INDEX(PDC,MATCH(ROWS(BT$3:BT339),BS$3:BS736,0),2),""))))</f>
        <v/>
      </c>
      <c r="BU339" s="48">
        <f t="shared" ca="1" si="641"/>
        <v>0</v>
      </c>
      <c r="BV339" s="48">
        <f t="shared" ca="1" si="642"/>
        <v>0</v>
      </c>
      <c r="BW339" s="48">
        <f t="shared" ca="1" si="643"/>
        <v>0</v>
      </c>
      <c r="BX339" s="48">
        <f t="shared" ca="1" si="644"/>
        <v>0</v>
      </c>
      <c r="BY339" s="48">
        <f ca="1">IF(OR(BW339&gt;0,BX339&gt;0),MAX($BY$2:BY338)+1,0)</f>
        <v>0</v>
      </c>
      <c r="BZ339" s="48" t="str">
        <f ca="1">IFERROR(INDEX($BT$3:$BY$400,MATCH(ROWS(BZ$3:BZ339),$BY$3:$BY$400,0),1),"")</f>
        <v/>
      </c>
      <c r="CA339" s="48" t="str">
        <f ca="1">IFERROR(INDEX($BT$3:$BY$400,MATCH(ROWS(CA$3:CA339),$BY$3:$BY$400,0),4),"")</f>
        <v/>
      </c>
      <c r="CB339" s="48" t="str">
        <f ca="1">IFERROR(INDEX($BT$3:$BY$400,MATCH(ROWS(CB$3:CB339),$BY$3:$BY$400,0),5),"")</f>
        <v/>
      </c>
      <c r="CC339" s="48" t="str">
        <f t="shared" ca="1" si="645"/>
        <v/>
      </c>
      <c r="CM339" s="242" t="str">
        <f t="shared" ca="1" si="655"/>
        <v/>
      </c>
      <c r="CN339" s="243">
        <f t="shared" ca="1" si="656"/>
        <v>0</v>
      </c>
      <c r="CO339" s="48" t="str">
        <f t="shared" ca="1" si="657"/>
        <v/>
      </c>
      <c r="CU339" s="48">
        <f ca="1">IF(SUMIFS(AVERE,DEN_G,AC339,AVERE,"&gt;"&amp;0)+SUMIFS(DARE,DEN_G,AC339,DARE,"&gt;"&amp;0)&gt;0,MAX($CU$2:CU338)+1,0)</f>
        <v>0</v>
      </c>
      <c r="CV339" s="48" t="str">
        <f ca="1">IF(IFERROR(INDEX(PDC,MATCH(ROWS($CV$3:CV339),$CU$3:$CU$400,0),2),"")="CONTO DI RISULTATO ECONOMICO","",IFERROR(INDEX(PDC,MATCH(ROWS($CV$3:CV339),$CU$3:$CU$400,0),2),""))</f>
        <v/>
      </c>
      <c r="CW339" s="48">
        <f ca="1">IFERROR(IF(CV339&lt;&gt;"",MAX($CW$2:CW338)+1,0),0)</f>
        <v>0</v>
      </c>
      <c r="CX339" s="48">
        <f t="shared" ca="1" si="667"/>
        <v>26</v>
      </c>
      <c r="CY339" s="48" t="str">
        <f t="shared" ca="1" si="665"/>
        <v>MASTRO</v>
      </c>
      <c r="CZ339" s="48" t="e">
        <f t="shared" ca="1" si="671"/>
        <v>#N/A</v>
      </c>
      <c r="DA339" s="48" t="str">
        <f t="shared" ca="1" si="675"/>
        <v/>
      </c>
      <c r="DB339" s="48" t="str">
        <f t="shared" ca="1" si="592"/>
        <v/>
      </c>
      <c r="DC339" s="48" t="str">
        <f t="shared" ca="1" si="672"/>
        <v/>
      </c>
      <c r="DD339" s="48" t="str">
        <f t="shared" ca="1" si="673"/>
        <v/>
      </c>
      <c r="DE339" s="48" t="str">
        <f t="shared" ca="1" si="674"/>
        <v/>
      </c>
      <c r="DF339" s="48">
        <f ca="1">IF(AND(CX339=$DF$1,CX339&lt;&gt;""),0,IF(AND(DB339&lt;&gt;"",OR(DB338&lt;&gt;"",DB340&lt;&gt;"")),MAX($DF$2:DF338)+1,0))</f>
        <v>0</v>
      </c>
      <c r="DH339" s="244" t="s">
        <v>1069</v>
      </c>
      <c r="DI339" s="48" t="s">
        <v>303</v>
      </c>
      <c r="DJ339" s="48" t="s">
        <v>311</v>
      </c>
      <c r="DK339" s="48" t="s">
        <v>275</v>
      </c>
      <c r="DL339" s="48" t="s">
        <v>7</v>
      </c>
      <c r="DM339" s="48" t="s">
        <v>301</v>
      </c>
      <c r="DN339" s="48">
        <f ca="1">IF(DI339&lt;&gt;"",MAX($DN$2:DN338)+1,0)</f>
        <v>269</v>
      </c>
      <c r="DO339" s="48" t="s">
        <v>749</v>
      </c>
      <c r="DW339" s="48">
        <f>IF(DR339&lt;&gt;"",MAX($DW$2:DW338)+1,0)</f>
        <v>0</v>
      </c>
      <c r="DY339" s="48" t="str">
        <f t="shared" ca="1" si="647"/>
        <v/>
      </c>
      <c r="EL339" s="48">
        <f t="shared" ca="1" si="648"/>
        <v>0</v>
      </c>
      <c r="EM339" s="48">
        <f ca="1">IF(EL339&gt;=0,0,MAX($EM$2:EM338)+1)</f>
        <v>0</v>
      </c>
      <c r="EN339" s="48" t="str">
        <f t="shared" ca="1" si="658"/>
        <v/>
      </c>
      <c r="EO339" s="48" t="str">
        <f ca="1">IFERROR(INDEX($EM$3:$EN$400,MATCH(ROWS($EO$3:EO339),$EM$3:$EM$400,0),2),"")</f>
        <v/>
      </c>
      <c r="EP339" s="48">
        <f>ROW()</f>
        <v>339</v>
      </c>
      <c r="EQ339" s="48">
        <f t="shared" ca="1" si="649"/>
        <v>0</v>
      </c>
      <c r="ER339" s="48">
        <f ca="1">IF(ISNA(EQ339)=TRUE,MAX($ER$2:ER338)+1,0)</f>
        <v>0</v>
      </c>
      <c r="ES339" s="48" t="str">
        <f t="shared" ca="1" si="659"/>
        <v/>
      </c>
      <c r="ET339" s="48" t="str">
        <f ca="1">IFERROR(INDEX($ER$3:$ES$400,MATCH(ROWS($ET$3:ET339),$ER$3:$ER$400,0),2),"")</f>
        <v/>
      </c>
      <c r="EV339" s="48">
        <f ca="1">IFERROR(INDEX(LIBRO_GIORNALE!$O$11:$P$408,MATCH(ROWS($EV$2:EV338),LIBRO_GIORNALE!$P$11:$P$408,0),1),0)</f>
        <v>0</v>
      </c>
      <c r="EW339" s="48" t="str">
        <f t="shared" ca="1" si="629"/>
        <v>0</v>
      </c>
      <c r="EX339" s="48">
        <f t="shared" ca="1" si="660"/>
        <v>0</v>
      </c>
      <c r="EY339" s="48">
        <f ca="1">IF(EX339&gt;0,MAX($EY$2:EY338)+1,0)</f>
        <v>0</v>
      </c>
      <c r="EZ339" s="48">
        <f ca="1">IFERROR(INDEX($EX$3:$EX$400,MATCH(ROWS($EZ$3:EZ339),$EY$3:$EY$400,0),1),0)</f>
        <v>0</v>
      </c>
      <c r="FA339" s="48">
        <f ca="1">IF(EZ339&gt;0,0,MAX($FA$2:FA338)+1)</f>
        <v>337</v>
      </c>
      <c r="FB339" s="48">
        <f t="shared" ca="1" si="630"/>
        <v>0</v>
      </c>
      <c r="FC339" s="48">
        <f t="shared" ca="1" si="631"/>
        <v>337</v>
      </c>
      <c r="FD339" s="48">
        <f t="shared" ca="1" si="661"/>
        <v>337</v>
      </c>
      <c r="FE339" s="48">
        <f ca="1">IF(FD339=0,0,MAX($FE$2:FE338)+1)</f>
        <v>337</v>
      </c>
      <c r="FF339" s="48">
        <f ca="1">IFERROR(INDEX($FD$3:$FE$400,MATCH(ROWS($FF$3:FF339),$FE$3:$FE$400,0),1),"")</f>
        <v>337</v>
      </c>
      <c r="FG339" s="48">
        <f t="shared" si="610"/>
        <v>0</v>
      </c>
      <c r="FH339" s="48">
        <f t="shared" ca="1" si="662"/>
        <v>0</v>
      </c>
      <c r="FI339" s="48">
        <f ca="1">IF(FH339&lt;&gt;0,MAX($FI$2:FI338)+1,0)</f>
        <v>0</v>
      </c>
      <c r="FJ339" s="48" t="str">
        <f ca="1">IFERROR(INDEX($FH$3:$FI$400,MATCH(ROWS($FJ$3:FJ339),$FI$3:$FI$400,0),1),"")</f>
        <v/>
      </c>
      <c r="FK339" s="48">
        <f ca="1">IF(ABS(SUMIFS(DARE,DEN_G,"="&amp;FJ339,DATA,"&lt;="&amp;FINE_AC,DATA,"&gt;="&amp;INIZIO_A_PC)-SUMIFS(AVERE,DEN_G,"="&amp;FJ339,DATA,"&lt;="&amp;FINE_AC,DATA,"&gt;="&amp;INIZIO_A_PC))&gt;0,MAX($FK$2:FK338)+1,0)</f>
        <v>0</v>
      </c>
      <c r="FL339" s="48" t="str">
        <f ca="1">IF(AND(ROW()-2&lt;&gt;1,ROW()-2&lt;=$FK$1),CONCATENATE(" - ",IFERROR(INDEX($FJ$3:$FK$400,MATCH(ROWS($FL$3:FL339),$FK$3:$FK$400,0),1),"")),IFERROR(INDEX($FJ$3:$FK$400,MATCH(ROWS($FL$3:FL339),$FK$3:$FK$400,0),1),""))</f>
        <v/>
      </c>
      <c r="FM339" s="48">
        <f ca="1">IF(OR(B339="IVA ns/credito",B339="IVA NS/DEBITO",B339="IVA C/ACCONTO",B339="IMPOSTE C/ACCONTO",B339="CREDITI PER RITENUTE SUBITE",B339="CREDITI D'IMPOSTA"),MAX($FM$2:FM338)+1,0)</f>
        <v>0</v>
      </c>
      <c r="FN339" s="48" t="str">
        <f t="shared" ca="1" si="663"/>
        <v/>
      </c>
      <c r="FO339" s="48" t="str">
        <f ca="1">IFERROR(INDEX($FM$3:$FN$400,MATCH(ROWS($FO$3:FO339),$FM$3:$FM$400,0),2),"")</f>
        <v/>
      </c>
      <c r="FP339" s="48">
        <f ca="1">IF(ABS(SUMIFS(DARE,DEN_G,"="&amp;FO339,DATA,"&lt;="&amp;FINE_AC,DATA,"&gt;="&amp;INIZIO_A_PC)-SUMIFS(AVERE,DEN_G,"="&amp;FO339,DATA,"&lt;="&amp;FINE_AC,DATA,"&gt;="&amp;INIZIO_A_PC))&gt;0,MAX($FP$2:FP338)+1,0)</f>
        <v>0</v>
      </c>
      <c r="FQ339" s="48" t="str">
        <f ca="1">IF(AND(ROW()-2&lt;&gt;1,ROW()-2&lt;=$FP$1),CONCATENATE(" - ",IFERROR(INDEX($FO$3:$FP$400,MATCH(ROWS($FQ$3:FQ339),$FP$3:$FP$400,0),1),"")),IFERROR(INDEX($FO$3:$FP$400,MATCH(ROWS($FQ$3:FQ339),$FP$3:$FP$400,0),1),""))</f>
        <v/>
      </c>
    </row>
    <row r="340" spans="1:173" x14ac:dyDescent="0.3">
      <c r="A340" s="48" t="str">
        <f ca="1">IFERROR(IF($A$1=2,INDEX($DH$3:$DN$401,MATCH(ROWS(A$3:A340),$DN$3:$DN$401,0),COLUMN()),IF($A$1=1,INDEX($DQ$3:$DW$401,MATCH(ROWS(A$3:A340),$DW$3:$DW$401,0),COLUMN()),"")),"")</f>
        <v/>
      </c>
      <c r="B340" s="48" t="str">
        <f ca="1">IFERROR(IF($A$1=2,INDEX($DH$3:$DN$401,MATCH(ROWS(B$3:B340),$DN$3:$DN$401,0),COLUMN()),IF($A$1=1,INDEX($DQ$3:$DW$400,MATCH(ROWS(B$3:B340),$DW$3:$DW$401,0),COLUMN()),"")),"")</f>
        <v/>
      </c>
      <c r="C340" s="48" t="str">
        <f ca="1">IFERROR(IF($A$1=2,INDEX($DH$3:$DN$401,MATCH(ROWS(C$3:C340),$DN$3:$DN$401,0),COLUMN()),IF($A$1=1,INDEX($DQ$3:$DW$401,MATCH(ROWS(C$3:C340),$DW$3:$DW$401,0),COLUMN()),"")),"")</f>
        <v/>
      </c>
      <c r="D340" s="48" t="str">
        <f ca="1">IFERROR(IF($A$1=2,INDEX($DH$3:$DN$401,MATCH(ROWS(D$3:D340),$DN$3:$DN$401,0),COLUMN()),IF($A$1=1,INDEX($DQ$3:$DW$401,MATCH(ROWS(D$3:D340),$DW$3:$DW$401,0),COLUMN()),"")),"")</f>
        <v/>
      </c>
      <c r="E340" s="48" t="str">
        <f ca="1">IFERROR(IF($A$1=2,INDEX($DH$3:$DN$401,MATCH(ROWS(E$3:E340),$DN$3:$DN$401,0),COLUMN()),IF($A$1=1,INDEX($DQ$3:$DW$401,MATCH(ROWS(E$3:E340),$DW$3:$DW$401,0),COLUMN()),"")),"")</f>
        <v/>
      </c>
      <c r="F340" s="48" t="str">
        <f ca="1">IFERROR(IF($A$1=2,INDEX($DH$3:$DN$401,MATCH(ROWS(F$3:F340),$DN$3:$DN$401,0),COLUMN()),IF($A$1=1,INDEX($DQ$3:$DX$401,MATCH(ROWS(F$3:F340),$DW$3:$DW$401,0),COLUMN()),"")),"")</f>
        <v/>
      </c>
      <c r="G340" s="48" t="str">
        <f t="shared" ca="1" si="650"/>
        <v/>
      </c>
      <c r="H340" s="48" t="str">
        <f ca="1">IFERROR(IF($A$1=2,INDEX($DH$3:$DO$400,MATCH(ROWS(H$3:H340),$DN$3:$DN$400,0),COLUMN()),IF($A$1=1,INDEX($DQ$3:$DX$400,MATCH(ROWS(H$3:H340),$DW$3:$DW$400,0),COLUMN()),"")),"")</f>
        <v/>
      </c>
      <c r="M340" s="48">
        <f ca="1">IFERROR(IF(IF(MID($A340,3,3)=".00",MID(A340,1,2),"")&lt;&gt;"",MAX($M$2:M339)+1,0),"")</f>
        <v>0</v>
      </c>
      <c r="N340" s="48" t="str">
        <f t="shared" ca="1" si="651"/>
        <v/>
      </c>
      <c r="O340" s="48" t="str">
        <f ca="1">IF(IFERROR(INDEX($N$3:$O$300,MATCH(ROWS($O$3:O340),$M$3:$M$300,0),1),"")&lt;&gt;"",CONCATENATE(INDEX($N$3:$O$300,MATCH(ROWS($O$3:O340),$M$3:$M$300,0),1),".00"),"")</f>
        <v/>
      </c>
      <c r="P340" s="48" t="str">
        <f t="shared" ca="1" si="652"/>
        <v/>
      </c>
      <c r="Q340" s="48">
        <f ca="1">IF(M340&gt;=1,0,MAX($Q$2:Q339)+1)</f>
        <v>301</v>
      </c>
      <c r="U340" s="48" t="str">
        <f ca="1">IFERROR(INDEX(PDC,MATCH(ROWS(U$3:U340),$V$3:$V$400,0),2),"")</f>
        <v/>
      </c>
      <c r="V340" s="48">
        <f ca="1">IF(AND($T$1="VISUALIZZA TUTTI I CONTI",AA340&lt;&gt;""),MAX($V$2:V339)+1,IF(AND($U$2=2,AI340=$T$1),MAX($V$2:V339)+1,IF(AND($U$2=1,$T$1=AF340),MAX($V$2:V339)+1,0)))</f>
        <v>0</v>
      </c>
      <c r="AA340" s="48" t="str">
        <f t="shared" ca="1" si="653"/>
        <v/>
      </c>
      <c r="AB340" s="48" t="str">
        <f ca="1">IFERROR(INDEX($A$3:$G$400,MATCH(ROWS(AB$3:AB340),$Q$3:$Q$400,0),1),"")</f>
        <v/>
      </c>
      <c r="AC340" s="48" t="str">
        <f ca="1">IFERROR(INDEX($A$3:$G$400,MATCH(ROWS($AC$3:AC340),$Q$3:$Q$400,0),2),"")</f>
        <v/>
      </c>
      <c r="AD340" s="48">
        <f ca="1">IFERROR(INDEX($A$3:$G$400,MATCH(ROWS(AD$3:AD340),$Q$3:$Q$400,0),3),"")</f>
        <v>0</v>
      </c>
      <c r="AE340" s="48" t="str">
        <f ca="1">IFERROR(INDEX($A$3:$G$400,MATCH(ROWS(AE$3:AE340),$Q$3:$Q$400,0),4),"")</f>
        <v/>
      </c>
      <c r="AF340" s="48" t="str">
        <f ca="1">IFERROR(INDEX($A$3:$G$400,MATCH(ROWS(AF$3:AF340),$Q$3:$Q$400,0),5),"")</f>
        <v/>
      </c>
      <c r="AG340" s="48" t="str">
        <f ca="1">IFERROR(INDEX($A$3:$G$400,MATCH(ROWS(AG$3:AG340),$Q$3:$Q$400,0),6),"")</f>
        <v/>
      </c>
      <c r="AH340" s="48" t="str">
        <f ca="1">IFERROR(INDEX($A$3:$G$400,MATCH(ROWS(AH$3:AH340),$Q$3:$Q$400,0),7),"")</f>
        <v/>
      </c>
      <c r="AI340" s="48" t="str">
        <f t="shared" ca="1" si="654"/>
        <v/>
      </c>
      <c r="AJ340" s="48" t="str">
        <f ca="1">IFERROR(INDEX($A$3:$H$400,MATCH(ROWS(AJ$3:AJ340),$Q$3:$Q$400,0),8),"")</f>
        <v/>
      </c>
      <c r="AZ340" s="48" t="str">
        <f t="shared" ca="1" si="669"/>
        <v/>
      </c>
      <c r="BA340" s="48">
        <f t="shared" ca="1" si="611"/>
        <v>0</v>
      </c>
      <c r="BB340" s="48">
        <f t="shared" ca="1" si="612"/>
        <v>0</v>
      </c>
      <c r="BC340" s="48">
        <f t="shared" ca="1" si="613"/>
        <v>0</v>
      </c>
      <c r="BD340" s="48">
        <f t="shared" ca="1" si="614"/>
        <v>0</v>
      </c>
      <c r="BE340" s="48">
        <f t="shared" ca="1" si="615"/>
        <v>0</v>
      </c>
      <c r="BF340" s="48">
        <f t="shared" si="670"/>
        <v>140</v>
      </c>
      <c r="BG340" s="48">
        <f ca="1">IF(IF(AND(OR(INDEX(PDC,MATCH($AC340,DEN_PDC,0),6)="SP DARE",INDEX(PDC,MATCH($AC340,DEN_PDC,0),6)="SP DARE/AVERE"),SUMIFS(DARE,DEN_G,$AC340)&gt;=SUMIFS(AVERE,DEN_G,$AC340)),SUMIFS(DARE,DEN_G,$AC340)-SUMIFS(AVERE,DEN_G,$AC340),0)&gt;0,MAX($BG$2:BG339)+1,0)</f>
        <v>0</v>
      </c>
      <c r="BH340" s="48">
        <f ca="1">IF(IF(AND(OR(INDEX(PDC,MATCH($AC340,DEN_PDC,0),6)="SP AVERE",INDEX(PDC,MATCH($AC340,DEN_PDC,0),6)="SP DARE/AVERE"),SUMIFS(AVERE,DEN_G,$AC340)&gt;=SUMIFS(DARE,DEN_G,$AC340)),SUMIFS(AVERE,DEN_G,$AC340)-SUMIFS(DARE,DEN_G,$AC340),0)&gt;0,MAX(BH$2:BH339)+1,0)</f>
        <v>0</v>
      </c>
      <c r="BI340" s="48">
        <f ca="1">IF(IF(AND(OR(INDEX(PDC,MATCH($AC340,DEN_PDC,0),6)="SE DARE",INDEX(PDC,MATCH($AC340,DEN_PDC,0),6)="SE DARE/AVERE"),SUMIFS(DARE,DEN_G,$AC340)&gt;=SUMIFS(AVERE,DEN_G,$AC340)),SUMIFS(DARE,DEN_G,$AC340)-SUMIFS(AVERE,DEN_G,$AC340),0)&gt;0,MAX(BI$2:BI339)+1,0)</f>
        <v>0</v>
      </c>
      <c r="BJ340" s="48">
        <f ca="1">IF(IF(AND(OR(INDEX(PDC,MATCH($AC340,DEN_PDC,0),6)="SE AVERE",INDEX(PDC,MATCH($AC340,DEN_PDC,0),6)="SE DARE/AVERE"),SUMIFS(AVERE,DEN_G,$AC340)&gt;=SUMIFS(DARE,DEN_G,$AC340)),SUMIFS(AVERE,DEN_G,$AC340)-SUMIFS(DARE,DEN_G,$AC340),0)&gt;0,MAX(BJ$2:BJ339)+1,0)</f>
        <v>0</v>
      </c>
      <c r="BK340" s="48" t="str">
        <f ca="1">IF(AND(AND($DY$2=0,$DY$1=0),$I$1=2,ROW()&gt;$BG$1+2,ROW()&lt;=$BG$1+4),"………………..",IF(AND(OR($DY$2&gt;0,$DY$1&gt;0),$I$1=2,ROW()&gt;$BG$1+2,ROW()&lt;=$BG$1+4),"………………..",IFERROR(INDEX($AC$3:$AC$398,MATCH(ROWS(BK$3:BK340),BG$3:BG$398,0),1),"")))</f>
        <v/>
      </c>
      <c r="BL340" s="48">
        <f t="shared" ca="1" si="637"/>
        <v>0</v>
      </c>
      <c r="BM340" s="48" t="str">
        <f ca="1">IF(AND(OR($DY$2=0,$DY$1=0),$I$1=2,ROW()&gt;$BH$1+2,ROW()&lt;=$BH$1+4),"………………..",IF(AND(OR($DY$2&gt;0,$DY$1&gt;0),$I$1=2,ROW()&gt;$BH$1+2,ROW()&lt;=$BH$1+4),"………………..",IFERROR(INDEX($AC$3:$AC$400,MATCH(ROWS(BM$3:BM340),BH$3:BH$400,0),1),"")))</f>
        <v/>
      </c>
      <c r="BN340" s="48">
        <f t="shared" ca="1" si="638"/>
        <v>0</v>
      </c>
      <c r="BO340" s="48" t="str">
        <f ca="1">IF(AND(OR($DY$2=0,$DY$1=0),$I$1=2,ROW()&gt;$BI$1+2,ROW()&lt;=$BI$1+4),"………………..",IF(AND(OR($DY$2&gt;0,$DY$1&gt;0),$I$1=2,ROW()&gt;$BI$1+2,ROW()&lt;=$BI$1+4),"………………..",IFERROR(INDEX($AC$3:$AC$400,MATCH(ROWS(BO$3:BO340),BI$3:BI$400,0),1),"")))</f>
        <v/>
      </c>
      <c r="BP340" s="48">
        <f t="shared" ca="1" si="639"/>
        <v>0</v>
      </c>
      <c r="BQ340" s="48" t="str">
        <f ca="1">IF(AND(OR($DY$2=0,$DY$1=0),$I$1=2,ROW()&gt;$BJ$1+2,ROW()&lt;=$BJ$1+4),"………………..",IF(AND(OR($DY$2&gt;0,$DY$1&gt;0),$I$1=2,ROW()&gt;$BJ$1+2,ROW()&lt;=$BJ$1+4),"………………..",IFERROR(INDEX($AC$3:$AC$400,MATCH(ROWS(BQ$3:BQ340),BJ$3:BJ$400,0),1),"")))</f>
        <v/>
      </c>
      <c r="BR340" s="48">
        <f t="shared" ca="1" si="640"/>
        <v>0</v>
      </c>
      <c r="BS340" s="48">
        <f ca="1">IF(IF(AND(OR(INDEX(PDC,MATCH($AC340,DEN_PDC,0),4)="D",INDEX(PDC,MATCH($AC340,DEN_PDC,0),4)="D/A"),SUMIFS(DARE,DEN_G,$AC340)&gt;=SUMIFS(AVERE,DEN_G,$AC340)),SUMIFS(DARE,DEN_G,$AC340),IF(AND(OR(INDEX(PDC,MATCH($AC340,DEN_PDC,0),4)="A",INDEX(PDC,MATCH($AC340,DEN_PDC,0),4)="D/A"),SUMIFS(AVERE,DEN_G,$AC340)&gt;=SUMIFS(DARE,DEN_G,$AC340)),SUMIFS(AVERE,DEN_G,$AC340),))&gt;0,MAX($BS$2:BS339)+1,0)</f>
        <v>0</v>
      </c>
      <c r="BT340" s="48" t="str">
        <f ca="1">IF($CO$1=0,"",IF(AND($I$1=2,ROW()&gt;$BR$1,ROW()&lt;=$BS$1)," …………….",IF(AND($E$1=1,$BX$1=1,$I$1=2,ROW()=$BQ$1),"TOTALI",IFERROR(INDEX(PDC,MATCH(ROWS(BT$3:BT340),BS$3:BS737,0),2),""))))</f>
        <v/>
      </c>
      <c r="BU340" s="48">
        <f t="shared" ca="1" si="641"/>
        <v>0</v>
      </c>
      <c r="BV340" s="48">
        <f t="shared" ca="1" si="642"/>
        <v>0</v>
      </c>
      <c r="BW340" s="48">
        <f t="shared" ca="1" si="643"/>
        <v>0</v>
      </c>
      <c r="BX340" s="48">
        <f t="shared" ca="1" si="644"/>
        <v>0</v>
      </c>
      <c r="BY340" s="48">
        <f ca="1">IF(OR(BW340&gt;0,BX340&gt;0),MAX($BY$2:BY339)+1,0)</f>
        <v>0</v>
      </c>
      <c r="BZ340" s="48" t="str">
        <f ca="1">IFERROR(INDEX($BT$3:$BY$400,MATCH(ROWS(BZ$3:BZ340),$BY$3:$BY$400,0),1),"")</f>
        <v/>
      </c>
      <c r="CA340" s="48" t="str">
        <f ca="1">IFERROR(INDEX($BT$3:$BY$400,MATCH(ROWS(CA$3:CA340),$BY$3:$BY$400,0),4),"")</f>
        <v/>
      </c>
      <c r="CB340" s="48" t="str">
        <f ca="1">IFERROR(INDEX($BT$3:$BY$400,MATCH(ROWS(CB$3:CB340),$BY$3:$BY$400,0),5),"")</f>
        <v/>
      </c>
      <c r="CC340" s="48" t="str">
        <f t="shared" ca="1" si="645"/>
        <v/>
      </c>
      <c r="CM340" s="242" t="str">
        <f t="shared" ca="1" si="655"/>
        <v/>
      </c>
      <c r="CN340" s="243">
        <f t="shared" ca="1" si="656"/>
        <v>0</v>
      </c>
      <c r="CO340" s="48" t="str">
        <f t="shared" ca="1" si="657"/>
        <v/>
      </c>
      <c r="CU340" s="48">
        <f ca="1">IF(SUMIFS(AVERE,DEN_G,AC340,AVERE,"&gt;"&amp;0)+SUMIFS(DARE,DEN_G,AC340,DARE,"&gt;"&amp;0)&gt;0,MAX($CU$2:CU339)+1,0)</f>
        <v>0</v>
      </c>
      <c r="CV340" s="48" t="str">
        <f ca="1">IF(IFERROR(INDEX(PDC,MATCH(ROWS($CV$3:CV340),$CU$3:$CU$400,0),2),"")="CONTO DI RISULTATO ECONOMICO","",IFERROR(INDEX(PDC,MATCH(ROWS($CV$3:CV340),$CU$3:$CU$400,0),2),""))</f>
        <v/>
      </c>
      <c r="CW340" s="48">
        <f ca="1">IFERROR(IF(CV340&lt;&gt;"",MAX($CW$2:CW339)+1,0),0)</f>
        <v>0</v>
      </c>
      <c r="CY340" s="48" t="s">
        <v>500</v>
      </c>
      <c r="DB340" s="48" t="str">
        <f t="shared" ref="DB340" ca="1" si="677">IF(CX339=$DF$1,"","MASTRO")</f>
        <v>MASTRO</v>
      </c>
      <c r="DF340" s="48">
        <f ca="1">IF(AND(CX340=$DF$1,CX340&lt;&gt;""),0,IF(AND(DB340&lt;&gt;"",OR(DB339&lt;&gt;"",DB341&lt;&gt;"")),MAX($DF$2:DF339)+1,0))</f>
        <v>0</v>
      </c>
      <c r="DH340" s="244" t="s">
        <v>242</v>
      </c>
      <c r="DI340" s="228" t="s">
        <v>1028</v>
      </c>
      <c r="DN340" s="48">
        <f ca="1">IF(DI340&lt;&gt;"",MAX($DN$2:DN339)+1,0)</f>
        <v>270</v>
      </c>
      <c r="DQ340" s="227" t="s">
        <v>247</v>
      </c>
      <c r="DR340" s="228" t="s">
        <v>945</v>
      </c>
      <c r="DW340" s="48">
        <f ca="1">IF(DR340&lt;&gt;"",MAX($DW$2:DW339)+1,0)</f>
        <v>207</v>
      </c>
      <c r="DY340" s="48" t="str">
        <f t="shared" ca="1" si="647"/>
        <v/>
      </c>
      <c r="EL340" s="48">
        <f t="shared" ca="1" si="648"/>
        <v>0</v>
      </c>
      <c r="EM340" s="48">
        <f ca="1">IF(EL340&gt;=0,0,MAX($EM$2:EM339)+1)</f>
        <v>0</v>
      </c>
      <c r="EN340" s="48" t="str">
        <f t="shared" ca="1" si="658"/>
        <v/>
      </c>
      <c r="EO340" s="48" t="str">
        <f ca="1">IFERROR(INDEX($EM$3:$EN$400,MATCH(ROWS($EO$3:EO340),$EM$3:$EM$400,0),2),"")</f>
        <v/>
      </c>
      <c r="EP340" s="48">
        <f>ROW()</f>
        <v>340</v>
      </c>
      <c r="EQ340" s="48">
        <f t="shared" ca="1" si="649"/>
        <v>0</v>
      </c>
      <c r="ER340" s="48">
        <f ca="1">IF(ISNA(EQ340)=TRUE,MAX($ER$2:ER339)+1,0)</f>
        <v>0</v>
      </c>
      <c r="ES340" s="48" t="str">
        <f t="shared" ca="1" si="659"/>
        <v/>
      </c>
      <c r="ET340" s="48" t="str">
        <f ca="1">IFERROR(INDEX($ER$3:$ES$400,MATCH(ROWS($ET$3:ET340),$ER$3:$ER$400,0),2),"")</f>
        <v/>
      </c>
      <c r="EV340" s="48">
        <f ca="1">IFERROR(INDEX(LIBRO_GIORNALE!$O$11:$P$408,MATCH(ROWS($EV$2:EV339),LIBRO_GIORNALE!$P$11:$P$408,0),1),0)</f>
        <v>0</v>
      </c>
      <c r="EW340" s="48" t="str">
        <f t="shared" ca="1" si="629"/>
        <v>0</v>
      </c>
      <c r="EX340" s="48">
        <f t="shared" ca="1" si="660"/>
        <v>0</v>
      </c>
      <c r="EY340" s="48">
        <f ca="1">IF(EX340&gt;0,MAX($EY$2:EY339)+1,0)</f>
        <v>0</v>
      </c>
      <c r="EZ340" s="48">
        <f ca="1">IFERROR(INDEX($EX$3:$EX$400,MATCH(ROWS($EZ$3:EZ340),$EY$3:$EY$400,0),1),0)</f>
        <v>0</v>
      </c>
      <c r="FA340" s="48">
        <f ca="1">IF(EZ340&gt;0,0,MAX($FA$2:FA339)+1)</f>
        <v>338</v>
      </c>
      <c r="FB340" s="48">
        <f t="shared" ca="1" si="630"/>
        <v>0</v>
      </c>
      <c r="FC340" s="48">
        <f t="shared" ca="1" si="631"/>
        <v>338</v>
      </c>
      <c r="FD340" s="48">
        <f t="shared" ca="1" si="661"/>
        <v>338</v>
      </c>
      <c r="FE340" s="48">
        <f ca="1">IF(FD340=0,0,MAX($FE$2:FE339)+1)</f>
        <v>338</v>
      </c>
      <c r="FF340" s="48">
        <f ca="1">IFERROR(INDEX($FD$3:$FE$400,MATCH(ROWS($FF$3:FF340),$FE$3:$FE$400,0),1),"")</f>
        <v>338</v>
      </c>
      <c r="FG340" s="48">
        <f t="shared" si="610"/>
        <v>0</v>
      </c>
      <c r="FH340" s="48">
        <f t="shared" ca="1" si="662"/>
        <v>0</v>
      </c>
      <c r="FI340" s="48">
        <f ca="1">IF(FH340&lt;&gt;0,MAX($FI$2:FI339)+1,0)</f>
        <v>0</v>
      </c>
      <c r="FJ340" s="48" t="str">
        <f ca="1">IFERROR(INDEX($FH$3:$FI$400,MATCH(ROWS($FJ$3:FJ340),$FI$3:$FI$400,0),1),"")</f>
        <v/>
      </c>
      <c r="FK340" s="48">
        <f ca="1">IF(ABS(SUMIFS(DARE,DEN_G,"="&amp;FJ340,DATA,"&lt;="&amp;FINE_AC,DATA,"&gt;="&amp;INIZIO_A_PC)-SUMIFS(AVERE,DEN_G,"="&amp;FJ340,DATA,"&lt;="&amp;FINE_AC,DATA,"&gt;="&amp;INIZIO_A_PC))&gt;0,MAX($FK$2:FK339)+1,0)</f>
        <v>0</v>
      </c>
      <c r="FL340" s="48" t="str">
        <f ca="1">IF(AND(ROW()-2&lt;&gt;1,ROW()-2&lt;=$FK$1),CONCATENATE(" - ",IFERROR(INDEX($FJ$3:$FK$400,MATCH(ROWS($FL$3:FL340),$FK$3:$FK$400,0),1),"")),IFERROR(INDEX($FJ$3:$FK$400,MATCH(ROWS($FL$3:FL340),$FK$3:$FK$400,0),1),""))</f>
        <v/>
      </c>
      <c r="FM340" s="48">
        <f ca="1">IF(OR(B340="IVA ns/credito",B340="IVA NS/DEBITO",B340="IVA C/ACCONTO",B340="IMPOSTE C/ACCONTO",B340="CREDITI PER RITENUTE SUBITE",B340="CREDITI D'IMPOSTA"),MAX($FM$2:FM339)+1,0)</f>
        <v>0</v>
      </c>
      <c r="FN340" s="48" t="str">
        <f t="shared" ca="1" si="663"/>
        <v/>
      </c>
      <c r="FO340" s="48" t="str">
        <f ca="1">IFERROR(INDEX($FM$3:$FN$400,MATCH(ROWS($FO$3:FO340),$FM$3:$FM$400,0),2),"")</f>
        <v/>
      </c>
      <c r="FP340" s="48">
        <f ca="1">IF(ABS(SUMIFS(DARE,DEN_G,"="&amp;FO340,DATA,"&lt;="&amp;FINE_AC,DATA,"&gt;="&amp;INIZIO_A_PC)-SUMIFS(AVERE,DEN_G,"="&amp;FO340,DATA,"&lt;="&amp;FINE_AC,DATA,"&gt;="&amp;INIZIO_A_PC))&gt;0,MAX($FP$2:FP339)+1,0)</f>
        <v>0</v>
      </c>
      <c r="FQ340" s="48" t="str">
        <f ca="1">IF(AND(ROW()-2&lt;&gt;1,ROW()-2&lt;=$FP$1),CONCATENATE(" - ",IFERROR(INDEX($FO$3:$FP$400,MATCH(ROWS($FQ$3:FQ340),$FP$3:$FP$400,0),1),"")),IFERROR(INDEX($FO$3:$FP$400,MATCH(ROWS($FQ$3:FQ340),$FP$3:$FP$400,0),1),""))</f>
        <v/>
      </c>
    </row>
    <row r="341" spans="1:173" x14ac:dyDescent="0.3">
      <c r="A341" s="48" t="str">
        <f ca="1">IFERROR(IF($A$1=2,INDEX($DH$3:$DN$401,MATCH(ROWS(A$3:A341),$DN$3:$DN$401,0),COLUMN()),IF($A$1=1,INDEX($DQ$3:$DW$401,MATCH(ROWS(A$3:A341),$DW$3:$DW$401,0),COLUMN()),"")),"")</f>
        <v/>
      </c>
      <c r="B341" s="48" t="str">
        <f ca="1">IFERROR(IF($A$1=2,INDEX($DH$3:$DN$401,MATCH(ROWS(B$3:B341),$DN$3:$DN$401,0),COLUMN()),IF($A$1=1,INDEX($DQ$3:$DW$400,MATCH(ROWS(B$3:B341),$DW$3:$DW$401,0),COLUMN()),"")),"")</f>
        <v/>
      </c>
      <c r="C341" s="48" t="str">
        <f ca="1">IFERROR(IF($A$1=2,INDEX($DH$3:$DN$401,MATCH(ROWS(C$3:C341),$DN$3:$DN$401,0),COLUMN()),IF($A$1=1,INDEX($DQ$3:$DW$401,MATCH(ROWS(C$3:C341),$DW$3:$DW$401,0),COLUMN()),"")),"")</f>
        <v/>
      </c>
      <c r="D341" s="48" t="str">
        <f ca="1">IFERROR(IF($A$1=2,INDEX($DH$3:$DN$401,MATCH(ROWS(D$3:D341),$DN$3:$DN$401,0),COLUMN()),IF($A$1=1,INDEX($DQ$3:$DW$401,MATCH(ROWS(D$3:D341),$DW$3:$DW$401,0),COLUMN()),"")),"")</f>
        <v/>
      </c>
      <c r="E341" s="48" t="str">
        <f ca="1">IFERROR(IF($A$1=2,INDEX($DH$3:$DN$401,MATCH(ROWS(E$3:E341),$DN$3:$DN$401,0),COLUMN()),IF($A$1=1,INDEX($DQ$3:$DW$401,MATCH(ROWS(E$3:E341),$DW$3:$DW$401,0),COLUMN()),"")),"")</f>
        <v/>
      </c>
      <c r="F341" s="48" t="str">
        <f ca="1">IFERROR(IF($A$1=2,INDEX($DH$3:$DN$401,MATCH(ROWS(F$3:F341),$DN$3:$DN$401,0),COLUMN()),IF($A$1=1,INDEX($DQ$3:$DX$401,MATCH(ROWS(F$3:F341),$DW$3:$DW$401,0),COLUMN()),"")),"")</f>
        <v/>
      </c>
      <c r="G341" s="48" t="str">
        <f t="shared" ca="1" si="650"/>
        <v/>
      </c>
      <c r="H341" s="48" t="str">
        <f ca="1">IFERROR(IF($A$1=2,INDEX($DH$3:$DO$400,MATCH(ROWS(H$3:H341),$DN$3:$DN$400,0),COLUMN()),IF($A$1=1,INDEX($DQ$3:$DX$400,MATCH(ROWS(H$3:H341),$DW$3:$DW$400,0),COLUMN()),"")),"")</f>
        <v/>
      </c>
      <c r="M341" s="48">
        <f ca="1">IFERROR(IF(IF(MID($A341,3,3)=".00",MID(A341,1,2),"")&lt;&gt;"",MAX($M$2:M340)+1,0),"")</f>
        <v>0</v>
      </c>
      <c r="N341" s="48" t="str">
        <f t="shared" ca="1" si="651"/>
        <v/>
      </c>
      <c r="O341" s="48" t="str">
        <f ca="1">IF(IFERROR(INDEX($N$3:$O$300,MATCH(ROWS($O$3:O341),$M$3:$M$300,0),1),"")&lt;&gt;"",CONCATENATE(INDEX($N$3:$O$300,MATCH(ROWS($O$3:O341),$M$3:$M$300,0),1),".00"),"")</f>
        <v/>
      </c>
      <c r="P341" s="48" t="str">
        <f t="shared" ca="1" si="652"/>
        <v/>
      </c>
      <c r="Q341" s="48">
        <f ca="1">IF(M341&gt;=1,0,MAX($Q$2:Q340)+1)</f>
        <v>302</v>
      </c>
      <c r="U341" s="48" t="str">
        <f ca="1">IFERROR(INDEX(PDC,MATCH(ROWS(U$3:U341),$V$3:$V$400,0),2),"")</f>
        <v/>
      </c>
      <c r="V341" s="48">
        <f ca="1">IF(AND($T$1="VISUALIZZA TUTTI I CONTI",AA341&lt;&gt;""),MAX($V$2:V340)+1,IF(AND($U$2=2,AI341=$T$1),MAX($V$2:V340)+1,IF(AND($U$2=1,$T$1=AF341),MAX($V$2:V340)+1,0)))</f>
        <v>0</v>
      </c>
      <c r="AA341" s="48" t="str">
        <f t="shared" ca="1" si="653"/>
        <v/>
      </c>
      <c r="AB341" s="48" t="str">
        <f ca="1">IFERROR(INDEX($A$3:$G$400,MATCH(ROWS(AB$3:AB341),$Q$3:$Q$400,0),1),"")</f>
        <v/>
      </c>
      <c r="AC341" s="48" t="str">
        <f ca="1">IFERROR(INDEX($A$3:$G$400,MATCH(ROWS($AC$3:AC341),$Q$3:$Q$400,0),2),"")</f>
        <v/>
      </c>
      <c r="AD341" s="48">
        <f ca="1">IFERROR(INDEX($A$3:$G$400,MATCH(ROWS(AD$3:AD341),$Q$3:$Q$400,0),3),"")</f>
        <v>0</v>
      </c>
      <c r="AE341" s="48" t="str">
        <f ca="1">IFERROR(INDEX($A$3:$G$400,MATCH(ROWS(AE$3:AE341),$Q$3:$Q$400,0),4),"")</f>
        <v/>
      </c>
      <c r="AF341" s="48" t="str">
        <f ca="1">IFERROR(INDEX($A$3:$G$400,MATCH(ROWS(AF$3:AF341),$Q$3:$Q$400,0),5),"")</f>
        <v/>
      </c>
      <c r="AG341" s="48" t="str">
        <f ca="1">IFERROR(INDEX($A$3:$G$400,MATCH(ROWS(AG$3:AG341),$Q$3:$Q$400,0),6),"")</f>
        <v/>
      </c>
      <c r="AH341" s="48" t="str">
        <f ca="1">IFERROR(INDEX($A$3:$G$400,MATCH(ROWS(AH$3:AH341),$Q$3:$Q$400,0),7),"")</f>
        <v/>
      </c>
      <c r="AI341" s="48" t="str">
        <f t="shared" ca="1" si="654"/>
        <v/>
      </c>
      <c r="AJ341" s="48" t="str">
        <f ca="1">IFERROR(INDEX($A$3:$H$400,MATCH(ROWS(AJ$3:AJ341),$Q$3:$Q$400,0),8),"")</f>
        <v/>
      </c>
      <c r="AZ341" s="48" t="str">
        <f t="shared" ca="1" si="669"/>
        <v/>
      </c>
      <c r="BA341" s="48">
        <f t="shared" ca="1" si="611"/>
        <v>0</v>
      </c>
      <c r="BB341" s="48">
        <f t="shared" ca="1" si="612"/>
        <v>0</v>
      </c>
      <c r="BC341" s="48">
        <f t="shared" ca="1" si="613"/>
        <v>0</v>
      </c>
      <c r="BD341" s="48">
        <f t="shared" ca="1" si="614"/>
        <v>0</v>
      </c>
      <c r="BE341" s="48">
        <f t="shared" ca="1" si="615"/>
        <v>0</v>
      </c>
      <c r="BF341" s="48">
        <f t="shared" si="670"/>
        <v>141</v>
      </c>
      <c r="BG341" s="48">
        <f ca="1">IF(IF(AND(OR(INDEX(PDC,MATCH($AC341,DEN_PDC,0),6)="SP DARE",INDEX(PDC,MATCH($AC341,DEN_PDC,0),6)="SP DARE/AVERE"),SUMIFS(DARE,DEN_G,$AC341)&gt;=SUMIFS(AVERE,DEN_G,$AC341)),SUMIFS(DARE,DEN_G,$AC341)-SUMIFS(AVERE,DEN_G,$AC341),0)&gt;0,MAX($BG$2:BG340)+1,0)</f>
        <v>0</v>
      </c>
      <c r="BH341" s="48">
        <f ca="1">IF(IF(AND(OR(INDEX(PDC,MATCH($AC341,DEN_PDC,0),6)="SP AVERE",INDEX(PDC,MATCH($AC341,DEN_PDC,0),6)="SP DARE/AVERE"),SUMIFS(AVERE,DEN_G,$AC341)&gt;=SUMIFS(DARE,DEN_G,$AC341)),SUMIFS(AVERE,DEN_G,$AC341)-SUMIFS(DARE,DEN_G,$AC341),0)&gt;0,MAX(BH$2:BH340)+1,0)</f>
        <v>0</v>
      </c>
      <c r="BI341" s="48">
        <f ca="1">IF(IF(AND(OR(INDEX(PDC,MATCH($AC341,DEN_PDC,0),6)="SE DARE",INDEX(PDC,MATCH($AC341,DEN_PDC,0),6)="SE DARE/AVERE"),SUMIFS(DARE,DEN_G,$AC341)&gt;=SUMIFS(AVERE,DEN_G,$AC341)),SUMIFS(DARE,DEN_G,$AC341)-SUMIFS(AVERE,DEN_G,$AC341),0)&gt;0,MAX(BI$2:BI340)+1,0)</f>
        <v>0</v>
      </c>
      <c r="BJ341" s="48">
        <f ca="1">IF(IF(AND(OR(INDEX(PDC,MATCH($AC341,DEN_PDC,0),6)="SE AVERE",INDEX(PDC,MATCH($AC341,DEN_PDC,0),6)="SE DARE/AVERE"),SUMIFS(AVERE,DEN_G,$AC341)&gt;=SUMIFS(DARE,DEN_G,$AC341)),SUMIFS(AVERE,DEN_G,$AC341)-SUMIFS(DARE,DEN_G,$AC341),0)&gt;0,MAX(BJ$2:BJ340)+1,0)</f>
        <v>0</v>
      </c>
      <c r="BK341" s="48" t="str">
        <f ca="1">IF(AND(AND($DY$2=0,$DY$1=0),$I$1=2,ROW()&gt;$BG$1+2,ROW()&lt;=$BG$1+4),"………………..",IF(AND(OR($DY$2&gt;0,$DY$1&gt;0),$I$1=2,ROW()&gt;$BG$1+2,ROW()&lt;=$BG$1+4),"………………..",IFERROR(INDEX($AC$3:$AC$398,MATCH(ROWS(BK$3:BK341),BG$3:BG$398,0),1),"")))</f>
        <v/>
      </c>
      <c r="BL341" s="48">
        <f t="shared" ca="1" si="637"/>
        <v>0</v>
      </c>
      <c r="BM341" s="48" t="str">
        <f ca="1">IF(AND(OR($DY$2=0,$DY$1=0),$I$1=2,ROW()&gt;$BH$1+2,ROW()&lt;=$BH$1+4),"………………..",IF(AND(OR($DY$2&gt;0,$DY$1&gt;0),$I$1=2,ROW()&gt;$BH$1+2,ROW()&lt;=$BH$1+4),"………………..",IFERROR(INDEX($AC$3:$AC$400,MATCH(ROWS(BM$3:BM341),BH$3:BH$400,0),1),"")))</f>
        <v/>
      </c>
      <c r="BN341" s="48">
        <f t="shared" ca="1" si="638"/>
        <v>0</v>
      </c>
      <c r="BO341" s="48" t="str">
        <f ca="1">IF(AND(OR($DY$2=0,$DY$1=0),$I$1=2,ROW()&gt;$BI$1+2,ROW()&lt;=$BI$1+4),"………………..",IF(AND(OR($DY$2&gt;0,$DY$1&gt;0),$I$1=2,ROW()&gt;$BI$1+2,ROW()&lt;=$BI$1+4),"………………..",IFERROR(INDEX($AC$3:$AC$400,MATCH(ROWS(BO$3:BO341),BI$3:BI$400,0),1),"")))</f>
        <v/>
      </c>
      <c r="BP341" s="48">
        <f t="shared" ca="1" si="639"/>
        <v>0</v>
      </c>
      <c r="BQ341" s="48" t="str">
        <f ca="1">IF(AND(OR($DY$2=0,$DY$1=0),$I$1=2,ROW()&gt;$BJ$1+2,ROW()&lt;=$BJ$1+4),"………………..",IF(AND(OR($DY$2&gt;0,$DY$1&gt;0),$I$1=2,ROW()&gt;$BJ$1+2,ROW()&lt;=$BJ$1+4),"………………..",IFERROR(INDEX($AC$3:$AC$400,MATCH(ROWS(BQ$3:BQ341),BJ$3:BJ$400,0),1),"")))</f>
        <v/>
      </c>
      <c r="BR341" s="48">
        <f t="shared" ca="1" si="640"/>
        <v>0</v>
      </c>
      <c r="BS341" s="48">
        <f ca="1">IF(IF(AND(OR(INDEX(PDC,MATCH($AC341,DEN_PDC,0),4)="D",INDEX(PDC,MATCH($AC341,DEN_PDC,0),4)="D/A"),SUMIFS(DARE,DEN_G,$AC341)&gt;=SUMIFS(AVERE,DEN_G,$AC341)),SUMIFS(DARE,DEN_G,$AC341),IF(AND(OR(INDEX(PDC,MATCH($AC341,DEN_PDC,0),4)="A",INDEX(PDC,MATCH($AC341,DEN_PDC,0),4)="D/A"),SUMIFS(AVERE,DEN_G,$AC341)&gt;=SUMIFS(DARE,DEN_G,$AC341)),SUMIFS(AVERE,DEN_G,$AC341),))&gt;0,MAX($BS$2:BS340)+1,0)</f>
        <v>0</v>
      </c>
      <c r="BT341" s="48" t="str">
        <f ca="1">IF($CO$1=0,"",IF(AND($I$1=2,ROW()&gt;$BR$1,ROW()&lt;=$BS$1)," …………….",IF(AND($E$1=1,$BX$1=1,$I$1=2,ROW()=$BQ$1),"TOTALI",IFERROR(INDEX(PDC,MATCH(ROWS(BT$3:BT341),BS$3:BS738,0),2),""))))</f>
        <v/>
      </c>
      <c r="BU341" s="48">
        <f t="shared" ca="1" si="641"/>
        <v>0</v>
      </c>
      <c r="BV341" s="48">
        <f t="shared" ca="1" si="642"/>
        <v>0</v>
      </c>
      <c r="BW341" s="48">
        <f t="shared" ca="1" si="643"/>
        <v>0</v>
      </c>
      <c r="BX341" s="48">
        <f t="shared" ca="1" si="644"/>
        <v>0</v>
      </c>
      <c r="BY341" s="48">
        <f ca="1">IF(OR(BW341&gt;0,BX341&gt;0),MAX($BY$2:BY340)+1,0)</f>
        <v>0</v>
      </c>
      <c r="BZ341" s="48" t="str">
        <f ca="1">IFERROR(INDEX($BT$3:$BY$400,MATCH(ROWS(BZ$3:BZ341),$BY$3:$BY$400,0),1),"")</f>
        <v/>
      </c>
      <c r="CA341" s="48" t="str">
        <f ca="1">IFERROR(INDEX($BT$3:$BY$400,MATCH(ROWS(CA$3:CA341),$BY$3:$BY$400,0),4),"")</f>
        <v/>
      </c>
      <c r="CB341" s="48" t="str">
        <f ca="1">IFERROR(INDEX($BT$3:$BY$400,MATCH(ROWS(CB$3:CB341),$BY$3:$BY$400,0),5),"")</f>
        <v/>
      </c>
      <c r="CC341" s="48" t="str">
        <f t="shared" ca="1" si="645"/>
        <v/>
      </c>
      <c r="CM341" s="242" t="str">
        <f t="shared" ca="1" si="655"/>
        <v/>
      </c>
      <c r="CN341" s="243">
        <f t="shared" ca="1" si="656"/>
        <v>0</v>
      </c>
      <c r="CO341" s="48" t="str">
        <f t="shared" ca="1" si="657"/>
        <v/>
      </c>
      <c r="CU341" s="48">
        <f ca="1">IF(SUMIFS(AVERE,DEN_G,AC341,AVERE,"&gt;"&amp;0)+SUMIFS(DARE,DEN_G,AC341,DARE,"&gt;"&amp;0)&gt;0,MAX($CU$2:CU340)+1,0)</f>
        <v>0</v>
      </c>
      <c r="CV341" s="48" t="str">
        <f ca="1">IF(IFERROR(INDEX(PDC,MATCH(ROWS($CV$3:CV341),$CU$3:$CU$400,0),2),"")="CONTO DI RISULTATO ECONOMICO","",IFERROR(INDEX(PDC,MATCH(ROWS($CV$3:CV341),$CU$3:$CU$400,0),2),""))</f>
        <v/>
      </c>
      <c r="CW341" s="48">
        <f ca="1">IFERROR(IF(CV341&lt;&gt;"",MAX($CW$2:CW340)+1,0),0)</f>
        <v>0</v>
      </c>
      <c r="CX341" s="48">
        <f ca="1">$FF$29</f>
        <v>27</v>
      </c>
      <c r="CY341" s="48" t="str">
        <f t="shared" ref="CY341:CY352" ca="1" si="678">IF(ISERROR(INDEX($CV$3:$CX$1302,MATCH(CX341,$CW$3:$CW$1302,0),1)),"MASTRO",INDEX($CV$3:$CX$1302,MATCH(CX341,$CW$3:$CW$1302,0),1))</f>
        <v>MASTRO</v>
      </c>
      <c r="DA341" s="48" t="str">
        <f>IF(CY340="MASTRO","Conto n.","")</f>
        <v>Conto n.</v>
      </c>
      <c r="DB341" s="48" t="str">
        <f ca="1">IF(CY341=0,"",INDEX(PDC,MATCH(DC341,DEN_PDC,0),1))</f>
        <v/>
      </c>
      <c r="DC341" s="48" t="str">
        <f ca="1">IF(OR(CY341=0,CY341="mastro"),"",CY341)</f>
        <v/>
      </c>
      <c r="DD341" s="48" t="str">
        <f ca="1">IF(AND($DA$2=TRUE,OR(INDEX(PDC,MATCH($DC341,DEN_PDC,0),4)="A",INDEX(PDC,MATCH($DC341,DEN_PDC,0),4)="D/A"),SUMIFS(AVERE,DEN_G,"="&amp;$DC341,DATA,"&lt;="&amp;FINE_AC,DATA,"&gt;="&amp;INIZIO_AC)&gt;SUMIFS(DARE,DEN_G,"="&amp;$DC341,DATA,"&lt;="&amp;FINE_AC,DATA,"&gt;="&amp;INIZIO_AC)),CONCATENATE("s ",FIXED(ABS(SUMIFS(AVERE,DEN_G,"="&amp;$DC341,DATA,"&lt;="&amp;FINE_AC,DATA,"&gt;="&amp;INIZIO_AC)-SUMIFS(DARE,DEN_G,"="&amp;$DC341,DATA,"&lt;="&amp;FINE_AC,DATA,"&gt;="&amp;INIZIO_AC)),2)),"")</f>
        <v/>
      </c>
      <c r="DE341" s="48" t="str">
        <f ca="1">IF(AND($DA$2=TRUE,OR(INDEX(PDC,MATCH($DC341,DEN_PDC,0),4)="D",INDEX(PDC,MATCH($DC341,DEN_PDC,0),4)="D/A"),SUMIFS(DARE,DEN_G,"="&amp;$DC341,DATA,"&lt;="&amp;FINE_AC,DATA,"&gt;="&amp;INIZIO_AC)&gt;SUMIFS(AVERE,DEN_G,"="&amp;$DC341,DATA,"&lt;="&amp;FINE_AC,DATA,"&gt;="&amp;INIZIO_AC)),CONCATENATE("s ",FIXED(ABS(SUMIFS(DARE,DEN_G,"="&amp;$DC341,DATA,"&lt;="&amp;FINE_AC,DATA,"&gt;="&amp;INIZIO_AC)-SUMIFS(AVERE,DEN_G,"="&amp;$DC341,DATA,"&lt;="&amp;FINE_AC,DATA,"&gt;="&amp;INIZIO_AC)),2)),"")</f>
        <v/>
      </c>
      <c r="DF341" s="48">
        <f ca="1">IF(AND(CX341=$DF$1,CX341&lt;&gt;""),0,IF(AND(DB341&lt;&gt;"",OR(DB340&lt;&gt;"",DB342&lt;&gt;"")),MAX($DF$2:DF340)+1,0))</f>
        <v>0</v>
      </c>
      <c r="DH341" s="244" t="s">
        <v>906</v>
      </c>
      <c r="DI341" s="48" t="s">
        <v>450</v>
      </c>
      <c r="DJ341" s="48" t="s">
        <v>311</v>
      </c>
      <c r="DK341" s="48" t="s">
        <v>275</v>
      </c>
      <c r="DL341" s="48" t="s">
        <v>7</v>
      </c>
      <c r="DM341" s="48" t="s">
        <v>301</v>
      </c>
      <c r="DN341" s="48">
        <f ca="1">IF(DI341&lt;&gt;"",MAX($DN$2:DN340)+1,0)</f>
        <v>271</v>
      </c>
      <c r="DO341" s="48" t="s">
        <v>719</v>
      </c>
      <c r="DQ341" s="227" t="s">
        <v>1070</v>
      </c>
      <c r="DR341" s="48" t="s">
        <v>454</v>
      </c>
      <c r="DS341" s="48" t="s">
        <v>311</v>
      </c>
      <c r="DT341" s="48" t="s">
        <v>275</v>
      </c>
      <c r="DU341" s="48" t="s">
        <v>7</v>
      </c>
      <c r="DV341" s="48" t="s">
        <v>301</v>
      </c>
      <c r="DW341" s="48">
        <f ca="1">IF(DR341&lt;&gt;"",MAX($DW$2:DW340)+1,0)</f>
        <v>208</v>
      </c>
      <c r="DX341" s="48" t="s">
        <v>720</v>
      </c>
      <c r="DY341" s="48" t="str">
        <f t="shared" ca="1" si="647"/>
        <v/>
      </c>
      <c r="EL341" s="48">
        <f t="shared" ca="1" si="648"/>
        <v>0</v>
      </c>
      <c r="EM341" s="48">
        <f ca="1">IF(EL341&gt;=0,0,MAX($EM$2:EM340)+1)</f>
        <v>0</v>
      </c>
      <c r="EN341" s="48" t="str">
        <f t="shared" ca="1" si="658"/>
        <v/>
      </c>
      <c r="EO341" s="48" t="str">
        <f ca="1">IFERROR(INDEX($EM$3:$EN$400,MATCH(ROWS($EO$3:EO341),$EM$3:$EM$400,0),2),"")</f>
        <v/>
      </c>
      <c r="EP341" s="48">
        <f>ROW()</f>
        <v>341</v>
      </c>
      <c r="EQ341" s="48">
        <f t="shared" ca="1" si="649"/>
        <v>0</v>
      </c>
      <c r="ER341" s="48">
        <f ca="1">IF(ISNA(EQ341)=TRUE,MAX($ER$2:ER340)+1,0)</f>
        <v>0</v>
      </c>
      <c r="ES341" s="48" t="str">
        <f t="shared" ca="1" si="659"/>
        <v/>
      </c>
      <c r="ET341" s="48" t="str">
        <f ca="1">IFERROR(INDEX($ER$3:$ES$400,MATCH(ROWS($ET$3:ET341),$ER$3:$ER$400,0),2),"")</f>
        <v/>
      </c>
      <c r="EV341" s="48">
        <f ca="1">IFERROR(INDEX(LIBRO_GIORNALE!$O$11:$P$408,MATCH(ROWS($EV$2:EV340),LIBRO_GIORNALE!$P$11:$P$408,0),1),0)</f>
        <v>0</v>
      </c>
      <c r="EW341" s="48" t="str">
        <f t="shared" ca="1" si="629"/>
        <v>0</v>
      </c>
      <c r="EX341" s="48">
        <f t="shared" ca="1" si="660"/>
        <v>0</v>
      </c>
      <c r="EY341" s="48">
        <f ca="1">IF(EX341&gt;0,MAX($EY$2:EY340)+1,0)</f>
        <v>0</v>
      </c>
      <c r="EZ341" s="48">
        <f ca="1">IFERROR(INDEX($EX$3:$EX$400,MATCH(ROWS($EZ$3:EZ341),$EY$3:$EY$400,0),1),0)</f>
        <v>0</v>
      </c>
      <c r="FA341" s="48">
        <f ca="1">IF(EZ341&gt;0,0,MAX($FA$2:FA340)+1)</f>
        <v>339</v>
      </c>
      <c r="FB341" s="48">
        <f t="shared" ca="1" si="630"/>
        <v>0</v>
      </c>
      <c r="FC341" s="48">
        <f t="shared" ca="1" si="631"/>
        <v>339</v>
      </c>
      <c r="FD341" s="48">
        <f t="shared" ca="1" si="661"/>
        <v>339</v>
      </c>
      <c r="FE341" s="48">
        <f ca="1">IF(FD341=0,0,MAX($FE$2:FE340)+1)</f>
        <v>339</v>
      </c>
      <c r="FF341" s="48">
        <f ca="1">IFERROR(INDEX($FD$3:$FE$400,MATCH(ROWS($FF$3:FF341),$FE$3:$FE$400,0),1),"")</f>
        <v>339</v>
      </c>
      <c r="FG341" s="48">
        <f t="shared" si="610"/>
        <v>0</v>
      </c>
      <c r="FH341" s="48">
        <f t="shared" ca="1" si="662"/>
        <v>0</v>
      </c>
      <c r="FI341" s="48">
        <f ca="1">IF(FH341&lt;&gt;0,MAX($FI$2:FI340)+1,0)</f>
        <v>0</v>
      </c>
      <c r="FJ341" s="48" t="str">
        <f ca="1">IFERROR(INDEX($FH$3:$FI$400,MATCH(ROWS($FJ$3:FJ341),$FI$3:$FI$400,0),1),"")</f>
        <v/>
      </c>
      <c r="FK341" s="48">
        <f ca="1">IF(ABS(SUMIFS(DARE,DEN_G,"="&amp;FJ341,DATA,"&lt;="&amp;FINE_AC,DATA,"&gt;="&amp;INIZIO_A_PC)-SUMIFS(AVERE,DEN_G,"="&amp;FJ341,DATA,"&lt;="&amp;FINE_AC,DATA,"&gt;="&amp;INIZIO_A_PC))&gt;0,MAX($FK$2:FK340)+1,0)</f>
        <v>0</v>
      </c>
      <c r="FL341" s="48" t="str">
        <f ca="1">IF(AND(ROW()-2&lt;&gt;1,ROW()-2&lt;=$FK$1),CONCATENATE(" - ",IFERROR(INDEX($FJ$3:$FK$400,MATCH(ROWS($FL$3:FL341),$FK$3:$FK$400,0),1),"")),IFERROR(INDEX($FJ$3:$FK$400,MATCH(ROWS($FL$3:FL341),$FK$3:$FK$400,0),1),""))</f>
        <v/>
      </c>
      <c r="FM341" s="48">
        <f ca="1">IF(OR(B341="IVA ns/credito",B341="IVA NS/DEBITO",B341="IVA C/ACCONTO",B341="IMPOSTE C/ACCONTO",B341="CREDITI PER RITENUTE SUBITE",B341="CREDITI D'IMPOSTA"),MAX($FM$2:FM340)+1,0)</f>
        <v>0</v>
      </c>
      <c r="FN341" s="48" t="str">
        <f t="shared" ca="1" si="663"/>
        <v/>
      </c>
      <c r="FO341" s="48" t="str">
        <f ca="1">IFERROR(INDEX($FM$3:$FN$400,MATCH(ROWS($FO$3:FO341),$FM$3:$FM$400,0),2),"")</f>
        <v/>
      </c>
      <c r="FP341" s="48">
        <f ca="1">IF(ABS(SUMIFS(DARE,DEN_G,"="&amp;FO341,DATA,"&lt;="&amp;FINE_AC,DATA,"&gt;="&amp;INIZIO_A_PC)-SUMIFS(AVERE,DEN_G,"="&amp;FO341,DATA,"&lt;="&amp;FINE_AC,DATA,"&gt;="&amp;INIZIO_A_PC))&gt;0,MAX($FP$2:FP340)+1,0)</f>
        <v>0</v>
      </c>
      <c r="FQ341" s="48" t="str">
        <f ca="1">IF(AND(ROW()-2&lt;&gt;1,ROW()-2&lt;=$FP$1),CONCATENATE(" - ",IFERROR(INDEX($FO$3:$FP$400,MATCH(ROWS($FQ$3:FQ341),$FP$3:$FP$400,0),1),"")),IFERROR(INDEX($FO$3:$FP$400,MATCH(ROWS($FQ$3:FQ341),$FP$3:$FP$400,0),1),""))</f>
        <v/>
      </c>
    </row>
    <row r="342" spans="1:173" x14ac:dyDescent="0.3">
      <c r="A342" s="48" t="str">
        <f ca="1">IFERROR(IF($A$1=2,INDEX($DH$3:$DN$401,MATCH(ROWS(A$3:A342),$DN$3:$DN$401,0),COLUMN()),IF($A$1=1,INDEX($DQ$3:$DW$401,MATCH(ROWS(A$3:A342),$DW$3:$DW$401,0),COLUMN()),"")),"")</f>
        <v/>
      </c>
      <c r="B342" s="48" t="str">
        <f ca="1">IFERROR(IF($A$1=2,INDEX($DH$3:$DN$401,MATCH(ROWS(B$3:B342),$DN$3:$DN$401,0),COLUMN()),IF($A$1=1,INDEX($DQ$3:$DW$400,MATCH(ROWS(B$3:B342),$DW$3:$DW$401,0),COLUMN()),"")),"")</f>
        <v/>
      </c>
      <c r="C342" s="48" t="str">
        <f ca="1">IFERROR(IF($A$1=2,INDEX($DH$3:$DN$401,MATCH(ROWS(C$3:C342),$DN$3:$DN$401,0),COLUMN()),IF($A$1=1,INDEX($DQ$3:$DW$401,MATCH(ROWS(C$3:C342),$DW$3:$DW$401,0),COLUMN()),"")),"")</f>
        <v/>
      </c>
      <c r="D342" s="48" t="str">
        <f ca="1">IFERROR(IF($A$1=2,INDEX($DH$3:$DN$401,MATCH(ROWS(D$3:D342),$DN$3:$DN$401,0),COLUMN()),IF($A$1=1,INDEX($DQ$3:$DW$401,MATCH(ROWS(D$3:D342),$DW$3:$DW$401,0),COLUMN()),"")),"")</f>
        <v/>
      </c>
      <c r="E342" s="48" t="str">
        <f ca="1">IFERROR(IF($A$1=2,INDEX($DH$3:$DN$401,MATCH(ROWS(E$3:E342),$DN$3:$DN$401,0),COLUMN()),IF($A$1=1,INDEX($DQ$3:$DW$401,MATCH(ROWS(E$3:E342),$DW$3:$DW$401,0),COLUMN()),"")),"")</f>
        <v/>
      </c>
      <c r="F342" s="48" t="str">
        <f ca="1">IFERROR(IF($A$1=2,INDEX($DH$3:$DN$401,MATCH(ROWS(F$3:F342),$DN$3:$DN$401,0),COLUMN()),IF($A$1=1,INDEX($DQ$3:$DX$401,MATCH(ROWS(F$3:F342),$DW$3:$DW$401,0),COLUMN()),"")),"")</f>
        <v/>
      </c>
      <c r="G342" s="48" t="str">
        <f t="shared" ca="1" si="650"/>
        <v/>
      </c>
      <c r="H342" s="48" t="str">
        <f ca="1">IFERROR(IF($A$1=2,INDEX($DH$3:$DO$400,MATCH(ROWS(H$3:H342),$DN$3:$DN$400,0),COLUMN()),IF($A$1=1,INDEX($DQ$3:$DX$400,MATCH(ROWS(H$3:H342),$DW$3:$DW$400,0),COLUMN()),"")),"")</f>
        <v/>
      </c>
      <c r="M342" s="48">
        <f ca="1">IFERROR(IF(IF(MID($A342,3,3)=".00",MID(A342,1,2),"")&lt;&gt;"",MAX($M$2:M341)+1,0),"")</f>
        <v>0</v>
      </c>
      <c r="N342" s="48" t="str">
        <f t="shared" ca="1" si="651"/>
        <v/>
      </c>
      <c r="O342" s="48" t="str">
        <f ca="1">IF(IFERROR(INDEX($N$3:$O$300,MATCH(ROWS($O$3:O342),$M$3:$M$300,0),1),"")&lt;&gt;"",CONCATENATE(INDEX($N$3:$O$300,MATCH(ROWS($O$3:O342),$M$3:$M$300,0),1),".00"),"")</f>
        <v/>
      </c>
      <c r="P342" s="48" t="str">
        <f t="shared" ca="1" si="652"/>
        <v/>
      </c>
      <c r="Q342" s="48">
        <f ca="1">IF(M342&gt;=1,0,MAX($Q$2:Q341)+1)</f>
        <v>303</v>
      </c>
      <c r="U342" s="48" t="str">
        <f ca="1">IFERROR(INDEX(PDC,MATCH(ROWS(U$3:U342),$V$3:$V$400,0),2),"")</f>
        <v/>
      </c>
      <c r="V342" s="48">
        <f ca="1">IF(AND($T$1="VISUALIZZA TUTTI I CONTI",AA342&lt;&gt;""),MAX($V$2:V341)+1,IF(AND($U$2=2,AI342=$T$1),MAX($V$2:V341)+1,IF(AND($U$2=1,$T$1=AF342),MAX($V$2:V341)+1,0)))</f>
        <v>0</v>
      </c>
      <c r="AA342" s="48" t="str">
        <f t="shared" ca="1" si="653"/>
        <v/>
      </c>
      <c r="AB342" s="48" t="str">
        <f ca="1">IFERROR(INDEX($A$3:$G$400,MATCH(ROWS(AB$3:AB342),$Q$3:$Q$400,0),1),"")</f>
        <v/>
      </c>
      <c r="AC342" s="48" t="str">
        <f ca="1">IFERROR(INDEX($A$3:$G$400,MATCH(ROWS($AC$3:AC342),$Q$3:$Q$400,0),2),"")</f>
        <v/>
      </c>
      <c r="AD342" s="48">
        <f ca="1">IFERROR(INDEX($A$3:$G$400,MATCH(ROWS(AD$3:AD342),$Q$3:$Q$400,0),3),"")</f>
        <v>0</v>
      </c>
      <c r="AE342" s="48" t="str">
        <f ca="1">IFERROR(INDEX($A$3:$G$400,MATCH(ROWS(AE$3:AE342),$Q$3:$Q$400,0),4),"")</f>
        <v/>
      </c>
      <c r="AF342" s="48" t="str">
        <f ca="1">IFERROR(INDEX($A$3:$G$400,MATCH(ROWS(AF$3:AF342),$Q$3:$Q$400,0),5),"")</f>
        <v/>
      </c>
      <c r="AG342" s="48" t="str">
        <f ca="1">IFERROR(INDEX($A$3:$G$400,MATCH(ROWS(AG$3:AG342),$Q$3:$Q$400,0),6),"")</f>
        <v/>
      </c>
      <c r="AH342" s="48" t="str">
        <f ca="1">IFERROR(INDEX($A$3:$G$400,MATCH(ROWS(AH$3:AH342),$Q$3:$Q$400,0),7),"")</f>
        <v/>
      </c>
      <c r="AI342" s="48" t="str">
        <f t="shared" ca="1" si="654"/>
        <v/>
      </c>
      <c r="AJ342" s="48" t="str">
        <f ca="1">IFERROR(INDEX($A$3:$H$400,MATCH(ROWS(AJ$3:AJ342),$Q$3:$Q$400,0),8),"")</f>
        <v/>
      </c>
      <c r="AZ342" s="48" t="str">
        <f t="shared" ca="1" si="669"/>
        <v/>
      </c>
      <c r="BA342" s="48">
        <f t="shared" ca="1" si="611"/>
        <v>0</v>
      </c>
      <c r="BB342" s="48">
        <f t="shared" ca="1" si="612"/>
        <v>0</v>
      </c>
      <c r="BC342" s="48">
        <f t="shared" ca="1" si="613"/>
        <v>0</v>
      </c>
      <c r="BD342" s="48">
        <f t="shared" ca="1" si="614"/>
        <v>0</v>
      </c>
      <c r="BE342" s="48">
        <f t="shared" ca="1" si="615"/>
        <v>0</v>
      </c>
      <c r="BF342" s="48">
        <f t="shared" si="670"/>
        <v>142</v>
      </c>
      <c r="BG342" s="48">
        <f ca="1">IF(IF(AND(OR(INDEX(PDC,MATCH($AC342,DEN_PDC,0),6)="SP DARE",INDEX(PDC,MATCH($AC342,DEN_PDC,0),6)="SP DARE/AVERE"),SUMIFS(DARE,DEN_G,$AC342)&gt;=SUMIFS(AVERE,DEN_G,$AC342)),SUMIFS(DARE,DEN_G,$AC342)-SUMIFS(AVERE,DEN_G,$AC342),0)&gt;0,MAX($BG$2:BG341)+1,0)</f>
        <v>0</v>
      </c>
      <c r="BH342" s="48">
        <f ca="1">IF(IF(AND(OR(INDEX(PDC,MATCH($AC342,DEN_PDC,0),6)="SP AVERE",INDEX(PDC,MATCH($AC342,DEN_PDC,0),6)="SP DARE/AVERE"),SUMIFS(AVERE,DEN_G,$AC342)&gt;=SUMIFS(DARE,DEN_G,$AC342)),SUMIFS(AVERE,DEN_G,$AC342)-SUMIFS(DARE,DEN_G,$AC342),0)&gt;0,MAX(BH$2:BH341)+1,0)</f>
        <v>0</v>
      </c>
      <c r="BI342" s="48">
        <f ca="1">IF(IF(AND(OR(INDEX(PDC,MATCH($AC342,DEN_PDC,0),6)="SE DARE",INDEX(PDC,MATCH($AC342,DEN_PDC,0),6)="SE DARE/AVERE"),SUMIFS(DARE,DEN_G,$AC342)&gt;=SUMIFS(AVERE,DEN_G,$AC342)),SUMIFS(DARE,DEN_G,$AC342)-SUMIFS(AVERE,DEN_G,$AC342),0)&gt;0,MAX(BI$2:BI341)+1,0)</f>
        <v>0</v>
      </c>
      <c r="BJ342" s="48">
        <f ca="1">IF(IF(AND(OR(INDEX(PDC,MATCH($AC342,DEN_PDC,0),6)="SE AVERE",INDEX(PDC,MATCH($AC342,DEN_PDC,0),6)="SE DARE/AVERE"),SUMIFS(AVERE,DEN_G,$AC342)&gt;=SUMIFS(DARE,DEN_G,$AC342)),SUMIFS(AVERE,DEN_G,$AC342)-SUMIFS(DARE,DEN_G,$AC342),0)&gt;0,MAX(BJ$2:BJ341)+1,0)</f>
        <v>0</v>
      </c>
      <c r="BK342" s="48" t="str">
        <f ca="1">IF(AND(AND($DY$2=0,$DY$1=0),$I$1=2,ROW()&gt;$BG$1+2,ROW()&lt;=$BG$1+4),"………………..",IF(AND(OR($DY$2&gt;0,$DY$1&gt;0),$I$1=2,ROW()&gt;$BG$1+2,ROW()&lt;=$BG$1+4),"………………..",IFERROR(INDEX($AC$3:$AC$398,MATCH(ROWS(BK$3:BK342),BG$3:BG$398,0),1),"")))</f>
        <v/>
      </c>
      <c r="BL342" s="48">
        <f t="shared" ca="1" si="637"/>
        <v>0</v>
      </c>
      <c r="BM342" s="48" t="str">
        <f ca="1">IF(AND(OR($DY$2=0,$DY$1=0),$I$1=2,ROW()&gt;$BH$1+2,ROW()&lt;=$BH$1+4),"………………..",IF(AND(OR($DY$2&gt;0,$DY$1&gt;0),$I$1=2,ROW()&gt;$BH$1+2,ROW()&lt;=$BH$1+4),"………………..",IFERROR(INDEX($AC$3:$AC$400,MATCH(ROWS(BM$3:BM342),BH$3:BH$400,0),1),"")))</f>
        <v/>
      </c>
      <c r="BN342" s="48">
        <f t="shared" ca="1" si="638"/>
        <v>0</v>
      </c>
      <c r="BO342" s="48" t="str">
        <f ca="1">IF(AND(OR($DY$2=0,$DY$1=0),$I$1=2,ROW()&gt;$BI$1+2,ROW()&lt;=$BI$1+4),"………………..",IF(AND(OR($DY$2&gt;0,$DY$1&gt;0),$I$1=2,ROW()&gt;$BI$1+2,ROW()&lt;=$BI$1+4),"………………..",IFERROR(INDEX($AC$3:$AC$400,MATCH(ROWS(BO$3:BO342),BI$3:BI$400,0),1),"")))</f>
        <v/>
      </c>
      <c r="BP342" s="48">
        <f t="shared" ca="1" si="639"/>
        <v>0</v>
      </c>
      <c r="BQ342" s="48" t="str">
        <f ca="1">IF(AND(OR($DY$2=0,$DY$1=0),$I$1=2,ROW()&gt;$BJ$1+2,ROW()&lt;=$BJ$1+4),"………………..",IF(AND(OR($DY$2&gt;0,$DY$1&gt;0),$I$1=2,ROW()&gt;$BJ$1+2,ROW()&lt;=$BJ$1+4),"………………..",IFERROR(INDEX($AC$3:$AC$400,MATCH(ROWS(BQ$3:BQ342),BJ$3:BJ$400,0),1),"")))</f>
        <v/>
      </c>
      <c r="BR342" s="48">
        <f t="shared" ca="1" si="640"/>
        <v>0</v>
      </c>
      <c r="BS342" s="48">
        <f ca="1">IF(IF(AND(OR(INDEX(PDC,MATCH($AC342,DEN_PDC,0),4)="D",INDEX(PDC,MATCH($AC342,DEN_PDC,0),4)="D/A"),SUMIFS(DARE,DEN_G,$AC342)&gt;=SUMIFS(AVERE,DEN_G,$AC342)),SUMIFS(DARE,DEN_G,$AC342),IF(AND(OR(INDEX(PDC,MATCH($AC342,DEN_PDC,0),4)="A",INDEX(PDC,MATCH($AC342,DEN_PDC,0),4)="D/A"),SUMIFS(AVERE,DEN_G,$AC342)&gt;=SUMIFS(DARE,DEN_G,$AC342)),SUMIFS(AVERE,DEN_G,$AC342),))&gt;0,MAX($BS$2:BS341)+1,0)</f>
        <v>0</v>
      </c>
      <c r="BT342" s="48" t="str">
        <f ca="1">IF($CO$1=0,"",IF(AND($I$1=2,ROW()&gt;$BR$1,ROW()&lt;=$BS$1)," …………….",IF(AND($E$1=1,$BX$1=1,$I$1=2,ROW()=$BQ$1),"TOTALI",IFERROR(INDEX(PDC,MATCH(ROWS(BT$3:BT342),BS$3:BS739,0),2),""))))</f>
        <v/>
      </c>
      <c r="BU342" s="48">
        <f t="shared" ca="1" si="641"/>
        <v>0</v>
      </c>
      <c r="BV342" s="48">
        <f t="shared" ca="1" si="642"/>
        <v>0</v>
      </c>
      <c r="BW342" s="48">
        <f t="shared" ca="1" si="643"/>
        <v>0</v>
      </c>
      <c r="BX342" s="48">
        <f t="shared" ca="1" si="644"/>
        <v>0</v>
      </c>
      <c r="BY342" s="48">
        <f ca="1">IF(OR(BW342&gt;0,BX342&gt;0),MAX($BY$2:BY341)+1,0)</f>
        <v>0</v>
      </c>
      <c r="BZ342" s="48" t="str">
        <f ca="1">IFERROR(INDEX($BT$3:$BY$400,MATCH(ROWS(BZ$3:BZ342),$BY$3:$BY$400,0),1),"")</f>
        <v/>
      </c>
      <c r="CA342" s="48" t="str">
        <f ca="1">IFERROR(INDEX($BT$3:$BY$400,MATCH(ROWS(CA$3:CA342),$BY$3:$BY$400,0),4),"")</f>
        <v/>
      </c>
      <c r="CB342" s="48" t="str">
        <f ca="1">IFERROR(INDEX($BT$3:$BY$400,MATCH(ROWS(CB$3:CB342),$BY$3:$BY$400,0),5),"")</f>
        <v/>
      </c>
      <c r="CC342" s="48" t="str">
        <f t="shared" ca="1" si="645"/>
        <v/>
      </c>
      <c r="CM342" s="242" t="str">
        <f t="shared" ca="1" si="655"/>
        <v/>
      </c>
      <c r="CN342" s="243">
        <f t="shared" ca="1" si="656"/>
        <v>0</v>
      </c>
      <c r="CO342" s="48" t="str">
        <f t="shared" ca="1" si="657"/>
        <v/>
      </c>
      <c r="CU342" s="48">
        <f ca="1">IF(SUMIFS(AVERE,DEN_G,AC342,AVERE,"&gt;"&amp;0)+SUMIFS(DARE,DEN_G,AC342,DARE,"&gt;"&amp;0)&gt;0,MAX($CU$2:CU341)+1,0)</f>
        <v>0</v>
      </c>
      <c r="CV342" s="48" t="str">
        <f ca="1">IF(IFERROR(INDEX(PDC,MATCH(ROWS($CV$3:CV342),$CU$3:$CU$400,0),2),"")="CONTO DI RISULTATO ECONOMICO","",IFERROR(INDEX(PDC,MATCH(ROWS($CV$3:CV342),$CU$3:$CU$400,0),2),""))</f>
        <v/>
      </c>
      <c r="CW342" s="48">
        <f ca="1">IFERROR(IF(CV342&lt;&gt;"",MAX($CW$2:CW341)+1,0),0)</f>
        <v>0</v>
      </c>
      <c r="CX342" s="48">
        <f t="shared" ref="CX342:CX352" ca="1" si="679">$FF$29</f>
        <v>27</v>
      </c>
      <c r="CY342" s="48" t="str">
        <f t="shared" ca="1" si="678"/>
        <v>MASTRO</v>
      </c>
      <c r="DA342" s="48" t="str">
        <f ca="1">IF(DB341="","","Num. riga")</f>
        <v/>
      </c>
      <c r="DB342" s="48" t="str">
        <f t="shared" ref="DB342" ca="1" si="680">IF(DB341="","","Data")</f>
        <v/>
      </c>
      <c r="DC342" s="48" t="str">
        <f ca="1">IF(DB341="","","Operazioni")</f>
        <v/>
      </c>
      <c r="DD342" s="48" t="str">
        <f ca="1">IF(DB341="","","Dare        ")</f>
        <v/>
      </c>
      <c r="DE342" s="48" t="str">
        <f ca="1">IF(DB341="","","Avere        ")</f>
        <v/>
      </c>
      <c r="DF342" s="48">
        <f ca="1">IF(AND(CX342=$DF$1,CX342&lt;&gt;""),0,IF(AND(DB342&lt;&gt;"",OR(DB341&lt;&gt;"",DB343&lt;&gt;"")),MAX($DF$2:DF341)+1,0))</f>
        <v>0</v>
      </c>
      <c r="DH342" s="244" t="s">
        <v>907</v>
      </c>
      <c r="DI342" s="48" t="s">
        <v>451</v>
      </c>
      <c r="DJ342" s="48" t="s">
        <v>311</v>
      </c>
      <c r="DK342" s="48" t="s">
        <v>275</v>
      </c>
      <c r="DL342" s="48" t="s">
        <v>7</v>
      </c>
      <c r="DM342" s="48" t="s">
        <v>301</v>
      </c>
      <c r="DN342" s="48">
        <f ca="1">IF(DI342&lt;&gt;"",MAX($DN$2:DN341)+1,0)</f>
        <v>272</v>
      </c>
      <c r="DO342" s="48" t="s">
        <v>719</v>
      </c>
      <c r="DQ342" s="227" t="s">
        <v>455</v>
      </c>
      <c r="DR342" s="48" t="s">
        <v>841</v>
      </c>
      <c r="DS342" s="48" t="s">
        <v>311</v>
      </c>
      <c r="DT342" s="48" t="s">
        <v>275</v>
      </c>
      <c r="DU342" s="48" t="s">
        <v>7</v>
      </c>
      <c r="DV342" s="48" t="s">
        <v>301</v>
      </c>
      <c r="DW342" s="48">
        <f ca="1">IF(DR342&lt;&gt;"",MAX($DW$2:DW341)+1,0)</f>
        <v>209</v>
      </c>
      <c r="DX342" s="48" t="s">
        <v>721</v>
      </c>
      <c r="DY342" s="48" t="str">
        <f t="shared" ca="1" si="647"/>
        <v/>
      </c>
      <c r="EL342" s="48">
        <f t="shared" ca="1" si="648"/>
        <v>0</v>
      </c>
      <c r="EM342" s="48">
        <f ca="1">IF(EL342&gt;=0,0,MAX($EM$2:EM341)+1)</f>
        <v>0</v>
      </c>
      <c r="EN342" s="48" t="str">
        <f t="shared" ca="1" si="658"/>
        <v/>
      </c>
      <c r="EO342" s="48" t="str">
        <f ca="1">IFERROR(INDEX($EM$3:$EN$400,MATCH(ROWS($EO$3:EO342),$EM$3:$EM$400,0),2),"")</f>
        <v/>
      </c>
      <c r="EP342" s="48">
        <f>ROW()</f>
        <v>342</v>
      </c>
      <c r="EQ342" s="48">
        <f t="shared" ca="1" si="649"/>
        <v>0</v>
      </c>
      <c r="ER342" s="48">
        <f ca="1">IF(ISNA(EQ342)=TRUE,MAX($ER$2:ER341)+1,0)</f>
        <v>0</v>
      </c>
      <c r="ES342" s="48" t="str">
        <f t="shared" ca="1" si="659"/>
        <v/>
      </c>
      <c r="ET342" s="48" t="str">
        <f ca="1">IFERROR(INDEX($ER$3:$ES$400,MATCH(ROWS($ET$3:ET342),$ER$3:$ER$400,0),2),"")</f>
        <v/>
      </c>
      <c r="EV342" s="48">
        <f ca="1">IFERROR(INDEX(LIBRO_GIORNALE!$O$11:$P$408,MATCH(ROWS($EV$2:EV341),LIBRO_GIORNALE!$P$11:$P$408,0),1),0)</f>
        <v>0</v>
      </c>
      <c r="EW342" s="48" t="str">
        <f t="shared" ca="1" si="629"/>
        <v>0</v>
      </c>
      <c r="EX342" s="48">
        <f t="shared" ca="1" si="660"/>
        <v>0</v>
      </c>
      <c r="EY342" s="48">
        <f ca="1">IF(EX342&gt;0,MAX($EY$2:EY341)+1,0)</f>
        <v>0</v>
      </c>
      <c r="EZ342" s="48">
        <f ca="1">IFERROR(INDEX($EX$3:$EX$400,MATCH(ROWS($EZ$3:EZ342),$EY$3:$EY$400,0),1),0)</f>
        <v>0</v>
      </c>
      <c r="FA342" s="48">
        <f ca="1">IF(EZ342&gt;0,0,MAX($FA$2:FA341)+1)</f>
        <v>340</v>
      </c>
      <c r="FB342" s="48">
        <f t="shared" ca="1" si="630"/>
        <v>0</v>
      </c>
      <c r="FC342" s="48">
        <f t="shared" ca="1" si="631"/>
        <v>340</v>
      </c>
      <c r="FD342" s="48">
        <f t="shared" ca="1" si="661"/>
        <v>340</v>
      </c>
      <c r="FE342" s="48">
        <f ca="1">IF(FD342=0,0,MAX($FE$2:FE341)+1)</f>
        <v>340</v>
      </c>
      <c r="FF342" s="48">
        <f ca="1">IFERROR(INDEX($FD$3:$FE$400,MATCH(ROWS($FF$3:FF342),$FE$3:$FE$400,0),1),"")</f>
        <v>340</v>
      </c>
      <c r="FG342" s="48">
        <f t="shared" si="610"/>
        <v>0</v>
      </c>
      <c r="FH342" s="48">
        <f t="shared" ca="1" si="662"/>
        <v>0</v>
      </c>
      <c r="FI342" s="48">
        <f ca="1">IF(FH342&lt;&gt;0,MAX($FI$2:FI341)+1,0)</f>
        <v>0</v>
      </c>
      <c r="FJ342" s="48" t="str">
        <f ca="1">IFERROR(INDEX($FH$3:$FI$400,MATCH(ROWS($FJ$3:FJ342),$FI$3:$FI$400,0),1),"")</f>
        <v/>
      </c>
      <c r="FK342" s="48">
        <f ca="1">IF(ABS(SUMIFS(DARE,DEN_G,"="&amp;FJ342,DATA,"&lt;="&amp;FINE_AC,DATA,"&gt;="&amp;INIZIO_A_PC)-SUMIFS(AVERE,DEN_G,"="&amp;FJ342,DATA,"&lt;="&amp;FINE_AC,DATA,"&gt;="&amp;INIZIO_A_PC))&gt;0,MAX($FK$2:FK341)+1,0)</f>
        <v>0</v>
      </c>
      <c r="FL342" s="48" t="str">
        <f ca="1">IF(AND(ROW()-2&lt;&gt;1,ROW()-2&lt;=$FK$1),CONCATENATE(" - ",IFERROR(INDEX($FJ$3:$FK$400,MATCH(ROWS($FL$3:FL342),$FK$3:$FK$400,0),1),"")),IFERROR(INDEX($FJ$3:$FK$400,MATCH(ROWS($FL$3:FL342),$FK$3:$FK$400,0),1),""))</f>
        <v/>
      </c>
      <c r="FM342" s="48">
        <f ca="1">IF(OR(B342="IVA ns/credito",B342="IVA NS/DEBITO",B342="IVA C/ACCONTO",B342="IMPOSTE C/ACCONTO",B342="CREDITI PER RITENUTE SUBITE",B342="CREDITI D'IMPOSTA"),MAX($FM$2:FM341)+1,0)</f>
        <v>0</v>
      </c>
      <c r="FN342" s="48" t="str">
        <f t="shared" ca="1" si="663"/>
        <v/>
      </c>
      <c r="FO342" s="48" t="str">
        <f ca="1">IFERROR(INDEX($FM$3:$FN$400,MATCH(ROWS($FO$3:FO342),$FM$3:$FM$400,0),2),"")</f>
        <v/>
      </c>
      <c r="FP342" s="48">
        <f ca="1">IF(ABS(SUMIFS(DARE,DEN_G,"="&amp;FO342,DATA,"&lt;="&amp;FINE_AC,DATA,"&gt;="&amp;INIZIO_A_PC)-SUMIFS(AVERE,DEN_G,"="&amp;FO342,DATA,"&lt;="&amp;FINE_AC,DATA,"&gt;="&amp;INIZIO_A_PC))&gt;0,MAX($FP$2:FP341)+1,0)</f>
        <v>0</v>
      </c>
      <c r="FQ342" s="48" t="str">
        <f ca="1">IF(AND(ROW()-2&lt;&gt;1,ROW()-2&lt;=$FP$1),CONCATENATE(" - ",IFERROR(INDEX($FO$3:$FP$400,MATCH(ROWS($FQ$3:FQ342),$FP$3:$FP$400,0),1),"")),IFERROR(INDEX($FO$3:$FP$400,MATCH(ROWS($FQ$3:FQ342),$FP$3:$FP$400,0),1),""))</f>
        <v/>
      </c>
    </row>
    <row r="343" spans="1:173" x14ac:dyDescent="0.3">
      <c r="A343" s="48" t="str">
        <f ca="1">IFERROR(IF($A$1=2,INDEX($DH$3:$DN$401,MATCH(ROWS(A$3:A343),$DN$3:$DN$401,0),COLUMN()),IF($A$1=1,INDEX($DQ$3:$DW$401,MATCH(ROWS(A$3:A343),$DW$3:$DW$401,0),COLUMN()),"")),"")</f>
        <v/>
      </c>
      <c r="B343" s="48" t="str">
        <f ca="1">IFERROR(IF($A$1=2,INDEX($DH$3:$DN$400,MATCH(ROWS(B$3:B343),$DN$3:$DN$400,0),COLUMN()),IF($A$1=1,INDEX($DQ$3:$DW$400,MATCH(ROWS(B$3:B343),$DW$3:$DW$400,0),COLUMN()),"")),"")</f>
        <v/>
      </c>
      <c r="D343" s="48" t="str">
        <f ca="1">IFERROR(IF($A$1=2,INDEX($DH$3:$DN$401,MATCH(ROWS(D$3:D343),$DN$3:$DN$401,0),COLUMN()),IF($A$1=1,INDEX($DQ$3:$DW$401,MATCH(ROWS(D$3:D343),$DW$3:$DW$401,0),COLUMN()),"")),"")</f>
        <v/>
      </c>
      <c r="E343" s="48" t="str">
        <f ca="1">IFERROR(IF($A$1=2,INDEX($DH$3:$DN$401,MATCH(ROWS(E$3:E343),$DN$3:$DN$401,0),COLUMN()),IF($A$1=1,INDEX($DQ$3:$DW$401,MATCH(ROWS(E$3:E343),$DW$3:$DW$401,0),COLUMN()),"")),"")</f>
        <v/>
      </c>
      <c r="F343" s="48" t="str">
        <f ca="1">IFERROR(IF($A$1=2,INDEX($DH$3:$DN$401,MATCH(ROWS(F$3:F343),$DN$3:$DN$401,0),COLUMN()),IF($A$1=1,INDEX($DQ$3:$DX$401,MATCH(ROWS(F$3:F343),$DW$3:$DW$401,0),COLUMN()),"")),"")</f>
        <v/>
      </c>
      <c r="G343" s="48" t="str">
        <f t="shared" ca="1" si="650"/>
        <v/>
      </c>
      <c r="H343" s="48" t="str">
        <f ca="1">IFERROR(IF($A$1=2,INDEX($DH$3:$DO$400,MATCH(ROWS(H$3:H343),$DN$3:$DN$400,0),COLUMN()),IF($A$1=1,INDEX($DQ$3:$DX$400,MATCH(ROWS(H$3:H343),$DW$3:$DW$400,0),COLUMN()),"")),"")</f>
        <v/>
      </c>
      <c r="M343" s="48">
        <f ca="1">IFERROR(IF(IF(MID($A343,3,3)=".00",MID(A343,1,2),"")&lt;&gt;"",MAX($M$2:M342)+1,0),"")</f>
        <v>0</v>
      </c>
      <c r="N343" s="48" t="str">
        <f t="shared" ca="1" si="651"/>
        <v/>
      </c>
      <c r="O343" s="48" t="str">
        <f ca="1">IF(IFERROR(INDEX($N$3:$O$300,MATCH(ROWS($O$3:O343),$M$3:$M$300,0),1),"")&lt;&gt;"",CONCATENATE(INDEX($N$3:$O$300,MATCH(ROWS($O$3:O343),$M$3:$M$300,0),1),".00"),"")</f>
        <v/>
      </c>
      <c r="P343" s="48" t="str">
        <f t="shared" ca="1" si="652"/>
        <v/>
      </c>
      <c r="Q343" s="48">
        <f ca="1">IF(M343&gt;=1,0,MAX($Q$2:Q342)+1)</f>
        <v>304</v>
      </c>
      <c r="U343" s="48" t="str">
        <f ca="1">IFERROR(INDEX(PDC,MATCH(ROWS(U$3:U343),$V$3:$V$400,0),2),"")</f>
        <v/>
      </c>
      <c r="V343" s="48">
        <f ca="1">IF(AND($T$1="VISUALIZZA TUTTI I CONTI",AA343&lt;&gt;""),MAX($V$2:V342)+1,IF(AND($U$2=2,AI343=$T$1),MAX($V$2:V342)+1,IF(AND($U$2=1,$T$1=AF343),MAX($V$2:V342)+1,0)))</f>
        <v>0</v>
      </c>
      <c r="AA343" s="48" t="str">
        <f t="shared" ca="1" si="653"/>
        <v/>
      </c>
      <c r="AB343" s="48" t="str">
        <f ca="1">IFERROR(INDEX($A$3:$G$400,MATCH(ROWS(AB$3:AB343),$Q$3:$Q$400,0),1),"")</f>
        <v/>
      </c>
      <c r="AC343" s="48" t="str">
        <f ca="1">IFERROR(INDEX($A$3:$G$400,MATCH(ROWS($AC$3:AC343),$Q$3:$Q$400,0),2),"")</f>
        <v/>
      </c>
      <c r="AD343" s="48">
        <f ca="1">IFERROR(INDEX($A$3:$G$400,MATCH(ROWS(AD$3:AD343),$Q$3:$Q$400,0),3),"")</f>
        <v>0</v>
      </c>
      <c r="AE343" s="48" t="str">
        <f ca="1">IFERROR(INDEX($A$3:$G$400,MATCH(ROWS(AE$3:AE343),$Q$3:$Q$400,0),4),"")</f>
        <v/>
      </c>
      <c r="AF343" s="48" t="str">
        <f ca="1">IFERROR(INDEX($A$3:$G$400,MATCH(ROWS(AF$3:AF343),$Q$3:$Q$400,0),5),"")</f>
        <v/>
      </c>
      <c r="AG343" s="48" t="str">
        <f ca="1">IFERROR(INDEX($A$3:$G$400,MATCH(ROWS(AG$3:AG343),$Q$3:$Q$400,0),6),"")</f>
        <v/>
      </c>
      <c r="AH343" s="48" t="str">
        <f ca="1">IFERROR(INDEX($A$3:$G$400,MATCH(ROWS(AH$3:AH343),$Q$3:$Q$400,0),7),"")</f>
        <v/>
      </c>
      <c r="AI343" s="48" t="str">
        <f t="shared" ca="1" si="654"/>
        <v/>
      </c>
      <c r="AJ343" s="48" t="str">
        <f ca="1">IFERROR(INDEX($A$3:$H$400,MATCH(ROWS(AJ$3:AJ343),$Q$3:$Q$400,0),8),"")</f>
        <v/>
      </c>
      <c r="AZ343" s="48" t="str">
        <f t="shared" ca="1" si="669"/>
        <v/>
      </c>
      <c r="BA343" s="48">
        <f t="shared" ca="1" si="611"/>
        <v>0</v>
      </c>
      <c r="BB343" s="48">
        <f t="shared" ca="1" si="612"/>
        <v>0</v>
      </c>
      <c r="BC343" s="48">
        <f t="shared" ca="1" si="613"/>
        <v>0</v>
      </c>
      <c r="BD343" s="48">
        <f t="shared" ca="1" si="614"/>
        <v>0</v>
      </c>
      <c r="BE343" s="48">
        <f t="shared" ca="1" si="615"/>
        <v>0</v>
      </c>
      <c r="BF343" s="48">
        <f t="shared" si="670"/>
        <v>143</v>
      </c>
      <c r="BG343" s="48">
        <f ca="1">IF(IF(AND(OR(INDEX(PDC,MATCH($AC343,DEN_PDC,0),6)="SP DARE",INDEX(PDC,MATCH($AC343,DEN_PDC,0),6)="SP DARE/AVERE"),SUMIFS(DARE,DEN_G,$AC343)&gt;=SUMIFS(AVERE,DEN_G,$AC343)),SUMIFS(DARE,DEN_G,$AC343)-SUMIFS(AVERE,DEN_G,$AC343),0)&gt;0,MAX($BG$2:BG342)+1,0)</f>
        <v>0</v>
      </c>
      <c r="BH343" s="48">
        <f ca="1">IF(IF(AND(OR(INDEX(PDC,MATCH($AC343,DEN_PDC,0),6)="SP AVERE",INDEX(PDC,MATCH($AC343,DEN_PDC,0),6)="SP DARE/AVERE"),SUMIFS(AVERE,DEN_G,$AC343)&gt;=SUMIFS(DARE,DEN_G,$AC343)),SUMIFS(AVERE,DEN_G,$AC343)-SUMIFS(DARE,DEN_G,$AC343),0)&gt;0,MAX(BH$2:BH342)+1,0)</f>
        <v>0</v>
      </c>
      <c r="BI343" s="48">
        <f ca="1">IF(IF(AND(OR(INDEX(PDC,MATCH($AC343,DEN_PDC,0),6)="SE DARE",INDEX(PDC,MATCH($AC343,DEN_PDC,0),6)="SE DARE/AVERE"),SUMIFS(DARE,DEN_G,$AC343)&gt;=SUMIFS(AVERE,DEN_G,$AC343)),SUMIFS(DARE,DEN_G,$AC343)-SUMIFS(AVERE,DEN_G,$AC343),0)&gt;0,MAX(BI$2:BI342)+1,0)</f>
        <v>0</v>
      </c>
      <c r="BJ343" s="48">
        <f ca="1">IF(IF(AND(OR(INDEX(PDC,MATCH($AC343,DEN_PDC,0),6)="SE AVERE",INDEX(PDC,MATCH($AC343,DEN_PDC,0),6)="SE DARE/AVERE"),SUMIFS(AVERE,DEN_G,$AC343)&gt;=SUMIFS(DARE,DEN_G,$AC343)),SUMIFS(AVERE,DEN_G,$AC343)-SUMIFS(DARE,DEN_G,$AC343),0)&gt;0,MAX(BJ$2:BJ342)+1,0)</f>
        <v>0</v>
      </c>
      <c r="BK343" s="48" t="str">
        <f ca="1">IF(AND(AND($DY$2=0,$DY$1=0),$I$1=2,ROW()&gt;$BG$1+2,ROW()&lt;=$BG$1+4),"………………..",IF(AND(OR($DY$2&gt;0,$DY$1&gt;0),$I$1=2,ROW()&gt;$BG$1+2,ROW()&lt;=$BG$1+4),"………………..",IFERROR(INDEX($AC$3:$AC$398,MATCH(ROWS(BK$3:BK343),BG$3:BG$398,0),1),"")))</f>
        <v/>
      </c>
      <c r="BL343" s="48">
        <f t="shared" ca="1" si="637"/>
        <v>0</v>
      </c>
      <c r="BM343" s="48" t="str">
        <f ca="1">IF(AND(OR($DY$2=0,$DY$1=0),$I$1=2,ROW()&gt;$BH$1+2,ROW()&lt;=$BH$1+4),"………………..",IF(AND(OR($DY$2&gt;0,$DY$1&gt;0),$I$1=2,ROW()&gt;$BH$1+2,ROW()&lt;=$BH$1+4),"………………..",IFERROR(INDEX($AC$3:$AC$400,MATCH(ROWS(BM$3:BM343),BH$3:BH$400,0),1),"")))</f>
        <v/>
      </c>
      <c r="BN343" s="48">
        <f t="shared" ca="1" si="638"/>
        <v>0</v>
      </c>
      <c r="BO343" s="48" t="str">
        <f ca="1">IF(AND(OR($DY$2=0,$DY$1=0),$I$1=2,ROW()&gt;$BI$1+2,ROW()&lt;=$BI$1+4),"………………..",IF(AND(OR($DY$2&gt;0,$DY$1&gt;0),$I$1=2,ROW()&gt;$BI$1+2,ROW()&lt;=$BI$1+4),"………………..",IFERROR(INDEX($AC$3:$AC$400,MATCH(ROWS(BO$3:BO343),BI$3:BI$400,0),1),"")))</f>
        <v/>
      </c>
      <c r="BP343" s="48">
        <f t="shared" ca="1" si="639"/>
        <v>0</v>
      </c>
      <c r="BQ343" s="48" t="str">
        <f ca="1">IF(AND(OR($DY$2=0,$DY$1=0),$I$1=2,ROW()&gt;$BJ$1+2,ROW()&lt;=$BJ$1+4),"………………..",IF(AND(OR($DY$2&gt;0,$DY$1&gt;0),$I$1=2,ROW()&gt;$BJ$1+2,ROW()&lt;=$BJ$1+4),"………………..",IFERROR(INDEX($AC$3:$AC$400,MATCH(ROWS(BQ$3:BQ343),BJ$3:BJ$400,0),1),"")))</f>
        <v/>
      </c>
      <c r="BR343" s="48">
        <f t="shared" ca="1" si="640"/>
        <v>0</v>
      </c>
      <c r="BS343" s="48">
        <f ca="1">IF(IF(AND(OR(INDEX(PDC,MATCH($AC343,DEN_PDC,0),4)="D",INDEX(PDC,MATCH($AC343,DEN_PDC,0),4)="D/A"),SUMIFS(DARE,DEN_G,$AC343)&gt;=SUMIFS(AVERE,DEN_G,$AC343)),SUMIFS(DARE,DEN_G,$AC343),IF(AND(OR(INDEX(PDC,MATCH($AC343,DEN_PDC,0),4)="A",INDEX(PDC,MATCH($AC343,DEN_PDC,0),4)="D/A"),SUMIFS(AVERE,DEN_G,$AC343)&gt;=SUMIFS(DARE,DEN_G,$AC343)),SUMIFS(AVERE,DEN_G,$AC343),))&gt;0,MAX($BS$2:BS342)+1,0)</f>
        <v>0</v>
      </c>
      <c r="BT343" s="48" t="str">
        <f ca="1">IF($CO$1=0,"",IF(AND($I$1=2,ROW()&gt;$BR$1,ROW()&lt;=$BS$1)," …………….",IF(AND($E$1=1,$BX$1=1,$I$1=2,ROW()=$BQ$1),"TOTALI",IFERROR(INDEX(PDC,MATCH(ROWS(BT$3:BT343),BS$3:BS740,0),2),""))))</f>
        <v/>
      </c>
      <c r="BU343" s="48">
        <f t="shared" ca="1" si="641"/>
        <v>0</v>
      </c>
      <c r="BV343" s="48">
        <f t="shared" ca="1" si="642"/>
        <v>0</v>
      </c>
      <c r="BW343" s="48">
        <f t="shared" ca="1" si="643"/>
        <v>0</v>
      </c>
      <c r="BX343" s="48">
        <f t="shared" ca="1" si="644"/>
        <v>0</v>
      </c>
      <c r="BY343" s="48">
        <f ca="1">IF(OR(BW343&gt;0,BX343&gt;0),MAX($BY$2:BY342)+1,0)</f>
        <v>0</v>
      </c>
      <c r="BZ343" s="48" t="str">
        <f ca="1">IFERROR(INDEX($BT$3:$BY$400,MATCH(ROWS(BZ$3:BZ343),$BY$3:$BY$400,0),1),"")</f>
        <v/>
      </c>
      <c r="CA343" s="48" t="str">
        <f ca="1">IFERROR(INDEX($BT$3:$BY$400,MATCH(ROWS(CA$3:CA343),$BY$3:$BY$400,0),4),"")</f>
        <v/>
      </c>
      <c r="CB343" s="48" t="str">
        <f ca="1">IFERROR(INDEX($BT$3:$BY$400,MATCH(ROWS(CB$3:CB343),$BY$3:$BY$400,0),5),"")</f>
        <v/>
      </c>
      <c r="CC343" s="48" t="str">
        <f t="shared" ca="1" si="645"/>
        <v/>
      </c>
      <c r="CM343" s="242" t="str">
        <f t="shared" ca="1" si="655"/>
        <v/>
      </c>
      <c r="CN343" s="243">
        <f t="shared" ca="1" si="656"/>
        <v>0</v>
      </c>
      <c r="CO343" s="48" t="str">
        <f t="shared" ca="1" si="657"/>
        <v/>
      </c>
      <c r="CU343" s="48">
        <f ca="1">IF(SUMIFS(AVERE,DEN_G,AC343,AVERE,"&gt;"&amp;0)+SUMIFS(DARE,DEN_G,AC343,DARE,"&gt;"&amp;0)&gt;0,MAX($CU$2:CU342)+1,0)</f>
        <v>0</v>
      </c>
      <c r="CV343" s="48" t="str">
        <f ca="1">IF(IFERROR(INDEX(PDC,MATCH(ROWS($CV$3:CV343),$CU$3:$CU$400,0),2),"")="CONTO DI RISULTATO ECONOMICO","",IFERROR(INDEX(PDC,MATCH(ROWS($CV$3:CV343),$CU$3:$CU$400,0),2),""))</f>
        <v/>
      </c>
      <c r="CW343" s="48">
        <f ca="1">IFERROR(IF(CV343&lt;&gt;"",MAX($CW$2:CW342)+1,0),0)</f>
        <v>0</v>
      </c>
      <c r="CX343" s="48">
        <f t="shared" ca="1" si="679"/>
        <v>27</v>
      </c>
      <c r="CY343" s="48" t="str">
        <f t="shared" ca="1" si="678"/>
        <v>MASTRO</v>
      </c>
      <c r="CZ343" s="48" t="e">
        <f t="shared" ref="CZ343:CZ352" ca="1" si="681">SUM(MATCH($CY343,INDIRECT(ADDRESS(SUM(CZ342)+3,54)&amp;":"&amp;ADDRESS(400,54)),0),CZ342)</f>
        <v>#N/A</v>
      </c>
      <c r="DA343" s="48" t="str">
        <f ca="1">IFERROR(INDEX(LIBRO_GIORNALE,CZ343,1),"")</f>
        <v/>
      </c>
      <c r="DB343" s="48" t="str">
        <f t="shared" ref="DB343:DB404" ca="1" si="682">IF(RIGHT(TEXT(IFERROR(INDEX(LIBRO_GIORNALE,CZ343,2),""),"gg/mm/aa"),1)="a",TEXT(IFERROR(INDEX(LIBRO_GIORNALE,CZ343,2),""),"dd/mm/yy"),TEXT(IFERROR(INDEX(LIBRO_GIORNALE,CZ343,2),""),"gg/mm/aa"))</f>
        <v/>
      </c>
      <c r="DC343" s="48" t="str">
        <f t="shared" ref="DC343:DC352" ca="1" si="683">IF(IFERROR(INDEX(LIBRO_GIORNALE,CZ343,4),"")=0,"manca la descrizione dell'operazione",IFERROR(INDEX(LIBRO_GIORNALE,CZ343,4),""))</f>
        <v/>
      </c>
      <c r="DD343" s="48" t="str">
        <f t="shared" ref="DD343:DD352" ca="1" si="684">IFERROR(IF(INDEX(LIBRO_GIORNALE,CZ343,5)&gt;0,INDEX(LIBRO_GIORNALE,CZ343,5),""),"")</f>
        <v/>
      </c>
      <c r="DE343" s="48" t="str">
        <f t="shared" ref="DE343:DE352" ca="1" si="685">IFERROR(IF(INDEX(LIBRO_GIORNALE,CZ343,6)&gt;0,INDEX(LIBRO_GIORNALE,CZ343,6),""),"")</f>
        <v/>
      </c>
      <c r="DF343" s="48">
        <f ca="1">IF(AND(CX343=$DF$1,CX343&lt;&gt;""),0,IF(AND(DB343&lt;&gt;"",OR(DB342&lt;&gt;"",DB344&lt;&gt;"")),MAX($DF$2:DF342)+1,0))</f>
        <v>0</v>
      </c>
      <c r="DH343" s="244" t="s">
        <v>908</v>
      </c>
      <c r="DI343" s="48" t="s">
        <v>244</v>
      </c>
      <c r="DJ343" s="48" t="s">
        <v>311</v>
      </c>
      <c r="DK343" s="48" t="s">
        <v>275</v>
      </c>
      <c r="DL343" s="48" t="s">
        <v>7</v>
      </c>
      <c r="DM343" s="48" t="s">
        <v>301</v>
      </c>
      <c r="DN343" s="48">
        <f ca="1">IF(DI343&lt;&gt;"",MAX($DN$2:DN342)+1,0)</f>
        <v>273</v>
      </c>
      <c r="DO343" s="48" t="s">
        <v>719</v>
      </c>
      <c r="DW343" s="48">
        <f>IF(DR343&lt;&gt;"",MAX($DW$2:DW342)+1,0)</f>
        <v>0</v>
      </c>
      <c r="DY343" s="48" t="str">
        <f t="shared" ca="1" si="647"/>
        <v/>
      </c>
      <c r="EL343" s="48">
        <f t="shared" ca="1" si="648"/>
        <v>0</v>
      </c>
      <c r="EM343" s="48">
        <f ca="1">IF(EL343&gt;=0,0,MAX($EM$2:EM342)+1)</f>
        <v>0</v>
      </c>
      <c r="EN343" s="48" t="str">
        <f t="shared" ca="1" si="658"/>
        <v/>
      </c>
      <c r="EO343" s="48" t="str">
        <f ca="1">IFERROR(INDEX($EM$3:$EN$400,MATCH(ROWS($EO$3:EO343),$EM$3:$EM$400,0),2),"")</f>
        <v/>
      </c>
      <c r="EP343" s="48">
        <f>ROW()</f>
        <v>343</v>
      </c>
      <c r="EQ343" s="48">
        <f t="shared" ca="1" si="649"/>
        <v>0</v>
      </c>
      <c r="ER343" s="48">
        <f ca="1">IF(ISNA(EQ343)=TRUE,MAX($ER$2:ER342)+1,0)</f>
        <v>0</v>
      </c>
      <c r="ES343" s="48" t="str">
        <f t="shared" ca="1" si="659"/>
        <v/>
      </c>
      <c r="ET343" s="48" t="str">
        <f ca="1">IFERROR(INDEX($ER$3:$ES$400,MATCH(ROWS($ET$3:ET343),$ER$3:$ER$400,0),2),"")</f>
        <v/>
      </c>
      <c r="EV343" s="48">
        <f ca="1">IFERROR(INDEX(LIBRO_GIORNALE!$O$11:$P$408,MATCH(ROWS($EV$2:EV342),LIBRO_GIORNALE!$P$11:$P$408,0),1),0)</f>
        <v>0</v>
      </c>
      <c r="EW343" s="48" t="str">
        <f t="shared" ca="1" si="629"/>
        <v>0</v>
      </c>
      <c r="EX343" s="48">
        <f t="shared" ca="1" si="660"/>
        <v>0</v>
      </c>
      <c r="EY343" s="48">
        <f ca="1">IF(EX343&gt;0,MAX($EY$2:EY342)+1,0)</f>
        <v>0</v>
      </c>
      <c r="EZ343" s="48">
        <f ca="1">IFERROR(INDEX($EX$3:$EX$400,MATCH(ROWS($EZ$3:EZ343),$EY$3:$EY$400,0),1),0)</f>
        <v>0</v>
      </c>
      <c r="FA343" s="48">
        <f ca="1">IF(EZ343&gt;0,0,MAX($FA$2:FA342)+1)</f>
        <v>341</v>
      </c>
      <c r="FB343" s="48">
        <f t="shared" ca="1" si="630"/>
        <v>0</v>
      </c>
      <c r="FC343" s="48">
        <f t="shared" ca="1" si="631"/>
        <v>341</v>
      </c>
      <c r="FD343" s="48">
        <f t="shared" ca="1" si="661"/>
        <v>341</v>
      </c>
      <c r="FE343" s="48">
        <f ca="1">IF(FD343=0,0,MAX($FE$2:FE342)+1)</f>
        <v>341</v>
      </c>
      <c r="FF343" s="48">
        <f ca="1">IFERROR(INDEX($FD$3:$FE$400,MATCH(ROWS($FF$3:FF343),$FE$3:$FE$400,0),1),"")</f>
        <v>341</v>
      </c>
      <c r="FG343" s="48">
        <f t="shared" si="610"/>
        <v>0</v>
      </c>
      <c r="FH343" s="48">
        <f t="shared" ca="1" si="662"/>
        <v>0</v>
      </c>
      <c r="FI343" s="48">
        <f ca="1">IF(FH343&lt;&gt;0,MAX($FI$2:FI342)+1,0)</f>
        <v>0</v>
      </c>
      <c r="FJ343" s="48" t="str">
        <f ca="1">IFERROR(INDEX($FH$3:$FI$400,MATCH(ROWS($FJ$3:FJ343),$FI$3:$FI$400,0),1),"")</f>
        <v/>
      </c>
      <c r="FK343" s="48">
        <f ca="1">IF(ABS(SUMIFS(DARE,DEN_G,"="&amp;FJ343,DATA,"&lt;="&amp;FINE_AC,DATA,"&gt;="&amp;INIZIO_A_PC)-SUMIFS(AVERE,DEN_G,"="&amp;FJ343,DATA,"&lt;="&amp;FINE_AC,DATA,"&gt;="&amp;INIZIO_A_PC))&gt;0,MAX($FK$2:FK342)+1,0)</f>
        <v>0</v>
      </c>
      <c r="FL343" s="48" t="str">
        <f ca="1">IF(AND(ROW()-2&lt;&gt;1,ROW()-2&lt;=$FK$1),CONCATENATE(" - ",IFERROR(INDEX($FJ$3:$FK$400,MATCH(ROWS($FL$3:FL343),$FK$3:$FK$400,0),1),"")),IFERROR(INDEX($FJ$3:$FK$400,MATCH(ROWS($FL$3:FL343),$FK$3:$FK$400,0),1),""))</f>
        <v/>
      </c>
      <c r="FM343" s="48">
        <f ca="1">IF(OR(B343="IVA ns/credito",B343="IVA NS/DEBITO",B343="IVA C/ACCONTO",B343="IMPOSTE C/ACCONTO",B343="CREDITI PER RITENUTE SUBITE",B343="CREDITI D'IMPOSTA"),MAX($FM$2:FM342)+1,0)</f>
        <v>0</v>
      </c>
      <c r="FN343" s="48" t="str">
        <f t="shared" ca="1" si="663"/>
        <v/>
      </c>
      <c r="FO343" s="48" t="str">
        <f ca="1">IFERROR(INDEX($FM$3:$FN$400,MATCH(ROWS($FO$3:FO343),$FM$3:$FM$400,0),2),"")</f>
        <v/>
      </c>
      <c r="FP343" s="48">
        <f ca="1">IF(ABS(SUMIFS(DARE,DEN_G,"="&amp;FO343,DATA,"&lt;="&amp;FINE_AC,DATA,"&gt;="&amp;INIZIO_A_PC)-SUMIFS(AVERE,DEN_G,"="&amp;FO343,DATA,"&lt;="&amp;FINE_AC,DATA,"&gt;="&amp;INIZIO_A_PC))&gt;0,MAX($FP$2:FP342)+1,0)</f>
        <v>0</v>
      </c>
      <c r="FQ343" s="48" t="str">
        <f ca="1">IF(AND(ROW()-2&lt;&gt;1,ROW()-2&lt;=$FP$1),CONCATENATE(" - ",IFERROR(INDEX($FO$3:$FP$400,MATCH(ROWS($FQ$3:FQ343),$FP$3:$FP$400,0),1),"")),IFERROR(INDEX($FO$3:$FP$400,MATCH(ROWS($FQ$3:FQ343),$FP$3:$FP$400,0),1),""))</f>
        <v/>
      </c>
    </row>
    <row r="344" spans="1:173" x14ac:dyDescent="0.3">
      <c r="A344" s="48" t="str">
        <f ca="1">IFERROR(IF($A$1=2,INDEX($DH$3:$DN$401,MATCH(ROWS(A$3:A344),$DN$3:$DN$401,0),COLUMN()),IF($A$1=1,INDEX($DQ$3:$DW$401,MATCH(ROWS(A$3:A344),$DW$3:$DW$401,0),COLUMN()),"")),"")</f>
        <v/>
      </c>
      <c r="B344" s="48" t="str">
        <f ca="1">IFERROR(IF($A$1=2,INDEX($DH$3:$DN$400,MATCH(ROWS(B$3:B344),$DN$3:$DN$400,0),COLUMN()),IF($A$1=1,INDEX($DQ$3:$DW$400,MATCH(ROWS(B$3:B344),$DW$3:$DW$400,0),COLUMN()),"")),"")</f>
        <v/>
      </c>
      <c r="D344" s="48" t="str">
        <f ca="1">IFERROR(IF($A$1=2,INDEX($DH$3:$DN$401,MATCH(ROWS(D$3:D344),$DN$3:$DN$401,0),COLUMN()),IF($A$1=1,INDEX($DQ$3:$DW$401,MATCH(ROWS(D$3:D344),$DW$3:$DW$401,0),COLUMN()),"")),"")</f>
        <v/>
      </c>
      <c r="E344" s="48" t="str">
        <f ca="1">IFERROR(IF($A$1=2,INDEX($DH$3:$DN$401,MATCH(ROWS(E$3:E344),$DN$3:$DN$401,0),COLUMN()),IF($A$1=1,INDEX($DQ$3:$DW$401,MATCH(ROWS(E$3:E344),$DW$3:$DW$401,0),COLUMN()),"")),"")</f>
        <v/>
      </c>
      <c r="F344" s="48" t="str">
        <f ca="1">IFERROR(IF($A$1=2,INDEX($DH$3:$DN$401,MATCH(ROWS(F$3:F344),$DN$3:$DN$401,0),COLUMN()),IF($A$1=1,INDEX($DQ$3:$DX$401,MATCH(ROWS(F$3:F344),$DW$3:$DW$401,0),COLUMN()),"")),"")</f>
        <v/>
      </c>
      <c r="G344" s="48" t="str">
        <f t="shared" ca="1" si="650"/>
        <v/>
      </c>
      <c r="H344" s="48" t="str">
        <f ca="1">IFERROR(IF($A$1=2,INDEX($DH$3:$DO$400,MATCH(ROWS(H$3:H344),$DN$3:$DN$400,0),COLUMN()),IF($A$1=1,INDEX($DQ$3:$DX$400,MATCH(ROWS(H$3:H344),$DW$3:$DW$400,0),COLUMN()),"")),"")</f>
        <v/>
      </c>
      <c r="M344" s="48">
        <f ca="1">IFERROR(IF(IF(MID($A344,3,3)=".00",MID(A344,1,2),"")&lt;&gt;"",MAX($M$2:M343)+1,0),"")</f>
        <v>0</v>
      </c>
      <c r="N344" s="48" t="str">
        <f t="shared" ca="1" si="651"/>
        <v/>
      </c>
      <c r="O344" s="48" t="str">
        <f ca="1">IF(IFERROR(INDEX($N$3:$O$300,MATCH(ROWS($O$3:O344),$M$3:$M$300,0),1),"")&lt;&gt;"",CONCATENATE(INDEX($N$3:$O$300,MATCH(ROWS($O$3:O344),$M$3:$M$300,0),1),".00"),"")</f>
        <v/>
      </c>
      <c r="P344" s="48" t="str">
        <f t="shared" ca="1" si="652"/>
        <v/>
      </c>
      <c r="Q344" s="48">
        <f ca="1">IF(M344&gt;=1,0,MAX($Q$2:Q343)+1)</f>
        <v>305</v>
      </c>
      <c r="U344" s="48" t="str">
        <f ca="1">IFERROR(INDEX(PDC,MATCH(ROWS(U$3:U344),$V$3:$V$400,0),2),"")</f>
        <v/>
      </c>
      <c r="V344" s="48">
        <f ca="1">IF(AND($T$1="VISUALIZZA TUTTI I CONTI",AA344&lt;&gt;""),MAX($V$2:V343)+1,IF(AND($U$2=2,AI344=$T$1),MAX($V$2:V343)+1,IF(AND($U$2=1,$T$1=AF344),MAX($V$2:V343)+1,0)))</f>
        <v>0</v>
      </c>
      <c r="AA344" s="48" t="str">
        <f t="shared" ca="1" si="653"/>
        <v/>
      </c>
      <c r="AB344" s="48" t="str">
        <f ca="1">IFERROR(INDEX($A$3:$G$400,MATCH(ROWS(AB$3:AB344),$Q$3:$Q$400,0),1),"")</f>
        <v/>
      </c>
      <c r="AC344" s="48" t="str">
        <f ca="1">IFERROR(INDEX($A$3:$G$400,MATCH(ROWS($AC$3:AC344),$Q$3:$Q$400,0),2),"")</f>
        <v/>
      </c>
      <c r="AD344" s="48">
        <f ca="1">IFERROR(INDEX($A$3:$G$400,MATCH(ROWS(AD$3:AD344),$Q$3:$Q$400,0),3),"")</f>
        <v>0</v>
      </c>
      <c r="AE344" s="48" t="str">
        <f ca="1">IFERROR(INDEX($A$3:$G$400,MATCH(ROWS(AE$3:AE344),$Q$3:$Q$400,0),4),"")</f>
        <v/>
      </c>
      <c r="AF344" s="48" t="str">
        <f ca="1">IFERROR(INDEX($A$3:$G$400,MATCH(ROWS(AF$3:AF344),$Q$3:$Q$400,0),5),"")</f>
        <v/>
      </c>
      <c r="AG344" s="48" t="str">
        <f ca="1">IFERROR(INDEX($A$3:$G$400,MATCH(ROWS(AG$3:AG344),$Q$3:$Q$400,0),6),"")</f>
        <v/>
      </c>
      <c r="AH344" s="48" t="str">
        <f ca="1">IFERROR(INDEX($A$3:$G$400,MATCH(ROWS(AH$3:AH344),$Q$3:$Q$400,0),7),"")</f>
        <v/>
      </c>
      <c r="AI344" s="48" t="str">
        <f t="shared" ca="1" si="654"/>
        <v/>
      </c>
      <c r="AJ344" s="48" t="str">
        <f ca="1">IFERROR(INDEX($A$3:$H$400,MATCH(ROWS(AJ$3:AJ344),$Q$3:$Q$400,0),8),"")</f>
        <v/>
      </c>
      <c r="AZ344" s="48" t="str">
        <f t="shared" ca="1" si="669"/>
        <v/>
      </c>
      <c r="BA344" s="48">
        <f t="shared" ca="1" si="611"/>
        <v>0</v>
      </c>
      <c r="BB344" s="48">
        <f t="shared" ca="1" si="612"/>
        <v>0</v>
      </c>
      <c r="BC344" s="48">
        <f t="shared" ca="1" si="613"/>
        <v>0</v>
      </c>
      <c r="BD344" s="48">
        <f t="shared" ca="1" si="614"/>
        <v>0</v>
      </c>
      <c r="BE344" s="48">
        <f t="shared" ca="1" si="615"/>
        <v>0</v>
      </c>
      <c r="BF344" s="48">
        <f t="shared" si="670"/>
        <v>144</v>
      </c>
      <c r="BG344" s="48">
        <f ca="1">IF(IF(AND(OR(INDEX(PDC,MATCH($AC344,DEN_PDC,0),6)="SP DARE",INDEX(PDC,MATCH($AC344,DEN_PDC,0),6)="SP DARE/AVERE"),SUMIFS(DARE,DEN_G,$AC344)&gt;=SUMIFS(AVERE,DEN_G,$AC344)),SUMIFS(DARE,DEN_G,$AC344)-SUMIFS(AVERE,DEN_G,$AC344),0)&gt;0,MAX($BG$2:BG343)+1,0)</f>
        <v>0</v>
      </c>
      <c r="BH344" s="48">
        <f ca="1">IF(IF(AND(OR(INDEX(PDC,MATCH($AC344,DEN_PDC,0),6)="SP AVERE",INDEX(PDC,MATCH($AC344,DEN_PDC,0),6)="SP DARE/AVERE"),SUMIFS(AVERE,DEN_G,$AC344)&gt;=SUMIFS(DARE,DEN_G,$AC344)),SUMIFS(AVERE,DEN_G,$AC344)-SUMIFS(DARE,DEN_G,$AC344),0)&gt;0,MAX(BH$2:BH343)+1,0)</f>
        <v>0</v>
      </c>
      <c r="BI344" s="48">
        <f ca="1">IF(IF(AND(OR(INDEX(PDC,MATCH($AC344,DEN_PDC,0),6)="SE DARE",INDEX(PDC,MATCH($AC344,DEN_PDC,0),6)="SE DARE/AVERE"),SUMIFS(DARE,DEN_G,$AC344)&gt;=SUMIFS(AVERE,DEN_G,$AC344)),SUMIFS(DARE,DEN_G,$AC344)-SUMIFS(AVERE,DEN_G,$AC344),0)&gt;0,MAX(BI$2:BI343)+1,0)</f>
        <v>0</v>
      </c>
      <c r="BJ344" s="48">
        <f ca="1">IF(IF(AND(OR(INDEX(PDC,MATCH($AC344,DEN_PDC,0),6)="SE AVERE",INDEX(PDC,MATCH($AC344,DEN_PDC,0),6)="SE DARE/AVERE"),SUMIFS(AVERE,DEN_G,$AC344)&gt;=SUMIFS(DARE,DEN_G,$AC344)),SUMIFS(AVERE,DEN_G,$AC344)-SUMIFS(DARE,DEN_G,$AC344),0)&gt;0,MAX(BJ$2:BJ343)+1,0)</f>
        <v>0</v>
      </c>
      <c r="BK344" s="48" t="str">
        <f ca="1">IF(AND(AND($DY$2=0,$DY$1=0),$I$1=2,ROW()&gt;$BG$1+2,ROW()&lt;=$BG$1+4),"………………..",IF(AND(OR($DY$2&gt;0,$DY$1&gt;0),$I$1=2,ROW()&gt;$BG$1+2,ROW()&lt;=$BG$1+4),"………………..",IFERROR(INDEX($AC$3:$AC$398,MATCH(ROWS(BK$3:BK344),BG$3:BG$398,0),1),"")))</f>
        <v/>
      </c>
      <c r="BL344" s="48">
        <f t="shared" ca="1" si="637"/>
        <v>0</v>
      </c>
      <c r="BM344" s="48" t="str">
        <f ca="1">IF(AND(OR($DY$2=0,$DY$1=0),$I$1=2,ROW()&gt;$BH$1+2,ROW()&lt;=$BH$1+4),"………………..",IF(AND(OR($DY$2&gt;0,$DY$1&gt;0),$I$1=2,ROW()&gt;$BH$1+2,ROW()&lt;=$BH$1+4),"………………..",IFERROR(INDEX($AC$3:$AC$400,MATCH(ROWS(BM$3:BM344),BH$3:BH$400,0),1),"")))</f>
        <v/>
      </c>
      <c r="BN344" s="48">
        <f t="shared" ca="1" si="638"/>
        <v>0</v>
      </c>
      <c r="BO344" s="48" t="str">
        <f ca="1">IF(AND(OR($DY$2=0,$DY$1=0),$I$1=2,ROW()&gt;$BI$1+2,ROW()&lt;=$BI$1+4),"………………..",IF(AND(OR($DY$2&gt;0,$DY$1&gt;0),$I$1=2,ROW()&gt;$BI$1+2,ROW()&lt;=$BI$1+4),"………………..",IFERROR(INDEX($AC$3:$AC$400,MATCH(ROWS(BO$3:BO344),BI$3:BI$400,0),1),"")))</f>
        <v/>
      </c>
      <c r="BP344" s="48">
        <f t="shared" ca="1" si="639"/>
        <v>0</v>
      </c>
      <c r="BQ344" s="48" t="str">
        <f ca="1">IF(AND(OR($DY$2=0,$DY$1=0),$I$1=2,ROW()&gt;$BJ$1+2,ROW()&lt;=$BJ$1+4),"………………..",IF(AND(OR($DY$2&gt;0,$DY$1&gt;0),$I$1=2,ROW()&gt;$BJ$1+2,ROW()&lt;=$BJ$1+4),"………………..",IFERROR(INDEX($AC$3:$AC$400,MATCH(ROWS(BQ$3:BQ344),BJ$3:BJ$400,0),1),"")))</f>
        <v/>
      </c>
      <c r="BR344" s="48">
        <f t="shared" ca="1" si="640"/>
        <v>0</v>
      </c>
      <c r="BS344" s="48">
        <f ca="1">IF(IF(AND(OR(INDEX(PDC,MATCH($AC344,DEN_PDC,0),4)="D",INDEX(PDC,MATCH($AC344,DEN_PDC,0),4)="D/A"),SUMIFS(DARE,DEN_G,$AC344)&gt;=SUMIFS(AVERE,DEN_G,$AC344)),SUMIFS(DARE,DEN_G,$AC344),IF(AND(OR(INDEX(PDC,MATCH($AC344,DEN_PDC,0),4)="A",INDEX(PDC,MATCH($AC344,DEN_PDC,0),4)="D/A"),SUMIFS(AVERE,DEN_G,$AC344)&gt;=SUMIFS(DARE,DEN_G,$AC344)),SUMIFS(AVERE,DEN_G,$AC344),))&gt;0,MAX($BS$2:BS343)+1,0)</f>
        <v>0</v>
      </c>
      <c r="BT344" s="48" t="str">
        <f ca="1">IF($CO$1=0,"",IF(AND($I$1=2,ROW()&gt;$BR$1,ROW()&lt;=$BS$1)," …………….",IF(AND($E$1=1,$BX$1=1,$I$1=2,ROW()=$BQ$1),"TOTALI",IFERROR(INDEX(PDC,MATCH(ROWS(BT$3:BT344),BS$3:BS741,0),2),""))))</f>
        <v/>
      </c>
      <c r="BU344" s="48">
        <f t="shared" ca="1" si="641"/>
        <v>0</v>
      </c>
      <c r="BV344" s="48">
        <f t="shared" ca="1" si="642"/>
        <v>0</v>
      </c>
      <c r="BW344" s="48">
        <f t="shared" ca="1" si="643"/>
        <v>0</v>
      </c>
      <c r="BX344" s="48">
        <f t="shared" ca="1" si="644"/>
        <v>0</v>
      </c>
      <c r="BY344" s="48">
        <f ca="1">IF(OR(BW344&gt;0,BX344&gt;0),MAX($BY$2:BY343)+1,0)</f>
        <v>0</v>
      </c>
      <c r="BZ344" s="48" t="str">
        <f ca="1">IFERROR(INDEX($BT$3:$BY$400,MATCH(ROWS(BZ$3:BZ344),$BY$3:$BY$400,0),1),"")</f>
        <v/>
      </c>
      <c r="CA344" s="48" t="str">
        <f ca="1">IFERROR(INDEX($BT$3:$BY$400,MATCH(ROWS(CA$3:CA344),$BY$3:$BY$400,0),4),"")</f>
        <v/>
      </c>
      <c r="CB344" s="48" t="str">
        <f ca="1">IFERROR(INDEX($BT$3:$BY$400,MATCH(ROWS(CB$3:CB344),$BY$3:$BY$400,0),5),"")</f>
        <v/>
      </c>
      <c r="CC344" s="48" t="str">
        <f t="shared" ca="1" si="645"/>
        <v/>
      </c>
      <c r="CM344" s="242" t="str">
        <f t="shared" ca="1" si="655"/>
        <v/>
      </c>
      <c r="CN344" s="243">
        <f t="shared" ca="1" si="656"/>
        <v>0</v>
      </c>
      <c r="CO344" s="48" t="str">
        <f t="shared" ca="1" si="657"/>
        <v/>
      </c>
      <c r="CU344" s="48">
        <f ca="1">IF(SUMIFS(AVERE,DEN_G,AC344,AVERE,"&gt;"&amp;0)+SUMIFS(DARE,DEN_G,AC344,DARE,"&gt;"&amp;0)&gt;0,MAX($CU$2:CU343)+1,0)</f>
        <v>0</v>
      </c>
      <c r="CV344" s="48" t="str">
        <f ca="1">IF(IFERROR(INDEX(PDC,MATCH(ROWS($CV$3:CV344),$CU$3:$CU$400,0),2),"")="CONTO DI RISULTATO ECONOMICO","",IFERROR(INDEX(PDC,MATCH(ROWS($CV$3:CV344),$CU$3:$CU$400,0),2),""))</f>
        <v/>
      </c>
      <c r="CW344" s="48">
        <f ca="1">IFERROR(IF(CV344&lt;&gt;"",MAX($CW$2:CW343)+1,0),0)</f>
        <v>0</v>
      </c>
      <c r="CX344" s="48">
        <f t="shared" ca="1" si="679"/>
        <v>27</v>
      </c>
      <c r="CY344" s="48" t="str">
        <f t="shared" ca="1" si="678"/>
        <v>MASTRO</v>
      </c>
      <c r="CZ344" s="48" t="e">
        <f t="shared" ca="1" si="681"/>
        <v>#N/A</v>
      </c>
      <c r="DA344" s="48" t="str">
        <f t="shared" ref="DA344:DA352" ca="1" si="686">IFERROR(INDEX(LIBRO_GIORNALE,CZ344,1),"")</f>
        <v/>
      </c>
      <c r="DB344" s="48" t="str">
        <f t="shared" ca="1" si="682"/>
        <v/>
      </c>
      <c r="DC344" s="48" t="str">
        <f t="shared" ca="1" si="683"/>
        <v/>
      </c>
      <c r="DD344" s="48" t="str">
        <f t="shared" ca="1" si="684"/>
        <v/>
      </c>
      <c r="DE344" s="48" t="str">
        <f t="shared" ca="1" si="685"/>
        <v/>
      </c>
      <c r="DF344" s="48">
        <f ca="1">IF(AND(CX344=$DF$1,CX344&lt;&gt;""),0,IF(AND(DB344&lt;&gt;"",OR(DB343&lt;&gt;"",DB345&lt;&gt;"")),MAX($DF$2:DF343)+1,0))</f>
        <v>0</v>
      </c>
      <c r="DH344" s="244" t="s">
        <v>942</v>
      </c>
      <c r="DI344" s="48" t="s">
        <v>452</v>
      </c>
      <c r="DJ344" s="48" t="s">
        <v>311</v>
      </c>
      <c r="DK344" s="48" t="s">
        <v>298</v>
      </c>
      <c r="DL344" s="48" t="s">
        <v>320</v>
      </c>
      <c r="DM344" s="48" t="s">
        <v>300</v>
      </c>
      <c r="DN344" s="48">
        <f ca="1">IF(DI344&lt;&gt;"",MAX($DN$2:DN343)+1,0)</f>
        <v>274</v>
      </c>
      <c r="DO344" s="48" t="s">
        <v>719</v>
      </c>
      <c r="DW344" s="48">
        <f>IF(DR344&lt;&gt;"",MAX($DW$2:DW343)+1,0)</f>
        <v>0</v>
      </c>
      <c r="DY344" s="48" t="str">
        <f t="shared" ca="1" si="647"/>
        <v/>
      </c>
      <c r="EL344" s="48">
        <f t="shared" ca="1" si="648"/>
        <v>0</v>
      </c>
      <c r="EM344" s="48">
        <f ca="1">IF(EL344&gt;=0,0,MAX($EM$2:EM343)+1)</f>
        <v>0</v>
      </c>
      <c r="EN344" s="48" t="str">
        <f t="shared" ca="1" si="658"/>
        <v/>
      </c>
      <c r="EO344" s="48" t="str">
        <f ca="1">IFERROR(INDEX($EM$3:$EN$400,MATCH(ROWS($EO$3:EO344),$EM$3:$EM$400,0),2),"")</f>
        <v/>
      </c>
      <c r="EP344" s="48">
        <f>ROW()</f>
        <v>344</v>
      </c>
      <c r="EQ344" s="48">
        <f t="shared" ca="1" si="649"/>
        <v>0</v>
      </c>
      <c r="ER344" s="48">
        <f ca="1">IF(ISNA(EQ344)=TRUE,MAX($ER$2:ER343)+1,0)</f>
        <v>0</v>
      </c>
      <c r="ES344" s="48" t="str">
        <f t="shared" ca="1" si="659"/>
        <v/>
      </c>
      <c r="ET344" s="48" t="str">
        <f ca="1">IFERROR(INDEX($ER$3:$ES$400,MATCH(ROWS($ET$3:ET344),$ER$3:$ER$400,0),2),"")</f>
        <v/>
      </c>
      <c r="EV344" s="48">
        <f ca="1">IFERROR(INDEX(LIBRO_GIORNALE!$O$11:$P$408,MATCH(ROWS($EV$2:EV343),LIBRO_GIORNALE!$P$11:$P$408,0),1),0)</f>
        <v>0</v>
      </c>
      <c r="EW344" s="48" t="str">
        <f t="shared" ca="1" si="629"/>
        <v>0</v>
      </c>
      <c r="EX344" s="48">
        <f t="shared" ca="1" si="660"/>
        <v>0</v>
      </c>
      <c r="EY344" s="48">
        <f ca="1">IF(EX344&gt;0,MAX($EY$2:EY343)+1,0)</f>
        <v>0</v>
      </c>
      <c r="EZ344" s="48">
        <f ca="1">IFERROR(INDEX($EX$3:$EX$400,MATCH(ROWS($EZ$3:EZ344),$EY$3:$EY$400,0),1),0)</f>
        <v>0</v>
      </c>
      <c r="FA344" s="48">
        <f ca="1">IF(EZ344&gt;0,0,MAX($FA$2:FA343)+1)</f>
        <v>342</v>
      </c>
      <c r="FB344" s="48">
        <f t="shared" ca="1" si="630"/>
        <v>0</v>
      </c>
      <c r="FC344" s="48">
        <f t="shared" ca="1" si="631"/>
        <v>342</v>
      </c>
      <c r="FD344" s="48">
        <f t="shared" ca="1" si="661"/>
        <v>342</v>
      </c>
      <c r="FE344" s="48">
        <f ca="1">IF(FD344=0,0,MAX($FE$2:FE343)+1)</f>
        <v>342</v>
      </c>
      <c r="FF344" s="48">
        <f ca="1">IFERROR(INDEX($FD$3:$FE$400,MATCH(ROWS($FF$3:FF344),$FE$3:$FE$400,0),1),"")</f>
        <v>342</v>
      </c>
      <c r="FG344" s="48">
        <f t="shared" si="610"/>
        <v>0</v>
      </c>
      <c r="FH344" s="48">
        <f t="shared" ca="1" si="662"/>
        <v>0</v>
      </c>
      <c r="FI344" s="48">
        <f ca="1">IF(FH344&lt;&gt;0,MAX($FI$2:FI343)+1,0)</f>
        <v>0</v>
      </c>
      <c r="FJ344" s="48" t="str">
        <f ca="1">IFERROR(INDEX($FH$3:$FI$400,MATCH(ROWS($FJ$3:FJ344),$FI$3:$FI$400,0),1),"")</f>
        <v/>
      </c>
      <c r="FK344" s="48">
        <f ca="1">IF(ABS(SUMIFS(DARE,DEN_G,"="&amp;FJ344,DATA,"&lt;="&amp;FINE_AC,DATA,"&gt;="&amp;INIZIO_A_PC)-SUMIFS(AVERE,DEN_G,"="&amp;FJ344,DATA,"&lt;="&amp;FINE_AC,DATA,"&gt;="&amp;INIZIO_A_PC))&gt;0,MAX($FK$2:FK343)+1,0)</f>
        <v>0</v>
      </c>
      <c r="FL344" s="48" t="str">
        <f ca="1">IF(AND(ROW()-2&lt;&gt;1,ROW()-2&lt;=$FK$1),CONCATENATE(" - ",IFERROR(INDEX($FJ$3:$FK$400,MATCH(ROWS($FL$3:FL344),$FK$3:$FK$400,0),1),"")),IFERROR(INDEX($FJ$3:$FK$400,MATCH(ROWS($FL$3:FL344),$FK$3:$FK$400,0),1),""))</f>
        <v/>
      </c>
      <c r="FM344" s="48">
        <f ca="1">IF(OR(B344="IVA ns/credito",B344="IVA NS/DEBITO",B344="IVA C/ACCONTO",B344="IMPOSTE C/ACCONTO",B344="CREDITI PER RITENUTE SUBITE",B344="CREDITI D'IMPOSTA"),MAX($FM$2:FM343)+1,0)</f>
        <v>0</v>
      </c>
      <c r="FN344" s="48" t="str">
        <f t="shared" ca="1" si="663"/>
        <v/>
      </c>
      <c r="FO344" s="48" t="str">
        <f ca="1">IFERROR(INDEX($FM$3:$FN$400,MATCH(ROWS($FO$3:FO344),$FM$3:$FM$400,0),2),"")</f>
        <v/>
      </c>
      <c r="FP344" s="48">
        <f ca="1">IF(ABS(SUMIFS(DARE,DEN_G,"="&amp;FO344,DATA,"&lt;="&amp;FINE_AC,DATA,"&gt;="&amp;INIZIO_A_PC)-SUMIFS(AVERE,DEN_G,"="&amp;FO344,DATA,"&lt;="&amp;FINE_AC,DATA,"&gt;="&amp;INIZIO_A_PC))&gt;0,MAX($FP$2:FP343)+1,0)</f>
        <v>0</v>
      </c>
      <c r="FQ344" s="48" t="str">
        <f ca="1">IF(AND(ROW()-2&lt;&gt;1,ROW()-2&lt;=$FP$1),CONCATENATE(" - ",IFERROR(INDEX($FO$3:$FP$400,MATCH(ROWS($FQ$3:FQ344),$FP$3:$FP$400,0),1),"")),IFERROR(INDEX($FO$3:$FP$400,MATCH(ROWS($FQ$3:FQ344),$FP$3:$FP$400,0),1),""))</f>
        <v/>
      </c>
    </row>
    <row r="345" spans="1:173" x14ac:dyDescent="0.3">
      <c r="A345" s="48" t="str">
        <f ca="1">IFERROR(IF($A$1=2,INDEX($DH$3:$DN$401,MATCH(ROWS(A$3:A345),$DN$3:$DN$401,0),COLUMN()),IF($A$1=1,INDEX($DQ$3:$DW$401,MATCH(ROWS(A$3:A345),$DW$3:$DW$401,0),COLUMN()),"")),"")</f>
        <v/>
      </c>
      <c r="B345" s="48" t="str">
        <f ca="1">IFERROR(IF($A$1=2,INDEX($DH$3:$DN$400,MATCH(ROWS(B$3:B345),$DN$3:$DN$400,0),COLUMN()),IF($A$1=1,INDEX($DQ$3:$DW$400,MATCH(ROWS(B$3:B345),$DW$3:$DW$400,0),COLUMN()),"")),"")</f>
        <v/>
      </c>
      <c r="D345" s="48" t="str">
        <f ca="1">IFERROR(IF($A$1=2,INDEX($DH$3:$DN$401,MATCH(ROWS(D$3:D345),$DN$3:$DN$401,0),COLUMN()),IF($A$1=1,INDEX($DQ$3:$DW$401,MATCH(ROWS(D$3:D345),$DW$3:$DW$401,0),COLUMN()),"")),"")</f>
        <v/>
      </c>
      <c r="E345" s="48" t="str">
        <f ca="1">IFERROR(IF($A$1=2,INDEX($DH$3:$DN$401,MATCH(ROWS(E$3:E345),$DN$3:$DN$401,0),COLUMN()),IF($A$1=1,INDEX($DQ$3:$DW$401,MATCH(ROWS(E$3:E345),$DW$3:$DW$401,0),COLUMN()),"")),"")</f>
        <v/>
      </c>
      <c r="F345" s="48" t="str">
        <f ca="1">IFERROR(IF($A$1=2,INDEX($DH$3:$DN$401,MATCH(ROWS(F$3:F345),$DN$3:$DN$401,0),COLUMN()),IF($A$1=1,INDEX($DQ$3:$DX$401,MATCH(ROWS(F$3:F345),$DW$3:$DW$401,0),COLUMN()),"")),"")</f>
        <v/>
      </c>
      <c r="G345" s="48" t="str">
        <f t="shared" ca="1" si="650"/>
        <v/>
      </c>
      <c r="H345" s="48" t="str">
        <f ca="1">IFERROR(IF($A$1=2,INDEX($DH$3:$DO$400,MATCH(ROWS(H$3:H345),$DN$3:$DN$400,0),COLUMN()),IF($A$1=1,INDEX($DQ$3:$DX$400,MATCH(ROWS(H$3:H345),$DW$3:$DW$400,0),COLUMN()),"")),"")</f>
        <v/>
      </c>
      <c r="M345" s="48">
        <f ca="1">IFERROR(IF(IF(MID($A345,3,3)=".00",MID(A345,1,2),"")&lt;&gt;"",MAX($M$2:M344)+1,0),"")</f>
        <v>0</v>
      </c>
      <c r="N345" s="48" t="str">
        <f t="shared" ca="1" si="651"/>
        <v/>
      </c>
      <c r="O345" s="48" t="str">
        <f ca="1">IF(IFERROR(INDEX($N$3:$O$300,MATCH(ROWS($O$3:O345),$M$3:$M$300,0),1),"")&lt;&gt;"",CONCATENATE(INDEX($N$3:$O$300,MATCH(ROWS($O$3:O345),$M$3:$M$300,0),1),".00"),"")</f>
        <v/>
      </c>
      <c r="P345" s="48" t="str">
        <f t="shared" ca="1" si="652"/>
        <v/>
      </c>
      <c r="Q345" s="48">
        <f ca="1">IF(M345&gt;=1,0,MAX($Q$2:Q344)+1)</f>
        <v>306</v>
      </c>
      <c r="U345" s="48" t="str">
        <f ca="1">IFERROR(INDEX(PDC,MATCH(ROWS(U$3:U345),$V$3:$V$400,0),2),"")</f>
        <v/>
      </c>
      <c r="V345" s="48">
        <f ca="1">IF(AND($T$1="VISUALIZZA TUTTI I CONTI",AA345&lt;&gt;""),MAX($V$2:V344)+1,IF(AND($U$2=2,AI345=$T$1),MAX($V$2:V344)+1,IF(AND($U$2=1,$T$1=AF345),MAX($V$2:V344)+1,0)))</f>
        <v>0</v>
      </c>
      <c r="AA345" s="48" t="str">
        <f t="shared" ca="1" si="653"/>
        <v/>
      </c>
      <c r="AB345" s="48" t="str">
        <f ca="1">IFERROR(INDEX($A$3:$G$400,MATCH(ROWS(AB$3:AB345),$Q$3:$Q$400,0),1),"")</f>
        <v/>
      </c>
      <c r="AC345" s="48" t="str">
        <f ca="1">IFERROR(INDEX($A$3:$G$400,MATCH(ROWS($AC$3:AC345),$Q$3:$Q$400,0),2),"")</f>
        <v/>
      </c>
      <c r="AD345" s="48">
        <f ca="1">IFERROR(INDEX($A$3:$G$400,MATCH(ROWS(AD$3:AD345),$Q$3:$Q$400,0),3),"")</f>
        <v>0</v>
      </c>
      <c r="AE345" s="48" t="str">
        <f ca="1">IFERROR(INDEX($A$3:$G$400,MATCH(ROWS(AE$3:AE345),$Q$3:$Q$400,0),4),"")</f>
        <v/>
      </c>
      <c r="AF345" s="48" t="str">
        <f ca="1">IFERROR(INDEX($A$3:$G$400,MATCH(ROWS(AF$3:AF345),$Q$3:$Q$400,0),5),"")</f>
        <v/>
      </c>
      <c r="AG345" s="48" t="str">
        <f ca="1">IFERROR(INDEX($A$3:$G$400,MATCH(ROWS(AG$3:AG345),$Q$3:$Q$400,0),6),"")</f>
        <v/>
      </c>
      <c r="AH345" s="48" t="str">
        <f ca="1">IFERROR(INDEX($A$3:$G$400,MATCH(ROWS(AH$3:AH345),$Q$3:$Q$400,0),7),"")</f>
        <v/>
      </c>
      <c r="AI345" s="48" t="str">
        <f t="shared" ca="1" si="654"/>
        <v/>
      </c>
      <c r="AJ345" s="48" t="str">
        <f ca="1">IFERROR(INDEX($A$3:$H$400,MATCH(ROWS(AJ$3:AJ345),$Q$3:$Q$400,0),8),"")</f>
        <v/>
      </c>
      <c r="AZ345" s="48" t="str">
        <f t="shared" ca="1" si="669"/>
        <v/>
      </c>
      <c r="BA345" s="48">
        <f t="shared" ca="1" si="611"/>
        <v>0</v>
      </c>
      <c r="BB345" s="48">
        <f t="shared" ca="1" si="612"/>
        <v>0</v>
      </c>
      <c r="BC345" s="48">
        <f t="shared" ca="1" si="613"/>
        <v>0</v>
      </c>
      <c r="BD345" s="48">
        <f t="shared" ca="1" si="614"/>
        <v>0</v>
      </c>
      <c r="BE345" s="48">
        <f t="shared" ca="1" si="615"/>
        <v>0</v>
      </c>
      <c r="BF345" s="48">
        <f t="shared" si="670"/>
        <v>145</v>
      </c>
      <c r="BG345" s="48">
        <f ca="1">IF(IF(AND(OR(INDEX(PDC,MATCH($AC345,DEN_PDC,0),6)="SP DARE",INDEX(PDC,MATCH($AC345,DEN_PDC,0),6)="SP DARE/AVERE"),SUMIFS(DARE,DEN_G,$AC345)&gt;=SUMIFS(AVERE,DEN_G,$AC345)),SUMIFS(DARE,DEN_G,$AC345)-SUMIFS(AVERE,DEN_G,$AC345),0)&gt;0,MAX($BG$2:BG344)+1,0)</f>
        <v>0</v>
      </c>
      <c r="BH345" s="48">
        <f ca="1">IF(IF(AND(OR(INDEX(PDC,MATCH($AC345,DEN_PDC,0),6)="SP AVERE",INDEX(PDC,MATCH($AC345,DEN_PDC,0),6)="SP DARE/AVERE"),SUMIFS(AVERE,DEN_G,$AC345)&gt;=SUMIFS(DARE,DEN_G,$AC345)),SUMIFS(AVERE,DEN_G,$AC345)-SUMIFS(DARE,DEN_G,$AC345),0)&gt;0,MAX(BH$2:BH344)+1,0)</f>
        <v>0</v>
      </c>
      <c r="BI345" s="48">
        <f ca="1">IF(IF(AND(OR(INDEX(PDC,MATCH($AC345,DEN_PDC,0),6)="SE DARE",INDEX(PDC,MATCH($AC345,DEN_PDC,0),6)="SE DARE/AVERE"),SUMIFS(DARE,DEN_G,$AC345)&gt;=SUMIFS(AVERE,DEN_G,$AC345)),SUMIFS(DARE,DEN_G,$AC345)-SUMIFS(AVERE,DEN_G,$AC345),0)&gt;0,MAX(BI$2:BI344)+1,0)</f>
        <v>0</v>
      </c>
      <c r="BJ345" s="48">
        <f ca="1">IF(IF(AND(OR(INDEX(PDC,MATCH($AC345,DEN_PDC,0),6)="SE AVERE",INDEX(PDC,MATCH($AC345,DEN_PDC,0),6)="SE DARE/AVERE"),SUMIFS(AVERE,DEN_G,$AC345)&gt;=SUMIFS(DARE,DEN_G,$AC345)),SUMIFS(AVERE,DEN_G,$AC345)-SUMIFS(DARE,DEN_G,$AC345),0)&gt;0,MAX(BJ$2:BJ344)+1,0)</f>
        <v>0</v>
      </c>
      <c r="BK345" s="48" t="str">
        <f ca="1">IF(AND(AND($DY$2=0,$DY$1=0),$I$1=2,ROW()&gt;$BG$1+2,ROW()&lt;=$BG$1+4),"………………..",IF(AND(OR($DY$2&gt;0,$DY$1&gt;0),$I$1=2,ROW()&gt;$BG$1+2,ROW()&lt;=$BG$1+4),"………………..",IFERROR(INDEX($AC$3:$AC$398,MATCH(ROWS(BK$3:BK345),BG$3:BG$398,0),1),"")))</f>
        <v/>
      </c>
      <c r="BL345" s="48">
        <f t="shared" ca="1" si="637"/>
        <v>0</v>
      </c>
      <c r="BM345" s="48" t="str">
        <f ca="1">IF(AND(OR($DY$2=0,$DY$1=0),$I$1=2,ROW()&gt;$BH$1+2,ROW()&lt;=$BH$1+4),"………………..",IF(AND(OR($DY$2&gt;0,$DY$1&gt;0),$I$1=2,ROW()&gt;$BH$1+2,ROW()&lt;=$BH$1+4),"………………..",IFERROR(INDEX($AC$3:$AC$400,MATCH(ROWS(BM$3:BM345),BH$3:BH$400,0),1),"")))</f>
        <v/>
      </c>
      <c r="BN345" s="48">
        <f t="shared" ca="1" si="638"/>
        <v>0</v>
      </c>
      <c r="BO345" s="48" t="str">
        <f ca="1">IF(AND(OR($DY$2=0,$DY$1=0),$I$1=2,ROW()&gt;$BI$1+2,ROW()&lt;=$BI$1+4),"………………..",IF(AND(OR($DY$2&gt;0,$DY$1&gt;0),$I$1=2,ROW()&gt;$BI$1+2,ROW()&lt;=$BI$1+4),"………………..",IFERROR(INDEX($AC$3:$AC$400,MATCH(ROWS(BO$3:BO345),BI$3:BI$400,0),1),"")))</f>
        <v/>
      </c>
      <c r="BP345" s="48">
        <f t="shared" ca="1" si="639"/>
        <v>0</v>
      </c>
      <c r="BQ345" s="48" t="str">
        <f ca="1">IF(AND(OR($DY$2=0,$DY$1=0),$I$1=2,ROW()&gt;$BJ$1+2,ROW()&lt;=$BJ$1+4),"………………..",IF(AND(OR($DY$2&gt;0,$DY$1&gt;0),$I$1=2,ROW()&gt;$BJ$1+2,ROW()&lt;=$BJ$1+4),"………………..",IFERROR(INDEX($AC$3:$AC$400,MATCH(ROWS(BQ$3:BQ345),BJ$3:BJ$400,0),1),"")))</f>
        <v/>
      </c>
      <c r="BR345" s="48">
        <f t="shared" ca="1" si="640"/>
        <v>0</v>
      </c>
      <c r="BS345" s="48">
        <f ca="1">IF(IF(AND(OR(INDEX(PDC,MATCH($AC345,DEN_PDC,0),4)="D",INDEX(PDC,MATCH($AC345,DEN_PDC,0),4)="D/A"),SUMIFS(DARE,DEN_G,$AC345)&gt;=SUMIFS(AVERE,DEN_G,$AC345)),SUMIFS(DARE,DEN_G,$AC345),IF(AND(OR(INDEX(PDC,MATCH($AC345,DEN_PDC,0),4)="A",INDEX(PDC,MATCH($AC345,DEN_PDC,0),4)="D/A"),SUMIFS(AVERE,DEN_G,$AC345)&gt;=SUMIFS(DARE,DEN_G,$AC345)),SUMIFS(AVERE,DEN_G,$AC345),))&gt;0,MAX($BS$2:BS344)+1,0)</f>
        <v>0</v>
      </c>
      <c r="BT345" s="48" t="str">
        <f ca="1">IF($CO$1=0,"",IF(AND($I$1=2,ROW()&gt;$BR$1,ROW()&lt;=$BS$1)," …………….",IF(AND($E$1=1,$BX$1=1,$I$1=2,ROW()=$BQ$1),"TOTALI",IFERROR(INDEX(PDC,MATCH(ROWS(BT$3:BT345),BS$3:BS742,0),2),""))))</f>
        <v/>
      </c>
      <c r="BU345" s="48">
        <f t="shared" ca="1" si="641"/>
        <v>0</v>
      </c>
      <c r="BV345" s="48">
        <f t="shared" ca="1" si="642"/>
        <v>0</v>
      </c>
      <c r="BW345" s="48">
        <f t="shared" ca="1" si="643"/>
        <v>0</v>
      </c>
      <c r="BX345" s="48">
        <f t="shared" ca="1" si="644"/>
        <v>0</v>
      </c>
      <c r="BY345" s="48">
        <f ca="1">IF(OR(BW345&gt;0,BX345&gt;0),MAX($BY$2:BY344)+1,0)</f>
        <v>0</v>
      </c>
      <c r="BZ345" s="48" t="str">
        <f ca="1">IFERROR(INDEX($BT$3:$BY$400,MATCH(ROWS(BZ$3:BZ345),$BY$3:$BY$400,0),1),"")</f>
        <v/>
      </c>
      <c r="CA345" s="48" t="str">
        <f ca="1">IFERROR(INDEX($BT$3:$BY$400,MATCH(ROWS(CA$3:CA345),$BY$3:$BY$400,0),4),"")</f>
        <v/>
      </c>
      <c r="CB345" s="48" t="str">
        <f ca="1">IFERROR(INDEX($BT$3:$BY$400,MATCH(ROWS(CB$3:CB345),$BY$3:$BY$400,0),5),"")</f>
        <v/>
      </c>
      <c r="CC345" s="48" t="str">
        <f t="shared" ca="1" si="645"/>
        <v/>
      </c>
      <c r="CM345" s="242" t="str">
        <f t="shared" ca="1" si="655"/>
        <v/>
      </c>
      <c r="CN345" s="243">
        <f t="shared" ca="1" si="656"/>
        <v>0</v>
      </c>
      <c r="CO345" s="48" t="str">
        <f t="shared" ca="1" si="657"/>
        <v/>
      </c>
      <c r="CU345" s="48">
        <f ca="1">IF(SUMIFS(AVERE,DEN_G,AC345,AVERE,"&gt;"&amp;0)+SUMIFS(DARE,DEN_G,AC345,DARE,"&gt;"&amp;0)&gt;0,MAX($CU$2:CU344)+1,0)</f>
        <v>0</v>
      </c>
      <c r="CV345" s="48" t="str">
        <f ca="1">IF(IFERROR(INDEX(PDC,MATCH(ROWS($CV$3:CV345),$CU$3:$CU$400,0),2),"")="CONTO DI RISULTATO ECONOMICO","",IFERROR(INDEX(PDC,MATCH(ROWS($CV$3:CV345),$CU$3:$CU$400,0),2),""))</f>
        <v/>
      </c>
      <c r="CW345" s="48">
        <f ca="1">IFERROR(IF(CV345&lt;&gt;"",MAX($CW$2:CW344)+1,0),0)</f>
        <v>0</v>
      </c>
      <c r="CX345" s="48">
        <f t="shared" ca="1" si="679"/>
        <v>27</v>
      </c>
      <c r="CY345" s="48" t="str">
        <f t="shared" ca="1" si="678"/>
        <v>MASTRO</v>
      </c>
      <c r="CZ345" s="48" t="e">
        <f t="shared" ca="1" si="681"/>
        <v>#N/A</v>
      </c>
      <c r="DA345" s="48" t="str">
        <f t="shared" ca="1" si="686"/>
        <v/>
      </c>
      <c r="DB345" s="48" t="str">
        <f t="shared" ca="1" si="682"/>
        <v/>
      </c>
      <c r="DC345" s="48" t="str">
        <f t="shared" ca="1" si="683"/>
        <v/>
      </c>
      <c r="DD345" s="48" t="str">
        <f t="shared" ca="1" si="684"/>
        <v/>
      </c>
      <c r="DE345" s="48" t="str">
        <f t="shared" ca="1" si="685"/>
        <v/>
      </c>
      <c r="DF345" s="48">
        <f ca="1">IF(AND(CX345=$DF$1,CX345&lt;&gt;""),0,IF(AND(DB345&lt;&gt;"",OR(DB344&lt;&gt;"",DB346&lt;&gt;"")),MAX($DF$2:DF344)+1,0))</f>
        <v>0</v>
      </c>
      <c r="DH345" s="244" t="s">
        <v>943</v>
      </c>
      <c r="DI345" s="48" t="s">
        <v>453</v>
      </c>
      <c r="DJ345" s="48" t="s">
        <v>311</v>
      </c>
      <c r="DK345" s="48" t="s">
        <v>298</v>
      </c>
      <c r="DL345" s="48" t="s">
        <v>320</v>
      </c>
      <c r="DM345" s="48" t="s">
        <v>300</v>
      </c>
      <c r="DN345" s="48">
        <f ca="1">IF(DI345&lt;&gt;"",MAX($DN$2:DN344)+1,0)</f>
        <v>275</v>
      </c>
      <c r="DO345" s="48" t="s">
        <v>719</v>
      </c>
      <c r="DW345" s="48">
        <f>IF(DR345&lt;&gt;"",MAX($DW$2:DW344)+1,0)</f>
        <v>0</v>
      </c>
      <c r="DY345" s="48" t="str">
        <f t="shared" ca="1" si="647"/>
        <v/>
      </c>
      <c r="EL345" s="48">
        <f t="shared" ca="1" si="648"/>
        <v>0</v>
      </c>
      <c r="EM345" s="48">
        <f ca="1">IF(EL345&gt;=0,0,MAX($EM$2:EM344)+1)</f>
        <v>0</v>
      </c>
      <c r="EN345" s="48" t="str">
        <f t="shared" ca="1" si="658"/>
        <v/>
      </c>
      <c r="EO345" s="48" t="str">
        <f ca="1">IFERROR(INDEX($EM$3:$EN$400,MATCH(ROWS($EO$3:EO345),$EM$3:$EM$400,0),2),"")</f>
        <v/>
      </c>
      <c r="EP345" s="48">
        <f>ROW()</f>
        <v>345</v>
      </c>
      <c r="EQ345" s="48">
        <f t="shared" ca="1" si="649"/>
        <v>0</v>
      </c>
      <c r="ER345" s="48">
        <f ca="1">IF(ISNA(EQ345)=TRUE,MAX($ER$2:ER344)+1,0)</f>
        <v>0</v>
      </c>
      <c r="ES345" s="48" t="str">
        <f t="shared" ca="1" si="659"/>
        <v/>
      </c>
      <c r="ET345" s="48" t="str">
        <f ca="1">IFERROR(INDEX($ER$3:$ES$400,MATCH(ROWS($ET$3:ET345),$ER$3:$ER$400,0),2),"")</f>
        <v/>
      </c>
      <c r="EV345" s="48">
        <f ca="1">IFERROR(INDEX(LIBRO_GIORNALE!$O$11:$P$408,MATCH(ROWS($EV$2:EV344),LIBRO_GIORNALE!$P$11:$P$408,0),1),0)</f>
        <v>0</v>
      </c>
      <c r="EW345" s="48" t="str">
        <f t="shared" ca="1" si="629"/>
        <v>0</v>
      </c>
      <c r="EX345" s="48">
        <f t="shared" ca="1" si="660"/>
        <v>0</v>
      </c>
      <c r="EY345" s="48">
        <f ca="1">IF(EX345&gt;0,MAX($EY$2:EY344)+1,0)</f>
        <v>0</v>
      </c>
      <c r="EZ345" s="48">
        <f ca="1">IFERROR(INDEX($EX$3:$EX$400,MATCH(ROWS($EZ$3:EZ345),$EY$3:$EY$400,0),1),0)</f>
        <v>0</v>
      </c>
      <c r="FA345" s="48">
        <f ca="1">IF(EZ345&gt;0,0,MAX($FA$2:FA344)+1)</f>
        <v>343</v>
      </c>
      <c r="FB345" s="48">
        <f t="shared" ca="1" si="630"/>
        <v>0</v>
      </c>
      <c r="FC345" s="48">
        <f t="shared" ca="1" si="631"/>
        <v>343</v>
      </c>
      <c r="FD345" s="48">
        <f t="shared" ca="1" si="661"/>
        <v>343</v>
      </c>
      <c r="FE345" s="48">
        <f ca="1">IF(FD345=0,0,MAX($FE$2:FE344)+1)</f>
        <v>343</v>
      </c>
      <c r="FF345" s="48">
        <f ca="1">IFERROR(INDEX($FD$3:$FE$400,MATCH(ROWS($FF$3:FF345),$FE$3:$FE$400,0),1),"")</f>
        <v>343</v>
      </c>
      <c r="FG345" s="48">
        <f t="shared" si="610"/>
        <v>0</v>
      </c>
      <c r="FH345" s="48">
        <f t="shared" ca="1" si="662"/>
        <v>0</v>
      </c>
      <c r="FI345" s="48">
        <f ca="1">IF(FH345&lt;&gt;0,MAX($FI$2:FI344)+1,0)</f>
        <v>0</v>
      </c>
      <c r="FJ345" s="48" t="str">
        <f ca="1">IFERROR(INDEX($FH$3:$FI$400,MATCH(ROWS($FJ$3:FJ345),$FI$3:$FI$400,0),1),"")</f>
        <v/>
      </c>
      <c r="FK345" s="48">
        <f ca="1">IF(ABS(SUMIFS(DARE,DEN_G,"="&amp;FJ345,DATA,"&lt;="&amp;FINE_AC,DATA,"&gt;="&amp;INIZIO_A_PC)-SUMIFS(AVERE,DEN_G,"="&amp;FJ345,DATA,"&lt;="&amp;FINE_AC,DATA,"&gt;="&amp;INIZIO_A_PC))&gt;0,MAX($FK$2:FK344)+1,0)</f>
        <v>0</v>
      </c>
      <c r="FL345" s="48" t="str">
        <f ca="1">IF(AND(ROW()-2&lt;&gt;1,ROW()-2&lt;=$FK$1),CONCATENATE(" - ",IFERROR(INDEX($FJ$3:$FK$400,MATCH(ROWS($FL$3:FL345),$FK$3:$FK$400,0),1),"")),IFERROR(INDEX($FJ$3:$FK$400,MATCH(ROWS($FL$3:FL345),$FK$3:$FK$400,0),1),""))</f>
        <v/>
      </c>
      <c r="FM345" s="48">
        <f ca="1">IF(OR(B345="IVA ns/credito",B345="IVA NS/DEBITO",B345="IVA C/ACCONTO",B345="IMPOSTE C/ACCONTO",B345="CREDITI PER RITENUTE SUBITE",B345="CREDITI D'IMPOSTA"),MAX($FM$2:FM344)+1,0)</f>
        <v>0</v>
      </c>
      <c r="FN345" s="48" t="str">
        <f t="shared" ca="1" si="663"/>
        <v/>
      </c>
      <c r="FO345" s="48" t="str">
        <f ca="1">IFERROR(INDEX($FM$3:$FN$400,MATCH(ROWS($FO$3:FO345),$FM$3:$FM$400,0),2),"")</f>
        <v/>
      </c>
      <c r="FP345" s="48">
        <f ca="1">IF(ABS(SUMIFS(DARE,DEN_G,"="&amp;FO345,DATA,"&lt;="&amp;FINE_AC,DATA,"&gt;="&amp;INIZIO_A_PC)-SUMIFS(AVERE,DEN_G,"="&amp;FO345,DATA,"&lt;="&amp;FINE_AC,DATA,"&gt;="&amp;INIZIO_A_PC))&gt;0,MAX($FP$2:FP344)+1,0)</f>
        <v>0</v>
      </c>
      <c r="FQ345" s="48" t="str">
        <f ca="1">IF(AND(ROW()-2&lt;&gt;1,ROW()-2&lt;=$FP$1),CONCATENATE(" - ",IFERROR(INDEX($FO$3:$FP$400,MATCH(ROWS($FQ$3:FQ345),$FP$3:$FP$400,0),1),"")),IFERROR(INDEX($FO$3:$FP$400,MATCH(ROWS($FQ$3:FQ345),$FP$3:$FP$400,0),1),""))</f>
        <v/>
      </c>
    </row>
    <row r="346" spans="1:173" x14ac:dyDescent="0.3">
      <c r="A346" s="48" t="str">
        <f ca="1">IFERROR(IF($A$1=2,INDEX($DH$3:$DN$401,MATCH(ROWS(A$3:A346),$DN$3:$DN$401,0),COLUMN()),IF($A$1=1,INDEX($DQ$3:$DW$401,MATCH(ROWS(A$3:A346),$DW$3:$DW$401,0),COLUMN()),"")),"")</f>
        <v/>
      </c>
      <c r="B346" s="48" t="str">
        <f ca="1">IFERROR(IF($A$1=2,INDEX($DH$3:$DN$400,MATCH(ROWS(B$3:B346),$DN$3:$DN$400,0),COLUMN()),IF($A$1=1,INDEX($DQ$3:$DW$400,MATCH(ROWS(B$3:B346),$DW$3:$DW$400,0),COLUMN()),"")),"")</f>
        <v/>
      </c>
      <c r="D346" s="48" t="str">
        <f ca="1">IFERROR(IF($A$1=2,INDEX($DH$3:$DN$401,MATCH(ROWS(D$3:D346),$DN$3:$DN$401,0),COLUMN()),IF($A$1=1,INDEX($DQ$3:$DW$401,MATCH(ROWS(D$3:D346),$DW$3:$DW$401,0),COLUMN()),"")),"")</f>
        <v/>
      </c>
      <c r="E346" s="48" t="str">
        <f ca="1">IFERROR(IF($A$1=2,INDEX($DH$3:$DN$401,MATCH(ROWS(E$3:E346),$DN$3:$DN$401,0),COLUMN()),IF($A$1=1,INDEX($DQ$3:$DW$401,MATCH(ROWS(E$3:E346),$DW$3:$DW$401,0),COLUMN()),"")),"")</f>
        <v/>
      </c>
      <c r="F346" s="48" t="str">
        <f ca="1">IFERROR(IF($A$1=2,INDEX($DH$3:$DN$401,MATCH(ROWS(F$3:F346),$DN$3:$DN$401,0),COLUMN()),IF($A$1=1,INDEX($DQ$3:$DX$401,MATCH(ROWS(F$3:F346),$DW$3:$DW$401,0),COLUMN()),"")),"")</f>
        <v/>
      </c>
      <c r="G346" s="48" t="str">
        <f t="shared" ca="1" si="650"/>
        <v/>
      </c>
      <c r="H346" s="48" t="str">
        <f ca="1">IFERROR(IF($A$1=2,INDEX($DH$3:$DO$400,MATCH(ROWS(H$3:H346),$DN$3:$DN$400,0),COLUMN()),IF($A$1=1,INDEX($DQ$3:$DX$400,MATCH(ROWS(H$3:H346),$DW$3:$DW$400,0),COLUMN()),"")),"")</f>
        <v/>
      </c>
      <c r="M346" s="48">
        <f ca="1">IFERROR(IF(IF(MID($A346,3,3)=".00",MID(A346,1,2),"")&lt;&gt;"",MAX($M$2:M345)+1,0),"")</f>
        <v>0</v>
      </c>
      <c r="N346" s="48" t="str">
        <f t="shared" ca="1" si="651"/>
        <v/>
      </c>
      <c r="O346" s="48" t="str">
        <f ca="1">IF(IFERROR(INDEX($N$3:$O$300,MATCH(ROWS($O$3:O346),$M$3:$M$300,0),1),"")&lt;&gt;"",CONCATENATE(INDEX($N$3:$O$300,MATCH(ROWS($O$3:O346),$M$3:$M$300,0),1),".00"),"")</f>
        <v/>
      </c>
      <c r="P346" s="48" t="str">
        <f t="shared" ca="1" si="652"/>
        <v/>
      </c>
      <c r="Q346" s="48">
        <f ca="1">IF(M346&gt;=1,0,MAX($Q$2:Q345)+1)</f>
        <v>307</v>
      </c>
      <c r="U346" s="48" t="str">
        <f ca="1">IFERROR(INDEX(PDC,MATCH(ROWS(U$3:U346),$V$3:$V$400,0),2),"")</f>
        <v/>
      </c>
      <c r="V346" s="48">
        <f ca="1">IF(AND($T$1="VISUALIZZA TUTTI I CONTI",AA346&lt;&gt;""),MAX($V$2:V345)+1,IF(AND($U$2=2,AI346=$T$1),MAX($V$2:V345)+1,IF(AND($U$2=1,$T$1=AF346),MAX($V$2:V345)+1,0)))</f>
        <v>0</v>
      </c>
      <c r="AA346" s="48" t="str">
        <f t="shared" ca="1" si="653"/>
        <v/>
      </c>
      <c r="AB346" s="48" t="str">
        <f ca="1">IFERROR(INDEX($A$3:$G$400,MATCH(ROWS(AB$3:AB346),$Q$3:$Q$400,0),1),"")</f>
        <v/>
      </c>
      <c r="AC346" s="48" t="str">
        <f ca="1">IFERROR(INDEX($A$3:$G$400,MATCH(ROWS($AC$3:AC346),$Q$3:$Q$400,0),2),"")</f>
        <v/>
      </c>
      <c r="AD346" s="48">
        <f ca="1">IFERROR(INDEX($A$3:$G$400,MATCH(ROWS(AD$3:AD346),$Q$3:$Q$400,0),3),"")</f>
        <v>0</v>
      </c>
      <c r="AE346" s="48" t="str">
        <f ca="1">IFERROR(INDEX($A$3:$G$400,MATCH(ROWS(AE$3:AE346),$Q$3:$Q$400,0),4),"")</f>
        <v/>
      </c>
      <c r="AF346" s="48" t="str">
        <f ca="1">IFERROR(INDEX($A$3:$G$400,MATCH(ROWS(AF$3:AF346),$Q$3:$Q$400,0),5),"")</f>
        <v/>
      </c>
      <c r="AG346" s="48" t="str">
        <f ca="1">IFERROR(INDEX($A$3:$G$400,MATCH(ROWS(AG$3:AG346),$Q$3:$Q$400,0),6),"")</f>
        <v/>
      </c>
      <c r="AH346" s="48" t="str">
        <f ca="1">IFERROR(INDEX($A$3:$G$400,MATCH(ROWS(AH$3:AH346),$Q$3:$Q$400,0),7),"")</f>
        <v/>
      </c>
      <c r="AI346" s="48" t="str">
        <f t="shared" ca="1" si="654"/>
        <v/>
      </c>
      <c r="AJ346" s="48" t="str">
        <f ca="1">IFERROR(INDEX($A$3:$H$400,MATCH(ROWS(AJ$3:AJ346),$Q$3:$Q$400,0),8),"")</f>
        <v/>
      </c>
      <c r="AZ346" s="48" t="str">
        <f t="shared" ca="1" si="669"/>
        <v/>
      </c>
      <c r="BA346" s="48">
        <f t="shared" ca="1" si="611"/>
        <v>0</v>
      </c>
      <c r="BB346" s="48">
        <f t="shared" ca="1" si="612"/>
        <v>0</v>
      </c>
      <c r="BC346" s="48">
        <f t="shared" ca="1" si="613"/>
        <v>0</v>
      </c>
      <c r="BD346" s="48">
        <f t="shared" ca="1" si="614"/>
        <v>0</v>
      </c>
      <c r="BE346" s="48">
        <f t="shared" ca="1" si="615"/>
        <v>0</v>
      </c>
      <c r="BF346" s="48">
        <f t="shared" si="670"/>
        <v>146</v>
      </c>
      <c r="BG346" s="48">
        <f ca="1">IF(IF(AND(OR(INDEX(PDC,MATCH($AC346,DEN_PDC,0),6)="SP DARE",INDEX(PDC,MATCH($AC346,DEN_PDC,0),6)="SP DARE/AVERE"),SUMIFS(DARE,DEN_G,$AC346)&gt;=SUMIFS(AVERE,DEN_G,$AC346)),SUMIFS(DARE,DEN_G,$AC346)-SUMIFS(AVERE,DEN_G,$AC346),0)&gt;0,MAX($BG$2:BG345)+1,0)</f>
        <v>0</v>
      </c>
      <c r="BH346" s="48">
        <f ca="1">IF(IF(AND(OR(INDEX(PDC,MATCH($AC346,DEN_PDC,0),6)="SP AVERE",INDEX(PDC,MATCH($AC346,DEN_PDC,0),6)="SP DARE/AVERE"),SUMIFS(AVERE,DEN_G,$AC346)&gt;=SUMIFS(DARE,DEN_G,$AC346)),SUMIFS(AVERE,DEN_G,$AC346)-SUMIFS(DARE,DEN_G,$AC346),0)&gt;0,MAX(BH$2:BH345)+1,0)</f>
        <v>0</v>
      </c>
      <c r="BI346" s="48">
        <f ca="1">IF(IF(AND(OR(INDEX(PDC,MATCH($AC346,DEN_PDC,0),6)="SE DARE",INDEX(PDC,MATCH($AC346,DEN_PDC,0),6)="SE DARE/AVERE"),SUMIFS(DARE,DEN_G,$AC346)&gt;=SUMIFS(AVERE,DEN_G,$AC346)),SUMIFS(DARE,DEN_G,$AC346)-SUMIFS(AVERE,DEN_G,$AC346),0)&gt;0,MAX(BI$2:BI345)+1,0)</f>
        <v>0</v>
      </c>
      <c r="BJ346" s="48">
        <f ca="1">IF(IF(AND(OR(INDEX(PDC,MATCH($AC346,DEN_PDC,0),6)="SE AVERE",INDEX(PDC,MATCH($AC346,DEN_PDC,0),6)="SE DARE/AVERE"),SUMIFS(AVERE,DEN_G,$AC346)&gt;=SUMIFS(DARE,DEN_G,$AC346)),SUMIFS(AVERE,DEN_G,$AC346)-SUMIFS(DARE,DEN_G,$AC346),0)&gt;0,MAX(BJ$2:BJ345)+1,0)</f>
        <v>0</v>
      </c>
      <c r="BK346" s="48" t="str">
        <f ca="1">IF(AND(AND($DY$2=0,$DY$1=0),$I$1=2,ROW()&gt;$BG$1+2,ROW()&lt;=$BG$1+4),"………………..",IF(AND(OR($DY$2&gt;0,$DY$1&gt;0),$I$1=2,ROW()&gt;$BG$1+2,ROW()&lt;=$BG$1+4),"………………..",IFERROR(INDEX($AC$3:$AC$398,MATCH(ROWS(BK$3:BK346),BG$3:BG$398,0),1),"")))</f>
        <v/>
      </c>
      <c r="BL346" s="48">
        <f t="shared" ca="1" si="637"/>
        <v>0</v>
      </c>
      <c r="BM346" s="48" t="str">
        <f ca="1">IF(AND(OR($DY$2=0,$DY$1=0),$I$1=2,ROW()&gt;$BH$1+2,ROW()&lt;=$BH$1+4),"………………..",IF(AND(OR($DY$2&gt;0,$DY$1&gt;0),$I$1=2,ROW()&gt;$BH$1+2,ROW()&lt;=$BH$1+4),"………………..",IFERROR(INDEX($AC$3:$AC$400,MATCH(ROWS(BM$3:BM346),BH$3:BH$400,0),1),"")))</f>
        <v/>
      </c>
      <c r="BN346" s="48">
        <f t="shared" ca="1" si="638"/>
        <v>0</v>
      </c>
      <c r="BO346" s="48" t="str">
        <f ca="1">IF(AND(OR($DY$2=0,$DY$1=0),$I$1=2,ROW()&gt;$BI$1+2,ROW()&lt;=$BI$1+4),"………………..",IF(AND(OR($DY$2&gt;0,$DY$1&gt;0),$I$1=2,ROW()&gt;$BI$1+2,ROW()&lt;=$BI$1+4),"………………..",IFERROR(INDEX($AC$3:$AC$400,MATCH(ROWS(BO$3:BO346),BI$3:BI$400,0),1),"")))</f>
        <v/>
      </c>
      <c r="BP346" s="48">
        <f t="shared" ca="1" si="639"/>
        <v>0</v>
      </c>
      <c r="BQ346" s="48" t="str">
        <f ca="1">IF(AND(OR($DY$2=0,$DY$1=0),$I$1=2,ROW()&gt;$BJ$1+2,ROW()&lt;=$BJ$1+4),"………………..",IF(AND(OR($DY$2&gt;0,$DY$1&gt;0),$I$1=2,ROW()&gt;$BJ$1+2,ROW()&lt;=$BJ$1+4),"………………..",IFERROR(INDEX($AC$3:$AC$400,MATCH(ROWS(BQ$3:BQ346),BJ$3:BJ$400,0),1),"")))</f>
        <v/>
      </c>
      <c r="BR346" s="48">
        <f t="shared" ca="1" si="640"/>
        <v>0</v>
      </c>
      <c r="BS346" s="48">
        <f ca="1">IF(IF(AND(OR(INDEX(PDC,MATCH($AC346,DEN_PDC,0),4)="D",INDEX(PDC,MATCH($AC346,DEN_PDC,0),4)="D/A"),SUMIFS(DARE,DEN_G,$AC346)&gt;=SUMIFS(AVERE,DEN_G,$AC346)),SUMIFS(DARE,DEN_G,$AC346),IF(AND(OR(INDEX(PDC,MATCH($AC346,DEN_PDC,0),4)="A",INDEX(PDC,MATCH($AC346,DEN_PDC,0),4)="D/A"),SUMIFS(AVERE,DEN_G,$AC346)&gt;=SUMIFS(DARE,DEN_G,$AC346)),SUMIFS(AVERE,DEN_G,$AC346),))&gt;0,MAX($BS$2:BS345)+1,0)</f>
        <v>0</v>
      </c>
      <c r="BT346" s="48" t="str">
        <f ca="1">IF($CO$1=0,"",IF(AND($I$1=2,ROW()&gt;$BR$1,ROW()&lt;=$BS$1)," …………….",IF(AND($E$1=1,$BX$1=1,$I$1=2,ROW()=$BQ$1),"TOTALI",IFERROR(INDEX(PDC,MATCH(ROWS(BT$3:BT346),BS$3:BS743,0),2),""))))</f>
        <v/>
      </c>
      <c r="BU346" s="48">
        <f t="shared" ca="1" si="641"/>
        <v>0</v>
      </c>
      <c r="BV346" s="48">
        <f t="shared" ca="1" si="642"/>
        <v>0</v>
      </c>
      <c r="BW346" s="48">
        <f t="shared" ca="1" si="643"/>
        <v>0</v>
      </c>
      <c r="BX346" s="48">
        <f t="shared" ca="1" si="644"/>
        <v>0</v>
      </c>
      <c r="BY346" s="48">
        <f ca="1">IF(OR(BW346&gt;0,BX346&gt;0),MAX($BY$2:BY345)+1,0)</f>
        <v>0</v>
      </c>
      <c r="BZ346" s="48" t="str">
        <f ca="1">IFERROR(INDEX($BT$3:$BY$400,MATCH(ROWS(BZ$3:BZ346),$BY$3:$BY$400,0),1),"")</f>
        <v/>
      </c>
      <c r="CA346" s="48" t="str">
        <f ca="1">IFERROR(INDEX($BT$3:$BY$400,MATCH(ROWS(CA$3:CA346),$BY$3:$BY$400,0),4),"")</f>
        <v/>
      </c>
      <c r="CB346" s="48" t="str">
        <f ca="1">IFERROR(INDEX($BT$3:$BY$400,MATCH(ROWS(CB$3:CB346),$BY$3:$BY$400,0),5),"")</f>
        <v/>
      </c>
      <c r="CC346" s="48" t="str">
        <f t="shared" ca="1" si="645"/>
        <v/>
      </c>
      <c r="CM346" s="242" t="str">
        <f t="shared" ca="1" si="655"/>
        <v/>
      </c>
      <c r="CN346" s="243">
        <f t="shared" ca="1" si="656"/>
        <v>0</v>
      </c>
      <c r="CO346" s="48" t="str">
        <f t="shared" ca="1" si="657"/>
        <v/>
      </c>
      <c r="CU346" s="48">
        <f ca="1">IF(SUMIFS(AVERE,DEN_G,AC346,AVERE,"&gt;"&amp;0)+SUMIFS(DARE,DEN_G,AC346,DARE,"&gt;"&amp;0)&gt;0,MAX($CU$2:CU345)+1,0)</f>
        <v>0</v>
      </c>
      <c r="CV346" s="48" t="str">
        <f ca="1">IF(IFERROR(INDEX(PDC,MATCH(ROWS($CV$3:CV346),$CU$3:$CU$400,0),2),"")="CONTO DI RISULTATO ECONOMICO","",IFERROR(INDEX(PDC,MATCH(ROWS($CV$3:CV346),$CU$3:$CU$400,0),2),""))</f>
        <v/>
      </c>
      <c r="CW346" s="48">
        <f ca="1">IFERROR(IF(CV346&lt;&gt;"",MAX($CW$2:CW345)+1,0),0)</f>
        <v>0</v>
      </c>
      <c r="CX346" s="48">
        <f t="shared" ca="1" si="679"/>
        <v>27</v>
      </c>
      <c r="CY346" s="48" t="str">
        <f t="shared" ca="1" si="678"/>
        <v>MASTRO</v>
      </c>
      <c r="CZ346" s="48" t="e">
        <f t="shared" ca="1" si="681"/>
        <v>#N/A</v>
      </c>
      <c r="DA346" s="48" t="str">
        <f t="shared" ca="1" si="686"/>
        <v/>
      </c>
      <c r="DB346" s="48" t="str">
        <f t="shared" ca="1" si="682"/>
        <v/>
      </c>
      <c r="DC346" s="48" t="str">
        <f t="shared" ca="1" si="683"/>
        <v/>
      </c>
      <c r="DD346" s="48" t="str">
        <f t="shared" ca="1" si="684"/>
        <v/>
      </c>
      <c r="DE346" s="48" t="str">
        <f t="shared" ca="1" si="685"/>
        <v/>
      </c>
      <c r="DF346" s="48">
        <f ca="1">IF(AND(CX346=$DF$1,CX346&lt;&gt;""),0,IF(AND(DB346&lt;&gt;"",OR(DB345&lt;&gt;"",DB347&lt;&gt;"")),MAX($DF$2:DF345)+1,0))</f>
        <v>0</v>
      </c>
      <c r="DH346" s="244" t="s">
        <v>944</v>
      </c>
      <c r="DI346" s="48" t="s">
        <v>246</v>
      </c>
      <c r="DJ346" s="48" t="s">
        <v>311</v>
      </c>
      <c r="DK346" s="48" t="s">
        <v>298</v>
      </c>
      <c r="DL346" s="48" t="s">
        <v>320</v>
      </c>
      <c r="DM346" s="48" t="s">
        <v>300</v>
      </c>
      <c r="DN346" s="48">
        <f ca="1">IF(DI346&lt;&gt;"",MAX($DN$2:DN345)+1,0)</f>
        <v>276</v>
      </c>
      <c r="DO346" s="48" t="s">
        <v>719</v>
      </c>
      <c r="DW346" s="48">
        <f>IF(DR346&lt;&gt;"",MAX($DW$2:DW345)+1,0)</f>
        <v>0</v>
      </c>
      <c r="DY346" s="48" t="str">
        <f t="shared" ca="1" si="647"/>
        <v/>
      </c>
      <c r="EL346" s="48">
        <f t="shared" ca="1" si="648"/>
        <v>0</v>
      </c>
      <c r="EM346" s="48">
        <f ca="1">IF(EL346&gt;=0,0,MAX($EM$2:EM345)+1)</f>
        <v>0</v>
      </c>
      <c r="EN346" s="48" t="str">
        <f t="shared" ca="1" si="658"/>
        <v/>
      </c>
      <c r="EO346" s="48" t="str">
        <f ca="1">IFERROR(INDEX($EM$3:$EN$400,MATCH(ROWS($EO$3:EO346),$EM$3:$EM$400,0),2),"")</f>
        <v/>
      </c>
      <c r="EP346" s="48">
        <f>ROW()</f>
        <v>346</v>
      </c>
      <c r="EQ346" s="48">
        <f t="shared" ca="1" si="649"/>
        <v>0</v>
      </c>
      <c r="ER346" s="48">
        <f ca="1">IF(ISNA(EQ346)=TRUE,MAX($ER$2:ER345)+1,0)</f>
        <v>0</v>
      </c>
      <c r="ES346" s="48" t="str">
        <f t="shared" ca="1" si="659"/>
        <v/>
      </c>
      <c r="ET346" s="48" t="str">
        <f ca="1">IFERROR(INDEX($ER$3:$ES$400,MATCH(ROWS($ET$3:ET346),$ER$3:$ER$400,0),2),"")</f>
        <v/>
      </c>
      <c r="EV346" s="48">
        <f ca="1">IFERROR(INDEX(LIBRO_GIORNALE!$O$11:$P$408,MATCH(ROWS($EV$2:EV345),LIBRO_GIORNALE!$P$11:$P$408,0),1),0)</f>
        <v>0</v>
      </c>
      <c r="EW346" s="48" t="str">
        <f t="shared" ca="1" si="629"/>
        <v>0</v>
      </c>
      <c r="EX346" s="48">
        <f t="shared" ca="1" si="660"/>
        <v>0</v>
      </c>
      <c r="EY346" s="48">
        <f ca="1">IF(EX346&gt;0,MAX($EY$2:EY345)+1,0)</f>
        <v>0</v>
      </c>
      <c r="EZ346" s="48">
        <f ca="1">IFERROR(INDEX($EX$3:$EX$400,MATCH(ROWS($EZ$3:EZ346),$EY$3:$EY$400,0),1),0)</f>
        <v>0</v>
      </c>
      <c r="FA346" s="48">
        <f ca="1">IF(EZ346&gt;0,0,MAX($FA$2:FA345)+1)</f>
        <v>344</v>
      </c>
      <c r="FB346" s="48">
        <f t="shared" ca="1" si="630"/>
        <v>0</v>
      </c>
      <c r="FC346" s="48">
        <f t="shared" ca="1" si="631"/>
        <v>344</v>
      </c>
      <c r="FD346" s="48">
        <f t="shared" ca="1" si="661"/>
        <v>344</v>
      </c>
      <c r="FE346" s="48">
        <f ca="1">IF(FD346=0,0,MAX($FE$2:FE345)+1)</f>
        <v>344</v>
      </c>
      <c r="FF346" s="48">
        <f ca="1">IFERROR(INDEX($FD$3:$FE$400,MATCH(ROWS($FF$3:FF346),$FE$3:$FE$400,0),1),"")</f>
        <v>344</v>
      </c>
      <c r="FG346" s="48">
        <f t="shared" si="610"/>
        <v>0</v>
      </c>
      <c r="FH346" s="48">
        <f t="shared" ca="1" si="662"/>
        <v>0</v>
      </c>
      <c r="FI346" s="48">
        <f ca="1">IF(FH346&lt;&gt;0,MAX($FI$2:FI345)+1,0)</f>
        <v>0</v>
      </c>
      <c r="FJ346" s="48" t="str">
        <f ca="1">IFERROR(INDEX($FH$3:$FI$400,MATCH(ROWS($FJ$3:FJ346),$FI$3:$FI$400,0),1),"")</f>
        <v/>
      </c>
      <c r="FK346" s="48">
        <f ca="1">IF(ABS(SUMIFS(DARE,DEN_G,"="&amp;FJ346,DATA,"&lt;="&amp;FINE_AC,DATA,"&gt;="&amp;INIZIO_A_PC)-SUMIFS(AVERE,DEN_G,"="&amp;FJ346,DATA,"&lt;="&amp;FINE_AC,DATA,"&gt;="&amp;INIZIO_A_PC))&gt;0,MAX($FK$2:FK345)+1,0)</f>
        <v>0</v>
      </c>
      <c r="FL346" s="48" t="str">
        <f ca="1">IF(AND(ROW()-2&lt;&gt;1,ROW()-2&lt;=$FK$1),CONCATENATE(" - ",IFERROR(INDEX($FJ$3:$FK$400,MATCH(ROWS($FL$3:FL346),$FK$3:$FK$400,0),1),"")),IFERROR(INDEX($FJ$3:$FK$400,MATCH(ROWS($FL$3:FL346),$FK$3:$FK$400,0),1),""))</f>
        <v/>
      </c>
      <c r="FM346" s="48">
        <f ca="1">IF(OR(B346="IVA ns/credito",B346="IVA NS/DEBITO",B346="IVA C/ACCONTO",B346="IMPOSTE C/ACCONTO",B346="CREDITI PER RITENUTE SUBITE",B346="CREDITI D'IMPOSTA"),MAX($FM$2:FM345)+1,0)</f>
        <v>0</v>
      </c>
      <c r="FN346" s="48" t="str">
        <f t="shared" ca="1" si="663"/>
        <v/>
      </c>
      <c r="FO346" s="48" t="str">
        <f ca="1">IFERROR(INDEX($FM$3:$FN$400,MATCH(ROWS($FO$3:FO346),$FM$3:$FM$400,0),2),"")</f>
        <v/>
      </c>
      <c r="FP346" s="48">
        <f ca="1">IF(ABS(SUMIFS(DARE,DEN_G,"="&amp;FO346,DATA,"&lt;="&amp;FINE_AC,DATA,"&gt;="&amp;INIZIO_A_PC)-SUMIFS(AVERE,DEN_G,"="&amp;FO346,DATA,"&lt;="&amp;FINE_AC,DATA,"&gt;="&amp;INIZIO_A_PC))&gt;0,MAX($FP$2:FP345)+1,0)</f>
        <v>0</v>
      </c>
      <c r="FQ346" s="48" t="str">
        <f ca="1">IF(AND(ROW()-2&lt;&gt;1,ROW()-2&lt;=$FP$1),CONCATENATE(" - ",IFERROR(INDEX($FO$3:$FP$400,MATCH(ROWS($FQ$3:FQ346),$FP$3:$FP$400,0),1),"")),IFERROR(INDEX($FO$3:$FP$400,MATCH(ROWS($FQ$3:FQ346),$FP$3:$FP$400,0),1),""))</f>
        <v/>
      </c>
    </row>
    <row r="347" spans="1:173" x14ac:dyDescent="0.3">
      <c r="A347" s="48" t="str">
        <f ca="1">IFERROR(IF($A$1=2,INDEX($DH$3:$DN$401,MATCH(ROWS(A$3:A347),$DN$3:$DN$401,0),COLUMN()),IF($A$1=1,INDEX($DQ$3:$DW$401,MATCH(ROWS(A$3:A347),$DW$3:$DW$401,0),COLUMN()),"")),"")</f>
        <v/>
      </c>
      <c r="B347" s="48" t="str">
        <f ca="1">IFERROR(IF($A$1=2,INDEX($DH$3:$DN$400,MATCH(ROWS(B$3:B347),$DN$3:$DN$400,0),COLUMN()),IF($A$1=1,INDEX($DQ$3:$DW$400,MATCH(ROWS(B$3:B347),$DW$3:$DW$400,0),COLUMN()),"")),"")</f>
        <v/>
      </c>
      <c r="D347" s="48" t="str">
        <f ca="1">IFERROR(IF($A$1=2,INDEX($DH$3:$DN$401,MATCH(ROWS(D$3:D347),$DN$3:$DN$401,0),COLUMN()),IF($A$1=1,INDEX($DQ$3:$DW$401,MATCH(ROWS(D$3:D347),$DW$3:$DW$401,0),COLUMN()),"")),"")</f>
        <v/>
      </c>
      <c r="E347" s="48" t="str">
        <f ca="1">IFERROR(IF($A$1=2,INDEX($DH$3:$DN$401,MATCH(ROWS(E$3:E347),$DN$3:$DN$401,0),COLUMN()),IF($A$1=1,INDEX($DQ$3:$DW$401,MATCH(ROWS(E$3:E347),$DW$3:$DW$401,0),COLUMN()),"")),"")</f>
        <v/>
      </c>
      <c r="F347" s="48" t="str">
        <f ca="1">IFERROR(IF($A$1=2,INDEX($DH$3:$DN$401,MATCH(ROWS(F$3:F347),$DN$3:$DN$401,0),COLUMN()),IF($A$1=1,INDEX($DQ$3:$DX$401,MATCH(ROWS(F$3:F347),$DW$3:$DW$401,0),COLUMN()),"")),"")</f>
        <v/>
      </c>
      <c r="G347" s="48" t="str">
        <f t="shared" ca="1" si="650"/>
        <v/>
      </c>
      <c r="H347" s="48" t="str">
        <f ca="1">IFERROR(IF($A$1=2,INDEX($DH$3:$DO$400,MATCH(ROWS(H$3:H347),$DN$3:$DN$400,0),COLUMN()),IF($A$1=1,INDEX($DQ$3:$DX$400,MATCH(ROWS(H$3:H347),$DW$3:$DW$400,0),COLUMN()),"")),"")</f>
        <v/>
      </c>
      <c r="M347" s="48">
        <f ca="1">IFERROR(IF(IF(MID($A347,3,3)=".00",MID(A347,1,2),"")&lt;&gt;"",MAX($M$2:M346)+1,0),"")</f>
        <v>0</v>
      </c>
      <c r="N347" s="48" t="str">
        <f t="shared" ca="1" si="651"/>
        <v/>
      </c>
      <c r="O347" s="48" t="str">
        <f ca="1">IF(IFERROR(INDEX($N$3:$O$300,MATCH(ROWS($O$3:O347),$M$3:$M$300,0),1),"")&lt;&gt;"",CONCATENATE(INDEX($N$3:$O$300,MATCH(ROWS($O$3:O347),$M$3:$M$300,0),1),".00"),"")</f>
        <v/>
      </c>
      <c r="P347" s="48" t="str">
        <f t="shared" ca="1" si="652"/>
        <v/>
      </c>
      <c r="Q347" s="48">
        <f ca="1">IF(M347&gt;=1,0,MAX($Q$2:Q346)+1)</f>
        <v>308</v>
      </c>
      <c r="U347" s="48" t="str">
        <f ca="1">IFERROR(INDEX(PDC,MATCH(ROWS(U$3:U347),$V$3:$V$400,0),2),"")</f>
        <v/>
      </c>
      <c r="V347" s="48">
        <f ca="1">IF(AND($T$1="VISUALIZZA TUTTI I CONTI",AA347&lt;&gt;""),MAX($V$2:V346)+1,IF(AND($U$2=2,AI347=$T$1),MAX($V$2:V346)+1,IF(AND($U$2=1,$T$1=AF347),MAX($V$2:V346)+1,0)))</f>
        <v>0</v>
      </c>
      <c r="AA347" s="48" t="str">
        <f t="shared" ca="1" si="653"/>
        <v/>
      </c>
      <c r="AB347" s="48" t="str">
        <f ca="1">IFERROR(INDEX($A$3:$G$400,MATCH(ROWS(AB$3:AB347),$Q$3:$Q$400,0),1),"")</f>
        <v/>
      </c>
      <c r="AC347" s="48" t="str">
        <f ca="1">IFERROR(INDEX($A$3:$G$400,MATCH(ROWS($AC$3:AC347),$Q$3:$Q$400,0),2),"")</f>
        <v/>
      </c>
      <c r="AD347" s="48">
        <f ca="1">IFERROR(INDEX($A$3:$G$400,MATCH(ROWS(AD$3:AD347),$Q$3:$Q$400,0),3),"")</f>
        <v>0</v>
      </c>
      <c r="AE347" s="48" t="str">
        <f ca="1">IFERROR(INDEX($A$3:$G$400,MATCH(ROWS(AE$3:AE347),$Q$3:$Q$400,0),4),"")</f>
        <v/>
      </c>
      <c r="AF347" s="48" t="str">
        <f ca="1">IFERROR(INDEX($A$3:$G$400,MATCH(ROWS(AF$3:AF347),$Q$3:$Q$400,0),5),"")</f>
        <v/>
      </c>
      <c r="AG347" s="48" t="str">
        <f ca="1">IFERROR(INDEX($A$3:$G$400,MATCH(ROWS(AG$3:AG347),$Q$3:$Q$400,0),6),"")</f>
        <v/>
      </c>
      <c r="AH347" s="48" t="str">
        <f ca="1">IFERROR(INDEX($A$3:$G$400,MATCH(ROWS(AH$3:AH347),$Q$3:$Q$400,0),7),"")</f>
        <v/>
      </c>
      <c r="AI347" s="48" t="str">
        <f t="shared" ca="1" si="654"/>
        <v/>
      </c>
      <c r="AJ347" s="48" t="str">
        <f ca="1">IFERROR(INDEX($A$3:$H$400,MATCH(ROWS(AJ$3:AJ347),$Q$3:$Q$400,0),8),"")</f>
        <v/>
      </c>
      <c r="AZ347" s="48" t="str">
        <f t="shared" ca="1" si="669"/>
        <v/>
      </c>
      <c r="BA347" s="48">
        <f t="shared" ca="1" si="611"/>
        <v>0</v>
      </c>
      <c r="BB347" s="48">
        <f t="shared" ca="1" si="612"/>
        <v>0</v>
      </c>
      <c r="BC347" s="48">
        <f t="shared" ca="1" si="613"/>
        <v>0</v>
      </c>
      <c r="BD347" s="48">
        <f t="shared" ca="1" si="614"/>
        <v>0</v>
      </c>
      <c r="BE347" s="48">
        <f t="shared" ca="1" si="615"/>
        <v>0</v>
      </c>
      <c r="BF347" s="48">
        <f t="shared" si="670"/>
        <v>147</v>
      </c>
      <c r="BG347" s="48">
        <f ca="1">IF(IF(AND(OR(INDEX(PDC,MATCH($AC347,DEN_PDC,0),6)="SP DARE",INDEX(PDC,MATCH($AC347,DEN_PDC,0),6)="SP DARE/AVERE"),SUMIFS(DARE,DEN_G,$AC347)&gt;=SUMIFS(AVERE,DEN_G,$AC347)),SUMIFS(DARE,DEN_G,$AC347)-SUMIFS(AVERE,DEN_G,$AC347),0)&gt;0,MAX($BG$2:BG346)+1,0)</f>
        <v>0</v>
      </c>
      <c r="BH347" s="48">
        <f ca="1">IF(IF(AND(OR(INDEX(PDC,MATCH($AC347,DEN_PDC,0),6)="SP AVERE",INDEX(PDC,MATCH($AC347,DEN_PDC,0),6)="SP DARE/AVERE"),SUMIFS(AVERE,DEN_G,$AC347)&gt;=SUMIFS(DARE,DEN_G,$AC347)),SUMIFS(AVERE,DEN_G,$AC347)-SUMIFS(DARE,DEN_G,$AC347),0)&gt;0,MAX(BH$2:BH346)+1,0)</f>
        <v>0</v>
      </c>
      <c r="BI347" s="48">
        <f ca="1">IF(IF(AND(OR(INDEX(PDC,MATCH($AC347,DEN_PDC,0),6)="SE DARE",INDEX(PDC,MATCH($AC347,DEN_PDC,0),6)="SE DARE/AVERE"),SUMIFS(DARE,DEN_G,$AC347)&gt;=SUMIFS(AVERE,DEN_G,$AC347)),SUMIFS(DARE,DEN_G,$AC347)-SUMIFS(AVERE,DEN_G,$AC347),0)&gt;0,MAX(BI$2:BI346)+1,0)</f>
        <v>0</v>
      </c>
      <c r="BJ347" s="48">
        <f ca="1">IF(IF(AND(OR(INDEX(PDC,MATCH($AC347,DEN_PDC,0),6)="SE AVERE",INDEX(PDC,MATCH($AC347,DEN_PDC,0),6)="SE DARE/AVERE"),SUMIFS(AVERE,DEN_G,$AC347)&gt;=SUMIFS(DARE,DEN_G,$AC347)),SUMIFS(AVERE,DEN_G,$AC347)-SUMIFS(DARE,DEN_G,$AC347),0)&gt;0,MAX(BJ$2:BJ346)+1,0)</f>
        <v>0</v>
      </c>
      <c r="BK347" s="48" t="str">
        <f ca="1">IF(AND(AND($DY$2=0,$DY$1=0),$I$1=2,ROW()&gt;$BG$1+2,ROW()&lt;=$BG$1+4),"………………..",IF(AND(OR($DY$2&gt;0,$DY$1&gt;0),$I$1=2,ROW()&gt;$BG$1+2,ROW()&lt;=$BG$1+4),"………………..",IFERROR(INDEX($AC$3:$AC$398,MATCH(ROWS(BK$3:BK347),BG$3:BG$398,0),1),"")))</f>
        <v/>
      </c>
      <c r="BL347" s="48">
        <f t="shared" ca="1" si="637"/>
        <v>0</v>
      </c>
      <c r="BM347" s="48" t="str">
        <f ca="1">IF(AND(OR($DY$2=0,$DY$1=0),$I$1=2,ROW()&gt;$BH$1+2,ROW()&lt;=$BH$1+4),"………………..",IF(AND(OR($DY$2&gt;0,$DY$1&gt;0),$I$1=2,ROW()&gt;$BH$1+2,ROW()&lt;=$BH$1+4),"………………..",IFERROR(INDEX($AC$3:$AC$400,MATCH(ROWS(BM$3:BM347),BH$3:BH$400,0),1),"")))</f>
        <v/>
      </c>
      <c r="BN347" s="48">
        <f t="shared" ca="1" si="638"/>
        <v>0</v>
      </c>
      <c r="BO347" s="48" t="str">
        <f ca="1">IF(AND(OR($DY$2=0,$DY$1=0),$I$1=2,ROW()&gt;$BI$1+2,ROW()&lt;=$BI$1+4),"………………..",IF(AND(OR($DY$2&gt;0,$DY$1&gt;0),$I$1=2,ROW()&gt;$BI$1+2,ROW()&lt;=$BI$1+4),"………………..",IFERROR(INDEX($AC$3:$AC$400,MATCH(ROWS(BO$3:BO347),BI$3:BI$400,0),1),"")))</f>
        <v/>
      </c>
      <c r="BP347" s="48">
        <f t="shared" ca="1" si="639"/>
        <v>0</v>
      </c>
      <c r="BQ347" s="48" t="str">
        <f ca="1">IF(AND(OR($DY$2=0,$DY$1=0),$I$1=2,ROW()&gt;$BJ$1+2,ROW()&lt;=$BJ$1+4),"………………..",IF(AND(OR($DY$2&gt;0,$DY$1&gt;0),$I$1=2,ROW()&gt;$BJ$1+2,ROW()&lt;=$BJ$1+4),"………………..",IFERROR(INDEX($AC$3:$AC$400,MATCH(ROWS(BQ$3:BQ347),BJ$3:BJ$400,0),1),"")))</f>
        <v/>
      </c>
      <c r="BR347" s="48">
        <f t="shared" ca="1" si="640"/>
        <v>0</v>
      </c>
      <c r="BS347" s="48">
        <f ca="1">IF(IF(AND(OR(INDEX(PDC,MATCH($AC347,DEN_PDC,0),4)="D",INDEX(PDC,MATCH($AC347,DEN_PDC,0),4)="D/A"),SUMIFS(DARE,DEN_G,$AC347)&gt;=SUMIFS(AVERE,DEN_G,$AC347)),SUMIFS(DARE,DEN_G,$AC347),IF(AND(OR(INDEX(PDC,MATCH($AC347,DEN_PDC,0),4)="A",INDEX(PDC,MATCH($AC347,DEN_PDC,0),4)="D/A"),SUMIFS(AVERE,DEN_G,$AC347)&gt;=SUMIFS(DARE,DEN_G,$AC347)),SUMIFS(AVERE,DEN_G,$AC347),))&gt;0,MAX($BS$2:BS346)+1,0)</f>
        <v>0</v>
      </c>
      <c r="BT347" s="48" t="str">
        <f ca="1">IF($CO$1=0,"",IF(AND($I$1=2,ROW()&gt;$BR$1,ROW()&lt;=$BS$1)," …………….",IF(AND($E$1=1,$BX$1=1,$I$1=2,ROW()=$BQ$1),"TOTALI",IFERROR(INDEX(PDC,MATCH(ROWS(BT$3:BT347),BS$3:BS744,0),2),""))))</f>
        <v/>
      </c>
      <c r="BU347" s="48">
        <f t="shared" ca="1" si="641"/>
        <v>0</v>
      </c>
      <c r="BV347" s="48">
        <f t="shared" ca="1" si="642"/>
        <v>0</v>
      </c>
      <c r="BW347" s="48">
        <f t="shared" ca="1" si="643"/>
        <v>0</v>
      </c>
      <c r="BX347" s="48">
        <f t="shared" ca="1" si="644"/>
        <v>0</v>
      </c>
      <c r="BY347" s="48">
        <f ca="1">IF(OR(BW347&gt;0,BX347&gt;0),MAX($BY$2:BY346)+1,0)</f>
        <v>0</v>
      </c>
      <c r="BZ347" s="48" t="str">
        <f ca="1">IFERROR(INDEX($BT$3:$BY$400,MATCH(ROWS(BZ$3:BZ347),$BY$3:$BY$400,0),1),"")</f>
        <v/>
      </c>
      <c r="CA347" s="48" t="str">
        <f ca="1">IFERROR(INDEX($BT$3:$BY$400,MATCH(ROWS(CA$3:CA347),$BY$3:$BY$400,0),4),"")</f>
        <v/>
      </c>
      <c r="CB347" s="48" t="str">
        <f ca="1">IFERROR(INDEX($BT$3:$BY$400,MATCH(ROWS(CB$3:CB347),$BY$3:$BY$400,0),5),"")</f>
        <v/>
      </c>
      <c r="CC347" s="48" t="str">
        <f t="shared" ca="1" si="645"/>
        <v/>
      </c>
      <c r="CM347" s="242" t="str">
        <f t="shared" ca="1" si="655"/>
        <v/>
      </c>
      <c r="CN347" s="243">
        <f t="shared" ca="1" si="656"/>
        <v>0</v>
      </c>
      <c r="CO347" s="48" t="str">
        <f t="shared" ca="1" si="657"/>
        <v/>
      </c>
      <c r="CU347" s="48">
        <f ca="1">IF(SUMIFS(AVERE,DEN_G,AC347,AVERE,"&gt;"&amp;0)+SUMIFS(DARE,DEN_G,AC347,DARE,"&gt;"&amp;0)&gt;0,MAX($CU$2:CU346)+1,0)</f>
        <v>0</v>
      </c>
      <c r="CV347" s="48" t="str">
        <f ca="1">IF(IFERROR(INDEX(PDC,MATCH(ROWS($CV$3:CV347),$CU$3:$CU$400,0),2),"")="CONTO DI RISULTATO ECONOMICO","",IFERROR(INDEX(PDC,MATCH(ROWS($CV$3:CV347),$CU$3:$CU$400,0),2),""))</f>
        <v/>
      </c>
      <c r="CW347" s="48">
        <f ca="1">IFERROR(IF(CV347&lt;&gt;"",MAX($CW$2:CW346)+1,0),0)</f>
        <v>0</v>
      </c>
      <c r="CX347" s="48">
        <f t="shared" ca="1" si="679"/>
        <v>27</v>
      </c>
      <c r="CY347" s="48" t="str">
        <f t="shared" ca="1" si="678"/>
        <v>MASTRO</v>
      </c>
      <c r="CZ347" s="48" t="e">
        <f t="shared" ca="1" si="681"/>
        <v>#N/A</v>
      </c>
      <c r="DA347" s="48" t="str">
        <f t="shared" ca="1" si="686"/>
        <v/>
      </c>
      <c r="DB347" s="48" t="str">
        <f t="shared" ca="1" si="682"/>
        <v/>
      </c>
      <c r="DC347" s="48" t="str">
        <f t="shared" ca="1" si="683"/>
        <v/>
      </c>
      <c r="DD347" s="48" t="str">
        <f t="shared" ca="1" si="684"/>
        <v/>
      </c>
      <c r="DE347" s="48" t="str">
        <f t="shared" ca="1" si="685"/>
        <v/>
      </c>
      <c r="DF347" s="48">
        <f ca="1">IF(AND(CX347=$DF$1,CX347&lt;&gt;""),0,IF(AND(DB347&lt;&gt;"",OR(DB346&lt;&gt;"",DB348&lt;&gt;"")),MAX($DF$2:DF346)+1,0))</f>
        <v>0</v>
      </c>
      <c r="DH347" s="244" t="s">
        <v>247</v>
      </c>
      <c r="DI347" s="228" t="s">
        <v>945</v>
      </c>
      <c r="DN347" s="48">
        <f ca="1">IF(DI347&lt;&gt;"",MAX($DN$2:DN346)+1,0)</f>
        <v>277</v>
      </c>
      <c r="DW347" s="48">
        <f>IF(DR347&lt;&gt;"",MAX($DW$2:DW346)+1,0)</f>
        <v>0</v>
      </c>
      <c r="DY347" s="48" t="str">
        <f t="shared" ca="1" si="647"/>
        <v/>
      </c>
      <c r="EL347" s="48">
        <f t="shared" ca="1" si="648"/>
        <v>0</v>
      </c>
      <c r="EM347" s="48">
        <f ca="1">IF(EL347&gt;=0,0,MAX($EM$2:EM346)+1)</f>
        <v>0</v>
      </c>
      <c r="EN347" s="48" t="str">
        <f t="shared" ca="1" si="658"/>
        <v/>
      </c>
      <c r="EO347" s="48" t="str">
        <f ca="1">IFERROR(INDEX($EM$3:$EN$400,MATCH(ROWS($EO$3:EO347),$EM$3:$EM$400,0),2),"")</f>
        <v/>
      </c>
      <c r="EP347" s="48">
        <f>ROW()</f>
        <v>347</v>
      </c>
      <c r="EQ347" s="48">
        <f t="shared" ca="1" si="649"/>
        <v>0</v>
      </c>
      <c r="ER347" s="48">
        <f ca="1">IF(ISNA(EQ347)=TRUE,MAX($ER$2:ER346)+1,0)</f>
        <v>0</v>
      </c>
      <c r="ES347" s="48" t="str">
        <f t="shared" ca="1" si="659"/>
        <v/>
      </c>
      <c r="ET347" s="48" t="str">
        <f ca="1">IFERROR(INDEX($ER$3:$ES$400,MATCH(ROWS($ET$3:ET347),$ER$3:$ER$400,0),2),"")</f>
        <v/>
      </c>
      <c r="EV347" s="48">
        <f ca="1">IFERROR(INDEX(LIBRO_GIORNALE!$O$11:$P$408,MATCH(ROWS($EV$2:EV346),LIBRO_GIORNALE!$P$11:$P$408,0),1),0)</f>
        <v>0</v>
      </c>
      <c r="EW347" s="48" t="str">
        <f t="shared" ca="1" si="629"/>
        <v>0</v>
      </c>
      <c r="EX347" s="48">
        <f t="shared" ca="1" si="660"/>
        <v>0</v>
      </c>
      <c r="EY347" s="48">
        <f ca="1">IF(EX347&gt;0,MAX($EY$2:EY346)+1,0)</f>
        <v>0</v>
      </c>
      <c r="EZ347" s="48">
        <f ca="1">IFERROR(INDEX($EX$3:$EX$400,MATCH(ROWS($EZ$3:EZ347),$EY$3:$EY$400,0),1),0)</f>
        <v>0</v>
      </c>
      <c r="FA347" s="48">
        <f ca="1">IF(EZ347&gt;0,0,MAX($FA$2:FA346)+1)</f>
        <v>345</v>
      </c>
      <c r="FB347" s="48">
        <f t="shared" ca="1" si="630"/>
        <v>0</v>
      </c>
      <c r="FC347" s="48">
        <f t="shared" ca="1" si="631"/>
        <v>345</v>
      </c>
      <c r="FD347" s="48">
        <f t="shared" ca="1" si="661"/>
        <v>345</v>
      </c>
      <c r="FE347" s="48">
        <f ca="1">IF(FD347=0,0,MAX($FE$2:FE346)+1)</f>
        <v>345</v>
      </c>
      <c r="FF347" s="48">
        <f ca="1">IFERROR(INDEX($FD$3:$FE$400,MATCH(ROWS($FF$3:FF347),$FE$3:$FE$400,0),1),"")</f>
        <v>345</v>
      </c>
      <c r="FG347" s="48">
        <f t="shared" si="610"/>
        <v>0</v>
      </c>
      <c r="FH347" s="48">
        <f t="shared" ca="1" si="662"/>
        <v>0</v>
      </c>
      <c r="FI347" s="48">
        <f ca="1">IF(FH347&lt;&gt;0,MAX($FI$2:FI346)+1,0)</f>
        <v>0</v>
      </c>
      <c r="FJ347" s="48" t="str">
        <f ca="1">IFERROR(INDEX($FH$3:$FI$400,MATCH(ROWS($FJ$3:FJ347),$FI$3:$FI$400,0),1),"")</f>
        <v/>
      </c>
      <c r="FK347" s="48">
        <f ca="1">IF(ABS(SUMIFS(DARE,DEN_G,"="&amp;FJ347,DATA,"&lt;="&amp;FINE_AC,DATA,"&gt;="&amp;INIZIO_A_PC)-SUMIFS(AVERE,DEN_G,"="&amp;FJ347,DATA,"&lt;="&amp;FINE_AC,DATA,"&gt;="&amp;INIZIO_A_PC))&gt;0,MAX($FK$2:FK346)+1,0)</f>
        <v>0</v>
      </c>
      <c r="FL347" s="48" t="str">
        <f ca="1">IF(AND(ROW()-2&lt;&gt;1,ROW()-2&lt;=$FK$1),CONCATENATE(" - ",IFERROR(INDEX($FJ$3:$FK$400,MATCH(ROWS($FL$3:FL347),$FK$3:$FK$400,0),1),"")),IFERROR(INDEX($FJ$3:$FK$400,MATCH(ROWS($FL$3:FL347),$FK$3:$FK$400,0),1),""))</f>
        <v/>
      </c>
      <c r="FM347" s="48">
        <f ca="1">IF(OR(B347="IVA ns/credito",B347="IVA NS/DEBITO",B347="IVA C/ACCONTO",B347="IMPOSTE C/ACCONTO",B347="CREDITI PER RITENUTE SUBITE",B347="CREDITI D'IMPOSTA"),MAX($FM$2:FM346)+1,0)</f>
        <v>0</v>
      </c>
      <c r="FN347" s="48" t="str">
        <f t="shared" ca="1" si="663"/>
        <v/>
      </c>
      <c r="FO347" s="48" t="str">
        <f ca="1">IFERROR(INDEX($FM$3:$FN$400,MATCH(ROWS($FO$3:FO347),$FM$3:$FM$400,0),2),"")</f>
        <v/>
      </c>
      <c r="FP347" s="48">
        <f ca="1">IF(ABS(SUMIFS(DARE,DEN_G,"="&amp;FO347,DATA,"&lt;="&amp;FINE_AC,DATA,"&gt;="&amp;INIZIO_A_PC)-SUMIFS(AVERE,DEN_G,"="&amp;FO347,DATA,"&lt;="&amp;FINE_AC,DATA,"&gt;="&amp;INIZIO_A_PC))&gt;0,MAX($FP$2:FP346)+1,0)</f>
        <v>0</v>
      </c>
      <c r="FQ347" s="48" t="str">
        <f ca="1">IF(AND(ROW()-2&lt;&gt;1,ROW()-2&lt;=$FP$1),CONCATENATE(" - ",IFERROR(INDEX($FO$3:$FP$400,MATCH(ROWS($FQ$3:FQ347),$FP$3:$FP$400,0),1),"")),IFERROR(INDEX($FO$3:$FP$400,MATCH(ROWS($FQ$3:FQ347),$FP$3:$FP$400,0),1),""))</f>
        <v/>
      </c>
    </row>
    <row r="348" spans="1:173" x14ac:dyDescent="0.3">
      <c r="A348" s="48" t="str">
        <f ca="1">IFERROR(IF($A$1=2,INDEX($DH$3:$DN$401,MATCH(ROWS(A$3:A348),$DN$3:$DN$401,0),COLUMN()),IF($A$1=1,INDEX($DQ$3:$DW$401,MATCH(ROWS(A$3:A348),$DW$3:$DW$401,0),COLUMN()),"")),"")</f>
        <v/>
      </c>
      <c r="B348" s="48" t="str">
        <f ca="1">IFERROR(IF($A$1=2,INDEX($DH$3:$DN$400,MATCH(ROWS(B$3:B348),$DN$3:$DN$400,0),COLUMN()),IF($A$1=1,INDEX($DQ$3:$DW$400,MATCH(ROWS(B$3:B348),$DW$3:$DW$400,0),COLUMN()),"")),"")</f>
        <v/>
      </c>
      <c r="D348" s="48" t="str">
        <f ca="1">IFERROR(IF($A$1=2,INDEX($DH$3:$DN$401,MATCH(ROWS(D$3:D348),$DN$3:$DN$401,0),COLUMN()),IF($A$1=1,INDEX($DQ$3:$DW$401,MATCH(ROWS(D$3:D348),$DW$3:$DW$401,0),COLUMN()),"")),"")</f>
        <v/>
      </c>
      <c r="E348" s="48" t="str">
        <f ca="1">IFERROR(IF($A$1=2,INDEX($DH$3:$DN$401,MATCH(ROWS(E$3:E348),$DN$3:$DN$401,0),COLUMN()),IF($A$1=1,INDEX($DQ$3:$DW$401,MATCH(ROWS(E$3:E348),$DW$3:$DW$401,0),COLUMN()),"")),"")</f>
        <v/>
      </c>
      <c r="F348" s="48" t="str">
        <f ca="1">IFERROR(IF($A$1=2,INDEX($DH$3:$DN$401,MATCH(ROWS(F$3:F348),$DN$3:$DN$401,0),COLUMN()),IF($A$1=1,INDEX($DQ$3:$DX$401,MATCH(ROWS(F$3:F348),$DW$3:$DW$401,0),COLUMN()),"")),"")</f>
        <v/>
      </c>
      <c r="G348" s="48" t="str">
        <f t="shared" ca="1" si="650"/>
        <v/>
      </c>
      <c r="H348" s="48" t="str">
        <f ca="1">IFERROR(IF($A$1=2,INDEX($DH$3:$DO$400,MATCH(ROWS(H$3:H348),$DN$3:$DN$400,0),COLUMN()),IF($A$1=1,INDEX($DQ$3:$DX$400,MATCH(ROWS(H$3:H348),$DW$3:$DW$400,0),COLUMN()),"")),"")</f>
        <v/>
      </c>
      <c r="M348" s="48">
        <f ca="1">IFERROR(IF(IF(MID($A348,3,3)=".00",MID(A348,1,2),"")&lt;&gt;"",MAX($M$2:M347)+1,0),"")</f>
        <v>0</v>
      </c>
      <c r="N348" s="48" t="str">
        <f t="shared" ca="1" si="651"/>
        <v/>
      </c>
      <c r="O348" s="48" t="str">
        <f ca="1">IF(IFERROR(INDEX($N$3:$O$300,MATCH(ROWS($O$3:O348),$M$3:$M$300,0),1),"")&lt;&gt;"",CONCATENATE(INDEX($N$3:$O$300,MATCH(ROWS($O$3:O348),$M$3:$M$300,0),1),".00"),"")</f>
        <v/>
      </c>
      <c r="P348" s="48" t="str">
        <f t="shared" ca="1" si="652"/>
        <v/>
      </c>
      <c r="Q348" s="48">
        <f ca="1">IF(M348&gt;=1,0,MAX($Q$2:Q347)+1)</f>
        <v>309</v>
      </c>
      <c r="U348" s="48" t="str">
        <f ca="1">IFERROR(INDEX(PDC,MATCH(ROWS(U$3:U348),$V$3:$V$400,0),2),"")</f>
        <v/>
      </c>
      <c r="V348" s="48">
        <f ca="1">IF(AND($T$1="VISUALIZZA TUTTI I CONTI",AA348&lt;&gt;""),MAX($V$2:V347)+1,IF(AND($U$2=2,AI348=$T$1),MAX($V$2:V347)+1,IF(AND($U$2=1,$T$1=AF348),MAX($V$2:V347)+1,0)))</f>
        <v>0</v>
      </c>
      <c r="AA348" s="48" t="str">
        <f t="shared" ca="1" si="653"/>
        <v/>
      </c>
      <c r="AB348" s="48" t="str">
        <f ca="1">IFERROR(INDEX($A$3:$G$400,MATCH(ROWS(AB$3:AB348),$Q$3:$Q$400,0),1),"")</f>
        <v/>
      </c>
      <c r="AC348" s="48" t="str">
        <f ca="1">IFERROR(INDEX($A$3:$G$400,MATCH(ROWS($AC$3:AC348),$Q$3:$Q$400,0),2),"")</f>
        <v/>
      </c>
      <c r="AD348" s="48">
        <f ca="1">IFERROR(INDEX($A$3:$G$400,MATCH(ROWS(AD$3:AD348),$Q$3:$Q$400,0),3),"")</f>
        <v>0</v>
      </c>
      <c r="AE348" s="48" t="str">
        <f ca="1">IFERROR(INDEX($A$3:$G$400,MATCH(ROWS(AE$3:AE348),$Q$3:$Q$400,0),4),"")</f>
        <v/>
      </c>
      <c r="AF348" s="48" t="str">
        <f ca="1">IFERROR(INDEX($A$3:$G$400,MATCH(ROWS(AF$3:AF348),$Q$3:$Q$400,0),5),"")</f>
        <v/>
      </c>
      <c r="AG348" s="48" t="str">
        <f ca="1">IFERROR(INDEX($A$3:$G$400,MATCH(ROWS(AG$3:AG348),$Q$3:$Q$400,0),6),"")</f>
        <v/>
      </c>
      <c r="AH348" s="48" t="str">
        <f ca="1">IFERROR(INDEX($A$3:$G$400,MATCH(ROWS(AH$3:AH348),$Q$3:$Q$400,0),7),"")</f>
        <v/>
      </c>
      <c r="AI348" s="48" t="str">
        <f t="shared" ca="1" si="654"/>
        <v/>
      </c>
      <c r="AJ348" s="48" t="str">
        <f ca="1">IFERROR(INDEX($A$3:$H$400,MATCH(ROWS(AJ$3:AJ348),$Q$3:$Q$400,0),8),"")</f>
        <v/>
      </c>
      <c r="AZ348" s="48" t="str">
        <f t="shared" ca="1" si="669"/>
        <v/>
      </c>
      <c r="BA348" s="48">
        <f t="shared" ca="1" si="611"/>
        <v>0</v>
      </c>
      <c r="BB348" s="48">
        <f t="shared" ca="1" si="612"/>
        <v>0</v>
      </c>
      <c r="BC348" s="48">
        <f t="shared" ca="1" si="613"/>
        <v>0</v>
      </c>
      <c r="BD348" s="48">
        <f t="shared" ca="1" si="614"/>
        <v>0</v>
      </c>
      <c r="BE348" s="48">
        <f t="shared" ca="1" si="615"/>
        <v>0</v>
      </c>
      <c r="BF348" s="48">
        <f t="shared" si="670"/>
        <v>148</v>
      </c>
      <c r="BG348" s="48">
        <f ca="1">IF(IF(AND(OR(INDEX(PDC,MATCH($AC348,DEN_PDC,0),6)="SP DARE",INDEX(PDC,MATCH($AC348,DEN_PDC,0),6)="SP DARE/AVERE"),SUMIFS(DARE,DEN_G,$AC348)&gt;=SUMIFS(AVERE,DEN_G,$AC348)),SUMIFS(DARE,DEN_G,$AC348)-SUMIFS(AVERE,DEN_G,$AC348),0)&gt;0,MAX($BG$2:BG347)+1,0)</f>
        <v>0</v>
      </c>
      <c r="BH348" s="48">
        <f ca="1">IF(IF(AND(OR(INDEX(PDC,MATCH($AC348,DEN_PDC,0),6)="SP AVERE",INDEX(PDC,MATCH($AC348,DEN_PDC,0),6)="SP DARE/AVERE"),SUMIFS(AVERE,DEN_G,$AC348)&gt;=SUMIFS(DARE,DEN_G,$AC348)),SUMIFS(AVERE,DEN_G,$AC348)-SUMIFS(DARE,DEN_G,$AC348),0)&gt;0,MAX(BH$2:BH347)+1,0)</f>
        <v>0</v>
      </c>
      <c r="BI348" s="48">
        <f ca="1">IF(IF(AND(OR(INDEX(PDC,MATCH($AC348,DEN_PDC,0),6)="SE DARE",INDEX(PDC,MATCH($AC348,DEN_PDC,0),6)="SE DARE/AVERE"),SUMIFS(DARE,DEN_G,$AC348)&gt;=SUMIFS(AVERE,DEN_G,$AC348)),SUMIFS(DARE,DEN_G,$AC348)-SUMIFS(AVERE,DEN_G,$AC348),0)&gt;0,MAX(BI$2:BI347)+1,0)</f>
        <v>0</v>
      </c>
      <c r="BJ348" s="48">
        <f ca="1">IF(IF(AND(OR(INDEX(PDC,MATCH($AC348,DEN_PDC,0),6)="SE AVERE",INDEX(PDC,MATCH($AC348,DEN_PDC,0),6)="SE DARE/AVERE"),SUMIFS(AVERE,DEN_G,$AC348)&gt;=SUMIFS(DARE,DEN_G,$AC348)),SUMIFS(AVERE,DEN_G,$AC348)-SUMIFS(DARE,DEN_G,$AC348),0)&gt;0,MAX(BJ$2:BJ347)+1,0)</f>
        <v>0</v>
      </c>
      <c r="BK348" s="48" t="str">
        <f ca="1">IF(AND(AND($DY$2=0,$DY$1=0),$I$1=2,ROW()&gt;$BG$1+2,ROW()&lt;=$BG$1+4),"………………..",IF(AND(OR($DY$2&gt;0,$DY$1&gt;0),$I$1=2,ROW()&gt;$BG$1+2,ROW()&lt;=$BG$1+4),"………………..",IFERROR(INDEX($AC$3:$AC$398,MATCH(ROWS(BK$3:BK348),BG$3:BG$398,0),1),"")))</f>
        <v/>
      </c>
      <c r="BL348" s="48">
        <f t="shared" ca="1" si="637"/>
        <v>0</v>
      </c>
      <c r="BM348" s="48" t="str">
        <f ca="1">IF(AND(OR($DY$2=0,$DY$1=0),$I$1=2,ROW()&gt;$BH$1+2,ROW()&lt;=$BH$1+4),"………………..",IF(AND(OR($DY$2&gt;0,$DY$1&gt;0),$I$1=2,ROW()&gt;$BH$1+2,ROW()&lt;=$BH$1+4),"………………..",IFERROR(INDEX($AC$3:$AC$400,MATCH(ROWS(BM$3:BM348),BH$3:BH$400,0),1),"")))</f>
        <v/>
      </c>
      <c r="BN348" s="48">
        <f t="shared" ca="1" si="638"/>
        <v>0</v>
      </c>
      <c r="BO348" s="48" t="str">
        <f ca="1">IF(AND(OR($DY$2=0,$DY$1=0),$I$1=2,ROW()&gt;$BI$1+2,ROW()&lt;=$BI$1+4),"………………..",IF(AND(OR($DY$2&gt;0,$DY$1&gt;0),$I$1=2,ROW()&gt;$BI$1+2,ROW()&lt;=$BI$1+4),"………………..",IFERROR(INDEX($AC$3:$AC$400,MATCH(ROWS(BO$3:BO348),BI$3:BI$400,0),1),"")))</f>
        <v/>
      </c>
      <c r="BP348" s="48">
        <f t="shared" ca="1" si="639"/>
        <v>0</v>
      </c>
      <c r="BQ348" s="48" t="str">
        <f ca="1">IF(AND(OR($DY$2=0,$DY$1=0),$I$1=2,ROW()&gt;$BJ$1+2,ROW()&lt;=$BJ$1+4),"………………..",IF(AND(OR($DY$2&gt;0,$DY$1&gt;0),$I$1=2,ROW()&gt;$BJ$1+2,ROW()&lt;=$BJ$1+4),"………………..",IFERROR(INDEX($AC$3:$AC$400,MATCH(ROWS(BQ$3:BQ348),BJ$3:BJ$400,0),1),"")))</f>
        <v/>
      </c>
      <c r="BR348" s="48">
        <f t="shared" ca="1" si="640"/>
        <v>0</v>
      </c>
      <c r="BS348" s="48">
        <f ca="1">IF(IF(AND(OR(INDEX(PDC,MATCH($AC348,DEN_PDC,0),4)="D",INDEX(PDC,MATCH($AC348,DEN_PDC,0),4)="D/A"),SUMIFS(DARE,DEN_G,$AC348)&gt;=SUMIFS(AVERE,DEN_G,$AC348)),SUMIFS(DARE,DEN_G,$AC348),IF(AND(OR(INDEX(PDC,MATCH($AC348,DEN_PDC,0),4)="A",INDEX(PDC,MATCH($AC348,DEN_PDC,0),4)="D/A"),SUMIFS(AVERE,DEN_G,$AC348)&gt;=SUMIFS(DARE,DEN_G,$AC348)),SUMIFS(AVERE,DEN_G,$AC348),))&gt;0,MAX($BS$2:BS347)+1,0)</f>
        <v>0</v>
      </c>
      <c r="BT348" s="48" t="str">
        <f ca="1">IF($CO$1=0,"",IF(AND($I$1=2,ROW()&gt;$BR$1,ROW()&lt;=$BS$1)," …………….",IF(AND($E$1=1,$BX$1=1,$I$1=2,ROW()=$BQ$1),"TOTALI",IFERROR(INDEX(PDC,MATCH(ROWS(BT$3:BT348),BS$3:BS745,0),2),""))))</f>
        <v/>
      </c>
      <c r="BU348" s="48">
        <f t="shared" ca="1" si="641"/>
        <v>0</v>
      </c>
      <c r="BV348" s="48">
        <f t="shared" ca="1" si="642"/>
        <v>0</v>
      </c>
      <c r="BW348" s="48">
        <f t="shared" ca="1" si="643"/>
        <v>0</v>
      </c>
      <c r="BX348" s="48">
        <f t="shared" ca="1" si="644"/>
        <v>0</v>
      </c>
      <c r="BY348" s="48">
        <f ca="1">IF(OR(BW348&gt;0,BX348&gt;0),MAX($BY$2:BY347)+1,0)</f>
        <v>0</v>
      </c>
      <c r="BZ348" s="48" t="str">
        <f ca="1">IFERROR(INDEX($BT$3:$BY$400,MATCH(ROWS(BZ$3:BZ348),$BY$3:$BY$400,0),1),"")</f>
        <v/>
      </c>
      <c r="CA348" s="48" t="str">
        <f ca="1">IFERROR(INDEX($BT$3:$BY$400,MATCH(ROWS(CA$3:CA348),$BY$3:$BY$400,0),4),"")</f>
        <v/>
      </c>
      <c r="CB348" s="48" t="str">
        <f ca="1">IFERROR(INDEX($BT$3:$BY$400,MATCH(ROWS(CB$3:CB348),$BY$3:$BY$400,0),5),"")</f>
        <v/>
      </c>
      <c r="CC348" s="48" t="str">
        <f t="shared" ca="1" si="645"/>
        <v/>
      </c>
      <c r="CM348" s="242" t="str">
        <f t="shared" ca="1" si="655"/>
        <v/>
      </c>
      <c r="CN348" s="243">
        <f t="shared" ca="1" si="656"/>
        <v>0</v>
      </c>
      <c r="CO348" s="48" t="str">
        <f t="shared" ca="1" si="657"/>
        <v/>
      </c>
      <c r="CU348" s="48">
        <f ca="1">IF(SUMIFS(AVERE,DEN_G,AC348,AVERE,"&gt;"&amp;0)+SUMIFS(DARE,DEN_G,AC348,DARE,"&gt;"&amp;0)&gt;0,MAX($CU$2:CU347)+1,0)</f>
        <v>0</v>
      </c>
      <c r="CV348" s="48" t="str">
        <f ca="1">IF(IFERROR(INDEX(PDC,MATCH(ROWS($CV$3:CV348),$CU$3:$CU$400,0),2),"")="CONTO DI RISULTATO ECONOMICO","",IFERROR(INDEX(PDC,MATCH(ROWS($CV$3:CV348),$CU$3:$CU$400,0),2),""))</f>
        <v/>
      </c>
      <c r="CW348" s="48">
        <f ca="1">IFERROR(IF(CV348&lt;&gt;"",MAX($CW$2:CW347)+1,0),0)</f>
        <v>0</v>
      </c>
      <c r="CX348" s="48">
        <f t="shared" ca="1" si="679"/>
        <v>27</v>
      </c>
      <c r="CY348" s="48" t="str">
        <f t="shared" ca="1" si="678"/>
        <v>MASTRO</v>
      </c>
      <c r="CZ348" s="48" t="e">
        <f t="shared" ca="1" si="681"/>
        <v>#N/A</v>
      </c>
      <c r="DA348" s="48" t="str">
        <f t="shared" ca="1" si="686"/>
        <v/>
      </c>
      <c r="DB348" s="48" t="str">
        <f t="shared" ca="1" si="682"/>
        <v/>
      </c>
      <c r="DC348" s="48" t="str">
        <f t="shared" ca="1" si="683"/>
        <v/>
      </c>
      <c r="DD348" s="48" t="str">
        <f t="shared" ca="1" si="684"/>
        <v/>
      </c>
      <c r="DE348" s="48" t="str">
        <f t="shared" ca="1" si="685"/>
        <v/>
      </c>
      <c r="DF348" s="48">
        <f ca="1">IF(AND(CX348=$DF$1,CX348&lt;&gt;""),0,IF(AND(DB348&lt;&gt;"",OR(DB347&lt;&gt;"",DB349&lt;&gt;"")),MAX($DF$2:DF347)+1,0))</f>
        <v>0</v>
      </c>
      <c r="DH348" s="244" t="s">
        <v>1070</v>
      </c>
      <c r="DI348" s="48" t="s">
        <v>960</v>
      </c>
      <c r="DJ348" s="48" t="s">
        <v>311</v>
      </c>
      <c r="DK348" s="48" t="s">
        <v>275</v>
      </c>
      <c r="DL348" s="48" t="s">
        <v>7</v>
      </c>
      <c r="DM348" s="48" t="s">
        <v>301</v>
      </c>
      <c r="DN348" s="48">
        <f ca="1">IF(DI348&lt;&gt;"",MAX($DN$2:DN347)+1,0)</f>
        <v>278</v>
      </c>
      <c r="DO348" s="48" t="s">
        <v>720</v>
      </c>
      <c r="DQ348" s="227" t="s">
        <v>249</v>
      </c>
      <c r="DR348" s="228" t="s">
        <v>482</v>
      </c>
      <c r="DW348" s="48">
        <f ca="1">IF(DR348&lt;&gt;"",MAX($DW$2:DW347)+1,0)</f>
        <v>210</v>
      </c>
      <c r="DY348" s="48" t="str">
        <f t="shared" ca="1" si="647"/>
        <v/>
      </c>
      <c r="EL348" s="48">
        <f t="shared" ca="1" si="648"/>
        <v>0</v>
      </c>
      <c r="EM348" s="48">
        <f ca="1">IF(EL348&gt;=0,0,MAX($EM$2:EM347)+1)</f>
        <v>0</v>
      </c>
      <c r="EN348" s="48" t="str">
        <f t="shared" ca="1" si="658"/>
        <v/>
      </c>
      <c r="EO348" s="48" t="str">
        <f ca="1">IFERROR(INDEX($EM$3:$EN$400,MATCH(ROWS($EO$3:EO348),$EM$3:$EM$400,0),2),"")</f>
        <v/>
      </c>
      <c r="EP348" s="48">
        <f>ROW()</f>
        <v>348</v>
      </c>
      <c r="EQ348" s="48">
        <f t="shared" ca="1" si="649"/>
        <v>0</v>
      </c>
      <c r="ER348" s="48">
        <f ca="1">IF(ISNA(EQ348)=TRUE,MAX($ER$2:ER347)+1,0)</f>
        <v>0</v>
      </c>
      <c r="ES348" s="48" t="str">
        <f t="shared" ca="1" si="659"/>
        <v/>
      </c>
      <c r="ET348" s="48" t="str">
        <f ca="1">IFERROR(INDEX($ER$3:$ES$400,MATCH(ROWS($ET$3:ET348),$ER$3:$ER$400,0),2),"")</f>
        <v/>
      </c>
      <c r="EV348" s="48">
        <f ca="1">IFERROR(INDEX(LIBRO_GIORNALE!$O$11:$P$408,MATCH(ROWS($EV$2:EV347),LIBRO_GIORNALE!$P$11:$P$408,0),1),0)</f>
        <v>0</v>
      </c>
      <c r="EW348" s="48" t="str">
        <f t="shared" ca="1" si="629"/>
        <v>0</v>
      </c>
      <c r="EX348" s="48">
        <f t="shared" ca="1" si="660"/>
        <v>0</v>
      </c>
      <c r="EY348" s="48">
        <f ca="1">IF(EX348&gt;0,MAX($EY$2:EY347)+1,0)</f>
        <v>0</v>
      </c>
      <c r="EZ348" s="48">
        <f ca="1">IFERROR(INDEX($EX$3:$EX$400,MATCH(ROWS($EZ$3:EZ348),$EY$3:$EY$400,0),1),0)</f>
        <v>0</v>
      </c>
      <c r="FA348" s="48">
        <f ca="1">IF(EZ348&gt;0,0,MAX($FA$2:FA347)+1)</f>
        <v>346</v>
      </c>
      <c r="FB348" s="48">
        <f t="shared" ca="1" si="630"/>
        <v>0</v>
      </c>
      <c r="FC348" s="48">
        <f t="shared" ca="1" si="631"/>
        <v>346</v>
      </c>
      <c r="FD348" s="48">
        <f t="shared" ca="1" si="661"/>
        <v>346</v>
      </c>
      <c r="FE348" s="48">
        <f ca="1">IF(FD348=0,0,MAX($FE$2:FE347)+1)</f>
        <v>346</v>
      </c>
      <c r="FF348" s="48">
        <f ca="1">IFERROR(INDEX($FD$3:$FE$400,MATCH(ROWS($FF$3:FF348),$FE$3:$FE$400,0),1),"")</f>
        <v>346</v>
      </c>
      <c r="FG348" s="48">
        <f t="shared" si="610"/>
        <v>0</v>
      </c>
      <c r="FH348" s="48">
        <f t="shared" ca="1" si="662"/>
        <v>0</v>
      </c>
      <c r="FI348" s="48">
        <f ca="1">IF(FH348&lt;&gt;0,MAX($FI$2:FI347)+1,0)</f>
        <v>0</v>
      </c>
      <c r="FJ348" s="48" t="str">
        <f ca="1">IFERROR(INDEX($FH$3:$FI$400,MATCH(ROWS($FJ$3:FJ348),$FI$3:$FI$400,0),1),"")</f>
        <v/>
      </c>
      <c r="FK348" s="48">
        <f ca="1">IF(ABS(SUMIFS(DARE,DEN_G,"="&amp;FJ348,DATA,"&lt;="&amp;FINE_AC,DATA,"&gt;="&amp;INIZIO_A_PC)-SUMIFS(AVERE,DEN_G,"="&amp;FJ348,DATA,"&lt;="&amp;FINE_AC,DATA,"&gt;="&amp;INIZIO_A_PC))&gt;0,MAX($FK$2:FK347)+1,0)</f>
        <v>0</v>
      </c>
      <c r="FL348" s="48" t="str">
        <f ca="1">IF(AND(ROW()-2&lt;&gt;1,ROW()-2&lt;=$FK$1),CONCATENATE(" - ",IFERROR(INDEX($FJ$3:$FK$400,MATCH(ROWS($FL$3:FL348),$FK$3:$FK$400,0),1),"")),IFERROR(INDEX($FJ$3:$FK$400,MATCH(ROWS($FL$3:FL348),$FK$3:$FK$400,0),1),""))</f>
        <v/>
      </c>
      <c r="FM348" s="48">
        <f ca="1">IF(OR(B348="IVA ns/credito",B348="IVA NS/DEBITO",B348="IVA C/ACCONTO",B348="IMPOSTE C/ACCONTO",B348="CREDITI PER RITENUTE SUBITE",B348="CREDITI D'IMPOSTA"),MAX($FM$2:FM347)+1,0)</f>
        <v>0</v>
      </c>
      <c r="FN348" s="48" t="str">
        <f t="shared" ca="1" si="663"/>
        <v/>
      </c>
      <c r="FO348" s="48" t="str">
        <f ca="1">IFERROR(INDEX($FM$3:$FN$400,MATCH(ROWS($FO$3:FO348),$FM$3:$FM$400,0),2),"")</f>
        <v/>
      </c>
      <c r="FP348" s="48">
        <f ca="1">IF(ABS(SUMIFS(DARE,DEN_G,"="&amp;FO348,DATA,"&lt;="&amp;FINE_AC,DATA,"&gt;="&amp;INIZIO_A_PC)-SUMIFS(AVERE,DEN_G,"="&amp;FO348,DATA,"&lt;="&amp;FINE_AC,DATA,"&gt;="&amp;INIZIO_A_PC))&gt;0,MAX($FP$2:FP347)+1,0)</f>
        <v>0</v>
      </c>
      <c r="FQ348" s="48" t="str">
        <f ca="1">IF(AND(ROW()-2&lt;&gt;1,ROW()-2&lt;=$FP$1),CONCATENATE(" - ",IFERROR(INDEX($FO$3:$FP$400,MATCH(ROWS($FQ$3:FQ348),$FP$3:$FP$400,0),1),"")),IFERROR(INDEX($FO$3:$FP$400,MATCH(ROWS($FQ$3:FQ348),$FP$3:$FP$400,0),1),""))</f>
        <v/>
      </c>
    </row>
    <row r="349" spans="1:173" x14ac:dyDescent="0.3">
      <c r="A349" s="48" t="str">
        <f ca="1">IFERROR(IF($A$1=2,INDEX($DH$3:$DN$401,MATCH(ROWS(A$3:A349),$DN$3:$DN$401,0),COLUMN()),IF($A$1=1,INDEX($DQ$3:$DW$401,MATCH(ROWS(A$3:A349),$DW$3:$DW$401,0),COLUMN()),"")),"")</f>
        <v/>
      </c>
      <c r="B349" s="48" t="str">
        <f ca="1">IFERROR(IF($A$1=2,INDEX($DH$3:$DN$400,MATCH(ROWS(B$3:B349),$DN$3:$DN$400,0),COLUMN()),IF($A$1=1,INDEX($DQ$3:$DW$400,MATCH(ROWS(B$3:B349),$DW$3:$DW$400,0),COLUMN()),"")),"")</f>
        <v/>
      </c>
      <c r="D349" s="48" t="str">
        <f ca="1">IFERROR(IF($A$1=2,INDEX($DH$3:$DN$401,MATCH(ROWS(D$3:D349),$DN$3:$DN$401,0),COLUMN()),IF($A$1=1,INDEX($DQ$3:$DW$401,MATCH(ROWS(D$3:D349),$DW$3:$DW$401,0),COLUMN()),"")),"")</f>
        <v/>
      </c>
      <c r="E349" s="48" t="str">
        <f ca="1">IFERROR(IF($A$1=2,INDEX($DH$3:$DN$401,MATCH(ROWS(E$3:E349),$DN$3:$DN$401,0),COLUMN()),IF($A$1=1,INDEX($DQ$3:$DW$401,MATCH(ROWS(E$3:E349),$DW$3:$DW$401,0),COLUMN()),"")),"")</f>
        <v/>
      </c>
      <c r="F349" s="48" t="str">
        <f ca="1">IFERROR(IF($A$1=2,INDEX($DH$3:$DN$401,MATCH(ROWS(F$3:F349),$DN$3:$DN$401,0),COLUMN()),IF($A$1=1,INDEX($DQ$3:$DX$401,MATCH(ROWS(F$3:F349),$DW$3:$DW$401,0),COLUMN()),"")),"")</f>
        <v/>
      </c>
      <c r="G349" s="48" t="str">
        <f t="shared" ca="1" si="650"/>
        <v/>
      </c>
      <c r="H349" s="48" t="str">
        <f ca="1">IFERROR(IF($A$1=2,INDEX($DH$3:$DO$400,MATCH(ROWS(H$3:H349),$DN$3:$DN$400,0),COLUMN()),IF($A$1=1,INDEX($DQ$3:$DX$400,MATCH(ROWS(H$3:H349),$DW$3:$DW$400,0),COLUMN()),"")),"")</f>
        <v/>
      </c>
      <c r="M349" s="48">
        <f ca="1">IFERROR(IF(IF(MID($A349,3,3)=".00",MID(A349,1,2),"")&lt;&gt;"",MAX($M$2:M348)+1,0),"")</f>
        <v>0</v>
      </c>
      <c r="N349" s="48" t="str">
        <f t="shared" ca="1" si="651"/>
        <v/>
      </c>
      <c r="O349" s="48" t="str">
        <f ca="1">IF(IFERROR(INDEX($N$3:$O$300,MATCH(ROWS($O$3:O349),$M$3:$M$300,0),1),"")&lt;&gt;"",CONCATENATE(INDEX($N$3:$O$300,MATCH(ROWS($O$3:O349),$M$3:$M$300,0),1),".00"),"")</f>
        <v/>
      </c>
      <c r="P349" s="48" t="str">
        <f t="shared" ca="1" si="652"/>
        <v/>
      </c>
      <c r="Q349" s="48">
        <f ca="1">IF(M349&gt;=1,0,MAX($Q$2:Q348)+1)</f>
        <v>310</v>
      </c>
      <c r="U349" s="48" t="str">
        <f ca="1">IFERROR(INDEX(PDC,MATCH(ROWS(U$3:U349),$V$3:$V$400,0),2),"")</f>
        <v/>
      </c>
      <c r="V349" s="48">
        <f ca="1">IF(AND($T$1="VISUALIZZA TUTTI I CONTI",AA349&lt;&gt;""),MAX($V$2:V348)+1,IF(AND($U$2=2,AI349=$T$1),MAX($V$2:V348)+1,IF(AND($U$2=1,$T$1=AF349),MAX($V$2:V348)+1,0)))</f>
        <v>0</v>
      </c>
      <c r="AA349" s="48" t="str">
        <f t="shared" ca="1" si="653"/>
        <v/>
      </c>
      <c r="AB349" s="48" t="str">
        <f ca="1">IFERROR(INDEX($A$3:$G$400,MATCH(ROWS(AB$3:AB349),$Q$3:$Q$400,0),1),"")</f>
        <v/>
      </c>
      <c r="AC349" s="48" t="str">
        <f ca="1">IFERROR(INDEX($A$3:$G$400,MATCH(ROWS($AC$3:AC349),$Q$3:$Q$400,0),2),"")</f>
        <v/>
      </c>
      <c r="AD349" s="48">
        <f ca="1">IFERROR(INDEX($A$3:$G$400,MATCH(ROWS(AD$3:AD349),$Q$3:$Q$400,0),3),"")</f>
        <v>0</v>
      </c>
      <c r="AE349" s="48" t="str">
        <f ca="1">IFERROR(INDEX($A$3:$G$400,MATCH(ROWS(AE$3:AE349),$Q$3:$Q$400,0),4),"")</f>
        <v/>
      </c>
      <c r="AF349" s="48" t="str">
        <f ca="1">IFERROR(INDEX($A$3:$G$400,MATCH(ROWS(AF$3:AF349),$Q$3:$Q$400,0),5),"")</f>
        <v/>
      </c>
      <c r="AG349" s="48" t="str">
        <f ca="1">IFERROR(INDEX($A$3:$G$400,MATCH(ROWS(AG$3:AG349),$Q$3:$Q$400,0),6),"")</f>
        <v/>
      </c>
      <c r="AH349" s="48" t="str">
        <f ca="1">IFERROR(INDEX($A$3:$G$400,MATCH(ROWS(AH$3:AH349),$Q$3:$Q$400,0),7),"")</f>
        <v/>
      </c>
      <c r="AI349" s="48" t="str">
        <f t="shared" ca="1" si="654"/>
        <v/>
      </c>
      <c r="AJ349" s="48" t="str">
        <f ca="1">IFERROR(INDEX($A$3:$H$400,MATCH(ROWS(AJ$3:AJ349),$Q$3:$Q$400,0),8),"")</f>
        <v/>
      </c>
      <c r="AZ349" s="48" t="str">
        <f t="shared" ca="1" si="669"/>
        <v/>
      </c>
      <c r="BA349" s="48">
        <f t="shared" ca="1" si="611"/>
        <v>0</v>
      </c>
      <c r="BB349" s="48">
        <f t="shared" ca="1" si="612"/>
        <v>0</v>
      </c>
      <c r="BC349" s="48">
        <f t="shared" ca="1" si="613"/>
        <v>0</v>
      </c>
      <c r="BD349" s="48">
        <f t="shared" ca="1" si="614"/>
        <v>0</v>
      </c>
      <c r="BE349" s="48">
        <f t="shared" ca="1" si="615"/>
        <v>0</v>
      </c>
      <c r="BF349" s="48">
        <f t="shared" si="670"/>
        <v>149</v>
      </c>
      <c r="BG349" s="48">
        <f ca="1">IF(IF(AND(OR(INDEX(PDC,MATCH($AC349,DEN_PDC,0),6)="SP DARE",INDEX(PDC,MATCH($AC349,DEN_PDC,0),6)="SP DARE/AVERE"),SUMIFS(DARE,DEN_G,$AC349)&gt;=SUMIFS(AVERE,DEN_G,$AC349)),SUMIFS(DARE,DEN_G,$AC349)-SUMIFS(AVERE,DEN_G,$AC349),0)&gt;0,MAX($BG$2:BG348)+1,0)</f>
        <v>0</v>
      </c>
      <c r="BH349" s="48">
        <f ca="1">IF(IF(AND(OR(INDEX(PDC,MATCH($AC349,DEN_PDC,0),6)="SP AVERE",INDEX(PDC,MATCH($AC349,DEN_PDC,0),6)="SP DARE/AVERE"),SUMIFS(AVERE,DEN_G,$AC349)&gt;=SUMIFS(DARE,DEN_G,$AC349)),SUMIFS(AVERE,DEN_G,$AC349)-SUMIFS(DARE,DEN_G,$AC349),0)&gt;0,MAX(BH$2:BH348)+1,0)</f>
        <v>0</v>
      </c>
      <c r="BI349" s="48">
        <f ca="1">IF(IF(AND(OR(INDEX(PDC,MATCH($AC349,DEN_PDC,0),6)="SE DARE",INDEX(PDC,MATCH($AC349,DEN_PDC,0),6)="SE DARE/AVERE"),SUMIFS(DARE,DEN_G,$AC349)&gt;=SUMIFS(AVERE,DEN_G,$AC349)),SUMIFS(DARE,DEN_G,$AC349)-SUMIFS(AVERE,DEN_G,$AC349),0)&gt;0,MAX(BI$2:BI348)+1,0)</f>
        <v>0</v>
      </c>
      <c r="BJ349" s="48">
        <f ca="1">IF(IF(AND(OR(INDEX(PDC,MATCH($AC349,DEN_PDC,0),6)="SE AVERE",INDEX(PDC,MATCH($AC349,DEN_PDC,0),6)="SE DARE/AVERE"),SUMIFS(AVERE,DEN_G,$AC349)&gt;=SUMIFS(DARE,DEN_G,$AC349)),SUMIFS(AVERE,DEN_G,$AC349)-SUMIFS(DARE,DEN_G,$AC349),0)&gt;0,MAX(BJ$2:BJ348)+1,0)</f>
        <v>0</v>
      </c>
      <c r="BK349" s="48" t="str">
        <f ca="1">IF(AND(AND($DY$2=0,$DY$1=0),$I$1=2,ROW()&gt;$BG$1+2,ROW()&lt;=$BG$1+4),"………………..",IF(AND(OR($DY$2&gt;0,$DY$1&gt;0),$I$1=2,ROW()&gt;$BG$1+2,ROW()&lt;=$BG$1+4),"………………..",IFERROR(INDEX($AC$3:$AC$398,MATCH(ROWS(BK$3:BK349),BG$3:BG$398,0),1),"")))</f>
        <v/>
      </c>
      <c r="BL349" s="48">
        <f t="shared" ca="1" si="637"/>
        <v>0</v>
      </c>
      <c r="BM349" s="48" t="str">
        <f ca="1">IF(AND(OR($DY$2=0,$DY$1=0),$I$1=2,ROW()&gt;$BH$1+2,ROW()&lt;=$BH$1+4),"………………..",IF(AND(OR($DY$2&gt;0,$DY$1&gt;0),$I$1=2,ROW()&gt;$BH$1+2,ROW()&lt;=$BH$1+4),"………………..",IFERROR(INDEX($AC$3:$AC$400,MATCH(ROWS(BM$3:BM349),BH$3:BH$400,0),1),"")))</f>
        <v/>
      </c>
      <c r="BN349" s="48">
        <f t="shared" ca="1" si="638"/>
        <v>0</v>
      </c>
      <c r="BO349" s="48" t="str">
        <f ca="1">IF(AND(OR($DY$2=0,$DY$1=0),$I$1=2,ROW()&gt;$BI$1+2,ROW()&lt;=$BI$1+4),"………………..",IF(AND(OR($DY$2&gt;0,$DY$1&gt;0),$I$1=2,ROW()&gt;$BI$1+2,ROW()&lt;=$BI$1+4),"………………..",IFERROR(INDEX($AC$3:$AC$400,MATCH(ROWS(BO$3:BO349),BI$3:BI$400,0),1),"")))</f>
        <v/>
      </c>
      <c r="BP349" s="48">
        <f t="shared" ca="1" si="639"/>
        <v>0</v>
      </c>
      <c r="BQ349" s="48" t="str">
        <f ca="1">IF(AND(OR($DY$2=0,$DY$1=0),$I$1=2,ROW()&gt;$BJ$1+2,ROW()&lt;=$BJ$1+4),"………………..",IF(AND(OR($DY$2&gt;0,$DY$1&gt;0),$I$1=2,ROW()&gt;$BJ$1+2,ROW()&lt;=$BJ$1+4),"………………..",IFERROR(INDEX($AC$3:$AC$400,MATCH(ROWS(BQ$3:BQ349),BJ$3:BJ$400,0),1),"")))</f>
        <v/>
      </c>
      <c r="BR349" s="48">
        <f t="shared" ca="1" si="640"/>
        <v>0</v>
      </c>
      <c r="BS349" s="48">
        <f ca="1">IF(IF(AND(OR(INDEX(PDC,MATCH($AC349,DEN_PDC,0),4)="D",INDEX(PDC,MATCH($AC349,DEN_PDC,0),4)="D/A"),SUMIFS(DARE,DEN_G,$AC349)&gt;=SUMIFS(AVERE,DEN_G,$AC349)),SUMIFS(DARE,DEN_G,$AC349),IF(AND(OR(INDEX(PDC,MATCH($AC349,DEN_PDC,0),4)="A",INDEX(PDC,MATCH($AC349,DEN_PDC,0),4)="D/A"),SUMIFS(AVERE,DEN_G,$AC349)&gt;=SUMIFS(DARE,DEN_G,$AC349)),SUMIFS(AVERE,DEN_G,$AC349),))&gt;0,MAX($BS$2:BS348)+1,0)</f>
        <v>0</v>
      </c>
      <c r="BT349" s="48" t="str">
        <f ca="1">IF($CO$1=0,"",IF(AND($I$1=2,ROW()&gt;$BR$1,ROW()&lt;=$BS$1)," …………….",IF(AND($E$1=1,$BX$1=1,$I$1=2,ROW()=$BQ$1),"TOTALI",IFERROR(INDEX(PDC,MATCH(ROWS(BT$3:BT349),BS$3:BS746,0),2),""))))</f>
        <v/>
      </c>
      <c r="BU349" s="48">
        <f t="shared" ca="1" si="641"/>
        <v>0</v>
      </c>
      <c r="BV349" s="48">
        <f t="shared" ca="1" si="642"/>
        <v>0</v>
      </c>
      <c r="BW349" s="48">
        <f t="shared" ca="1" si="643"/>
        <v>0</v>
      </c>
      <c r="BX349" s="48">
        <f t="shared" ca="1" si="644"/>
        <v>0</v>
      </c>
      <c r="BY349" s="48">
        <f ca="1">IF(OR(BW349&gt;0,BX349&gt;0),MAX($BY$2:BY348)+1,0)</f>
        <v>0</v>
      </c>
      <c r="BZ349" s="48" t="str">
        <f ca="1">IFERROR(INDEX($BT$3:$BY$400,MATCH(ROWS(BZ$3:BZ349),$BY$3:$BY$400,0),1),"")</f>
        <v/>
      </c>
      <c r="CA349" s="48" t="str">
        <f ca="1">IFERROR(INDEX($BT$3:$BY$400,MATCH(ROWS(CA$3:CA349),$BY$3:$BY$400,0),4),"")</f>
        <v/>
      </c>
      <c r="CB349" s="48" t="str">
        <f ca="1">IFERROR(INDEX($BT$3:$BY$400,MATCH(ROWS(CB$3:CB349),$BY$3:$BY$400,0),5),"")</f>
        <v/>
      </c>
      <c r="CC349" s="48" t="str">
        <f t="shared" ca="1" si="645"/>
        <v/>
      </c>
      <c r="CM349" s="242" t="str">
        <f t="shared" ca="1" si="655"/>
        <v/>
      </c>
      <c r="CN349" s="243">
        <f t="shared" ca="1" si="656"/>
        <v>0</v>
      </c>
      <c r="CO349" s="48" t="str">
        <f t="shared" ca="1" si="657"/>
        <v/>
      </c>
      <c r="CU349" s="48">
        <f ca="1">IF(SUMIFS(AVERE,DEN_G,AC349,AVERE,"&gt;"&amp;0)+SUMIFS(DARE,DEN_G,AC349,DARE,"&gt;"&amp;0)&gt;0,MAX($CU$2:CU348)+1,0)</f>
        <v>0</v>
      </c>
      <c r="CV349" s="48" t="str">
        <f ca="1">IF(IFERROR(INDEX(PDC,MATCH(ROWS($CV$3:CV349),$CU$3:$CU$400,0),2),"")="CONTO DI RISULTATO ECONOMICO","",IFERROR(INDEX(PDC,MATCH(ROWS($CV$3:CV349),$CU$3:$CU$400,0),2),""))</f>
        <v/>
      </c>
      <c r="CW349" s="48">
        <f ca="1">IFERROR(IF(CV349&lt;&gt;"",MAX($CW$2:CW348)+1,0),0)</f>
        <v>0</v>
      </c>
      <c r="CX349" s="48">
        <f t="shared" ca="1" si="679"/>
        <v>27</v>
      </c>
      <c r="CY349" s="48" t="str">
        <f t="shared" ca="1" si="678"/>
        <v>MASTRO</v>
      </c>
      <c r="CZ349" s="48" t="e">
        <f t="shared" ca="1" si="681"/>
        <v>#N/A</v>
      </c>
      <c r="DA349" s="48" t="str">
        <f t="shared" ca="1" si="686"/>
        <v/>
      </c>
      <c r="DB349" s="48" t="str">
        <f t="shared" ca="1" si="682"/>
        <v/>
      </c>
      <c r="DC349" s="48" t="str">
        <f t="shared" ca="1" si="683"/>
        <v/>
      </c>
      <c r="DD349" s="48" t="str">
        <f t="shared" ca="1" si="684"/>
        <v/>
      </c>
      <c r="DE349" s="48" t="str">
        <f t="shared" ca="1" si="685"/>
        <v/>
      </c>
      <c r="DF349" s="48">
        <f ca="1">IF(AND(CX349=$DF$1,CX349&lt;&gt;""),0,IF(AND(DB349&lt;&gt;"",OR(DB348&lt;&gt;"",DB350&lt;&gt;"")),MAX($DF$2:DF348)+1,0))</f>
        <v>0</v>
      </c>
      <c r="DH349" s="244" t="s">
        <v>455</v>
      </c>
      <c r="DI349" s="48" t="s">
        <v>841</v>
      </c>
      <c r="DJ349" s="48" t="s">
        <v>311</v>
      </c>
      <c r="DK349" s="48" t="s">
        <v>275</v>
      </c>
      <c r="DL349" s="48" t="s">
        <v>7</v>
      </c>
      <c r="DM349" s="48" t="s">
        <v>301</v>
      </c>
      <c r="DN349" s="48">
        <f ca="1">IF(DI349&lt;&gt;"",MAX($DN$2:DN348)+1,0)</f>
        <v>279</v>
      </c>
      <c r="DO349" s="48" t="s">
        <v>721</v>
      </c>
      <c r="DQ349" s="227" t="s">
        <v>251</v>
      </c>
      <c r="DR349" s="48" t="s">
        <v>250</v>
      </c>
      <c r="DW349" s="48">
        <f ca="1">IF(DR349&lt;&gt;"",MAX($DW$2:DW348)+1,0)</f>
        <v>211</v>
      </c>
      <c r="DX349" s="48" t="s">
        <v>722</v>
      </c>
      <c r="DY349" s="48" t="str">
        <f t="shared" ca="1" si="647"/>
        <v/>
      </c>
      <c r="EL349" s="48">
        <f t="shared" ca="1" si="648"/>
        <v>0</v>
      </c>
      <c r="EM349" s="48">
        <f ca="1">IF(EL349&gt;=0,0,MAX($EM$2:EM348)+1)</f>
        <v>0</v>
      </c>
      <c r="EN349" s="48" t="str">
        <f t="shared" ca="1" si="658"/>
        <v/>
      </c>
      <c r="EO349" s="48" t="str">
        <f ca="1">IFERROR(INDEX($EM$3:$EN$400,MATCH(ROWS($EO$3:EO349),$EM$3:$EM$400,0),2),"")</f>
        <v/>
      </c>
      <c r="EP349" s="48">
        <f>ROW()</f>
        <v>349</v>
      </c>
      <c r="EQ349" s="48">
        <f t="shared" ca="1" si="649"/>
        <v>0</v>
      </c>
      <c r="ER349" s="48">
        <f ca="1">IF(ISNA(EQ349)=TRUE,MAX($ER$2:ER348)+1,0)</f>
        <v>0</v>
      </c>
      <c r="ES349" s="48" t="str">
        <f t="shared" ca="1" si="659"/>
        <v/>
      </c>
      <c r="ET349" s="48" t="str">
        <f ca="1">IFERROR(INDEX($ER$3:$ES$400,MATCH(ROWS($ET$3:ET349),$ER$3:$ER$400,0),2),"")</f>
        <v/>
      </c>
      <c r="EV349" s="48">
        <f ca="1">IFERROR(INDEX(LIBRO_GIORNALE!$O$11:$P$408,MATCH(ROWS($EV$2:EV348),LIBRO_GIORNALE!$P$11:$P$408,0),1),0)</f>
        <v>0</v>
      </c>
      <c r="EW349" s="48" t="str">
        <f t="shared" ca="1" si="629"/>
        <v>0</v>
      </c>
      <c r="EX349" s="48">
        <f t="shared" ca="1" si="660"/>
        <v>0</v>
      </c>
      <c r="EY349" s="48">
        <f ca="1">IF(EX349&gt;0,MAX($EY$2:EY348)+1,0)</f>
        <v>0</v>
      </c>
      <c r="EZ349" s="48">
        <f ca="1">IFERROR(INDEX($EX$3:$EX$400,MATCH(ROWS($EZ$3:EZ349),$EY$3:$EY$400,0),1),0)</f>
        <v>0</v>
      </c>
      <c r="FA349" s="48">
        <f ca="1">IF(EZ349&gt;0,0,MAX($FA$2:FA348)+1)</f>
        <v>347</v>
      </c>
      <c r="FB349" s="48">
        <f t="shared" ca="1" si="630"/>
        <v>0</v>
      </c>
      <c r="FC349" s="48">
        <f t="shared" ca="1" si="631"/>
        <v>347</v>
      </c>
      <c r="FD349" s="48">
        <f t="shared" ca="1" si="661"/>
        <v>347</v>
      </c>
      <c r="FE349" s="48">
        <f ca="1">IF(FD349=0,0,MAX($FE$2:FE348)+1)</f>
        <v>347</v>
      </c>
      <c r="FF349" s="48">
        <f ca="1">IFERROR(INDEX($FD$3:$FE$400,MATCH(ROWS($FF$3:FF349),$FE$3:$FE$400,0),1),"")</f>
        <v>347</v>
      </c>
      <c r="FG349" s="48">
        <f t="shared" si="610"/>
        <v>0</v>
      </c>
      <c r="FH349" s="48">
        <f t="shared" ca="1" si="662"/>
        <v>0</v>
      </c>
      <c r="FI349" s="48">
        <f ca="1">IF(FH349&lt;&gt;0,MAX($FI$2:FI348)+1,0)</f>
        <v>0</v>
      </c>
      <c r="FJ349" s="48" t="str">
        <f ca="1">IFERROR(INDEX($FH$3:$FI$400,MATCH(ROWS($FJ$3:FJ349),$FI$3:$FI$400,0),1),"")</f>
        <v/>
      </c>
      <c r="FK349" s="48">
        <f ca="1">IF(ABS(SUMIFS(DARE,DEN_G,"="&amp;FJ349,DATA,"&lt;="&amp;FINE_AC,DATA,"&gt;="&amp;INIZIO_A_PC)-SUMIFS(AVERE,DEN_G,"="&amp;FJ349,DATA,"&lt;="&amp;FINE_AC,DATA,"&gt;="&amp;INIZIO_A_PC))&gt;0,MAX($FK$2:FK348)+1,0)</f>
        <v>0</v>
      </c>
      <c r="FL349" s="48" t="str">
        <f ca="1">IF(AND(ROW()-2&lt;&gt;1,ROW()-2&lt;=$FK$1),CONCATENATE(" - ",IFERROR(INDEX($FJ$3:$FK$400,MATCH(ROWS($FL$3:FL349),$FK$3:$FK$400,0),1),"")),IFERROR(INDEX($FJ$3:$FK$400,MATCH(ROWS($FL$3:FL349),$FK$3:$FK$400,0),1),""))</f>
        <v/>
      </c>
      <c r="FM349" s="48">
        <f ca="1">IF(OR(B349="IVA ns/credito",B349="IVA NS/DEBITO",B349="IVA C/ACCONTO",B349="IMPOSTE C/ACCONTO",B349="CREDITI PER RITENUTE SUBITE",B349="CREDITI D'IMPOSTA"),MAX($FM$2:FM348)+1,0)</f>
        <v>0</v>
      </c>
      <c r="FN349" s="48" t="str">
        <f t="shared" ca="1" si="663"/>
        <v/>
      </c>
      <c r="FO349" s="48" t="str">
        <f ca="1">IFERROR(INDEX($FM$3:$FN$400,MATCH(ROWS($FO$3:FO349),$FM$3:$FM$400,0),2),"")</f>
        <v/>
      </c>
      <c r="FP349" s="48">
        <f ca="1">IF(ABS(SUMIFS(DARE,DEN_G,"="&amp;FO349,DATA,"&lt;="&amp;FINE_AC,DATA,"&gt;="&amp;INIZIO_A_PC)-SUMIFS(AVERE,DEN_G,"="&amp;FO349,DATA,"&lt;="&amp;FINE_AC,DATA,"&gt;="&amp;INIZIO_A_PC))&gt;0,MAX($FP$2:FP348)+1,0)</f>
        <v>0</v>
      </c>
      <c r="FQ349" s="48" t="str">
        <f ca="1">IF(AND(ROW()-2&lt;&gt;1,ROW()-2&lt;=$FP$1),CONCATENATE(" - ",IFERROR(INDEX($FO$3:$FP$400,MATCH(ROWS($FQ$3:FQ349),$FP$3:$FP$400,0),1),"")),IFERROR(INDEX($FO$3:$FP$400,MATCH(ROWS($FQ$3:FQ349),$FP$3:$FP$400,0),1),""))</f>
        <v/>
      </c>
    </row>
    <row r="350" spans="1:173" x14ac:dyDescent="0.3">
      <c r="A350" s="48" t="str">
        <f ca="1">IFERROR(IF($A$1=2,INDEX($DH$3:$DN$401,MATCH(ROWS(A$3:A350),$DN$3:$DN$401,0),COLUMN()),IF($A$1=1,INDEX($DQ$3:$DW$401,MATCH(ROWS(A$3:A350),$DW$3:$DW$401,0),COLUMN()),"")),"")</f>
        <v/>
      </c>
      <c r="B350" s="48" t="str">
        <f ca="1">IFERROR(IF($A$1=2,INDEX($DH$3:$DN$400,MATCH(ROWS(B$3:B350),$DN$3:$DN$400,0),COLUMN()),IF($A$1=1,INDEX($DQ$3:$DW$400,MATCH(ROWS(B$3:B350),$DW$3:$DW$400,0),COLUMN()),"")),"")</f>
        <v/>
      </c>
      <c r="D350" s="48" t="str">
        <f ca="1">IFERROR(IF($A$1=2,INDEX($DH$3:$DN$401,MATCH(ROWS(D$3:D350),$DN$3:$DN$401,0),COLUMN()),IF($A$1=1,INDEX($DQ$3:$DW$401,MATCH(ROWS(D$3:D350),$DW$3:$DW$401,0),COLUMN()),"")),"")</f>
        <v/>
      </c>
      <c r="E350" s="48" t="str">
        <f ca="1">IFERROR(IF($A$1=2,INDEX($DH$3:$DN$401,MATCH(ROWS(E$3:E350),$DN$3:$DN$401,0),COLUMN()),IF($A$1=1,INDEX($DQ$3:$DW$401,MATCH(ROWS(E$3:E350),$DW$3:$DW$401,0),COLUMN()),"")),"")</f>
        <v/>
      </c>
      <c r="F350" s="48" t="str">
        <f ca="1">IFERROR(IF($A$1=2,INDEX($DH$3:$DN$401,MATCH(ROWS(F$3:F350),$DN$3:$DN$401,0),COLUMN()),IF($A$1=1,INDEX($DQ$3:$DX$401,MATCH(ROWS(F$3:F350),$DW$3:$DW$401,0),COLUMN()),"")),"")</f>
        <v/>
      </c>
      <c r="G350" s="48" t="str">
        <f t="shared" ca="1" si="650"/>
        <v/>
      </c>
      <c r="H350" s="48" t="str">
        <f ca="1">IFERROR(IF($A$1=2,INDEX($DH$3:$DO$400,MATCH(ROWS(H$3:H350),$DN$3:$DN$400,0),COLUMN()),IF($A$1=1,INDEX($DQ$3:$DX$400,MATCH(ROWS(H$3:H350),$DW$3:$DW$400,0),COLUMN()),"")),"")</f>
        <v/>
      </c>
      <c r="M350" s="48">
        <f ca="1">IFERROR(IF(IF(MID($A350,3,3)=".00",MID(A350,1,2),"")&lt;&gt;"",MAX($M$2:M349)+1,0),"")</f>
        <v>0</v>
      </c>
      <c r="N350" s="48" t="str">
        <f t="shared" ca="1" si="651"/>
        <v/>
      </c>
      <c r="O350" s="48" t="str">
        <f ca="1">IF(IFERROR(INDEX($N$3:$O$300,MATCH(ROWS($O$3:O350),$M$3:$M$300,0),1),"")&lt;&gt;"",CONCATENATE(INDEX($N$3:$O$300,MATCH(ROWS($O$3:O350),$M$3:$M$300,0),1),".00"),"")</f>
        <v/>
      </c>
      <c r="P350" s="48" t="str">
        <f t="shared" ca="1" si="652"/>
        <v/>
      </c>
      <c r="Q350" s="48">
        <f ca="1">IF(M350&gt;=1,0,MAX($Q$2:Q349)+1)</f>
        <v>311</v>
      </c>
      <c r="U350" s="48" t="str">
        <f ca="1">IFERROR(INDEX(PDC,MATCH(ROWS(U$3:U350),$V$3:$V$400,0),2),"")</f>
        <v/>
      </c>
      <c r="V350" s="48">
        <f ca="1">IF(AND($T$1="VISUALIZZA TUTTI I CONTI",AA350&lt;&gt;""),MAX($V$2:V349)+1,IF(AND($U$2=2,AI350=$T$1),MAX($V$2:V349)+1,IF(AND($U$2=1,$T$1=AF350),MAX($V$2:V349)+1,0)))</f>
        <v>0</v>
      </c>
      <c r="AA350" s="48" t="str">
        <f t="shared" ca="1" si="653"/>
        <v/>
      </c>
      <c r="AB350" s="48" t="str">
        <f ca="1">IFERROR(INDEX($A$3:$G$400,MATCH(ROWS(AB$3:AB350),$Q$3:$Q$400,0),1),"")</f>
        <v/>
      </c>
      <c r="AC350" s="48" t="str">
        <f ca="1">IFERROR(INDEX($A$3:$G$400,MATCH(ROWS($AC$3:AC350),$Q$3:$Q$400,0),2),"")</f>
        <v/>
      </c>
      <c r="AD350" s="48">
        <f ca="1">IFERROR(INDEX($A$3:$G$400,MATCH(ROWS(AD$3:AD350),$Q$3:$Q$400,0),3),"")</f>
        <v>0</v>
      </c>
      <c r="AE350" s="48" t="str">
        <f ca="1">IFERROR(INDEX($A$3:$G$400,MATCH(ROWS(AE$3:AE350),$Q$3:$Q$400,0),4),"")</f>
        <v/>
      </c>
      <c r="AF350" s="48" t="str">
        <f ca="1">IFERROR(INDEX($A$3:$G$400,MATCH(ROWS(AF$3:AF350),$Q$3:$Q$400,0),5),"")</f>
        <v/>
      </c>
      <c r="AG350" s="48" t="str">
        <f ca="1">IFERROR(INDEX($A$3:$G$400,MATCH(ROWS(AG$3:AG350),$Q$3:$Q$400,0),6),"")</f>
        <v/>
      </c>
      <c r="AH350" s="48" t="str">
        <f ca="1">IFERROR(INDEX($A$3:$G$400,MATCH(ROWS(AH$3:AH350),$Q$3:$Q$400,0),7),"")</f>
        <v/>
      </c>
      <c r="AI350" s="48" t="str">
        <f t="shared" ca="1" si="654"/>
        <v/>
      </c>
      <c r="AJ350" s="48" t="str">
        <f ca="1">IFERROR(INDEX($A$3:$H$400,MATCH(ROWS(AJ$3:AJ350),$Q$3:$Q$400,0),8),"")</f>
        <v/>
      </c>
      <c r="AZ350" s="48" t="str">
        <f t="shared" ca="1" si="669"/>
        <v/>
      </c>
      <c r="BA350" s="48">
        <f t="shared" ca="1" si="611"/>
        <v>0</v>
      </c>
      <c r="BB350" s="48">
        <f t="shared" ca="1" si="612"/>
        <v>0</v>
      </c>
      <c r="BC350" s="48">
        <f t="shared" ca="1" si="613"/>
        <v>0</v>
      </c>
      <c r="BD350" s="48">
        <f t="shared" ca="1" si="614"/>
        <v>0</v>
      </c>
      <c r="BE350" s="48">
        <f t="shared" ca="1" si="615"/>
        <v>0</v>
      </c>
      <c r="BF350" s="48">
        <f t="shared" si="670"/>
        <v>150</v>
      </c>
      <c r="BG350" s="48">
        <f ca="1">IF(IF(AND(OR(INDEX(PDC,MATCH($AC350,DEN_PDC,0),6)="SP DARE",INDEX(PDC,MATCH($AC350,DEN_PDC,0),6)="SP DARE/AVERE"),SUMIFS(DARE,DEN_G,$AC350)&gt;=SUMIFS(AVERE,DEN_G,$AC350)),SUMIFS(DARE,DEN_G,$AC350)-SUMIFS(AVERE,DEN_G,$AC350),0)&gt;0,MAX($BG$2:BG349)+1,0)</f>
        <v>0</v>
      </c>
      <c r="BH350" s="48">
        <f ca="1">IF(IF(AND(OR(INDEX(PDC,MATCH($AC350,DEN_PDC,0),6)="SP AVERE",INDEX(PDC,MATCH($AC350,DEN_PDC,0),6)="SP DARE/AVERE"),SUMIFS(AVERE,DEN_G,$AC350)&gt;=SUMIFS(DARE,DEN_G,$AC350)),SUMIFS(AVERE,DEN_G,$AC350)-SUMIFS(DARE,DEN_G,$AC350),0)&gt;0,MAX(BH$2:BH349)+1,0)</f>
        <v>0</v>
      </c>
      <c r="BI350" s="48">
        <f ca="1">IF(IF(AND(OR(INDEX(PDC,MATCH($AC350,DEN_PDC,0),6)="SE DARE",INDEX(PDC,MATCH($AC350,DEN_PDC,0),6)="SE DARE/AVERE"),SUMIFS(DARE,DEN_G,$AC350)&gt;=SUMIFS(AVERE,DEN_G,$AC350)),SUMIFS(DARE,DEN_G,$AC350)-SUMIFS(AVERE,DEN_G,$AC350),0)&gt;0,MAX(BI$2:BI349)+1,0)</f>
        <v>0</v>
      </c>
      <c r="BJ350" s="48">
        <f ca="1">IF(IF(AND(OR(INDEX(PDC,MATCH($AC350,DEN_PDC,0),6)="SE AVERE",INDEX(PDC,MATCH($AC350,DEN_PDC,0),6)="SE DARE/AVERE"),SUMIFS(AVERE,DEN_G,$AC350)&gt;=SUMIFS(DARE,DEN_G,$AC350)),SUMIFS(AVERE,DEN_G,$AC350)-SUMIFS(DARE,DEN_G,$AC350),0)&gt;0,MAX(BJ$2:BJ349)+1,0)</f>
        <v>0</v>
      </c>
      <c r="BK350" s="48" t="str">
        <f ca="1">IF(AND(AND($DY$2=0,$DY$1=0),$I$1=2,ROW()&gt;$BG$1+2,ROW()&lt;=$BG$1+4),"………………..",IF(AND(OR($DY$2&gt;0,$DY$1&gt;0),$I$1=2,ROW()&gt;$BG$1+2,ROW()&lt;=$BG$1+4),"………………..",IFERROR(INDEX($AC$3:$AC$398,MATCH(ROWS(BK$3:BK350),BG$3:BG$398,0),1),"")))</f>
        <v/>
      </c>
      <c r="BL350" s="48">
        <f t="shared" ca="1" si="637"/>
        <v>0</v>
      </c>
      <c r="BM350" s="48" t="str">
        <f ca="1">IF(AND(OR($DY$2=0,$DY$1=0),$I$1=2,ROW()&gt;$BH$1+2,ROW()&lt;=$BH$1+4),"………………..",IF(AND(OR($DY$2&gt;0,$DY$1&gt;0),$I$1=2,ROW()&gt;$BH$1+2,ROW()&lt;=$BH$1+4),"………………..",IFERROR(INDEX($AC$3:$AC$400,MATCH(ROWS(BM$3:BM350),BH$3:BH$400,0),1),"")))</f>
        <v/>
      </c>
      <c r="BN350" s="48">
        <f t="shared" ca="1" si="638"/>
        <v>0</v>
      </c>
      <c r="BO350" s="48" t="str">
        <f ca="1">IF(AND(OR($DY$2=0,$DY$1=0),$I$1=2,ROW()&gt;$BI$1+2,ROW()&lt;=$BI$1+4),"………………..",IF(AND(OR($DY$2&gt;0,$DY$1&gt;0),$I$1=2,ROW()&gt;$BI$1+2,ROW()&lt;=$BI$1+4),"………………..",IFERROR(INDEX($AC$3:$AC$400,MATCH(ROWS(BO$3:BO350),BI$3:BI$400,0),1),"")))</f>
        <v/>
      </c>
      <c r="BP350" s="48">
        <f t="shared" ca="1" si="639"/>
        <v>0</v>
      </c>
      <c r="BQ350" s="48" t="str">
        <f ca="1">IF(AND(OR($DY$2=0,$DY$1=0),$I$1=2,ROW()&gt;$BJ$1+2,ROW()&lt;=$BJ$1+4),"………………..",IF(AND(OR($DY$2&gt;0,$DY$1&gt;0),$I$1=2,ROW()&gt;$BJ$1+2,ROW()&lt;=$BJ$1+4),"………………..",IFERROR(INDEX($AC$3:$AC$400,MATCH(ROWS(BQ$3:BQ350),BJ$3:BJ$400,0),1),"")))</f>
        <v/>
      </c>
      <c r="BR350" s="48">
        <f t="shared" ca="1" si="640"/>
        <v>0</v>
      </c>
      <c r="BS350" s="48">
        <f ca="1">IF(IF(AND(OR(INDEX(PDC,MATCH($AC350,DEN_PDC,0),4)="D",INDEX(PDC,MATCH($AC350,DEN_PDC,0),4)="D/A"),SUMIFS(DARE,DEN_G,$AC350)&gt;=SUMIFS(AVERE,DEN_G,$AC350)),SUMIFS(DARE,DEN_G,$AC350),IF(AND(OR(INDEX(PDC,MATCH($AC350,DEN_PDC,0),4)="A",INDEX(PDC,MATCH($AC350,DEN_PDC,0),4)="D/A"),SUMIFS(AVERE,DEN_G,$AC350)&gt;=SUMIFS(DARE,DEN_G,$AC350)),SUMIFS(AVERE,DEN_G,$AC350),))&gt;0,MAX($BS$2:BS349)+1,0)</f>
        <v>0</v>
      </c>
      <c r="BT350" s="48" t="str">
        <f ca="1">IF($CO$1=0,"",IF(AND($I$1=2,ROW()&gt;$BR$1,ROW()&lt;=$BS$1)," …………….",IF(AND($E$1=1,$BX$1=1,$I$1=2,ROW()=$BQ$1),"TOTALI",IFERROR(INDEX(PDC,MATCH(ROWS(BT$3:BT350),BS$3:BS747,0),2),""))))</f>
        <v/>
      </c>
      <c r="BU350" s="48">
        <f t="shared" ca="1" si="641"/>
        <v>0</v>
      </c>
      <c r="BV350" s="48">
        <f t="shared" ca="1" si="642"/>
        <v>0</v>
      </c>
      <c r="BW350" s="48">
        <f t="shared" ca="1" si="643"/>
        <v>0</v>
      </c>
      <c r="BX350" s="48">
        <f t="shared" ca="1" si="644"/>
        <v>0</v>
      </c>
      <c r="BY350" s="48">
        <f ca="1">IF(OR(BW350&gt;0,BX350&gt;0),MAX($BY$2:BY349)+1,0)</f>
        <v>0</v>
      </c>
      <c r="BZ350" s="48" t="str">
        <f ca="1">IFERROR(INDEX($BT$3:$BY$400,MATCH(ROWS(BZ$3:BZ350),$BY$3:$BY$400,0),1),"")</f>
        <v/>
      </c>
      <c r="CA350" s="48" t="str">
        <f ca="1">IFERROR(INDEX($BT$3:$BY$400,MATCH(ROWS(CA$3:CA350),$BY$3:$BY$400,0),4),"")</f>
        <v/>
      </c>
      <c r="CB350" s="48" t="str">
        <f ca="1">IFERROR(INDEX($BT$3:$BY$400,MATCH(ROWS(CB$3:CB350),$BY$3:$BY$400,0),5),"")</f>
        <v/>
      </c>
      <c r="CC350" s="48" t="str">
        <f t="shared" ca="1" si="645"/>
        <v/>
      </c>
      <c r="CM350" s="242" t="str">
        <f t="shared" ca="1" si="655"/>
        <v/>
      </c>
      <c r="CN350" s="243">
        <f t="shared" ca="1" si="656"/>
        <v>0</v>
      </c>
      <c r="CO350" s="48" t="str">
        <f t="shared" ca="1" si="657"/>
        <v/>
      </c>
      <c r="CU350" s="48">
        <f ca="1">IF(SUMIFS(AVERE,DEN_G,AC350,AVERE,"&gt;"&amp;0)+SUMIFS(DARE,DEN_G,AC350,DARE,"&gt;"&amp;0)&gt;0,MAX($CU$2:CU349)+1,0)</f>
        <v>0</v>
      </c>
      <c r="CV350" s="48" t="str">
        <f ca="1">IF(IFERROR(INDEX(PDC,MATCH(ROWS($CV$3:CV350),$CU$3:$CU$400,0),2),"")="CONTO DI RISULTATO ECONOMICO","",IFERROR(INDEX(PDC,MATCH(ROWS($CV$3:CV350),$CU$3:$CU$400,0),2),""))</f>
        <v/>
      </c>
      <c r="CW350" s="48">
        <f ca="1">IFERROR(IF(CV350&lt;&gt;"",MAX($CW$2:CW349)+1,0),0)</f>
        <v>0</v>
      </c>
      <c r="CX350" s="48">
        <f t="shared" ca="1" si="679"/>
        <v>27</v>
      </c>
      <c r="CY350" s="48" t="str">
        <f t="shared" ca="1" si="678"/>
        <v>MASTRO</v>
      </c>
      <c r="CZ350" s="48" t="e">
        <f t="shared" ca="1" si="681"/>
        <v>#N/A</v>
      </c>
      <c r="DA350" s="48" t="str">
        <f t="shared" ca="1" si="686"/>
        <v/>
      </c>
      <c r="DB350" s="48" t="str">
        <f t="shared" ca="1" si="682"/>
        <v/>
      </c>
      <c r="DC350" s="48" t="str">
        <f t="shared" ca="1" si="683"/>
        <v/>
      </c>
      <c r="DD350" s="48" t="str">
        <f t="shared" ca="1" si="684"/>
        <v/>
      </c>
      <c r="DE350" s="48" t="str">
        <f t="shared" ca="1" si="685"/>
        <v/>
      </c>
      <c r="DF350" s="48">
        <f ca="1">IF(AND(CX350=$DF$1,CX350&lt;&gt;""),0,IF(AND(DB350&lt;&gt;"",OR(DB349&lt;&gt;"",DB351&lt;&gt;"")),MAX($DF$2:DF349)+1,0))</f>
        <v>0</v>
      </c>
      <c r="DH350" s="244" t="s">
        <v>1029</v>
      </c>
      <c r="DI350" s="48" t="s">
        <v>961</v>
      </c>
      <c r="DJ350" s="48" t="s">
        <v>311</v>
      </c>
      <c r="DK350" s="48" t="s">
        <v>275</v>
      </c>
      <c r="DL350" s="48" t="s">
        <v>7</v>
      </c>
      <c r="DM350" s="48" t="s">
        <v>301</v>
      </c>
      <c r="DN350" s="48">
        <f ca="1">IF(DI350&lt;&gt;"",MAX($DN$2:DN349)+1,0)</f>
        <v>280</v>
      </c>
      <c r="DO350" s="48" t="s">
        <v>721</v>
      </c>
      <c r="DQ350" s="227" t="s">
        <v>1071</v>
      </c>
      <c r="DR350" s="48" t="s">
        <v>252</v>
      </c>
      <c r="DS350" s="48" t="s">
        <v>311</v>
      </c>
      <c r="DT350" s="48" t="s">
        <v>275</v>
      </c>
      <c r="DU350" s="48" t="s">
        <v>7</v>
      </c>
      <c r="DV350" s="48" t="s">
        <v>301</v>
      </c>
      <c r="DW350" s="48">
        <f ca="1">IF(DR350&lt;&gt;"",MAX($DW$2:DW349)+1,0)</f>
        <v>212</v>
      </c>
      <c r="DX350" s="48" t="s">
        <v>722</v>
      </c>
      <c r="DY350" s="48" t="str">
        <f t="shared" ca="1" si="647"/>
        <v/>
      </c>
      <c r="EL350" s="48">
        <f t="shared" ca="1" si="648"/>
        <v>0</v>
      </c>
      <c r="EM350" s="48">
        <f ca="1">IF(EL350&gt;=0,0,MAX($EM$2:EM349)+1)</f>
        <v>0</v>
      </c>
      <c r="EN350" s="48" t="str">
        <f t="shared" ca="1" si="658"/>
        <v/>
      </c>
      <c r="EO350" s="48" t="str">
        <f ca="1">IFERROR(INDEX($EM$3:$EN$400,MATCH(ROWS($EO$3:EO350),$EM$3:$EM$400,0),2),"")</f>
        <v/>
      </c>
      <c r="EP350" s="48">
        <f>ROW()</f>
        <v>350</v>
      </c>
      <c r="EQ350" s="48">
        <f t="shared" ca="1" si="649"/>
        <v>0</v>
      </c>
      <c r="ER350" s="48">
        <f ca="1">IF(ISNA(EQ350)=TRUE,MAX($ER$2:ER349)+1,0)</f>
        <v>0</v>
      </c>
      <c r="ES350" s="48" t="str">
        <f t="shared" ca="1" si="659"/>
        <v/>
      </c>
      <c r="ET350" s="48" t="str">
        <f ca="1">IFERROR(INDEX($ER$3:$ES$400,MATCH(ROWS($ET$3:ET350),$ER$3:$ER$400,0),2),"")</f>
        <v/>
      </c>
      <c r="EV350" s="48">
        <f ca="1">IFERROR(INDEX(LIBRO_GIORNALE!$O$11:$P$408,MATCH(ROWS($EV$2:EV349),LIBRO_GIORNALE!$P$11:$P$408,0),1),0)</f>
        <v>0</v>
      </c>
      <c r="EW350" s="48" t="str">
        <f t="shared" ca="1" si="629"/>
        <v>0</v>
      </c>
      <c r="EX350" s="48">
        <f t="shared" ca="1" si="660"/>
        <v>0</v>
      </c>
      <c r="EY350" s="48">
        <f ca="1">IF(EX350&gt;0,MAX($EY$2:EY349)+1,0)</f>
        <v>0</v>
      </c>
      <c r="EZ350" s="48">
        <f ca="1">IFERROR(INDEX($EX$3:$EX$400,MATCH(ROWS($EZ$3:EZ350),$EY$3:$EY$400,0),1),0)</f>
        <v>0</v>
      </c>
      <c r="FA350" s="48">
        <f ca="1">IF(EZ350&gt;0,0,MAX($FA$2:FA349)+1)</f>
        <v>348</v>
      </c>
      <c r="FB350" s="48">
        <f t="shared" ca="1" si="630"/>
        <v>0</v>
      </c>
      <c r="FC350" s="48">
        <f t="shared" ca="1" si="631"/>
        <v>348</v>
      </c>
      <c r="FD350" s="48">
        <f t="shared" ca="1" si="661"/>
        <v>348</v>
      </c>
      <c r="FE350" s="48">
        <f ca="1">IF(FD350=0,0,MAX($FE$2:FE349)+1)</f>
        <v>348</v>
      </c>
      <c r="FF350" s="48">
        <f ca="1">IFERROR(INDEX($FD$3:$FE$400,MATCH(ROWS($FF$3:FF350),$FE$3:$FE$400,0),1),"")</f>
        <v>348</v>
      </c>
      <c r="FG350" s="48">
        <f t="shared" si="610"/>
        <v>0</v>
      </c>
      <c r="FH350" s="48">
        <f t="shared" ca="1" si="662"/>
        <v>0</v>
      </c>
      <c r="FI350" s="48">
        <f ca="1">IF(FH350&lt;&gt;0,MAX($FI$2:FI349)+1,0)</f>
        <v>0</v>
      </c>
      <c r="FJ350" s="48" t="str">
        <f ca="1">IFERROR(INDEX($FH$3:$FI$400,MATCH(ROWS($FJ$3:FJ350),$FI$3:$FI$400,0),1),"")</f>
        <v/>
      </c>
      <c r="FK350" s="48">
        <f ca="1">IF(ABS(SUMIFS(DARE,DEN_G,"="&amp;FJ350,DATA,"&lt;="&amp;FINE_AC,DATA,"&gt;="&amp;INIZIO_A_PC)-SUMIFS(AVERE,DEN_G,"="&amp;FJ350,DATA,"&lt;="&amp;FINE_AC,DATA,"&gt;="&amp;INIZIO_A_PC))&gt;0,MAX($FK$2:FK349)+1,0)</f>
        <v>0</v>
      </c>
      <c r="FL350" s="48" t="str">
        <f ca="1">IF(AND(ROW()-2&lt;&gt;1,ROW()-2&lt;=$FK$1),CONCATENATE(" - ",IFERROR(INDEX($FJ$3:$FK$400,MATCH(ROWS($FL$3:FL350),$FK$3:$FK$400,0),1),"")),IFERROR(INDEX($FJ$3:$FK$400,MATCH(ROWS($FL$3:FL350),$FK$3:$FK$400,0),1),""))</f>
        <v/>
      </c>
      <c r="FM350" s="48">
        <f ca="1">IF(OR(B350="IVA ns/credito",B350="IVA NS/DEBITO",B350="IVA C/ACCONTO",B350="IMPOSTE C/ACCONTO",B350="CREDITI PER RITENUTE SUBITE",B350="CREDITI D'IMPOSTA"),MAX($FM$2:FM349)+1,0)</f>
        <v>0</v>
      </c>
      <c r="FN350" s="48" t="str">
        <f t="shared" ca="1" si="663"/>
        <v/>
      </c>
      <c r="FO350" s="48" t="str">
        <f ca="1">IFERROR(INDEX($FM$3:$FN$400,MATCH(ROWS($FO$3:FO350),$FM$3:$FM$400,0),2),"")</f>
        <v/>
      </c>
      <c r="FP350" s="48">
        <f ca="1">IF(ABS(SUMIFS(DARE,DEN_G,"="&amp;FO350,DATA,"&lt;="&amp;FINE_AC,DATA,"&gt;="&amp;INIZIO_A_PC)-SUMIFS(AVERE,DEN_G,"="&amp;FO350,DATA,"&lt;="&amp;FINE_AC,DATA,"&gt;="&amp;INIZIO_A_PC))&gt;0,MAX($FP$2:FP349)+1,0)</f>
        <v>0</v>
      </c>
      <c r="FQ350" s="48" t="str">
        <f ca="1">IF(AND(ROW()-2&lt;&gt;1,ROW()-2&lt;=$FP$1),CONCATENATE(" - ",IFERROR(INDEX($FO$3:$FP$400,MATCH(ROWS($FQ$3:FQ350),$FP$3:$FP$400,0),1),"")),IFERROR(INDEX($FO$3:$FP$400,MATCH(ROWS($FQ$3:FQ350),$FP$3:$FP$400,0),1),""))</f>
        <v/>
      </c>
    </row>
    <row r="351" spans="1:173" x14ac:dyDescent="0.3">
      <c r="A351" s="48" t="str">
        <f ca="1">IFERROR(IF($A$1=2,INDEX($DH$3:$DN$401,MATCH(ROWS(A$3:A351),$DN$3:$DN$401,0),COLUMN()),IF($A$1=1,INDEX($DQ$3:$DW$401,MATCH(ROWS(A$3:A351),$DW$3:$DW$401,0),COLUMN()),"")),"")</f>
        <v/>
      </c>
      <c r="B351" s="48" t="str">
        <f ca="1">IFERROR(IF($A$1=2,INDEX($DH$3:$DN$400,MATCH(ROWS(B$3:B351),$DN$3:$DN$400,0),COLUMN()),IF($A$1=1,INDEX($DQ$3:$DW$400,MATCH(ROWS(B$3:B351),$DW$3:$DW$400,0),COLUMN()),"")),"")</f>
        <v/>
      </c>
      <c r="D351" s="48" t="str">
        <f ca="1">IFERROR(IF($A$1=2,INDEX($DH$3:$DN$401,MATCH(ROWS(D$3:D351),$DN$3:$DN$401,0),COLUMN()),IF($A$1=1,INDEX($DQ$3:$DW$401,MATCH(ROWS(D$3:D351),$DW$3:$DW$401,0),COLUMN()),"")),"")</f>
        <v/>
      </c>
      <c r="E351" s="48" t="str">
        <f ca="1">IFERROR(IF($A$1=2,INDEX($DH$3:$DN$401,MATCH(ROWS(E$3:E351),$DN$3:$DN$401,0),COLUMN()),IF($A$1=1,INDEX($DQ$3:$DW$401,MATCH(ROWS(E$3:E351),$DW$3:$DW$401,0),COLUMN()),"")),"")</f>
        <v/>
      </c>
      <c r="F351" s="48" t="str">
        <f ca="1">IFERROR(IF($A$1=2,INDEX($DH$3:$DN$401,MATCH(ROWS(F$3:F351),$DN$3:$DN$401,0),COLUMN()),IF($A$1=1,INDEX($DQ$3:$DX$401,MATCH(ROWS(F$3:F351),$DW$3:$DW$401,0),COLUMN()),"")),"")</f>
        <v/>
      </c>
      <c r="G351" s="48" t="str">
        <f t="shared" ca="1" si="650"/>
        <v/>
      </c>
      <c r="H351" s="48" t="str">
        <f ca="1">IFERROR(IF($A$1=2,INDEX($DH$3:$DO$400,MATCH(ROWS(H$3:H351),$DN$3:$DN$400,0),COLUMN()),IF($A$1=1,INDEX($DQ$3:$DX$400,MATCH(ROWS(H$3:H351),$DW$3:$DW$400,0),COLUMN()),"")),"")</f>
        <v/>
      </c>
      <c r="M351" s="48">
        <f ca="1">IFERROR(IF(IF(MID($A351,3,3)=".00",MID(A351,1,2),"")&lt;&gt;"",MAX($M$2:M350)+1,0),"")</f>
        <v>0</v>
      </c>
      <c r="N351" s="48" t="str">
        <f t="shared" ca="1" si="651"/>
        <v/>
      </c>
      <c r="O351" s="48" t="str">
        <f ca="1">IF(IFERROR(INDEX($N$3:$O$300,MATCH(ROWS($O$3:O351),$M$3:$M$300,0),1),"")&lt;&gt;"",CONCATENATE(INDEX($N$3:$O$300,MATCH(ROWS($O$3:O351),$M$3:$M$300,0),1),".00"),"")</f>
        <v/>
      </c>
      <c r="P351" s="48" t="str">
        <f t="shared" ca="1" si="652"/>
        <v/>
      </c>
      <c r="Q351" s="48">
        <f ca="1">IF(M351&gt;=1,0,MAX($Q$2:Q350)+1)</f>
        <v>312</v>
      </c>
      <c r="U351" s="48" t="str">
        <f ca="1">IFERROR(INDEX(PDC,MATCH(ROWS(U$3:U351),$V$3:$V$400,0),2),"")</f>
        <v/>
      </c>
      <c r="V351" s="48">
        <f ca="1">IF(AND($T$1="VISUALIZZA TUTTI I CONTI",AA351&lt;&gt;""),MAX($V$2:V350)+1,IF(AND($U$2=2,AI351=$T$1),MAX($V$2:V350)+1,IF(AND($U$2=1,$T$1=AF351),MAX($V$2:V350)+1,0)))</f>
        <v>0</v>
      </c>
      <c r="AA351" s="48" t="str">
        <f t="shared" ca="1" si="653"/>
        <v/>
      </c>
      <c r="AB351" s="48" t="str">
        <f ca="1">IFERROR(INDEX($A$3:$G$400,MATCH(ROWS(AB$3:AB351),$Q$3:$Q$400,0),1),"")</f>
        <v/>
      </c>
      <c r="AC351" s="48" t="str">
        <f ca="1">IFERROR(INDEX($A$3:$G$400,MATCH(ROWS($AC$3:AC351),$Q$3:$Q$400,0),2),"")</f>
        <v/>
      </c>
      <c r="AD351" s="48">
        <f ca="1">IFERROR(INDEX($A$3:$G$400,MATCH(ROWS(AD$3:AD351),$Q$3:$Q$400,0),3),"")</f>
        <v>0</v>
      </c>
      <c r="AE351" s="48" t="str">
        <f ca="1">IFERROR(INDEX($A$3:$G$400,MATCH(ROWS(AE$3:AE351),$Q$3:$Q$400,0),4),"")</f>
        <v/>
      </c>
      <c r="AF351" s="48" t="str">
        <f ca="1">IFERROR(INDEX($A$3:$G$400,MATCH(ROWS(AF$3:AF351),$Q$3:$Q$400,0),5),"")</f>
        <v/>
      </c>
      <c r="AG351" s="48" t="str">
        <f ca="1">IFERROR(INDEX($A$3:$G$400,MATCH(ROWS(AG$3:AG351),$Q$3:$Q$400,0),6),"")</f>
        <v/>
      </c>
      <c r="AH351" s="48" t="str">
        <f ca="1">IFERROR(INDEX($A$3:$G$400,MATCH(ROWS(AH$3:AH351),$Q$3:$Q$400,0),7),"")</f>
        <v/>
      </c>
      <c r="AI351" s="48" t="str">
        <f t="shared" ca="1" si="654"/>
        <v/>
      </c>
      <c r="AJ351" s="48" t="str">
        <f ca="1">IFERROR(INDEX($A$3:$H$400,MATCH(ROWS(AJ$3:AJ351),$Q$3:$Q$400,0),8),"")</f>
        <v/>
      </c>
      <c r="AZ351" s="48" t="str">
        <f t="shared" ca="1" si="669"/>
        <v/>
      </c>
      <c r="BA351" s="48">
        <f t="shared" ca="1" si="611"/>
        <v>0</v>
      </c>
      <c r="BB351" s="48">
        <f t="shared" ca="1" si="612"/>
        <v>0</v>
      </c>
      <c r="BC351" s="48">
        <f t="shared" ca="1" si="613"/>
        <v>0</v>
      </c>
      <c r="BD351" s="48">
        <f t="shared" ca="1" si="614"/>
        <v>0</v>
      </c>
      <c r="BE351" s="48">
        <f t="shared" ca="1" si="615"/>
        <v>0</v>
      </c>
      <c r="BF351" s="48">
        <f t="shared" si="670"/>
        <v>151</v>
      </c>
      <c r="BG351" s="48">
        <f ca="1">IF(IF(AND(OR(INDEX(PDC,MATCH($AC351,DEN_PDC,0),6)="SP DARE",INDEX(PDC,MATCH($AC351,DEN_PDC,0),6)="SP DARE/AVERE"),SUMIFS(DARE,DEN_G,$AC351)&gt;=SUMIFS(AVERE,DEN_G,$AC351)),SUMIFS(DARE,DEN_G,$AC351)-SUMIFS(AVERE,DEN_G,$AC351),0)&gt;0,MAX($BG$2:BG350)+1,0)</f>
        <v>0</v>
      </c>
      <c r="BH351" s="48">
        <f ca="1">IF(IF(AND(OR(INDEX(PDC,MATCH($AC351,DEN_PDC,0),6)="SP AVERE",INDEX(PDC,MATCH($AC351,DEN_PDC,0),6)="SP DARE/AVERE"),SUMIFS(AVERE,DEN_G,$AC351)&gt;=SUMIFS(DARE,DEN_G,$AC351)),SUMIFS(AVERE,DEN_G,$AC351)-SUMIFS(DARE,DEN_G,$AC351),0)&gt;0,MAX(BH$2:BH350)+1,0)</f>
        <v>0</v>
      </c>
      <c r="BI351" s="48">
        <f ca="1">IF(IF(AND(OR(INDEX(PDC,MATCH($AC351,DEN_PDC,0),6)="SE DARE",INDEX(PDC,MATCH($AC351,DEN_PDC,0),6)="SE DARE/AVERE"),SUMIFS(DARE,DEN_G,$AC351)&gt;=SUMIFS(AVERE,DEN_G,$AC351)),SUMIFS(DARE,DEN_G,$AC351)-SUMIFS(AVERE,DEN_G,$AC351),0)&gt;0,MAX(BI$2:BI350)+1,0)</f>
        <v>0</v>
      </c>
      <c r="BJ351" s="48">
        <f ca="1">IF(IF(AND(OR(INDEX(PDC,MATCH($AC351,DEN_PDC,0),6)="SE AVERE",INDEX(PDC,MATCH($AC351,DEN_PDC,0),6)="SE DARE/AVERE"),SUMIFS(AVERE,DEN_G,$AC351)&gt;=SUMIFS(DARE,DEN_G,$AC351)),SUMIFS(AVERE,DEN_G,$AC351)-SUMIFS(DARE,DEN_G,$AC351),0)&gt;0,MAX(BJ$2:BJ350)+1,0)</f>
        <v>0</v>
      </c>
      <c r="BK351" s="48" t="str">
        <f ca="1">IF(AND(AND($DY$2=0,$DY$1=0),$I$1=2,ROW()&gt;$BG$1+2,ROW()&lt;=$BG$1+4),"………………..",IF(AND(OR($DY$2&gt;0,$DY$1&gt;0),$I$1=2,ROW()&gt;$BG$1+2,ROW()&lt;=$BG$1+4),"………………..",IFERROR(INDEX($AC$3:$AC$398,MATCH(ROWS(BK$3:BK351),BG$3:BG$398,0),1),"")))</f>
        <v/>
      </c>
      <c r="BL351" s="48">
        <f t="shared" ca="1" si="637"/>
        <v>0</v>
      </c>
      <c r="BM351" s="48" t="str">
        <f ca="1">IF(AND(OR($DY$2=0,$DY$1=0),$I$1=2,ROW()&gt;$BH$1+2,ROW()&lt;=$BH$1+4),"………………..",IF(AND(OR($DY$2&gt;0,$DY$1&gt;0),$I$1=2,ROW()&gt;$BH$1+2,ROW()&lt;=$BH$1+4),"………………..",IFERROR(INDEX($AC$3:$AC$400,MATCH(ROWS(BM$3:BM351),BH$3:BH$400,0),1),"")))</f>
        <v/>
      </c>
      <c r="BN351" s="48">
        <f t="shared" ca="1" si="638"/>
        <v>0</v>
      </c>
      <c r="BO351" s="48" t="str">
        <f ca="1">IF(AND(OR($DY$2=0,$DY$1=0),$I$1=2,ROW()&gt;$BI$1+2,ROW()&lt;=$BI$1+4),"………………..",IF(AND(OR($DY$2&gt;0,$DY$1&gt;0),$I$1=2,ROW()&gt;$BI$1+2,ROW()&lt;=$BI$1+4),"………………..",IFERROR(INDEX($AC$3:$AC$400,MATCH(ROWS(BO$3:BO351),BI$3:BI$400,0),1),"")))</f>
        <v/>
      </c>
      <c r="BP351" s="48">
        <f t="shared" ca="1" si="639"/>
        <v>0</v>
      </c>
      <c r="BQ351" s="48" t="str">
        <f ca="1">IF(AND(OR($DY$2=0,$DY$1=0),$I$1=2,ROW()&gt;$BJ$1+2,ROW()&lt;=$BJ$1+4),"………………..",IF(AND(OR($DY$2&gt;0,$DY$1&gt;0),$I$1=2,ROW()&gt;$BJ$1+2,ROW()&lt;=$BJ$1+4),"………………..",IFERROR(INDEX($AC$3:$AC$400,MATCH(ROWS(BQ$3:BQ351),BJ$3:BJ$400,0),1),"")))</f>
        <v/>
      </c>
      <c r="BR351" s="48">
        <f t="shared" ca="1" si="640"/>
        <v>0</v>
      </c>
      <c r="BS351" s="48">
        <f ca="1">IF(IF(AND(OR(INDEX(PDC,MATCH($AC351,DEN_PDC,0),4)="D",INDEX(PDC,MATCH($AC351,DEN_PDC,0),4)="D/A"),SUMIFS(DARE,DEN_G,$AC351)&gt;=SUMIFS(AVERE,DEN_G,$AC351)),SUMIFS(DARE,DEN_G,$AC351),IF(AND(OR(INDEX(PDC,MATCH($AC351,DEN_PDC,0),4)="A",INDEX(PDC,MATCH($AC351,DEN_PDC,0),4)="D/A"),SUMIFS(AVERE,DEN_G,$AC351)&gt;=SUMIFS(DARE,DEN_G,$AC351)),SUMIFS(AVERE,DEN_G,$AC351),))&gt;0,MAX($BS$2:BS350)+1,0)</f>
        <v>0</v>
      </c>
      <c r="BT351" s="48" t="str">
        <f ca="1">IF($CO$1=0,"",IF(AND($I$1=2,ROW()&gt;$BR$1,ROW()&lt;=$BS$1)," …………….",IF(AND($E$1=1,$BX$1=1,$I$1=2,ROW()=$BQ$1),"TOTALI",IFERROR(INDEX(PDC,MATCH(ROWS(BT$3:BT351),BS$3:BS748,0),2),""))))</f>
        <v/>
      </c>
      <c r="BU351" s="48">
        <f t="shared" ca="1" si="641"/>
        <v>0</v>
      </c>
      <c r="BV351" s="48">
        <f t="shared" ca="1" si="642"/>
        <v>0</v>
      </c>
      <c r="BW351" s="48">
        <f t="shared" ca="1" si="643"/>
        <v>0</v>
      </c>
      <c r="BX351" s="48">
        <f t="shared" ca="1" si="644"/>
        <v>0</v>
      </c>
      <c r="BY351" s="48">
        <f ca="1">IF(OR(BW351&gt;0,BX351&gt;0),MAX($BY$2:BY350)+1,0)</f>
        <v>0</v>
      </c>
      <c r="BZ351" s="48" t="str">
        <f ca="1">IFERROR(INDEX($BT$3:$BY$400,MATCH(ROWS(BZ$3:BZ351),$BY$3:$BY$400,0),1),"")</f>
        <v/>
      </c>
      <c r="CA351" s="48" t="str">
        <f ca="1">IFERROR(INDEX($BT$3:$BY$400,MATCH(ROWS(CA$3:CA351),$BY$3:$BY$400,0),4),"")</f>
        <v/>
      </c>
      <c r="CB351" s="48" t="str">
        <f ca="1">IFERROR(INDEX($BT$3:$BY$400,MATCH(ROWS(CB$3:CB351),$BY$3:$BY$400,0),5),"")</f>
        <v/>
      </c>
      <c r="CC351" s="48" t="str">
        <f t="shared" ca="1" si="645"/>
        <v/>
      </c>
      <c r="CM351" s="242" t="str">
        <f t="shared" ca="1" si="655"/>
        <v/>
      </c>
      <c r="CN351" s="243">
        <f t="shared" ca="1" si="656"/>
        <v>0</v>
      </c>
      <c r="CO351" s="48" t="str">
        <f t="shared" ca="1" si="657"/>
        <v/>
      </c>
      <c r="CU351" s="48">
        <f ca="1">IF(SUMIFS(AVERE,DEN_G,AC351,AVERE,"&gt;"&amp;0)+SUMIFS(DARE,DEN_G,AC351,DARE,"&gt;"&amp;0)&gt;0,MAX($CU$2:CU350)+1,0)</f>
        <v>0</v>
      </c>
      <c r="CV351" s="48" t="str">
        <f ca="1">IF(IFERROR(INDEX(PDC,MATCH(ROWS($CV$3:CV351),$CU$3:$CU$400,0),2),"")="CONTO DI RISULTATO ECONOMICO","",IFERROR(INDEX(PDC,MATCH(ROWS($CV$3:CV351),$CU$3:$CU$400,0),2),""))</f>
        <v/>
      </c>
      <c r="CW351" s="48">
        <f ca="1">IFERROR(IF(CV351&lt;&gt;"",MAX($CW$2:CW350)+1,0),0)</f>
        <v>0</v>
      </c>
      <c r="CX351" s="48">
        <f t="shared" ca="1" si="679"/>
        <v>27</v>
      </c>
      <c r="CY351" s="48" t="str">
        <f t="shared" ca="1" si="678"/>
        <v>MASTRO</v>
      </c>
      <c r="CZ351" s="48" t="e">
        <f t="shared" ca="1" si="681"/>
        <v>#N/A</v>
      </c>
      <c r="DA351" s="48" t="str">
        <f t="shared" ca="1" si="686"/>
        <v/>
      </c>
      <c r="DB351" s="48" t="str">
        <f t="shared" ca="1" si="682"/>
        <v/>
      </c>
      <c r="DC351" s="48" t="str">
        <f t="shared" ca="1" si="683"/>
        <v/>
      </c>
      <c r="DD351" s="48" t="str">
        <f t="shared" ca="1" si="684"/>
        <v/>
      </c>
      <c r="DE351" s="48" t="str">
        <f t="shared" ca="1" si="685"/>
        <v/>
      </c>
      <c r="DF351" s="48">
        <f ca="1">IF(AND(CX351=$DF$1,CX351&lt;&gt;""),0,IF(AND(DB351&lt;&gt;"",OR(DB350&lt;&gt;"",DB352&lt;&gt;"")),MAX($DF$2:DF350)+1,0))</f>
        <v>0</v>
      </c>
      <c r="DH351" s="244" t="s">
        <v>249</v>
      </c>
      <c r="DI351" s="228" t="s">
        <v>248</v>
      </c>
      <c r="DN351" s="48">
        <f ca="1">IF(DI351&lt;&gt;"",MAX($DN$2:DN350)+1,0)</f>
        <v>281</v>
      </c>
      <c r="DQ351" s="227" t="s">
        <v>254</v>
      </c>
      <c r="DR351" s="48" t="s">
        <v>253</v>
      </c>
      <c r="DS351" s="48" t="s">
        <v>311</v>
      </c>
      <c r="DT351" s="48" t="s">
        <v>275</v>
      </c>
      <c r="DU351" s="48" t="s">
        <v>7</v>
      </c>
      <c r="DV351" s="48" t="s">
        <v>301</v>
      </c>
      <c r="DW351" s="48">
        <f ca="1">IF(DR351&lt;&gt;"",MAX($DW$2:DW350)+1,0)</f>
        <v>213</v>
      </c>
      <c r="DX351" s="48" t="s">
        <v>722</v>
      </c>
      <c r="DY351" s="48" t="str">
        <f t="shared" ca="1" si="647"/>
        <v/>
      </c>
      <c r="EL351" s="48">
        <f t="shared" ca="1" si="648"/>
        <v>0</v>
      </c>
      <c r="EM351" s="48">
        <f ca="1">IF(EL351&gt;=0,0,MAX($EM$2:EM350)+1)</f>
        <v>0</v>
      </c>
      <c r="EN351" s="48" t="str">
        <f t="shared" ca="1" si="658"/>
        <v/>
      </c>
      <c r="EO351" s="48" t="str">
        <f ca="1">IFERROR(INDEX($EM$3:$EN$400,MATCH(ROWS($EO$3:EO351),$EM$3:$EM$400,0),2),"")</f>
        <v/>
      </c>
      <c r="EP351" s="48">
        <f>ROW()</f>
        <v>351</v>
      </c>
      <c r="EQ351" s="48">
        <f t="shared" ca="1" si="649"/>
        <v>0</v>
      </c>
      <c r="ER351" s="48">
        <f ca="1">IF(ISNA(EQ351)=TRUE,MAX($ER$2:ER350)+1,0)</f>
        <v>0</v>
      </c>
      <c r="ES351" s="48" t="str">
        <f t="shared" ca="1" si="659"/>
        <v/>
      </c>
      <c r="ET351" s="48" t="str">
        <f ca="1">IFERROR(INDEX($ER$3:$ES$400,MATCH(ROWS($ET$3:ET351),$ER$3:$ER$400,0),2),"")</f>
        <v/>
      </c>
      <c r="EV351" s="48">
        <f ca="1">IFERROR(INDEX(LIBRO_GIORNALE!$O$11:$P$408,MATCH(ROWS($EV$2:EV350),LIBRO_GIORNALE!$P$11:$P$408,0),1),0)</f>
        <v>0</v>
      </c>
      <c r="EW351" s="48" t="str">
        <f t="shared" ca="1" si="629"/>
        <v>0</v>
      </c>
      <c r="EX351" s="48">
        <f t="shared" ca="1" si="660"/>
        <v>0</v>
      </c>
      <c r="EY351" s="48">
        <f ca="1">IF(EX351&gt;0,MAX($EY$2:EY350)+1,0)</f>
        <v>0</v>
      </c>
      <c r="EZ351" s="48">
        <f ca="1">IFERROR(INDEX($EX$3:$EX$400,MATCH(ROWS($EZ$3:EZ351),$EY$3:$EY$400,0),1),0)</f>
        <v>0</v>
      </c>
      <c r="FA351" s="48">
        <f ca="1">IF(EZ351&gt;0,0,MAX($FA$2:FA350)+1)</f>
        <v>349</v>
      </c>
      <c r="FB351" s="48">
        <f t="shared" ca="1" si="630"/>
        <v>0</v>
      </c>
      <c r="FC351" s="48">
        <f t="shared" ca="1" si="631"/>
        <v>349</v>
      </c>
      <c r="FD351" s="48">
        <f t="shared" ca="1" si="661"/>
        <v>349</v>
      </c>
      <c r="FE351" s="48">
        <f ca="1">IF(FD351=0,0,MAX($FE$2:FE350)+1)</f>
        <v>349</v>
      </c>
      <c r="FF351" s="48">
        <f ca="1">IFERROR(INDEX($FD$3:$FE$400,MATCH(ROWS($FF$3:FF351),$FE$3:$FE$400,0),1),"")</f>
        <v>349</v>
      </c>
      <c r="FG351" s="48">
        <f t="shared" si="610"/>
        <v>0</v>
      </c>
      <c r="FH351" s="48">
        <f t="shared" ca="1" si="662"/>
        <v>0</v>
      </c>
      <c r="FI351" s="48">
        <f ca="1">IF(FH351&lt;&gt;0,MAX($FI$2:FI350)+1,0)</f>
        <v>0</v>
      </c>
      <c r="FJ351" s="48" t="str">
        <f ca="1">IFERROR(INDEX($FH$3:$FI$400,MATCH(ROWS($FJ$3:FJ351),$FI$3:$FI$400,0),1),"")</f>
        <v/>
      </c>
      <c r="FK351" s="48">
        <f ca="1">IF(ABS(SUMIFS(DARE,DEN_G,"="&amp;FJ351,DATA,"&lt;="&amp;FINE_AC,DATA,"&gt;="&amp;INIZIO_A_PC)-SUMIFS(AVERE,DEN_G,"="&amp;FJ351,DATA,"&lt;="&amp;FINE_AC,DATA,"&gt;="&amp;INIZIO_A_PC))&gt;0,MAX($FK$2:FK350)+1,0)</f>
        <v>0</v>
      </c>
      <c r="FL351" s="48" t="str">
        <f ca="1">IF(AND(ROW()-2&lt;&gt;1,ROW()-2&lt;=$FK$1),CONCATENATE(" - ",IFERROR(INDEX($FJ$3:$FK$400,MATCH(ROWS($FL$3:FL351),$FK$3:$FK$400,0),1),"")),IFERROR(INDEX($FJ$3:$FK$400,MATCH(ROWS($FL$3:FL351),$FK$3:$FK$400,0),1),""))</f>
        <v/>
      </c>
      <c r="FM351" s="48">
        <f ca="1">IF(OR(B351="IVA ns/credito",B351="IVA NS/DEBITO",B351="IVA C/ACCONTO",B351="IMPOSTE C/ACCONTO",B351="CREDITI PER RITENUTE SUBITE",B351="CREDITI D'IMPOSTA"),MAX($FM$2:FM350)+1,0)</f>
        <v>0</v>
      </c>
      <c r="FN351" s="48" t="str">
        <f t="shared" ca="1" si="663"/>
        <v/>
      </c>
      <c r="FO351" s="48" t="str">
        <f ca="1">IFERROR(INDEX($FM$3:$FN$400,MATCH(ROWS($FO$3:FO351),$FM$3:$FM$400,0),2),"")</f>
        <v/>
      </c>
      <c r="FP351" s="48">
        <f ca="1">IF(ABS(SUMIFS(DARE,DEN_G,"="&amp;FO351,DATA,"&lt;="&amp;FINE_AC,DATA,"&gt;="&amp;INIZIO_A_PC)-SUMIFS(AVERE,DEN_G,"="&amp;FO351,DATA,"&lt;="&amp;FINE_AC,DATA,"&gt;="&amp;INIZIO_A_PC))&gt;0,MAX($FP$2:FP350)+1,0)</f>
        <v>0</v>
      </c>
      <c r="FQ351" s="48" t="str">
        <f ca="1">IF(AND(ROW()-2&lt;&gt;1,ROW()-2&lt;=$FP$1),CONCATENATE(" - ",IFERROR(INDEX($FO$3:$FP$400,MATCH(ROWS($FQ$3:FQ351),$FP$3:$FP$400,0),1),"")),IFERROR(INDEX($FO$3:$FP$400,MATCH(ROWS($FQ$3:FQ351),$FP$3:$FP$400,0),1),""))</f>
        <v/>
      </c>
    </row>
    <row r="352" spans="1:173" x14ac:dyDescent="0.3">
      <c r="A352" s="48" t="str">
        <f ca="1">IFERROR(IF($A$1=2,INDEX($DH$3:$DN$401,MATCH(ROWS(A$3:A352),$DN$3:$DN$401,0),COLUMN()),IF($A$1=1,INDEX($DQ$3:$DW$401,MATCH(ROWS(A$3:A352),$DW$3:$DW$401,0),COLUMN()),"")),"")</f>
        <v/>
      </c>
      <c r="B352" s="48" t="str">
        <f ca="1">IFERROR(IF($A$1=2,INDEX($DH$3:$DN$400,MATCH(ROWS(B$3:B352),$DN$3:$DN$400,0),COLUMN()),IF($A$1=1,INDEX($DQ$3:$DW$400,MATCH(ROWS(B$3:B352),$DW$3:$DW$400,0),COLUMN()),"")),"")</f>
        <v/>
      </c>
      <c r="D352" s="48" t="str">
        <f ca="1">IFERROR(IF($A$1=2,INDEX($DH$3:$DN$401,MATCH(ROWS(D$3:D352),$DN$3:$DN$401,0),COLUMN()),IF($A$1=1,INDEX($DQ$3:$DW$401,MATCH(ROWS(D$3:D352),$DW$3:$DW$401,0),COLUMN()),"")),"")</f>
        <v/>
      </c>
      <c r="E352" s="48" t="str">
        <f ca="1">IFERROR(IF($A$1=2,INDEX($DH$3:$DN$401,MATCH(ROWS(E$3:E352),$DN$3:$DN$401,0),COLUMN()),IF($A$1=1,INDEX($DQ$3:$DW$401,MATCH(ROWS(E$3:E352),$DW$3:$DW$401,0),COLUMN()),"")),"")</f>
        <v/>
      </c>
      <c r="F352" s="48" t="str">
        <f ca="1">IFERROR(IF($A$1=2,INDEX($DH$3:$DN$401,MATCH(ROWS(F$3:F352),$DN$3:$DN$401,0),COLUMN()),IF($A$1=1,INDEX($DQ$3:$DX$401,MATCH(ROWS(F$3:F352),$DW$3:$DW$401,0),COLUMN()),"")),"")</f>
        <v/>
      </c>
      <c r="G352" s="48" t="str">
        <f t="shared" ca="1" si="650"/>
        <v/>
      </c>
      <c r="H352" s="48" t="str">
        <f ca="1">IFERROR(IF($A$1=2,INDEX($DH$3:$DO$400,MATCH(ROWS(H$3:H352),$DN$3:$DN$400,0),COLUMN()),IF($A$1=1,INDEX($DQ$3:$DX$400,MATCH(ROWS(H$3:H352),$DW$3:$DW$400,0),COLUMN()),"")),"")</f>
        <v/>
      </c>
      <c r="M352" s="48">
        <f ca="1">IFERROR(IF(IF(MID($A352,3,3)=".00",MID(A352,1,2),"")&lt;&gt;"",MAX($M$2:M351)+1,0),"")</f>
        <v>0</v>
      </c>
      <c r="N352" s="48" t="str">
        <f t="shared" ca="1" si="651"/>
        <v/>
      </c>
      <c r="O352" s="48" t="str">
        <f ca="1">IF(IFERROR(INDEX($N$3:$O$300,MATCH(ROWS($O$3:O352),$M$3:$M$300,0),1),"")&lt;&gt;"",CONCATENATE(INDEX($N$3:$O$300,MATCH(ROWS($O$3:O352),$M$3:$M$300,0),1),".00"),"")</f>
        <v/>
      </c>
      <c r="P352" s="48" t="str">
        <f t="shared" ca="1" si="652"/>
        <v/>
      </c>
      <c r="Q352" s="48">
        <f ca="1">IF(M352&gt;=1,0,MAX($Q$2:Q351)+1)</f>
        <v>313</v>
      </c>
      <c r="U352" s="48" t="str">
        <f ca="1">IFERROR(INDEX(PDC,MATCH(ROWS(U$3:U352),$V$3:$V$400,0),2),"")</f>
        <v/>
      </c>
      <c r="V352" s="48">
        <f ca="1">IF(AND($T$1="VISUALIZZA TUTTI I CONTI",AA352&lt;&gt;""),MAX($V$2:V351)+1,IF(AND($U$2=2,AI352=$T$1),MAX($V$2:V351)+1,IF(AND($U$2=1,$T$1=AF352),MAX($V$2:V351)+1,0)))</f>
        <v>0</v>
      </c>
      <c r="AA352" s="48" t="str">
        <f t="shared" ca="1" si="653"/>
        <v/>
      </c>
      <c r="AB352" s="48" t="str">
        <f ca="1">IFERROR(INDEX($A$3:$G$400,MATCH(ROWS(AB$3:AB352),$Q$3:$Q$400,0),1),"")</f>
        <v/>
      </c>
      <c r="AC352" s="48" t="str">
        <f ca="1">IFERROR(INDEX($A$3:$G$400,MATCH(ROWS($AC$3:AC352),$Q$3:$Q$400,0),2),"")</f>
        <v/>
      </c>
      <c r="AD352" s="48">
        <f ca="1">IFERROR(INDEX($A$3:$G$400,MATCH(ROWS(AD$3:AD352),$Q$3:$Q$400,0),3),"")</f>
        <v>0</v>
      </c>
      <c r="AE352" s="48" t="str">
        <f ca="1">IFERROR(INDEX($A$3:$G$400,MATCH(ROWS(AE$3:AE352),$Q$3:$Q$400,0),4),"")</f>
        <v/>
      </c>
      <c r="AF352" s="48" t="str">
        <f ca="1">IFERROR(INDEX($A$3:$G$400,MATCH(ROWS(AF$3:AF352),$Q$3:$Q$400,0),5),"")</f>
        <v/>
      </c>
      <c r="AG352" s="48" t="str">
        <f ca="1">IFERROR(INDEX($A$3:$G$400,MATCH(ROWS(AG$3:AG352),$Q$3:$Q$400,0),6),"")</f>
        <v/>
      </c>
      <c r="AH352" s="48" t="str">
        <f ca="1">IFERROR(INDEX($A$3:$G$400,MATCH(ROWS(AH$3:AH352),$Q$3:$Q$400,0),7),"")</f>
        <v/>
      </c>
      <c r="AI352" s="48" t="str">
        <f t="shared" ca="1" si="654"/>
        <v/>
      </c>
      <c r="AJ352" s="48" t="str">
        <f ca="1">IFERROR(INDEX($A$3:$H$400,MATCH(ROWS(AJ$3:AJ352),$Q$3:$Q$400,0),8),"")</f>
        <v/>
      </c>
      <c r="AZ352" s="48" t="str">
        <f t="shared" ca="1" si="669"/>
        <v/>
      </c>
      <c r="BA352" s="48">
        <f t="shared" ca="1" si="611"/>
        <v>0</v>
      </c>
      <c r="BB352" s="48">
        <f t="shared" ca="1" si="612"/>
        <v>0</v>
      </c>
      <c r="BC352" s="48">
        <f t="shared" ca="1" si="613"/>
        <v>0</v>
      </c>
      <c r="BD352" s="48">
        <f t="shared" ca="1" si="614"/>
        <v>0</v>
      </c>
      <c r="BE352" s="48">
        <f t="shared" ca="1" si="615"/>
        <v>0</v>
      </c>
      <c r="BF352" s="48">
        <f t="shared" si="670"/>
        <v>152</v>
      </c>
      <c r="BG352" s="48">
        <f ca="1">IF(IF(AND(OR(INDEX(PDC,MATCH($AC352,DEN_PDC,0),6)="SP DARE",INDEX(PDC,MATCH($AC352,DEN_PDC,0),6)="SP DARE/AVERE"),SUMIFS(DARE,DEN_G,$AC352)&gt;=SUMIFS(AVERE,DEN_G,$AC352)),SUMIFS(DARE,DEN_G,$AC352)-SUMIFS(AVERE,DEN_G,$AC352),0)&gt;0,MAX($BG$2:BG351)+1,0)</f>
        <v>0</v>
      </c>
      <c r="BH352" s="48">
        <f ca="1">IF(IF(AND(OR(INDEX(PDC,MATCH($AC352,DEN_PDC,0),6)="SP AVERE",INDEX(PDC,MATCH($AC352,DEN_PDC,0),6)="SP DARE/AVERE"),SUMIFS(AVERE,DEN_G,$AC352)&gt;=SUMIFS(DARE,DEN_G,$AC352)),SUMIFS(AVERE,DEN_G,$AC352)-SUMIFS(DARE,DEN_G,$AC352),0)&gt;0,MAX(BH$2:BH351)+1,0)</f>
        <v>0</v>
      </c>
      <c r="BI352" s="48">
        <f ca="1">IF(IF(AND(OR(INDEX(PDC,MATCH($AC352,DEN_PDC,0),6)="SE DARE",INDEX(PDC,MATCH($AC352,DEN_PDC,0),6)="SE DARE/AVERE"),SUMIFS(DARE,DEN_G,$AC352)&gt;=SUMIFS(AVERE,DEN_G,$AC352)),SUMIFS(DARE,DEN_G,$AC352)-SUMIFS(AVERE,DEN_G,$AC352),0)&gt;0,MAX(BI$2:BI351)+1,0)</f>
        <v>0</v>
      </c>
      <c r="BJ352" s="48">
        <f ca="1">IF(IF(AND(OR(INDEX(PDC,MATCH($AC352,DEN_PDC,0),6)="SE AVERE",INDEX(PDC,MATCH($AC352,DEN_PDC,0),6)="SE DARE/AVERE"),SUMIFS(AVERE,DEN_G,$AC352)&gt;=SUMIFS(DARE,DEN_G,$AC352)),SUMIFS(AVERE,DEN_G,$AC352)-SUMIFS(DARE,DEN_G,$AC352),0)&gt;0,MAX(BJ$2:BJ351)+1,0)</f>
        <v>0</v>
      </c>
      <c r="BK352" s="48" t="str">
        <f ca="1">IF(AND(AND($DY$2=0,$DY$1=0),$I$1=2,ROW()&gt;$BG$1+2,ROW()&lt;=$BG$1+4),"………………..",IF(AND(OR($DY$2&gt;0,$DY$1&gt;0),$I$1=2,ROW()&gt;$BG$1+2,ROW()&lt;=$BG$1+4),"………………..",IFERROR(INDEX($AC$3:$AC$398,MATCH(ROWS(BK$3:BK352),BG$3:BG$398,0),1),"")))</f>
        <v/>
      </c>
      <c r="BL352" s="48">
        <f t="shared" ca="1" si="637"/>
        <v>0</v>
      </c>
      <c r="BM352" s="48" t="str">
        <f ca="1">IF(AND(OR($DY$2=0,$DY$1=0),$I$1=2,ROW()&gt;$BH$1+2,ROW()&lt;=$BH$1+4),"………………..",IF(AND(OR($DY$2&gt;0,$DY$1&gt;0),$I$1=2,ROW()&gt;$BH$1+2,ROW()&lt;=$BH$1+4),"………………..",IFERROR(INDEX($AC$3:$AC$400,MATCH(ROWS(BM$3:BM352),BH$3:BH$400,0),1),"")))</f>
        <v/>
      </c>
      <c r="BN352" s="48">
        <f t="shared" ca="1" si="638"/>
        <v>0</v>
      </c>
      <c r="BO352" s="48" t="str">
        <f ca="1">IF(AND(OR($DY$2=0,$DY$1=0),$I$1=2,ROW()&gt;$BI$1+2,ROW()&lt;=$BI$1+4),"………………..",IF(AND(OR($DY$2&gt;0,$DY$1&gt;0),$I$1=2,ROW()&gt;$BI$1+2,ROW()&lt;=$BI$1+4),"………………..",IFERROR(INDEX($AC$3:$AC$400,MATCH(ROWS(BO$3:BO352),BI$3:BI$400,0),1),"")))</f>
        <v/>
      </c>
      <c r="BP352" s="48">
        <f t="shared" ca="1" si="639"/>
        <v>0</v>
      </c>
      <c r="BQ352" s="48" t="str">
        <f ca="1">IF(AND(OR($DY$2=0,$DY$1=0),$I$1=2,ROW()&gt;$BJ$1+2,ROW()&lt;=$BJ$1+4),"………………..",IF(AND(OR($DY$2&gt;0,$DY$1&gt;0),$I$1=2,ROW()&gt;$BJ$1+2,ROW()&lt;=$BJ$1+4),"………………..",IFERROR(INDEX($AC$3:$AC$400,MATCH(ROWS(BQ$3:BQ352),BJ$3:BJ$400,0),1),"")))</f>
        <v/>
      </c>
      <c r="BR352" s="48">
        <f t="shared" ca="1" si="640"/>
        <v>0</v>
      </c>
      <c r="BS352" s="48">
        <f ca="1">IF(IF(AND(OR(INDEX(PDC,MATCH($AC352,DEN_PDC,0),4)="D",INDEX(PDC,MATCH($AC352,DEN_PDC,0),4)="D/A"),SUMIFS(DARE,DEN_G,$AC352)&gt;=SUMIFS(AVERE,DEN_G,$AC352)),SUMIFS(DARE,DEN_G,$AC352),IF(AND(OR(INDEX(PDC,MATCH($AC352,DEN_PDC,0),4)="A",INDEX(PDC,MATCH($AC352,DEN_PDC,0),4)="D/A"),SUMIFS(AVERE,DEN_G,$AC352)&gt;=SUMIFS(DARE,DEN_G,$AC352)),SUMIFS(AVERE,DEN_G,$AC352),))&gt;0,MAX($BS$2:BS351)+1,0)</f>
        <v>0</v>
      </c>
      <c r="BT352" s="48" t="str">
        <f ca="1">IF($CO$1=0,"",IF(AND($I$1=2,ROW()&gt;$BR$1,ROW()&lt;=$BS$1)," …………….",IF(AND($E$1=1,$BX$1=1,$I$1=2,ROW()=$BQ$1),"TOTALI",IFERROR(INDEX(PDC,MATCH(ROWS(BT$3:BT352),BS$3:BS749,0),2),""))))</f>
        <v/>
      </c>
      <c r="BU352" s="48">
        <f t="shared" ca="1" si="641"/>
        <v>0</v>
      </c>
      <c r="BV352" s="48">
        <f t="shared" ca="1" si="642"/>
        <v>0</v>
      </c>
      <c r="BW352" s="48">
        <f t="shared" ca="1" si="643"/>
        <v>0</v>
      </c>
      <c r="BX352" s="48">
        <f t="shared" ca="1" si="644"/>
        <v>0</v>
      </c>
      <c r="BY352" s="48">
        <f ca="1">IF(OR(BW352&gt;0,BX352&gt;0),MAX($BY$2:BY351)+1,0)</f>
        <v>0</v>
      </c>
      <c r="BZ352" s="48" t="str">
        <f ca="1">IFERROR(INDEX($BT$3:$BY$400,MATCH(ROWS(BZ$3:BZ352),$BY$3:$BY$400,0),1),"")</f>
        <v/>
      </c>
      <c r="CA352" s="48" t="str">
        <f ca="1">IFERROR(INDEX($BT$3:$BY$400,MATCH(ROWS(CA$3:CA352),$BY$3:$BY$400,0),4),"")</f>
        <v/>
      </c>
      <c r="CB352" s="48" t="str">
        <f ca="1">IFERROR(INDEX($BT$3:$BY$400,MATCH(ROWS(CB$3:CB352),$BY$3:$BY$400,0),5),"")</f>
        <v/>
      </c>
      <c r="CC352" s="48" t="str">
        <f t="shared" ca="1" si="645"/>
        <v/>
      </c>
      <c r="CM352" s="242" t="str">
        <f t="shared" ca="1" si="655"/>
        <v/>
      </c>
      <c r="CN352" s="243">
        <f t="shared" ca="1" si="656"/>
        <v>0</v>
      </c>
      <c r="CO352" s="48" t="str">
        <f t="shared" ca="1" si="657"/>
        <v/>
      </c>
      <c r="CU352" s="48">
        <f ca="1">IF(SUMIFS(AVERE,DEN_G,AC352,AVERE,"&gt;"&amp;0)+SUMIFS(DARE,DEN_G,AC352,DARE,"&gt;"&amp;0)&gt;0,MAX($CU$2:CU351)+1,0)</f>
        <v>0</v>
      </c>
      <c r="CV352" s="48" t="str">
        <f ca="1">IF(IFERROR(INDEX(PDC,MATCH(ROWS($CV$3:CV352),$CU$3:$CU$400,0),2),"")="CONTO DI RISULTATO ECONOMICO","",IFERROR(INDEX(PDC,MATCH(ROWS($CV$3:CV352),$CU$3:$CU$400,0),2),""))</f>
        <v/>
      </c>
      <c r="CW352" s="48">
        <f ca="1">IFERROR(IF(CV352&lt;&gt;"",MAX($CW$2:CW351)+1,0),0)</f>
        <v>0</v>
      </c>
      <c r="CX352" s="48">
        <f t="shared" ca="1" si="679"/>
        <v>27</v>
      </c>
      <c r="CY352" s="48" t="str">
        <f t="shared" ca="1" si="678"/>
        <v>MASTRO</v>
      </c>
      <c r="CZ352" s="48" t="e">
        <f t="shared" ca="1" si="681"/>
        <v>#N/A</v>
      </c>
      <c r="DA352" s="48" t="str">
        <f t="shared" ca="1" si="686"/>
        <v/>
      </c>
      <c r="DB352" s="48" t="str">
        <f t="shared" ca="1" si="682"/>
        <v/>
      </c>
      <c r="DC352" s="48" t="str">
        <f t="shared" ca="1" si="683"/>
        <v/>
      </c>
      <c r="DD352" s="48" t="str">
        <f t="shared" ca="1" si="684"/>
        <v/>
      </c>
      <c r="DE352" s="48" t="str">
        <f t="shared" ca="1" si="685"/>
        <v/>
      </c>
      <c r="DF352" s="48">
        <f ca="1">IF(AND(CX352=$DF$1,CX352&lt;&gt;""),0,IF(AND(DB352&lt;&gt;"",OR(DB351&lt;&gt;"",DB353&lt;&gt;"")),MAX($DF$2:DF351)+1,0))</f>
        <v>0</v>
      </c>
      <c r="DH352" s="244" t="s">
        <v>251</v>
      </c>
      <c r="DI352" s="48" t="s">
        <v>250</v>
      </c>
      <c r="DJ352" s="48" t="s">
        <v>311</v>
      </c>
      <c r="DK352" s="48" t="s">
        <v>275</v>
      </c>
      <c r="DL352" s="48" t="s">
        <v>7</v>
      </c>
      <c r="DM352" s="48" t="s">
        <v>301</v>
      </c>
      <c r="DN352" s="48">
        <f ca="1">IF(DI352&lt;&gt;"",MAX($DN$2:DN351)+1,0)</f>
        <v>282</v>
      </c>
      <c r="DO352" s="48" t="s">
        <v>722</v>
      </c>
      <c r="DQ352" s="227" t="s">
        <v>293</v>
      </c>
      <c r="DR352" s="48" t="s">
        <v>294</v>
      </c>
      <c r="DS352" s="48" t="s">
        <v>311</v>
      </c>
      <c r="DT352" s="48" t="s">
        <v>275</v>
      </c>
      <c r="DU352" s="48" t="s">
        <v>7</v>
      </c>
      <c r="DV352" s="48" t="s">
        <v>301</v>
      </c>
      <c r="DW352" s="48">
        <f ca="1">IF(DR352&lt;&gt;"",MAX($DW$2:DW351)+1,0)</f>
        <v>214</v>
      </c>
      <c r="DX352" s="48" t="s">
        <v>722</v>
      </c>
      <c r="DY352" s="48" t="str">
        <f t="shared" ca="1" si="647"/>
        <v/>
      </c>
      <c r="EL352" s="48">
        <f t="shared" ca="1" si="648"/>
        <v>0</v>
      </c>
      <c r="EM352" s="48">
        <f ca="1">IF(EL352&gt;=0,0,MAX($EM$2:EM351)+1)</f>
        <v>0</v>
      </c>
      <c r="EN352" s="48" t="str">
        <f t="shared" ca="1" si="658"/>
        <v/>
      </c>
      <c r="EO352" s="48" t="str">
        <f ca="1">IFERROR(INDEX($EM$3:$EN$400,MATCH(ROWS($EO$3:EO352),$EM$3:$EM$400,0),2),"")</f>
        <v/>
      </c>
      <c r="EP352" s="48">
        <f>ROW()</f>
        <v>352</v>
      </c>
      <c r="EQ352" s="48">
        <f t="shared" ca="1" si="649"/>
        <v>0</v>
      </c>
      <c r="ER352" s="48">
        <f ca="1">IF(ISNA(EQ352)=TRUE,MAX($ER$2:ER351)+1,0)</f>
        <v>0</v>
      </c>
      <c r="ES352" s="48" t="str">
        <f t="shared" ca="1" si="659"/>
        <v/>
      </c>
      <c r="ET352" s="48" t="str">
        <f ca="1">IFERROR(INDEX($ER$3:$ES$400,MATCH(ROWS($ET$3:ET352),$ER$3:$ER$400,0),2),"")</f>
        <v/>
      </c>
      <c r="EV352" s="48">
        <f ca="1">IFERROR(INDEX(LIBRO_GIORNALE!$O$11:$P$408,MATCH(ROWS($EV$2:EV351),LIBRO_GIORNALE!$P$11:$P$408,0),1),0)</f>
        <v>0</v>
      </c>
      <c r="EW352" s="48" t="str">
        <f t="shared" ca="1" si="629"/>
        <v>0</v>
      </c>
      <c r="EX352" s="48">
        <f t="shared" ca="1" si="660"/>
        <v>0</v>
      </c>
      <c r="EY352" s="48">
        <f ca="1">IF(EX352&gt;0,MAX($EY$2:EY351)+1,0)</f>
        <v>0</v>
      </c>
      <c r="EZ352" s="48">
        <f ca="1">IFERROR(INDEX($EX$3:$EX$400,MATCH(ROWS($EZ$3:EZ352),$EY$3:$EY$400,0),1),0)</f>
        <v>0</v>
      </c>
      <c r="FA352" s="48">
        <f ca="1">IF(EZ352&gt;0,0,MAX($FA$2:FA351)+1)</f>
        <v>350</v>
      </c>
      <c r="FB352" s="48">
        <f t="shared" ca="1" si="630"/>
        <v>0</v>
      </c>
      <c r="FC352" s="48">
        <f t="shared" ca="1" si="631"/>
        <v>350</v>
      </c>
      <c r="FD352" s="48">
        <f t="shared" ca="1" si="661"/>
        <v>350</v>
      </c>
      <c r="FE352" s="48">
        <f ca="1">IF(FD352=0,0,MAX($FE$2:FE351)+1)</f>
        <v>350</v>
      </c>
      <c r="FF352" s="48">
        <f ca="1">IFERROR(INDEX($FD$3:$FE$400,MATCH(ROWS($FF$3:FF352),$FE$3:$FE$400,0),1),"")</f>
        <v>350</v>
      </c>
      <c r="FG352" s="48">
        <f t="shared" si="610"/>
        <v>0</v>
      </c>
      <c r="FH352" s="48">
        <f t="shared" ca="1" si="662"/>
        <v>0</v>
      </c>
      <c r="FI352" s="48">
        <f ca="1">IF(FH352&lt;&gt;0,MAX($FI$2:FI351)+1,0)</f>
        <v>0</v>
      </c>
      <c r="FJ352" s="48" t="str">
        <f ca="1">IFERROR(INDEX($FH$3:$FI$400,MATCH(ROWS($FJ$3:FJ352),$FI$3:$FI$400,0),1),"")</f>
        <v/>
      </c>
      <c r="FK352" s="48">
        <f ca="1">IF(ABS(SUMIFS(DARE,DEN_G,"="&amp;FJ352,DATA,"&lt;="&amp;FINE_AC,DATA,"&gt;="&amp;INIZIO_A_PC)-SUMIFS(AVERE,DEN_G,"="&amp;FJ352,DATA,"&lt;="&amp;FINE_AC,DATA,"&gt;="&amp;INIZIO_A_PC))&gt;0,MAX($FK$2:FK351)+1,0)</f>
        <v>0</v>
      </c>
      <c r="FL352" s="48" t="str">
        <f ca="1">IF(AND(ROW()-2&lt;&gt;1,ROW()-2&lt;=$FK$1),CONCATENATE(" - ",IFERROR(INDEX($FJ$3:$FK$400,MATCH(ROWS($FL$3:FL352),$FK$3:$FK$400,0),1),"")),IFERROR(INDEX($FJ$3:$FK$400,MATCH(ROWS($FL$3:FL352),$FK$3:$FK$400,0),1),""))</f>
        <v/>
      </c>
      <c r="FM352" s="48">
        <f ca="1">IF(OR(B352="IVA ns/credito",B352="IVA NS/DEBITO",B352="IVA C/ACCONTO",B352="IMPOSTE C/ACCONTO",B352="CREDITI PER RITENUTE SUBITE",B352="CREDITI D'IMPOSTA"),MAX($FM$2:FM351)+1,0)</f>
        <v>0</v>
      </c>
      <c r="FN352" s="48" t="str">
        <f t="shared" ca="1" si="663"/>
        <v/>
      </c>
      <c r="FO352" s="48" t="str">
        <f ca="1">IFERROR(INDEX($FM$3:$FN$400,MATCH(ROWS($FO$3:FO352),$FM$3:$FM$400,0),2),"")</f>
        <v/>
      </c>
      <c r="FP352" s="48">
        <f ca="1">IF(ABS(SUMIFS(DARE,DEN_G,"="&amp;FO352,DATA,"&lt;="&amp;FINE_AC,DATA,"&gt;="&amp;INIZIO_A_PC)-SUMIFS(AVERE,DEN_G,"="&amp;FO352,DATA,"&lt;="&amp;FINE_AC,DATA,"&gt;="&amp;INIZIO_A_PC))&gt;0,MAX($FP$2:FP351)+1,0)</f>
        <v>0</v>
      </c>
      <c r="FQ352" s="48" t="str">
        <f ca="1">IF(AND(ROW()-2&lt;&gt;1,ROW()-2&lt;=$FP$1),CONCATENATE(" - ",IFERROR(INDEX($FO$3:$FP$400,MATCH(ROWS($FQ$3:FQ352),$FP$3:$FP$400,0),1),"")),IFERROR(INDEX($FO$3:$FP$400,MATCH(ROWS($FQ$3:FQ352),$FP$3:$FP$400,0),1),""))</f>
        <v/>
      </c>
    </row>
    <row r="353" spans="1:173" x14ac:dyDescent="0.3">
      <c r="A353" s="48" t="str">
        <f ca="1">IFERROR(IF($A$1=2,INDEX($DH$3:$DN$401,MATCH(ROWS(A$3:A353),$DN$3:$DN$401,0),COLUMN()),IF($A$1=1,INDEX($DQ$3:$DW$401,MATCH(ROWS(A$3:A353),$DW$3:$DW$401,0),COLUMN()),"")),"")</f>
        <v/>
      </c>
      <c r="B353" s="48" t="str">
        <f ca="1">IFERROR(IF($A$1=2,INDEX($DH$3:$DN$400,MATCH(ROWS(B$3:B353),$DN$3:$DN$400,0),COLUMN()),IF($A$1=1,INDEX($DQ$3:$DW$400,MATCH(ROWS(B$3:B353),$DW$3:$DW$400,0),COLUMN()),"")),"")</f>
        <v/>
      </c>
      <c r="D353" s="48" t="str">
        <f ca="1">IFERROR(IF($A$1=2,INDEX($DH$3:$DN$401,MATCH(ROWS(D$3:D353),$DN$3:$DN$401,0),COLUMN()),IF($A$1=1,INDEX($DQ$3:$DW$401,MATCH(ROWS(D$3:D353),$DW$3:$DW$401,0),COLUMN()),"")),"")</f>
        <v/>
      </c>
      <c r="E353" s="48" t="str">
        <f ca="1">IFERROR(IF($A$1=2,INDEX($DH$3:$DN$401,MATCH(ROWS(E$3:E353),$DN$3:$DN$401,0),COLUMN()),IF($A$1=1,INDEX($DQ$3:$DW$401,MATCH(ROWS(E$3:E353),$DW$3:$DW$401,0),COLUMN()),"")),"")</f>
        <v/>
      </c>
      <c r="F353" s="48" t="str">
        <f ca="1">IFERROR(IF($A$1=2,INDEX($DH$3:$DN$401,MATCH(ROWS(F$3:F353),$DN$3:$DN$401,0),COLUMN()),IF($A$1=1,INDEX($DQ$3:$DX$401,MATCH(ROWS(F$3:F353),$DW$3:$DW$401,0),COLUMN()),"")),"")</f>
        <v/>
      </c>
      <c r="G353" s="48" t="str">
        <f t="shared" ca="1" si="650"/>
        <v/>
      </c>
      <c r="H353" s="48" t="str">
        <f ca="1">IFERROR(IF($A$1=2,INDEX($DH$3:$DO$400,MATCH(ROWS(H$3:H353),$DN$3:$DN$400,0),COLUMN()),IF($A$1=1,INDEX($DQ$3:$DX$400,MATCH(ROWS(H$3:H353),$DW$3:$DW$400,0),COLUMN()),"")),"")</f>
        <v/>
      </c>
      <c r="M353" s="48">
        <f ca="1">IFERROR(IF(IF(MID($A353,3,3)=".00",MID(A353,1,2),"")&lt;&gt;"",MAX($M$2:M352)+1,0),"")</f>
        <v>0</v>
      </c>
      <c r="N353" s="48" t="str">
        <f t="shared" ca="1" si="651"/>
        <v/>
      </c>
      <c r="O353" s="48" t="str">
        <f ca="1">IF(IFERROR(INDEX($N$3:$O$300,MATCH(ROWS($O$3:O353),$M$3:$M$300,0),1),"")&lt;&gt;"",CONCATENATE(INDEX($N$3:$O$300,MATCH(ROWS($O$3:O353),$M$3:$M$300,0),1),".00"),"")</f>
        <v/>
      </c>
      <c r="P353" s="48" t="str">
        <f t="shared" ca="1" si="652"/>
        <v/>
      </c>
      <c r="Q353" s="48">
        <f ca="1">IF(M353&gt;=1,0,MAX($Q$2:Q352)+1)</f>
        <v>314</v>
      </c>
      <c r="U353" s="48" t="str">
        <f ca="1">IFERROR(INDEX(PDC,MATCH(ROWS(U$3:U353),$V$3:$V$400,0),2),"")</f>
        <v/>
      </c>
      <c r="V353" s="48">
        <f ca="1">IF(AND($T$1="VISUALIZZA TUTTI I CONTI",AA353&lt;&gt;""),MAX($V$2:V352)+1,IF(AND($U$2=2,AI353=$T$1),MAX($V$2:V352)+1,IF(AND($U$2=1,$T$1=AF353),MAX($V$2:V352)+1,0)))</f>
        <v>0</v>
      </c>
      <c r="AA353" s="48" t="str">
        <f t="shared" ca="1" si="653"/>
        <v/>
      </c>
      <c r="AB353" s="48" t="str">
        <f ca="1">IFERROR(INDEX($A$3:$G$400,MATCH(ROWS(AB$3:AB353),$Q$3:$Q$400,0),1),"")</f>
        <v/>
      </c>
      <c r="AC353" s="48" t="str">
        <f ca="1">IFERROR(INDEX($A$3:$G$400,MATCH(ROWS($AC$3:AC353),$Q$3:$Q$400,0),2),"")</f>
        <v/>
      </c>
      <c r="AD353" s="48">
        <f ca="1">IFERROR(INDEX($A$3:$G$400,MATCH(ROWS(AD$3:AD353),$Q$3:$Q$400,0),3),"")</f>
        <v>0</v>
      </c>
      <c r="AE353" s="48" t="str">
        <f ca="1">IFERROR(INDEX($A$3:$G$400,MATCH(ROWS(AE$3:AE353),$Q$3:$Q$400,0),4),"")</f>
        <v/>
      </c>
      <c r="AF353" s="48" t="str">
        <f ca="1">IFERROR(INDEX($A$3:$G$400,MATCH(ROWS(AF$3:AF353),$Q$3:$Q$400,0),5),"")</f>
        <v/>
      </c>
      <c r="AG353" s="48" t="str">
        <f ca="1">IFERROR(INDEX($A$3:$G$400,MATCH(ROWS(AG$3:AG353),$Q$3:$Q$400,0),6),"")</f>
        <v/>
      </c>
      <c r="AH353" s="48" t="str">
        <f ca="1">IFERROR(INDEX($A$3:$G$400,MATCH(ROWS(AH$3:AH353),$Q$3:$Q$400,0),7),"")</f>
        <v/>
      </c>
      <c r="AI353" s="48" t="str">
        <f t="shared" ca="1" si="654"/>
        <v/>
      </c>
      <c r="AJ353" s="48" t="str">
        <f ca="1">IFERROR(INDEX($A$3:$H$400,MATCH(ROWS(AJ$3:AJ353),$Q$3:$Q$400,0),8),"")</f>
        <v/>
      </c>
      <c r="AZ353" s="48" t="str">
        <f t="shared" ca="1" si="669"/>
        <v/>
      </c>
      <c r="BA353" s="48">
        <f t="shared" ca="1" si="611"/>
        <v>0</v>
      </c>
      <c r="BB353" s="48">
        <f t="shared" ca="1" si="612"/>
        <v>0</v>
      </c>
      <c r="BC353" s="48">
        <f t="shared" ca="1" si="613"/>
        <v>0</v>
      </c>
      <c r="BD353" s="48">
        <f t="shared" ca="1" si="614"/>
        <v>0</v>
      </c>
      <c r="BE353" s="48">
        <f t="shared" ca="1" si="615"/>
        <v>0</v>
      </c>
      <c r="BF353" s="48">
        <f t="shared" si="670"/>
        <v>153</v>
      </c>
      <c r="BG353" s="48">
        <f ca="1">IF(IF(AND(OR(INDEX(PDC,MATCH($AC353,DEN_PDC,0),6)="SP DARE",INDEX(PDC,MATCH($AC353,DEN_PDC,0),6)="SP DARE/AVERE"),SUMIFS(DARE,DEN_G,$AC353)&gt;=SUMIFS(AVERE,DEN_G,$AC353)),SUMIFS(DARE,DEN_G,$AC353)-SUMIFS(AVERE,DEN_G,$AC353),0)&gt;0,MAX($BG$2:BG352)+1,0)</f>
        <v>0</v>
      </c>
      <c r="BH353" s="48">
        <f ca="1">IF(IF(AND(OR(INDEX(PDC,MATCH($AC353,DEN_PDC,0),6)="SP AVERE",INDEX(PDC,MATCH($AC353,DEN_PDC,0),6)="SP DARE/AVERE"),SUMIFS(AVERE,DEN_G,$AC353)&gt;=SUMIFS(DARE,DEN_G,$AC353)),SUMIFS(AVERE,DEN_G,$AC353)-SUMIFS(DARE,DEN_G,$AC353),0)&gt;0,MAX(BH$2:BH352)+1,0)</f>
        <v>0</v>
      </c>
      <c r="BI353" s="48">
        <f ca="1">IF(IF(AND(OR(INDEX(PDC,MATCH($AC353,DEN_PDC,0),6)="SE DARE",INDEX(PDC,MATCH($AC353,DEN_PDC,0),6)="SE DARE/AVERE"),SUMIFS(DARE,DEN_G,$AC353)&gt;=SUMIFS(AVERE,DEN_G,$AC353)),SUMIFS(DARE,DEN_G,$AC353)-SUMIFS(AVERE,DEN_G,$AC353),0)&gt;0,MAX(BI$2:BI352)+1,0)</f>
        <v>0</v>
      </c>
      <c r="BJ353" s="48">
        <f ca="1">IF(IF(AND(OR(INDEX(PDC,MATCH($AC353,DEN_PDC,0),6)="SE AVERE",INDEX(PDC,MATCH($AC353,DEN_PDC,0),6)="SE DARE/AVERE"),SUMIFS(AVERE,DEN_G,$AC353)&gt;=SUMIFS(DARE,DEN_G,$AC353)),SUMIFS(AVERE,DEN_G,$AC353)-SUMIFS(DARE,DEN_G,$AC353),0)&gt;0,MAX(BJ$2:BJ352)+1,0)</f>
        <v>0</v>
      </c>
      <c r="BK353" s="48" t="str">
        <f ca="1">IF(AND(AND($DY$2=0,$DY$1=0),$I$1=2,ROW()&gt;$BG$1+2,ROW()&lt;=$BG$1+4),"………………..",IF(AND(OR($DY$2&gt;0,$DY$1&gt;0),$I$1=2,ROW()&gt;$BG$1+2,ROW()&lt;=$BG$1+4),"………………..",IFERROR(INDEX($AC$3:$AC$398,MATCH(ROWS(BK$3:BK353),BG$3:BG$398,0),1),"")))</f>
        <v/>
      </c>
      <c r="BL353" s="48">
        <f t="shared" ca="1" si="637"/>
        <v>0</v>
      </c>
      <c r="BM353" s="48" t="str">
        <f ca="1">IF(AND(OR($DY$2=0,$DY$1=0),$I$1=2,ROW()&gt;$BH$1+2,ROW()&lt;=$BH$1+4),"………………..",IF(AND(OR($DY$2&gt;0,$DY$1&gt;0),$I$1=2,ROW()&gt;$BH$1+2,ROW()&lt;=$BH$1+4),"………………..",IFERROR(INDEX($AC$3:$AC$400,MATCH(ROWS(BM$3:BM353),BH$3:BH$400,0),1),"")))</f>
        <v/>
      </c>
      <c r="BN353" s="48">
        <f t="shared" ca="1" si="638"/>
        <v>0</v>
      </c>
      <c r="BO353" s="48" t="str">
        <f ca="1">IF(AND(OR($DY$2=0,$DY$1=0),$I$1=2,ROW()&gt;$BI$1+2,ROW()&lt;=$BI$1+4),"………………..",IF(AND(OR($DY$2&gt;0,$DY$1&gt;0),$I$1=2,ROW()&gt;$BI$1+2,ROW()&lt;=$BI$1+4),"………………..",IFERROR(INDEX($AC$3:$AC$400,MATCH(ROWS(BO$3:BO353),BI$3:BI$400,0),1),"")))</f>
        <v/>
      </c>
      <c r="BP353" s="48">
        <f t="shared" ca="1" si="639"/>
        <v>0</v>
      </c>
      <c r="BQ353" s="48" t="str">
        <f ca="1">IF(AND(OR($DY$2=0,$DY$1=0),$I$1=2,ROW()&gt;$BJ$1+2,ROW()&lt;=$BJ$1+4),"………………..",IF(AND(OR($DY$2&gt;0,$DY$1&gt;0),$I$1=2,ROW()&gt;$BJ$1+2,ROW()&lt;=$BJ$1+4),"………………..",IFERROR(INDEX($AC$3:$AC$400,MATCH(ROWS(BQ$3:BQ353),BJ$3:BJ$400,0),1),"")))</f>
        <v/>
      </c>
      <c r="BR353" s="48">
        <f t="shared" ca="1" si="640"/>
        <v>0</v>
      </c>
      <c r="BS353" s="48">
        <f ca="1">IF(IF(AND(OR(INDEX(PDC,MATCH($AC353,DEN_PDC,0),4)="D",INDEX(PDC,MATCH($AC353,DEN_PDC,0),4)="D/A"),SUMIFS(DARE,DEN_G,$AC353)&gt;=SUMIFS(AVERE,DEN_G,$AC353)),SUMIFS(DARE,DEN_G,$AC353),IF(AND(OR(INDEX(PDC,MATCH($AC353,DEN_PDC,0),4)="A",INDEX(PDC,MATCH($AC353,DEN_PDC,0),4)="D/A"),SUMIFS(AVERE,DEN_G,$AC353)&gt;=SUMIFS(DARE,DEN_G,$AC353)),SUMIFS(AVERE,DEN_G,$AC353),))&gt;0,MAX($BS$2:BS352)+1,0)</f>
        <v>0</v>
      </c>
      <c r="BT353" s="48" t="str">
        <f ca="1">IF($CO$1=0,"",IF(AND($I$1=2,ROW()&gt;$BR$1,ROW()&lt;=$BS$1)," …………….",IF(AND($E$1=1,$BX$1=1,$I$1=2,ROW()=$BQ$1),"TOTALI",IFERROR(INDEX(PDC,MATCH(ROWS(BT$3:BT353),BS$3:BS750,0),2),""))))</f>
        <v/>
      </c>
      <c r="BU353" s="48">
        <f t="shared" ca="1" si="641"/>
        <v>0</v>
      </c>
      <c r="BV353" s="48">
        <f t="shared" ca="1" si="642"/>
        <v>0</v>
      </c>
      <c r="BW353" s="48">
        <f t="shared" ca="1" si="643"/>
        <v>0</v>
      </c>
      <c r="BX353" s="48">
        <f t="shared" ca="1" si="644"/>
        <v>0</v>
      </c>
      <c r="BY353" s="48">
        <f ca="1">IF(OR(BW353&gt;0,BX353&gt;0),MAX($BY$2:BY352)+1,0)</f>
        <v>0</v>
      </c>
      <c r="BZ353" s="48" t="str">
        <f ca="1">IFERROR(INDEX($BT$3:$BY$400,MATCH(ROWS(BZ$3:BZ353),$BY$3:$BY$400,0),1),"")</f>
        <v/>
      </c>
      <c r="CA353" s="48" t="str">
        <f ca="1">IFERROR(INDEX($BT$3:$BY$400,MATCH(ROWS(CA$3:CA353),$BY$3:$BY$400,0),4),"")</f>
        <v/>
      </c>
      <c r="CB353" s="48" t="str">
        <f ca="1">IFERROR(INDEX($BT$3:$BY$400,MATCH(ROWS(CB$3:CB353),$BY$3:$BY$400,0),5),"")</f>
        <v/>
      </c>
      <c r="CC353" s="48" t="str">
        <f t="shared" ca="1" si="645"/>
        <v/>
      </c>
      <c r="CM353" s="242" t="str">
        <f t="shared" ca="1" si="655"/>
        <v/>
      </c>
      <c r="CN353" s="243">
        <f t="shared" ca="1" si="656"/>
        <v>0</v>
      </c>
      <c r="CO353" s="48" t="str">
        <f t="shared" ca="1" si="657"/>
        <v/>
      </c>
      <c r="CU353" s="48">
        <f ca="1">IF(SUMIFS(AVERE,DEN_G,AC353,AVERE,"&gt;"&amp;0)+SUMIFS(DARE,DEN_G,AC353,DARE,"&gt;"&amp;0)&gt;0,MAX($CU$2:CU352)+1,0)</f>
        <v>0</v>
      </c>
      <c r="CV353" s="48" t="str">
        <f ca="1">IF(IFERROR(INDEX(PDC,MATCH(ROWS($CV$3:CV353),$CU$3:$CU$400,0),2),"")="CONTO DI RISULTATO ECONOMICO","",IFERROR(INDEX(PDC,MATCH(ROWS($CV$3:CV353),$CU$3:$CU$400,0),2),""))</f>
        <v/>
      </c>
      <c r="CW353" s="48">
        <f ca="1">IFERROR(IF(CV353&lt;&gt;"",MAX($CW$2:CW352)+1,0),0)</f>
        <v>0</v>
      </c>
      <c r="CY353" s="48" t="s">
        <v>500</v>
      </c>
      <c r="DB353" s="48" t="str">
        <f t="shared" ref="DB353" ca="1" si="687">IF(CX352=$DF$1,"","MASTRO")</f>
        <v>MASTRO</v>
      </c>
      <c r="DF353" s="48">
        <f ca="1">IF(AND(CX353=$DF$1,CX353&lt;&gt;""),0,IF(AND(DB353&lt;&gt;"",OR(DB352&lt;&gt;"",DB354&lt;&gt;"")),MAX($DF$2:DF352)+1,0))</f>
        <v>0</v>
      </c>
      <c r="DH353" s="244" t="s">
        <v>1071</v>
      </c>
      <c r="DI353" s="48" t="s">
        <v>252</v>
      </c>
      <c r="DJ353" s="48" t="s">
        <v>311</v>
      </c>
      <c r="DK353" s="48" t="s">
        <v>275</v>
      </c>
      <c r="DL353" s="48" t="s">
        <v>7</v>
      </c>
      <c r="DM353" s="48" t="s">
        <v>301</v>
      </c>
      <c r="DN353" s="48">
        <f ca="1">IF(DI353&lt;&gt;"",MAX($DN$2:DN352)+1,0)</f>
        <v>283</v>
      </c>
      <c r="DO353" s="48" t="s">
        <v>722</v>
      </c>
      <c r="DQ353" s="227" t="s">
        <v>255</v>
      </c>
      <c r="DR353" s="48" t="s">
        <v>295</v>
      </c>
      <c r="DS353" s="48" t="s">
        <v>311</v>
      </c>
      <c r="DT353" s="48" t="s">
        <v>275</v>
      </c>
      <c r="DU353" s="48" t="s">
        <v>7</v>
      </c>
      <c r="DV353" s="48" t="s">
        <v>301</v>
      </c>
      <c r="DW353" s="48">
        <f ca="1">IF(DR353&lt;&gt;"",MAX($DW$2:DW352)+1,0)</f>
        <v>215</v>
      </c>
      <c r="DX353" s="48" t="s">
        <v>722</v>
      </c>
      <c r="DY353" s="48" t="str">
        <f t="shared" ca="1" si="647"/>
        <v/>
      </c>
      <c r="EL353" s="48">
        <f t="shared" ca="1" si="648"/>
        <v>0</v>
      </c>
      <c r="EM353" s="48">
        <f ca="1">IF(EL353&gt;=0,0,MAX($EM$2:EM352)+1)</f>
        <v>0</v>
      </c>
      <c r="EN353" s="48" t="str">
        <f t="shared" ca="1" si="658"/>
        <v/>
      </c>
      <c r="EO353" s="48" t="str">
        <f ca="1">IFERROR(INDEX($EM$3:$EN$400,MATCH(ROWS($EO$3:EO353),$EM$3:$EM$400,0),2),"")</f>
        <v/>
      </c>
      <c r="EP353" s="48">
        <f>ROW()</f>
        <v>353</v>
      </c>
      <c r="EQ353" s="48">
        <f t="shared" ca="1" si="649"/>
        <v>0</v>
      </c>
      <c r="ER353" s="48">
        <f ca="1">IF(ISNA(EQ353)=TRUE,MAX($ER$2:ER352)+1,0)</f>
        <v>0</v>
      </c>
      <c r="ES353" s="48" t="str">
        <f t="shared" ca="1" si="659"/>
        <v/>
      </c>
      <c r="ET353" s="48" t="str">
        <f ca="1">IFERROR(INDEX($ER$3:$ES$400,MATCH(ROWS($ET$3:ET353),$ER$3:$ER$400,0),2),"")</f>
        <v/>
      </c>
      <c r="EV353" s="48">
        <f ca="1">IFERROR(INDEX(LIBRO_GIORNALE!$O$11:$P$408,MATCH(ROWS($EV$2:EV352),LIBRO_GIORNALE!$P$11:$P$408,0),1),0)</f>
        <v>0</v>
      </c>
      <c r="EW353" s="48" t="str">
        <f t="shared" ca="1" si="629"/>
        <v>0</v>
      </c>
      <c r="EX353" s="48">
        <f t="shared" ca="1" si="660"/>
        <v>0</v>
      </c>
      <c r="EY353" s="48">
        <f ca="1">IF(EX353&gt;0,MAX($EY$2:EY352)+1,0)</f>
        <v>0</v>
      </c>
      <c r="EZ353" s="48">
        <f ca="1">IFERROR(INDEX($EX$3:$EX$400,MATCH(ROWS($EZ$3:EZ353),$EY$3:$EY$400,0),1),0)</f>
        <v>0</v>
      </c>
      <c r="FA353" s="48">
        <f ca="1">IF(EZ353&gt;0,0,MAX($FA$2:FA352)+1)</f>
        <v>351</v>
      </c>
      <c r="FB353" s="48">
        <f t="shared" ca="1" si="630"/>
        <v>0</v>
      </c>
      <c r="FC353" s="48">
        <f t="shared" ca="1" si="631"/>
        <v>351</v>
      </c>
      <c r="FD353" s="48">
        <f t="shared" ca="1" si="661"/>
        <v>351</v>
      </c>
      <c r="FE353" s="48">
        <f ca="1">IF(FD353=0,0,MAX($FE$2:FE352)+1)</f>
        <v>351</v>
      </c>
      <c r="FF353" s="48">
        <f ca="1">IFERROR(INDEX($FD$3:$FE$400,MATCH(ROWS($FF$3:FF353),$FE$3:$FE$400,0),1),"")</f>
        <v>351</v>
      </c>
      <c r="FG353" s="48">
        <f t="shared" si="610"/>
        <v>0</v>
      </c>
      <c r="FH353" s="48">
        <f t="shared" ca="1" si="662"/>
        <v>0</v>
      </c>
      <c r="FI353" s="48">
        <f ca="1">IF(FH353&lt;&gt;0,MAX($FI$2:FI352)+1,0)</f>
        <v>0</v>
      </c>
      <c r="FJ353" s="48" t="str">
        <f ca="1">IFERROR(INDEX($FH$3:$FI$400,MATCH(ROWS($FJ$3:FJ353),$FI$3:$FI$400,0),1),"")</f>
        <v/>
      </c>
      <c r="FK353" s="48">
        <f ca="1">IF(ABS(SUMIFS(DARE,DEN_G,"="&amp;FJ353,DATA,"&lt;="&amp;FINE_AC,DATA,"&gt;="&amp;INIZIO_A_PC)-SUMIFS(AVERE,DEN_G,"="&amp;FJ353,DATA,"&lt;="&amp;FINE_AC,DATA,"&gt;="&amp;INIZIO_A_PC))&gt;0,MAX($FK$2:FK352)+1,0)</f>
        <v>0</v>
      </c>
      <c r="FL353" s="48" t="str">
        <f ca="1">IF(AND(ROW()-2&lt;&gt;1,ROW()-2&lt;=$FK$1),CONCATENATE(" - ",IFERROR(INDEX($FJ$3:$FK$400,MATCH(ROWS($FL$3:FL353),$FK$3:$FK$400,0),1),"")),IFERROR(INDEX($FJ$3:$FK$400,MATCH(ROWS($FL$3:FL353),$FK$3:$FK$400,0),1),""))</f>
        <v/>
      </c>
      <c r="FM353" s="48">
        <f ca="1">IF(OR(B353="IVA ns/credito",B353="IVA NS/DEBITO",B353="IVA C/ACCONTO",B353="IMPOSTE C/ACCONTO",B353="CREDITI PER RITENUTE SUBITE",B353="CREDITI D'IMPOSTA"),MAX($FM$2:FM352)+1,0)</f>
        <v>0</v>
      </c>
      <c r="FN353" s="48" t="str">
        <f t="shared" ca="1" si="663"/>
        <v/>
      </c>
      <c r="FO353" s="48" t="str">
        <f ca="1">IFERROR(INDEX($FM$3:$FN$400,MATCH(ROWS($FO$3:FO353),$FM$3:$FM$400,0),2),"")</f>
        <v/>
      </c>
      <c r="FP353" s="48">
        <f ca="1">IF(ABS(SUMIFS(DARE,DEN_G,"="&amp;FO353,DATA,"&lt;="&amp;FINE_AC,DATA,"&gt;="&amp;INIZIO_A_PC)-SUMIFS(AVERE,DEN_G,"="&amp;FO353,DATA,"&lt;="&amp;FINE_AC,DATA,"&gt;="&amp;INIZIO_A_PC))&gt;0,MAX($FP$2:FP352)+1,0)</f>
        <v>0</v>
      </c>
      <c r="FQ353" s="48" t="str">
        <f ca="1">IF(AND(ROW()-2&lt;&gt;1,ROW()-2&lt;=$FP$1),CONCATENATE(" - ",IFERROR(INDEX($FO$3:$FP$400,MATCH(ROWS($FQ$3:FQ353),$FP$3:$FP$400,0),1),"")),IFERROR(INDEX($FO$3:$FP$400,MATCH(ROWS($FQ$3:FQ353),$FP$3:$FP$400,0),1),""))</f>
        <v/>
      </c>
    </row>
    <row r="354" spans="1:173" x14ac:dyDescent="0.3">
      <c r="A354" s="48" t="str">
        <f ca="1">IFERROR(IF($A$1=2,INDEX($DH$3:$DN$401,MATCH(ROWS(A$3:A354),$DN$3:$DN$401,0),COLUMN()),IF($A$1=1,INDEX($DQ$3:$DW$401,MATCH(ROWS(A$3:A354),$DW$3:$DW$401,0),COLUMN()),"")),"")</f>
        <v/>
      </c>
      <c r="B354" s="48" t="str">
        <f ca="1">IFERROR(IF($A$1=2,INDEX($DH$3:$DN$400,MATCH(ROWS(B$3:B354),$DN$3:$DN$400,0),COLUMN()),IF($A$1=1,INDEX($DQ$3:$DW$400,MATCH(ROWS(B$3:B354),$DW$3:$DW$400,0),COLUMN()),"")),"")</f>
        <v/>
      </c>
      <c r="D354" s="48" t="str">
        <f ca="1">IFERROR(IF($A$1=2,INDEX($DH$3:$DN$401,MATCH(ROWS(D$3:D354),$DN$3:$DN$401,0),COLUMN()),IF($A$1=1,INDEX($DQ$3:$DW$401,MATCH(ROWS(D$3:D354),$DW$3:$DW$401,0),COLUMN()),"")),"")</f>
        <v/>
      </c>
      <c r="E354" s="48" t="str">
        <f ca="1">IFERROR(IF($A$1=2,INDEX($DH$3:$DN$401,MATCH(ROWS(E$3:E354),$DN$3:$DN$401,0),COLUMN()),IF($A$1=1,INDEX($DQ$3:$DW$401,MATCH(ROWS(E$3:E354),$DW$3:$DW$401,0),COLUMN()),"")),"")</f>
        <v/>
      </c>
      <c r="F354" s="48" t="str">
        <f ca="1">IFERROR(IF($A$1=2,INDEX($DH$3:$DN$401,MATCH(ROWS(F$3:F354),$DN$3:$DN$401,0),COLUMN()),IF($A$1=1,INDEX($DQ$3:$DX$401,MATCH(ROWS(F$3:F354),$DW$3:$DW$401,0),COLUMN()),"")),"")</f>
        <v/>
      </c>
      <c r="G354" s="48" t="str">
        <f t="shared" ca="1" si="650"/>
        <v/>
      </c>
      <c r="H354" s="48" t="str">
        <f ca="1">IFERROR(IF($A$1=2,INDEX($DH$3:$DO$400,MATCH(ROWS(H$3:H354),$DN$3:$DN$400,0),COLUMN()),IF($A$1=1,INDEX($DQ$3:$DX$400,MATCH(ROWS(H$3:H354),$DW$3:$DW$400,0),COLUMN()),"")),"")</f>
        <v/>
      </c>
      <c r="M354" s="48">
        <f ca="1">IFERROR(IF(IF(MID($A354,3,3)=".00",MID(A354,1,2),"")&lt;&gt;"",MAX($M$2:M353)+1,0),"")</f>
        <v>0</v>
      </c>
      <c r="N354" s="48" t="str">
        <f t="shared" ca="1" si="651"/>
        <v/>
      </c>
      <c r="O354" s="48" t="str">
        <f ca="1">IF(IFERROR(INDEX($N$3:$O$300,MATCH(ROWS($O$3:O354),$M$3:$M$300,0),1),"")&lt;&gt;"",CONCATENATE(INDEX($N$3:$O$300,MATCH(ROWS($O$3:O354),$M$3:$M$300,0),1),".00"),"")</f>
        <v/>
      </c>
      <c r="P354" s="48" t="str">
        <f t="shared" ca="1" si="652"/>
        <v/>
      </c>
      <c r="Q354" s="48">
        <f ca="1">IF(M354&gt;=1,0,MAX($Q$2:Q353)+1)</f>
        <v>315</v>
      </c>
      <c r="U354" s="48" t="str">
        <f ca="1">IFERROR(INDEX(PDC,MATCH(ROWS(U$3:U354),$V$3:$V$400,0),2),"")</f>
        <v/>
      </c>
      <c r="V354" s="48">
        <f ca="1">IF(AND($T$1="VISUALIZZA TUTTI I CONTI",AA354&lt;&gt;""),MAX($V$2:V353)+1,IF(AND($U$2=2,AI354=$T$1),MAX($V$2:V353)+1,IF(AND($U$2=1,$T$1=AF354),MAX($V$2:V353)+1,0)))</f>
        <v>0</v>
      </c>
      <c r="AA354" s="48" t="str">
        <f t="shared" ca="1" si="653"/>
        <v/>
      </c>
      <c r="AB354" s="48" t="str">
        <f ca="1">IFERROR(INDEX($A$3:$G$400,MATCH(ROWS(AB$3:AB354),$Q$3:$Q$400,0),1),"")</f>
        <v/>
      </c>
      <c r="AC354" s="48" t="str">
        <f ca="1">IFERROR(INDEX($A$3:$G$400,MATCH(ROWS($AC$3:AC354),$Q$3:$Q$400,0),2),"")</f>
        <v/>
      </c>
      <c r="AD354" s="48">
        <f ca="1">IFERROR(INDEX($A$3:$G$400,MATCH(ROWS(AD$3:AD354),$Q$3:$Q$400,0),3),"")</f>
        <v>0</v>
      </c>
      <c r="AE354" s="48" t="str">
        <f ca="1">IFERROR(INDEX($A$3:$G$400,MATCH(ROWS(AE$3:AE354),$Q$3:$Q$400,0),4),"")</f>
        <v/>
      </c>
      <c r="AF354" s="48" t="str">
        <f ca="1">IFERROR(INDEX($A$3:$G$400,MATCH(ROWS(AF$3:AF354),$Q$3:$Q$400,0),5),"")</f>
        <v/>
      </c>
      <c r="AG354" s="48" t="str">
        <f ca="1">IFERROR(INDEX($A$3:$G$400,MATCH(ROWS(AG$3:AG354),$Q$3:$Q$400,0),6),"")</f>
        <v/>
      </c>
      <c r="AH354" s="48" t="str">
        <f ca="1">IFERROR(INDEX($A$3:$G$400,MATCH(ROWS(AH$3:AH354),$Q$3:$Q$400,0),7),"")</f>
        <v/>
      </c>
      <c r="AI354" s="48" t="str">
        <f t="shared" ca="1" si="654"/>
        <v/>
      </c>
      <c r="AJ354" s="48" t="str">
        <f ca="1">IFERROR(INDEX($A$3:$H$400,MATCH(ROWS(AJ$3:AJ354),$Q$3:$Q$400,0),8),"")</f>
        <v/>
      </c>
      <c r="AZ354" s="48" t="str">
        <f t="shared" ca="1" si="669"/>
        <v/>
      </c>
      <c r="BA354" s="48">
        <f t="shared" ca="1" si="611"/>
        <v>0</v>
      </c>
      <c r="BB354" s="48">
        <f t="shared" ca="1" si="612"/>
        <v>0</v>
      </c>
      <c r="BC354" s="48">
        <f t="shared" ca="1" si="613"/>
        <v>0</v>
      </c>
      <c r="BD354" s="48">
        <f t="shared" ca="1" si="614"/>
        <v>0</v>
      </c>
      <c r="BE354" s="48">
        <f t="shared" ca="1" si="615"/>
        <v>0</v>
      </c>
      <c r="BF354" s="48">
        <f t="shared" si="670"/>
        <v>154</v>
      </c>
      <c r="BG354" s="48">
        <f ca="1">IF(IF(AND(OR(INDEX(PDC,MATCH($AC354,DEN_PDC,0),6)="SP DARE",INDEX(PDC,MATCH($AC354,DEN_PDC,0),6)="SP DARE/AVERE"),SUMIFS(DARE,DEN_G,$AC354)&gt;=SUMIFS(AVERE,DEN_G,$AC354)),SUMIFS(DARE,DEN_G,$AC354)-SUMIFS(AVERE,DEN_G,$AC354),0)&gt;0,MAX($BG$2:BG353)+1,0)</f>
        <v>0</v>
      </c>
      <c r="BH354" s="48">
        <f ca="1">IF(IF(AND(OR(INDEX(PDC,MATCH($AC354,DEN_PDC,0),6)="SP AVERE",INDEX(PDC,MATCH($AC354,DEN_PDC,0),6)="SP DARE/AVERE"),SUMIFS(AVERE,DEN_G,$AC354)&gt;=SUMIFS(DARE,DEN_G,$AC354)),SUMIFS(AVERE,DEN_G,$AC354)-SUMIFS(DARE,DEN_G,$AC354),0)&gt;0,MAX(BH$2:BH353)+1,0)</f>
        <v>0</v>
      </c>
      <c r="BI354" s="48">
        <f ca="1">IF(IF(AND(OR(INDEX(PDC,MATCH($AC354,DEN_PDC,0),6)="SE DARE",INDEX(PDC,MATCH($AC354,DEN_PDC,0),6)="SE DARE/AVERE"),SUMIFS(DARE,DEN_G,$AC354)&gt;=SUMIFS(AVERE,DEN_G,$AC354)),SUMIFS(DARE,DEN_G,$AC354)-SUMIFS(AVERE,DEN_G,$AC354),0)&gt;0,MAX(BI$2:BI353)+1,0)</f>
        <v>0</v>
      </c>
      <c r="BJ354" s="48">
        <f ca="1">IF(IF(AND(OR(INDEX(PDC,MATCH($AC354,DEN_PDC,0),6)="SE AVERE",INDEX(PDC,MATCH($AC354,DEN_PDC,0),6)="SE DARE/AVERE"),SUMIFS(AVERE,DEN_G,$AC354)&gt;=SUMIFS(DARE,DEN_G,$AC354)),SUMIFS(AVERE,DEN_G,$AC354)-SUMIFS(DARE,DEN_G,$AC354),0)&gt;0,MAX(BJ$2:BJ353)+1,0)</f>
        <v>0</v>
      </c>
      <c r="BK354" s="48" t="str">
        <f ca="1">IF(AND(AND($DY$2=0,$DY$1=0),$I$1=2,ROW()&gt;$BG$1+2,ROW()&lt;=$BG$1+4),"………………..",IF(AND(OR($DY$2&gt;0,$DY$1&gt;0),$I$1=2,ROW()&gt;$BG$1+2,ROW()&lt;=$BG$1+4),"………………..",IFERROR(INDEX($AC$3:$AC$398,MATCH(ROWS(BK$3:BK354),BG$3:BG$398,0),1),"")))</f>
        <v/>
      </c>
      <c r="BL354" s="48">
        <f t="shared" ca="1" si="637"/>
        <v>0</v>
      </c>
      <c r="BM354" s="48" t="str">
        <f ca="1">IF(AND(OR($DY$2=0,$DY$1=0),$I$1=2,ROW()&gt;$BH$1+2,ROW()&lt;=$BH$1+4),"………………..",IF(AND(OR($DY$2&gt;0,$DY$1&gt;0),$I$1=2,ROW()&gt;$BH$1+2,ROW()&lt;=$BH$1+4),"………………..",IFERROR(INDEX($AC$3:$AC$400,MATCH(ROWS(BM$3:BM354),BH$3:BH$400,0),1),"")))</f>
        <v/>
      </c>
      <c r="BN354" s="48">
        <f t="shared" ca="1" si="638"/>
        <v>0</v>
      </c>
      <c r="BO354" s="48" t="str">
        <f ca="1">IF(AND(OR($DY$2=0,$DY$1=0),$I$1=2,ROW()&gt;$BI$1+2,ROW()&lt;=$BI$1+4),"………………..",IF(AND(OR($DY$2&gt;0,$DY$1&gt;0),$I$1=2,ROW()&gt;$BI$1+2,ROW()&lt;=$BI$1+4),"………………..",IFERROR(INDEX($AC$3:$AC$400,MATCH(ROWS(BO$3:BO354),BI$3:BI$400,0),1),"")))</f>
        <v/>
      </c>
      <c r="BP354" s="48">
        <f t="shared" ca="1" si="639"/>
        <v>0</v>
      </c>
      <c r="BQ354" s="48" t="str">
        <f ca="1">IF(AND(OR($DY$2=0,$DY$1=0),$I$1=2,ROW()&gt;$BJ$1+2,ROW()&lt;=$BJ$1+4),"………………..",IF(AND(OR($DY$2&gt;0,$DY$1&gt;0),$I$1=2,ROW()&gt;$BJ$1+2,ROW()&lt;=$BJ$1+4),"………………..",IFERROR(INDEX($AC$3:$AC$400,MATCH(ROWS(BQ$3:BQ354),BJ$3:BJ$400,0),1),"")))</f>
        <v/>
      </c>
      <c r="BR354" s="48">
        <f t="shared" ca="1" si="640"/>
        <v>0</v>
      </c>
      <c r="BS354" s="48">
        <f ca="1">IF(IF(AND(OR(INDEX(PDC,MATCH($AC354,DEN_PDC,0),4)="D",INDEX(PDC,MATCH($AC354,DEN_PDC,0),4)="D/A"),SUMIFS(DARE,DEN_G,$AC354)&gt;=SUMIFS(AVERE,DEN_G,$AC354)),SUMIFS(DARE,DEN_G,$AC354),IF(AND(OR(INDEX(PDC,MATCH($AC354,DEN_PDC,0),4)="A",INDEX(PDC,MATCH($AC354,DEN_PDC,0),4)="D/A"),SUMIFS(AVERE,DEN_G,$AC354)&gt;=SUMIFS(DARE,DEN_G,$AC354)),SUMIFS(AVERE,DEN_G,$AC354),))&gt;0,MAX($BS$2:BS353)+1,0)</f>
        <v>0</v>
      </c>
      <c r="BT354" s="48" t="str">
        <f ca="1">IF($CO$1=0,"",IF(AND($I$1=2,ROW()&gt;$BR$1,ROW()&lt;=$BS$1)," …………….",IF(AND($E$1=1,$BX$1=1,$I$1=2,ROW()=$BQ$1),"TOTALI",IFERROR(INDEX(PDC,MATCH(ROWS(BT$3:BT354),BS$3:BS751,0),2),""))))</f>
        <v/>
      </c>
      <c r="BU354" s="48">
        <f t="shared" ca="1" si="641"/>
        <v>0</v>
      </c>
      <c r="BV354" s="48">
        <f t="shared" ca="1" si="642"/>
        <v>0</v>
      </c>
      <c r="BW354" s="48">
        <f t="shared" ca="1" si="643"/>
        <v>0</v>
      </c>
      <c r="BX354" s="48">
        <f t="shared" ca="1" si="644"/>
        <v>0</v>
      </c>
      <c r="BY354" s="48">
        <f ca="1">IF(OR(BW354&gt;0,BX354&gt;0),MAX($BY$2:BY353)+1,0)</f>
        <v>0</v>
      </c>
      <c r="BZ354" s="48" t="str">
        <f ca="1">IFERROR(INDEX($BT$3:$BY$400,MATCH(ROWS(BZ$3:BZ354),$BY$3:$BY$400,0),1),"")</f>
        <v/>
      </c>
      <c r="CA354" s="48" t="str">
        <f ca="1">IFERROR(INDEX($BT$3:$BY$400,MATCH(ROWS(CA$3:CA354),$BY$3:$BY$400,0),4),"")</f>
        <v/>
      </c>
      <c r="CB354" s="48" t="str">
        <f ca="1">IFERROR(INDEX($BT$3:$BY$400,MATCH(ROWS(CB$3:CB354),$BY$3:$BY$400,0),5),"")</f>
        <v/>
      </c>
      <c r="CC354" s="48" t="str">
        <f t="shared" ca="1" si="645"/>
        <v/>
      </c>
      <c r="CM354" s="242" t="str">
        <f t="shared" ca="1" si="655"/>
        <v/>
      </c>
      <c r="CN354" s="243">
        <f t="shared" ca="1" si="656"/>
        <v>0</v>
      </c>
      <c r="CO354" s="48" t="str">
        <f t="shared" ca="1" si="657"/>
        <v/>
      </c>
      <c r="CU354" s="48">
        <f ca="1">IF(SUMIFS(AVERE,DEN_G,AC354,AVERE,"&gt;"&amp;0)+SUMIFS(DARE,DEN_G,AC354,DARE,"&gt;"&amp;0)&gt;0,MAX($CU$2:CU353)+1,0)</f>
        <v>0</v>
      </c>
      <c r="CV354" s="48" t="str">
        <f ca="1">IF(IFERROR(INDEX(PDC,MATCH(ROWS($CV$3:CV354),$CU$3:$CU$400,0),2),"")="CONTO DI RISULTATO ECONOMICO","",IFERROR(INDEX(PDC,MATCH(ROWS($CV$3:CV354),$CU$3:$CU$400,0),2),""))</f>
        <v/>
      </c>
      <c r="CW354" s="48">
        <f ca="1">IFERROR(IF(CV354&lt;&gt;"",MAX($CW$2:CW353)+1,0),0)</f>
        <v>0</v>
      </c>
      <c r="CX354" s="48">
        <f ca="1">$FF$30</f>
        <v>28</v>
      </c>
      <c r="CY354" s="48" t="str">
        <f t="shared" ref="CY354:CY365" ca="1" si="688">IF(ISERROR(INDEX($CV$3:$CX$1302,MATCH(CX354,$CW$3:$CW$1302,0),1)),"MASTRO",INDEX($CV$3:$CX$1302,MATCH(CX354,$CW$3:$CW$1302,0),1))</f>
        <v>MASTRO</v>
      </c>
      <c r="DA354" s="48" t="str">
        <f>IF(CY353="MASTRO","Conto n.","")</f>
        <v>Conto n.</v>
      </c>
      <c r="DB354" s="48" t="str">
        <f ca="1">IF(CY354=0,"",INDEX(PDC,MATCH(DC354,DEN_PDC,0),1))</f>
        <v/>
      </c>
      <c r="DC354" s="48" t="str">
        <f ca="1">IF(OR(CY354=0,CY354="mastro"),"",CY354)</f>
        <v/>
      </c>
      <c r="DD354" s="48" t="str">
        <f ca="1">IF(AND($DA$2=TRUE,OR(INDEX(PDC,MATCH($DC354,DEN_PDC,0),4)="A",INDEX(PDC,MATCH($DC354,DEN_PDC,0),4)="D/A"),SUMIFS(AVERE,DEN_G,"="&amp;$DC354,DATA,"&lt;="&amp;FINE_AC,DATA,"&gt;="&amp;INIZIO_AC)&gt;SUMIFS(DARE,DEN_G,"="&amp;$DC354,DATA,"&lt;="&amp;FINE_AC,DATA,"&gt;="&amp;INIZIO_AC)),CONCATENATE("s ",FIXED(ABS(SUMIFS(AVERE,DEN_G,"="&amp;$DC354,DATA,"&lt;="&amp;FINE_AC,DATA,"&gt;="&amp;INIZIO_AC)-SUMIFS(DARE,DEN_G,"="&amp;$DC354,DATA,"&lt;="&amp;FINE_AC,DATA,"&gt;="&amp;INIZIO_AC)),2)),"")</f>
        <v/>
      </c>
      <c r="DE354" s="48" t="str">
        <f ca="1">IF(AND($DA$2=TRUE,OR(INDEX(PDC,MATCH($DC354,DEN_PDC,0),4)="D",INDEX(PDC,MATCH($DC354,DEN_PDC,0),4)="D/A"),SUMIFS(DARE,DEN_G,"="&amp;$DC354,DATA,"&lt;="&amp;FINE_AC,DATA,"&gt;="&amp;INIZIO_AC)&gt;SUMIFS(AVERE,DEN_G,"="&amp;$DC354,DATA,"&lt;="&amp;FINE_AC,DATA,"&gt;="&amp;INIZIO_AC)),CONCATENATE("s ",FIXED(ABS(SUMIFS(DARE,DEN_G,"="&amp;$DC354,DATA,"&lt;="&amp;FINE_AC,DATA,"&gt;="&amp;INIZIO_AC)-SUMIFS(AVERE,DEN_G,"="&amp;$DC354,DATA,"&lt;="&amp;FINE_AC,DATA,"&gt;="&amp;INIZIO_AC)),2)),"")</f>
        <v/>
      </c>
      <c r="DF354" s="48">
        <f ca="1">IF(AND(CX354=$DF$1,CX354&lt;&gt;""),0,IF(AND(DB354&lt;&gt;"",OR(DB353&lt;&gt;"",DB355&lt;&gt;"")),MAX($DF$2:DF353)+1,0))</f>
        <v>0</v>
      </c>
      <c r="DH354" s="244" t="s">
        <v>1119</v>
      </c>
      <c r="DI354" s="48" t="s">
        <v>294</v>
      </c>
      <c r="DJ354" s="48" t="s">
        <v>311</v>
      </c>
      <c r="DK354" s="48" t="s">
        <v>275</v>
      </c>
      <c r="DL354" s="48" t="s">
        <v>7</v>
      </c>
      <c r="DM354" s="48" t="s">
        <v>301</v>
      </c>
      <c r="DN354" s="48">
        <f ca="1">IF(DI354&lt;&gt;"",MAX($DN$2:DN353)+1,0)</f>
        <v>284</v>
      </c>
      <c r="DO354" s="48" t="s">
        <v>722</v>
      </c>
      <c r="DQ354" s="227" t="s">
        <v>1072</v>
      </c>
      <c r="DR354" s="48" t="s">
        <v>296</v>
      </c>
      <c r="DS354" s="48" t="s">
        <v>311</v>
      </c>
      <c r="DT354" s="48" t="s">
        <v>275</v>
      </c>
      <c r="DU354" s="48" t="s">
        <v>7</v>
      </c>
      <c r="DV354" s="48" t="s">
        <v>301</v>
      </c>
      <c r="DW354" s="48">
        <f ca="1">IF(DR354&lt;&gt;"",MAX($DW$2:DW353)+1,0)</f>
        <v>216</v>
      </c>
      <c r="DX354" s="48" t="s">
        <v>722</v>
      </c>
      <c r="DY354" s="48" t="str">
        <f t="shared" ca="1" si="647"/>
        <v/>
      </c>
      <c r="EL354" s="48">
        <f t="shared" ca="1" si="648"/>
        <v>0</v>
      </c>
      <c r="EM354" s="48">
        <f ca="1">IF(EL354&gt;=0,0,MAX($EM$2:EM353)+1)</f>
        <v>0</v>
      </c>
      <c r="EN354" s="48" t="str">
        <f t="shared" ca="1" si="658"/>
        <v/>
      </c>
      <c r="EO354" s="48" t="str">
        <f ca="1">IFERROR(INDEX($EM$3:$EN$400,MATCH(ROWS($EO$3:EO354),$EM$3:$EM$400,0),2),"")</f>
        <v/>
      </c>
      <c r="EP354" s="48">
        <f>ROW()</f>
        <v>354</v>
      </c>
      <c r="EQ354" s="48">
        <f t="shared" ca="1" si="649"/>
        <v>0</v>
      </c>
      <c r="ER354" s="48">
        <f ca="1">IF(ISNA(EQ354)=TRUE,MAX($ER$2:ER353)+1,0)</f>
        <v>0</v>
      </c>
      <c r="ES354" s="48" t="str">
        <f t="shared" ca="1" si="659"/>
        <v/>
      </c>
      <c r="ET354" s="48" t="str">
        <f ca="1">IFERROR(INDEX($ER$3:$ES$400,MATCH(ROWS($ET$3:ET354),$ER$3:$ER$400,0),2),"")</f>
        <v/>
      </c>
      <c r="EV354" s="48">
        <f ca="1">IFERROR(INDEX(LIBRO_GIORNALE!$O$11:$P$408,MATCH(ROWS($EV$2:EV353),LIBRO_GIORNALE!$P$11:$P$408,0),1),0)</f>
        <v>0</v>
      </c>
      <c r="EW354" s="48" t="str">
        <f t="shared" ca="1" si="629"/>
        <v>0</v>
      </c>
      <c r="EX354" s="48">
        <f t="shared" ca="1" si="660"/>
        <v>0</v>
      </c>
      <c r="EY354" s="48">
        <f ca="1">IF(EX354&gt;0,MAX($EY$2:EY353)+1,0)</f>
        <v>0</v>
      </c>
      <c r="EZ354" s="48">
        <f ca="1">IFERROR(INDEX($EX$3:$EX$400,MATCH(ROWS($EZ$3:EZ354),$EY$3:$EY$400,0),1),0)</f>
        <v>0</v>
      </c>
      <c r="FA354" s="48">
        <f ca="1">IF(EZ354&gt;0,0,MAX($FA$2:FA353)+1)</f>
        <v>352</v>
      </c>
      <c r="FB354" s="48">
        <f t="shared" ca="1" si="630"/>
        <v>0</v>
      </c>
      <c r="FC354" s="48">
        <f t="shared" ca="1" si="631"/>
        <v>352</v>
      </c>
      <c r="FD354" s="48">
        <f t="shared" ca="1" si="661"/>
        <v>352</v>
      </c>
      <c r="FE354" s="48">
        <f ca="1">IF(FD354=0,0,MAX($FE$2:FE353)+1)</f>
        <v>352</v>
      </c>
      <c r="FF354" s="48">
        <f ca="1">IFERROR(INDEX($FD$3:$FE$400,MATCH(ROWS($FF$3:FF354),$FE$3:$FE$400,0),1),"")</f>
        <v>352</v>
      </c>
      <c r="FG354" s="48">
        <f t="shared" si="610"/>
        <v>0</v>
      </c>
      <c r="FH354" s="48">
        <f t="shared" ca="1" si="662"/>
        <v>0</v>
      </c>
      <c r="FI354" s="48">
        <f ca="1">IF(FH354&lt;&gt;0,MAX($FI$2:FI353)+1,0)</f>
        <v>0</v>
      </c>
      <c r="FJ354" s="48" t="str">
        <f ca="1">IFERROR(INDEX($FH$3:$FI$400,MATCH(ROWS($FJ$3:FJ354),$FI$3:$FI$400,0),1),"")</f>
        <v/>
      </c>
      <c r="FK354" s="48">
        <f ca="1">IF(ABS(SUMIFS(DARE,DEN_G,"="&amp;FJ354,DATA,"&lt;="&amp;FINE_AC,DATA,"&gt;="&amp;INIZIO_A_PC)-SUMIFS(AVERE,DEN_G,"="&amp;FJ354,DATA,"&lt;="&amp;FINE_AC,DATA,"&gt;="&amp;INIZIO_A_PC))&gt;0,MAX($FK$2:FK353)+1,0)</f>
        <v>0</v>
      </c>
      <c r="FL354" s="48" t="str">
        <f ca="1">IF(AND(ROW()-2&lt;&gt;1,ROW()-2&lt;=$FK$1),CONCATENATE(" - ",IFERROR(INDEX($FJ$3:$FK$400,MATCH(ROWS($FL$3:FL354),$FK$3:$FK$400,0),1),"")),IFERROR(INDEX($FJ$3:$FK$400,MATCH(ROWS($FL$3:FL354),$FK$3:$FK$400,0),1),""))</f>
        <v/>
      </c>
      <c r="FM354" s="48">
        <f ca="1">IF(OR(B354="IVA ns/credito",B354="IVA NS/DEBITO",B354="IVA C/ACCONTO",B354="IMPOSTE C/ACCONTO",B354="CREDITI PER RITENUTE SUBITE",B354="CREDITI D'IMPOSTA"),MAX($FM$2:FM353)+1,0)</f>
        <v>0</v>
      </c>
      <c r="FN354" s="48" t="str">
        <f t="shared" ca="1" si="663"/>
        <v/>
      </c>
      <c r="FO354" s="48" t="str">
        <f ca="1">IFERROR(INDEX($FM$3:$FN$400,MATCH(ROWS($FO$3:FO354),$FM$3:$FM$400,0),2),"")</f>
        <v/>
      </c>
      <c r="FP354" s="48">
        <f ca="1">IF(ABS(SUMIFS(DARE,DEN_G,"="&amp;FO354,DATA,"&lt;="&amp;FINE_AC,DATA,"&gt;="&amp;INIZIO_A_PC)-SUMIFS(AVERE,DEN_G,"="&amp;FO354,DATA,"&lt;="&amp;FINE_AC,DATA,"&gt;="&amp;INIZIO_A_PC))&gt;0,MAX($FP$2:FP353)+1,0)</f>
        <v>0</v>
      </c>
      <c r="FQ354" s="48" t="str">
        <f ca="1">IF(AND(ROW()-2&lt;&gt;1,ROW()-2&lt;=$FP$1),CONCATENATE(" - ",IFERROR(INDEX($FO$3:$FP$400,MATCH(ROWS($FQ$3:FQ354),$FP$3:$FP$400,0),1),"")),IFERROR(INDEX($FO$3:$FP$400,MATCH(ROWS($FQ$3:FQ354),$FP$3:$FP$400,0),1),""))</f>
        <v/>
      </c>
    </row>
    <row r="355" spans="1:173" x14ac:dyDescent="0.3">
      <c r="A355" s="48" t="str">
        <f ca="1">IFERROR(IF($A$1=2,INDEX($DH$3:$DN$401,MATCH(ROWS(A$3:A355),$DN$3:$DN$401,0),COLUMN()),IF($A$1=1,INDEX($DQ$3:$DW$401,MATCH(ROWS(A$3:A355),$DW$3:$DW$401,0),COLUMN()),"")),"")</f>
        <v/>
      </c>
      <c r="B355" s="48" t="str">
        <f ca="1">IFERROR(IF($A$1=2,INDEX($DH$3:$DN$400,MATCH(ROWS(B$3:B355),$DN$3:$DN$400,0),COLUMN()),IF($A$1=1,INDEX($DQ$3:$DW$400,MATCH(ROWS(B$3:B355),$DW$3:$DW$400,0),COLUMN()),"")),"")</f>
        <v/>
      </c>
      <c r="D355" s="48" t="str">
        <f ca="1">IFERROR(IF($A$1=2,INDEX($DH$3:$DN$401,MATCH(ROWS(D$3:D355),$DN$3:$DN$401,0),COLUMN()),IF($A$1=1,INDEX($DQ$3:$DW$401,MATCH(ROWS(D$3:D355),$DW$3:$DW$401,0),COLUMN()),"")),"")</f>
        <v/>
      </c>
      <c r="E355" s="48" t="str">
        <f ca="1">IFERROR(IF($A$1=2,INDEX($DH$3:$DN$401,MATCH(ROWS(E$3:E355),$DN$3:$DN$401,0),COLUMN()),IF($A$1=1,INDEX($DQ$3:$DW$401,MATCH(ROWS(E$3:E355),$DW$3:$DW$401,0),COLUMN()),"")),"")</f>
        <v/>
      </c>
      <c r="F355" s="48" t="str">
        <f ca="1">IFERROR(IF($A$1=2,INDEX($DH$3:$DN$401,MATCH(ROWS(F$3:F355),$DN$3:$DN$401,0),COLUMN()),IF($A$1=1,INDEX($DQ$3:$DX$401,MATCH(ROWS(F$3:F355),$DW$3:$DW$401,0),COLUMN()),"")),"")</f>
        <v/>
      </c>
      <c r="G355" s="48" t="str">
        <f t="shared" ca="1" si="650"/>
        <v/>
      </c>
      <c r="H355" s="48" t="str">
        <f ca="1">IFERROR(IF($A$1=2,INDEX($DH$3:$DO$400,MATCH(ROWS(H$3:H355),$DN$3:$DN$400,0),COLUMN()),IF($A$1=1,INDEX($DQ$3:$DX$400,MATCH(ROWS(H$3:H355),$DW$3:$DW$400,0),COLUMN()),"")),"")</f>
        <v/>
      </c>
      <c r="M355" s="48">
        <f ca="1">IFERROR(IF(IF(MID($A355,3,3)=".00",MID(A355,1,2),"")&lt;&gt;"",MAX($M$2:M354)+1,0),"")</f>
        <v>0</v>
      </c>
      <c r="N355" s="48" t="str">
        <f t="shared" ca="1" si="651"/>
        <v/>
      </c>
      <c r="O355" s="48" t="str">
        <f ca="1">IF(IFERROR(INDEX($N$3:$O$300,MATCH(ROWS($O$3:O355),$M$3:$M$300,0),1),"")&lt;&gt;"",CONCATENATE(INDEX($N$3:$O$300,MATCH(ROWS($O$3:O355),$M$3:$M$300,0),1),".00"),"")</f>
        <v/>
      </c>
      <c r="P355" s="48" t="str">
        <f t="shared" ca="1" si="652"/>
        <v/>
      </c>
      <c r="Q355" s="48">
        <f ca="1">IF(M355&gt;=1,0,MAX($Q$2:Q354)+1)</f>
        <v>316</v>
      </c>
      <c r="U355" s="48" t="str">
        <f ca="1">IFERROR(INDEX(PDC,MATCH(ROWS(U$3:U355),$V$3:$V$400,0),2),"")</f>
        <v/>
      </c>
      <c r="V355" s="48">
        <f ca="1">IF(AND($T$1="VISUALIZZA TUTTI I CONTI",AA355&lt;&gt;""),MAX($V$2:V354)+1,IF(AND($U$2=2,AI355=$T$1),MAX($V$2:V354)+1,IF(AND($U$2=1,$T$1=AF355),MAX($V$2:V354)+1,0)))</f>
        <v>0</v>
      </c>
      <c r="AA355" s="48" t="str">
        <f t="shared" ca="1" si="653"/>
        <v/>
      </c>
      <c r="AB355" s="48" t="str">
        <f ca="1">IFERROR(INDEX($A$3:$G$400,MATCH(ROWS(AB$3:AB355),$Q$3:$Q$400,0),1),"")</f>
        <v/>
      </c>
      <c r="AC355" s="48" t="str">
        <f ca="1">IFERROR(INDEX($A$3:$G$400,MATCH(ROWS($AC$3:AC355),$Q$3:$Q$400,0),2),"")</f>
        <v/>
      </c>
      <c r="AD355" s="48">
        <f ca="1">IFERROR(INDEX($A$3:$G$400,MATCH(ROWS(AD$3:AD355),$Q$3:$Q$400,0),3),"")</f>
        <v>0</v>
      </c>
      <c r="AE355" s="48" t="str">
        <f ca="1">IFERROR(INDEX($A$3:$G$400,MATCH(ROWS(AE$3:AE355),$Q$3:$Q$400,0),4),"")</f>
        <v/>
      </c>
      <c r="AF355" s="48" t="str">
        <f ca="1">IFERROR(INDEX($A$3:$G$400,MATCH(ROWS(AF$3:AF355),$Q$3:$Q$400,0),5),"")</f>
        <v/>
      </c>
      <c r="AG355" s="48" t="str">
        <f ca="1">IFERROR(INDEX($A$3:$G$400,MATCH(ROWS(AG$3:AG355),$Q$3:$Q$400,0),6),"")</f>
        <v/>
      </c>
      <c r="AH355" s="48" t="str">
        <f ca="1">IFERROR(INDEX($A$3:$G$400,MATCH(ROWS(AH$3:AH355),$Q$3:$Q$400,0),7),"")</f>
        <v/>
      </c>
      <c r="AI355" s="48" t="str">
        <f t="shared" ca="1" si="654"/>
        <v/>
      </c>
      <c r="AJ355" s="48" t="str">
        <f ca="1">IFERROR(INDEX($A$3:$H$400,MATCH(ROWS(AJ$3:AJ355),$Q$3:$Q$400,0),8),"")</f>
        <v/>
      </c>
      <c r="AZ355" s="48" t="str">
        <f t="shared" ca="1" si="669"/>
        <v/>
      </c>
      <c r="BA355" s="48">
        <f t="shared" ca="1" si="611"/>
        <v>0</v>
      </c>
      <c r="BB355" s="48">
        <f t="shared" ca="1" si="612"/>
        <v>0</v>
      </c>
      <c r="BC355" s="48">
        <f t="shared" ca="1" si="613"/>
        <v>0</v>
      </c>
      <c r="BD355" s="48">
        <f t="shared" ca="1" si="614"/>
        <v>0</v>
      </c>
      <c r="BE355" s="48">
        <f t="shared" ca="1" si="615"/>
        <v>0</v>
      </c>
      <c r="BF355" s="48">
        <f t="shared" si="670"/>
        <v>155</v>
      </c>
      <c r="BG355" s="48">
        <f ca="1">IF(IF(AND(OR(INDEX(PDC,MATCH($AC355,DEN_PDC,0),6)="SP DARE",INDEX(PDC,MATCH($AC355,DEN_PDC,0),6)="SP DARE/AVERE"),SUMIFS(DARE,DEN_G,$AC355)&gt;=SUMIFS(AVERE,DEN_G,$AC355)),SUMIFS(DARE,DEN_G,$AC355)-SUMIFS(AVERE,DEN_G,$AC355),0)&gt;0,MAX($BG$2:BG354)+1,0)</f>
        <v>0</v>
      </c>
      <c r="BH355" s="48">
        <f ca="1">IF(IF(AND(OR(INDEX(PDC,MATCH($AC355,DEN_PDC,0),6)="SP AVERE",INDEX(PDC,MATCH($AC355,DEN_PDC,0),6)="SP DARE/AVERE"),SUMIFS(AVERE,DEN_G,$AC355)&gt;=SUMIFS(DARE,DEN_G,$AC355)),SUMIFS(AVERE,DEN_G,$AC355)-SUMIFS(DARE,DEN_G,$AC355),0)&gt;0,MAX(BH$2:BH354)+1,0)</f>
        <v>0</v>
      </c>
      <c r="BI355" s="48">
        <f ca="1">IF(IF(AND(OR(INDEX(PDC,MATCH($AC355,DEN_PDC,0),6)="SE DARE",INDEX(PDC,MATCH($AC355,DEN_PDC,0),6)="SE DARE/AVERE"),SUMIFS(DARE,DEN_G,$AC355)&gt;=SUMIFS(AVERE,DEN_G,$AC355)),SUMIFS(DARE,DEN_G,$AC355)-SUMIFS(AVERE,DEN_G,$AC355),0)&gt;0,MAX(BI$2:BI354)+1,0)</f>
        <v>0</v>
      </c>
      <c r="BJ355" s="48">
        <f ca="1">IF(IF(AND(OR(INDEX(PDC,MATCH($AC355,DEN_PDC,0),6)="SE AVERE",INDEX(PDC,MATCH($AC355,DEN_PDC,0),6)="SE DARE/AVERE"),SUMIFS(AVERE,DEN_G,$AC355)&gt;=SUMIFS(DARE,DEN_G,$AC355)),SUMIFS(AVERE,DEN_G,$AC355)-SUMIFS(DARE,DEN_G,$AC355),0)&gt;0,MAX(BJ$2:BJ354)+1,0)</f>
        <v>0</v>
      </c>
      <c r="BK355" s="48" t="str">
        <f ca="1">IF(AND(AND($DY$2=0,$DY$1=0),$I$1=2,ROW()&gt;$BG$1+2,ROW()&lt;=$BG$1+4),"………………..",IF(AND(OR($DY$2&gt;0,$DY$1&gt;0),$I$1=2,ROW()&gt;$BG$1+2,ROW()&lt;=$BG$1+4),"………………..",IFERROR(INDEX($AC$3:$AC$398,MATCH(ROWS(BK$3:BK355),BG$3:BG$398,0),1),"")))</f>
        <v/>
      </c>
      <c r="BL355" s="48">
        <f t="shared" ca="1" si="637"/>
        <v>0</v>
      </c>
      <c r="BM355" s="48" t="str">
        <f ca="1">IF(AND(OR($DY$2=0,$DY$1=0),$I$1=2,ROW()&gt;$BH$1+2,ROW()&lt;=$BH$1+4),"………………..",IF(AND(OR($DY$2&gt;0,$DY$1&gt;0),$I$1=2,ROW()&gt;$BH$1+2,ROW()&lt;=$BH$1+4),"………………..",IFERROR(INDEX($AC$3:$AC$400,MATCH(ROWS(BM$3:BM355),BH$3:BH$400,0),1),"")))</f>
        <v/>
      </c>
      <c r="BN355" s="48">
        <f t="shared" ca="1" si="638"/>
        <v>0</v>
      </c>
      <c r="BO355" s="48" t="str">
        <f ca="1">IF(AND(OR($DY$2=0,$DY$1=0),$I$1=2,ROW()&gt;$BI$1+2,ROW()&lt;=$BI$1+4),"………………..",IF(AND(OR($DY$2&gt;0,$DY$1&gt;0),$I$1=2,ROW()&gt;$BI$1+2,ROW()&lt;=$BI$1+4),"………………..",IFERROR(INDEX($AC$3:$AC$400,MATCH(ROWS(BO$3:BO355),BI$3:BI$400,0),1),"")))</f>
        <v/>
      </c>
      <c r="BP355" s="48">
        <f t="shared" ca="1" si="639"/>
        <v>0</v>
      </c>
      <c r="BQ355" s="48" t="str">
        <f ca="1">IF(AND(OR($DY$2=0,$DY$1=0),$I$1=2,ROW()&gt;$BJ$1+2,ROW()&lt;=$BJ$1+4),"………………..",IF(AND(OR($DY$2&gt;0,$DY$1&gt;0),$I$1=2,ROW()&gt;$BJ$1+2,ROW()&lt;=$BJ$1+4),"………………..",IFERROR(INDEX($AC$3:$AC$400,MATCH(ROWS(BQ$3:BQ355),BJ$3:BJ$400,0),1),"")))</f>
        <v/>
      </c>
      <c r="BR355" s="48">
        <f t="shared" ca="1" si="640"/>
        <v>0</v>
      </c>
      <c r="BS355" s="48">
        <f ca="1">IF(IF(AND(OR(INDEX(PDC,MATCH($AC355,DEN_PDC,0),4)="D",INDEX(PDC,MATCH($AC355,DEN_PDC,0),4)="D/A"),SUMIFS(DARE,DEN_G,$AC355)&gt;=SUMIFS(AVERE,DEN_G,$AC355)),SUMIFS(DARE,DEN_G,$AC355),IF(AND(OR(INDEX(PDC,MATCH($AC355,DEN_PDC,0),4)="A",INDEX(PDC,MATCH($AC355,DEN_PDC,0),4)="D/A"),SUMIFS(AVERE,DEN_G,$AC355)&gt;=SUMIFS(DARE,DEN_G,$AC355)),SUMIFS(AVERE,DEN_G,$AC355),))&gt;0,MAX($BS$2:BS354)+1,0)</f>
        <v>0</v>
      </c>
      <c r="BT355" s="48" t="str">
        <f ca="1">IF($CO$1=0,"",IF(AND($I$1=2,ROW()&gt;$BR$1,ROW()&lt;=$BS$1)," …………….",IF(AND($E$1=1,$BX$1=1,$I$1=2,ROW()=$BQ$1),"TOTALI",IFERROR(INDEX(PDC,MATCH(ROWS(BT$3:BT355),BS$3:BS752,0),2),""))))</f>
        <v/>
      </c>
      <c r="BU355" s="48">
        <f t="shared" ca="1" si="641"/>
        <v>0</v>
      </c>
      <c r="BV355" s="48">
        <f t="shared" ca="1" si="642"/>
        <v>0</v>
      </c>
      <c r="BW355" s="48">
        <f t="shared" ca="1" si="643"/>
        <v>0</v>
      </c>
      <c r="BX355" s="48">
        <f t="shared" ca="1" si="644"/>
        <v>0</v>
      </c>
      <c r="BY355" s="48">
        <f ca="1">IF(OR(BW355&gt;0,BX355&gt;0),MAX($BY$2:BY354)+1,0)</f>
        <v>0</v>
      </c>
      <c r="BZ355" s="48" t="str">
        <f ca="1">IFERROR(INDEX($BT$3:$BY$400,MATCH(ROWS(BZ$3:BZ355),$BY$3:$BY$400,0),1),"")</f>
        <v/>
      </c>
      <c r="CA355" s="48" t="str">
        <f ca="1">IFERROR(INDEX($BT$3:$BY$400,MATCH(ROWS(CA$3:CA355),$BY$3:$BY$400,0),4),"")</f>
        <v/>
      </c>
      <c r="CB355" s="48" t="str">
        <f ca="1">IFERROR(INDEX($BT$3:$BY$400,MATCH(ROWS(CB$3:CB355),$BY$3:$BY$400,0),5),"")</f>
        <v/>
      </c>
      <c r="CC355" s="48" t="str">
        <f t="shared" ca="1" si="645"/>
        <v/>
      </c>
      <c r="CM355" s="242" t="str">
        <f t="shared" ca="1" si="655"/>
        <v/>
      </c>
      <c r="CN355" s="243">
        <f t="shared" ca="1" si="656"/>
        <v>0</v>
      </c>
      <c r="CO355" s="48" t="str">
        <f t="shared" ca="1" si="657"/>
        <v/>
      </c>
      <c r="CU355" s="48">
        <f ca="1">IF(SUMIFS(AVERE,DEN_G,AC355,AVERE,"&gt;"&amp;0)+SUMIFS(DARE,DEN_G,AC355,DARE,"&gt;"&amp;0)&gt;0,MAX($CU$2:CU354)+1,0)</f>
        <v>0</v>
      </c>
      <c r="CV355" s="48" t="str">
        <f ca="1">IF(IFERROR(INDEX(PDC,MATCH(ROWS($CV$3:CV355),$CU$3:$CU$400,0),2),"")="CONTO DI RISULTATO ECONOMICO","",IFERROR(INDEX(PDC,MATCH(ROWS($CV$3:CV355),$CU$3:$CU$400,0),2),""))</f>
        <v/>
      </c>
      <c r="CW355" s="48">
        <f ca="1">IFERROR(IF(CV355&lt;&gt;"",MAX($CW$2:CW354)+1,0),0)</f>
        <v>0</v>
      </c>
      <c r="CX355" s="48">
        <f t="shared" ref="CX355:CX365" ca="1" si="689">$FF$30</f>
        <v>28</v>
      </c>
      <c r="CY355" s="48" t="str">
        <f t="shared" ca="1" si="688"/>
        <v>MASTRO</v>
      </c>
      <c r="DA355" s="48" t="str">
        <f ca="1">IF(DB354="","","Num. riga")</f>
        <v/>
      </c>
      <c r="DB355" s="48" t="str">
        <f t="shared" ref="DB355" ca="1" si="690">IF(DB354="","","Data")</f>
        <v/>
      </c>
      <c r="DC355" s="48" t="str">
        <f ca="1">IF(DB354="","","Operazioni")</f>
        <v/>
      </c>
      <c r="DD355" s="48" t="str">
        <f ca="1">IF(DB354="","","Dare        ")</f>
        <v/>
      </c>
      <c r="DE355" s="48" t="str">
        <f ca="1">IF(DB354="","","Avere        ")</f>
        <v/>
      </c>
      <c r="DF355" s="48">
        <f ca="1">IF(AND(CX355=$DF$1,CX355&lt;&gt;""),0,IF(AND(DB355&lt;&gt;"",OR(DB354&lt;&gt;"",DB356&lt;&gt;"")),MAX($DF$2:DF354)+1,0))</f>
        <v>0</v>
      </c>
      <c r="DH355" s="244" t="s">
        <v>254</v>
      </c>
      <c r="DI355" s="48" t="s">
        <v>253</v>
      </c>
      <c r="DJ355" s="48" t="s">
        <v>311</v>
      </c>
      <c r="DK355" s="48" t="s">
        <v>275</v>
      </c>
      <c r="DL355" s="48" t="s">
        <v>7</v>
      </c>
      <c r="DM355" s="48" t="s">
        <v>301</v>
      </c>
      <c r="DN355" s="48">
        <f ca="1">IF(DI355&lt;&gt;"",MAX($DN$2:DN354)+1,0)</f>
        <v>285</v>
      </c>
      <c r="DO355" s="48" t="s">
        <v>722</v>
      </c>
      <c r="DQ355" s="227" t="s">
        <v>1073</v>
      </c>
      <c r="DR355" s="48" t="s">
        <v>297</v>
      </c>
      <c r="DS355" s="48" t="s">
        <v>311</v>
      </c>
      <c r="DT355" s="48" t="s">
        <v>275</v>
      </c>
      <c r="DU355" s="48" t="s">
        <v>7</v>
      </c>
      <c r="DV355" s="48" t="s">
        <v>301</v>
      </c>
      <c r="DW355" s="48">
        <f ca="1">IF(DR355&lt;&gt;"",MAX($DW$2:DW354)+1,0)</f>
        <v>217</v>
      </c>
      <c r="DX355" s="48" t="s">
        <v>722</v>
      </c>
      <c r="DY355" s="48" t="str">
        <f t="shared" ca="1" si="647"/>
        <v/>
      </c>
      <c r="EL355" s="48">
        <f t="shared" ca="1" si="648"/>
        <v>0</v>
      </c>
      <c r="EM355" s="48">
        <f ca="1">IF(EL355&gt;=0,0,MAX($EM$2:EM354)+1)</f>
        <v>0</v>
      </c>
      <c r="EN355" s="48" t="str">
        <f t="shared" ca="1" si="658"/>
        <v/>
      </c>
      <c r="EO355" s="48" t="str">
        <f ca="1">IFERROR(INDEX($EM$3:$EN$400,MATCH(ROWS($EO$3:EO355),$EM$3:$EM$400,0),2),"")</f>
        <v/>
      </c>
      <c r="EP355" s="48">
        <f>ROW()</f>
        <v>355</v>
      </c>
      <c r="EQ355" s="48">
        <f t="shared" ca="1" si="649"/>
        <v>0</v>
      </c>
      <c r="ER355" s="48">
        <f ca="1">IF(ISNA(EQ355)=TRUE,MAX($ER$2:ER354)+1,0)</f>
        <v>0</v>
      </c>
      <c r="ES355" s="48" t="str">
        <f t="shared" ca="1" si="659"/>
        <v/>
      </c>
      <c r="ET355" s="48" t="str">
        <f ca="1">IFERROR(INDEX($ER$3:$ES$400,MATCH(ROWS($ET$3:ET355),$ER$3:$ER$400,0),2),"")</f>
        <v/>
      </c>
      <c r="EV355" s="48">
        <f ca="1">IFERROR(INDEX(LIBRO_GIORNALE!$O$11:$P$408,MATCH(ROWS($EV$2:EV354),LIBRO_GIORNALE!$P$11:$P$408,0),1),0)</f>
        <v>0</v>
      </c>
      <c r="EW355" s="48" t="str">
        <f t="shared" ca="1" si="629"/>
        <v>0</v>
      </c>
      <c r="EX355" s="48">
        <f t="shared" ca="1" si="660"/>
        <v>0</v>
      </c>
      <c r="EY355" s="48">
        <f ca="1">IF(EX355&gt;0,MAX($EY$2:EY354)+1,0)</f>
        <v>0</v>
      </c>
      <c r="EZ355" s="48">
        <f ca="1">IFERROR(INDEX($EX$3:$EX$400,MATCH(ROWS($EZ$3:EZ355),$EY$3:$EY$400,0),1),0)</f>
        <v>0</v>
      </c>
      <c r="FA355" s="48">
        <f ca="1">IF(EZ355&gt;0,0,MAX($FA$2:FA354)+1)</f>
        <v>353</v>
      </c>
      <c r="FB355" s="48">
        <f t="shared" ca="1" si="630"/>
        <v>0</v>
      </c>
      <c r="FC355" s="48">
        <f t="shared" ca="1" si="631"/>
        <v>353</v>
      </c>
      <c r="FD355" s="48">
        <f t="shared" ca="1" si="661"/>
        <v>353</v>
      </c>
      <c r="FE355" s="48">
        <f ca="1">IF(FD355=0,0,MAX($FE$2:FE354)+1)</f>
        <v>353</v>
      </c>
      <c r="FF355" s="48">
        <f ca="1">IFERROR(INDEX($FD$3:$FE$400,MATCH(ROWS($FF$3:FF355),$FE$3:$FE$400,0),1),"")</f>
        <v>353</v>
      </c>
      <c r="FG355" s="48">
        <f t="shared" si="610"/>
        <v>0</v>
      </c>
      <c r="FH355" s="48">
        <f t="shared" ca="1" si="662"/>
        <v>0</v>
      </c>
      <c r="FI355" s="48">
        <f ca="1">IF(FH355&lt;&gt;0,MAX($FI$2:FI354)+1,0)</f>
        <v>0</v>
      </c>
      <c r="FJ355" s="48" t="str">
        <f ca="1">IFERROR(INDEX($FH$3:$FI$400,MATCH(ROWS($FJ$3:FJ355),$FI$3:$FI$400,0),1),"")</f>
        <v/>
      </c>
      <c r="FK355" s="48">
        <f ca="1">IF(ABS(SUMIFS(DARE,DEN_G,"="&amp;FJ355,DATA,"&lt;="&amp;FINE_AC,DATA,"&gt;="&amp;INIZIO_A_PC)-SUMIFS(AVERE,DEN_G,"="&amp;FJ355,DATA,"&lt;="&amp;FINE_AC,DATA,"&gt;="&amp;INIZIO_A_PC))&gt;0,MAX($FK$2:FK354)+1,0)</f>
        <v>0</v>
      </c>
      <c r="FL355" s="48" t="str">
        <f ca="1">IF(AND(ROW()-2&lt;&gt;1,ROW()-2&lt;=$FK$1),CONCATENATE(" - ",IFERROR(INDEX($FJ$3:$FK$400,MATCH(ROWS($FL$3:FL355),$FK$3:$FK$400,0),1),"")),IFERROR(INDEX($FJ$3:$FK$400,MATCH(ROWS($FL$3:FL355),$FK$3:$FK$400,0),1),""))</f>
        <v/>
      </c>
      <c r="FM355" s="48">
        <f ca="1">IF(OR(B355="IVA ns/credito",B355="IVA NS/DEBITO",B355="IVA C/ACCONTO",B355="IMPOSTE C/ACCONTO",B355="CREDITI PER RITENUTE SUBITE",B355="CREDITI D'IMPOSTA"),MAX($FM$2:FM354)+1,0)</f>
        <v>0</v>
      </c>
      <c r="FN355" s="48" t="str">
        <f t="shared" ca="1" si="663"/>
        <v/>
      </c>
      <c r="FO355" s="48" t="str">
        <f ca="1">IFERROR(INDEX($FM$3:$FN$400,MATCH(ROWS($FO$3:FO355),$FM$3:$FM$400,0),2),"")</f>
        <v/>
      </c>
      <c r="FP355" s="48">
        <f ca="1">IF(ABS(SUMIFS(DARE,DEN_G,"="&amp;FO355,DATA,"&lt;="&amp;FINE_AC,DATA,"&gt;="&amp;INIZIO_A_PC)-SUMIFS(AVERE,DEN_G,"="&amp;FO355,DATA,"&lt;="&amp;FINE_AC,DATA,"&gt;="&amp;INIZIO_A_PC))&gt;0,MAX($FP$2:FP354)+1,0)</f>
        <v>0</v>
      </c>
      <c r="FQ355" s="48" t="str">
        <f ca="1">IF(AND(ROW()-2&lt;&gt;1,ROW()-2&lt;=$FP$1),CONCATENATE(" - ",IFERROR(INDEX($FO$3:$FP$400,MATCH(ROWS($FQ$3:FQ355),$FP$3:$FP$400,0),1),"")),IFERROR(INDEX($FO$3:$FP$400,MATCH(ROWS($FQ$3:FQ355),$FP$3:$FP$400,0),1),""))</f>
        <v/>
      </c>
    </row>
    <row r="356" spans="1:173" x14ac:dyDescent="0.3">
      <c r="A356" s="48" t="str">
        <f ca="1">IFERROR(IF($A$1=2,INDEX($DH$3:$DN$401,MATCH(ROWS(A$3:A356),$DN$3:$DN$401,0),COLUMN()),IF($A$1=1,INDEX($DQ$3:$DW$401,MATCH(ROWS(A$3:A356),$DW$3:$DW$401,0),COLUMN()),"")),"")</f>
        <v/>
      </c>
      <c r="B356" s="48" t="str">
        <f ca="1">IFERROR(IF($A$1=2,INDEX($DH$3:$DN$400,MATCH(ROWS(B$3:B356),$DN$3:$DN$400,0),COLUMN()),IF($A$1=1,INDEX($DQ$3:$DW$400,MATCH(ROWS(B$3:B356),$DW$3:$DW$400,0),COLUMN()),"")),"")</f>
        <v/>
      </c>
      <c r="D356" s="48" t="str">
        <f ca="1">IFERROR(IF($A$1=2,INDEX($DH$3:$DN$401,MATCH(ROWS(D$3:D356),$DN$3:$DN$401,0),COLUMN()),IF($A$1=1,INDEX($DQ$3:$DW$401,MATCH(ROWS(D$3:D356),$DW$3:$DW$401,0),COLUMN()),"")),"")</f>
        <v/>
      </c>
      <c r="E356" s="48" t="str">
        <f ca="1">IFERROR(IF($A$1=2,INDEX($DH$3:$DN$401,MATCH(ROWS(E$3:E356),$DN$3:$DN$401,0),COLUMN()),IF($A$1=1,INDEX($DQ$3:$DW$401,MATCH(ROWS(E$3:E356),$DW$3:$DW$401,0),COLUMN()),"")),"")</f>
        <v/>
      </c>
      <c r="F356" s="48" t="str">
        <f ca="1">IFERROR(IF($A$1=2,INDEX($DH$3:$DN$401,MATCH(ROWS(F$3:F356),$DN$3:$DN$401,0),COLUMN()),IF($A$1=1,INDEX($DQ$3:$DX$401,MATCH(ROWS(F$3:F356),$DW$3:$DW$401,0),COLUMN()),"")),"")</f>
        <v/>
      </c>
      <c r="G356" s="48" t="str">
        <f t="shared" ca="1" si="650"/>
        <v/>
      </c>
      <c r="H356" s="48" t="str">
        <f ca="1">IFERROR(IF($A$1=2,INDEX($DH$3:$DO$400,MATCH(ROWS(H$3:H356),$DN$3:$DN$400,0),COLUMN()),IF($A$1=1,INDEX($DQ$3:$DX$400,MATCH(ROWS(H$3:H356),$DW$3:$DW$400,0),COLUMN()),"")),"")</f>
        <v/>
      </c>
      <c r="M356" s="48">
        <f ca="1">IFERROR(IF(IF(MID($A356,3,3)=".00",MID(A356,1,2),"")&lt;&gt;"",MAX($M$2:M355)+1,0),"")</f>
        <v>0</v>
      </c>
      <c r="N356" s="48" t="str">
        <f t="shared" ca="1" si="651"/>
        <v/>
      </c>
      <c r="O356" s="48" t="str">
        <f ca="1">IF(IFERROR(INDEX($N$3:$O$300,MATCH(ROWS($O$3:O356),$M$3:$M$300,0),1),"")&lt;&gt;"",CONCATENATE(INDEX($N$3:$O$300,MATCH(ROWS($O$3:O356),$M$3:$M$300,0),1),".00"),"")</f>
        <v/>
      </c>
      <c r="P356" s="48" t="str">
        <f t="shared" ca="1" si="652"/>
        <v/>
      </c>
      <c r="Q356" s="48">
        <f ca="1">IF(M356&gt;=1,0,MAX($Q$2:Q355)+1)</f>
        <v>317</v>
      </c>
      <c r="U356" s="48" t="str">
        <f ca="1">IFERROR(INDEX(PDC,MATCH(ROWS(U$3:U356),$V$3:$V$400,0),2),"")</f>
        <v/>
      </c>
      <c r="V356" s="48">
        <f ca="1">IF(AND($T$1="VISUALIZZA TUTTI I CONTI",AA356&lt;&gt;""),MAX($V$2:V355)+1,IF(AND($U$2=2,AI356=$T$1),MAX($V$2:V355)+1,IF(AND($U$2=1,$T$1=AF356),MAX($V$2:V355)+1,0)))</f>
        <v>0</v>
      </c>
      <c r="AA356" s="48" t="str">
        <f t="shared" ca="1" si="653"/>
        <v/>
      </c>
      <c r="AB356" s="48" t="str">
        <f ca="1">IFERROR(INDEX($A$3:$G$400,MATCH(ROWS(AB$3:AB356),$Q$3:$Q$400,0),1),"")</f>
        <v/>
      </c>
      <c r="AC356" s="48" t="str">
        <f ca="1">IFERROR(INDEX($A$3:$G$400,MATCH(ROWS($AC$3:AC356),$Q$3:$Q$400,0),2),"")</f>
        <v/>
      </c>
      <c r="AD356" s="48">
        <f ca="1">IFERROR(INDEX($A$3:$G$400,MATCH(ROWS(AD$3:AD356),$Q$3:$Q$400,0),3),"")</f>
        <v>0</v>
      </c>
      <c r="AE356" s="48" t="str">
        <f ca="1">IFERROR(INDEX($A$3:$G$400,MATCH(ROWS(AE$3:AE356),$Q$3:$Q$400,0),4),"")</f>
        <v/>
      </c>
      <c r="AF356" s="48" t="str">
        <f ca="1">IFERROR(INDEX($A$3:$G$400,MATCH(ROWS(AF$3:AF356),$Q$3:$Q$400,0),5),"")</f>
        <v/>
      </c>
      <c r="AG356" s="48" t="str">
        <f ca="1">IFERROR(INDEX($A$3:$G$400,MATCH(ROWS(AG$3:AG356),$Q$3:$Q$400,0),6),"")</f>
        <v/>
      </c>
      <c r="AH356" s="48" t="str">
        <f ca="1">IFERROR(INDEX($A$3:$G$400,MATCH(ROWS(AH$3:AH356),$Q$3:$Q$400,0),7),"")</f>
        <v/>
      </c>
      <c r="AI356" s="48" t="str">
        <f t="shared" ca="1" si="654"/>
        <v/>
      </c>
      <c r="AJ356" s="48" t="str">
        <f ca="1">IFERROR(INDEX($A$3:$H$400,MATCH(ROWS(AJ$3:AJ356),$Q$3:$Q$400,0),8),"")</f>
        <v/>
      </c>
      <c r="AZ356" s="48" t="str">
        <f t="shared" ca="1" si="669"/>
        <v/>
      </c>
      <c r="BA356" s="48">
        <f t="shared" ca="1" si="611"/>
        <v>0</v>
      </c>
      <c r="BB356" s="48">
        <f t="shared" ca="1" si="612"/>
        <v>0</v>
      </c>
      <c r="BC356" s="48">
        <f t="shared" ca="1" si="613"/>
        <v>0</v>
      </c>
      <c r="BD356" s="48">
        <f t="shared" ca="1" si="614"/>
        <v>0</v>
      </c>
      <c r="BE356" s="48">
        <f t="shared" ca="1" si="615"/>
        <v>0</v>
      </c>
      <c r="BF356" s="48">
        <f t="shared" si="670"/>
        <v>156</v>
      </c>
      <c r="BG356" s="48">
        <f ca="1">IF(IF(AND(OR(INDEX(PDC,MATCH($AC356,DEN_PDC,0),6)="SP DARE",INDEX(PDC,MATCH($AC356,DEN_PDC,0),6)="SP DARE/AVERE"),SUMIFS(DARE,DEN_G,$AC356)&gt;=SUMIFS(AVERE,DEN_G,$AC356)),SUMIFS(DARE,DEN_G,$AC356)-SUMIFS(AVERE,DEN_G,$AC356),0)&gt;0,MAX($BG$2:BG355)+1,0)</f>
        <v>0</v>
      </c>
      <c r="BH356" s="48">
        <f ca="1">IF(IF(AND(OR(INDEX(PDC,MATCH($AC356,DEN_PDC,0),6)="SP AVERE",INDEX(PDC,MATCH($AC356,DEN_PDC,0),6)="SP DARE/AVERE"),SUMIFS(AVERE,DEN_G,$AC356)&gt;=SUMIFS(DARE,DEN_G,$AC356)),SUMIFS(AVERE,DEN_G,$AC356)-SUMIFS(DARE,DEN_G,$AC356),0)&gt;0,MAX(BH$2:BH355)+1,0)</f>
        <v>0</v>
      </c>
      <c r="BI356" s="48">
        <f ca="1">IF(IF(AND(OR(INDEX(PDC,MATCH($AC356,DEN_PDC,0),6)="SE DARE",INDEX(PDC,MATCH($AC356,DEN_PDC,0),6)="SE DARE/AVERE"),SUMIFS(DARE,DEN_G,$AC356)&gt;=SUMIFS(AVERE,DEN_G,$AC356)),SUMIFS(DARE,DEN_G,$AC356)-SUMIFS(AVERE,DEN_G,$AC356),0)&gt;0,MAX(BI$2:BI355)+1,0)</f>
        <v>0</v>
      </c>
      <c r="BJ356" s="48">
        <f ca="1">IF(IF(AND(OR(INDEX(PDC,MATCH($AC356,DEN_PDC,0),6)="SE AVERE",INDEX(PDC,MATCH($AC356,DEN_PDC,0),6)="SE DARE/AVERE"),SUMIFS(AVERE,DEN_G,$AC356)&gt;=SUMIFS(DARE,DEN_G,$AC356)),SUMIFS(AVERE,DEN_G,$AC356)-SUMIFS(DARE,DEN_G,$AC356),0)&gt;0,MAX(BJ$2:BJ355)+1,0)</f>
        <v>0</v>
      </c>
      <c r="BK356" s="48" t="str">
        <f ca="1">IF(AND(AND($DY$2=0,$DY$1=0),$I$1=2,ROW()&gt;$BG$1+2,ROW()&lt;=$BG$1+4),"………………..",IF(AND(OR($DY$2&gt;0,$DY$1&gt;0),$I$1=2,ROW()&gt;$BG$1+2,ROW()&lt;=$BG$1+4),"………………..",IFERROR(INDEX($AC$3:$AC$398,MATCH(ROWS(BK$3:BK356),BG$3:BG$398,0),1),"")))</f>
        <v/>
      </c>
      <c r="BL356" s="48">
        <f t="shared" ca="1" si="637"/>
        <v>0</v>
      </c>
      <c r="BM356" s="48" t="str">
        <f ca="1">IF(AND(OR($DY$2=0,$DY$1=0),$I$1=2,ROW()&gt;$BH$1+2,ROW()&lt;=$BH$1+4),"………………..",IF(AND(OR($DY$2&gt;0,$DY$1&gt;0),$I$1=2,ROW()&gt;$BH$1+2,ROW()&lt;=$BH$1+4),"………………..",IFERROR(INDEX($AC$3:$AC$400,MATCH(ROWS(BM$3:BM356),BH$3:BH$400,0),1),"")))</f>
        <v/>
      </c>
      <c r="BN356" s="48">
        <f t="shared" ca="1" si="638"/>
        <v>0</v>
      </c>
      <c r="BO356" s="48" t="str">
        <f ca="1">IF(AND(OR($DY$2=0,$DY$1=0),$I$1=2,ROW()&gt;$BI$1+2,ROW()&lt;=$BI$1+4),"………………..",IF(AND(OR($DY$2&gt;0,$DY$1&gt;0),$I$1=2,ROW()&gt;$BI$1+2,ROW()&lt;=$BI$1+4),"………………..",IFERROR(INDEX($AC$3:$AC$400,MATCH(ROWS(BO$3:BO356),BI$3:BI$400,0),1),"")))</f>
        <v/>
      </c>
      <c r="BP356" s="48">
        <f t="shared" ca="1" si="639"/>
        <v>0</v>
      </c>
      <c r="BQ356" s="48" t="str">
        <f ca="1">IF(AND(OR($DY$2=0,$DY$1=0),$I$1=2,ROW()&gt;$BJ$1+2,ROW()&lt;=$BJ$1+4),"………………..",IF(AND(OR($DY$2&gt;0,$DY$1&gt;0),$I$1=2,ROW()&gt;$BJ$1+2,ROW()&lt;=$BJ$1+4),"………………..",IFERROR(INDEX($AC$3:$AC$400,MATCH(ROWS(BQ$3:BQ356),BJ$3:BJ$400,0),1),"")))</f>
        <v/>
      </c>
      <c r="BR356" s="48">
        <f t="shared" ca="1" si="640"/>
        <v>0</v>
      </c>
      <c r="BS356" s="48">
        <f ca="1">IF(IF(AND(OR(INDEX(PDC,MATCH($AC356,DEN_PDC,0),4)="D",INDEX(PDC,MATCH($AC356,DEN_PDC,0),4)="D/A"),SUMIFS(DARE,DEN_G,$AC356)&gt;=SUMIFS(AVERE,DEN_G,$AC356)),SUMIFS(DARE,DEN_G,$AC356),IF(AND(OR(INDEX(PDC,MATCH($AC356,DEN_PDC,0),4)="A",INDEX(PDC,MATCH($AC356,DEN_PDC,0),4)="D/A"),SUMIFS(AVERE,DEN_G,$AC356)&gt;=SUMIFS(DARE,DEN_G,$AC356)),SUMIFS(AVERE,DEN_G,$AC356),))&gt;0,MAX($BS$2:BS355)+1,0)</f>
        <v>0</v>
      </c>
      <c r="BT356" s="48" t="str">
        <f ca="1">IF($CO$1=0,"",IF(AND($I$1=2,ROW()&gt;$BR$1,ROW()&lt;=$BS$1)," …………….",IF(AND($E$1=1,$BX$1=1,$I$1=2,ROW()=$BQ$1),"TOTALI",IFERROR(INDEX(PDC,MATCH(ROWS(BT$3:BT356),BS$3:BS753,0),2),""))))</f>
        <v/>
      </c>
      <c r="BU356" s="48">
        <f t="shared" ca="1" si="641"/>
        <v>0</v>
      </c>
      <c r="BV356" s="48">
        <f t="shared" ca="1" si="642"/>
        <v>0</v>
      </c>
      <c r="BW356" s="48">
        <f t="shared" ca="1" si="643"/>
        <v>0</v>
      </c>
      <c r="BX356" s="48">
        <f t="shared" ca="1" si="644"/>
        <v>0</v>
      </c>
      <c r="BY356" s="48">
        <f ca="1">IF(OR(BW356&gt;0,BX356&gt;0),MAX($BY$2:BY355)+1,0)</f>
        <v>0</v>
      </c>
      <c r="BZ356" s="48" t="str">
        <f ca="1">IFERROR(INDEX($BT$3:$BY$400,MATCH(ROWS(BZ$3:BZ356),$BY$3:$BY$400,0),1),"")</f>
        <v/>
      </c>
      <c r="CA356" s="48" t="str">
        <f ca="1">IFERROR(INDEX($BT$3:$BY$400,MATCH(ROWS(CA$3:CA356),$BY$3:$BY$400,0),4),"")</f>
        <v/>
      </c>
      <c r="CB356" s="48" t="str">
        <f ca="1">IFERROR(INDEX($BT$3:$BY$400,MATCH(ROWS(CB$3:CB356),$BY$3:$BY$400,0),5),"")</f>
        <v/>
      </c>
      <c r="CC356" s="48" t="str">
        <f t="shared" ca="1" si="645"/>
        <v/>
      </c>
      <c r="CM356" s="242" t="str">
        <f t="shared" ca="1" si="655"/>
        <v/>
      </c>
      <c r="CN356" s="243">
        <f t="shared" ca="1" si="656"/>
        <v>0</v>
      </c>
      <c r="CO356" s="48" t="str">
        <f t="shared" ca="1" si="657"/>
        <v/>
      </c>
      <c r="CU356" s="48">
        <f ca="1">IF(SUMIFS(AVERE,DEN_G,AC356,AVERE,"&gt;"&amp;0)+SUMIFS(DARE,DEN_G,AC356,DARE,"&gt;"&amp;0)&gt;0,MAX($CU$2:CU355)+1,0)</f>
        <v>0</v>
      </c>
      <c r="CV356" s="48" t="str">
        <f ca="1">IF(IFERROR(INDEX(PDC,MATCH(ROWS($CV$3:CV356),$CU$3:$CU$400,0),2),"")="CONTO DI RISULTATO ECONOMICO","",IFERROR(INDEX(PDC,MATCH(ROWS($CV$3:CV356),$CU$3:$CU$400,0),2),""))</f>
        <v/>
      </c>
      <c r="CW356" s="48">
        <f ca="1">IFERROR(IF(CV356&lt;&gt;"",MAX($CW$2:CW355)+1,0),0)</f>
        <v>0</v>
      </c>
      <c r="CX356" s="48">
        <f t="shared" ca="1" si="689"/>
        <v>28</v>
      </c>
      <c r="CY356" s="48" t="str">
        <f t="shared" ca="1" si="688"/>
        <v>MASTRO</v>
      </c>
      <c r="CZ356" s="48" t="e">
        <f t="shared" ref="CZ356:CZ365" ca="1" si="691">SUM(MATCH($CY356,INDIRECT(ADDRESS(SUM(CZ355)+3,54)&amp;":"&amp;ADDRESS(400,54)),0),CZ355)</f>
        <v>#N/A</v>
      </c>
      <c r="DA356" s="48" t="str">
        <f ca="1">IFERROR(INDEX(LIBRO_GIORNALE,CZ356,1),"")</f>
        <v/>
      </c>
      <c r="DB356" s="48" t="str">
        <f t="shared" ca="1" si="682"/>
        <v/>
      </c>
      <c r="DC356" s="48" t="str">
        <f t="shared" ref="DC356:DC365" ca="1" si="692">IF(IFERROR(INDEX(LIBRO_GIORNALE,CZ356,4),"")=0,"manca la descrizione dell'operazione",IFERROR(INDEX(LIBRO_GIORNALE,CZ356,4),""))</f>
        <v/>
      </c>
      <c r="DD356" s="48" t="str">
        <f t="shared" ref="DD356:DD365" ca="1" si="693">IFERROR(IF(INDEX(LIBRO_GIORNALE,CZ356,5)&gt;0,INDEX(LIBRO_GIORNALE,CZ356,5),""),"")</f>
        <v/>
      </c>
      <c r="DE356" s="48" t="str">
        <f t="shared" ref="DE356:DE365" ca="1" si="694">IFERROR(IF(INDEX(LIBRO_GIORNALE,CZ356,6)&gt;0,INDEX(LIBRO_GIORNALE,CZ356,6),""),"")</f>
        <v/>
      </c>
      <c r="DF356" s="48">
        <f ca="1">IF(AND(CX356=$DF$1,CX356&lt;&gt;""),0,IF(AND(DB356&lt;&gt;"",OR(DB355&lt;&gt;"",DB357&lt;&gt;"")),MAX($DF$2:DF355)+1,0))</f>
        <v>0</v>
      </c>
      <c r="DH356" s="244" t="s">
        <v>255</v>
      </c>
      <c r="DI356" s="48" t="s">
        <v>295</v>
      </c>
      <c r="DJ356" s="48" t="s">
        <v>311</v>
      </c>
      <c r="DK356" s="48" t="s">
        <v>275</v>
      </c>
      <c r="DL356" s="48" t="s">
        <v>7</v>
      </c>
      <c r="DM356" s="48" t="s">
        <v>301</v>
      </c>
      <c r="DN356" s="48">
        <f ca="1">IF(DI356&lt;&gt;"",MAX($DN$2:DN355)+1,0)</f>
        <v>286</v>
      </c>
      <c r="DO356" s="48" t="s">
        <v>722</v>
      </c>
      <c r="DW356" s="48">
        <f>IF(DR356&lt;&gt;"",MAX($DW$2:DW355)+1,0)</f>
        <v>0</v>
      </c>
      <c r="DY356" s="48" t="str">
        <f t="shared" ca="1" si="647"/>
        <v/>
      </c>
      <c r="EL356" s="48">
        <f t="shared" ca="1" si="648"/>
        <v>0</v>
      </c>
      <c r="EM356" s="48">
        <f ca="1">IF(EL356&gt;=0,0,MAX($EM$2:EM355)+1)</f>
        <v>0</v>
      </c>
      <c r="EN356" s="48" t="str">
        <f t="shared" ca="1" si="658"/>
        <v/>
      </c>
      <c r="EO356" s="48" t="str">
        <f ca="1">IFERROR(INDEX($EM$3:$EN$400,MATCH(ROWS($EO$3:EO356),$EM$3:$EM$400,0),2),"")</f>
        <v/>
      </c>
      <c r="EP356" s="48">
        <f>ROW()</f>
        <v>356</v>
      </c>
      <c r="EQ356" s="48">
        <f t="shared" ca="1" si="649"/>
        <v>0</v>
      </c>
      <c r="ER356" s="48">
        <f ca="1">IF(ISNA(EQ356)=TRUE,MAX($ER$2:ER355)+1,0)</f>
        <v>0</v>
      </c>
      <c r="ES356" s="48" t="str">
        <f t="shared" ca="1" si="659"/>
        <v/>
      </c>
      <c r="ET356" s="48" t="str">
        <f ca="1">IFERROR(INDEX($ER$3:$ES$400,MATCH(ROWS($ET$3:ET356),$ER$3:$ER$400,0),2),"")</f>
        <v/>
      </c>
      <c r="EV356" s="48">
        <f ca="1">IFERROR(INDEX(LIBRO_GIORNALE!$O$11:$P$408,MATCH(ROWS($EV$2:EV355),LIBRO_GIORNALE!$P$11:$P$408,0),1),0)</f>
        <v>0</v>
      </c>
      <c r="EW356" s="48" t="str">
        <f t="shared" ca="1" si="629"/>
        <v>0</v>
      </c>
      <c r="EX356" s="48">
        <f t="shared" ca="1" si="660"/>
        <v>0</v>
      </c>
      <c r="EY356" s="48">
        <f ca="1">IF(EX356&gt;0,MAX($EY$2:EY355)+1,0)</f>
        <v>0</v>
      </c>
      <c r="EZ356" s="48">
        <f ca="1">IFERROR(INDEX($EX$3:$EX$400,MATCH(ROWS($EZ$3:EZ356),$EY$3:$EY$400,0),1),0)</f>
        <v>0</v>
      </c>
      <c r="FA356" s="48">
        <f ca="1">IF(EZ356&gt;0,0,MAX($FA$2:FA355)+1)</f>
        <v>354</v>
      </c>
      <c r="FB356" s="48">
        <f t="shared" ca="1" si="630"/>
        <v>0</v>
      </c>
      <c r="FC356" s="48">
        <f t="shared" ca="1" si="631"/>
        <v>354</v>
      </c>
      <c r="FD356" s="48">
        <f t="shared" ca="1" si="661"/>
        <v>354</v>
      </c>
      <c r="FE356" s="48">
        <f ca="1">IF(FD356=0,0,MAX($FE$2:FE355)+1)</f>
        <v>354</v>
      </c>
      <c r="FF356" s="48">
        <f ca="1">IFERROR(INDEX($FD$3:$FE$400,MATCH(ROWS($FF$3:FF356),$FE$3:$FE$400,0),1),"")</f>
        <v>354</v>
      </c>
      <c r="FG356" s="48">
        <f t="shared" si="610"/>
        <v>0</v>
      </c>
      <c r="FH356" s="48">
        <f t="shared" ca="1" si="662"/>
        <v>0</v>
      </c>
      <c r="FI356" s="48">
        <f ca="1">IF(FH356&lt;&gt;0,MAX($FI$2:FI355)+1,0)</f>
        <v>0</v>
      </c>
      <c r="FJ356" s="48" t="str">
        <f ca="1">IFERROR(INDEX($FH$3:$FI$400,MATCH(ROWS($FJ$3:FJ356),$FI$3:$FI$400,0),1),"")</f>
        <v/>
      </c>
      <c r="FK356" s="48">
        <f ca="1">IF(ABS(SUMIFS(DARE,DEN_G,"="&amp;FJ356,DATA,"&lt;="&amp;FINE_AC,DATA,"&gt;="&amp;INIZIO_A_PC)-SUMIFS(AVERE,DEN_G,"="&amp;FJ356,DATA,"&lt;="&amp;FINE_AC,DATA,"&gt;="&amp;INIZIO_A_PC))&gt;0,MAX($FK$2:FK355)+1,0)</f>
        <v>0</v>
      </c>
      <c r="FL356" s="48" t="str">
        <f ca="1">IF(AND(ROW()-2&lt;&gt;1,ROW()-2&lt;=$FK$1),CONCATENATE(" - ",IFERROR(INDEX($FJ$3:$FK$400,MATCH(ROWS($FL$3:FL356),$FK$3:$FK$400,0),1),"")),IFERROR(INDEX($FJ$3:$FK$400,MATCH(ROWS($FL$3:FL356),$FK$3:$FK$400,0),1),""))</f>
        <v/>
      </c>
      <c r="FM356" s="48">
        <f ca="1">IF(OR(B356="IVA ns/credito",B356="IVA NS/DEBITO",B356="IVA C/ACCONTO",B356="IMPOSTE C/ACCONTO",B356="CREDITI PER RITENUTE SUBITE",B356="CREDITI D'IMPOSTA"),MAX($FM$2:FM355)+1,0)</f>
        <v>0</v>
      </c>
      <c r="FN356" s="48" t="str">
        <f t="shared" ca="1" si="663"/>
        <v/>
      </c>
      <c r="FO356" s="48" t="str">
        <f ca="1">IFERROR(INDEX($FM$3:$FN$400,MATCH(ROWS($FO$3:FO356),$FM$3:$FM$400,0),2),"")</f>
        <v/>
      </c>
      <c r="FP356" s="48">
        <f ca="1">IF(ABS(SUMIFS(DARE,DEN_G,"="&amp;FO356,DATA,"&lt;="&amp;FINE_AC,DATA,"&gt;="&amp;INIZIO_A_PC)-SUMIFS(AVERE,DEN_G,"="&amp;FO356,DATA,"&lt;="&amp;FINE_AC,DATA,"&gt;="&amp;INIZIO_A_PC))&gt;0,MAX($FP$2:FP355)+1,0)</f>
        <v>0</v>
      </c>
      <c r="FQ356" s="48" t="str">
        <f ca="1">IF(AND(ROW()-2&lt;&gt;1,ROW()-2&lt;=$FP$1),CONCATENATE(" - ",IFERROR(INDEX($FO$3:$FP$400,MATCH(ROWS($FQ$3:FQ356),$FP$3:$FP$400,0),1),"")),IFERROR(INDEX($FO$3:$FP$400,MATCH(ROWS($FQ$3:FQ356),$FP$3:$FP$400,0),1),""))</f>
        <v/>
      </c>
    </row>
    <row r="357" spans="1:173" x14ac:dyDescent="0.3">
      <c r="A357" s="48" t="str">
        <f ca="1">IFERROR(IF($A$1=2,INDEX($DH$3:$DN$401,MATCH(ROWS(A$3:A357),$DN$3:$DN$401,0),COLUMN()),IF($A$1=1,INDEX($DQ$3:$DW$401,MATCH(ROWS(A$3:A357),$DW$3:$DW$401,0),COLUMN()),"")),"")</f>
        <v/>
      </c>
      <c r="B357" s="48" t="str">
        <f ca="1">IFERROR(IF($A$1=2,INDEX($DH$3:$DN$400,MATCH(ROWS(B$3:B357),$DN$3:$DN$400,0),COLUMN()),IF($A$1=1,INDEX($DQ$3:$DW$400,MATCH(ROWS(B$3:B357),$DW$3:$DW$400,0),COLUMN()),"")),"")</f>
        <v/>
      </c>
      <c r="D357" s="48" t="str">
        <f ca="1">IFERROR(IF($A$1=2,INDEX($DH$3:$DN$401,MATCH(ROWS(D$3:D357),$DN$3:$DN$401,0),COLUMN()),IF($A$1=1,INDEX($DQ$3:$DW$401,MATCH(ROWS(D$3:D357),$DW$3:$DW$401,0),COLUMN()),"")),"")</f>
        <v/>
      </c>
      <c r="E357" s="48" t="str">
        <f ca="1">IFERROR(IF($A$1=2,INDEX($DH$3:$DN$401,MATCH(ROWS(E$3:E357),$DN$3:$DN$401,0),COLUMN()),IF($A$1=1,INDEX($DQ$3:$DW$401,MATCH(ROWS(E$3:E357),$DW$3:$DW$401,0),COLUMN()),"")),"")</f>
        <v/>
      </c>
      <c r="F357" s="48" t="str">
        <f ca="1">IFERROR(IF($A$1=2,INDEX($DH$3:$DN$401,MATCH(ROWS(F$3:F357),$DN$3:$DN$401,0),COLUMN()),IF($A$1=1,INDEX($DQ$3:$DX$401,MATCH(ROWS(F$3:F357),$DW$3:$DW$401,0),COLUMN()),"")),"")</f>
        <v/>
      </c>
      <c r="G357" s="48" t="str">
        <f t="shared" ca="1" si="650"/>
        <v/>
      </c>
      <c r="H357" s="48" t="str">
        <f ca="1">IFERROR(IF($A$1=2,INDEX($DH$3:$DO$400,MATCH(ROWS(H$3:H357),$DN$3:$DN$400,0),COLUMN()),IF($A$1=1,INDEX($DQ$3:$DX$400,MATCH(ROWS(H$3:H357),$DW$3:$DW$400,0),COLUMN()),"")),"")</f>
        <v/>
      </c>
      <c r="M357" s="48">
        <f ca="1">IFERROR(IF(IF(MID($A357,3,3)=".00",MID(A357,1,2),"")&lt;&gt;"",MAX($M$2:M356)+1,0),"")</f>
        <v>0</v>
      </c>
      <c r="N357" s="48" t="str">
        <f t="shared" ca="1" si="651"/>
        <v/>
      </c>
      <c r="O357" s="48" t="str">
        <f ca="1">IF(IFERROR(INDEX($N$3:$O$300,MATCH(ROWS($O$3:O357),$M$3:$M$300,0),1),"")&lt;&gt;"",CONCATENATE(INDEX($N$3:$O$300,MATCH(ROWS($O$3:O357),$M$3:$M$300,0),1),".00"),"")</f>
        <v/>
      </c>
      <c r="P357" s="48" t="str">
        <f t="shared" ca="1" si="652"/>
        <v/>
      </c>
      <c r="Q357" s="48">
        <f ca="1">IF(M357&gt;=1,0,MAX($Q$2:Q356)+1)</f>
        <v>318</v>
      </c>
      <c r="U357" s="48" t="str">
        <f ca="1">IFERROR(INDEX(PDC,MATCH(ROWS(U$3:U357),$V$3:$V$400,0),2),"")</f>
        <v/>
      </c>
      <c r="V357" s="48">
        <f ca="1">IF(AND($T$1="VISUALIZZA TUTTI I CONTI",AA357&lt;&gt;""),MAX($V$2:V356)+1,IF(AND($U$2=2,AI357=$T$1),MAX($V$2:V356)+1,IF(AND($U$2=1,$T$1=AF357),MAX($V$2:V356)+1,0)))</f>
        <v>0</v>
      </c>
      <c r="AA357" s="48" t="str">
        <f t="shared" ca="1" si="653"/>
        <v/>
      </c>
      <c r="AB357" s="48" t="str">
        <f ca="1">IFERROR(INDEX($A$3:$G$400,MATCH(ROWS(AB$3:AB357),$Q$3:$Q$400,0),1),"")</f>
        <v/>
      </c>
      <c r="AC357" s="48" t="str">
        <f ca="1">IFERROR(INDEX($A$3:$G$400,MATCH(ROWS($AC$3:AC357),$Q$3:$Q$400,0),2),"")</f>
        <v/>
      </c>
      <c r="AD357" s="48">
        <f ca="1">IFERROR(INDEX($A$3:$G$400,MATCH(ROWS(AD$3:AD357),$Q$3:$Q$400,0),3),"")</f>
        <v>0</v>
      </c>
      <c r="AE357" s="48" t="str">
        <f ca="1">IFERROR(INDEX($A$3:$G$400,MATCH(ROWS(AE$3:AE357),$Q$3:$Q$400,0),4),"")</f>
        <v/>
      </c>
      <c r="AF357" s="48" t="str">
        <f ca="1">IFERROR(INDEX($A$3:$G$400,MATCH(ROWS(AF$3:AF357),$Q$3:$Q$400,0),5),"")</f>
        <v/>
      </c>
      <c r="AG357" s="48" t="str">
        <f ca="1">IFERROR(INDEX($A$3:$G$400,MATCH(ROWS(AG$3:AG357),$Q$3:$Q$400,0),6),"")</f>
        <v/>
      </c>
      <c r="AH357" s="48" t="str">
        <f ca="1">IFERROR(INDEX($A$3:$G$400,MATCH(ROWS(AH$3:AH357),$Q$3:$Q$400,0),7),"")</f>
        <v/>
      </c>
      <c r="AI357" s="48" t="str">
        <f t="shared" ca="1" si="654"/>
        <v/>
      </c>
      <c r="AJ357" s="48" t="str">
        <f ca="1">IFERROR(INDEX($A$3:$H$400,MATCH(ROWS(AJ$3:AJ357),$Q$3:$Q$400,0),8),"")</f>
        <v/>
      </c>
      <c r="AZ357" s="48" t="str">
        <f t="shared" ca="1" si="669"/>
        <v/>
      </c>
      <c r="BA357" s="48">
        <f t="shared" ca="1" si="611"/>
        <v>0</v>
      </c>
      <c r="BB357" s="48">
        <f t="shared" ca="1" si="612"/>
        <v>0</v>
      </c>
      <c r="BC357" s="48">
        <f t="shared" ca="1" si="613"/>
        <v>0</v>
      </c>
      <c r="BD357" s="48">
        <f t="shared" ca="1" si="614"/>
        <v>0</v>
      </c>
      <c r="BE357" s="48">
        <f t="shared" ca="1" si="615"/>
        <v>0</v>
      </c>
      <c r="BF357" s="48">
        <f t="shared" si="670"/>
        <v>157</v>
      </c>
      <c r="BG357" s="48">
        <f ca="1">IF(IF(AND(OR(INDEX(PDC,MATCH($AC357,DEN_PDC,0),6)="SP DARE",INDEX(PDC,MATCH($AC357,DEN_PDC,0),6)="SP DARE/AVERE"),SUMIFS(DARE,DEN_G,$AC357)&gt;=SUMIFS(AVERE,DEN_G,$AC357)),SUMIFS(DARE,DEN_G,$AC357)-SUMIFS(AVERE,DEN_G,$AC357),0)&gt;0,MAX($BG$2:BG356)+1,0)</f>
        <v>0</v>
      </c>
      <c r="BH357" s="48">
        <f ca="1">IF(IF(AND(OR(INDEX(PDC,MATCH($AC357,DEN_PDC,0),6)="SP AVERE",INDEX(PDC,MATCH($AC357,DEN_PDC,0),6)="SP DARE/AVERE"),SUMIFS(AVERE,DEN_G,$AC357)&gt;=SUMIFS(DARE,DEN_G,$AC357)),SUMIFS(AVERE,DEN_G,$AC357)-SUMIFS(DARE,DEN_G,$AC357),0)&gt;0,MAX(BH$2:BH356)+1,0)</f>
        <v>0</v>
      </c>
      <c r="BI357" s="48">
        <f ca="1">IF(IF(AND(OR(INDEX(PDC,MATCH($AC357,DEN_PDC,0),6)="SE DARE",INDEX(PDC,MATCH($AC357,DEN_PDC,0),6)="SE DARE/AVERE"),SUMIFS(DARE,DEN_G,$AC357)&gt;=SUMIFS(AVERE,DEN_G,$AC357)),SUMIFS(DARE,DEN_G,$AC357)-SUMIFS(AVERE,DEN_G,$AC357),0)&gt;0,MAX(BI$2:BI356)+1,0)</f>
        <v>0</v>
      </c>
      <c r="BJ357" s="48">
        <f ca="1">IF(IF(AND(OR(INDEX(PDC,MATCH($AC357,DEN_PDC,0),6)="SE AVERE",INDEX(PDC,MATCH($AC357,DEN_PDC,0),6)="SE DARE/AVERE"),SUMIFS(AVERE,DEN_G,$AC357)&gt;=SUMIFS(DARE,DEN_G,$AC357)),SUMIFS(AVERE,DEN_G,$AC357)-SUMIFS(DARE,DEN_G,$AC357),0)&gt;0,MAX(BJ$2:BJ356)+1,0)</f>
        <v>0</v>
      </c>
      <c r="BK357" s="48" t="str">
        <f ca="1">IF(AND(AND($DY$2=0,$DY$1=0),$I$1=2,ROW()&gt;$BG$1+2,ROW()&lt;=$BG$1+4),"………………..",IF(AND(OR($DY$2&gt;0,$DY$1&gt;0),$I$1=2,ROW()&gt;$BG$1+2,ROW()&lt;=$BG$1+4),"………………..",IFERROR(INDEX($AC$3:$AC$398,MATCH(ROWS(BK$3:BK357),BG$3:BG$398,0),1),"")))</f>
        <v/>
      </c>
      <c r="BL357" s="48">
        <f t="shared" ca="1" si="637"/>
        <v>0</v>
      </c>
      <c r="BM357" s="48" t="str">
        <f ca="1">IF(AND(OR($DY$2=0,$DY$1=0),$I$1=2,ROW()&gt;$BH$1+2,ROW()&lt;=$BH$1+4),"………………..",IF(AND(OR($DY$2&gt;0,$DY$1&gt;0),$I$1=2,ROW()&gt;$BH$1+2,ROW()&lt;=$BH$1+4),"………………..",IFERROR(INDEX($AC$3:$AC$400,MATCH(ROWS(BM$3:BM357),BH$3:BH$400,0),1),"")))</f>
        <v/>
      </c>
      <c r="BN357" s="48">
        <f t="shared" ca="1" si="638"/>
        <v>0</v>
      </c>
      <c r="BO357" s="48" t="str">
        <f ca="1">IF(AND(OR($DY$2=0,$DY$1=0),$I$1=2,ROW()&gt;$BI$1+2,ROW()&lt;=$BI$1+4),"………………..",IF(AND(OR($DY$2&gt;0,$DY$1&gt;0),$I$1=2,ROW()&gt;$BI$1+2,ROW()&lt;=$BI$1+4),"………………..",IFERROR(INDEX($AC$3:$AC$400,MATCH(ROWS(BO$3:BO357),BI$3:BI$400,0),1),"")))</f>
        <v/>
      </c>
      <c r="BP357" s="48">
        <f t="shared" ca="1" si="639"/>
        <v>0</v>
      </c>
      <c r="BQ357" s="48" t="str">
        <f ca="1">IF(AND(OR($DY$2=0,$DY$1=0),$I$1=2,ROW()&gt;$BJ$1+2,ROW()&lt;=$BJ$1+4),"………………..",IF(AND(OR($DY$2&gt;0,$DY$1&gt;0),$I$1=2,ROW()&gt;$BJ$1+2,ROW()&lt;=$BJ$1+4),"………………..",IFERROR(INDEX($AC$3:$AC$400,MATCH(ROWS(BQ$3:BQ357),BJ$3:BJ$400,0),1),"")))</f>
        <v/>
      </c>
      <c r="BR357" s="48">
        <f t="shared" ca="1" si="640"/>
        <v>0</v>
      </c>
      <c r="BS357" s="48">
        <f ca="1">IF(IF(AND(OR(INDEX(PDC,MATCH($AC357,DEN_PDC,0),4)="D",INDEX(PDC,MATCH($AC357,DEN_PDC,0),4)="D/A"),SUMIFS(DARE,DEN_G,$AC357)&gt;=SUMIFS(AVERE,DEN_G,$AC357)),SUMIFS(DARE,DEN_G,$AC357),IF(AND(OR(INDEX(PDC,MATCH($AC357,DEN_PDC,0),4)="A",INDEX(PDC,MATCH($AC357,DEN_PDC,0),4)="D/A"),SUMIFS(AVERE,DEN_G,$AC357)&gt;=SUMIFS(DARE,DEN_G,$AC357)),SUMIFS(AVERE,DEN_G,$AC357),))&gt;0,MAX($BS$2:BS356)+1,0)</f>
        <v>0</v>
      </c>
      <c r="BT357" s="48" t="str">
        <f ca="1">IF($CO$1=0,"",IF(AND($I$1=2,ROW()&gt;$BR$1,ROW()&lt;=$BS$1)," …………….",IF(AND($E$1=1,$BX$1=1,$I$1=2,ROW()=$BQ$1),"TOTALI",IFERROR(INDEX(PDC,MATCH(ROWS(BT$3:BT357),BS$3:BS754,0),2),""))))</f>
        <v/>
      </c>
      <c r="BU357" s="48">
        <f t="shared" ca="1" si="641"/>
        <v>0</v>
      </c>
      <c r="BV357" s="48">
        <f t="shared" ca="1" si="642"/>
        <v>0</v>
      </c>
      <c r="BW357" s="48">
        <f t="shared" ca="1" si="643"/>
        <v>0</v>
      </c>
      <c r="BX357" s="48">
        <f t="shared" ca="1" si="644"/>
        <v>0</v>
      </c>
      <c r="BY357" s="48">
        <f ca="1">IF(OR(BW357&gt;0,BX357&gt;0),MAX($BY$2:BY356)+1,0)</f>
        <v>0</v>
      </c>
      <c r="BZ357" s="48" t="str">
        <f ca="1">IFERROR(INDEX($BT$3:$BY$400,MATCH(ROWS(BZ$3:BZ357),$BY$3:$BY$400,0),1),"")</f>
        <v/>
      </c>
      <c r="CA357" s="48" t="str">
        <f ca="1">IFERROR(INDEX($BT$3:$BY$400,MATCH(ROWS(CA$3:CA357),$BY$3:$BY$400,0),4),"")</f>
        <v/>
      </c>
      <c r="CB357" s="48" t="str">
        <f ca="1">IFERROR(INDEX($BT$3:$BY$400,MATCH(ROWS(CB$3:CB357),$BY$3:$BY$400,0),5),"")</f>
        <v/>
      </c>
      <c r="CC357" s="48" t="str">
        <f t="shared" ca="1" si="645"/>
        <v/>
      </c>
      <c r="CM357" s="242" t="str">
        <f t="shared" ca="1" si="655"/>
        <v/>
      </c>
      <c r="CN357" s="243">
        <f t="shared" ca="1" si="656"/>
        <v>0</v>
      </c>
      <c r="CO357" s="48" t="str">
        <f t="shared" ca="1" si="657"/>
        <v/>
      </c>
      <c r="CU357" s="48">
        <f ca="1">IF(SUMIFS(AVERE,DEN_G,AC357,AVERE,"&gt;"&amp;0)+SUMIFS(DARE,DEN_G,AC357,DARE,"&gt;"&amp;0)&gt;0,MAX($CU$2:CU356)+1,0)</f>
        <v>0</v>
      </c>
      <c r="CV357" s="48" t="str">
        <f ca="1">IF(IFERROR(INDEX(PDC,MATCH(ROWS($CV$3:CV357),$CU$3:$CU$400,0),2),"")="CONTO DI RISULTATO ECONOMICO","",IFERROR(INDEX(PDC,MATCH(ROWS($CV$3:CV357),$CU$3:$CU$400,0),2),""))</f>
        <v/>
      </c>
      <c r="CW357" s="48">
        <f ca="1">IFERROR(IF(CV357&lt;&gt;"",MAX($CW$2:CW356)+1,0),0)</f>
        <v>0</v>
      </c>
      <c r="CX357" s="48">
        <f t="shared" ca="1" si="689"/>
        <v>28</v>
      </c>
      <c r="CY357" s="48" t="str">
        <f t="shared" ca="1" si="688"/>
        <v>MASTRO</v>
      </c>
      <c r="CZ357" s="48" t="e">
        <f t="shared" ca="1" si="691"/>
        <v>#N/A</v>
      </c>
      <c r="DA357" s="48" t="str">
        <f t="shared" ref="DA357:DA365" ca="1" si="695">IFERROR(INDEX(LIBRO_GIORNALE,CZ357,1),"")</f>
        <v/>
      </c>
      <c r="DB357" s="48" t="str">
        <f t="shared" ca="1" si="682"/>
        <v/>
      </c>
      <c r="DC357" s="48" t="str">
        <f t="shared" ca="1" si="692"/>
        <v/>
      </c>
      <c r="DD357" s="48" t="str">
        <f t="shared" ca="1" si="693"/>
        <v/>
      </c>
      <c r="DE357" s="48" t="str">
        <f t="shared" ca="1" si="694"/>
        <v/>
      </c>
      <c r="DF357" s="48">
        <f ca="1">IF(AND(CX357=$DF$1,CX357&lt;&gt;""),0,IF(AND(DB357&lt;&gt;"",OR(DB356&lt;&gt;"",DB358&lt;&gt;"")),MAX($DF$2:DF356)+1,0))</f>
        <v>0</v>
      </c>
      <c r="DH357" s="244" t="s">
        <v>1072</v>
      </c>
      <c r="DI357" s="48" t="s">
        <v>296</v>
      </c>
      <c r="DJ357" s="48" t="s">
        <v>311</v>
      </c>
      <c r="DK357" s="48" t="s">
        <v>275</v>
      </c>
      <c r="DL357" s="48" t="s">
        <v>7</v>
      </c>
      <c r="DM357" s="48" t="s">
        <v>301</v>
      </c>
      <c r="DN357" s="48">
        <f ca="1">IF(DI357&lt;&gt;"",MAX($DN$2:DN356)+1,0)</f>
        <v>287</v>
      </c>
      <c r="DO357" s="48" t="s">
        <v>722</v>
      </c>
      <c r="DW357" s="48">
        <f>IF(DR357&lt;&gt;"",MAX($DW$2:DW356)+1,0)</f>
        <v>0</v>
      </c>
      <c r="DY357" s="48" t="str">
        <f t="shared" ca="1" si="647"/>
        <v/>
      </c>
      <c r="EL357" s="48">
        <f t="shared" ca="1" si="648"/>
        <v>0</v>
      </c>
      <c r="EM357" s="48">
        <f ca="1">IF(EL357&gt;=0,0,MAX($EM$2:EM356)+1)</f>
        <v>0</v>
      </c>
      <c r="EN357" s="48" t="str">
        <f t="shared" ca="1" si="658"/>
        <v/>
      </c>
      <c r="EO357" s="48" t="str">
        <f ca="1">IFERROR(INDEX($EM$3:$EN$400,MATCH(ROWS($EO$3:EO357),$EM$3:$EM$400,0),2),"")</f>
        <v/>
      </c>
      <c r="EP357" s="48">
        <f>ROW()</f>
        <v>357</v>
      </c>
      <c r="EQ357" s="48">
        <f t="shared" ca="1" si="649"/>
        <v>0</v>
      </c>
      <c r="ER357" s="48">
        <f ca="1">IF(ISNA(EQ357)=TRUE,MAX($ER$2:ER356)+1,0)</f>
        <v>0</v>
      </c>
      <c r="ES357" s="48" t="str">
        <f t="shared" ca="1" si="659"/>
        <v/>
      </c>
      <c r="ET357" s="48" t="str">
        <f ca="1">IFERROR(INDEX($ER$3:$ES$400,MATCH(ROWS($ET$3:ET357),$ER$3:$ER$400,0),2),"")</f>
        <v/>
      </c>
      <c r="EV357" s="48">
        <f ca="1">IFERROR(INDEX(LIBRO_GIORNALE!$O$11:$P$408,MATCH(ROWS($EV$2:EV356),LIBRO_GIORNALE!$P$11:$P$408,0),1),0)</f>
        <v>0</v>
      </c>
      <c r="EW357" s="48" t="str">
        <f t="shared" ca="1" si="629"/>
        <v>0</v>
      </c>
      <c r="EX357" s="48">
        <f t="shared" ca="1" si="660"/>
        <v>0</v>
      </c>
      <c r="EY357" s="48">
        <f ca="1">IF(EX357&gt;0,MAX($EY$2:EY356)+1,0)</f>
        <v>0</v>
      </c>
      <c r="EZ357" s="48">
        <f ca="1">IFERROR(INDEX($EX$3:$EX$400,MATCH(ROWS($EZ$3:EZ357),$EY$3:$EY$400,0),1),0)</f>
        <v>0</v>
      </c>
      <c r="FA357" s="48">
        <f ca="1">IF(EZ357&gt;0,0,MAX($FA$2:FA356)+1)</f>
        <v>355</v>
      </c>
      <c r="FB357" s="48">
        <f t="shared" ca="1" si="630"/>
        <v>0</v>
      </c>
      <c r="FC357" s="48">
        <f t="shared" ca="1" si="631"/>
        <v>355</v>
      </c>
      <c r="FD357" s="48">
        <f t="shared" ca="1" si="661"/>
        <v>355</v>
      </c>
      <c r="FE357" s="48">
        <f ca="1">IF(FD357=0,0,MAX($FE$2:FE356)+1)</f>
        <v>355</v>
      </c>
      <c r="FF357" s="48">
        <f ca="1">IFERROR(INDEX($FD$3:$FE$400,MATCH(ROWS($FF$3:FF357),$FE$3:$FE$400,0),1),"")</f>
        <v>355</v>
      </c>
      <c r="FG357" s="48">
        <f t="shared" si="610"/>
        <v>0</v>
      </c>
      <c r="FH357" s="48">
        <f t="shared" ca="1" si="662"/>
        <v>0</v>
      </c>
      <c r="FI357" s="48">
        <f ca="1">IF(FH357&lt;&gt;0,MAX($FI$2:FI356)+1,0)</f>
        <v>0</v>
      </c>
      <c r="FJ357" s="48" t="str">
        <f ca="1">IFERROR(INDEX($FH$3:$FI$400,MATCH(ROWS($FJ$3:FJ357),$FI$3:$FI$400,0),1),"")</f>
        <v/>
      </c>
      <c r="FK357" s="48">
        <f ca="1">IF(ABS(SUMIFS(DARE,DEN_G,"="&amp;FJ357,DATA,"&lt;="&amp;FINE_AC,DATA,"&gt;="&amp;INIZIO_A_PC)-SUMIFS(AVERE,DEN_G,"="&amp;FJ357,DATA,"&lt;="&amp;FINE_AC,DATA,"&gt;="&amp;INIZIO_A_PC))&gt;0,MAX($FK$2:FK356)+1,0)</f>
        <v>0</v>
      </c>
      <c r="FL357" s="48" t="str">
        <f ca="1">IF(AND(ROW()-2&lt;&gt;1,ROW()-2&lt;=$FK$1),CONCATENATE(" - ",IFERROR(INDEX($FJ$3:$FK$400,MATCH(ROWS($FL$3:FL357),$FK$3:$FK$400,0),1),"")),IFERROR(INDEX($FJ$3:$FK$400,MATCH(ROWS($FL$3:FL357),$FK$3:$FK$400,0),1),""))</f>
        <v/>
      </c>
      <c r="FM357" s="48">
        <f ca="1">IF(OR(B357="IVA ns/credito",B357="IVA NS/DEBITO",B357="IVA C/ACCONTO",B357="IMPOSTE C/ACCONTO",B357="CREDITI PER RITENUTE SUBITE",B357="CREDITI D'IMPOSTA"),MAX($FM$2:FM356)+1,0)</f>
        <v>0</v>
      </c>
      <c r="FN357" s="48" t="str">
        <f t="shared" ca="1" si="663"/>
        <v/>
      </c>
      <c r="FO357" s="48" t="str">
        <f ca="1">IFERROR(INDEX($FM$3:$FN$400,MATCH(ROWS($FO$3:FO357),$FM$3:$FM$400,0),2),"")</f>
        <v/>
      </c>
      <c r="FP357" s="48">
        <f ca="1">IF(ABS(SUMIFS(DARE,DEN_G,"="&amp;FO357,DATA,"&lt;="&amp;FINE_AC,DATA,"&gt;="&amp;INIZIO_A_PC)-SUMIFS(AVERE,DEN_G,"="&amp;FO357,DATA,"&lt;="&amp;FINE_AC,DATA,"&gt;="&amp;INIZIO_A_PC))&gt;0,MAX($FP$2:FP356)+1,0)</f>
        <v>0</v>
      </c>
      <c r="FQ357" s="48" t="str">
        <f ca="1">IF(AND(ROW()-2&lt;&gt;1,ROW()-2&lt;=$FP$1),CONCATENATE(" - ",IFERROR(INDEX($FO$3:$FP$400,MATCH(ROWS($FQ$3:FQ357),$FP$3:$FP$400,0),1),"")),IFERROR(INDEX($FO$3:$FP$400,MATCH(ROWS($FQ$3:FQ357),$FP$3:$FP$400,0),1),""))</f>
        <v/>
      </c>
    </row>
    <row r="358" spans="1:173" x14ac:dyDescent="0.3">
      <c r="A358" s="48" t="str">
        <f ca="1">IFERROR(IF($A$1=2,INDEX($DH$3:$DN$401,MATCH(ROWS(A$3:A358),$DN$3:$DN$401,0),COLUMN()),IF($A$1=1,INDEX($DQ$3:$DW$401,MATCH(ROWS(A$3:A358),$DW$3:$DW$401,0),COLUMN()),"")),"")</f>
        <v/>
      </c>
      <c r="B358" s="48" t="str">
        <f ca="1">IFERROR(IF($A$1=2,INDEX($DH$3:$DN$400,MATCH(ROWS(B$3:B358),$DN$3:$DN$400,0),COLUMN()),IF($A$1=1,INDEX($DQ$3:$DW$400,MATCH(ROWS(B$3:B358),$DW$3:$DW$400,0),COLUMN()),"")),"")</f>
        <v/>
      </c>
      <c r="D358" s="48" t="str">
        <f ca="1">IFERROR(IF($A$1=2,INDEX($DH$3:$DN$401,MATCH(ROWS(D$3:D358),$DN$3:$DN$401,0),COLUMN()),IF($A$1=1,INDEX($DQ$3:$DW$401,MATCH(ROWS(D$3:D358),$DW$3:$DW$401,0),COLUMN()),"")),"")</f>
        <v/>
      </c>
      <c r="E358" s="48" t="str">
        <f ca="1">IFERROR(IF($A$1=2,INDEX($DH$3:$DN$401,MATCH(ROWS(E$3:E358),$DN$3:$DN$401,0),COLUMN()),IF($A$1=1,INDEX($DQ$3:$DW$401,MATCH(ROWS(E$3:E358),$DW$3:$DW$401,0),COLUMN()),"")),"")</f>
        <v/>
      </c>
      <c r="F358" s="48" t="str">
        <f ca="1">IFERROR(IF($A$1=2,INDEX($DH$3:$DN$401,MATCH(ROWS(F$3:F358),$DN$3:$DN$401,0),COLUMN()),IF($A$1=1,INDEX($DQ$3:$DX$401,MATCH(ROWS(F$3:F358),$DW$3:$DW$401,0),COLUMN()),"")),"")</f>
        <v/>
      </c>
      <c r="G358" s="48" t="str">
        <f t="shared" ca="1" si="650"/>
        <v/>
      </c>
      <c r="H358" s="48" t="str">
        <f ca="1">IFERROR(IF($A$1=2,INDEX($DH$3:$DO$400,MATCH(ROWS(H$3:H358),$DN$3:$DN$400,0),COLUMN()),IF($A$1=1,INDEX($DQ$3:$DX$400,MATCH(ROWS(H$3:H358),$DW$3:$DW$400,0),COLUMN()),"")),"")</f>
        <v/>
      </c>
      <c r="M358" s="48">
        <f ca="1">IFERROR(IF(IF(MID($A358,3,3)=".00",MID(A358,1,2),"")&lt;&gt;"",MAX($M$2:M357)+1,0),"")</f>
        <v>0</v>
      </c>
      <c r="N358" s="48" t="str">
        <f t="shared" ca="1" si="651"/>
        <v/>
      </c>
      <c r="O358" s="48" t="str">
        <f ca="1">IF(IFERROR(INDEX($N$3:$O$300,MATCH(ROWS($O$3:O358),$M$3:$M$300,0),1),"")&lt;&gt;"",CONCATENATE(INDEX($N$3:$O$300,MATCH(ROWS($O$3:O358),$M$3:$M$300,0),1),".00"),"")</f>
        <v/>
      </c>
      <c r="P358" s="48" t="str">
        <f t="shared" ca="1" si="652"/>
        <v/>
      </c>
      <c r="Q358" s="48">
        <f ca="1">IF(M358&gt;=1,0,MAX($Q$2:Q357)+1)</f>
        <v>319</v>
      </c>
      <c r="U358" s="48" t="str">
        <f ca="1">IFERROR(INDEX(PDC,MATCH(ROWS(U$3:U358),$V$3:$V$400,0),2),"")</f>
        <v/>
      </c>
      <c r="V358" s="48">
        <f ca="1">IF(AND($T$1="VISUALIZZA TUTTI I CONTI",AA358&lt;&gt;""),MAX($V$2:V357)+1,IF(AND($U$2=2,AI358=$T$1),MAX($V$2:V357)+1,IF(AND($U$2=1,$T$1=AF358),MAX($V$2:V357)+1,0)))</f>
        <v>0</v>
      </c>
      <c r="AA358" s="48" t="str">
        <f t="shared" ca="1" si="653"/>
        <v/>
      </c>
      <c r="AB358" s="48" t="str">
        <f ca="1">IFERROR(INDEX($A$3:$G$400,MATCH(ROWS(AB$3:AB358),$Q$3:$Q$400,0),1),"")</f>
        <v/>
      </c>
      <c r="AC358" s="48" t="str">
        <f ca="1">IFERROR(INDEX($A$3:$G$400,MATCH(ROWS($AC$3:AC358),$Q$3:$Q$400,0),2),"")</f>
        <v/>
      </c>
      <c r="AD358" s="48">
        <f ca="1">IFERROR(INDEX($A$3:$G$400,MATCH(ROWS(AD$3:AD358),$Q$3:$Q$400,0),3),"")</f>
        <v>0</v>
      </c>
      <c r="AE358" s="48" t="str">
        <f ca="1">IFERROR(INDEX($A$3:$G$400,MATCH(ROWS(AE$3:AE358),$Q$3:$Q$400,0),4),"")</f>
        <v/>
      </c>
      <c r="AF358" s="48" t="str">
        <f ca="1">IFERROR(INDEX($A$3:$G$400,MATCH(ROWS(AF$3:AF358),$Q$3:$Q$400,0),5),"")</f>
        <v/>
      </c>
      <c r="AG358" s="48" t="str">
        <f ca="1">IFERROR(INDEX($A$3:$G$400,MATCH(ROWS(AG$3:AG358),$Q$3:$Q$400,0),6),"")</f>
        <v/>
      </c>
      <c r="AH358" s="48" t="str">
        <f ca="1">IFERROR(INDEX($A$3:$G$400,MATCH(ROWS(AH$3:AH358),$Q$3:$Q$400,0),7),"")</f>
        <v/>
      </c>
      <c r="AI358" s="48" t="str">
        <f t="shared" ca="1" si="654"/>
        <v/>
      </c>
      <c r="AJ358" s="48" t="str">
        <f ca="1">IFERROR(INDEX($A$3:$H$400,MATCH(ROWS(AJ$3:AJ358),$Q$3:$Q$400,0),8),"")</f>
        <v/>
      </c>
      <c r="AZ358" s="48" t="str">
        <f t="shared" ca="1" si="669"/>
        <v/>
      </c>
      <c r="BA358" s="48">
        <f t="shared" ca="1" si="611"/>
        <v>0</v>
      </c>
      <c r="BB358" s="48">
        <f t="shared" ca="1" si="612"/>
        <v>0</v>
      </c>
      <c r="BC358" s="48">
        <f t="shared" ca="1" si="613"/>
        <v>0</v>
      </c>
      <c r="BD358" s="48">
        <f t="shared" ca="1" si="614"/>
        <v>0</v>
      </c>
      <c r="BE358" s="48">
        <f t="shared" ca="1" si="615"/>
        <v>0</v>
      </c>
      <c r="BF358" s="48">
        <f t="shared" si="670"/>
        <v>158</v>
      </c>
      <c r="BG358" s="48">
        <f ca="1">IF(IF(AND(OR(INDEX(PDC,MATCH($AC358,DEN_PDC,0),6)="SP DARE",INDEX(PDC,MATCH($AC358,DEN_PDC,0),6)="SP DARE/AVERE"),SUMIFS(DARE,DEN_G,$AC358)&gt;=SUMIFS(AVERE,DEN_G,$AC358)),SUMIFS(DARE,DEN_G,$AC358)-SUMIFS(AVERE,DEN_G,$AC358),0)&gt;0,MAX($BG$2:BG357)+1,0)</f>
        <v>0</v>
      </c>
      <c r="BH358" s="48">
        <f ca="1">IF(IF(AND(OR(INDEX(PDC,MATCH($AC358,DEN_PDC,0),6)="SP AVERE",INDEX(PDC,MATCH($AC358,DEN_PDC,0),6)="SP DARE/AVERE"),SUMIFS(AVERE,DEN_G,$AC358)&gt;=SUMIFS(DARE,DEN_G,$AC358)),SUMIFS(AVERE,DEN_G,$AC358)-SUMIFS(DARE,DEN_G,$AC358),0)&gt;0,MAX(BH$2:BH357)+1,0)</f>
        <v>0</v>
      </c>
      <c r="BI358" s="48">
        <f ca="1">IF(IF(AND(OR(INDEX(PDC,MATCH($AC358,DEN_PDC,0),6)="SE DARE",INDEX(PDC,MATCH($AC358,DEN_PDC,0),6)="SE DARE/AVERE"),SUMIFS(DARE,DEN_G,$AC358)&gt;=SUMIFS(AVERE,DEN_G,$AC358)),SUMIFS(DARE,DEN_G,$AC358)-SUMIFS(AVERE,DEN_G,$AC358),0)&gt;0,MAX(BI$2:BI357)+1,0)</f>
        <v>0</v>
      </c>
      <c r="BJ358" s="48">
        <f ca="1">IF(IF(AND(OR(INDEX(PDC,MATCH($AC358,DEN_PDC,0),6)="SE AVERE",INDEX(PDC,MATCH($AC358,DEN_PDC,0),6)="SE DARE/AVERE"),SUMIFS(AVERE,DEN_G,$AC358)&gt;=SUMIFS(DARE,DEN_G,$AC358)),SUMIFS(AVERE,DEN_G,$AC358)-SUMIFS(DARE,DEN_G,$AC358),0)&gt;0,MAX(BJ$2:BJ357)+1,0)</f>
        <v>0</v>
      </c>
      <c r="BK358" s="48" t="str">
        <f ca="1">IF(AND(AND($DY$2=0,$DY$1=0),$I$1=2,ROW()&gt;$BG$1+2,ROW()&lt;=$BG$1+4),"………………..",IF(AND(OR($DY$2&gt;0,$DY$1&gt;0),$I$1=2,ROW()&gt;$BG$1+2,ROW()&lt;=$BG$1+4),"………………..",IFERROR(INDEX($AC$3:$AC$398,MATCH(ROWS(BK$3:BK358),BG$3:BG$398,0),1),"")))</f>
        <v/>
      </c>
      <c r="BL358" s="48">
        <f t="shared" ca="1" si="637"/>
        <v>0</v>
      </c>
      <c r="BM358" s="48" t="str">
        <f ca="1">IF(AND(OR($DY$2=0,$DY$1=0),$I$1=2,ROW()&gt;$BH$1+2,ROW()&lt;=$BH$1+4),"………………..",IF(AND(OR($DY$2&gt;0,$DY$1&gt;0),$I$1=2,ROW()&gt;$BH$1+2,ROW()&lt;=$BH$1+4),"………………..",IFERROR(INDEX($AC$3:$AC$400,MATCH(ROWS(BM$3:BM358),BH$3:BH$400,0),1),"")))</f>
        <v/>
      </c>
      <c r="BN358" s="48">
        <f t="shared" ca="1" si="638"/>
        <v>0</v>
      </c>
      <c r="BO358" s="48" t="str">
        <f ca="1">IF(AND(OR($DY$2=0,$DY$1=0),$I$1=2,ROW()&gt;$BI$1+2,ROW()&lt;=$BI$1+4),"………………..",IF(AND(OR($DY$2&gt;0,$DY$1&gt;0),$I$1=2,ROW()&gt;$BI$1+2,ROW()&lt;=$BI$1+4),"………………..",IFERROR(INDEX($AC$3:$AC$400,MATCH(ROWS(BO$3:BO358),BI$3:BI$400,0),1),"")))</f>
        <v/>
      </c>
      <c r="BP358" s="48">
        <f t="shared" ca="1" si="639"/>
        <v>0</v>
      </c>
      <c r="BQ358" s="48" t="str">
        <f ca="1">IF(AND(OR($DY$2=0,$DY$1=0),$I$1=2,ROW()&gt;$BJ$1+2,ROW()&lt;=$BJ$1+4),"………………..",IF(AND(OR($DY$2&gt;0,$DY$1&gt;0),$I$1=2,ROW()&gt;$BJ$1+2,ROW()&lt;=$BJ$1+4),"………………..",IFERROR(INDEX($AC$3:$AC$400,MATCH(ROWS(BQ$3:BQ358),BJ$3:BJ$400,0),1),"")))</f>
        <v/>
      </c>
      <c r="BR358" s="48">
        <f t="shared" ca="1" si="640"/>
        <v>0</v>
      </c>
      <c r="BS358" s="48">
        <f ca="1">IF(IF(AND(OR(INDEX(PDC,MATCH($AC358,DEN_PDC,0),4)="D",INDEX(PDC,MATCH($AC358,DEN_PDC,0),4)="D/A"),SUMIFS(DARE,DEN_G,$AC358)&gt;=SUMIFS(AVERE,DEN_G,$AC358)),SUMIFS(DARE,DEN_G,$AC358),IF(AND(OR(INDEX(PDC,MATCH($AC358,DEN_PDC,0),4)="A",INDEX(PDC,MATCH($AC358,DEN_PDC,0),4)="D/A"),SUMIFS(AVERE,DEN_G,$AC358)&gt;=SUMIFS(DARE,DEN_G,$AC358)),SUMIFS(AVERE,DEN_G,$AC358),))&gt;0,MAX($BS$2:BS357)+1,0)</f>
        <v>0</v>
      </c>
      <c r="BT358" s="48" t="str">
        <f ca="1">IF($CO$1=0,"",IF(AND($I$1=2,ROW()&gt;$BR$1,ROW()&lt;=$BS$1)," …………….",IF(AND($E$1=1,$BX$1=1,$I$1=2,ROW()=$BQ$1),"TOTALI",IFERROR(INDEX(PDC,MATCH(ROWS(BT$3:BT358),BS$3:BS755,0),2),""))))</f>
        <v/>
      </c>
      <c r="BU358" s="48">
        <f t="shared" ca="1" si="641"/>
        <v>0</v>
      </c>
      <c r="BV358" s="48">
        <f t="shared" ca="1" si="642"/>
        <v>0</v>
      </c>
      <c r="BW358" s="48">
        <f t="shared" ca="1" si="643"/>
        <v>0</v>
      </c>
      <c r="BX358" s="48">
        <f t="shared" ca="1" si="644"/>
        <v>0</v>
      </c>
      <c r="BY358" s="48">
        <f ca="1">IF(OR(BW358&gt;0,BX358&gt;0),MAX($BY$2:BY357)+1,0)</f>
        <v>0</v>
      </c>
      <c r="BZ358" s="48" t="str">
        <f ca="1">IFERROR(INDEX($BT$3:$BY$400,MATCH(ROWS(BZ$3:BZ358),$BY$3:$BY$400,0),1),"")</f>
        <v/>
      </c>
      <c r="CA358" s="48" t="str">
        <f ca="1">IFERROR(INDEX($BT$3:$BY$400,MATCH(ROWS(CA$3:CA358),$BY$3:$BY$400,0),4),"")</f>
        <v/>
      </c>
      <c r="CB358" s="48" t="str">
        <f ca="1">IFERROR(INDEX($BT$3:$BY$400,MATCH(ROWS(CB$3:CB358),$BY$3:$BY$400,0),5),"")</f>
        <v/>
      </c>
      <c r="CC358" s="48" t="str">
        <f t="shared" ca="1" si="645"/>
        <v/>
      </c>
      <c r="CM358" s="242" t="str">
        <f t="shared" ca="1" si="655"/>
        <v/>
      </c>
      <c r="CN358" s="243">
        <f t="shared" ca="1" si="656"/>
        <v>0</v>
      </c>
      <c r="CO358" s="48" t="str">
        <f t="shared" ca="1" si="657"/>
        <v/>
      </c>
      <c r="CU358" s="48">
        <f ca="1">IF(SUMIFS(AVERE,DEN_G,AC358,AVERE,"&gt;"&amp;0)+SUMIFS(DARE,DEN_G,AC358,DARE,"&gt;"&amp;0)&gt;0,MAX($CU$2:CU357)+1,0)</f>
        <v>0</v>
      </c>
      <c r="CV358" s="48" t="str">
        <f ca="1">IF(IFERROR(INDEX(PDC,MATCH(ROWS($CV$3:CV358),$CU$3:$CU$400,0),2),"")="CONTO DI RISULTATO ECONOMICO","",IFERROR(INDEX(PDC,MATCH(ROWS($CV$3:CV358),$CU$3:$CU$400,0),2),""))</f>
        <v/>
      </c>
      <c r="CW358" s="48">
        <f ca="1">IFERROR(IF(CV358&lt;&gt;"",MAX($CW$2:CW357)+1,0),0)</f>
        <v>0</v>
      </c>
      <c r="CX358" s="48">
        <f t="shared" ca="1" si="689"/>
        <v>28</v>
      </c>
      <c r="CY358" s="48" t="str">
        <f t="shared" ca="1" si="688"/>
        <v>MASTRO</v>
      </c>
      <c r="CZ358" s="48" t="e">
        <f t="shared" ca="1" si="691"/>
        <v>#N/A</v>
      </c>
      <c r="DA358" s="48" t="str">
        <f t="shared" ca="1" si="695"/>
        <v/>
      </c>
      <c r="DB358" s="48" t="str">
        <f t="shared" ca="1" si="682"/>
        <v/>
      </c>
      <c r="DC358" s="48" t="str">
        <f t="shared" ca="1" si="692"/>
        <v/>
      </c>
      <c r="DD358" s="48" t="str">
        <f t="shared" ca="1" si="693"/>
        <v/>
      </c>
      <c r="DE358" s="48" t="str">
        <f t="shared" ca="1" si="694"/>
        <v/>
      </c>
      <c r="DF358" s="48">
        <f ca="1">IF(AND(CX358=$DF$1,CX358&lt;&gt;""),0,IF(AND(DB358&lt;&gt;"",OR(DB357&lt;&gt;"",DB359&lt;&gt;"")),MAX($DF$2:DF357)+1,0))</f>
        <v>0</v>
      </c>
      <c r="DH358" s="244" t="s">
        <v>1073</v>
      </c>
      <c r="DI358" s="48" t="s">
        <v>297</v>
      </c>
      <c r="DJ358" s="48" t="s">
        <v>311</v>
      </c>
      <c r="DK358" s="48" t="s">
        <v>275</v>
      </c>
      <c r="DL358" s="48" t="s">
        <v>7</v>
      </c>
      <c r="DM358" s="48" t="s">
        <v>301</v>
      </c>
      <c r="DN358" s="48">
        <f ca="1">IF(DI358&lt;&gt;"",MAX($DN$2:DN357)+1,0)</f>
        <v>288</v>
      </c>
      <c r="DO358" s="48" t="s">
        <v>722</v>
      </c>
      <c r="DW358" s="48">
        <f>IF(DR358&lt;&gt;"",MAX($DW$2:DW357)+1,0)</f>
        <v>0</v>
      </c>
      <c r="DY358" s="48" t="str">
        <f t="shared" ca="1" si="647"/>
        <v/>
      </c>
      <c r="EL358" s="48">
        <f t="shared" ca="1" si="648"/>
        <v>0</v>
      </c>
      <c r="EM358" s="48">
        <f ca="1">IF(EL358&gt;=0,0,MAX($EM$2:EM357)+1)</f>
        <v>0</v>
      </c>
      <c r="EN358" s="48" t="str">
        <f t="shared" ca="1" si="658"/>
        <v/>
      </c>
      <c r="EO358" s="48" t="str">
        <f ca="1">IFERROR(INDEX($EM$3:$EN$400,MATCH(ROWS($EO$3:EO358),$EM$3:$EM$400,0),2),"")</f>
        <v/>
      </c>
      <c r="EP358" s="48">
        <f>ROW()</f>
        <v>358</v>
      </c>
      <c r="EQ358" s="48">
        <f t="shared" ca="1" si="649"/>
        <v>0</v>
      </c>
      <c r="ER358" s="48">
        <f ca="1">IF(ISNA(EQ358)=TRUE,MAX($ER$2:ER357)+1,0)</f>
        <v>0</v>
      </c>
      <c r="ES358" s="48" t="str">
        <f t="shared" ca="1" si="659"/>
        <v/>
      </c>
      <c r="ET358" s="48" t="str">
        <f ca="1">IFERROR(INDEX($ER$3:$ES$400,MATCH(ROWS($ET$3:ET358),$ER$3:$ER$400,0),2),"")</f>
        <v/>
      </c>
      <c r="EV358" s="48">
        <f ca="1">IFERROR(INDEX(LIBRO_GIORNALE!$O$11:$P$408,MATCH(ROWS($EV$2:EV357),LIBRO_GIORNALE!$P$11:$P$408,0),1),0)</f>
        <v>0</v>
      </c>
      <c r="EW358" s="48" t="str">
        <f t="shared" ca="1" si="629"/>
        <v>0</v>
      </c>
      <c r="EX358" s="48">
        <f t="shared" ca="1" si="660"/>
        <v>0</v>
      </c>
      <c r="EY358" s="48">
        <f ca="1">IF(EX358&gt;0,MAX($EY$2:EY357)+1,0)</f>
        <v>0</v>
      </c>
      <c r="EZ358" s="48">
        <f ca="1">IFERROR(INDEX($EX$3:$EX$400,MATCH(ROWS($EZ$3:EZ358),$EY$3:$EY$400,0),1),0)</f>
        <v>0</v>
      </c>
      <c r="FA358" s="48">
        <f ca="1">IF(EZ358&gt;0,0,MAX($FA$2:FA357)+1)</f>
        <v>356</v>
      </c>
      <c r="FB358" s="48">
        <f t="shared" ca="1" si="630"/>
        <v>0</v>
      </c>
      <c r="FC358" s="48">
        <f t="shared" ca="1" si="631"/>
        <v>356</v>
      </c>
      <c r="FD358" s="48">
        <f t="shared" ca="1" si="661"/>
        <v>356</v>
      </c>
      <c r="FE358" s="48">
        <f ca="1">IF(FD358=0,0,MAX($FE$2:FE357)+1)</f>
        <v>356</v>
      </c>
      <c r="FF358" s="48">
        <f ca="1">IFERROR(INDEX($FD$3:$FE$400,MATCH(ROWS($FF$3:FF358),$FE$3:$FE$400,0),1),"")</f>
        <v>356</v>
      </c>
      <c r="FG358" s="48">
        <f t="shared" si="610"/>
        <v>0</v>
      </c>
      <c r="FH358" s="48">
        <f t="shared" ca="1" si="662"/>
        <v>0</v>
      </c>
      <c r="FI358" s="48">
        <f ca="1">IF(FH358&lt;&gt;0,MAX($FI$2:FI357)+1,0)</f>
        <v>0</v>
      </c>
      <c r="FJ358" s="48" t="str">
        <f ca="1">IFERROR(INDEX($FH$3:$FI$400,MATCH(ROWS($FJ$3:FJ358),$FI$3:$FI$400,0),1),"")</f>
        <v/>
      </c>
      <c r="FK358" s="48">
        <f ca="1">IF(ABS(SUMIFS(DARE,DEN_G,"="&amp;FJ358,DATA,"&lt;="&amp;FINE_AC,DATA,"&gt;="&amp;INIZIO_A_PC)-SUMIFS(AVERE,DEN_G,"="&amp;FJ358,DATA,"&lt;="&amp;FINE_AC,DATA,"&gt;="&amp;INIZIO_A_PC))&gt;0,MAX($FK$2:FK357)+1,0)</f>
        <v>0</v>
      </c>
      <c r="FL358" s="48" t="str">
        <f ca="1">IF(AND(ROW()-2&lt;&gt;1,ROW()-2&lt;=$FK$1),CONCATENATE(" - ",IFERROR(INDEX($FJ$3:$FK$400,MATCH(ROWS($FL$3:FL358),$FK$3:$FK$400,0),1),"")),IFERROR(INDEX($FJ$3:$FK$400,MATCH(ROWS($FL$3:FL358),$FK$3:$FK$400,0),1),""))</f>
        <v/>
      </c>
      <c r="FM358" s="48">
        <f ca="1">IF(OR(B358="IVA ns/credito",B358="IVA NS/DEBITO",B358="IVA C/ACCONTO",B358="IMPOSTE C/ACCONTO",B358="CREDITI PER RITENUTE SUBITE",B358="CREDITI D'IMPOSTA"),MAX($FM$2:FM357)+1,0)</f>
        <v>0</v>
      </c>
      <c r="FN358" s="48" t="str">
        <f t="shared" ca="1" si="663"/>
        <v/>
      </c>
      <c r="FO358" s="48" t="str">
        <f ca="1">IFERROR(INDEX($FM$3:$FN$400,MATCH(ROWS($FO$3:FO358),$FM$3:$FM$400,0),2),"")</f>
        <v/>
      </c>
      <c r="FP358" s="48">
        <f ca="1">IF(ABS(SUMIFS(DARE,DEN_G,"="&amp;FO358,DATA,"&lt;="&amp;FINE_AC,DATA,"&gt;="&amp;INIZIO_A_PC)-SUMIFS(AVERE,DEN_G,"="&amp;FO358,DATA,"&lt;="&amp;FINE_AC,DATA,"&gt;="&amp;INIZIO_A_PC))&gt;0,MAX($FP$2:FP357)+1,0)</f>
        <v>0</v>
      </c>
      <c r="FQ358" s="48" t="str">
        <f ca="1">IF(AND(ROW()-2&lt;&gt;1,ROW()-2&lt;=$FP$1),CONCATENATE(" - ",IFERROR(INDEX($FO$3:$FP$400,MATCH(ROWS($FQ$3:FQ358),$FP$3:$FP$400,0),1),"")),IFERROR(INDEX($FO$3:$FP$400,MATCH(ROWS($FQ$3:FQ358),$FP$3:$FP$400,0),1),""))</f>
        <v/>
      </c>
    </row>
    <row r="359" spans="1:173" x14ac:dyDescent="0.3">
      <c r="A359" s="48" t="str">
        <f ca="1">IFERROR(IF($A$1=2,INDEX($DH$3:$DN$401,MATCH(ROWS(A$3:A359),$DN$3:$DN$401,0),COLUMN()),IF($A$1=1,INDEX($DQ$3:$DW$401,MATCH(ROWS(A$3:A359),$DW$3:$DW$401,0),COLUMN()),"")),"")</f>
        <v/>
      </c>
      <c r="B359" s="48" t="str">
        <f ca="1">IFERROR(IF($A$1=2,INDEX($DH$3:$DN$400,MATCH(ROWS(B$3:B359),$DN$3:$DN$400,0),COLUMN()),IF($A$1=1,INDEX($DQ$3:$DW$400,MATCH(ROWS(B$3:B359),$DW$3:$DW$400,0),COLUMN()),"")),"")</f>
        <v/>
      </c>
      <c r="D359" s="48" t="str">
        <f ca="1">IFERROR(IF($A$1=2,INDEX($DH$3:$DN$401,MATCH(ROWS(D$3:D359),$DN$3:$DN$401,0),COLUMN()),IF($A$1=1,INDEX($DQ$3:$DW$401,MATCH(ROWS(D$3:D359),$DW$3:$DW$401,0),COLUMN()),"")),"")</f>
        <v/>
      </c>
      <c r="E359" s="48" t="str">
        <f ca="1">IFERROR(IF($A$1=2,INDEX($DH$3:$DN$401,MATCH(ROWS(E$3:E359),$DN$3:$DN$401,0),COLUMN()),IF($A$1=1,INDEX($DQ$3:$DW$401,MATCH(ROWS(E$3:E359),$DW$3:$DW$401,0),COLUMN()),"")),"")</f>
        <v/>
      </c>
      <c r="F359" s="48" t="str">
        <f ca="1">IFERROR(IF($A$1=2,INDEX($DH$3:$DN$401,MATCH(ROWS(F$3:F359),$DN$3:$DN$401,0),COLUMN()),IF($A$1=1,INDEX($DQ$3:$DX$401,MATCH(ROWS(F$3:F359),$DW$3:$DW$401,0),COLUMN()),"")),"")</f>
        <v/>
      </c>
      <c r="G359" s="48" t="str">
        <f t="shared" ca="1" si="650"/>
        <v/>
      </c>
      <c r="H359" s="48" t="str">
        <f ca="1">IFERROR(IF($A$1=2,INDEX($DH$3:$DO$400,MATCH(ROWS(H$3:H359),$DN$3:$DN$400,0),COLUMN()),IF($A$1=1,INDEX($DQ$3:$DX$400,MATCH(ROWS(H$3:H359),$DW$3:$DW$400,0),COLUMN()),"")),"")</f>
        <v/>
      </c>
      <c r="M359" s="48">
        <f ca="1">IFERROR(IF(IF(MID($A359,3,3)=".00",MID(A359,1,2),"")&lt;&gt;"",MAX($M$2:M358)+1,0),"")</f>
        <v>0</v>
      </c>
      <c r="N359" s="48" t="str">
        <f t="shared" ca="1" si="651"/>
        <v/>
      </c>
      <c r="O359" s="48" t="str">
        <f ca="1">IF(IFERROR(INDEX($N$3:$O$300,MATCH(ROWS($O$3:O359),$M$3:$M$300,0),1),"")&lt;&gt;"",CONCATENATE(INDEX($N$3:$O$300,MATCH(ROWS($O$3:O359),$M$3:$M$300,0),1),".00"),"")</f>
        <v/>
      </c>
      <c r="P359" s="48" t="str">
        <f t="shared" ca="1" si="652"/>
        <v/>
      </c>
      <c r="Q359" s="48">
        <f ca="1">IF(M359&gt;=1,0,MAX($Q$2:Q358)+1)</f>
        <v>320</v>
      </c>
      <c r="U359" s="48" t="str">
        <f ca="1">IFERROR(INDEX(PDC,MATCH(ROWS(U$3:U359),$V$3:$V$400,0),2),"")</f>
        <v/>
      </c>
      <c r="V359" s="48">
        <f ca="1">IF(AND($T$1="VISUALIZZA TUTTI I CONTI",AA359&lt;&gt;""),MAX($V$2:V358)+1,IF(AND($U$2=2,AI359=$T$1),MAX($V$2:V358)+1,IF(AND($U$2=1,$T$1=AF359),MAX($V$2:V358)+1,0)))</f>
        <v>0</v>
      </c>
      <c r="AA359" s="48" t="str">
        <f t="shared" ca="1" si="653"/>
        <v/>
      </c>
      <c r="AB359" s="48" t="str">
        <f ca="1">IFERROR(INDEX($A$3:$G$400,MATCH(ROWS(AB$3:AB359),$Q$3:$Q$400,0),1),"")</f>
        <v/>
      </c>
      <c r="AC359" s="48" t="str">
        <f ca="1">IFERROR(INDEX($A$3:$G$400,MATCH(ROWS($AC$3:AC359),$Q$3:$Q$400,0),2),"")</f>
        <v/>
      </c>
      <c r="AD359" s="48">
        <f ca="1">IFERROR(INDEX($A$3:$G$400,MATCH(ROWS(AD$3:AD359),$Q$3:$Q$400,0),3),"")</f>
        <v>0</v>
      </c>
      <c r="AE359" s="48" t="str">
        <f ca="1">IFERROR(INDEX($A$3:$G$400,MATCH(ROWS(AE$3:AE359),$Q$3:$Q$400,0),4),"")</f>
        <v/>
      </c>
      <c r="AF359" s="48" t="str">
        <f ca="1">IFERROR(INDEX($A$3:$G$400,MATCH(ROWS(AF$3:AF359),$Q$3:$Q$400,0),5),"")</f>
        <v/>
      </c>
      <c r="AG359" s="48" t="str">
        <f ca="1">IFERROR(INDEX($A$3:$G$400,MATCH(ROWS(AG$3:AG359),$Q$3:$Q$400,0),6),"")</f>
        <v/>
      </c>
      <c r="AH359" s="48" t="str">
        <f ca="1">IFERROR(INDEX($A$3:$G$400,MATCH(ROWS(AH$3:AH359),$Q$3:$Q$400,0),7),"")</f>
        <v/>
      </c>
      <c r="AI359" s="48" t="str">
        <f t="shared" ca="1" si="654"/>
        <v/>
      </c>
      <c r="AJ359" s="48" t="str">
        <f ca="1">IFERROR(INDEX($A$3:$H$400,MATCH(ROWS(AJ$3:AJ359),$Q$3:$Q$400,0),8),"")</f>
        <v/>
      </c>
      <c r="AZ359" s="48" t="str">
        <f t="shared" ca="1" si="669"/>
        <v/>
      </c>
      <c r="BA359" s="48">
        <f t="shared" ca="1" si="611"/>
        <v>0</v>
      </c>
      <c r="BB359" s="48">
        <f t="shared" ca="1" si="612"/>
        <v>0</v>
      </c>
      <c r="BC359" s="48">
        <f t="shared" ca="1" si="613"/>
        <v>0</v>
      </c>
      <c r="BD359" s="48">
        <f t="shared" ca="1" si="614"/>
        <v>0</v>
      </c>
      <c r="BE359" s="48">
        <f t="shared" ca="1" si="615"/>
        <v>0</v>
      </c>
      <c r="BF359" s="48">
        <f t="shared" si="670"/>
        <v>159</v>
      </c>
      <c r="BG359" s="48">
        <f ca="1">IF(IF(AND(OR(INDEX(PDC,MATCH($AC359,DEN_PDC,0),6)="SP DARE",INDEX(PDC,MATCH($AC359,DEN_PDC,0),6)="SP DARE/AVERE"),SUMIFS(DARE,DEN_G,$AC359)&gt;=SUMIFS(AVERE,DEN_G,$AC359)),SUMIFS(DARE,DEN_G,$AC359)-SUMIFS(AVERE,DEN_G,$AC359),0)&gt;0,MAX($BG$2:BG358)+1,0)</f>
        <v>0</v>
      </c>
      <c r="BH359" s="48">
        <f ca="1">IF(IF(AND(OR(INDEX(PDC,MATCH($AC359,DEN_PDC,0),6)="SP AVERE",INDEX(PDC,MATCH($AC359,DEN_PDC,0),6)="SP DARE/AVERE"),SUMIFS(AVERE,DEN_G,$AC359)&gt;=SUMIFS(DARE,DEN_G,$AC359)),SUMIFS(AVERE,DEN_G,$AC359)-SUMIFS(DARE,DEN_G,$AC359),0)&gt;0,MAX(BH$2:BH358)+1,0)</f>
        <v>0</v>
      </c>
      <c r="BI359" s="48">
        <f ca="1">IF(IF(AND(OR(INDEX(PDC,MATCH($AC359,DEN_PDC,0),6)="SE DARE",INDEX(PDC,MATCH($AC359,DEN_PDC,0),6)="SE DARE/AVERE"),SUMIFS(DARE,DEN_G,$AC359)&gt;=SUMIFS(AVERE,DEN_G,$AC359)),SUMIFS(DARE,DEN_G,$AC359)-SUMIFS(AVERE,DEN_G,$AC359),0)&gt;0,MAX(BI$2:BI358)+1,0)</f>
        <v>0</v>
      </c>
      <c r="BJ359" s="48">
        <f ca="1">IF(IF(AND(OR(INDEX(PDC,MATCH($AC359,DEN_PDC,0),6)="SE AVERE",INDEX(PDC,MATCH($AC359,DEN_PDC,0),6)="SE DARE/AVERE"),SUMIFS(AVERE,DEN_G,$AC359)&gt;=SUMIFS(DARE,DEN_G,$AC359)),SUMIFS(AVERE,DEN_G,$AC359)-SUMIFS(DARE,DEN_G,$AC359),0)&gt;0,MAX(BJ$2:BJ358)+1,0)</f>
        <v>0</v>
      </c>
      <c r="BK359" s="48" t="str">
        <f ca="1">IF(AND(AND($DY$2=0,$DY$1=0),$I$1=2,ROW()&gt;$BG$1+2,ROW()&lt;=$BG$1+4),"………………..",IF(AND(OR($DY$2&gt;0,$DY$1&gt;0),$I$1=2,ROW()&gt;$BG$1+2,ROW()&lt;=$BG$1+4),"………………..",IFERROR(INDEX($AC$3:$AC$398,MATCH(ROWS(BK$3:BK359),BG$3:BG$398,0),1),"")))</f>
        <v/>
      </c>
      <c r="BL359" s="48">
        <f t="shared" ca="1" si="637"/>
        <v>0</v>
      </c>
      <c r="BM359" s="48" t="str">
        <f ca="1">IF(AND(OR($DY$2=0,$DY$1=0),$I$1=2,ROW()&gt;$BH$1+2,ROW()&lt;=$BH$1+4),"………………..",IF(AND(OR($DY$2&gt;0,$DY$1&gt;0),$I$1=2,ROW()&gt;$BH$1+2,ROW()&lt;=$BH$1+4),"………………..",IFERROR(INDEX($AC$3:$AC$400,MATCH(ROWS(BM$3:BM359),BH$3:BH$400,0),1),"")))</f>
        <v/>
      </c>
      <c r="BN359" s="48">
        <f t="shared" ca="1" si="638"/>
        <v>0</v>
      </c>
      <c r="BO359" s="48" t="str">
        <f ca="1">IF(AND(OR($DY$2=0,$DY$1=0),$I$1=2,ROW()&gt;$BI$1+2,ROW()&lt;=$BI$1+4),"………………..",IF(AND(OR($DY$2&gt;0,$DY$1&gt;0),$I$1=2,ROW()&gt;$BI$1+2,ROW()&lt;=$BI$1+4),"………………..",IFERROR(INDEX($AC$3:$AC$400,MATCH(ROWS(BO$3:BO359),BI$3:BI$400,0),1),"")))</f>
        <v/>
      </c>
      <c r="BP359" s="48">
        <f t="shared" ca="1" si="639"/>
        <v>0</v>
      </c>
      <c r="BQ359" s="48" t="str">
        <f ca="1">IF(AND(OR($DY$2=0,$DY$1=0),$I$1=2,ROW()&gt;$BJ$1+2,ROW()&lt;=$BJ$1+4),"………………..",IF(AND(OR($DY$2&gt;0,$DY$1&gt;0),$I$1=2,ROW()&gt;$BJ$1+2,ROW()&lt;=$BJ$1+4),"………………..",IFERROR(INDEX($AC$3:$AC$400,MATCH(ROWS(BQ$3:BQ359),BJ$3:BJ$400,0),1),"")))</f>
        <v/>
      </c>
      <c r="BR359" s="48">
        <f t="shared" ca="1" si="640"/>
        <v>0</v>
      </c>
      <c r="BS359" s="48">
        <f ca="1">IF(IF(AND(OR(INDEX(PDC,MATCH($AC359,DEN_PDC,0),4)="D",INDEX(PDC,MATCH($AC359,DEN_PDC,0),4)="D/A"),SUMIFS(DARE,DEN_G,$AC359)&gt;=SUMIFS(AVERE,DEN_G,$AC359)),SUMIFS(DARE,DEN_G,$AC359),IF(AND(OR(INDEX(PDC,MATCH($AC359,DEN_PDC,0),4)="A",INDEX(PDC,MATCH($AC359,DEN_PDC,0),4)="D/A"),SUMIFS(AVERE,DEN_G,$AC359)&gt;=SUMIFS(DARE,DEN_G,$AC359)),SUMIFS(AVERE,DEN_G,$AC359),))&gt;0,MAX($BS$2:BS358)+1,0)</f>
        <v>0</v>
      </c>
      <c r="BT359" s="48" t="str">
        <f ca="1">IF($CO$1=0,"",IF(AND($I$1=2,ROW()&gt;$BR$1,ROW()&lt;=$BS$1)," …………….",IF(AND($E$1=1,$BX$1=1,$I$1=2,ROW()=$BQ$1),"TOTALI",IFERROR(INDEX(PDC,MATCH(ROWS(BT$3:BT359),BS$3:BS756,0),2),""))))</f>
        <v/>
      </c>
      <c r="BU359" s="48">
        <f t="shared" ca="1" si="641"/>
        <v>0</v>
      </c>
      <c r="BV359" s="48">
        <f t="shared" ca="1" si="642"/>
        <v>0</v>
      </c>
      <c r="BW359" s="48">
        <f t="shared" ca="1" si="643"/>
        <v>0</v>
      </c>
      <c r="BX359" s="48">
        <f t="shared" ca="1" si="644"/>
        <v>0</v>
      </c>
      <c r="BY359" s="48">
        <f ca="1">IF(OR(BW359&gt;0,BX359&gt;0),MAX($BY$2:BY358)+1,0)</f>
        <v>0</v>
      </c>
      <c r="BZ359" s="48" t="str">
        <f ca="1">IFERROR(INDEX($BT$3:$BY$400,MATCH(ROWS(BZ$3:BZ359),$BY$3:$BY$400,0),1),"")</f>
        <v/>
      </c>
      <c r="CA359" s="48" t="str">
        <f ca="1">IFERROR(INDEX($BT$3:$BY$400,MATCH(ROWS(CA$3:CA359),$BY$3:$BY$400,0),4),"")</f>
        <v/>
      </c>
      <c r="CB359" s="48" t="str">
        <f ca="1">IFERROR(INDEX($BT$3:$BY$400,MATCH(ROWS(CB$3:CB359),$BY$3:$BY$400,0),5),"")</f>
        <v/>
      </c>
      <c r="CC359" s="48" t="str">
        <f t="shared" ca="1" si="645"/>
        <v/>
      </c>
      <c r="CM359" s="242" t="str">
        <f t="shared" ca="1" si="655"/>
        <v/>
      </c>
      <c r="CN359" s="243">
        <f t="shared" ca="1" si="656"/>
        <v>0</v>
      </c>
      <c r="CO359" s="48" t="str">
        <f t="shared" ca="1" si="657"/>
        <v/>
      </c>
      <c r="CU359" s="48">
        <f ca="1">IF(SUMIFS(AVERE,DEN_G,AC359,AVERE,"&gt;"&amp;0)+SUMIFS(DARE,DEN_G,AC359,DARE,"&gt;"&amp;0)&gt;0,MAX($CU$2:CU358)+1,0)</f>
        <v>0</v>
      </c>
      <c r="CV359" s="48" t="str">
        <f ca="1">IF(IFERROR(INDEX(PDC,MATCH(ROWS($CV$3:CV359),$CU$3:$CU$400,0),2),"")="CONTO DI RISULTATO ECONOMICO","",IFERROR(INDEX(PDC,MATCH(ROWS($CV$3:CV359),$CU$3:$CU$400,0),2),""))</f>
        <v/>
      </c>
      <c r="CW359" s="48">
        <f ca="1">IFERROR(IF(CV359&lt;&gt;"",MAX($CW$2:CW358)+1,0),0)</f>
        <v>0</v>
      </c>
      <c r="CX359" s="48">
        <f t="shared" ca="1" si="689"/>
        <v>28</v>
      </c>
      <c r="CY359" s="48" t="str">
        <f t="shared" ca="1" si="688"/>
        <v>MASTRO</v>
      </c>
      <c r="CZ359" s="48" t="e">
        <f t="shared" ca="1" si="691"/>
        <v>#N/A</v>
      </c>
      <c r="DA359" s="48" t="str">
        <f t="shared" ca="1" si="695"/>
        <v/>
      </c>
      <c r="DB359" s="48" t="str">
        <f t="shared" ca="1" si="682"/>
        <v/>
      </c>
      <c r="DC359" s="48" t="str">
        <f t="shared" ca="1" si="692"/>
        <v/>
      </c>
      <c r="DD359" s="48" t="str">
        <f t="shared" ca="1" si="693"/>
        <v/>
      </c>
      <c r="DE359" s="48" t="str">
        <f t="shared" ca="1" si="694"/>
        <v/>
      </c>
      <c r="DF359" s="48">
        <f ca="1">IF(AND(CX359=$DF$1,CX359&lt;&gt;""),0,IF(AND(DB359&lt;&gt;"",OR(DB358&lt;&gt;"",DB360&lt;&gt;"")),MAX($DF$2:DF358)+1,0))</f>
        <v>0</v>
      </c>
      <c r="DH359" s="244"/>
      <c r="DN359" s="48">
        <f>IF(DI359&lt;&gt;"",MAX($DN$2:DN358)+1,0)</f>
        <v>0</v>
      </c>
      <c r="DQ359" s="227" t="s">
        <v>909</v>
      </c>
      <c r="DR359" s="228" t="s">
        <v>256</v>
      </c>
      <c r="DW359" s="48">
        <f ca="1">IF(DR359&lt;&gt;"",MAX($DW$2:DW358)+1,0)</f>
        <v>218</v>
      </c>
      <c r="DY359" s="48" t="str">
        <f t="shared" ca="1" si="647"/>
        <v/>
      </c>
      <c r="EL359" s="48">
        <f t="shared" ca="1" si="648"/>
        <v>0</v>
      </c>
      <c r="EM359" s="48">
        <f ca="1">IF(EL359&gt;=0,0,MAX($EM$2:EM358)+1)</f>
        <v>0</v>
      </c>
      <c r="EN359" s="48" t="str">
        <f t="shared" ca="1" si="658"/>
        <v/>
      </c>
      <c r="EO359" s="48" t="str">
        <f ca="1">IFERROR(INDEX($EM$3:$EN$400,MATCH(ROWS($EO$3:EO359),$EM$3:$EM$400,0),2),"")</f>
        <v/>
      </c>
      <c r="EP359" s="48">
        <f>ROW()</f>
        <v>359</v>
      </c>
      <c r="EQ359" s="48">
        <f t="shared" ca="1" si="649"/>
        <v>0</v>
      </c>
      <c r="ER359" s="48">
        <f ca="1">IF(ISNA(EQ359)=TRUE,MAX($ER$2:ER358)+1,0)</f>
        <v>0</v>
      </c>
      <c r="ES359" s="48" t="str">
        <f t="shared" ca="1" si="659"/>
        <v/>
      </c>
      <c r="ET359" s="48" t="str">
        <f ca="1">IFERROR(INDEX($ER$3:$ES$400,MATCH(ROWS($ET$3:ET359),$ER$3:$ER$400,0),2),"")</f>
        <v/>
      </c>
      <c r="EV359" s="48">
        <f ca="1">IFERROR(INDEX(LIBRO_GIORNALE!$O$11:$P$408,MATCH(ROWS($EV$2:EV358),LIBRO_GIORNALE!$P$11:$P$408,0),1),0)</f>
        <v>0</v>
      </c>
      <c r="EW359" s="48" t="str">
        <f t="shared" ca="1" si="629"/>
        <v>0</v>
      </c>
      <c r="EX359" s="48">
        <f t="shared" ca="1" si="660"/>
        <v>0</v>
      </c>
      <c r="EY359" s="48">
        <f ca="1">IF(EX359&gt;0,MAX($EY$2:EY358)+1,0)</f>
        <v>0</v>
      </c>
      <c r="EZ359" s="48">
        <f ca="1">IFERROR(INDEX($EX$3:$EX$400,MATCH(ROWS($EZ$3:EZ359),$EY$3:$EY$400,0),1),0)</f>
        <v>0</v>
      </c>
      <c r="FA359" s="48">
        <f ca="1">IF(EZ359&gt;0,0,MAX($FA$2:FA358)+1)</f>
        <v>357</v>
      </c>
      <c r="FB359" s="48">
        <f t="shared" ca="1" si="630"/>
        <v>0</v>
      </c>
      <c r="FC359" s="48">
        <f t="shared" ca="1" si="631"/>
        <v>357</v>
      </c>
      <c r="FD359" s="48">
        <f t="shared" ca="1" si="661"/>
        <v>357</v>
      </c>
      <c r="FE359" s="48">
        <f ca="1">IF(FD359=0,0,MAX($FE$2:FE358)+1)</f>
        <v>357</v>
      </c>
      <c r="FF359" s="48">
        <f ca="1">IFERROR(INDEX($FD$3:$FE$400,MATCH(ROWS($FF$3:FF359),$FE$3:$FE$400,0),1),"")</f>
        <v>357</v>
      </c>
      <c r="FG359" s="48">
        <f t="shared" si="610"/>
        <v>0</v>
      </c>
      <c r="FH359" s="48">
        <f t="shared" ca="1" si="662"/>
        <v>0</v>
      </c>
      <c r="FI359" s="48">
        <f ca="1">IF(FH359&lt;&gt;0,MAX($FI$2:FI358)+1,0)</f>
        <v>0</v>
      </c>
      <c r="FJ359" s="48" t="str">
        <f ca="1">IFERROR(INDEX($FH$3:$FI$400,MATCH(ROWS($FJ$3:FJ359),$FI$3:$FI$400,0),1),"")</f>
        <v/>
      </c>
      <c r="FK359" s="48">
        <f ca="1">IF(ABS(SUMIFS(DARE,DEN_G,"="&amp;FJ359,DATA,"&lt;="&amp;FINE_AC,DATA,"&gt;="&amp;INIZIO_A_PC)-SUMIFS(AVERE,DEN_G,"="&amp;FJ359,DATA,"&lt;="&amp;FINE_AC,DATA,"&gt;="&amp;INIZIO_A_PC))&gt;0,MAX($FK$2:FK358)+1,0)</f>
        <v>0</v>
      </c>
      <c r="FL359" s="48" t="str">
        <f ca="1">IF(AND(ROW()-2&lt;&gt;1,ROW()-2&lt;=$FK$1),CONCATENATE(" - ",IFERROR(INDEX($FJ$3:$FK$400,MATCH(ROWS($FL$3:FL359),$FK$3:$FK$400,0),1),"")),IFERROR(INDEX($FJ$3:$FK$400,MATCH(ROWS($FL$3:FL359),$FK$3:$FK$400,0),1),""))</f>
        <v/>
      </c>
      <c r="FM359" s="48">
        <f ca="1">IF(OR(B359="IVA ns/credito",B359="IVA NS/DEBITO",B359="IVA C/ACCONTO",B359="IMPOSTE C/ACCONTO",B359="CREDITI PER RITENUTE SUBITE",B359="CREDITI D'IMPOSTA"),MAX($FM$2:FM358)+1,0)</f>
        <v>0</v>
      </c>
      <c r="FN359" s="48" t="str">
        <f t="shared" ca="1" si="663"/>
        <v/>
      </c>
      <c r="FO359" s="48" t="str">
        <f ca="1">IFERROR(INDEX($FM$3:$FN$400,MATCH(ROWS($FO$3:FO359),$FM$3:$FM$400,0),2),"")</f>
        <v/>
      </c>
      <c r="FP359" s="48">
        <f ca="1">IF(ABS(SUMIFS(DARE,DEN_G,"="&amp;FO359,DATA,"&lt;="&amp;FINE_AC,DATA,"&gt;="&amp;INIZIO_A_PC)-SUMIFS(AVERE,DEN_G,"="&amp;FO359,DATA,"&lt;="&amp;FINE_AC,DATA,"&gt;="&amp;INIZIO_A_PC))&gt;0,MAX($FP$2:FP358)+1,0)</f>
        <v>0</v>
      </c>
      <c r="FQ359" s="48" t="str">
        <f ca="1">IF(AND(ROW()-2&lt;&gt;1,ROW()-2&lt;=$FP$1),CONCATENATE(" - ",IFERROR(INDEX($FO$3:$FP$400,MATCH(ROWS($FQ$3:FQ359),$FP$3:$FP$400,0),1),"")),IFERROR(INDEX($FO$3:$FP$400,MATCH(ROWS($FQ$3:FQ359),$FP$3:$FP$400,0),1),""))</f>
        <v/>
      </c>
    </row>
    <row r="360" spans="1:173" x14ac:dyDescent="0.3">
      <c r="A360" s="48" t="str">
        <f ca="1">IFERROR(IF($A$1=2,INDEX($DH$3:$DN$401,MATCH(ROWS(A$3:A360),$DN$3:$DN$401,0),COLUMN()),IF($A$1=1,INDEX($DQ$3:$DW$401,MATCH(ROWS(A$3:A360),$DW$3:$DW$401,0),COLUMN()),"")),"")</f>
        <v/>
      </c>
      <c r="B360" s="48" t="str">
        <f ca="1">IFERROR(IF($A$1=2,INDEX($DH$3:$DN$400,MATCH(ROWS(B$3:B360),$DN$3:$DN$400,0),COLUMN()),IF($A$1=1,INDEX($DQ$3:$DW$400,MATCH(ROWS(B$3:B360),$DW$3:$DW$400,0),COLUMN()),"")),"")</f>
        <v/>
      </c>
      <c r="D360" s="48" t="str">
        <f ca="1">IFERROR(IF($A$1=2,INDEX($DH$3:$DN$401,MATCH(ROWS(D$3:D360),$DN$3:$DN$401,0),COLUMN()),IF($A$1=1,INDEX($DQ$3:$DW$401,MATCH(ROWS(D$3:D360),$DW$3:$DW$401,0),COLUMN()),"")),"")</f>
        <v/>
      </c>
      <c r="E360" s="48" t="str">
        <f ca="1">IFERROR(IF($A$1=2,INDEX($DH$3:$DN$401,MATCH(ROWS(E$3:E360),$DN$3:$DN$401,0),COLUMN()),IF($A$1=1,INDEX($DQ$3:$DW$401,MATCH(ROWS(E$3:E360),$DW$3:$DW$401,0),COLUMN()),"")),"")</f>
        <v/>
      </c>
      <c r="F360" s="48" t="str">
        <f ca="1">IFERROR(IF($A$1=2,INDEX($DH$3:$DN$401,MATCH(ROWS(F$3:F360),$DN$3:$DN$401,0),COLUMN()),IF($A$1=1,INDEX($DQ$3:$DX$401,MATCH(ROWS(F$3:F360),$DW$3:$DW$401,0),COLUMN()),"")),"")</f>
        <v/>
      </c>
      <c r="G360" s="48" t="str">
        <f t="shared" ca="1" si="650"/>
        <v/>
      </c>
      <c r="H360" s="48" t="str">
        <f ca="1">IFERROR(IF($A$1=2,INDEX($DH$3:$DO$400,MATCH(ROWS(H$3:H360),$DN$3:$DN$400,0),COLUMN()),IF($A$1=1,INDEX($DQ$3:$DX$400,MATCH(ROWS(H$3:H360),$DW$3:$DW$400,0),COLUMN()),"")),"")</f>
        <v/>
      </c>
      <c r="M360" s="48">
        <f ca="1">IFERROR(IF(IF(MID($A360,3,3)=".00",MID(A360,1,2),"")&lt;&gt;"",MAX($M$2:M359)+1,0),"")</f>
        <v>0</v>
      </c>
      <c r="N360" s="48" t="str">
        <f t="shared" ca="1" si="651"/>
        <v/>
      </c>
      <c r="O360" s="48" t="str">
        <f ca="1">IF(IFERROR(INDEX($N$3:$O$300,MATCH(ROWS($O$3:O360),$M$3:$M$300,0),1),"")&lt;&gt;"",CONCATENATE(INDEX($N$3:$O$300,MATCH(ROWS($O$3:O360),$M$3:$M$300,0),1),".00"),"")</f>
        <v/>
      </c>
      <c r="P360" s="48" t="str">
        <f t="shared" ca="1" si="652"/>
        <v/>
      </c>
      <c r="Q360" s="48">
        <f ca="1">IF(M360&gt;=1,0,MAX($Q$2:Q359)+1)</f>
        <v>321</v>
      </c>
      <c r="U360" s="48" t="str">
        <f ca="1">IFERROR(INDEX(PDC,MATCH(ROWS(U$3:U360),$V$3:$V$400,0),2),"")</f>
        <v/>
      </c>
      <c r="V360" s="48">
        <f ca="1">IF(AND($T$1="VISUALIZZA TUTTI I CONTI",AA360&lt;&gt;""),MAX($V$2:V359)+1,IF(AND($U$2=2,AI360=$T$1),MAX($V$2:V359)+1,IF(AND($U$2=1,$T$1=AF360),MAX($V$2:V359)+1,0)))</f>
        <v>0</v>
      </c>
      <c r="AA360" s="48" t="str">
        <f t="shared" ca="1" si="653"/>
        <v/>
      </c>
      <c r="AB360" s="48" t="str">
        <f ca="1">IFERROR(INDEX($A$3:$G$400,MATCH(ROWS(AB$3:AB360),$Q$3:$Q$400,0),1),"")</f>
        <v/>
      </c>
      <c r="AC360" s="48" t="str">
        <f ca="1">IFERROR(INDEX($A$3:$G$400,MATCH(ROWS($AC$3:AC360),$Q$3:$Q$400,0),2),"")</f>
        <v/>
      </c>
      <c r="AD360" s="48">
        <f ca="1">IFERROR(INDEX($A$3:$G$400,MATCH(ROWS(AD$3:AD360),$Q$3:$Q$400,0),3),"")</f>
        <v>0</v>
      </c>
      <c r="AE360" s="48" t="str">
        <f ca="1">IFERROR(INDEX($A$3:$G$400,MATCH(ROWS(AE$3:AE360),$Q$3:$Q$400,0),4),"")</f>
        <v/>
      </c>
      <c r="AF360" s="48" t="str">
        <f ca="1">IFERROR(INDEX($A$3:$G$400,MATCH(ROWS(AF$3:AF360),$Q$3:$Q$400,0),5),"")</f>
        <v/>
      </c>
      <c r="AG360" s="48" t="str">
        <f ca="1">IFERROR(INDEX($A$3:$G$400,MATCH(ROWS(AG$3:AG360),$Q$3:$Q$400,0),6),"")</f>
        <v/>
      </c>
      <c r="AH360" s="48" t="str">
        <f ca="1">IFERROR(INDEX($A$3:$G$400,MATCH(ROWS(AH$3:AH360),$Q$3:$Q$400,0),7),"")</f>
        <v/>
      </c>
      <c r="AI360" s="48" t="str">
        <f t="shared" ca="1" si="654"/>
        <v/>
      </c>
      <c r="AJ360" s="48" t="str">
        <f ca="1">IFERROR(INDEX($A$3:$H$400,MATCH(ROWS(AJ$3:AJ360),$Q$3:$Q$400,0),8),"")</f>
        <v/>
      </c>
      <c r="AZ360" s="48" t="str">
        <f t="shared" ca="1" si="669"/>
        <v/>
      </c>
      <c r="BA360" s="48">
        <f t="shared" ca="1" si="611"/>
        <v>0</v>
      </c>
      <c r="BB360" s="48">
        <f t="shared" ca="1" si="612"/>
        <v>0</v>
      </c>
      <c r="BC360" s="48">
        <f t="shared" ca="1" si="613"/>
        <v>0</v>
      </c>
      <c r="BD360" s="48">
        <f t="shared" ca="1" si="614"/>
        <v>0</v>
      </c>
      <c r="BE360" s="48">
        <f t="shared" ca="1" si="615"/>
        <v>0</v>
      </c>
      <c r="BF360" s="48">
        <f t="shared" si="670"/>
        <v>160</v>
      </c>
      <c r="BG360" s="48">
        <f ca="1">IF(IF(AND(OR(INDEX(PDC,MATCH($AC360,DEN_PDC,0),6)="SP DARE",INDEX(PDC,MATCH($AC360,DEN_PDC,0),6)="SP DARE/AVERE"),SUMIFS(DARE,DEN_G,$AC360)&gt;=SUMIFS(AVERE,DEN_G,$AC360)),SUMIFS(DARE,DEN_G,$AC360)-SUMIFS(AVERE,DEN_G,$AC360),0)&gt;0,MAX($BG$2:BG359)+1,0)</f>
        <v>0</v>
      </c>
      <c r="BH360" s="48">
        <f ca="1">IF(IF(AND(OR(INDEX(PDC,MATCH($AC360,DEN_PDC,0),6)="SP AVERE",INDEX(PDC,MATCH($AC360,DEN_PDC,0),6)="SP DARE/AVERE"),SUMIFS(AVERE,DEN_G,$AC360)&gt;=SUMIFS(DARE,DEN_G,$AC360)),SUMIFS(AVERE,DEN_G,$AC360)-SUMIFS(DARE,DEN_G,$AC360),0)&gt;0,MAX(BH$2:BH359)+1,0)</f>
        <v>0</v>
      </c>
      <c r="BI360" s="48">
        <f ca="1">IF(IF(AND(OR(INDEX(PDC,MATCH($AC360,DEN_PDC,0),6)="SE DARE",INDEX(PDC,MATCH($AC360,DEN_PDC,0),6)="SE DARE/AVERE"),SUMIFS(DARE,DEN_G,$AC360)&gt;=SUMIFS(AVERE,DEN_G,$AC360)),SUMIFS(DARE,DEN_G,$AC360)-SUMIFS(AVERE,DEN_G,$AC360),0)&gt;0,MAX(BI$2:BI359)+1,0)</f>
        <v>0</v>
      </c>
      <c r="BJ360" s="48">
        <f ca="1">IF(IF(AND(OR(INDEX(PDC,MATCH($AC360,DEN_PDC,0),6)="SE AVERE",INDEX(PDC,MATCH($AC360,DEN_PDC,0),6)="SE DARE/AVERE"),SUMIFS(AVERE,DEN_G,$AC360)&gt;=SUMIFS(DARE,DEN_G,$AC360)),SUMIFS(AVERE,DEN_G,$AC360)-SUMIFS(DARE,DEN_G,$AC360),0)&gt;0,MAX(BJ$2:BJ359)+1,0)</f>
        <v>0</v>
      </c>
      <c r="BK360" s="48" t="str">
        <f ca="1">IF(AND(AND($DY$2=0,$DY$1=0),$I$1=2,ROW()&gt;$BG$1+2,ROW()&lt;=$BG$1+4),"………………..",IF(AND(OR($DY$2&gt;0,$DY$1&gt;0),$I$1=2,ROW()&gt;$BG$1+2,ROW()&lt;=$BG$1+4),"………………..",IFERROR(INDEX($AC$3:$AC$398,MATCH(ROWS(BK$3:BK360),BG$3:BG$398,0),1),"")))</f>
        <v/>
      </c>
      <c r="BL360" s="48">
        <f t="shared" ca="1" si="637"/>
        <v>0</v>
      </c>
      <c r="BM360" s="48" t="str">
        <f ca="1">IF(AND(OR($DY$2=0,$DY$1=0),$I$1=2,ROW()&gt;$BH$1+2,ROW()&lt;=$BH$1+4),"………………..",IF(AND(OR($DY$2&gt;0,$DY$1&gt;0),$I$1=2,ROW()&gt;$BH$1+2,ROW()&lt;=$BH$1+4),"………………..",IFERROR(INDEX($AC$3:$AC$400,MATCH(ROWS(BM$3:BM360),BH$3:BH$400,0),1),"")))</f>
        <v/>
      </c>
      <c r="BN360" s="48">
        <f t="shared" ca="1" si="638"/>
        <v>0</v>
      </c>
      <c r="BO360" s="48" t="str">
        <f ca="1">IF(AND(OR($DY$2=0,$DY$1=0),$I$1=2,ROW()&gt;$BI$1+2,ROW()&lt;=$BI$1+4),"………………..",IF(AND(OR($DY$2&gt;0,$DY$1&gt;0),$I$1=2,ROW()&gt;$BI$1+2,ROW()&lt;=$BI$1+4),"………………..",IFERROR(INDEX($AC$3:$AC$400,MATCH(ROWS(BO$3:BO360),BI$3:BI$400,0),1),"")))</f>
        <v/>
      </c>
      <c r="BP360" s="48">
        <f t="shared" ca="1" si="639"/>
        <v>0</v>
      </c>
      <c r="BQ360" s="48" t="str">
        <f ca="1">IF(AND(OR($DY$2=0,$DY$1=0),$I$1=2,ROW()&gt;$BJ$1+2,ROW()&lt;=$BJ$1+4),"………………..",IF(AND(OR($DY$2&gt;0,$DY$1&gt;0),$I$1=2,ROW()&gt;$BJ$1+2,ROW()&lt;=$BJ$1+4),"………………..",IFERROR(INDEX($AC$3:$AC$400,MATCH(ROWS(BQ$3:BQ360),BJ$3:BJ$400,0),1),"")))</f>
        <v/>
      </c>
      <c r="BR360" s="48">
        <f t="shared" ca="1" si="640"/>
        <v>0</v>
      </c>
      <c r="BS360" s="48">
        <f ca="1">IF(IF(AND(OR(INDEX(PDC,MATCH($AC360,DEN_PDC,0),4)="D",INDEX(PDC,MATCH($AC360,DEN_PDC,0),4)="D/A"),SUMIFS(DARE,DEN_G,$AC360)&gt;=SUMIFS(AVERE,DEN_G,$AC360)),SUMIFS(DARE,DEN_G,$AC360),IF(AND(OR(INDEX(PDC,MATCH($AC360,DEN_PDC,0),4)="A",INDEX(PDC,MATCH($AC360,DEN_PDC,0),4)="D/A"),SUMIFS(AVERE,DEN_G,$AC360)&gt;=SUMIFS(DARE,DEN_G,$AC360)),SUMIFS(AVERE,DEN_G,$AC360),))&gt;0,MAX($BS$2:BS359)+1,0)</f>
        <v>0</v>
      </c>
      <c r="BT360" s="48" t="str">
        <f ca="1">IF($CO$1=0,"",IF(AND($I$1=2,ROW()&gt;$BR$1,ROW()&lt;=$BS$1)," …………….",IF(AND($E$1=1,$BX$1=1,$I$1=2,ROW()=$BQ$1),"TOTALI",IFERROR(INDEX(PDC,MATCH(ROWS(BT$3:BT360),BS$3:BS757,0),2),""))))</f>
        <v/>
      </c>
      <c r="BU360" s="48">
        <f t="shared" ca="1" si="641"/>
        <v>0</v>
      </c>
      <c r="BV360" s="48">
        <f t="shared" ca="1" si="642"/>
        <v>0</v>
      </c>
      <c r="BW360" s="48">
        <f t="shared" ca="1" si="643"/>
        <v>0</v>
      </c>
      <c r="BX360" s="48">
        <f t="shared" ca="1" si="644"/>
        <v>0</v>
      </c>
      <c r="BY360" s="48">
        <f ca="1">IF(OR(BW360&gt;0,BX360&gt;0),MAX($BY$2:BY359)+1,0)</f>
        <v>0</v>
      </c>
      <c r="BZ360" s="48" t="str">
        <f ca="1">IFERROR(INDEX($BT$3:$BY$400,MATCH(ROWS(BZ$3:BZ360),$BY$3:$BY$400,0),1),"")</f>
        <v/>
      </c>
      <c r="CA360" s="48" t="str">
        <f ca="1">IFERROR(INDEX($BT$3:$BY$400,MATCH(ROWS(CA$3:CA360),$BY$3:$BY$400,0),4),"")</f>
        <v/>
      </c>
      <c r="CB360" s="48" t="str">
        <f ca="1">IFERROR(INDEX($BT$3:$BY$400,MATCH(ROWS(CB$3:CB360),$BY$3:$BY$400,0),5),"")</f>
        <v/>
      </c>
      <c r="CC360" s="48" t="str">
        <f t="shared" ca="1" si="645"/>
        <v/>
      </c>
      <c r="CM360" s="242" t="str">
        <f t="shared" ca="1" si="655"/>
        <v/>
      </c>
      <c r="CN360" s="243">
        <f t="shared" ca="1" si="656"/>
        <v>0</v>
      </c>
      <c r="CO360" s="48" t="str">
        <f t="shared" ca="1" si="657"/>
        <v/>
      </c>
      <c r="CU360" s="48">
        <f ca="1">IF(SUMIFS(AVERE,DEN_G,AC360,AVERE,"&gt;"&amp;0)+SUMIFS(DARE,DEN_G,AC360,DARE,"&gt;"&amp;0)&gt;0,MAX($CU$2:CU359)+1,0)</f>
        <v>0</v>
      </c>
      <c r="CV360" s="48" t="str">
        <f ca="1">IF(IFERROR(INDEX(PDC,MATCH(ROWS($CV$3:CV360),$CU$3:$CU$400,0),2),"")="CONTO DI RISULTATO ECONOMICO","",IFERROR(INDEX(PDC,MATCH(ROWS($CV$3:CV360),$CU$3:$CU$400,0),2),""))</f>
        <v/>
      </c>
      <c r="CW360" s="48">
        <f ca="1">IFERROR(IF(CV360&lt;&gt;"",MAX($CW$2:CW359)+1,0),0)</f>
        <v>0</v>
      </c>
      <c r="CX360" s="48">
        <f t="shared" ca="1" si="689"/>
        <v>28</v>
      </c>
      <c r="CY360" s="48" t="str">
        <f t="shared" ca="1" si="688"/>
        <v>MASTRO</v>
      </c>
      <c r="CZ360" s="48" t="e">
        <f t="shared" ca="1" si="691"/>
        <v>#N/A</v>
      </c>
      <c r="DA360" s="48" t="str">
        <f t="shared" ca="1" si="695"/>
        <v/>
      </c>
      <c r="DB360" s="48" t="str">
        <f t="shared" ca="1" si="682"/>
        <v/>
      </c>
      <c r="DC360" s="48" t="str">
        <f t="shared" ca="1" si="692"/>
        <v/>
      </c>
      <c r="DD360" s="48" t="str">
        <f t="shared" ca="1" si="693"/>
        <v/>
      </c>
      <c r="DE360" s="48" t="str">
        <f t="shared" ca="1" si="694"/>
        <v/>
      </c>
      <c r="DF360" s="48">
        <f ca="1">IF(AND(CX360=$DF$1,CX360&lt;&gt;""),0,IF(AND(DB360&lt;&gt;"",OR(DB359&lt;&gt;"",DB361&lt;&gt;"")),MAX($DF$2:DF359)+1,0))</f>
        <v>0</v>
      </c>
      <c r="DH360" s="244"/>
      <c r="DN360" s="48">
        <f>IF(DI360&lt;&gt;"",MAX($DN$2:DN359)+1,0)</f>
        <v>0</v>
      </c>
      <c r="DQ360" s="227" t="s">
        <v>910</v>
      </c>
      <c r="DR360" s="48" t="s">
        <v>1074</v>
      </c>
      <c r="DS360" s="48" t="s">
        <v>311</v>
      </c>
      <c r="DT360" s="48" t="s">
        <v>298</v>
      </c>
      <c r="DU360" s="48" t="s">
        <v>8</v>
      </c>
      <c r="DV360" s="48" t="s">
        <v>300</v>
      </c>
      <c r="DW360" s="48">
        <f ca="1">IF(DR360&lt;&gt;"",MAX($DW$2:DW359)+1,0)</f>
        <v>219</v>
      </c>
      <c r="DX360" s="48" t="s">
        <v>726</v>
      </c>
      <c r="DY360" s="48" t="str">
        <f t="shared" ca="1" si="647"/>
        <v/>
      </c>
      <c r="EL360" s="48">
        <f t="shared" ca="1" si="648"/>
        <v>0</v>
      </c>
      <c r="EM360" s="48">
        <f ca="1">IF(EL360&gt;=0,0,MAX($EM$2:EM359)+1)</f>
        <v>0</v>
      </c>
      <c r="EN360" s="48" t="str">
        <f t="shared" ca="1" si="658"/>
        <v/>
      </c>
      <c r="EO360" s="48" t="str">
        <f ca="1">IFERROR(INDEX($EM$3:$EN$400,MATCH(ROWS($EO$3:EO360),$EM$3:$EM$400,0),2),"")</f>
        <v/>
      </c>
      <c r="EP360" s="48">
        <f>ROW()</f>
        <v>360</v>
      </c>
      <c r="EQ360" s="48">
        <f t="shared" ca="1" si="649"/>
        <v>0</v>
      </c>
      <c r="ER360" s="48">
        <f ca="1">IF(ISNA(EQ360)=TRUE,MAX($ER$2:ER359)+1,0)</f>
        <v>0</v>
      </c>
      <c r="ES360" s="48" t="str">
        <f t="shared" ca="1" si="659"/>
        <v/>
      </c>
      <c r="ET360" s="48" t="str">
        <f ca="1">IFERROR(INDEX($ER$3:$ES$400,MATCH(ROWS($ET$3:ET360),$ER$3:$ER$400,0),2),"")</f>
        <v/>
      </c>
      <c r="EV360" s="48">
        <f ca="1">IFERROR(INDEX(LIBRO_GIORNALE!$O$11:$P$408,MATCH(ROWS($EV$2:EV359),LIBRO_GIORNALE!$P$11:$P$408,0),1),0)</f>
        <v>0</v>
      </c>
      <c r="EW360" s="48" t="str">
        <f t="shared" ca="1" si="629"/>
        <v>0</v>
      </c>
      <c r="EX360" s="48">
        <f t="shared" ca="1" si="660"/>
        <v>0</v>
      </c>
      <c r="EY360" s="48">
        <f ca="1">IF(EX360&gt;0,MAX($EY$2:EY359)+1,0)</f>
        <v>0</v>
      </c>
      <c r="EZ360" s="48">
        <f ca="1">IFERROR(INDEX($EX$3:$EX$400,MATCH(ROWS($EZ$3:EZ360),$EY$3:$EY$400,0),1),0)</f>
        <v>0</v>
      </c>
      <c r="FA360" s="48">
        <f ca="1">IF(EZ360&gt;0,0,MAX($FA$2:FA359)+1)</f>
        <v>358</v>
      </c>
      <c r="FB360" s="48">
        <f t="shared" ca="1" si="630"/>
        <v>0</v>
      </c>
      <c r="FC360" s="48">
        <f t="shared" ca="1" si="631"/>
        <v>358</v>
      </c>
      <c r="FD360" s="48">
        <f t="shared" ca="1" si="661"/>
        <v>358</v>
      </c>
      <c r="FE360" s="48">
        <f ca="1">IF(FD360=0,0,MAX($FE$2:FE359)+1)</f>
        <v>358</v>
      </c>
      <c r="FF360" s="48">
        <f ca="1">IFERROR(INDEX($FD$3:$FE$400,MATCH(ROWS($FF$3:FF360),$FE$3:$FE$400,0),1),"")</f>
        <v>358</v>
      </c>
      <c r="FG360" s="48">
        <f t="shared" ref="FG360:FG400" si="696">IF(AND(AL360&gt;0,AL360&gt;AL361,AL361&lt;&gt;0),1,0)</f>
        <v>0</v>
      </c>
      <c r="FH360" s="48">
        <f t="shared" ca="1" si="662"/>
        <v>0</v>
      </c>
      <c r="FI360" s="48">
        <f ca="1">IF(FH360&lt;&gt;0,MAX($FI$2:FI359)+1,0)</f>
        <v>0</v>
      </c>
      <c r="FJ360" s="48" t="str">
        <f ca="1">IFERROR(INDEX($FH$3:$FI$400,MATCH(ROWS($FJ$3:FJ360),$FI$3:$FI$400,0),1),"")</f>
        <v/>
      </c>
      <c r="FK360" s="48">
        <f ca="1">IF(ABS(SUMIFS(DARE,DEN_G,"="&amp;FJ360,DATA,"&lt;="&amp;FINE_AC,DATA,"&gt;="&amp;INIZIO_A_PC)-SUMIFS(AVERE,DEN_G,"="&amp;FJ360,DATA,"&lt;="&amp;FINE_AC,DATA,"&gt;="&amp;INIZIO_A_PC))&gt;0,MAX($FK$2:FK359)+1,0)</f>
        <v>0</v>
      </c>
      <c r="FL360" s="48" t="str">
        <f ca="1">IF(AND(ROW()-2&lt;&gt;1,ROW()-2&lt;=$FK$1),CONCATENATE(" - ",IFERROR(INDEX($FJ$3:$FK$400,MATCH(ROWS($FL$3:FL360),$FK$3:$FK$400,0),1),"")),IFERROR(INDEX($FJ$3:$FK$400,MATCH(ROWS($FL$3:FL360),$FK$3:$FK$400,0),1),""))</f>
        <v/>
      </c>
      <c r="FM360" s="48">
        <f ca="1">IF(OR(B360="IVA ns/credito",B360="IVA NS/DEBITO",B360="IVA C/ACCONTO",B360="IMPOSTE C/ACCONTO",B360="CREDITI PER RITENUTE SUBITE",B360="CREDITI D'IMPOSTA"),MAX($FM$2:FM359)+1,0)</f>
        <v>0</v>
      </c>
      <c r="FN360" s="48" t="str">
        <f t="shared" ca="1" si="663"/>
        <v/>
      </c>
      <c r="FO360" s="48" t="str">
        <f ca="1">IFERROR(INDEX($FM$3:$FN$400,MATCH(ROWS($FO$3:FO360),$FM$3:$FM$400,0),2),"")</f>
        <v/>
      </c>
      <c r="FP360" s="48">
        <f ca="1">IF(ABS(SUMIFS(DARE,DEN_G,"="&amp;FO360,DATA,"&lt;="&amp;FINE_AC,DATA,"&gt;="&amp;INIZIO_A_PC)-SUMIFS(AVERE,DEN_G,"="&amp;FO360,DATA,"&lt;="&amp;FINE_AC,DATA,"&gt;="&amp;INIZIO_A_PC))&gt;0,MAX($FP$2:FP359)+1,0)</f>
        <v>0</v>
      </c>
      <c r="FQ360" s="48" t="str">
        <f ca="1">IF(AND(ROW()-2&lt;&gt;1,ROW()-2&lt;=$FP$1),CONCATENATE(" - ",IFERROR(INDEX($FO$3:$FP$400,MATCH(ROWS($FQ$3:FQ360),$FP$3:$FP$400,0),1),"")),IFERROR(INDEX($FO$3:$FP$400,MATCH(ROWS($FQ$3:FQ360),$FP$3:$FP$400,0),1),""))</f>
        <v/>
      </c>
    </row>
    <row r="361" spans="1:173" x14ac:dyDescent="0.3">
      <c r="A361" s="48" t="str">
        <f ca="1">IFERROR(IF($A$1=2,INDEX($DH$3:$DN$401,MATCH(ROWS(A$3:A361),$DN$3:$DN$401,0),COLUMN()),IF($A$1=1,INDEX($DQ$3:$DW$401,MATCH(ROWS(A$3:A361),$DW$3:$DW$401,0),COLUMN()),"")),"")</f>
        <v/>
      </c>
      <c r="B361" s="48" t="str">
        <f ca="1">IFERROR(IF($A$1=2,INDEX($DH$3:$DN$400,MATCH(ROWS(B$3:B361),$DN$3:$DN$400,0),COLUMN()),IF($A$1=1,INDEX($DQ$3:$DW$400,MATCH(ROWS(B$3:B361),$DW$3:$DW$400,0),COLUMN()),"")),"")</f>
        <v/>
      </c>
      <c r="D361" s="48" t="str">
        <f ca="1">IFERROR(IF($A$1=2,INDEX($DH$3:$DN$401,MATCH(ROWS(D$3:D361),$DN$3:$DN$401,0),COLUMN()),IF($A$1=1,INDEX($DQ$3:$DW$401,MATCH(ROWS(D$3:D361),$DW$3:$DW$401,0),COLUMN()),"")),"")</f>
        <v/>
      </c>
      <c r="E361" s="48" t="str">
        <f ca="1">IFERROR(IF($A$1=2,INDEX($DH$3:$DN$401,MATCH(ROWS(E$3:E361),$DN$3:$DN$401,0),COLUMN()),IF($A$1=1,INDEX($DQ$3:$DW$401,MATCH(ROWS(E$3:E361),$DW$3:$DW$401,0),COLUMN()),"")),"")</f>
        <v/>
      </c>
      <c r="F361" s="48" t="str">
        <f ca="1">IFERROR(IF($A$1=2,INDEX($DH$3:$DN$401,MATCH(ROWS(F$3:F361),$DN$3:$DN$401,0),COLUMN()),IF($A$1=1,INDEX($DQ$3:$DX$401,MATCH(ROWS(F$3:F361),$DW$3:$DW$401,0),COLUMN()),"")),"")</f>
        <v/>
      </c>
      <c r="G361" s="48" t="str">
        <f t="shared" ca="1" si="650"/>
        <v/>
      </c>
      <c r="H361" s="48" t="str">
        <f ca="1">IFERROR(IF($A$1=2,INDEX($DH$3:$DO$400,MATCH(ROWS(H$3:H361),$DN$3:$DN$400,0),COLUMN()),IF($A$1=1,INDEX($DQ$3:$DX$400,MATCH(ROWS(H$3:H361),$DW$3:$DW$400,0),COLUMN()),"")),"")</f>
        <v/>
      </c>
      <c r="M361" s="48">
        <f ca="1">IFERROR(IF(IF(MID($A361,3,3)=".00",MID(A361,1,2),"")&lt;&gt;"",MAX($M$2:M360)+1,0),"")</f>
        <v>0</v>
      </c>
      <c r="N361" s="48" t="str">
        <f t="shared" ca="1" si="651"/>
        <v/>
      </c>
      <c r="O361" s="48" t="str">
        <f ca="1">IF(IFERROR(INDEX($N$3:$O$300,MATCH(ROWS($O$3:O361),$M$3:$M$300,0),1),"")&lt;&gt;"",CONCATENATE(INDEX($N$3:$O$300,MATCH(ROWS($O$3:O361),$M$3:$M$300,0),1),".00"),"")</f>
        <v/>
      </c>
      <c r="P361" s="48" t="str">
        <f t="shared" ca="1" si="652"/>
        <v/>
      </c>
      <c r="Q361" s="48">
        <f ca="1">IF(M361&gt;=1,0,MAX($Q$2:Q360)+1)</f>
        <v>322</v>
      </c>
      <c r="U361" s="48" t="str">
        <f ca="1">IFERROR(INDEX(PDC,MATCH(ROWS(U$3:U361),$V$3:$V$400,0),2),"")</f>
        <v/>
      </c>
      <c r="V361" s="48">
        <f ca="1">IF(AND($T$1="VISUALIZZA TUTTI I CONTI",AA361&lt;&gt;""),MAX($V$2:V360)+1,IF(AND($U$2=2,AI361=$T$1),MAX($V$2:V360)+1,IF(AND($U$2=1,$T$1=AF361),MAX($V$2:V360)+1,0)))</f>
        <v>0</v>
      </c>
      <c r="AA361" s="48" t="str">
        <f t="shared" ca="1" si="653"/>
        <v/>
      </c>
      <c r="AB361" s="48" t="str">
        <f ca="1">IFERROR(INDEX($A$3:$G$400,MATCH(ROWS(AB$3:AB361),$Q$3:$Q$400,0),1),"")</f>
        <v/>
      </c>
      <c r="AC361" s="48" t="str">
        <f ca="1">IFERROR(INDEX($A$3:$G$400,MATCH(ROWS($AC$3:AC361),$Q$3:$Q$400,0),2),"")</f>
        <v/>
      </c>
      <c r="AD361" s="48">
        <f ca="1">IFERROR(INDEX($A$3:$G$400,MATCH(ROWS(AD$3:AD361),$Q$3:$Q$400,0),3),"")</f>
        <v>0</v>
      </c>
      <c r="AE361" s="48" t="str">
        <f ca="1">IFERROR(INDEX($A$3:$G$400,MATCH(ROWS(AE$3:AE361),$Q$3:$Q$400,0),4),"")</f>
        <v/>
      </c>
      <c r="AF361" s="48" t="str">
        <f ca="1">IFERROR(INDEX($A$3:$G$400,MATCH(ROWS(AF$3:AF361),$Q$3:$Q$400,0),5),"")</f>
        <v/>
      </c>
      <c r="AG361" s="48" t="str">
        <f ca="1">IFERROR(INDEX($A$3:$G$400,MATCH(ROWS(AG$3:AG361),$Q$3:$Q$400,0),6),"")</f>
        <v/>
      </c>
      <c r="AH361" s="48" t="str">
        <f ca="1">IFERROR(INDEX($A$3:$G$400,MATCH(ROWS(AH$3:AH361),$Q$3:$Q$400,0),7),"")</f>
        <v/>
      </c>
      <c r="AI361" s="48" t="str">
        <f t="shared" ca="1" si="654"/>
        <v/>
      </c>
      <c r="AJ361" s="48" t="str">
        <f ca="1">IFERROR(INDEX($A$3:$H$400,MATCH(ROWS(AJ$3:AJ361),$Q$3:$Q$400,0),8),"")</f>
        <v/>
      </c>
      <c r="AZ361" s="48" t="str">
        <f t="shared" ca="1" si="669"/>
        <v/>
      </c>
      <c r="BA361" s="48">
        <f t="shared" ref="BA361:BA400" ca="1" si="697">IF(AND(BF361&lt;$BF$2,AL263&gt;=INIZIO_AC,AL263&gt;=INIZIO_A_PC,AL263&lt;=FINE_AC),AL263,0)</f>
        <v>0</v>
      </c>
      <c r="BB361" s="48">
        <f t="shared" ca="1" si="612"/>
        <v>0</v>
      </c>
      <c r="BC361" s="48">
        <f t="shared" ca="1" si="613"/>
        <v>0</v>
      </c>
      <c r="BD361" s="48">
        <f t="shared" ca="1" si="614"/>
        <v>0</v>
      </c>
      <c r="BE361" s="48">
        <f t="shared" ca="1" si="615"/>
        <v>0</v>
      </c>
      <c r="BF361" s="48">
        <f t="shared" si="670"/>
        <v>161</v>
      </c>
      <c r="BG361" s="48">
        <f ca="1">IF(IF(AND(OR(INDEX(PDC,MATCH($AC361,DEN_PDC,0),6)="SP DARE",INDEX(PDC,MATCH($AC361,DEN_PDC,0),6)="SP DARE/AVERE"),SUMIFS(DARE,DEN_G,$AC361)&gt;=SUMIFS(AVERE,DEN_G,$AC361)),SUMIFS(DARE,DEN_G,$AC361)-SUMIFS(AVERE,DEN_G,$AC361),0)&gt;0,MAX($BG$2:BG360)+1,0)</f>
        <v>0</v>
      </c>
      <c r="BH361" s="48">
        <f ca="1">IF(IF(AND(OR(INDEX(PDC,MATCH($AC361,DEN_PDC,0),6)="SP AVERE",INDEX(PDC,MATCH($AC361,DEN_PDC,0),6)="SP DARE/AVERE"),SUMIFS(AVERE,DEN_G,$AC361)&gt;=SUMIFS(DARE,DEN_G,$AC361)),SUMIFS(AVERE,DEN_G,$AC361)-SUMIFS(DARE,DEN_G,$AC361),0)&gt;0,MAX(BH$2:BH360)+1,0)</f>
        <v>0</v>
      </c>
      <c r="BI361" s="48">
        <f ca="1">IF(IF(AND(OR(INDEX(PDC,MATCH($AC361,DEN_PDC,0),6)="SE DARE",INDEX(PDC,MATCH($AC361,DEN_PDC,0),6)="SE DARE/AVERE"),SUMIFS(DARE,DEN_G,$AC361)&gt;=SUMIFS(AVERE,DEN_G,$AC361)),SUMIFS(DARE,DEN_G,$AC361)-SUMIFS(AVERE,DEN_G,$AC361),0)&gt;0,MAX(BI$2:BI360)+1,0)</f>
        <v>0</v>
      </c>
      <c r="BJ361" s="48">
        <f ca="1">IF(IF(AND(OR(INDEX(PDC,MATCH($AC361,DEN_PDC,0),6)="SE AVERE",INDEX(PDC,MATCH($AC361,DEN_PDC,0),6)="SE DARE/AVERE"),SUMIFS(AVERE,DEN_G,$AC361)&gt;=SUMIFS(DARE,DEN_G,$AC361)),SUMIFS(AVERE,DEN_G,$AC361)-SUMIFS(DARE,DEN_G,$AC361),0)&gt;0,MAX(BJ$2:BJ360)+1,0)</f>
        <v>0</v>
      </c>
      <c r="BK361" s="48" t="str">
        <f ca="1">IF(AND(AND($DY$2=0,$DY$1=0),$I$1=2,ROW()&gt;$BG$1+2,ROW()&lt;=$BG$1+4),"………………..",IF(AND(OR($DY$2&gt;0,$DY$1&gt;0),$I$1=2,ROW()&gt;$BG$1+2,ROW()&lt;=$BG$1+4),"………………..",IFERROR(INDEX($AC$3:$AC$398,MATCH(ROWS(BK$3:BK361),BG$3:BG$398,0),1),"")))</f>
        <v/>
      </c>
      <c r="BL361" s="48">
        <f t="shared" ca="1" si="637"/>
        <v>0</v>
      </c>
      <c r="BM361" s="48" t="str">
        <f ca="1">IF(AND(OR($DY$2=0,$DY$1=0),$I$1=2,ROW()&gt;$BH$1+2,ROW()&lt;=$BH$1+4),"………………..",IF(AND(OR($DY$2&gt;0,$DY$1&gt;0),$I$1=2,ROW()&gt;$BH$1+2,ROW()&lt;=$BH$1+4),"………………..",IFERROR(INDEX($AC$3:$AC$400,MATCH(ROWS(BM$3:BM361),BH$3:BH$400,0),1),"")))</f>
        <v/>
      </c>
      <c r="BN361" s="48">
        <f t="shared" ca="1" si="638"/>
        <v>0</v>
      </c>
      <c r="BO361" s="48" t="str">
        <f ca="1">IF(AND(OR($DY$2=0,$DY$1=0),$I$1=2,ROW()&gt;$BI$1+2,ROW()&lt;=$BI$1+4),"………………..",IF(AND(OR($DY$2&gt;0,$DY$1&gt;0),$I$1=2,ROW()&gt;$BI$1+2,ROW()&lt;=$BI$1+4),"………………..",IFERROR(INDEX($AC$3:$AC$400,MATCH(ROWS(BO$3:BO361),BI$3:BI$400,0),1),"")))</f>
        <v/>
      </c>
      <c r="BP361" s="48">
        <f t="shared" ca="1" si="639"/>
        <v>0</v>
      </c>
      <c r="BQ361" s="48" t="str">
        <f ca="1">IF(AND(OR($DY$2=0,$DY$1=0),$I$1=2,ROW()&gt;$BJ$1+2,ROW()&lt;=$BJ$1+4),"………………..",IF(AND(OR($DY$2&gt;0,$DY$1&gt;0),$I$1=2,ROW()&gt;$BJ$1+2,ROW()&lt;=$BJ$1+4),"………………..",IFERROR(INDEX($AC$3:$AC$400,MATCH(ROWS(BQ$3:BQ361),BJ$3:BJ$400,0),1),"")))</f>
        <v/>
      </c>
      <c r="BR361" s="48">
        <f t="shared" ca="1" si="640"/>
        <v>0</v>
      </c>
      <c r="BS361" s="48">
        <f ca="1">IF(IF(AND(OR(INDEX(PDC,MATCH($AC361,DEN_PDC,0),4)="D",INDEX(PDC,MATCH($AC361,DEN_PDC,0),4)="D/A"),SUMIFS(DARE,DEN_G,$AC361)&gt;=SUMIFS(AVERE,DEN_G,$AC361)),SUMIFS(DARE,DEN_G,$AC361),IF(AND(OR(INDEX(PDC,MATCH($AC361,DEN_PDC,0),4)="A",INDEX(PDC,MATCH($AC361,DEN_PDC,0),4)="D/A"),SUMIFS(AVERE,DEN_G,$AC361)&gt;=SUMIFS(DARE,DEN_G,$AC361)),SUMIFS(AVERE,DEN_G,$AC361),))&gt;0,MAX($BS$2:BS360)+1,0)</f>
        <v>0</v>
      </c>
      <c r="BT361" s="48" t="str">
        <f ca="1">IF($CO$1=0,"",IF(AND($I$1=2,ROW()&gt;$BR$1,ROW()&lt;=$BS$1)," …………….",IF(AND($E$1=1,$BX$1=1,$I$1=2,ROW()=$BQ$1),"TOTALI",IFERROR(INDEX(PDC,MATCH(ROWS(BT$3:BT361),BS$3:BS758,0),2),""))))</f>
        <v/>
      </c>
      <c r="BU361" s="48">
        <f t="shared" ca="1" si="641"/>
        <v>0</v>
      </c>
      <c r="BV361" s="48">
        <f t="shared" ca="1" si="642"/>
        <v>0</v>
      </c>
      <c r="BW361" s="48">
        <f t="shared" ca="1" si="643"/>
        <v>0</v>
      </c>
      <c r="BX361" s="48">
        <f t="shared" ca="1" si="644"/>
        <v>0</v>
      </c>
      <c r="BY361" s="48">
        <f ca="1">IF(OR(BW361&gt;0,BX361&gt;0),MAX($BY$2:BY360)+1,0)</f>
        <v>0</v>
      </c>
      <c r="BZ361" s="48" t="str">
        <f ca="1">IFERROR(INDEX($BT$3:$BY$400,MATCH(ROWS(BZ$3:BZ361),$BY$3:$BY$400,0),1),"")</f>
        <v/>
      </c>
      <c r="CA361" s="48" t="str">
        <f ca="1">IFERROR(INDEX($BT$3:$BY$400,MATCH(ROWS(CA$3:CA361),$BY$3:$BY$400,0),4),"")</f>
        <v/>
      </c>
      <c r="CB361" s="48" t="str">
        <f ca="1">IFERROR(INDEX($BT$3:$BY$400,MATCH(ROWS(CB$3:CB361),$BY$3:$BY$400,0),5),"")</f>
        <v/>
      </c>
      <c r="CC361" s="48" t="str">
        <f t="shared" ca="1" si="645"/>
        <v/>
      </c>
      <c r="CM361" s="242" t="str">
        <f t="shared" ca="1" si="655"/>
        <v/>
      </c>
      <c r="CN361" s="243">
        <f t="shared" ca="1" si="656"/>
        <v>0</v>
      </c>
      <c r="CO361" s="48" t="str">
        <f t="shared" ca="1" si="657"/>
        <v/>
      </c>
      <c r="CU361" s="48">
        <f ca="1">IF(SUMIFS(AVERE,DEN_G,AC361,AVERE,"&gt;"&amp;0)+SUMIFS(DARE,DEN_G,AC361,DARE,"&gt;"&amp;0)&gt;0,MAX($CU$2:CU360)+1,0)</f>
        <v>0</v>
      </c>
      <c r="CV361" s="48" t="str">
        <f ca="1">IF(IFERROR(INDEX(PDC,MATCH(ROWS($CV$3:CV361),$CU$3:$CU$400,0),2),"")="CONTO DI RISULTATO ECONOMICO","",IFERROR(INDEX(PDC,MATCH(ROWS($CV$3:CV361),$CU$3:$CU$400,0),2),""))</f>
        <v/>
      </c>
      <c r="CW361" s="48">
        <f ca="1">IFERROR(IF(CV361&lt;&gt;"",MAX($CW$2:CW360)+1,0),0)</f>
        <v>0</v>
      </c>
      <c r="CX361" s="48">
        <f t="shared" ca="1" si="689"/>
        <v>28</v>
      </c>
      <c r="CY361" s="48" t="str">
        <f t="shared" ca="1" si="688"/>
        <v>MASTRO</v>
      </c>
      <c r="CZ361" s="48" t="e">
        <f t="shared" ca="1" si="691"/>
        <v>#N/A</v>
      </c>
      <c r="DA361" s="48" t="str">
        <f t="shared" ca="1" si="695"/>
        <v/>
      </c>
      <c r="DB361" s="48" t="str">
        <f t="shared" ca="1" si="682"/>
        <v/>
      </c>
      <c r="DC361" s="48" t="str">
        <f t="shared" ca="1" si="692"/>
        <v/>
      </c>
      <c r="DD361" s="48" t="str">
        <f t="shared" ca="1" si="693"/>
        <v/>
      </c>
      <c r="DE361" s="48" t="str">
        <f t="shared" ca="1" si="694"/>
        <v/>
      </c>
      <c r="DF361" s="48">
        <f ca="1">IF(AND(CX361=$DF$1,CX361&lt;&gt;""),0,IF(AND(DB361&lt;&gt;"",OR(DB360&lt;&gt;"",DB362&lt;&gt;"")),MAX($DF$2:DF360)+1,0))</f>
        <v>0</v>
      </c>
      <c r="DH361" s="244" t="s">
        <v>909</v>
      </c>
      <c r="DI361" s="228" t="s">
        <v>256</v>
      </c>
      <c r="DN361" s="48">
        <f ca="1">IF(DI361&lt;&gt;"",MAX($DN$2:DN360)+1,0)</f>
        <v>289</v>
      </c>
      <c r="DQ361" s="227" t="s">
        <v>911</v>
      </c>
      <c r="DR361" s="48" t="s">
        <v>257</v>
      </c>
      <c r="DS361" s="48" t="s">
        <v>311</v>
      </c>
      <c r="DT361" s="48" t="s">
        <v>298</v>
      </c>
      <c r="DU361" s="48" t="s">
        <v>8</v>
      </c>
      <c r="DV361" s="48" t="s">
        <v>300</v>
      </c>
      <c r="DW361" s="48">
        <f ca="1">IF(DR361&lt;&gt;"",MAX($DW$2:DW360)+1,0)</f>
        <v>220</v>
      </c>
      <c r="DX361" s="48" t="s">
        <v>726</v>
      </c>
      <c r="DY361" s="48" t="str">
        <f t="shared" ca="1" si="647"/>
        <v/>
      </c>
      <c r="EL361" s="48">
        <f t="shared" ca="1" si="648"/>
        <v>0</v>
      </c>
      <c r="EM361" s="48">
        <f ca="1">IF(EL361&gt;=0,0,MAX($EM$2:EM360)+1)</f>
        <v>0</v>
      </c>
      <c r="EN361" s="48" t="str">
        <f t="shared" ca="1" si="658"/>
        <v/>
      </c>
      <c r="EO361" s="48" t="str">
        <f ca="1">IFERROR(INDEX($EM$3:$EN$400,MATCH(ROWS($EO$3:EO361),$EM$3:$EM$400,0),2),"")</f>
        <v/>
      </c>
      <c r="EP361" s="48">
        <f>ROW()</f>
        <v>361</v>
      </c>
      <c r="EQ361" s="48">
        <f t="shared" ca="1" si="649"/>
        <v>0</v>
      </c>
      <c r="ER361" s="48">
        <f ca="1">IF(ISNA(EQ361)=TRUE,MAX($ER$2:ER360)+1,0)</f>
        <v>0</v>
      </c>
      <c r="ES361" s="48" t="str">
        <f t="shared" ca="1" si="659"/>
        <v/>
      </c>
      <c r="ET361" s="48" t="str">
        <f ca="1">IFERROR(INDEX($ER$3:$ES$400,MATCH(ROWS($ET$3:ET361),$ER$3:$ER$400,0),2),"")</f>
        <v/>
      </c>
      <c r="EV361" s="48">
        <f ca="1">IFERROR(INDEX(LIBRO_GIORNALE!$O$11:$P$408,MATCH(ROWS($EV$2:EV360),LIBRO_GIORNALE!$P$11:$P$408,0),1),0)</f>
        <v>0</v>
      </c>
      <c r="EW361" s="48" t="str">
        <f t="shared" ca="1" si="629"/>
        <v>0</v>
      </c>
      <c r="EX361" s="48">
        <f t="shared" ca="1" si="660"/>
        <v>0</v>
      </c>
      <c r="EY361" s="48">
        <f ca="1">IF(EX361&gt;0,MAX($EY$2:EY360)+1,0)</f>
        <v>0</v>
      </c>
      <c r="EZ361" s="48">
        <f ca="1">IFERROR(INDEX($EX$3:$EX$400,MATCH(ROWS($EZ$3:EZ361),$EY$3:$EY$400,0),1),0)</f>
        <v>0</v>
      </c>
      <c r="FA361" s="48">
        <f ca="1">IF(EZ361&gt;0,0,MAX($FA$2:FA360)+1)</f>
        <v>359</v>
      </c>
      <c r="FB361" s="48">
        <f t="shared" ca="1" si="630"/>
        <v>0</v>
      </c>
      <c r="FC361" s="48">
        <f t="shared" ca="1" si="631"/>
        <v>359</v>
      </c>
      <c r="FD361" s="48">
        <f t="shared" ca="1" si="661"/>
        <v>359</v>
      </c>
      <c r="FE361" s="48">
        <f ca="1">IF(FD361=0,0,MAX($FE$2:FE360)+1)</f>
        <v>359</v>
      </c>
      <c r="FF361" s="48">
        <f ca="1">IFERROR(INDEX($FD$3:$FE$400,MATCH(ROWS($FF$3:FF361),$FE$3:$FE$400,0),1),"")</f>
        <v>359</v>
      </c>
      <c r="FG361" s="48">
        <f t="shared" si="696"/>
        <v>0</v>
      </c>
      <c r="FH361" s="48">
        <f t="shared" ca="1" si="662"/>
        <v>0</v>
      </c>
      <c r="FI361" s="48">
        <f ca="1">IF(FH361&lt;&gt;0,MAX($FI$2:FI360)+1,0)</f>
        <v>0</v>
      </c>
      <c r="FJ361" s="48" t="str">
        <f ca="1">IFERROR(INDEX($FH$3:$FI$400,MATCH(ROWS($FJ$3:FJ361),$FI$3:$FI$400,0),1),"")</f>
        <v/>
      </c>
      <c r="FK361" s="48">
        <f ca="1">IF(ABS(SUMIFS(DARE,DEN_G,"="&amp;FJ361,DATA,"&lt;="&amp;FINE_AC,DATA,"&gt;="&amp;INIZIO_A_PC)-SUMIFS(AVERE,DEN_G,"="&amp;FJ361,DATA,"&lt;="&amp;FINE_AC,DATA,"&gt;="&amp;INIZIO_A_PC))&gt;0,MAX($FK$2:FK360)+1,0)</f>
        <v>0</v>
      </c>
      <c r="FL361" s="48" t="str">
        <f ca="1">IF(AND(ROW()-2&lt;&gt;1,ROW()-2&lt;=$FK$1),CONCATENATE(" - ",IFERROR(INDEX($FJ$3:$FK$400,MATCH(ROWS($FL$3:FL361),$FK$3:$FK$400,0),1),"")),IFERROR(INDEX($FJ$3:$FK$400,MATCH(ROWS($FL$3:FL361),$FK$3:$FK$400,0),1),""))</f>
        <v/>
      </c>
      <c r="FM361" s="48">
        <f ca="1">IF(OR(B361="IVA ns/credito",B361="IVA NS/DEBITO",B361="IVA C/ACCONTO",B361="IMPOSTE C/ACCONTO",B361="CREDITI PER RITENUTE SUBITE",B361="CREDITI D'IMPOSTA"),MAX($FM$2:FM360)+1,0)</f>
        <v>0</v>
      </c>
      <c r="FN361" s="48" t="str">
        <f t="shared" ca="1" si="663"/>
        <v/>
      </c>
      <c r="FO361" s="48" t="str">
        <f ca="1">IFERROR(INDEX($FM$3:$FN$400,MATCH(ROWS($FO$3:FO361),$FM$3:$FM$400,0),2),"")</f>
        <v/>
      </c>
      <c r="FP361" s="48">
        <f ca="1">IF(ABS(SUMIFS(DARE,DEN_G,"="&amp;FO361,DATA,"&lt;="&amp;FINE_AC,DATA,"&gt;="&amp;INIZIO_A_PC)-SUMIFS(AVERE,DEN_G,"="&amp;FO361,DATA,"&lt;="&amp;FINE_AC,DATA,"&gt;="&amp;INIZIO_A_PC))&gt;0,MAX($FP$2:FP360)+1,0)</f>
        <v>0</v>
      </c>
      <c r="FQ361" s="48" t="str">
        <f ca="1">IF(AND(ROW()-2&lt;&gt;1,ROW()-2&lt;=$FP$1),CONCATENATE(" - ",IFERROR(INDEX($FO$3:$FP$400,MATCH(ROWS($FQ$3:FQ361),$FP$3:$FP$400,0),1),"")),IFERROR(INDEX($FO$3:$FP$400,MATCH(ROWS($FQ$3:FQ361),$FP$3:$FP$400,0),1),""))</f>
        <v/>
      </c>
    </row>
    <row r="362" spans="1:173" x14ac:dyDescent="0.3">
      <c r="A362" s="48" t="str">
        <f ca="1">IFERROR(IF($A$1=2,INDEX($DH$3:$DN$401,MATCH(ROWS(A$3:A362),$DN$3:$DN$401,0),COLUMN()),IF($A$1=1,INDEX($DQ$3:$DW$401,MATCH(ROWS(A$3:A362),$DW$3:$DW$401,0),COLUMN()),"")),"")</f>
        <v/>
      </c>
      <c r="B362" s="48" t="str">
        <f ca="1">IFERROR(IF($A$1=2,INDEX($DH$3:$DN$400,MATCH(ROWS(B$3:B362),$DN$3:$DN$400,0),COLUMN()),IF($A$1=1,INDEX($DQ$3:$DW$400,MATCH(ROWS(B$3:B362),$DW$3:$DW$400,0),COLUMN()),"")),"")</f>
        <v/>
      </c>
      <c r="D362" s="48" t="str">
        <f ca="1">IFERROR(IF($A$1=2,INDEX($DH$3:$DN$401,MATCH(ROWS(D$3:D362),$DN$3:$DN$401,0),COLUMN()),IF($A$1=1,INDEX($DQ$3:$DW$401,MATCH(ROWS(D$3:D362),$DW$3:$DW$401,0),COLUMN()),"")),"")</f>
        <v/>
      </c>
      <c r="E362" s="48" t="str">
        <f ca="1">IFERROR(IF($A$1=2,INDEX($DH$3:$DN$401,MATCH(ROWS(E$3:E362),$DN$3:$DN$401,0),COLUMN()),IF($A$1=1,INDEX($DQ$3:$DW$401,MATCH(ROWS(E$3:E362),$DW$3:$DW$401,0),COLUMN()),"")),"")</f>
        <v/>
      </c>
      <c r="F362" s="48" t="str">
        <f ca="1">IFERROR(IF($A$1=2,INDEX($DH$3:$DN$401,MATCH(ROWS(F$3:F362),$DN$3:$DN$401,0),COLUMN()),IF($A$1=1,INDEX($DQ$3:$DX$401,MATCH(ROWS(F$3:F362),$DW$3:$DW$401,0),COLUMN()),"")),"")</f>
        <v/>
      </c>
      <c r="G362" s="48" t="str">
        <f t="shared" ca="1" si="650"/>
        <v/>
      </c>
      <c r="H362" s="48" t="str">
        <f ca="1">IFERROR(IF($A$1=2,INDEX($DH$3:$DO$400,MATCH(ROWS(H$3:H362),$DN$3:$DN$400,0),COLUMN()),IF($A$1=1,INDEX($DQ$3:$DX$400,MATCH(ROWS(H$3:H362),$DW$3:$DW$400,0),COLUMN()),"")),"")</f>
        <v/>
      </c>
      <c r="M362" s="48">
        <f ca="1">IFERROR(IF(IF(MID($A362,3,3)=".00",MID(A362,1,2),"")&lt;&gt;"",MAX($M$2:M361)+1,0),"")</f>
        <v>0</v>
      </c>
      <c r="N362" s="48" t="str">
        <f t="shared" ca="1" si="651"/>
        <v/>
      </c>
      <c r="O362" s="48" t="str">
        <f ca="1">IF(IFERROR(INDEX($N$3:$O$300,MATCH(ROWS($O$3:O362),$M$3:$M$300,0),1),"")&lt;&gt;"",CONCATENATE(INDEX($N$3:$O$300,MATCH(ROWS($O$3:O362),$M$3:$M$300,0),1),".00"),"")</f>
        <v/>
      </c>
      <c r="P362" s="48" t="str">
        <f t="shared" ca="1" si="652"/>
        <v/>
      </c>
      <c r="Q362" s="48">
        <f ca="1">IF(M362&gt;=1,0,MAX($Q$2:Q361)+1)</f>
        <v>323</v>
      </c>
      <c r="U362" s="48" t="str">
        <f ca="1">IFERROR(INDEX(PDC,MATCH(ROWS(U$3:U362),$V$3:$V$400,0),2),"")</f>
        <v/>
      </c>
      <c r="V362" s="48">
        <f ca="1">IF(AND($T$1="VISUALIZZA TUTTI I CONTI",AA362&lt;&gt;""),MAX($V$2:V361)+1,IF(AND($U$2=2,AI362=$T$1),MAX($V$2:V361)+1,IF(AND($U$2=1,$T$1=AF362),MAX($V$2:V361)+1,0)))</f>
        <v>0</v>
      </c>
      <c r="AA362" s="48" t="str">
        <f t="shared" ca="1" si="653"/>
        <v/>
      </c>
      <c r="AB362" s="48" t="str">
        <f ca="1">IFERROR(INDEX($A$3:$G$400,MATCH(ROWS(AB$3:AB362),$Q$3:$Q$400,0),1),"")</f>
        <v/>
      </c>
      <c r="AC362" s="48" t="str">
        <f ca="1">IFERROR(INDEX($A$3:$G$400,MATCH(ROWS($AC$3:AC362),$Q$3:$Q$400,0),2),"")</f>
        <v/>
      </c>
      <c r="AD362" s="48">
        <f ca="1">IFERROR(INDEX($A$3:$G$400,MATCH(ROWS(AD$3:AD362),$Q$3:$Q$400,0),3),"")</f>
        <v>0</v>
      </c>
      <c r="AE362" s="48" t="str">
        <f ca="1">IFERROR(INDEX($A$3:$G$400,MATCH(ROWS(AE$3:AE362),$Q$3:$Q$400,0),4),"")</f>
        <v/>
      </c>
      <c r="AF362" s="48" t="str">
        <f ca="1">IFERROR(INDEX($A$3:$G$400,MATCH(ROWS(AF$3:AF362),$Q$3:$Q$400,0),5),"")</f>
        <v/>
      </c>
      <c r="AG362" s="48" t="str">
        <f ca="1">IFERROR(INDEX($A$3:$G$400,MATCH(ROWS(AG$3:AG362),$Q$3:$Q$400,0),6),"")</f>
        <v/>
      </c>
      <c r="AH362" s="48" t="str">
        <f ca="1">IFERROR(INDEX($A$3:$G$400,MATCH(ROWS(AH$3:AH362),$Q$3:$Q$400,0),7),"")</f>
        <v/>
      </c>
      <c r="AI362" s="48" t="str">
        <f t="shared" ca="1" si="654"/>
        <v/>
      </c>
      <c r="AJ362" s="48" t="str">
        <f ca="1">IFERROR(INDEX($A$3:$H$400,MATCH(ROWS(AJ$3:AJ362),$Q$3:$Q$400,0),8),"")</f>
        <v/>
      </c>
      <c r="AZ362" s="48" t="str">
        <f t="shared" ca="1" si="669"/>
        <v/>
      </c>
      <c r="BA362" s="48">
        <f t="shared" ca="1" si="697"/>
        <v>0</v>
      </c>
      <c r="BB362" s="48">
        <f t="shared" ref="BB362:BB400" ca="1" si="698">IF($BA362=0,0,IF(AND(BE362&gt;0,AM264="UTILE D'ESERCIZIO"),CONCATENATE("[",AM264),IF(AND(BD362&gt;0,AM264="PERDITA D'ESERCIZIO"),CONCATENATE("[",AM264),AM264)))</f>
        <v>0</v>
      </c>
      <c r="BC362" s="48">
        <f t="shared" ref="BC362:BC400" ca="1" si="699">IF($BA362=0,0,AN264)</f>
        <v>0</v>
      </c>
      <c r="BD362" s="48">
        <f t="shared" ref="BD362:BD400" ca="1" si="700">IF($BA362=0,0,AO264)</f>
        <v>0</v>
      </c>
      <c r="BE362" s="48">
        <f t="shared" ref="BE362:BE400" ca="1" si="701">IF($BA362=0,0,AP264)</f>
        <v>0</v>
      </c>
      <c r="BF362" s="48">
        <f t="shared" si="670"/>
        <v>162</v>
      </c>
      <c r="BG362" s="48">
        <f ca="1">IF(IF(AND(OR(INDEX(PDC,MATCH($AC362,DEN_PDC,0),6)="SP DARE",INDEX(PDC,MATCH($AC362,DEN_PDC,0),6)="SP DARE/AVERE"),SUMIFS(DARE,DEN_G,$AC362)&gt;=SUMIFS(AVERE,DEN_G,$AC362)),SUMIFS(DARE,DEN_G,$AC362)-SUMIFS(AVERE,DEN_G,$AC362),0)&gt;0,MAX($BG$2:BG361)+1,0)</f>
        <v>0</v>
      </c>
      <c r="BH362" s="48">
        <f ca="1">IF(IF(AND(OR(INDEX(PDC,MATCH($AC362,DEN_PDC,0),6)="SP AVERE",INDEX(PDC,MATCH($AC362,DEN_PDC,0),6)="SP DARE/AVERE"),SUMIFS(AVERE,DEN_G,$AC362)&gt;=SUMIFS(DARE,DEN_G,$AC362)),SUMIFS(AVERE,DEN_G,$AC362)-SUMIFS(DARE,DEN_G,$AC362),0)&gt;0,MAX(BH$2:BH361)+1,0)</f>
        <v>0</v>
      </c>
      <c r="BI362" s="48">
        <f ca="1">IF(IF(AND(OR(INDEX(PDC,MATCH($AC362,DEN_PDC,0),6)="SE DARE",INDEX(PDC,MATCH($AC362,DEN_PDC,0),6)="SE DARE/AVERE"),SUMIFS(DARE,DEN_G,$AC362)&gt;=SUMIFS(AVERE,DEN_G,$AC362)),SUMIFS(DARE,DEN_G,$AC362)-SUMIFS(AVERE,DEN_G,$AC362),0)&gt;0,MAX(BI$2:BI361)+1,0)</f>
        <v>0</v>
      </c>
      <c r="BJ362" s="48">
        <f ca="1">IF(IF(AND(OR(INDEX(PDC,MATCH($AC362,DEN_PDC,0),6)="SE AVERE",INDEX(PDC,MATCH($AC362,DEN_PDC,0),6)="SE DARE/AVERE"),SUMIFS(AVERE,DEN_G,$AC362)&gt;=SUMIFS(DARE,DEN_G,$AC362)),SUMIFS(AVERE,DEN_G,$AC362)-SUMIFS(DARE,DEN_G,$AC362),0)&gt;0,MAX(BJ$2:BJ361)+1,0)</f>
        <v>0</v>
      </c>
      <c r="BK362" s="48" t="str">
        <f ca="1">IF(AND(AND($DY$2=0,$DY$1=0),$I$1=2,ROW()&gt;$BG$1+2,ROW()&lt;=$BG$1+4),"………………..",IF(AND(OR($DY$2&gt;0,$DY$1&gt;0),$I$1=2,ROW()&gt;$BG$1+2,ROW()&lt;=$BG$1+4),"………………..",IFERROR(INDEX($AC$3:$AC$398,MATCH(ROWS(BK$3:BK362),BG$3:BG$398,0),1),"")))</f>
        <v/>
      </c>
      <c r="BL362" s="48">
        <f t="shared" ca="1" si="637"/>
        <v>0</v>
      </c>
      <c r="BM362" s="48" t="str">
        <f ca="1">IF(AND(OR($DY$2=0,$DY$1=0),$I$1=2,ROW()&gt;$BH$1+2,ROW()&lt;=$BH$1+4),"………………..",IF(AND(OR($DY$2&gt;0,$DY$1&gt;0),$I$1=2,ROW()&gt;$BH$1+2,ROW()&lt;=$BH$1+4),"………………..",IFERROR(INDEX($AC$3:$AC$400,MATCH(ROWS(BM$3:BM362),BH$3:BH$400,0),1),"")))</f>
        <v/>
      </c>
      <c r="BN362" s="48">
        <f t="shared" ca="1" si="638"/>
        <v>0</v>
      </c>
      <c r="BO362" s="48" t="str">
        <f ca="1">IF(AND(OR($DY$2=0,$DY$1=0),$I$1=2,ROW()&gt;$BI$1+2,ROW()&lt;=$BI$1+4),"………………..",IF(AND(OR($DY$2&gt;0,$DY$1&gt;0),$I$1=2,ROW()&gt;$BI$1+2,ROW()&lt;=$BI$1+4),"………………..",IFERROR(INDEX($AC$3:$AC$400,MATCH(ROWS(BO$3:BO362),BI$3:BI$400,0),1),"")))</f>
        <v/>
      </c>
      <c r="BP362" s="48">
        <f t="shared" ca="1" si="639"/>
        <v>0</v>
      </c>
      <c r="BQ362" s="48" t="str">
        <f ca="1">IF(AND(OR($DY$2=0,$DY$1=0),$I$1=2,ROW()&gt;$BJ$1+2,ROW()&lt;=$BJ$1+4),"………………..",IF(AND(OR($DY$2&gt;0,$DY$1&gt;0),$I$1=2,ROW()&gt;$BJ$1+2,ROW()&lt;=$BJ$1+4),"………………..",IFERROR(INDEX($AC$3:$AC$400,MATCH(ROWS(BQ$3:BQ362),BJ$3:BJ$400,0),1),"")))</f>
        <v/>
      </c>
      <c r="BR362" s="48">
        <f t="shared" ca="1" si="640"/>
        <v>0</v>
      </c>
      <c r="BS362" s="48">
        <f ca="1">IF(IF(AND(OR(INDEX(PDC,MATCH($AC362,DEN_PDC,0),4)="D",INDEX(PDC,MATCH($AC362,DEN_PDC,0),4)="D/A"),SUMIFS(DARE,DEN_G,$AC362)&gt;=SUMIFS(AVERE,DEN_G,$AC362)),SUMIFS(DARE,DEN_G,$AC362),IF(AND(OR(INDEX(PDC,MATCH($AC362,DEN_PDC,0),4)="A",INDEX(PDC,MATCH($AC362,DEN_PDC,0),4)="D/A"),SUMIFS(AVERE,DEN_G,$AC362)&gt;=SUMIFS(DARE,DEN_G,$AC362)),SUMIFS(AVERE,DEN_G,$AC362),))&gt;0,MAX($BS$2:BS361)+1,0)</f>
        <v>0</v>
      </c>
      <c r="BT362" s="48" t="str">
        <f ca="1">IF($CO$1=0,"",IF(AND($I$1=2,ROW()&gt;$BR$1,ROW()&lt;=$BS$1)," …………….",IF(AND($E$1=1,$BX$1=1,$I$1=2,ROW()=$BQ$1),"TOTALI",IFERROR(INDEX(PDC,MATCH(ROWS(BT$3:BT362),BS$3:BS759,0),2),""))))</f>
        <v/>
      </c>
      <c r="BU362" s="48">
        <f t="shared" ca="1" si="641"/>
        <v>0</v>
      </c>
      <c r="BV362" s="48">
        <f t="shared" ca="1" si="642"/>
        <v>0</v>
      </c>
      <c r="BW362" s="48">
        <f t="shared" ca="1" si="643"/>
        <v>0</v>
      </c>
      <c r="BX362" s="48">
        <f t="shared" ca="1" si="644"/>
        <v>0</v>
      </c>
      <c r="BY362" s="48">
        <f ca="1">IF(OR(BW362&gt;0,BX362&gt;0),MAX($BY$2:BY361)+1,0)</f>
        <v>0</v>
      </c>
      <c r="BZ362" s="48" t="str">
        <f ca="1">IFERROR(INDEX($BT$3:$BY$400,MATCH(ROWS(BZ$3:BZ362),$BY$3:$BY$400,0),1),"")</f>
        <v/>
      </c>
      <c r="CA362" s="48" t="str">
        <f ca="1">IFERROR(INDEX($BT$3:$BY$400,MATCH(ROWS(CA$3:CA362),$BY$3:$BY$400,0),4),"")</f>
        <v/>
      </c>
      <c r="CB362" s="48" t="str">
        <f ca="1">IFERROR(INDEX($BT$3:$BY$400,MATCH(ROWS(CB$3:CB362),$BY$3:$BY$400,0),5),"")</f>
        <v/>
      </c>
      <c r="CC362" s="48" t="str">
        <f t="shared" ca="1" si="645"/>
        <v/>
      </c>
      <c r="CM362" s="242" t="str">
        <f t="shared" ca="1" si="655"/>
        <v/>
      </c>
      <c r="CN362" s="243">
        <f t="shared" ca="1" si="656"/>
        <v>0</v>
      </c>
      <c r="CO362" s="48" t="str">
        <f t="shared" ca="1" si="657"/>
        <v/>
      </c>
      <c r="CU362" s="48">
        <f ca="1">IF(SUMIFS(AVERE,DEN_G,AC362,AVERE,"&gt;"&amp;0)+SUMIFS(DARE,DEN_G,AC362,DARE,"&gt;"&amp;0)&gt;0,MAX($CU$2:CU361)+1,0)</f>
        <v>0</v>
      </c>
      <c r="CV362" s="48" t="str">
        <f ca="1">IF(IFERROR(INDEX(PDC,MATCH(ROWS($CV$3:CV362),$CU$3:$CU$400,0),2),"")="CONTO DI RISULTATO ECONOMICO","",IFERROR(INDEX(PDC,MATCH(ROWS($CV$3:CV362),$CU$3:$CU$400,0),2),""))</f>
        <v/>
      </c>
      <c r="CW362" s="48">
        <f ca="1">IFERROR(IF(CV362&lt;&gt;"",MAX($CW$2:CW361)+1,0),0)</f>
        <v>0</v>
      </c>
      <c r="CX362" s="48">
        <f t="shared" ca="1" si="689"/>
        <v>28</v>
      </c>
      <c r="CY362" s="48" t="str">
        <f t="shared" ca="1" si="688"/>
        <v>MASTRO</v>
      </c>
      <c r="CZ362" s="48" t="e">
        <f t="shared" ca="1" si="691"/>
        <v>#N/A</v>
      </c>
      <c r="DA362" s="48" t="str">
        <f t="shared" ca="1" si="695"/>
        <v/>
      </c>
      <c r="DB362" s="48" t="str">
        <f t="shared" ca="1" si="682"/>
        <v/>
      </c>
      <c r="DC362" s="48" t="str">
        <f t="shared" ca="1" si="692"/>
        <v/>
      </c>
      <c r="DD362" s="48" t="str">
        <f t="shared" ca="1" si="693"/>
        <v/>
      </c>
      <c r="DE362" s="48" t="str">
        <f t="shared" ca="1" si="694"/>
        <v/>
      </c>
      <c r="DF362" s="48">
        <f ca="1">IF(AND(CX362=$DF$1,CX362&lt;&gt;""),0,IF(AND(DB362&lt;&gt;"",OR(DB361&lt;&gt;"",DB363&lt;&gt;"")),MAX($DF$2:DF361)+1,0))</f>
        <v>0</v>
      </c>
      <c r="DH362" s="244" t="s">
        <v>910</v>
      </c>
      <c r="DI362" s="48" t="s">
        <v>456</v>
      </c>
      <c r="DJ362" s="48" t="s">
        <v>311</v>
      </c>
      <c r="DK362" s="48" t="s">
        <v>298</v>
      </c>
      <c r="DL362" s="48" t="s">
        <v>8</v>
      </c>
      <c r="DM362" s="48" t="s">
        <v>300</v>
      </c>
      <c r="DN362" s="48">
        <f ca="1">IF(DI362&lt;&gt;"",MAX($DN$2:DN361)+1,0)</f>
        <v>290</v>
      </c>
      <c r="DO362" s="48" t="s">
        <v>723</v>
      </c>
      <c r="DQ362" s="227" t="s">
        <v>1076</v>
      </c>
      <c r="DR362" s="48" t="s">
        <v>258</v>
      </c>
      <c r="DS362" s="48" t="s">
        <v>311</v>
      </c>
      <c r="DT362" s="48" t="s">
        <v>298</v>
      </c>
      <c r="DU362" s="48" t="s">
        <v>8</v>
      </c>
      <c r="DV362" s="48" t="s">
        <v>300</v>
      </c>
      <c r="DW362" s="48">
        <f ca="1">IF(DR362&lt;&gt;"",MAX($DW$2:DW361)+1,0)</f>
        <v>221</v>
      </c>
      <c r="DX362" s="48" t="s">
        <v>726</v>
      </c>
      <c r="DY362" s="48" t="str">
        <f t="shared" ca="1" si="647"/>
        <v/>
      </c>
      <c r="EL362" s="48">
        <f t="shared" ca="1" si="648"/>
        <v>0</v>
      </c>
      <c r="EM362" s="48">
        <f ca="1">IF(EL362&gt;=0,0,MAX($EM$2:EM361)+1)</f>
        <v>0</v>
      </c>
      <c r="EN362" s="48" t="str">
        <f t="shared" ca="1" si="658"/>
        <v/>
      </c>
      <c r="EO362" s="48" t="str">
        <f ca="1">IFERROR(INDEX($EM$3:$EN$400,MATCH(ROWS($EO$3:EO362),$EM$3:$EM$400,0),2),"")</f>
        <v/>
      </c>
      <c r="EP362" s="48">
        <f>ROW()</f>
        <v>362</v>
      </c>
      <c r="EQ362" s="48">
        <f t="shared" ca="1" si="649"/>
        <v>0</v>
      </c>
      <c r="ER362" s="48">
        <f ca="1">IF(ISNA(EQ362)=TRUE,MAX($ER$2:ER361)+1,0)</f>
        <v>0</v>
      </c>
      <c r="ES362" s="48" t="str">
        <f t="shared" ca="1" si="659"/>
        <v/>
      </c>
      <c r="ET362" s="48" t="str">
        <f ca="1">IFERROR(INDEX($ER$3:$ES$400,MATCH(ROWS($ET$3:ET362),$ER$3:$ER$400,0),2),"")</f>
        <v/>
      </c>
      <c r="EV362" s="48">
        <f ca="1">IFERROR(INDEX(LIBRO_GIORNALE!$O$11:$P$408,MATCH(ROWS($EV$2:EV361),LIBRO_GIORNALE!$P$11:$P$408,0),1),0)</f>
        <v>0</v>
      </c>
      <c r="EW362" s="48" t="str">
        <f t="shared" ca="1" si="629"/>
        <v>0</v>
      </c>
      <c r="EX362" s="48">
        <f t="shared" ca="1" si="660"/>
        <v>0</v>
      </c>
      <c r="EY362" s="48">
        <f ca="1">IF(EX362&gt;0,MAX($EY$2:EY361)+1,0)</f>
        <v>0</v>
      </c>
      <c r="EZ362" s="48">
        <f ca="1">IFERROR(INDEX($EX$3:$EX$400,MATCH(ROWS($EZ$3:EZ362),$EY$3:$EY$400,0),1),0)</f>
        <v>0</v>
      </c>
      <c r="FA362" s="48">
        <f ca="1">IF(EZ362&gt;0,0,MAX($FA$2:FA361)+1)</f>
        <v>360</v>
      </c>
      <c r="FB362" s="48">
        <f t="shared" ca="1" si="630"/>
        <v>0</v>
      </c>
      <c r="FC362" s="48">
        <f t="shared" ca="1" si="631"/>
        <v>360</v>
      </c>
      <c r="FD362" s="48">
        <f t="shared" ca="1" si="661"/>
        <v>360</v>
      </c>
      <c r="FE362" s="48">
        <f ca="1">IF(FD362=0,0,MAX($FE$2:FE361)+1)</f>
        <v>360</v>
      </c>
      <c r="FF362" s="48">
        <f ca="1">IFERROR(INDEX($FD$3:$FE$400,MATCH(ROWS($FF$3:FF362),$FE$3:$FE$400,0),1),"")</f>
        <v>360</v>
      </c>
      <c r="FG362" s="48">
        <f t="shared" si="696"/>
        <v>0</v>
      </c>
      <c r="FH362" s="48">
        <f t="shared" ca="1" si="662"/>
        <v>0</v>
      </c>
      <c r="FI362" s="48">
        <f ca="1">IF(FH362&lt;&gt;0,MAX($FI$2:FI361)+1,0)</f>
        <v>0</v>
      </c>
      <c r="FJ362" s="48" t="str">
        <f ca="1">IFERROR(INDEX($FH$3:$FI$400,MATCH(ROWS($FJ$3:FJ362),$FI$3:$FI$400,0),1),"")</f>
        <v/>
      </c>
      <c r="FK362" s="48">
        <f ca="1">IF(ABS(SUMIFS(DARE,DEN_G,"="&amp;FJ362,DATA,"&lt;="&amp;FINE_AC,DATA,"&gt;="&amp;INIZIO_A_PC)-SUMIFS(AVERE,DEN_G,"="&amp;FJ362,DATA,"&lt;="&amp;FINE_AC,DATA,"&gt;="&amp;INIZIO_A_PC))&gt;0,MAX($FK$2:FK361)+1,0)</f>
        <v>0</v>
      </c>
      <c r="FL362" s="48" t="str">
        <f ca="1">IF(AND(ROW()-2&lt;&gt;1,ROW()-2&lt;=$FK$1),CONCATENATE(" - ",IFERROR(INDEX($FJ$3:$FK$400,MATCH(ROWS($FL$3:FL362),$FK$3:$FK$400,0),1),"")),IFERROR(INDEX($FJ$3:$FK$400,MATCH(ROWS($FL$3:FL362),$FK$3:$FK$400,0),1),""))</f>
        <v/>
      </c>
      <c r="FM362" s="48">
        <f ca="1">IF(OR(B362="IVA ns/credito",B362="IVA NS/DEBITO",B362="IVA C/ACCONTO",B362="IMPOSTE C/ACCONTO",B362="CREDITI PER RITENUTE SUBITE",B362="CREDITI D'IMPOSTA"),MAX($FM$2:FM361)+1,0)</f>
        <v>0</v>
      </c>
      <c r="FN362" s="48" t="str">
        <f t="shared" ca="1" si="663"/>
        <v/>
      </c>
      <c r="FO362" s="48" t="str">
        <f ca="1">IFERROR(INDEX($FM$3:$FN$400,MATCH(ROWS($FO$3:FO362),$FM$3:$FM$400,0),2),"")</f>
        <v/>
      </c>
      <c r="FP362" s="48">
        <f ca="1">IF(ABS(SUMIFS(DARE,DEN_G,"="&amp;FO362,DATA,"&lt;="&amp;FINE_AC,DATA,"&gt;="&amp;INIZIO_A_PC)-SUMIFS(AVERE,DEN_G,"="&amp;FO362,DATA,"&lt;="&amp;FINE_AC,DATA,"&gt;="&amp;INIZIO_A_PC))&gt;0,MAX($FP$2:FP361)+1,0)</f>
        <v>0</v>
      </c>
      <c r="FQ362" s="48" t="str">
        <f ca="1">IF(AND(ROW()-2&lt;&gt;1,ROW()-2&lt;=$FP$1),CONCATENATE(" - ",IFERROR(INDEX($FO$3:$FP$400,MATCH(ROWS($FQ$3:FQ362),$FP$3:$FP$400,0),1),"")),IFERROR(INDEX($FO$3:$FP$400,MATCH(ROWS($FQ$3:FQ362),$FP$3:$FP$400,0),1),""))</f>
        <v/>
      </c>
    </row>
    <row r="363" spans="1:173" x14ac:dyDescent="0.3">
      <c r="A363" s="48" t="str">
        <f ca="1">IFERROR(IF($A$1=2,INDEX($DH$3:$DN$401,MATCH(ROWS(A$3:A363),$DN$3:$DN$401,0),COLUMN()),IF($A$1=1,INDEX($DQ$3:$DW$401,MATCH(ROWS(A$3:A363),$DW$3:$DW$401,0),COLUMN()),"")),"")</f>
        <v/>
      </c>
      <c r="B363" s="48" t="str">
        <f ca="1">IFERROR(IF($A$1=2,INDEX($DH$3:$DN$400,MATCH(ROWS(B$3:B363),$DN$3:$DN$400,0),COLUMN()),IF($A$1=1,INDEX($DQ$3:$DW$400,MATCH(ROWS(B$3:B363),$DW$3:$DW$400,0),COLUMN()),"")),"")</f>
        <v/>
      </c>
      <c r="D363" s="48" t="str">
        <f ca="1">IFERROR(IF($A$1=2,INDEX($DH$3:$DN$401,MATCH(ROWS(D$3:D363),$DN$3:$DN$401,0),COLUMN()),IF($A$1=1,INDEX($DQ$3:$DW$401,MATCH(ROWS(D$3:D363),$DW$3:$DW$401,0),COLUMN()),"")),"")</f>
        <v/>
      </c>
      <c r="E363" s="48" t="str">
        <f ca="1">IFERROR(IF($A$1=2,INDEX($DH$3:$DN$401,MATCH(ROWS(E$3:E363),$DN$3:$DN$401,0),COLUMN()),IF($A$1=1,INDEX($DQ$3:$DW$401,MATCH(ROWS(E$3:E363),$DW$3:$DW$401,0),COLUMN()),"")),"")</f>
        <v/>
      </c>
      <c r="F363" s="48" t="str">
        <f ca="1">IFERROR(IF($A$1=2,INDEX($DH$3:$DN$401,MATCH(ROWS(F$3:F363),$DN$3:$DN$401,0),COLUMN()),IF($A$1=1,INDEX($DQ$3:$DX$401,MATCH(ROWS(F$3:F363),$DW$3:$DW$401,0),COLUMN()),"")),"")</f>
        <v/>
      </c>
      <c r="G363" s="48" t="str">
        <f t="shared" ca="1" si="650"/>
        <v/>
      </c>
      <c r="H363" s="48" t="str">
        <f ca="1">IFERROR(IF($A$1=2,INDEX($DH$3:$DO$400,MATCH(ROWS(H$3:H363),$DN$3:$DN$400,0),COLUMN()),IF($A$1=1,INDEX($DQ$3:$DX$400,MATCH(ROWS(H$3:H363),$DW$3:$DW$400,0),COLUMN()),"")),"")</f>
        <v/>
      </c>
      <c r="M363" s="48">
        <f ca="1">IFERROR(IF(IF(MID($A363,3,3)=".00",MID(A363,1,2),"")&lt;&gt;"",MAX($M$2:M362)+1,0),"")</f>
        <v>0</v>
      </c>
      <c r="N363" s="48" t="str">
        <f t="shared" ca="1" si="651"/>
        <v/>
      </c>
      <c r="O363" s="48" t="str">
        <f ca="1">IF(IFERROR(INDEX($N$3:$O$300,MATCH(ROWS($O$3:O363),$M$3:$M$300,0),1),"")&lt;&gt;"",CONCATENATE(INDEX($N$3:$O$300,MATCH(ROWS($O$3:O363),$M$3:$M$300,0),1),".00"),"")</f>
        <v/>
      </c>
      <c r="P363" s="48" t="str">
        <f t="shared" ca="1" si="652"/>
        <v/>
      </c>
      <c r="Q363" s="48">
        <f ca="1">IF(M363&gt;=1,0,MAX($Q$2:Q362)+1)</f>
        <v>324</v>
      </c>
      <c r="U363" s="48" t="str">
        <f ca="1">IFERROR(INDEX(PDC,MATCH(ROWS(U$3:U363),$V$3:$V$400,0),2),"")</f>
        <v/>
      </c>
      <c r="V363" s="48">
        <f ca="1">IF(AND($T$1="VISUALIZZA TUTTI I CONTI",AA363&lt;&gt;""),MAX($V$2:V362)+1,IF(AND($U$2=2,AI363=$T$1),MAX($V$2:V362)+1,IF(AND($U$2=1,$T$1=AF363),MAX($V$2:V362)+1,0)))</f>
        <v>0</v>
      </c>
      <c r="AA363" s="48" t="str">
        <f t="shared" ca="1" si="653"/>
        <v/>
      </c>
      <c r="AB363" s="48" t="str">
        <f ca="1">IFERROR(INDEX($A$3:$G$400,MATCH(ROWS(AB$3:AB363),$Q$3:$Q$400,0),1),"")</f>
        <v/>
      </c>
      <c r="AC363" s="48" t="str">
        <f ca="1">IFERROR(INDEX($A$3:$G$400,MATCH(ROWS($AC$3:AC363),$Q$3:$Q$400,0),2),"")</f>
        <v/>
      </c>
      <c r="AD363" s="48">
        <f ca="1">IFERROR(INDEX($A$3:$G$400,MATCH(ROWS(AD$3:AD363),$Q$3:$Q$400,0),3),"")</f>
        <v>0</v>
      </c>
      <c r="AE363" s="48" t="str">
        <f ca="1">IFERROR(INDEX($A$3:$G$400,MATCH(ROWS(AE$3:AE363),$Q$3:$Q$400,0),4),"")</f>
        <v/>
      </c>
      <c r="AF363" s="48" t="str">
        <f ca="1">IFERROR(INDEX($A$3:$G$400,MATCH(ROWS(AF$3:AF363),$Q$3:$Q$400,0),5),"")</f>
        <v/>
      </c>
      <c r="AG363" s="48" t="str">
        <f ca="1">IFERROR(INDEX($A$3:$G$400,MATCH(ROWS(AG$3:AG363),$Q$3:$Q$400,0),6),"")</f>
        <v/>
      </c>
      <c r="AH363" s="48" t="str">
        <f ca="1">IFERROR(INDEX($A$3:$G$400,MATCH(ROWS(AH$3:AH363),$Q$3:$Q$400,0),7),"")</f>
        <v/>
      </c>
      <c r="AI363" s="48" t="str">
        <f t="shared" ca="1" si="654"/>
        <v/>
      </c>
      <c r="AJ363" s="48" t="str">
        <f ca="1">IFERROR(INDEX($A$3:$H$400,MATCH(ROWS(AJ$3:AJ363),$Q$3:$Q$400,0),8),"")</f>
        <v/>
      </c>
      <c r="AZ363" s="48" t="str">
        <f t="shared" ca="1" si="669"/>
        <v/>
      </c>
      <c r="BA363" s="48">
        <f t="shared" ca="1" si="697"/>
        <v>0</v>
      </c>
      <c r="BB363" s="48">
        <f t="shared" ca="1" si="698"/>
        <v>0</v>
      </c>
      <c r="BC363" s="48">
        <f t="shared" ca="1" si="699"/>
        <v>0</v>
      </c>
      <c r="BD363" s="48">
        <f t="shared" ca="1" si="700"/>
        <v>0</v>
      </c>
      <c r="BE363" s="48">
        <f t="shared" ca="1" si="701"/>
        <v>0</v>
      </c>
      <c r="BF363" s="48">
        <f t="shared" si="670"/>
        <v>163</v>
      </c>
      <c r="BG363" s="48">
        <f ca="1">IF(IF(AND(OR(INDEX(PDC,MATCH($AC363,DEN_PDC,0),6)="SP DARE",INDEX(PDC,MATCH($AC363,DEN_PDC,0),6)="SP DARE/AVERE"),SUMIFS(DARE,DEN_G,$AC363)&gt;=SUMIFS(AVERE,DEN_G,$AC363)),SUMIFS(DARE,DEN_G,$AC363)-SUMIFS(AVERE,DEN_G,$AC363),0)&gt;0,MAX($BG$2:BG362)+1,0)</f>
        <v>0</v>
      </c>
      <c r="BH363" s="48">
        <f ca="1">IF(IF(AND(OR(INDEX(PDC,MATCH($AC363,DEN_PDC,0),6)="SP AVERE",INDEX(PDC,MATCH($AC363,DEN_PDC,0),6)="SP DARE/AVERE"),SUMIFS(AVERE,DEN_G,$AC363)&gt;=SUMIFS(DARE,DEN_G,$AC363)),SUMIFS(AVERE,DEN_G,$AC363)-SUMIFS(DARE,DEN_G,$AC363),0)&gt;0,MAX(BH$2:BH362)+1,0)</f>
        <v>0</v>
      </c>
      <c r="BI363" s="48">
        <f ca="1">IF(IF(AND(OR(INDEX(PDC,MATCH($AC363,DEN_PDC,0),6)="SE DARE",INDEX(PDC,MATCH($AC363,DEN_PDC,0),6)="SE DARE/AVERE"),SUMIFS(DARE,DEN_G,$AC363)&gt;=SUMIFS(AVERE,DEN_G,$AC363)),SUMIFS(DARE,DEN_G,$AC363)-SUMIFS(AVERE,DEN_G,$AC363),0)&gt;0,MAX(BI$2:BI362)+1,0)</f>
        <v>0</v>
      </c>
      <c r="BJ363" s="48">
        <f ca="1">IF(IF(AND(OR(INDEX(PDC,MATCH($AC363,DEN_PDC,0),6)="SE AVERE",INDEX(PDC,MATCH($AC363,DEN_PDC,0),6)="SE DARE/AVERE"),SUMIFS(AVERE,DEN_G,$AC363)&gt;=SUMIFS(DARE,DEN_G,$AC363)),SUMIFS(AVERE,DEN_G,$AC363)-SUMIFS(DARE,DEN_G,$AC363),0)&gt;0,MAX(BJ$2:BJ362)+1,0)</f>
        <v>0</v>
      </c>
      <c r="BK363" s="48" t="str">
        <f ca="1">IF(AND(AND($DY$2=0,$DY$1=0),$I$1=2,ROW()&gt;$BG$1+2,ROW()&lt;=$BG$1+4),"………………..",IF(AND(OR($DY$2&gt;0,$DY$1&gt;0),$I$1=2,ROW()&gt;$BG$1+2,ROW()&lt;=$BG$1+4),"………………..",IFERROR(INDEX($AC$3:$AC$398,MATCH(ROWS(BK$3:BK363),BG$3:BG$398,0),1),"")))</f>
        <v/>
      </c>
      <c r="BL363" s="48">
        <f t="shared" ca="1" si="637"/>
        <v>0</v>
      </c>
      <c r="BM363" s="48" t="str">
        <f ca="1">IF(AND(OR($DY$2=0,$DY$1=0),$I$1=2,ROW()&gt;$BH$1+2,ROW()&lt;=$BH$1+4),"………………..",IF(AND(OR($DY$2&gt;0,$DY$1&gt;0),$I$1=2,ROW()&gt;$BH$1+2,ROW()&lt;=$BH$1+4),"………………..",IFERROR(INDEX($AC$3:$AC$400,MATCH(ROWS(BM$3:BM363),BH$3:BH$400,0),1),"")))</f>
        <v/>
      </c>
      <c r="BN363" s="48">
        <f t="shared" ca="1" si="638"/>
        <v>0</v>
      </c>
      <c r="BO363" s="48" t="str">
        <f ca="1">IF(AND(OR($DY$2=0,$DY$1=0),$I$1=2,ROW()&gt;$BI$1+2,ROW()&lt;=$BI$1+4),"………………..",IF(AND(OR($DY$2&gt;0,$DY$1&gt;0),$I$1=2,ROW()&gt;$BI$1+2,ROW()&lt;=$BI$1+4),"………………..",IFERROR(INDEX($AC$3:$AC$400,MATCH(ROWS(BO$3:BO363),BI$3:BI$400,0),1),"")))</f>
        <v/>
      </c>
      <c r="BP363" s="48">
        <f t="shared" ca="1" si="639"/>
        <v>0</v>
      </c>
      <c r="BQ363" s="48" t="str">
        <f ca="1">IF(AND(OR($DY$2=0,$DY$1=0),$I$1=2,ROW()&gt;$BJ$1+2,ROW()&lt;=$BJ$1+4),"………………..",IF(AND(OR($DY$2&gt;0,$DY$1&gt;0),$I$1=2,ROW()&gt;$BJ$1+2,ROW()&lt;=$BJ$1+4),"………………..",IFERROR(INDEX($AC$3:$AC$400,MATCH(ROWS(BQ$3:BQ363),BJ$3:BJ$400,0),1),"")))</f>
        <v/>
      </c>
      <c r="BR363" s="48">
        <f t="shared" ca="1" si="640"/>
        <v>0</v>
      </c>
      <c r="BS363" s="48">
        <f ca="1">IF(IF(AND(OR(INDEX(PDC,MATCH($AC363,DEN_PDC,0),4)="D",INDEX(PDC,MATCH($AC363,DEN_PDC,0),4)="D/A"),SUMIFS(DARE,DEN_G,$AC363)&gt;=SUMIFS(AVERE,DEN_G,$AC363)),SUMIFS(DARE,DEN_G,$AC363),IF(AND(OR(INDEX(PDC,MATCH($AC363,DEN_PDC,0),4)="A",INDEX(PDC,MATCH($AC363,DEN_PDC,0),4)="D/A"),SUMIFS(AVERE,DEN_G,$AC363)&gt;=SUMIFS(DARE,DEN_G,$AC363)),SUMIFS(AVERE,DEN_G,$AC363),))&gt;0,MAX($BS$2:BS362)+1,0)</f>
        <v>0</v>
      </c>
      <c r="BT363" s="48" t="str">
        <f ca="1">IF($CO$1=0,"",IF(AND($I$1=2,ROW()&gt;$BR$1,ROW()&lt;=$BS$1)," …………….",IF(AND($E$1=1,$BX$1=1,$I$1=2,ROW()=$BQ$1),"TOTALI",IFERROR(INDEX(PDC,MATCH(ROWS(BT$3:BT363),BS$3:BS760,0),2),""))))</f>
        <v/>
      </c>
      <c r="BU363" s="48">
        <f t="shared" ca="1" si="641"/>
        <v>0</v>
      </c>
      <c r="BV363" s="48">
        <f t="shared" ca="1" si="642"/>
        <v>0</v>
      </c>
      <c r="BW363" s="48">
        <f t="shared" ca="1" si="643"/>
        <v>0</v>
      </c>
      <c r="BX363" s="48">
        <f t="shared" ca="1" si="644"/>
        <v>0</v>
      </c>
      <c r="BY363" s="48">
        <f ca="1">IF(OR(BW363&gt;0,BX363&gt;0),MAX($BY$2:BY362)+1,0)</f>
        <v>0</v>
      </c>
      <c r="BZ363" s="48" t="str">
        <f ca="1">IFERROR(INDEX($BT$3:$BY$400,MATCH(ROWS(BZ$3:BZ363),$BY$3:$BY$400,0),1),"")</f>
        <v/>
      </c>
      <c r="CA363" s="48" t="str">
        <f ca="1">IFERROR(INDEX($BT$3:$BY$400,MATCH(ROWS(CA$3:CA363),$BY$3:$BY$400,0),4),"")</f>
        <v/>
      </c>
      <c r="CB363" s="48" t="str">
        <f ca="1">IFERROR(INDEX($BT$3:$BY$400,MATCH(ROWS(CB$3:CB363),$BY$3:$BY$400,0),5),"")</f>
        <v/>
      </c>
      <c r="CC363" s="48" t="str">
        <f t="shared" ca="1" si="645"/>
        <v/>
      </c>
      <c r="CM363" s="242" t="str">
        <f t="shared" ca="1" si="655"/>
        <v/>
      </c>
      <c r="CN363" s="243">
        <f t="shared" ca="1" si="656"/>
        <v>0</v>
      </c>
      <c r="CO363" s="48" t="str">
        <f t="shared" ca="1" si="657"/>
        <v/>
      </c>
      <c r="CU363" s="48">
        <f ca="1">IF(SUMIFS(AVERE,DEN_G,AC363,AVERE,"&gt;"&amp;0)+SUMIFS(DARE,DEN_G,AC363,DARE,"&gt;"&amp;0)&gt;0,MAX($CU$2:CU362)+1,0)</f>
        <v>0</v>
      </c>
      <c r="CV363" s="48" t="str">
        <f ca="1">IF(IFERROR(INDEX(PDC,MATCH(ROWS($CV$3:CV363),$CU$3:$CU$400,0),2),"")="CONTO DI RISULTATO ECONOMICO","",IFERROR(INDEX(PDC,MATCH(ROWS($CV$3:CV363),$CU$3:$CU$400,0),2),""))</f>
        <v/>
      </c>
      <c r="CW363" s="48">
        <f ca="1">IFERROR(IF(CV363&lt;&gt;"",MAX($CW$2:CW362)+1,0),0)</f>
        <v>0</v>
      </c>
      <c r="CX363" s="48">
        <f t="shared" ca="1" si="689"/>
        <v>28</v>
      </c>
      <c r="CY363" s="48" t="str">
        <f t="shared" ca="1" si="688"/>
        <v>MASTRO</v>
      </c>
      <c r="CZ363" s="48" t="e">
        <f t="shared" ca="1" si="691"/>
        <v>#N/A</v>
      </c>
      <c r="DA363" s="48" t="str">
        <f t="shared" ca="1" si="695"/>
        <v/>
      </c>
      <c r="DB363" s="48" t="str">
        <f t="shared" ca="1" si="682"/>
        <v/>
      </c>
      <c r="DC363" s="48" t="str">
        <f t="shared" ca="1" si="692"/>
        <v/>
      </c>
      <c r="DD363" s="48" t="str">
        <f t="shared" ca="1" si="693"/>
        <v/>
      </c>
      <c r="DE363" s="48" t="str">
        <f t="shared" ca="1" si="694"/>
        <v/>
      </c>
      <c r="DF363" s="48">
        <f ca="1">IF(AND(CX363=$DF$1,CX363&lt;&gt;""),0,IF(AND(DB363&lt;&gt;"",OR(DB362&lt;&gt;"",DB364&lt;&gt;"")),MAX($DF$2:DF362)+1,0))</f>
        <v>0</v>
      </c>
      <c r="DH363" s="244" t="s">
        <v>911</v>
      </c>
      <c r="DI363" s="48" t="s">
        <v>457</v>
      </c>
      <c r="DJ363" s="48" t="s">
        <v>311</v>
      </c>
      <c r="DK363" s="48" t="s">
        <v>298</v>
      </c>
      <c r="DL363" s="48" t="s">
        <v>8</v>
      </c>
      <c r="DM363" s="48" t="s">
        <v>300</v>
      </c>
      <c r="DN363" s="48">
        <f ca="1">IF(DI363&lt;&gt;"",MAX($DN$2:DN362)+1,0)</f>
        <v>291</v>
      </c>
      <c r="DO363" s="48" t="s">
        <v>723</v>
      </c>
      <c r="DQ363" s="227" t="s">
        <v>1077</v>
      </c>
      <c r="DR363" s="48" t="s">
        <v>1075</v>
      </c>
      <c r="DS363" s="48" t="s">
        <v>311</v>
      </c>
      <c r="DT363" s="48" t="s">
        <v>298</v>
      </c>
      <c r="DU363" s="48" t="s">
        <v>8</v>
      </c>
      <c r="DV363" s="48" t="s">
        <v>300</v>
      </c>
      <c r="DW363" s="48">
        <f ca="1">IF(DR363&lt;&gt;"",MAX($DW$2:DW362)+1,0)</f>
        <v>222</v>
      </c>
      <c r="DX363" s="48" t="s">
        <v>726</v>
      </c>
      <c r="DY363" s="48" t="str">
        <f t="shared" ca="1" si="647"/>
        <v/>
      </c>
      <c r="EL363" s="48">
        <f t="shared" ca="1" si="648"/>
        <v>0</v>
      </c>
      <c r="EM363" s="48">
        <f ca="1">IF(EL363&gt;=0,0,MAX($EM$2:EM362)+1)</f>
        <v>0</v>
      </c>
      <c r="EN363" s="48" t="str">
        <f t="shared" ca="1" si="658"/>
        <v/>
      </c>
      <c r="EO363" s="48" t="str">
        <f ca="1">IFERROR(INDEX($EM$3:$EN$400,MATCH(ROWS($EO$3:EO363),$EM$3:$EM$400,0),2),"")</f>
        <v/>
      </c>
      <c r="EP363" s="48">
        <f>ROW()</f>
        <v>363</v>
      </c>
      <c r="EQ363" s="48">
        <f t="shared" ca="1" si="649"/>
        <v>0</v>
      </c>
      <c r="ER363" s="48">
        <f ca="1">IF(ISNA(EQ363)=TRUE,MAX($ER$2:ER362)+1,0)</f>
        <v>0</v>
      </c>
      <c r="ES363" s="48" t="str">
        <f t="shared" ca="1" si="659"/>
        <v/>
      </c>
      <c r="ET363" s="48" t="str">
        <f ca="1">IFERROR(INDEX($ER$3:$ES$400,MATCH(ROWS($ET$3:ET363),$ER$3:$ER$400,0),2),"")</f>
        <v/>
      </c>
      <c r="EV363" s="48">
        <f ca="1">IFERROR(INDEX(LIBRO_GIORNALE!$O$11:$P$408,MATCH(ROWS($EV$2:EV362),LIBRO_GIORNALE!$P$11:$P$408,0),1),0)</f>
        <v>0</v>
      </c>
      <c r="EW363" s="48" t="str">
        <f t="shared" ca="1" si="629"/>
        <v>0</v>
      </c>
      <c r="EX363" s="48">
        <f t="shared" ca="1" si="660"/>
        <v>0</v>
      </c>
      <c r="EY363" s="48">
        <f ca="1">IF(EX363&gt;0,MAX($EY$2:EY362)+1,0)</f>
        <v>0</v>
      </c>
      <c r="EZ363" s="48">
        <f ca="1">IFERROR(INDEX($EX$3:$EX$400,MATCH(ROWS($EZ$3:EZ363),$EY$3:$EY$400,0),1),0)</f>
        <v>0</v>
      </c>
      <c r="FA363" s="48">
        <f ca="1">IF(EZ363&gt;0,0,MAX($FA$2:FA362)+1)</f>
        <v>361</v>
      </c>
      <c r="FB363" s="48">
        <f t="shared" ca="1" si="630"/>
        <v>0</v>
      </c>
      <c r="FC363" s="48">
        <f t="shared" ca="1" si="631"/>
        <v>361</v>
      </c>
      <c r="FD363" s="48">
        <f t="shared" ca="1" si="661"/>
        <v>361</v>
      </c>
      <c r="FE363" s="48">
        <f ca="1">IF(FD363=0,0,MAX($FE$2:FE362)+1)</f>
        <v>361</v>
      </c>
      <c r="FF363" s="48">
        <f ca="1">IFERROR(INDEX($FD$3:$FE$400,MATCH(ROWS($FF$3:FF363),$FE$3:$FE$400,0),1),"")</f>
        <v>361</v>
      </c>
      <c r="FG363" s="48">
        <f t="shared" si="696"/>
        <v>0</v>
      </c>
      <c r="FH363" s="48">
        <f t="shared" ca="1" si="662"/>
        <v>0</v>
      </c>
      <c r="FI363" s="48">
        <f ca="1">IF(FH363&lt;&gt;0,MAX($FI$2:FI362)+1,0)</f>
        <v>0</v>
      </c>
      <c r="FJ363" s="48" t="str">
        <f ca="1">IFERROR(INDEX($FH$3:$FI$400,MATCH(ROWS($FJ$3:FJ363),$FI$3:$FI$400,0),1),"")</f>
        <v/>
      </c>
      <c r="FK363" s="48">
        <f ca="1">IF(ABS(SUMIFS(DARE,DEN_G,"="&amp;FJ363,DATA,"&lt;="&amp;FINE_AC,DATA,"&gt;="&amp;INIZIO_A_PC)-SUMIFS(AVERE,DEN_G,"="&amp;FJ363,DATA,"&lt;="&amp;FINE_AC,DATA,"&gt;="&amp;INIZIO_A_PC))&gt;0,MAX($FK$2:FK362)+1,0)</f>
        <v>0</v>
      </c>
      <c r="FL363" s="48" t="str">
        <f ca="1">IF(AND(ROW()-2&lt;&gt;1,ROW()-2&lt;=$FK$1),CONCATENATE(" - ",IFERROR(INDEX($FJ$3:$FK$400,MATCH(ROWS($FL$3:FL363),$FK$3:$FK$400,0),1),"")),IFERROR(INDEX($FJ$3:$FK$400,MATCH(ROWS($FL$3:FL363),$FK$3:$FK$400,0),1),""))</f>
        <v/>
      </c>
      <c r="FM363" s="48">
        <f ca="1">IF(OR(B363="IVA ns/credito",B363="IVA NS/DEBITO",B363="IVA C/ACCONTO",B363="IMPOSTE C/ACCONTO",B363="CREDITI PER RITENUTE SUBITE",B363="CREDITI D'IMPOSTA"),MAX($FM$2:FM362)+1,0)</f>
        <v>0</v>
      </c>
      <c r="FN363" s="48" t="str">
        <f t="shared" ca="1" si="663"/>
        <v/>
      </c>
      <c r="FO363" s="48" t="str">
        <f ca="1">IFERROR(INDEX($FM$3:$FN$400,MATCH(ROWS($FO$3:FO363),$FM$3:$FM$400,0),2),"")</f>
        <v/>
      </c>
      <c r="FP363" s="48">
        <f ca="1">IF(ABS(SUMIFS(DARE,DEN_G,"="&amp;FO363,DATA,"&lt;="&amp;FINE_AC,DATA,"&gt;="&amp;INIZIO_A_PC)-SUMIFS(AVERE,DEN_G,"="&amp;FO363,DATA,"&lt;="&amp;FINE_AC,DATA,"&gt;="&amp;INIZIO_A_PC))&gt;0,MAX($FP$2:FP362)+1,0)</f>
        <v>0</v>
      </c>
      <c r="FQ363" s="48" t="str">
        <f ca="1">IF(AND(ROW()-2&lt;&gt;1,ROW()-2&lt;=$FP$1),CONCATENATE(" - ",IFERROR(INDEX($FO$3:$FP$400,MATCH(ROWS($FQ$3:FQ363),$FP$3:$FP$400,0),1),"")),IFERROR(INDEX($FO$3:$FP$400,MATCH(ROWS($FQ$3:FQ363),$FP$3:$FP$400,0),1),""))</f>
        <v/>
      </c>
    </row>
    <row r="364" spans="1:173" x14ac:dyDescent="0.3">
      <c r="A364" s="48" t="str">
        <f ca="1">IFERROR(IF($A$1=2,INDEX($DH$3:$DN$401,MATCH(ROWS(A$3:A364),$DN$3:$DN$401,0),COLUMN()),IF($A$1=1,INDEX($DQ$3:$DW$401,MATCH(ROWS(A$3:A364),$DW$3:$DW$401,0),COLUMN()),"")),"")</f>
        <v/>
      </c>
      <c r="B364" s="48" t="str">
        <f ca="1">IFERROR(IF($A$1=2,INDEX($DH$3:$DN$400,MATCH(ROWS(B$3:B364),$DN$3:$DN$400,0),COLUMN()),IF($A$1=1,INDEX($DQ$3:$DW$400,MATCH(ROWS(B$3:B364),$DW$3:$DW$400,0),COLUMN()),"")),"")</f>
        <v/>
      </c>
      <c r="D364" s="48" t="str">
        <f ca="1">IFERROR(IF($A$1=2,INDEX($DH$3:$DN$401,MATCH(ROWS(D$3:D364),$DN$3:$DN$401,0),COLUMN()),IF($A$1=1,INDEX($DQ$3:$DW$401,MATCH(ROWS(D$3:D364),$DW$3:$DW$401,0),COLUMN()),"")),"")</f>
        <v/>
      </c>
      <c r="E364" s="48" t="str">
        <f ca="1">IFERROR(IF($A$1=2,INDEX($DH$3:$DN$401,MATCH(ROWS(E$3:E364),$DN$3:$DN$401,0),COLUMN()),IF($A$1=1,INDEX($DQ$3:$DW$401,MATCH(ROWS(E$3:E364),$DW$3:$DW$401,0),COLUMN()),"")),"")</f>
        <v/>
      </c>
      <c r="F364" s="48" t="str">
        <f ca="1">IFERROR(IF($A$1=2,INDEX($DH$3:$DN$401,MATCH(ROWS(F$3:F364),$DN$3:$DN$401,0),COLUMN()),IF($A$1=1,INDEX($DQ$3:$DX$401,MATCH(ROWS(F$3:F364),$DW$3:$DW$401,0),COLUMN()),"")),"")</f>
        <v/>
      </c>
      <c r="G364" s="48" t="str">
        <f t="shared" ca="1" si="650"/>
        <v/>
      </c>
      <c r="H364" s="48" t="str">
        <f ca="1">IFERROR(IF($A$1=2,INDEX($DH$3:$DO$400,MATCH(ROWS(H$3:H364),$DN$3:$DN$400,0),COLUMN()),IF($A$1=1,INDEX($DQ$3:$DX$400,MATCH(ROWS(H$3:H364),$DW$3:$DW$400,0),COLUMN()),"")),"")</f>
        <v/>
      </c>
      <c r="M364" s="48">
        <f ca="1">IFERROR(IF(IF(MID($A364,3,3)=".00",MID(A364,1,2),"")&lt;&gt;"",MAX($M$2:M363)+1,0),"")</f>
        <v>0</v>
      </c>
      <c r="N364" s="48" t="str">
        <f t="shared" ca="1" si="651"/>
        <v/>
      </c>
      <c r="O364" s="48" t="str">
        <f ca="1">IF(IFERROR(INDEX($N$3:$O$300,MATCH(ROWS($O$3:O364),$M$3:$M$300,0),1),"")&lt;&gt;"",CONCATENATE(INDEX($N$3:$O$300,MATCH(ROWS($O$3:O364),$M$3:$M$300,0),1),".00"),"")</f>
        <v/>
      </c>
      <c r="P364" s="48" t="str">
        <f t="shared" ca="1" si="652"/>
        <v/>
      </c>
      <c r="Q364" s="48">
        <f ca="1">IF(M364&gt;=1,0,MAX($Q$2:Q363)+1)</f>
        <v>325</v>
      </c>
      <c r="U364" s="48" t="str">
        <f ca="1">IFERROR(INDEX(PDC,MATCH(ROWS(U$3:U364),$V$3:$V$400,0),2),"")</f>
        <v/>
      </c>
      <c r="V364" s="48">
        <f ca="1">IF(AND($T$1="VISUALIZZA TUTTI I CONTI",AA364&lt;&gt;""),MAX($V$2:V363)+1,IF(AND($U$2=2,AI364=$T$1),MAX($V$2:V363)+1,IF(AND($U$2=1,$T$1=AF364),MAX($V$2:V363)+1,0)))</f>
        <v>0</v>
      </c>
      <c r="AA364" s="48" t="str">
        <f t="shared" ca="1" si="653"/>
        <v/>
      </c>
      <c r="AB364" s="48" t="str">
        <f ca="1">IFERROR(INDEX($A$3:$G$400,MATCH(ROWS(AB$3:AB364),$Q$3:$Q$400,0),1),"")</f>
        <v/>
      </c>
      <c r="AC364" s="48" t="str">
        <f ca="1">IFERROR(INDEX($A$3:$G$400,MATCH(ROWS($AC$3:AC364),$Q$3:$Q$400,0),2),"")</f>
        <v/>
      </c>
      <c r="AD364" s="48" t="str">
        <f ca="1">IFERROR(INDEX($A$3:$G$400,MATCH(ROWS(AD$3:AD364),$Q$3:$Q$400,0),3),"")</f>
        <v/>
      </c>
      <c r="AE364" s="48" t="str">
        <f ca="1">IFERROR(INDEX($A$3:$G$400,MATCH(ROWS(AE$3:AE364),$Q$3:$Q$400,0),4),"")</f>
        <v/>
      </c>
      <c r="AF364" s="48" t="str">
        <f ca="1">IFERROR(INDEX($A$3:$G$400,MATCH(ROWS(AF$3:AF364),$Q$3:$Q$400,0),5),"")</f>
        <v/>
      </c>
      <c r="AG364" s="48" t="str">
        <f ca="1">IFERROR(INDEX($A$3:$G$400,MATCH(ROWS(AG$3:AG364),$Q$3:$Q$400,0),6),"")</f>
        <v/>
      </c>
      <c r="AH364" s="48" t="str">
        <f ca="1">IFERROR(INDEX($A$3:$G$400,MATCH(ROWS(AH$3:AH364),$Q$3:$Q$400,0),7),"")</f>
        <v/>
      </c>
      <c r="AI364" s="48" t="str">
        <f t="shared" ca="1" si="654"/>
        <v/>
      </c>
      <c r="AJ364" s="48" t="str">
        <f ca="1">IFERROR(INDEX($A$3:$H$400,MATCH(ROWS(AJ$3:AJ364),$Q$3:$Q$400,0),8),"")</f>
        <v/>
      </c>
      <c r="AZ364" s="48" t="str">
        <f t="shared" ca="1" si="669"/>
        <v/>
      </c>
      <c r="BA364" s="48">
        <f t="shared" ca="1" si="697"/>
        <v>0</v>
      </c>
      <c r="BB364" s="48">
        <f t="shared" ca="1" si="698"/>
        <v>0</v>
      </c>
      <c r="BC364" s="48">
        <f t="shared" ca="1" si="699"/>
        <v>0</v>
      </c>
      <c r="BD364" s="48">
        <f t="shared" ca="1" si="700"/>
        <v>0</v>
      </c>
      <c r="BE364" s="48">
        <f t="shared" ca="1" si="701"/>
        <v>0</v>
      </c>
      <c r="BF364" s="48">
        <f t="shared" si="670"/>
        <v>164</v>
      </c>
      <c r="BG364" s="48">
        <f ca="1">IF(IF(AND(OR(INDEX(PDC,MATCH($AC364,DEN_PDC,0),6)="SP DARE",INDEX(PDC,MATCH($AC364,DEN_PDC,0),6)="SP DARE/AVERE"),SUMIFS(DARE,DEN_G,$AC364)&gt;=SUMIFS(AVERE,DEN_G,$AC364)),SUMIFS(DARE,DEN_G,$AC364)-SUMIFS(AVERE,DEN_G,$AC364),0)&gt;0,MAX($BG$2:BG363)+1,0)</f>
        <v>0</v>
      </c>
      <c r="BH364" s="48">
        <f ca="1">IF(IF(AND(OR(INDEX(PDC,MATCH($AC364,DEN_PDC,0),6)="SP AVERE",INDEX(PDC,MATCH($AC364,DEN_PDC,0),6)="SP DARE/AVERE"),SUMIFS(AVERE,DEN_G,$AC364)&gt;=SUMIFS(DARE,DEN_G,$AC364)),SUMIFS(AVERE,DEN_G,$AC364)-SUMIFS(DARE,DEN_G,$AC364),0)&gt;0,MAX(BH$2:BH363)+1,0)</f>
        <v>0</v>
      </c>
      <c r="BI364" s="48">
        <f ca="1">IF(IF(AND(OR(INDEX(PDC,MATCH($AC364,DEN_PDC,0),6)="SE DARE",INDEX(PDC,MATCH($AC364,DEN_PDC,0),6)="SE DARE/AVERE"),SUMIFS(DARE,DEN_G,$AC364)&gt;=SUMIFS(AVERE,DEN_G,$AC364)),SUMIFS(DARE,DEN_G,$AC364)-SUMIFS(AVERE,DEN_G,$AC364),0)&gt;0,MAX(BI$2:BI363)+1,0)</f>
        <v>0</v>
      </c>
      <c r="BJ364" s="48">
        <f ca="1">IF(IF(AND(OR(INDEX(PDC,MATCH($AC364,DEN_PDC,0),6)="SE AVERE",INDEX(PDC,MATCH($AC364,DEN_PDC,0),6)="SE DARE/AVERE"),SUMIFS(AVERE,DEN_G,$AC364)&gt;=SUMIFS(DARE,DEN_G,$AC364)),SUMIFS(AVERE,DEN_G,$AC364)-SUMIFS(DARE,DEN_G,$AC364),0)&gt;0,MAX(BJ$2:BJ363)+1,0)</f>
        <v>0</v>
      </c>
      <c r="BK364" s="48" t="str">
        <f ca="1">IF(AND(AND($DY$2=0,$DY$1=0),$I$1=2,ROW()&gt;$BG$1+2,ROW()&lt;=$BG$1+4),"………………..",IF(AND(OR($DY$2&gt;0,$DY$1&gt;0),$I$1=2,ROW()&gt;$BG$1+2,ROW()&lt;=$BG$1+4),"………………..",IFERROR(INDEX($AC$3:$AC$398,MATCH(ROWS(BK$3:BK364),BG$3:BG$398,0),1),"")))</f>
        <v/>
      </c>
      <c r="BL364" s="48">
        <f t="shared" ca="1" si="637"/>
        <v>0</v>
      </c>
      <c r="BM364" s="48" t="str">
        <f ca="1">IF(AND(OR($DY$2=0,$DY$1=0),$I$1=2,ROW()&gt;$BH$1+2,ROW()&lt;=$BH$1+4),"………………..",IF(AND(OR($DY$2&gt;0,$DY$1&gt;0),$I$1=2,ROW()&gt;$BH$1+2,ROW()&lt;=$BH$1+4),"………………..",IFERROR(INDEX($AC$3:$AC$400,MATCH(ROWS(BM$3:BM364),BH$3:BH$400,0),1),"")))</f>
        <v/>
      </c>
      <c r="BN364" s="48">
        <f t="shared" ca="1" si="638"/>
        <v>0</v>
      </c>
      <c r="BO364" s="48" t="str">
        <f ca="1">IF(AND(OR($DY$2=0,$DY$1=0),$I$1=2,ROW()&gt;$BI$1+2,ROW()&lt;=$BI$1+4),"………………..",IF(AND(OR($DY$2&gt;0,$DY$1&gt;0),$I$1=2,ROW()&gt;$BI$1+2,ROW()&lt;=$BI$1+4),"………………..",IFERROR(INDEX($AC$3:$AC$400,MATCH(ROWS(BO$3:BO364),BI$3:BI$400,0),1),"")))</f>
        <v/>
      </c>
      <c r="BP364" s="48">
        <f t="shared" ca="1" si="639"/>
        <v>0</v>
      </c>
      <c r="BQ364" s="48" t="str">
        <f ca="1">IF(AND(OR($DY$2=0,$DY$1=0),$I$1=2,ROW()&gt;$BJ$1+2,ROW()&lt;=$BJ$1+4),"………………..",IF(AND(OR($DY$2&gt;0,$DY$1&gt;0),$I$1=2,ROW()&gt;$BJ$1+2,ROW()&lt;=$BJ$1+4),"………………..",IFERROR(INDEX($AC$3:$AC$400,MATCH(ROWS(BQ$3:BQ364),BJ$3:BJ$400,0),1),"")))</f>
        <v/>
      </c>
      <c r="BR364" s="48">
        <f t="shared" ca="1" si="640"/>
        <v>0</v>
      </c>
      <c r="BS364" s="48">
        <f ca="1">IF(IF(AND(OR(INDEX(PDC,MATCH($AC364,DEN_PDC,0),4)="D",INDEX(PDC,MATCH($AC364,DEN_PDC,0),4)="D/A"),SUMIFS(DARE,DEN_G,$AC364)&gt;=SUMIFS(AVERE,DEN_G,$AC364)),SUMIFS(DARE,DEN_G,$AC364),IF(AND(OR(INDEX(PDC,MATCH($AC364,DEN_PDC,0),4)="A",INDEX(PDC,MATCH($AC364,DEN_PDC,0),4)="D/A"),SUMIFS(AVERE,DEN_G,$AC364)&gt;=SUMIFS(DARE,DEN_G,$AC364)),SUMIFS(AVERE,DEN_G,$AC364),))&gt;0,MAX($BS$2:BS363)+1,0)</f>
        <v>0</v>
      </c>
      <c r="BT364" s="48" t="str">
        <f ca="1">IF($CO$1=0,"",IF(AND($I$1=2,ROW()&gt;$BR$1,ROW()&lt;=$BS$1)," …………….",IF(AND($E$1=1,$BX$1=1,$I$1=2,ROW()=$BQ$1),"TOTALI",IFERROR(INDEX(PDC,MATCH(ROWS(BT$3:BT364),BS$3:BS761,0),2),""))))</f>
        <v/>
      </c>
      <c r="BU364" s="48">
        <f t="shared" ca="1" si="641"/>
        <v>0</v>
      </c>
      <c r="BV364" s="48">
        <f t="shared" ca="1" si="642"/>
        <v>0</v>
      </c>
      <c r="BW364" s="48">
        <f t="shared" ca="1" si="643"/>
        <v>0</v>
      </c>
      <c r="BX364" s="48">
        <f t="shared" ca="1" si="644"/>
        <v>0</v>
      </c>
      <c r="BY364" s="48">
        <f ca="1">IF(OR(BW364&gt;0,BX364&gt;0),MAX($BY$2:BY363)+1,0)</f>
        <v>0</v>
      </c>
      <c r="BZ364" s="48" t="str">
        <f ca="1">IFERROR(INDEX($BT$3:$BY$400,MATCH(ROWS(BZ$3:BZ364),$BY$3:$BY$400,0),1),"")</f>
        <v/>
      </c>
      <c r="CA364" s="48" t="str">
        <f ca="1">IFERROR(INDEX($BT$3:$BY$400,MATCH(ROWS(CA$3:CA364),$BY$3:$BY$400,0),4),"")</f>
        <v/>
      </c>
      <c r="CB364" s="48" t="str">
        <f ca="1">IFERROR(INDEX($BT$3:$BY$400,MATCH(ROWS(CB$3:CB364),$BY$3:$BY$400,0),5),"")</f>
        <v/>
      </c>
      <c r="CC364" s="48" t="str">
        <f t="shared" ca="1" si="645"/>
        <v/>
      </c>
      <c r="CM364" s="242" t="str">
        <f t="shared" ca="1" si="655"/>
        <v/>
      </c>
      <c r="CN364" s="243">
        <f t="shared" ca="1" si="656"/>
        <v>0</v>
      </c>
      <c r="CO364" s="48" t="str">
        <f t="shared" ca="1" si="657"/>
        <v/>
      </c>
      <c r="CU364" s="48">
        <f ca="1">IF(SUMIFS(AVERE,DEN_G,AC364,AVERE,"&gt;"&amp;0)+SUMIFS(DARE,DEN_G,AC364,DARE,"&gt;"&amp;0)&gt;0,MAX($CU$2:CU363)+1,0)</f>
        <v>0</v>
      </c>
      <c r="CV364" s="48" t="str">
        <f ca="1">IF(IFERROR(INDEX(PDC,MATCH(ROWS($CV$3:CV364),$CU$3:$CU$400,0),2),"")="CONTO DI RISULTATO ECONOMICO","",IFERROR(INDEX(PDC,MATCH(ROWS($CV$3:CV364),$CU$3:$CU$400,0),2),""))</f>
        <v/>
      </c>
      <c r="CW364" s="48">
        <f ca="1">IFERROR(IF(CV364&lt;&gt;"",MAX($CW$2:CW363)+1,0),0)</f>
        <v>0</v>
      </c>
      <c r="CX364" s="48">
        <f t="shared" ca="1" si="689"/>
        <v>28</v>
      </c>
      <c r="CY364" s="48" t="str">
        <f t="shared" ca="1" si="688"/>
        <v>MASTRO</v>
      </c>
      <c r="CZ364" s="48" t="e">
        <f t="shared" ca="1" si="691"/>
        <v>#N/A</v>
      </c>
      <c r="DA364" s="48" t="str">
        <f t="shared" ca="1" si="695"/>
        <v/>
      </c>
      <c r="DB364" s="48" t="str">
        <f t="shared" ca="1" si="682"/>
        <v/>
      </c>
      <c r="DC364" s="48" t="str">
        <f t="shared" ca="1" si="692"/>
        <v/>
      </c>
      <c r="DD364" s="48" t="str">
        <f t="shared" ca="1" si="693"/>
        <v/>
      </c>
      <c r="DE364" s="48" t="str">
        <f t="shared" ca="1" si="694"/>
        <v/>
      </c>
      <c r="DF364" s="48">
        <f ca="1">IF(AND(CX364=$DF$1,CX364&lt;&gt;""),0,IF(AND(DB364&lt;&gt;"",OR(DB363&lt;&gt;"",DB365&lt;&gt;"")),MAX($DF$2:DF363)+1,0))</f>
        <v>0</v>
      </c>
      <c r="DH364" s="244" t="s">
        <v>1076</v>
      </c>
      <c r="DI364" s="48" t="s">
        <v>1121</v>
      </c>
      <c r="DJ364" s="48" t="s">
        <v>311</v>
      </c>
      <c r="DK364" s="48" t="s">
        <v>298</v>
      </c>
      <c r="DL364" s="48" t="s">
        <v>8</v>
      </c>
      <c r="DM364" s="48" t="s">
        <v>300</v>
      </c>
      <c r="DN364" s="48">
        <f ca="1">IF(DI364&lt;&gt;"",MAX($DN$2:DN363)+1,0)</f>
        <v>292</v>
      </c>
      <c r="DO364" s="48" t="str">
        <f ca="1">IF($DH$1=FALSE,"ec16a","ec16d")</f>
        <v>ec16a</v>
      </c>
      <c r="DQ364" s="227" t="s">
        <v>912</v>
      </c>
      <c r="DR364" s="48" t="s">
        <v>259</v>
      </c>
      <c r="DS364" s="48" t="s">
        <v>311</v>
      </c>
      <c r="DT364" s="48" t="s">
        <v>298</v>
      </c>
      <c r="DU364" s="48" t="s">
        <v>8</v>
      </c>
      <c r="DV364" s="48" t="s">
        <v>300</v>
      </c>
      <c r="DW364" s="48">
        <f ca="1">IF(DR364&lt;&gt;"",MAX($DW$2:DW363)+1,0)</f>
        <v>223</v>
      </c>
      <c r="DX364" s="48" t="s">
        <v>726</v>
      </c>
      <c r="DY364" s="48" t="str">
        <f t="shared" ca="1" si="647"/>
        <v/>
      </c>
      <c r="EL364" s="48">
        <f t="shared" ca="1" si="648"/>
        <v>0</v>
      </c>
      <c r="EM364" s="48">
        <f ca="1">IF(EL364&gt;=0,0,MAX($EM$2:EM363)+1)</f>
        <v>0</v>
      </c>
      <c r="EN364" s="48" t="str">
        <f t="shared" ca="1" si="658"/>
        <v/>
      </c>
      <c r="EO364" s="48" t="str">
        <f ca="1">IFERROR(INDEX($EM$3:$EN$400,MATCH(ROWS($EO$3:EO364),$EM$3:$EM$400,0),2),"")</f>
        <v/>
      </c>
      <c r="EP364" s="48">
        <f>ROW()</f>
        <v>364</v>
      </c>
      <c r="EQ364" s="48">
        <f t="shared" ca="1" si="649"/>
        <v>0</v>
      </c>
      <c r="ER364" s="48">
        <f ca="1">IF(ISNA(EQ364)=TRUE,MAX($ER$2:ER363)+1,0)</f>
        <v>0</v>
      </c>
      <c r="ES364" s="48" t="str">
        <f t="shared" ca="1" si="659"/>
        <v/>
      </c>
      <c r="ET364" s="48" t="str">
        <f ca="1">IFERROR(INDEX($ER$3:$ES$400,MATCH(ROWS($ET$3:ET364),$ER$3:$ER$400,0),2),"")</f>
        <v/>
      </c>
      <c r="EV364" s="48">
        <f ca="1">IFERROR(INDEX(LIBRO_GIORNALE!$O$11:$P$408,MATCH(ROWS($EV$2:EV363),LIBRO_GIORNALE!$P$11:$P$408,0),1),0)</f>
        <v>0</v>
      </c>
      <c r="EW364" s="48" t="str">
        <f t="shared" ca="1" si="629"/>
        <v>0</v>
      </c>
      <c r="EX364" s="48">
        <f t="shared" ca="1" si="660"/>
        <v>0</v>
      </c>
      <c r="EY364" s="48">
        <f ca="1">IF(EX364&gt;0,MAX($EY$2:EY363)+1,0)</f>
        <v>0</v>
      </c>
      <c r="EZ364" s="48">
        <f ca="1">IFERROR(INDEX($EX$3:$EX$400,MATCH(ROWS($EZ$3:EZ364),$EY$3:$EY$400,0),1),0)</f>
        <v>0</v>
      </c>
      <c r="FA364" s="48">
        <f ca="1">IF(EZ364&gt;0,0,MAX($FA$2:FA363)+1)</f>
        <v>362</v>
      </c>
      <c r="FB364" s="48">
        <f t="shared" ca="1" si="630"/>
        <v>0</v>
      </c>
      <c r="FC364" s="48">
        <f t="shared" ca="1" si="631"/>
        <v>362</v>
      </c>
      <c r="FD364" s="48">
        <f t="shared" ca="1" si="661"/>
        <v>362</v>
      </c>
      <c r="FE364" s="48">
        <f ca="1">IF(FD364=0,0,MAX($FE$2:FE363)+1)</f>
        <v>362</v>
      </c>
      <c r="FF364" s="48">
        <f ca="1">IFERROR(INDEX($FD$3:$FE$400,MATCH(ROWS($FF$3:FF364),$FE$3:$FE$400,0),1),"")</f>
        <v>362</v>
      </c>
      <c r="FG364" s="48">
        <f t="shared" si="696"/>
        <v>0</v>
      </c>
      <c r="FH364" s="48">
        <f t="shared" ca="1" si="662"/>
        <v>0</v>
      </c>
      <c r="FI364" s="48">
        <f ca="1">IF(FH364&lt;&gt;0,MAX($FI$2:FI363)+1,0)</f>
        <v>0</v>
      </c>
      <c r="FJ364" s="48" t="str">
        <f ca="1">IFERROR(INDEX($FH$3:$FI$400,MATCH(ROWS($FJ$3:FJ364),$FI$3:$FI$400,0),1),"")</f>
        <v/>
      </c>
      <c r="FK364" s="48">
        <f ca="1">IF(ABS(SUMIFS(DARE,DEN_G,"="&amp;FJ364,DATA,"&lt;="&amp;FINE_AC,DATA,"&gt;="&amp;INIZIO_A_PC)-SUMIFS(AVERE,DEN_G,"="&amp;FJ364,DATA,"&lt;="&amp;FINE_AC,DATA,"&gt;="&amp;INIZIO_A_PC))&gt;0,MAX($FK$2:FK363)+1,0)</f>
        <v>0</v>
      </c>
      <c r="FL364" s="48" t="str">
        <f ca="1">IF(AND(ROW()-2&lt;&gt;1,ROW()-2&lt;=$FK$1),CONCATENATE(" - ",IFERROR(INDEX($FJ$3:$FK$400,MATCH(ROWS($FL$3:FL364),$FK$3:$FK$400,0),1),"")),IFERROR(INDEX($FJ$3:$FK$400,MATCH(ROWS($FL$3:FL364),$FK$3:$FK$400,0),1),""))</f>
        <v/>
      </c>
      <c r="FM364" s="48">
        <f ca="1">IF(OR(B364="IVA ns/credito",B364="IVA NS/DEBITO",B364="IVA C/ACCONTO",B364="IMPOSTE C/ACCONTO",B364="CREDITI PER RITENUTE SUBITE",B364="CREDITI D'IMPOSTA"),MAX($FM$2:FM363)+1,0)</f>
        <v>0</v>
      </c>
      <c r="FN364" s="48" t="str">
        <f t="shared" ca="1" si="663"/>
        <v/>
      </c>
      <c r="FO364" s="48" t="str">
        <f ca="1">IFERROR(INDEX($FM$3:$FN$400,MATCH(ROWS($FO$3:FO364),$FM$3:$FM$400,0),2),"")</f>
        <v/>
      </c>
      <c r="FP364" s="48">
        <f ca="1">IF(ABS(SUMIFS(DARE,DEN_G,"="&amp;FO364,DATA,"&lt;="&amp;FINE_AC,DATA,"&gt;="&amp;INIZIO_A_PC)-SUMIFS(AVERE,DEN_G,"="&amp;FO364,DATA,"&lt;="&amp;FINE_AC,DATA,"&gt;="&amp;INIZIO_A_PC))&gt;0,MAX($FP$2:FP363)+1,0)</f>
        <v>0</v>
      </c>
      <c r="FQ364" s="48" t="str">
        <f ca="1">IF(AND(ROW()-2&lt;&gt;1,ROW()-2&lt;=$FP$1),CONCATENATE(" - ",IFERROR(INDEX($FO$3:$FP$400,MATCH(ROWS($FQ$3:FQ364),$FP$3:$FP$400,0),1),"")),IFERROR(INDEX($FO$3:$FP$400,MATCH(ROWS($FQ$3:FQ364),$FP$3:$FP$400,0),1),""))</f>
        <v/>
      </c>
    </row>
    <row r="365" spans="1:173" x14ac:dyDescent="0.3">
      <c r="A365" s="48" t="str">
        <f ca="1">IFERROR(IF($A$1=2,INDEX($DH$3:$DN$401,MATCH(ROWS(A$3:A365),$DN$3:$DN$401,0),COLUMN()),IF($A$1=1,INDEX($DQ$3:$DW$401,MATCH(ROWS(A$3:A365),$DW$3:$DW$401,0),COLUMN()),"")),"")</f>
        <v/>
      </c>
      <c r="B365" s="48" t="str">
        <f ca="1">IFERROR(IF($A$1=2,INDEX($DH$3:$DN$400,MATCH(ROWS(B$3:B365),$DN$3:$DN$400,0),COLUMN()),IF($A$1=1,INDEX($DQ$3:$DW$400,MATCH(ROWS(B$3:B365),$DW$3:$DW$400,0),COLUMN()),"")),"")</f>
        <v/>
      </c>
      <c r="D365" s="48" t="str">
        <f ca="1">IFERROR(IF($A$1=2,INDEX($DH$3:$DN$401,MATCH(ROWS(D$3:D365),$DN$3:$DN$401,0),COLUMN()),IF($A$1=1,INDEX($DQ$3:$DW$401,MATCH(ROWS(D$3:D365),$DW$3:$DW$401,0),COLUMN()),"")),"")</f>
        <v/>
      </c>
      <c r="E365" s="48" t="str">
        <f ca="1">IFERROR(IF($A$1=2,INDEX($DH$3:$DN$401,MATCH(ROWS(E$3:E365),$DN$3:$DN$401,0),COLUMN()),IF($A$1=1,INDEX($DQ$3:$DW$401,MATCH(ROWS(E$3:E365),$DW$3:$DW$401,0),COLUMN()),"")),"")</f>
        <v/>
      </c>
      <c r="F365" s="48" t="str">
        <f ca="1">IFERROR(IF($A$1=2,INDEX($DH$3:$DN$401,MATCH(ROWS(F$3:F365),$DN$3:$DN$401,0),COLUMN()),IF($A$1=1,INDEX($DQ$3:$DX$401,MATCH(ROWS(F$3:F365),$DW$3:$DW$401,0),COLUMN()),"")),"")</f>
        <v/>
      </c>
      <c r="G365" s="48" t="str">
        <f t="shared" ca="1" si="650"/>
        <v/>
      </c>
      <c r="H365" s="48" t="str">
        <f ca="1">IFERROR(IF($A$1=2,INDEX($DH$3:$DO$401,MATCH(ROWS(H$3:H365),$DN$3:$DN$401,0),COLUMN()),IF($A$1=1,INDEX($DQ$3:$DX$401,MATCH(ROWS(H$3:H365),$DW$3:$DW$401,0),COLUMN()),"")),"")</f>
        <v/>
      </c>
      <c r="M365" s="48">
        <f ca="1">IFERROR(IF(IF(MID($A365,3,3)=".00",MID(A365,1,2),"")&lt;&gt;"",MAX($M$2:M364)+1,0),"")</f>
        <v>0</v>
      </c>
      <c r="N365" s="48" t="str">
        <f t="shared" ca="1" si="651"/>
        <v/>
      </c>
      <c r="O365" s="48" t="str">
        <f ca="1">IF(IFERROR(INDEX($N$3:$O$300,MATCH(ROWS($O$3:O365),$M$3:$M$300,0),1),"")&lt;&gt;"",CONCATENATE(INDEX($N$3:$O$300,MATCH(ROWS($O$3:O365),$M$3:$M$300,0),1),".00"),"")</f>
        <v/>
      </c>
      <c r="P365" s="48" t="str">
        <f t="shared" ca="1" si="652"/>
        <v/>
      </c>
      <c r="Q365" s="48">
        <f ca="1">IF(M365&gt;=1,0,MAX($Q$2:Q364)+1)</f>
        <v>326</v>
      </c>
      <c r="U365" s="48" t="str">
        <f ca="1">IFERROR(INDEX(PDC,MATCH(ROWS(U$3:U365),$V$3:$V$400,0),2),"")</f>
        <v/>
      </c>
      <c r="V365" s="48">
        <f ca="1">IF(AND($T$1="VISUALIZZA TUTTI I CONTI",AA365&lt;&gt;""),MAX($V$2:V364)+1,IF(AND($U$2=2,AI365=$T$1),MAX($V$2:V364)+1,IF(AND($U$2=1,$T$1=AF365),MAX($V$2:V364)+1,0)))</f>
        <v>0</v>
      </c>
      <c r="AA365" s="48" t="str">
        <f t="shared" ca="1" si="653"/>
        <v/>
      </c>
      <c r="AB365" s="48" t="str">
        <f ca="1">IFERROR(INDEX($A$3:$G$400,MATCH(ROWS(AB$3:AB365),$Q$3:$Q$400,0),1),"")</f>
        <v/>
      </c>
      <c r="AC365" s="48" t="str">
        <f ca="1">IFERROR(INDEX($A$3:$G$400,MATCH(ROWS($AC$3:AC365),$Q$3:$Q$400,0),2),"")</f>
        <v/>
      </c>
      <c r="AD365" s="48" t="str">
        <f ca="1">IFERROR(INDEX($A$3:$G$400,MATCH(ROWS(AD$3:AD365),$Q$3:$Q$400,0),3),"")</f>
        <v/>
      </c>
      <c r="AE365" s="48" t="str">
        <f ca="1">IFERROR(INDEX($A$3:$G$400,MATCH(ROWS(AE$3:AE365),$Q$3:$Q$400,0),4),"")</f>
        <v/>
      </c>
      <c r="AF365" s="48" t="str">
        <f ca="1">IFERROR(INDEX($A$3:$G$400,MATCH(ROWS(AF$3:AF365),$Q$3:$Q$400,0),5),"")</f>
        <v/>
      </c>
      <c r="AG365" s="48" t="str">
        <f ca="1">IFERROR(INDEX($A$3:$G$400,MATCH(ROWS(AG$3:AG365),$Q$3:$Q$400,0),6),"")</f>
        <v/>
      </c>
      <c r="AH365" s="48" t="str">
        <f ca="1">IFERROR(INDEX($A$3:$G$400,MATCH(ROWS(AH$3:AH365),$Q$3:$Q$400,0),7),"")</f>
        <v/>
      </c>
      <c r="AI365" s="48" t="str">
        <f t="shared" ca="1" si="654"/>
        <v/>
      </c>
      <c r="AJ365" s="48" t="str">
        <f ca="1">IFERROR(INDEX($A$3:$H$400,MATCH(ROWS(AJ$3:AJ365),$Q$3:$Q$400,0),8),"")</f>
        <v/>
      </c>
      <c r="AZ365" s="48" t="str">
        <f t="shared" ca="1" si="669"/>
        <v/>
      </c>
      <c r="BA365" s="48">
        <f t="shared" ca="1" si="697"/>
        <v>0</v>
      </c>
      <c r="BB365" s="48">
        <f t="shared" ca="1" si="698"/>
        <v>0</v>
      </c>
      <c r="BC365" s="48">
        <f t="shared" ca="1" si="699"/>
        <v>0</v>
      </c>
      <c r="BD365" s="48">
        <f t="shared" ca="1" si="700"/>
        <v>0</v>
      </c>
      <c r="BE365" s="48">
        <f t="shared" ca="1" si="701"/>
        <v>0</v>
      </c>
      <c r="BF365" s="48">
        <f t="shared" si="670"/>
        <v>165</v>
      </c>
      <c r="BG365" s="48">
        <f ca="1">IF(IF(AND(OR(INDEX(PDC,MATCH($AC365,DEN_PDC,0),6)="SP DARE",INDEX(PDC,MATCH($AC365,DEN_PDC,0),6)="SP DARE/AVERE"),SUMIFS(DARE,DEN_G,$AC365)&gt;=SUMIFS(AVERE,DEN_G,$AC365)),SUMIFS(DARE,DEN_G,$AC365)-SUMIFS(AVERE,DEN_G,$AC365),0)&gt;0,MAX($BG$2:BG364)+1,0)</f>
        <v>0</v>
      </c>
      <c r="BH365" s="48">
        <f ca="1">IF(IF(AND(OR(INDEX(PDC,MATCH($AC365,DEN_PDC,0),6)="SP AVERE",INDEX(PDC,MATCH($AC365,DEN_PDC,0),6)="SP DARE/AVERE"),SUMIFS(AVERE,DEN_G,$AC365)&gt;=SUMIFS(DARE,DEN_G,$AC365)),SUMIFS(AVERE,DEN_G,$AC365)-SUMIFS(DARE,DEN_G,$AC365),0)&gt;0,MAX(BH$2:BH364)+1,0)</f>
        <v>0</v>
      </c>
      <c r="BI365" s="48">
        <f ca="1">IF(IF(AND(OR(INDEX(PDC,MATCH($AC365,DEN_PDC,0),6)="SE DARE",INDEX(PDC,MATCH($AC365,DEN_PDC,0),6)="SE DARE/AVERE"),SUMIFS(DARE,DEN_G,$AC365)&gt;=SUMIFS(AVERE,DEN_G,$AC365)),SUMIFS(DARE,DEN_G,$AC365)-SUMIFS(AVERE,DEN_G,$AC365),0)&gt;0,MAX(BI$2:BI364)+1,0)</f>
        <v>0</v>
      </c>
      <c r="BJ365" s="48">
        <f ca="1">IF(IF(AND(OR(INDEX(PDC,MATCH($AC365,DEN_PDC,0),6)="SE AVERE",INDEX(PDC,MATCH($AC365,DEN_PDC,0),6)="SE DARE/AVERE"),SUMIFS(AVERE,DEN_G,$AC365)&gt;=SUMIFS(DARE,DEN_G,$AC365)),SUMIFS(AVERE,DEN_G,$AC365)-SUMIFS(DARE,DEN_G,$AC365),0)&gt;0,MAX(BJ$2:BJ364)+1,0)</f>
        <v>0</v>
      </c>
      <c r="BK365" s="48" t="str">
        <f ca="1">IF(AND(AND($DY$2=0,$DY$1=0),$I$1=2,ROW()&gt;$BG$1+2,ROW()&lt;=$BG$1+4),"………………..",IF(AND(OR($DY$2&gt;0,$DY$1&gt;0),$I$1=2,ROW()&gt;$BG$1+2,ROW()&lt;=$BG$1+4),"………………..",IFERROR(INDEX($AC$3:$AC$398,MATCH(ROWS(BK$3:BK365),BG$3:BG$398,0),1),"")))</f>
        <v/>
      </c>
      <c r="BL365" s="48">
        <f t="shared" ca="1" si="637"/>
        <v>0</v>
      </c>
      <c r="BM365" s="48" t="str">
        <f ca="1">IF(AND(OR($DY$2=0,$DY$1=0),$I$1=2,ROW()&gt;$BH$1+2,ROW()&lt;=$BH$1+4),"………………..",IF(AND(OR($DY$2&gt;0,$DY$1&gt;0),$I$1=2,ROW()&gt;$BH$1+2,ROW()&lt;=$BH$1+4),"………………..",IFERROR(INDEX($AC$3:$AC$400,MATCH(ROWS(BM$3:BM365),BH$3:BH$400,0),1),"")))</f>
        <v/>
      </c>
      <c r="BN365" s="48">
        <f t="shared" ca="1" si="638"/>
        <v>0</v>
      </c>
      <c r="BO365" s="48" t="str">
        <f ca="1">IF(AND(OR($DY$2=0,$DY$1=0),$I$1=2,ROW()&gt;$BI$1+2,ROW()&lt;=$BI$1+4),"………………..",IF(AND(OR($DY$2&gt;0,$DY$1&gt;0),$I$1=2,ROW()&gt;$BI$1+2,ROW()&lt;=$BI$1+4),"………………..",IFERROR(INDEX($AC$3:$AC$400,MATCH(ROWS(BO$3:BO365),BI$3:BI$400,0),1),"")))</f>
        <v/>
      </c>
      <c r="BP365" s="48">
        <f t="shared" ca="1" si="639"/>
        <v>0</v>
      </c>
      <c r="BQ365" s="48" t="str">
        <f ca="1">IF(AND(OR($DY$2=0,$DY$1=0),$I$1=2,ROW()&gt;$BJ$1+2,ROW()&lt;=$BJ$1+4),"………………..",IF(AND(OR($DY$2&gt;0,$DY$1&gt;0),$I$1=2,ROW()&gt;$BJ$1+2,ROW()&lt;=$BJ$1+4),"………………..",IFERROR(INDEX($AC$3:$AC$400,MATCH(ROWS(BQ$3:BQ365),BJ$3:BJ$400,0),1),"")))</f>
        <v/>
      </c>
      <c r="BR365" s="48">
        <f t="shared" ca="1" si="640"/>
        <v>0</v>
      </c>
      <c r="BS365" s="48">
        <f ca="1">IF(IF(AND(OR(INDEX(PDC,MATCH($AC365,DEN_PDC,0),4)="D",INDEX(PDC,MATCH($AC365,DEN_PDC,0),4)="D/A"),SUMIFS(DARE,DEN_G,$AC365)&gt;=SUMIFS(AVERE,DEN_G,$AC365)),SUMIFS(DARE,DEN_G,$AC365),IF(AND(OR(INDEX(PDC,MATCH($AC365,DEN_PDC,0),4)="A",INDEX(PDC,MATCH($AC365,DEN_PDC,0),4)="D/A"),SUMIFS(AVERE,DEN_G,$AC365)&gt;=SUMIFS(DARE,DEN_G,$AC365)),SUMIFS(AVERE,DEN_G,$AC365),))&gt;0,MAX($BS$2:BS364)+1,0)</f>
        <v>0</v>
      </c>
      <c r="BT365" s="48" t="str">
        <f ca="1">IF($CO$1=0,"",IF(AND($I$1=2,ROW()&gt;$BR$1,ROW()&lt;=$BS$1)," …………….",IF(AND($E$1=1,$BX$1=1,$I$1=2,ROW()=$BQ$1),"TOTALI",IFERROR(INDEX(PDC,MATCH(ROWS(BT$3:BT365),BS$3:BS762,0),2),""))))</f>
        <v/>
      </c>
      <c r="BU365" s="48">
        <f t="shared" ca="1" si="641"/>
        <v>0</v>
      </c>
      <c r="BV365" s="48">
        <f t="shared" ca="1" si="642"/>
        <v>0</v>
      </c>
      <c r="BW365" s="48">
        <f t="shared" ca="1" si="643"/>
        <v>0</v>
      </c>
      <c r="BX365" s="48">
        <f t="shared" ca="1" si="644"/>
        <v>0</v>
      </c>
      <c r="BY365" s="48">
        <f ca="1">IF(OR(BW365&gt;0,BX365&gt;0),MAX($BY$2:BY364)+1,0)</f>
        <v>0</v>
      </c>
      <c r="BZ365" s="48" t="str">
        <f ca="1">IFERROR(INDEX($BT$3:$BY$400,MATCH(ROWS(BZ$3:BZ365),$BY$3:$BY$400,0),1),"")</f>
        <v/>
      </c>
      <c r="CA365" s="48" t="str">
        <f ca="1">IFERROR(INDEX($BT$3:$BY$400,MATCH(ROWS(CA$3:CA365),$BY$3:$BY$400,0),4),"")</f>
        <v/>
      </c>
      <c r="CB365" s="48" t="str">
        <f ca="1">IFERROR(INDEX($BT$3:$BY$400,MATCH(ROWS(CB$3:CB365),$BY$3:$BY$400,0),5),"")</f>
        <v/>
      </c>
      <c r="CC365" s="48" t="str">
        <f t="shared" ca="1" si="645"/>
        <v/>
      </c>
      <c r="CM365" s="242" t="str">
        <f t="shared" ca="1" si="655"/>
        <v/>
      </c>
      <c r="CN365" s="243">
        <f t="shared" ca="1" si="656"/>
        <v>0</v>
      </c>
      <c r="CO365" s="48" t="str">
        <f t="shared" ca="1" si="657"/>
        <v/>
      </c>
      <c r="CU365" s="48">
        <f ca="1">IF(SUMIFS(AVERE,DEN_G,AC365,AVERE,"&gt;"&amp;0)+SUMIFS(DARE,DEN_G,AC365,DARE,"&gt;"&amp;0)&gt;0,MAX($CU$2:CU364)+1,0)</f>
        <v>0</v>
      </c>
      <c r="CV365" s="48" t="str">
        <f ca="1">IF(IFERROR(INDEX(PDC,MATCH(ROWS($CV$3:CV365),$CU$3:$CU$400,0),2),"")="CONTO DI RISULTATO ECONOMICO","",IFERROR(INDEX(PDC,MATCH(ROWS($CV$3:CV365),$CU$3:$CU$400,0),2),""))</f>
        <v/>
      </c>
      <c r="CW365" s="48">
        <f ca="1">IFERROR(IF(CV365&lt;&gt;"",MAX($CW$2:CW364)+1,0),0)</f>
        <v>0</v>
      </c>
      <c r="CX365" s="48">
        <f t="shared" ca="1" si="689"/>
        <v>28</v>
      </c>
      <c r="CY365" s="48" t="str">
        <f t="shared" ca="1" si="688"/>
        <v>MASTRO</v>
      </c>
      <c r="CZ365" s="48" t="e">
        <f t="shared" ca="1" si="691"/>
        <v>#N/A</v>
      </c>
      <c r="DA365" s="48" t="str">
        <f t="shared" ca="1" si="695"/>
        <v/>
      </c>
      <c r="DB365" s="48" t="str">
        <f t="shared" ca="1" si="682"/>
        <v/>
      </c>
      <c r="DC365" s="48" t="str">
        <f t="shared" ca="1" si="692"/>
        <v/>
      </c>
      <c r="DD365" s="48" t="str">
        <f t="shared" ca="1" si="693"/>
        <v/>
      </c>
      <c r="DE365" s="48" t="str">
        <f t="shared" ca="1" si="694"/>
        <v/>
      </c>
      <c r="DF365" s="48">
        <f ca="1">IF(AND(CX365=$DF$1,CX365&lt;&gt;""),0,IF(AND(DB365&lt;&gt;"",OR(DB364&lt;&gt;"",DB366&lt;&gt;"")),MAX($DF$2:DF364)+1,0))</f>
        <v>0</v>
      </c>
      <c r="DH365" s="244" t="s">
        <v>1077</v>
      </c>
      <c r="DI365" s="48" t="s">
        <v>1122</v>
      </c>
      <c r="DJ365" s="48" t="s">
        <v>311</v>
      </c>
      <c r="DK365" s="48" t="s">
        <v>298</v>
      </c>
      <c r="DL365" s="48" t="s">
        <v>8</v>
      </c>
      <c r="DM365" s="48" t="s">
        <v>300</v>
      </c>
      <c r="DN365" s="48">
        <f ca="1">IF(DI365&lt;&gt;"",MAX($DN$2:DN364)+1,0)</f>
        <v>293</v>
      </c>
      <c r="DO365" s="48" t="str">
        <f ca="1">IF($DK$1=FALSE,"ec16a","ec16d")</f>
        <v>ec16a</v>
      </c>
      <c r="DW365" s="48">
        <f>IF(DR365&lt;&gt;"",MAX($DW$2:DW364)+1,0)</f>
        <v>0</v>
      </c>
      <c r="DY365" s="48" t="str">
        <f t="shared" ca="1" si="647"/>
        <v/>
      </c>
      <c r="EL365" s="48">
        <f t="shared" ca="1" si="648"/>
        <v>0</v>
      </c>
      <c r="EM365" s="48">
        <f ca="1">IF(EL365&gt;=0,0,MAX($EM$2:EM364)+1)</f>
        <v>0</v>
      </c>
      <c r="EN365" s="48" t="str">
        <f t="shared" ca="1" si="658"/>
        <v/>
      </c>
      <c r="EO365" s="48" t="str">
        <f ca="1">IFERROR(INDEX($EM$3:$EN$400,MATCH(ROWS($EO$3:EO365),$EM$3:$EM$400,0),2),"")</f>
        <v/>
      </c>
      <c r="EP365" s="48">
        <f>ROW()</f>
        <v>365</v>
      </c>
      <c r="EQ365" s="48">
        <f t="shared" ca="1" si="649"/>
        <v>0</v>
      </c>
      <c r="ER365" s="48">
        <f ca="1">IF(ISNA(EQ365)=TRUE,MAX($ER$2:ER364)+1,0)</f>
        <v>0</v>
      </c>
      <c r="ES365" s="48" t="str">
        <f t="shared" ca="1" si="659"/>
        <v/>
      </c>
      <c r="ET365" s="48" t="str">
        <f ca="1">IFERROR(INDEX($ER$3:$ES$400,MATCH(ROWS($ET$3:ET365),$ER$3:$ER$400,0),2),"")</f>
        <v/>
      </c>
      <c r="EV365" s="48">
        <f ca="1">IFERROR(INDEX(LIBRO_GIORNALE!$O$11:$P$408,MATCH(ROWS($EV$2:EV364),LIBRO_GIORNALE!$P$11:$P$408,0),1),0)</f>
        <v>0</v>
      </c>
      <c r="EW365" s="48" t="str">
        <f t="shared" ca="1" si="629"/>
        <v>0</v>
      </c>
      <c r="EX365" s="48">
        <f t="shared" ca="1" si="660"/>
        <v>0</v>
      </c>
      <c r="EY365" s="48">
        <f ca="1">IF(EX365&gt;0,MAX($EY$2:EY364)+1,0)</f>
        <v>0</v>
      </c>
      <c r="EZ365" s="48">
        <f ca="1">IFERROR(INDEX($EX$3:$EX$400,MATCH(ROWS($EZ$3:EZ365),$EY$3:$EY$400,0),1),0)</f>
        <v>0</v>
      </c>
      <c r="FA365" s="48">
        <f ca="1">IF(EZ365&gt;0,0,MAX($FA$2:FA364)+1)</f>
        <v>363</v>
      </c>
      <c r="FB365" s="48">
        <f t="shared" ca="1" si="630"/>
        <v>0</v>
      </c>
      <c r="FC365" s="48">
        <f t="shared" ca="1" si="631"/>
        <v>363</v>
      </c>
      <c r="FD365" s="48">
        <f t="shared" ca="1" si="661"/>
        <v>363</v>
      </c>
      <c r="FE365" s="48">
        <f ca="1">IF(FD365=0,0,MAX($FE$2:FE364)+1)</f>
        <v>363</v>
      </c>
      <c r="FF365" s="48">
        <f ca="1">IFERROR(INDEX($FD$3:$FE$400,MATCH(ROWS($FF$3:FF365),$FE$3:$FE$400,0),1),"")</f>
        <v>363</v>
      </c>
      <c r="FG365" s="48">
        <f t="shared" si="696"/>
        <v>0</v>
      </c>
      <c r="FH365" s="48">
        <f t="shared" ca="1" si="662"/>
        <v>0</v>
      </c>
      <c r="FI365" s="48">
        <f ca="1">IF(FH365&lt;&gt;0,MAX($FI$2:FI364)+1,0)</f>
        <v>0</v>
      </c>
      <c r="FJ365" s="48" t="str">
        <f ca="1">IFERROR(INDEX($FH$3:$FI$400,MATCH(ROWS($FJ$3:FJ365),$FI$3:$FI$400,0),1),"")</f>
        <v/>
      </c>
      <c r="FK365" s="48">
        <f ca="1">IF(ABS(SUMIFS(DARE,DEN_G,"="&amp;FJ365,DATA,"&lt;="&amp;FINE_AC,DATA,"&gt;="&amp;INIZIO_A_PC)-SUMIFS(AVERE,DEN_G,"="&amp;FJ365,DATA,"&lt;="&amp;FINE_AC,DATA,"&gt;="&amp;INIZIO_A_PC))&gt;0,MAX($FK$2:FK364)+1,0)</f>
        <v>0</v>
      </c>
      <c r="FL365" s="48" t="str">
        <f ca="1">IF(AND(ROW()-2&lt;&gt;1,ROW()-2&lt;=$FK$1),CONCATENATE(" - ",IFERROR(INDEX($FJ$3:$FK$400,MATCH(ROWS($FL$3:FL365),$FK$3:$FK$400,0),1),"")),IFERROR(INDEX($FJ$3:$FK$400,MATCH(ROWS($FL$3:FL365),$FK$3:$FK$400,0),1),""))</f>
        <v/>
      </c>
      <c r="FM365" s="48">
        <f ca="1">IF(OR(B365="IVA ns/credito",B365="IVA NS/DEBITO",B365="IVA C/ACCONTO",B365="IMPOSTE C/ACCONTO",B365="CREDITI PER RITENUTE SUBITE",B365="CREDITI D'IMPOSTA"),MAX($FM$2:FM364)+1,0)</f>
        <v>0</v>
      </c>
      <c r="FN365" s="48" t="str">
        <f t="shared" ca="1" si="663"/>
        <v/>
      </c>
      <c r="FO365" s="48" t="str">
        <f ca="1">IFERROR(INDEX($FM$3:$FN$400,MATCH(ROWS($FO$3:FO365),$FM$3:$FM$400,0),2),"")</f>
        <v/>
      </c>
      <c r="FP365" s="48">
        <f ca="1">IF(ABS(SUMIFS(DARE,DEN_G,"="&amp;FO365,DATA,"&lt;="&amp;FINE_AC,DATA,"&gt;="&amp;INIZIO_A_PC)-SUMIFS(AVERE,DEN_G,"="&amp;FO365,DATA,"&lt;="&amp;FINE_AC,DATA,"&gt;="&amp;INIZIO_A_PC))&gt;0,MAX($FP$2:FP364)+1,0)</f>
        <v>0</v>
      </c>
      <c r="FQ365" s="48" t="str">
        <f ca="1">IF(AND(ROW()-2&lt;&gt;1,ROW()-2&lt;=$FP$1),CONCATENATE(" - ",IFERROR(INDEX($FO$3:$FP$400,MATCH(ROWS($FQ$3:FQ365),$FP$3:$FP$400,0),1),"")),IFERROR(INDEX($FO$3:$FP$400,MATCH(ROWS($FQ$3:FQ365),$FP$3:$FP$400,0),1),""))</f>
        <v/>
      </c>
    </row>
    <row r="366" spans="1:173" x14ac:dyDescent="0.3">
      <c r="A366" s="48" t="str">
        <f ca="1">IFERROR(IF($A$1=2,INDEX($DH$3:$DN$401,MATCH(ROWS(A$3:A366),$DN$3:$DN$401,0),COLUMN()),IF($A$1=1,INDEX($DQ$3:$DW$401,MATCH(ROWS(A$3:A366),$DW$3:$DW$401,0),COLUMN()),"")),"")</f>
        <v/>
      </c>
      <c r="B366" s="48" t="str">
        <f ca="1">IFERROR(IF($A$1=2,INDEX($DH$3:$DN$400,MATCH(ROWS(B$3:B366),$DN$3:$DN$400,0),COLUMN()),IF($A$1=1,INDEX($DQ$3:$DW$400,MATCH(ROWS(B$3:B366),$DW$3:$DW$400,0),COLUMN()),"")),"")</f>
        <v/>
      </c>
      <c r="D366" s="48" t="str">
        <f ca="1">IFERROR(IF($A$1=2,INDEX($DH$3:$DN$401,MATCH(ROWS(D$3:D366),$DN$3:$DN$401,0),COLUMN()),IF($A$1=1,INDEX($DQ$3:$DW$401,MATCH(ROWS(D$3:D366),$DW$3:$DW$401,0),COLUMN()),"")),"")</f>
        <v/>
      </c>
      <c r="E366" s="48" t="str">
        <f ca="1">IFERROR(IF($A$1=2,INDEX($DH$3:$DN$401,MATCH(ROWS(E$3:E366),$DN$3:$DN$401,0),COLUMN()),IF($A$1=1,INDEX($DQ$3:$DW$401,MATCH(ROWS(E$3:E366),$DW$3:$DW$401,0),COLUMN()),"")),"")</f>
        <v/>
      </c>
      <c r="F366" s="48" t="str">
        <f ca="1">IFERROR(IF($A$1=2,INDEX($DH$3:$DN$401,MATCH(ROWS(F$3:F366),$DN$3:$DN$401,0),COLUMN()),IF($A$1=1,INDEX($DQ$3:$DX$401,MATCH(ROWS(F$3:F366),$DW$3:$DW$401,0),COLUMN()),"")),"")</f>
        <v/>
      </c>
      <c r="G366" s="48" t="str">
        <f t="shared" ca="1" si="650"/>
        <v/>
      </c>
      <c r="H366" s="48" t="str">
        <f ca="1">IFERROR(IF($A$1=2,INDEX($DH$3:$DO$400,MATCH(ROWS(H$3:H366),$DN$3:$DN$400,0),COLUMN()),IF($A$1=1,INDEX($DQ$3:$DX$400,MATCH(ROWS(H$3:H366),$DW$3:$DW$400,0),COLUMN()),"")),"")</f>
        <v/>
      </c>
      <c r="M366" s="48">
        <f ca="1">IFERROR(IF(IF(MID($A366,3,3)=".00",MID(A366,1,2),"")&lt;&gt;"",MAX($M$2:M365)+1,0),"")</f>
        <v>0</v>
      </c>
      <c r="N366" s="48" t="str">
        <f t="shared" ca="1" si="651"/>
        <v/>
      </c>
      <c r="O366" s="48" t="str">
        <f ca="1">IF(IFERROR(INDEX($N$3:$O$300,MATCH(ROWS($O$3:O366),$M$3:$M$300,0),1),"")&lt;&gt;"",CONCATENATE(INDEX($N$3:$O$300,MATCH(ROWS($O$3:O366),$M$3:$M$300,0),1),".00"),"")</f>
        <v/>
      </c>
      <c r="P366" s="48" t="str">
        <f t="shared" ca="1" si="652"/>
        <v/>
      </c>
      <c r="Q366" s="48">
        <f ca="1">IF(M366&gt;=1,0,MAX($Q$2:Q365)+1)</f>
        <v>327</v>
      </c>
      <c r="U366" s="48" t="str">
        <f ca="1">IFERROR(INDEX(PDC,MATCH(ROWS(U$3:U366),$V$3:$V$400,0),2),"")</f>
        <v/>
      </c>
      <c r="V366" s="48">
        <f ca="1">IF(AND($T$1="VISUALIZZA TUTTI I CONTI",AA366&lt;&gt;""),MAX($V$2:V365)+1,IF(AND($U$2=2,AI366=$T$1),MAX($V$2:V365)+1,IF(AND($U$2=1,$T$1=AF366),MAX($V$2:V365)+1,0)))</f>
        <v>0</v>
      </c>
      <c r="AA366" s="48" t="str">
        <f t="shared" ca="1" si="653"/>
        <v/>
      </c>
      <c r="AB366" s="48" t="str">
        <f ca="1">IFERROR(INDEX($A$3:$G$400,MATCH(ROWS(AB$3:AB366),$Q$3:$Q$400,0),1),"")</f>
        <v/>
      </c>
      <c r="AC366" s="48" t="str">
        <f ca="1">IFERROR(INDEX($A$3:$G$400,MATCH(ROWS($AC$3:AC366),$Q$3:$Q$400,0),2),"")</f>
        <v/>
      </c>
      <c r="AD366" s="48" t="str">
        <f ca="1">IFERROR(INDEX($A$3:$G$400,MATCH(ROWS(AD$3:AD366),$Q$3:$Q$400,0),3),"")</f>
        <v/>
      </c>
      <c r="AE366" s="48" t="str">
        <f ca="1">IFERROR(INDEX($A$3:$G$400,MATCH(ROWS(AE$3:AE366),$Q$3:$Q$400,0),4),"")</f>
        <v/>
      </c>
      <c r="AF366" s="48" t="str">
        <f ca="1">IFERROR(INDEX($A$3:$G$400,MATCH(ROWS(AF$3:AF366),$Q$3:$Q$400,0),5),"")</f>
        <v/>
      </c>
      <c r="AG366" s="48" t="str">
        <f ca="1">IFERROR(INDEX($A$3:$G$400,MATCH(ROWS(AG$3:AG366),$Q$3:$Q$400,0),6),"")</f>
        <v/>
      </c>
      <c r="AH366" s="48" t="str">
        <f ca="1">IFERROR(INDEX($A$3:$G$400,MATCH(ROWS(AH$3:AH366),$Q$3:$Q$400,0),7),"")</f>
        <v/>
      </c>
      <c r="AI366" s="48" t="str">
        <f t="shared" ca="1" si="654"/>
        <v/>
      </c>
      <c r="AJ366" s="48" t="str">
        <f ca="1">IFERROR(INDEX($A$3:$H$400,MATCH(ROWS(AJ$3:AJ366),$Q$3:$Q$400,0),8),"")</f>
        <v/>
      </c>
      <c r="AZ366" s="48" t="str">
        <f t="shared" ca="1" si="669"/>
        <v/>
      </c>
      <c r="BA366" s="48">
        <f t="shared" ca="1" si="697"/>
        <v>0</v>
      </c>
      <c r="BB366" s="48">
        <f t="shared" ca="1" si="698"/>
        <v>0</v>
      </c>
      <c r="BC366" s="48">
        <f t="shared" ca="1" si="699"/>
        <v>0</v>
      </c>
      <c r="BD366" s="48">
        <f t="shared" ca="1" si="700"/>
        <v>0</v>
      </c>
      <c r="BE366" s="48">
        <f t="shared" ca="1" si="701"/>
        <v>0</v>
      </c>
      <c r="BF366" s="48">
        <f t="shared" si="670"/>
        <v>166</v>
      </c>
      <c r="BG366" s="48">
        <f ca="1">IF(IF(AND(OR(INDEX(PDC,MATCH($AC366,DEN_PDC,0),6)="SP DARE",INDEX(PDC,MATCH($AC366,DEN_PDC,0),6)="SP DARE/AVERE"),SUMIFS(DARE,DEN_G,$AC366)&gt;=SUMIFS(AVERE,DEN_G,$AC366)),SUMIFS(DARE,DEN_G,$AC366)-SUMIFS(AVERE,DEN_G,$AC366),0)&gt;0,MAX($BG$2:BG365)+1,0)</f>
        <v>0</v>
      </c>
      <c r="BH366" s="48">
        <f ca="1">IF(IF(AND(OR(INDEX(PDC,MATCH($AC366,DEN_PDC,0),6)="SP AVERE",INDEX(PDC,MATCH($AC366,DEN_PDC,0),6)="SP DARE/AVERE"),SUMIFS(AVERE,DEN_G,$AC366)&gt;=SUMIFS(DARE,DEN_G,$AC366)),SUMIFS(AVERE,DEN_G,$AC366)-SUMIFS(DARE,DEN_G,$AC366),0)&gt;0,MAX(BH$2:BH365)+1,0)</f>
        <v>0</v>
      </c>
      <c r="BI366" s="48">
        <f ca="1">IF(IF(AND(OR(INDEX(PDC,MATCH($AC366,DEN_PDC,0),6)="SE DARE",INDEX(PDC,MATCH($AC366,DEN_PDC,0),6)="SE DARE/AVERE"),SUMIFS(DARE,DEN_G,$AC366)&gt;=SUMIFS(AVERE,DEN_G,$AC366)),SUMIFS(DARE,DEN_G,$AC366)-SUMIFS(AVERE,DEN_G,$AC366),0)&gt;0,MAX(BI$2:BI365)+1,0)</f>
        <v>0</v>
      </c>
      <c r="BJ366" s="48">
        <f ca="1">IF(IF(AND(OR(INDEX(PDC,MATCH($AC366,DEN_PDC,0),6)="SE AVERE",INDEX(PDC,MATCH($AC366,DEN_PDC,0),6)="SE DARE/AVERE"),SUMIFS(AVERE,DEN_G,$AC366)&gt;=SUMIFS(DARE,DEN_G,$AC366)),SUMIFS(AVERE,DEN_G,$AC366)-SUMIFS(DARE,DEN_G,$AC366),0)&gt;0,MAX(BJ$2:BJ365)+1,0)</f>
        <v>0</v>
      </c>
      <c r="BK366" s="48" t="str">
        <f ca="1">IF(AND(AND($DY$2=0,$DY$1=0),$I$1=2,ROW()&gt;$BG$1+2,ROW()&lt;=$BG$1+4),"………………..",IF(AND(OR($DY$2&gt;0,$DY$1&gt;0),$I$1=2,ROW()&gt;$BG$1+2,ROW()&lt;=$BG$1+4),"………………..",IFERROR(INDEX($AC$3:$AC$398,MATCH(ROWS(BK$3:BK366),BG$3:BG$398,0),1),"")))</f>
        <v/>
      </c>
      <c r="BL366" s="48">
        <f t="shared" ca="1" si="637"/>
        <v>0</v>
      </c>
      <c r="BM366" s="48" t="str">
        <f ca="1">IF(AND(OR($DY$2=0,$DY$1=0),$I$1=2,ROW()&gt;$BH$1+2,ROW()&lt;=$BH$1+4),"………………..",IF(AND(OR($DY$2&gt;0,$DY$1&gt;0),$I$1=2,ROW()&gt;$BH$1+2,ROW()&lt;=$BH$1+4),"………………..",IFERROR(INDEX($AC$3:$AC$400,MATCH(ROWS(BM$3:BM366),BH$3:BH$400,0),1),"")))</f>
        <v/>
      </c>
      <c r="BN366" s="48">
        <f t="shared" ca="1" si="638"/>
        <v>0</v>
      </c>
      <c r="BO366" s="48" t="str">
        <f ca="1">IF(AND(OR($DY$2=0,$DY$1=0),$I$1=2,ROW()&gt;$BI$1+2,ROW()&lt;=$BI$1+4),"………………..",IF(AND(OR($DY$2&gt;0,$DY$1&gt;0),$I$1=2,ROW()&gt;$BI$1+2,ROW()&lt;=$BI$1+4),"………………..",IFERROR(INDEX($AC$3:$AC$400,MATCH(ROWS(BO$3:BO366),BI$3:BI$400,0),1),"")))</f>
        <v/>
      </c>
      <c r="BP366" s="48">
        <f t="shared" ca="1" si="639"/>
        <v>0</v>
      </c>
      <c r="BQ366" s="48" t="str">
        <f ca="1">IF(AND(OR($DY$2=0,$DY$1=0),$I$1=2,ROW()&gt;$BJ$1+2,ROW()&lt;=$BJ$1+4),"………………..",IF(AND(OR($DY$2&gt;0,$DY$1&gt;0),$I$1=2,ROW()&gt;$BJ$1+2,ROW()&lt;=$BJ$1+4),"………………..",IFERROR(INDEX($AC$3:$AC$400,MATCH(ROWS(BQ$3:BQ366),BJ$3:BJ$400,0),1),"")))</f>
        <v/>
      </c>
      <c r="BR366" s="48">
        <f t="shared" ca="1" si="640"/>
        <v>0</v>
      </c>
      <c r="BS366" s="48">
        <f ca="1">IF(IF(AND(OR(INDEX(PDC,MATCH($AC366,DEN_PDC,0),4)="D",INDEX(PDC,MATCH($AC366,DEN_PDC,0),4)="D/A"),SUMIFS(DARE,DEN_G,$AC366)&gt;=SUMIFS(AVERE,DEN_G,$AC366)),SUMIFS(DARE,DEN_G,$AC366),IF(AND(OR(INDEX(PDC,MATCH($AC366,DEN_PDC,0),4)="A",INDEX(PDC,MATCH($AC366,DEN_PDC,0),4)="D/A"),SUMIFS(AVERE,DEN_G,$AC366)&gt;=SUMIFS(DARE,DEN_G,$AC366)),SUMIFS(AVERE,DEN_G,$AC366),))&gt;0,MAX($BS$2:BS365)+1,0)</f>
        <v>0</v>
      </c>
      <c r="BT366" s="48" t="str">
        <f ca="1">IF($CO$1=0,"",IF(AND($I$1=2,ROW()&gt;$BR$1,ROW()&lt;=$BS$1)," …………….",IF(AND($E$1=1,$BX$1=1,$I$1=2,ROW()=$BQ$1),"TOTALI",IFERROR(INDEX(PDC,MATCH(ROWS(BT$3:BT366),BS$3:BS763,0),2),""))))</f>
        <v/>
      </c>
      <c r="BU366" s="48">
        <f t="shared" ca="1" si="641"/>
        <v>0</v>
      </c>
      <c r="BV366" s="48">
        <f t="shared" ca="1" si="642"/>
        <v>0</v>
      </c>
      <c r="BW366" s="48">
        <f t="shared" ca="1" si="643"/>
        <v>0</v>
      </c>
      <c r="BX366" s="48">
        <f t="shared" ca="1" si="644"/>
        <v>0</v>
      </c>
      <c r="BY366" s="48">
        <f ca="1">IF(OR(BW366&gt;0,BX366&gt;0),MAX($BY$2:BY365)+1,0)</f>
        <v>0</v>
      </c>
      <c r="BZ366" s="48" t="str">
        <f ca="1">IFERROR(INDEX($BT$3:$BY$400,MATCH(ROWS(BZ$3:BZ366),$BY$3:$BY$400,0),1),"")</f>
        <v/>
      </c>
      <c r="CA366" s="48" t="str">
        <f ca="1">IFERROR(INDEX($BT$3:$BY$400,MATCH(ROWS(CA$3:CA366),$BY$3:$BY$400,0),4),"")</f>
        <v/>
      </c>
      <c r="CB366" s="48" t="str">
        <f ca="1">IFERROR(INDEX($BT$3:$BY$400,MATCH(ROWS(CB$3:CB366),$BY$3:$BY$400,0),5),"")</f>
        <v/>
      </c>
      <c r="CC366" s="48" t="str">
        <f t="shared" ca="1" si="645"/>
        <v/>
      </c>
      <c r="CM366" s="242" t="str">
        <f t="shared" ca="1" si="655"/>
        <v/>
      </c>
      <c r="CN366" s="243">
        <f t="shared" ca="1" si="656"/>
        <v>0</v>
      </c>
      <c r="CO366" s="48" t="str">
        <f t="shared" ca="1" si="657"/>
        <v/>
      </c>
      <c r="CU366" s="48">
        <f ca="1">IF(SUMIFS(AVERE,DEN_G,AC366,AVERE,"&gt;"&amp;0)+SUMIFS(DARE,DEN_G,AC366,DARE,"&gt;"&amp;0)&gt;0,MAX($CU$2:CU365)+1,0)</f>
        <v>0</v>
      </c>
      <c r="CV366" s="48" t="str">
        <f ca="1">IF(IFERROR(INDEX(PDC,MATCH(ROWS($CV$3:CV366),$CU$3:$CU$400,0),2),"")="CONTO DI RISULTATO ECONOMICO","",IFERROR(INDEX(PDC,MATCH(ROWS($CV$3:CV366),$CU$3:$CU$400,0),2),""))</f>
        <v/>
      </c>
      <c r="CW366" s="48">
        <f ca="1">IFERROR(IF(CV366&lt;&gt;"",MAX($CW$2:CW365)+1,0),0)</f>
        <v>0</v>
      </c>
      <c r="CY366" s="48" t="s">
        <v>500</v>
      </c>
      <c r="DB366" s="48" t="str">
        <f t="shared" ref="DB366" ca="1" si="702">IF(CX365=$DF$1,"","MASTRO")</f>
        <v>MASTRO</v>
      </c>
      <c r="DF366" s="48">
        <f ca="1">IF(AND(CX366=$DF$1,CX366&lt;&gt;""),0,IF(AND(DB366&lt;&gt;"",OR(DB365&lt;&gt;"",DB367&lt;&gt;"")),MAX($DF$2:DF365)+1,0))</f>
        <v>0</v>
      </c>
      <c r="DH366" s="244" t="s">
        <v>1120</v>
      </c>
      <c r="DI366" s="48" t="s">
        <v>1123</v>
      </c>
      <c r="DJ366" s="48" t="s">
        <v>311</v>
      </c>
      <c r="DK366" s="48" t="s">
        <v>298</v>
      </c>
      <c r="DL366" s="48" t="s">
        <v>8</v>
      </c>
      <c r="DM366" s="48" t="s">
        <v>300</v>
      </c>
      <c r="DN366" s="48">
        <f ca="1">IF(DI366&lt;&gt;"",MAX($DN$2:DN365)+1,0)</f>
        <v>294</v>
      </c>
      <c r="DO366" s="48" t="str">
        <f ca="1">IF($DM$1=FALSE,"ec16a","ec16d")</f>
        <v>ec16a</v>
      </c>
      <c r="DW366" s="48">
        <f>IF(DR366&lt;&gt;"",MAX($DW$2:DW365)+1,0)</f>
        <v>0</v>
      </c>
      <c r="DY366" s="48" t="str">
        <f t="shared" ca="1" si="647"/>
        <v/>
      </c>
      <c r="EL366" s="48">
        <f t="shared" ca="1" si="648"/>
        <v>0</v>
      </c>
      <c r="EM366" s="48">
        <f ca="1">IF(EL366&gt;=0,0,MAX($EM$2:EM365)+1)</f>
        <v>0</v>
      </c>
      <c r="EN366" s="48" t="str">
        <f t="shared" ca="1" si="658"/>
        <v/>
      </c>
      <c r="EO366" s="48" t="str">
        <f ca="1">IFERROR(INDEX($EM$3:$EN$400,MATCH(ROWS($EO$3:EO366),$EM$3:$EM$400,0),2),"")</f>
        <v/>
      </c>
      <c r="EP366" s="48">
        <f>ROW()</f>
        <v>366</v>
      </c>
      <c r="EQ366" s="48">
        <f t="shared" ca="1" si="649"/>
        <v>0</v>
      </c>
      <c r="ER366" s="48">
        <f ca="1">IF(ISNA(EQ366)=TRUE,MAX($ER$2:ER365)+1,0)</f>
        <v>0</v>
      </c>
      <c r="ES366" s="48" t="str">
        <f t="shared" ca="1" si="659"/>
        <v/>
      </c>
      <c r="ET366" s="48" t="str">
        <f ca="1">IFERROR(INDEX($ER$3:$ES$400,MATCH(ROWS($ET$3:ET366),$ER$3:$ER$400,0),2),"")</f>
        <v/>
      </c>
      <c r="EV366" s="48">
        <f ca="1">IFERROR(INDEX(LIBRO_GIORNALE!$O$11:$P$408,MATCH(ROWS($EV$2:EV365),LIBRO_GIORNALE!$P$11:$P$408,0),1),0)</f>
        <v>0</v>
      </c>
      <c r="EW366" s="48" t="str">
        <f t="shared" ca="1" si="629"/>
        <v>0</v>
      </c>
      <c r="EX366" s="48">
        <f t="shared" ca="1" si="660"/>
        <v>0</v>
      </c>
      <c r="EY366" s="48">
        <f ca="1">IF(EX366&gt;0,MAX($EY$2:EY365)+1,0)</f>
        <v>0</v>
      </c>
      <c r="EZ366" s="48">
        <f ca="1">IFERROR(INDEX($EX$3:$EX$400,MATCH(ROWS($EZ$3:EZ366),$EY$3:$EY$400,0),1),0)</f>
        <v>0</v>
      </c>
      <c r="FA366" s="48">
        <f ca="1">IF(EZ366&gt;0,0,MAX($FA$2:FA365)+1)</f>
        <v>364</v>
      </c>
      <c r="FB366" s="48">
        <f t="shared" ca="1" si="630"/>
        <v>0</v>
      </c>
      <c r="FC366" s="48">
        <f t="shared" ca="1" si="631"/>
        <v>364</v>
      </c>
      <c r="FD366" s="48">
        <f t="shared" ca="1" si="661"/>
        <v>364</v>
      </c>
      <c r="FE366" s="48">
        <f ca="1">IF(FD366=0,0,MAX($FE$2:FE365)+1)</f>
        <v>364</v>
      </c>
      <c r="FF366" s="48">
        <f ca="1">IFERROR(INDEX($FD$3:$FE$400,MATCH(ROWS($FF$3:FF366),$FE$3:$FE$400,0),1),"")</f>
        <v>364</v>
      </c>
      <c r="FG366" s="48">
        <f t="shared" si="696"/>
        <v>0</v>
      </c>
      <c r="FH366" s="48">
        <f t="shared" ca="1" si="662"/>
        <v>0</v>
      </c>
      <c r="FI366" s="48">
        <f ca="1">IF(FH366&lt;&gt;0,MAX($FI$2:FI365)+1,0)</f>
        <v>0</v>
      </c>
      <c r="FJ366" s="48" t="str">
        <f ca="1">IFERROR(INDEX($FH$3:$FI$400,MATCH(ROWS($FJ$3:FJ366),$FI$3:$FI$400,0),1),"")</f>
        <v/>
      </c>
      <c r="FK366" s="48">
        <f ca="1">IF(ABS(SUMIFS(DARE,DEN_G,"="&amp;FJ366,DATA,"&lt;="&amp;FINE_AC,DATA,"&gt;="&amp;INIZIO_A_PC)-SUMIFS(AVERE,DEN_G,"="&amp;FJ366,DATA,"&lt;="&amp;FINE_AC,DATA,"&gt;="&amp;INIZIO_A_PC))&gt;0,MAX($FK$2:FK365)+1,0)</f>
        <v>0</v>
      </c>
      <c r="FL366" s="48" t="str">
        <f ca="1">IF(AND(ROW()-2&lt;&gt;1,ROW()-2&lt;=$FK$1),CONCATENATE(" - ",IFERROR(INDEX($FJ$3:$FK$400,MATCH(ROWS($FL$3:FL366),$FK$3:$FK$400,0),1),"")),IFERROR(INDEX($FJ$3:$FK$400,MATCH(ROWS($FL$3:FL366),$FK$3:$FK$400,0),1),""))</f>
        <v/>
      </c>
      <c r="FM366" s="48">
        <f ca="1">IF(OR(B366="IVA ns/credito",B366="IVA NS/DEBITO",B366="IVA C/ACCONTO",B366="IMPOSTE C/ACCONTO",B366="CREDITI PER RITENUTE SUBITE",B366="CREDITI D'IMPOSTA"),MAX($FM$2:FM365)+1,0)</f>
        <v>0</v>
      </c>
      <c r="FN366" s="48" t="str">
        <f t="shared" ca="1" si="663"/>
        <v/>
      </c>
      <c r="FO366" s="48" t="str">
        <f ca="1">IFERROR(INDEX($FM$3:$FN$400,MATCH(ROWS($FO$3:FO366),$FM$3:$FM$400,0),2),"")</f>
        <v/>
      </c>
      <c r="FP366" s="48">
        <f ca="1">IF(ABS(SUMIFS(DARE,DEN_G,"="&amp;FO366,DATA,"&lt;="&amp;FINE_AC,DATA,"&gt;="&amp;INIZIO_A_PC)-SUMIFS(AVERE,DEN_G,"="&amp;FO366,DATA,"&lt;="&amp;FINE_AC,DATA,"&gt;="&amp;INIZIO_A_PC))&gt;0,MAX($FP$2:FP365)+1,0)</f>
        <v>0</v>
      </c>
      <c r="FQ366" s="48" t="str">
        <f ca="1">IF(AND(ROW()-2&lt;&gt;1,ROW()-2&lt;=$FP$1),CONCATENATE(" - ",IFERROR(INDEX($FO$3:$FP$400,MATCH(ROWS($FQ$3:FQ366),$FP$3:$FP$400,0),1),"")),IFERROR(INDEX($FO$3:$FP$400,MATCH(ROWS($FQ$3:FQ366),$FP$3:$FP$400,0),1),""))</f>
        <v/>
      </c>
    </row>
    <row r="367" spans="1:173" x14ac:dyDescent="0.3">
      <c r="A367" s="48" t="str">
        <f ca="1">IFERROR(IF($A$1=2,INDEX($DH$3:$DN$401,MATCH(ROWS(A$3:A367),$DN$3:$DN$401,0),COLUMN()),IF($A$1=1,INDEX($DQ$3:$DW$401,MATCH(ROWS(A$3:A367),$DW$3:$DW$401,0),COLUMN()),"")),"")</f>
        <v/>
      </c>
      <c r="B367" s="48" t="str">
        <f ca="1">IFERROR(IF($A$1=2,INDEX($DH$3:$DN$400,MATCH(ROWS(B$3:B367),$DN$3:$DN$400,0),COLUMN()),IF($A$1=1,INDEX($DQ$3:$DW$400,MATCH(ROWS(B$3:B367),$DW$3:$DW$400,0),COLUMN()),"")),"")</f>
        <v/>
      </c>
      <c r="D367" s="48" t="str">
        <f ca="1">IFERROR(IF($A$1=2,INDEX($DH$3:$DN$401,MATCH(ROWS(D$3:D367),$DN$3:$DN$401,0),COLUMN()),IF($A$1=1,INDEX($DQ$3:$DW$401,MATCH(ROWS(D$3:D367),$DW$3:$DW$401,0),COLUMN()),"")),"")</f>
        <v/>
      </c>
      <c r="E367" s="48" t="str">
        <f ca="1">IFERROR(IF($A$1=2,INDEX($DH$3:$DN$401,MATCH(ROWS(E$3:E367),$DN$3:$DN$401,0),COLUMN()),IF($A$1=1,INDEX($DQ$3:$DW$401,MATCH(ROWS(E$3:E367),$DW$3:$DW$401,0),COLUMN()),"")),"")</f>
        <v/>
      </c>
      <c r="F367" s="48" t="str">
        <f ca="1">IFERROR(IF($A$1=2,INDEX($DH$3:$DN$401,MATCH(ROWS(F$3:F367),$DN$3:$DN$401,0),COLUMN()),IF($A$1=1,INDEX($DQ$3:$DX$401,MATCH(ROWS(F$3:F367),$DW$3:$DW$401,0),COLUMN()),"")),"")</f>
        <v/>
      </c>
      <c r="G367" s="48" t="str">
        <f t="shared" ca="1" si="650"/>
        <v/>
      </c>
      <c r="H367" s="48" t="str">
        <f ca="1">IFERROR(IF($A$1=2,INDEX($DH$3:$DO$400,MATCH(ROWS(H$3:H367),$DN$3:$DN$400,0),COLUMN()),IF($A$1=1,INDEX($DQ$3:$DX$400,MATCH(ROWS(H$3:H367),$DW$3:$DW$400,0),COLUMN()),"")),"")</f>
        <v/>
      </c>
      <c r="M367" s="48">
        <f ca="1">IFERROR(IF(IF(MID($A367,3,3)=".00",MID(A367,1,2),"")&lt;&gt;"",MAX($M$2:M366)+1,0),"")</f>
        <v>0</v>
      </c>
      <c r="N367" s="48" t="str">
        <f t="shared" ca="1" si="651"/>
        <v/>
      </c>
      <c r="O367" s="48" t="str">
        <f ca="1">IF(IFERROR(INDEX($N$3:$O$300,MATCH(ROWS($O$3:O367),$M$3:$M$300,0),1),"")&lt;&gt;"",CONCATENATE(INDEX($N$3:$O$300,MATCH(ROWS($O$3:O367),$M$3:$M$300,0),1),".00"),"")</f>
        <v/>
      </c>
      <c r="P367" s="48" t="str">
        <f t="shared" ca="1" si="652"/>
        <v/>
      </c>
      <c r="Q367" s="48">
        <f ca="1">IF(M367&gt;=1,0,MAX($Q$2:Q366)+1)</f>
        <v>328</v>
      </c>
      <c r="U367" s="48" t="str">
        <f ca="1">IFERROR(INDEX(PDC,MATCH(ROWS(U$3:U367),$V$3:$V$400,0),2),"")</f>
        <v/>
      </c>
      <c r="V367" s="48">
        <f ca="1">IF(AND($T$1="VISUALIZZA TUTTI I CONTI",AA367&lt;&gt;""),MAX($V$2:V366)+1,IF(AND($U$2=2,AI367=$T$1),MAX($V$2:V366)+1,IF(AND($U$2=1,$T$1=AF367),MAX($V$2:V366)+1,0)))</f>
        <v>0</v>
      </c>
      <c r="AA367" s="48" t="str">
        <f t="shared" ca="1" si="653"/>
        <v/>
      </c>
      <c r="AB367" s="48" t="str">
        <f ca="1">IFERROR(INDEX($A$3:$G$400,MATCH(ROWS(AB$3:AB367),$Q$3:$Q$400,0),1),"")</f>
        <v/>
      </c>
      <c r="AC367" s="48" t="str">
        <f ca="1">IFERROR(INDEX($A$3:$G$400,MATCH(ROWS($AC$3:AC367),$Q$3:$Q$400,0),2),"")</f>
        <v/>
      </c>
      <c r="AD367" s="48" t="str">
        <f ca="1">IFERROR(INDEX($A$3:$G$400,MATCH(ROWS(AD$3:AD367),$Q$3:$Q$400,0),3),"")</f>
        <v/>
      </c>
      <c r="AE367" s="48" t="str">
        <f ca="1">IFERROR(INDEX($A$3:$G$400,MATCH(ROWS(AE$3:AE367),$Q$3:$Q$400,0),4),"")</f>
        <v/>
      </c>
      <c r="AF367" s="48" t="str">
        <f ca="1">IFERROR(INDEX($A$3:$G$400,MATCH(ROWS(AF$3:AF367),$Q$3:$Q$400,0),5),"")</f>
        <v/>
      </c>
      <c r="AG367" s="48" t="str">
        <f ca="1">IFERROR(INDEX($A$3:$G$400,MATCH(ROWS(AG$3:AG367),$Q$3:$Q$400,0),6),"")</f>
        <v/>
      </c>
      <c r="AH367" s="48" t="str">
        <f ca="1">IFERROR(INDEX($A$3:$G$400,MATCH(ROWS(AH$3:AH367),$Q$3:$Q$400,0),7),"")</f>
        <v/>
      </c>
      <c r="AI367" s="48" t="str">
        <f t="shared" ca="1" si="654"/>
        <v/>
      </c>
      <c r="AJ367" s="48" t="str">
        <f ca="1">IFERROR(INDEX($A$3:$H$400,MATCH(ROWS(AJ$3:AJ367),$Q$3:$Q$400,0),8),"")</f>
        <v/>
      </c>
      <c r="AZ367" s="48" t="str">
        <f t="shared" ca="1" si="669"/>
        <v/>
      </c>
      <c r="BA367" s="48">
        <f t="shared" ca="1" si="697"/>
        <v>0</v>
      </c>
      <c r="BB367" s="48">
        <f t="shared" ca="1" si="698"/>
        <v>0</v>
      </c>
      <c r="BC367" s="48">
        <f t="shared" ca="1" si="699"/>
        <v>0</v>
      </c>
      <c r="BD367" s="48">
        <f t="shared" ca="1" si="700"/>
        <v>0</v>
      </c>
      <c r="BE367" s="48">
        <f t="shared" ca="1" si="701"/>
        <v>0</v>
      </c>
      <c r="BF367" s="48">
        <f t="shared" si="670"/>
        <v>167</v>
      </c>
      <c r="BG367" s="48">
        <f ca="1">IF(IF(AND(OR(INDEX(PDC,MATCH($AC367,DEN_PDC,0),6)="SP DARE",INDEX(PDC,MATCH($AC367,DEN_PDC,0),6)="SP DARE/AVERE"),SUMIFS(DARE,DEN_G,$AC367)&gt;=SUMIFS(AVERE,DEN_G,$AC367)),SUMIFS(DARE,DEN_G,$AC367)-SUMIFS(AVERE,DEN_G,$AC367),0)&gt;0,MAX($BG$2:BG366)+1,0)</f>
        <v>0</v>
      </c>
      <c r="BH367" s="48">
        <f ca="1">IF(IF(AND(OR(INDEX(PDC,MATCH($AC367,DEN_PDC,0),6)="SP AVERE",INDEX(PDC,MATCH($AC367,DEN_PDC,0),6)="SP DARE/AVERE"),SUMIFS(AVERE,DEN_G,$AC367)&gt;=SUMIFS(DARE,DEN_G,$AC367)),SUMIFS(AVERE,DEN_G,$AC367)-SUMIFS(DARE,DEN_G,$AC367),0)&gt;0,MAX(BH$2:BH366)+1,0)</f>
        <v>0</v>
      </c>
      <c r="BI367" s="48">
        <f ca="1">IF(IF(AND(OR(INDEX(PDC,MATCH($AC367,DEN_PDC,0),6)="SE DARE",INDEX(PDC,MATCH($AC367,DEN_PDC,0),6)="SE DARE/AVERE"),SUMIFS(DARE,DEN_G,$AC367)&gt;=SUMIFS(AVERE,DEN_G,$AC367)),SUMIFS(DARE,DEN_G,$AC367)-SUMIFS(AVERE,DEN_G,$AC367),0)&gt;0,MAX(BI$2:BI366)+1,0)</f>
        <v>0</v>
      </c>
      <c r="BJ367" s="48">
        <f ca="1">IF(IF(AND(OR(INDEX(PDC,MATCH($AC367,DEN_PDC,0),6)="SE AVERE",INDEX(PDC,MATCH($AC367,DEN_PDC,0),6)="SE DARE/AVERE"),SUMIFS(AVERE,DEN_G,$AC367)&gt;=SUMIFS(DARE,DEN_G,$AC367)),SUMIFS(AVERE,DEN_G,$AC367)-SUMIFS(DARE,DEN_G,$AC367),0)&gt;0,MAX(BJ$2:BJ366)+1,0)</f>
        <v>0</v>
      </c>
      <c r="BK367" s="48" t="str">
        <f ca="1">IF(AND(AND($DY$2=0,$DY$1=0),$I$1=2,ROW()&gt;$BG$1+2,ROW()&lt;=$BG$1+4),"………………..",IF(AND(OR($DY$2&gt;0,$DY$1&gt;0),$I$1=2,ROW()&gt;$BG$1+2,ROW()&lt;=$BG$1+4),"………………..",IFERROR(INDEX($AC$3:$AC$398,MATCH(ROWS(BK$3:BK367),BG$3:BG$398,0),1),"")))</f>
        <v/>
      </c>
      <c r="BL367" s="48">
        <f t="shared" ca="1" si="637"/>
        <v>0</v>
      </c>
      <c r="BM367" s="48" t="str">
        <f ca="1">IF(AND(OR($DY$2=0,$DY$1=0),$I$1=2,ROW()&gt;$BH$1+2,ROW()&lt;=$BH$1+4),"………………..",IF(AND(OR($DY$2&gt;0,$DY$1&gt;0),$I$1=2,ROW()&gt;$BH$1+2,ROW()&lt;=$BH$1+4),"………………..",IFERROR(INDEX($AC$3:$AC$400,MATCH(ROWS(BM$3:BM367),BH$3:BH$400,0),1),"")))</f>
        <v/>
      </c>
      <c r="BN367" s="48">
        <f t="shared" ca="1" si="638"/>
        <v>0</v>
      </c>
      <c r="BO367" s="48" t="str">
        <f ca="1">IF(AND(OR($DY$2=0,$DY$1=0),$I$1=2,ROW()&gt;$BI$1+2,ROW()&lt;=$BI$1+4),"………………..",IF(AND(OR($DY$2&gt;0,$DY$1&gt;0),$I$1=2,ROW()&gt;$BI$1+2,ROW()&lt;=$BI$1+4),"………………..",IFERROR(INDEX($AC$3:$AC$400,MATCH(ROWS(BO$3:BO367),BI$3:BI$400,0),1),"")))</f>
        <v/>
      </c>
      <c r="BP367" s="48">
        <f t="shared" ca="1" si="639"/>
        <v>0</v>
      </c>
      <c r="BQ367" s="48" t="str">
        <f ca="1">IF(AND(OR($DY$2=0,$DY$1=0),$I$1=2,ROW()&gt;$BJ$1+2,ROW()&lt;=$BJ$1+4),"………………..",IF(AND(OR($DY$2&gt;0,$DY$1&gt;0),$I$1=2,ROW()&gt;$BJ$1+2,ROW()&lt;=$BJ$1+4),"………………..",IFERROR(INDEX($AC$3:$AC$400,MATCH(ROWS(BQ$3:BQ367),BJ$3:BJ$400,0),1),"")))</f>
        <v/>
      </c>
      <c r="BR367" s="48">
        <f t="shared" ca="1" si="640"/>
        <v>0</v>
      </c>
      <c r="BS367" s="48">
        <f ca="1">IF(IF(AND(OR(INDEX(PDC,MATCH($AC367,DEN_PDC,0),4)="D",INDEX(PDC,MATCH($AC367,DEN_PDC,0),4)="D/A"),SUMIFS(DARE,DEN_G,$AC367)&gt;=SUMIFS(AVERE,DEN_G,$AC367)),SUMIFS(DARE,DEN_G,$AC367),IF(AND(OR(INDEX(PDC,MATCH($AC367,DEN_PDC,0),4)="A",INDEX(PDC,MATCH($AC367,DEN_PDC,0),4)="D/A"),SUMIFS(AVERE,DEN_G,$AC367)&gt;=SUMIFS(DARE,DEN_G,$AC367)),SUMIFS(AVERE,DEN_G,$AC367),))&gt;0,MAX($BS$2:BS366)+1,0)</f>
        <v>0</v>
      </c>
      <c r="BT367" s="48" t="str">
        <f ca="1">IF($CO$1=0,"",IF(AND($I$1=2,ROW()&gt;$BR$1,ROW()&lt;=$BS$1)," …………….",IF(AND($E$1=1,$BX$1=1,$I$1=2,ROW()=$BQ$1),"TOTALI",IFERROR(INDEX(PDC,MATCH(ROWS(BT$3:BT367),BS$3:BS764,0),2),""))))</f>
        <v/>
      </c>
      <c r="BU367" s="48">
        <f t="shared" ca="1" si="641"/>
        <v>0</v>
      </c>
      <c r="BV367" s="48">
        <f t="shared" ca="1" si="642"/>
        <v>0</v>
      </c>
      <c r="BW367" s="48">
        <f t="shared" ca="1" si="643"/>
        <v>0</v>
      </c>
      <c r="BX367" s="48">
        <f t="shared" ca="1" si="644"/>
        <v>0</v>
      </c>
      <c r="BY367" s="48">
        <f ca="1">IF(OR(BW367&gt;0,BX367&gt;0),MAX($BY$2:BY366)+1,0)</f>
        <v>0</v>
      </c>
      <c r="BZ367" s="48" t="str">
        <f ca="1">IFERROR(INDEX($BT$3:$BY$400,MATCH(ROWS(BZ$3:BZ367),$BY$3:$BY$400,0),1),"")</f>
        <v/>
      </c>
      <c r="CA367" s="48" t="str">
        <f ca="1">IFERROR(INDEX($BT$3:$BY$400,MATCH(ROWS(CA$3:CA367),$BY$3:$BY$400,0),4),"")</f>
        <v/>
      </c>
      <c r="CB367" s="48" t="str">
        <f ca="1">IFERROR(INDEX($BT$3:$BY$400,MATCH(ROWS(CB$3:CB367),$BY$3:$BY$400,0),5),"")</f>
        <v/>
      </c>
      <c r="CC367" s="48" t="str">
        <f t="shared" ca="1" si="645"/>
        <v/>
      </c>
      <c r="CM367" s="242" t="str">
        <f t="shared" ca="1" si="655"/>
        <v/>
      </c>
      <c r="CN367" s="243">
        <f t="shared" ca="1" si="656"/>
        <v>0</v>
      </c>
      <c r="CO367" s="48" t="str">
        <f t="shared" ca="1" si="657"/>
        <v/>
      </c>
      <c r="CU367" s="48">
        <f ca="1">IF(SUMIFS(AVERE,DEN_G,AC367,AVERE,"&gt;"&amp;0)+SUMIFS(DARE,DEN_G,AC367,DARE,"&gt;"&amp;0)&gt;0,MAX($CU$2:CU366)+1,0)</f>
        <v>0</v>
      </c>
      <c r="CV367" s="48" t="str">
        <f ca="1">IF(IFERROR(INDEX(PDC,MATCH(ROWS($CV$3:CV367),$CU$3:$CU$400,0),2),"")="CONTO DI RISULTATO ECONOMICO","",IFERROR(INDEX(PDC,MATCH(ROWS($CV$3:CV367),$CU$3:$CU$400,0),2),""))</f>
        <v/>
      </c>
      <c r="CW367" s="48">
        <f ca="1">IFERROR(IF(CV367&lt;&gt;"",MAX($CW$2:CW366)+1,0),0)</f>
        <v>0</v>
      </c>
      <c r="CX367" s="48">
        <f ca="1">$FF$31</f>
        <v>29</v>
      </c>
      <c r="CY367" s="48" t="str">
        <f t="shared" ref="CY367:CY378" ca="1" si="703">IF(ISERROR(INDEX($CV$3:$CX$1302,MATCH(CX367,$CW$3:$CW$1302,0),1)),"MASTRO",INDEX($CV$3:$CX$1302,MATCH(CX367,$CW$3:$CW$1302,0),1))</f>
        <v>MASTRO</v>
      </c>
      <c r="DA367" s="48" t="str">
        <f>IF(CY366="MASTRO","Conto n.","")</f>
        <v>Conto n.</v>
      </c>
      <c r="DB367" s="48" t="str">
        <f ca="1">IF(CY367=0,"",INDEX(PDC,MATCH(DC367,DEN_PDC,0),1))</f>
        <v/>
      </c>
      <c r="DC367" s="48" t="str">
        <f ca="1">IF(OR(CY367=0,CY367="mastro"),"",CY367)</f>
        <v/>
      </c>
      <c r="DD367" s="48" t="str">
        <f ca="1">IF(AND($DA$2=TRUE,OR(INDEX(PDC,MATCH($DC367,DEN_PDC,0),4)="A",INDEX(PDC,MATCH($DC367,DEN_PDC,0),4)="D/A"),SUMIFS(AVERE,DEN_G,"="&amp;$DC367,DATA,"&lt;="&amp;FINE_AC,DATA,"&gt;="&amp;INIZIO_AC)&gt;SUMIFS(DARE,DEN_G,"="&amp;$DC367,DATA,"&lt;="&amp;FINE_AC,DATA,"&gt;="&amp;INIZIO_AC)),CONCATENATE("s ",FIXED(ABS(SUMIFS(AVERE,DEN_G,"="&amp;$DC367,DATA,"&lt;="&amp;FINE_AC,DATA,"&gt;="&amp;INIZIO_AC)-SUMIFS(DARE,DEN_G,"="&amp;$DC367,DATA,"&lt;="&amp;FINE_AC,DATA,"&gt;="&amp;INIZIO_AC)),2)),"")</f>
        <v/>
      </c>
      <c r="DE367" s="48" t="str">
        <f ca="1">IF(AND($DA$2=TRUE,OR(INDEX(PDC,MATCH($DC367,DEN_PDC,0),4)="D",INDEX(PDC,MATCH($DC367,DEN_PDC,0),4)="D/A"),SUMIFS(DARE,DEN_G,"="&amp;$DC367,DATA,"&lt;="&amp;FINE_AC,DATA,"&gt;="&amp;INIZIO_AC)&gt;SUMIFS(AVERE,DEN_G,"="&amp;$DC367,DATA,"&lt;="&amp;FINE_AC,DATA,"&gt;="&amp;INIZIO_AC)),CONCATENATE("s ",FIXED(ABS(SUMIFS(DARE,DEN_G,"="&amp;$DC367,DATA,"&lt;="&amp;FINE_AC,DATA,"&gt;="&amp;INIZIO_AC)-SUMIFS(AVERE,DEN_G,"="&amp;$DC367,DATA,"&lt;="&amp;FINE_AC,DATA,"&gt;="&amp;INIZIO_AC)),2)),"")</f>
        <v/>
      </c>
      <c r="DF367" s="48">
        <f ca="1">IF(AND(CX367=$DF$1,CX367&lt;&gt;""),0,IF(AND(DB367&lt;&gt;"",OR(DB366&lt;&gt;"",DB368&lt;&gt;"")),MAX($DF$2:DF366)+1,0))</f>
        <v>0</v>
      </c>
      <c r="DH367" s="244" t="s">
        <v>912</v>
      </c>
      <c r="DI367" s="48" t="s">
        <v>458</v>
      </c>
      <c r="DJ367" s="48" t="s">
        <v>311</v>
      </c>
      <c r="DK367" s="48" t="s">
        <v>298</v>
      </c>
      <c r="DL367" s="48" t="s">
        <v>8</v>
      </c>
      <c r="DM367" s="48" t="s">
        <v>300</v>
      </c>
      <c r="DN367" s="48">
        <f ca="1">IF(DI367&lt;&gt;"",MAX($DN$2:DN366)+1,0)</f>
        <v>295</v>
      </c>
      <c r="DO367" s="48" t="str">
        <f ca="1">IF($BF$9=1,"ec16c","ec16b")</f>
        <v>ec16b</v>
      </c>
      <c r="DW367" s="48">
        <f>IF(DR367&lt;&gt;"",MAX($DW$2:DW366)+1,0)</f>
        <v>0</v>
      </c>
      <c r="DY367" s="48" t="str">
        <f t="shared" ca="1" si="647"/>
        <v/>
      </c>
      <c r="EL367" s="48">
        <f t="shared" ca="1" si="648"/>
        <v>0</v>
      </c>
      <c r="EM367" s="48">
        <f ca="1">IF(EL367&gt;=0,0,MAX($EM$2:EM366)+1)</f>
        <v>0</v>
      </c>
      <c r="EN367" s="48" t="str">
        <f t="shared" ca="1" si="658"/>
        <v/>
      </c>
      <c r="EO367" s="48" t="str">
        <f ca="1">IFERROR(INDEX($EM$3:$EN$400,MATCH(ROWS($EO$3:EO367),$EM$3:$EM$400,0),2),"")</f>
        <v/>
      </c>
      <c r="EP367" s="48">
        <f>ROW()</f>
        <v>367</v>
      </c>
      <c r="EQ367" s="48">
        <f t="shared" ca="1" si="649"/>
        <v>0</v>
      </c>
      <c r="ER367" s="48">
        <f ca="1">IF(ISNA(EQ367)=TRUE,MAX($ER$2:ER366)+1,0)</f>
        <v>0</v>
      </c>
      <c r="ES367" s="48" t="str">
        <f t="shared" ca="1" si="659"/>
        <v/>
      </c>
      <c r="ET367" s="48" t="str">
        <f ca="1">IFERROR(INDEX($ER$3:$ES$400,MATCH(ROWS($ET$3:ET367),$ER$3:$ER$400,0),2),"")</f>
        <v/>
      </c>
      <c r="EV367" s="48">
        <f ca="1">IFERROR(INDEX(LIBRO_GIORNALE!$O$11:$P$408,MATCH(ROWS($EV$2:EV366),LIBRO_GIORNALE!$P$11:$P$408,0),1),0)</f>
        <v>0</v>
      </c>
      <c r="EW367" s="48" t="str">
        <f t="shared" ca="1" si="629"/>
        <v>0</v>
      </c>
      <c r="EX367" s="48">
        <f t="shared" ca="1" si="660"/>
        <v>0</v>
      </c>
      <c r="EY367" s="48">
        <f ca="1">IF(EX367&gt;0,MAX($EY$2:EY366)+1,0)</f>
        <v>0</v>
      </c>
      <c r="EZ367" s="48">
        <f ca="1">IFERROR(INDEX($EX$3:$EX$400,MATCH(ROWS($EZ$3:EZ367),$EY$3:$EY$400,0),1),0)</f>
        <v>0</v>
      </c>
      <c r="FA367" s="48">
        <f ca="1">IF(EZ367&gt;0,0,MAX($FA$2:FA366)+1)</f>
        <v>365</v>
      </c>
      <c r="FB367" s="48">
        <f t="shared" ca="1" si="630"/>
        <v>0</v>
      </c>
      <c r="FC367" s="48">
        <f t="shared" ca="1" si="631"/>
        <v>365</v>
      </c>
      <c r="FD367" s="48">
        <f t="shared" ca="1" si="661"/>
        <v>365</v>
      </c>
      <c r="FE367" s="48">
        <f ca="1">IF(FD367=0,0,MAX($FE$2:FE366)+1)</f>
        <v>365</v>
      </c>
      <c r="FF367" s="48">
        <f ca="1">IFERROR(INDEX($FD$3:$FE$400,MATCH(ROWS($FF$3:FF367),$FE$3:$FE$400,0),1),"")</f>
        <v>365</v>
      </c>
      <c r="FG367" s="48">
        <f t="shared" si="696"/>
        <v>0</v>
      </c>
      <c r="FH367" s="48">
        <f t="shared" ca="1" si="662"/>
        <v>0</v>
      </c>
      <c r="FI367" s="48">
        <f ca="1">IF(FH367&lt;&gt;0,MAX($FI$2:FI366)+1,0)</f>
        <v>0</v>
      </c>
      <c r="FJ367" s="48" t="str">
        <f ca="1">IFERROR(INDEX($FH$3:$FI$400,MATCH(ROWS($FJ$3:FJ367),$FI$3:$FI$400,0),1),"")</f>
        <v/>
      </c>
      <c r="FK367" s="48">
        <f ca="1">IF(ABS(SUMIFS(DARE,DEN_G,"="&amp;FJ367,DATA,"&lt;="&amp;FINE_AC,DATA,"&gt;="&amp;INIZIO_A_PC)-SUMIFS(AVERE,DEN_G,"="&amp;FJ367,DATA,"&lt;="&amp;FINE_AC,DATA,"&gt;="&amp;INIZIO_A_PC))&gt;0,MAX($FK$2:FK366)+1,0)</f>
        <v>0</v>
      </c>
      <c r="FL367" s="48" t="str">
        <f ca="1">IF(AND(ROW()-2&lt;&gt;1,ROW()-2&lt;=$FK$1),CONCATENATE(" - ",IFERROR(INDEX($FJ$3:$FK$400,MATCH(ROWS($FL$3:FL367),$FK$3:$FK$400,0),1),"")),IFERROR(INDEX($FJ$3:$FK$400,MATCH(ROWS($FL$3:FL367),$FK$3:$FK$400,0),1),""))</f>
        <v/>
      </c>
      <c r="FM367" s="48">
        <f ca="1">IF(OR(B367="IVA ns/credito",B367="IVA NS/DEBITO",B367="IVA C/ACCONTO",B367="IMPOSTE C/ACCONTO",B367="CREDITI PER RITENUTE SUBITE",B367="CREDITI D'IMPOSTA"),MAX($FM$2:FM366)+1,0)</f>
        <v>0</v>
      </c>
      <c r="FN367" s="48" t="str">
        <f t="shared" ca="1" si="663"/>
        <v/>
      </c>
      <c r="FO367" s="48" t="str">
        <f ca="1">IFERROR(INDEX($FM$3:$FN$400,MATCH(ROWS($FO$3:FO367),$FM$3:$FM$400,0),2),"")</f>
        <v/>
      </c>
      <c r="FP367" s="48">
        <f ca="1">IF(ABS(SUMIFS(DARE,DEN_G,"="&amp;FO367,DATA,"&lt;="&amp;FINE_AC,DATA,"&gt;="&amp;INIZIO_A_PC)-SUMIFS(AVERE,DEN_G,"="&amp;FO367,DATA,"&lt;="&amp;FINE_AC,DATA,"&gt;="&amp;INIZIO_A_PC))&gt;0,MAX($FP$2:FP366)+1,0)</f>
        <v>0</v>
      </c>
      <c r="FQ367" s="48" t="str">
        <f ca="1">IF(AND(ROW()-2&lt;&gt;1,ROW()-2&lt;=$FP$1),CONCATENATE(" - ",IFERROR(INDEX($FO$3:$FP$400,MATCH(ROWS($FQ$3:FQ367),$FP$3:$FP$400,0),1),"")),IFERROR(INDEX($FO$3:$FP$400,MATCH(ROWS($FQ$3:FQ367),$FP$3:$FP$400,0),1),""))</f>
        <v/>
      </c>
    </row>
    <row r="368" spans="1:173" x14ac:dyDescent="0.3">
      <c r="A368" s="48" t="str">
        <f ca="1">IFERROR(IF($A$1=2,INDEX($DH$3:$DN$401,MATCH(ROWS(A$3:A368),$DN$3:$DN$401,0),COLUMN()),IF($A$1=1,INDEX($DQ$3:$DW$401,MATCH(ROWS(A$3:A368),$DW$3:$DW$401,0),COLUMN()),"")),"")</f>
        <v/>
      </c>
      <c r="B368" s="48" t="str">
        <f ca="1">IFERROR(IF($A$1=2,INDEX($DH$3:$DN$400,MATCH(ROWS(B$3:B368),$DN$3:$DN$400,0),COLUMN()),IF($A$1=1,INDEX($DQ$3:$DW$400,MATCH(ROWS(B$3:B368),$DW$3:$DW$400,0),COLUMN()),"")),"")</f>
        <v/>
      </c>
      <c r="D368" s="48" t="str">
        <f ca="1">IFERROR(IF($A$1=2,INDEX($DH$3:$DN$401,MATCH(ROWS(D$3:D368),$DN$3:$DN$401,0),COLUMN()),IF($A$1=1,INDEX($DQ$3:$DW$401,MATCH(ROWS(D$3:D368),$DW$3:$DW$401,0),COLUMN()),"")),"")</f>
        <v/>
      </c>
      <c r="E368" s="48" t="str">
        <f ca="1">IFERROR(IF($A$1=2,INDEX($DH$3:$DN$401,MATCH(ROWS(E$3:E368),$DN$3:$DN$401,0),COLUMN()),IF($A$1=1,INDEX($DQ$3:$DW$401,MATCH(ROWS(E$3:E368),$DW$3:$DW$401,0),COLUMN()),"")),"")</f>
        <v/>
      </c>
      <c r="F368" s="48" t="str">
        <f ca="1">IFERROR(IF($A$1=2,INDEX($DH$3:$DN$401,MATCH(ROWS(F$3:F368),$DN$3:$DN$401,0),COLUMN()),IF($A$1=1,INDEX($DQ$3:$DX$401,MATCH(ROWS(F$3:F368),$DW$3:$DW$401,0),COLUMN()),"")),"")</f>
        <v/>
      </c>
      <c r="G368" s="48" t="str">
        <f t="shared" ca="1" si="650"/>
        <v/>
      </c>
      <c r="H368" s="48" t="str">
        <f ca="1">IFERROR(IF($A$1=2,INDEX($DH$3:$DO$400,MATCH(ROWS(H$3:H368),$DN$3:$DN$400,0),COLUMN()),IF($A$1=1,INDEX($DQ$3:$DX$400,MATCH(ROWS(H$3:H368),$DW$3:$DW$400,0),COLUMN()),"")),"")</f>
        <v/>
      </c>
      <c r="M368" s="48">
        <f ca="1">IFERROR(IF(IF(MID($A368,3,3)=".00",MID(A368,1,2),"")&lt;&gt;"",MAX($M$2:M367)+1,0),"")</f>
        <v>0</v>
      </c>
      <c r="N368" s="48" t="str">
        <f t="shared" ca="1" si="651"/>
        <v/>
      </c>
      <c r="O368" s="48" t="str">
        <f ca="1">IF(IFERROR(INDEX($N$3:$O$300,MATCH(ROWS($O$3:O368),$M$3:$M$300,0),1),"")&lt;&gt;"",CONCATENATE(INDEX($N$3:$O$300,MATCH(ROWS($O$3:O368),$M$3:$M$300,0),1),".00"),"")</f>
        <v/>
      </c>
      <c r="P368" s="48" t="str">
        <f t="shared" ca="1" si="652"/>
        <v/>
      </c>
      <c r="Q368" s="48">
        <f ca="1">IF(M368&gt;=1,0,MAX($Q$2:Q367)+1)</f>
        <v>329</v>
      </c>
      <c r="U368" s="48" t="str">
        <f ca="1">IFERROR(INDEX(PDC,MATCH(ROWS(U$3:U368),$V$3:$V$400,0),2),"")</f>
        <v/>
      </c>
      <c r="V368" s="48">
        <f ca="1">IF(AND($T$1="VISUALIZZA TUTTI I CONTI",AA368&lt;&gt;""),MAX($V$2:V367)+1,IF(AND($U$2=2,AI368=$T$1),MAX($V$2:V367)+1,IF(AND($U$2=1,$T$1=AF368),MAX($V$2:V367)+1,0)))</f>
        <v>0</v>
      </c>
      <c r="AA368" s="48" t="str">
        <f t="shared" ca="1" si="653"/>
        <v/>
      </c>
      <c r="AB368" s="48" t="str">
        <f ca="1">IFERROR(INDEX($A$3:$G$400,MATCH(ROWS(AB$3:AB368),$Q$3:$Q$400,0),1),"")</f>
        <v/>
      </c>
      <c r="AC368" s="48" t="str">
        <f ca="1">IFERROR(INDEX($A$3:$G$400,MATCH(ROWS($AC$3:AC368),$Q$3:$Q$400,0),2),"")</f>
        <v/>
      </c>
      <c r="AD368" s="48" t="str">
        <f ca="1">IFERROR(INDEX($A$3:$G$400,MATCH(ROWS(AD$3:AD368),$Q$3:$Q$400,0),3),"")</f>
        <v/>
      </c>
      <c r="AE368" s="48" t="str">
        <f ca="1">IFERROR(INDEX($A$3:$G$400,MATCH(ROWS(AE$3:AE368),$Q$3:$Q$400,0),4),"")</f>
        <v/>
      </c>
      <c r="AF368" s="48" t="str">
        <f ca="1">IFERROR(INDEX($A$3:$G$400,MATCH(ROWS(AF$3:AF368),$Q$3:$Q$400,0),5),"")</f>
        <v/>
      </c>
      <c r="AG368" s="48" t="str">
        <f ca="1">IFERROR(INDEX($A$3:$G$400,MATCH(ROWS(AG$3:AG368),$Q$3:$Q$400,0),6),"")</f>
        <v/>
      </c>
      <c r="AH368" s="48" t="str">
        <f ca="1">IFERROR(INDEX($A$3:$G$400,MATCH(ROWS(AH$3:AH368),$Q$3:$Q$400,0),7),"")</f>
        <v/>
      </c>
      <c r="AI368" s="48" t="str">
        <f t="shared" ca="1" si="654"/>
        <v/>
      </c>
      <c r="AJ368" s="48" t="str">
        <f ca="1">IFERROR(INDEX($A$3:$H$400,MATCH(ROWS(AJ$3:AJ368),$Q$3:$Q$400,0),8),"")</f>
        <v/>
      </c>
      <c r="AZ368" s="48" t="str">
        <f t="shared" ca="1" si="669"/>
        <v/>
      </c>
      <c r="BA368" s="48">
        <f t="shared" ca="1" si="697"/>
        <v>0</v>
      </c>
      <c r="BB368" s="48">
        <f t="shared" ca="1" si="698"/>
        <v>0</v>
      </c>
      <c r="BC368" s="48">
        <f t="shared" ca="1" si="699"/>
        <v>0</v>
      </c>
      <c r="BD368" s="48">
        <f t="shared" ca="1" si="700"/>
        <v>0</v>
      </c>
      <c r="BE368" s="48">
        <f t="shared" ca="1" si="701"/>
        <v>0</v>
      </c>
      <c r="BF368" s="48">
        <f t="shared" si="670"/>
        <v>168</v>
      </c>
      <c r="BG368" s="48">
        <f ca="1">IF(IF(AND(OR(INDEX(PDC,MATCH($AC368,DEN_PDC,0),6)="SP DARE",INDEX(PDC,MATCH($AC368,DEN_PDC,0),6)="SP DARE/AVERE"),SUMIFS(DARE,DEN_G,$AC368)&gt;=SUMIFS(AVERE,DEN_G,$AC368)),SUMIFS(DARE,DEN_G,$AC368)-SUMIFS(AVERE,DEN_G,$AC368),0)&gt;0,MAX($BG$2:BG367)+1,0)</f>
        <v>0</v>
      </c>
      <c r="BH368" s="48">
        <f ca="1">IF(IF(AND(OR(INDEX(PDC,MATCH($AC368,DEN_PDC,0),6)="SP AVERE",INDEX(PDC,MATCH($AC368,DEN_PDC,0),6)="SP DARE/AVERE"),SUMIFS(AVERE,DEN_G,$AC368)&gt;=SUMIFS(DARE,DEN_G,$AC368)),SUMIFS(AVERE,DEN_G,$AC368)-SUMIFS(DARE,DEN_G,$AC368),0)&gt;0,MAX(BH$2:BH367)+1,0)</f>
        <v>0</v>
      </c>
      <c r="BI368" s="48">
        <f ca="1">IF(IF(AND(OR(INDEX(PDC,MATCH($AC368,DEN_PDC,0),6)="SE DARE",INDEX(PDC,MATCH($AC368,DEN_PDC,0),6)="SE DARE/AVERE"),SUMIFS(DARE,DEN_G,$AC368)&gt;=SUMIFS(AVERE,DEN_G,$AC368)),SUMIFS(DARE,DEN_G,$AC368)-SUMIFS(AVERE,DEN_G,$AC368),0)&gt;0,MAX(BI$2:BI367)+1,0)</f>
        <v>0</v>
      </c>
      <c r="BJ368" s="48">
        <f ca="1">IF(IF(AND(OR(INDEX(PDC,MATCH($AC368,DEN_PDC,0),6)="SE AVERE",INDEX(PDC,MATCH($AC368,DEN_PDC,0),6)="SE DARE/AVERE"),SUMIFS(AVERE,DEN_G,$AC368)&gt;=SUMIFS(DARE,DEN_G,$AC368)),SUMIFS(AVERE,DEN_G,$AC368)-SUMIFS(DARE,DEN_G,$AC368),0)&gt;0,MAX(BJ$2:BJ367)+1,0)</f>
        <v>0</v>
      </c>
      <c r="BK368" s="48" t="str">
        <f ca="1">IF(AND(AND($DY$2=0,$DY$1=0),$I$1=2,ROW()&gt;$BG$1+2,ROW()&lt;=$BG$1+4),"………………..",IF(AND(OR($DY$2&gt;0,$DY$1&gt;0),$I$1=2,ROW()&gt;$BG$1+2,ROW()&lt;=$BG$1+4),"………………..",IFERROR(INDEX($AC$3:$AC$398,MATCH(ROWS(BK$3:BK368),BG$3:BG$398,0),1),"")))</f>
        <v/>
      </c>
      <c r="BL368" s="48">
        <f t="shared" ca="1" si="637"/>
        <v>0</v>
      </c>
      <c r="BM368" s="48" t="str">
        <f ca="1">IF(AND(OR($DY$2=0,$DY$1=0),$I$1=2,ROW()&gt;$BH$1+2,ROW()&lt;=$BH$1+4),"………………..",IF(AND(OR($DY$2&gt;0,$DY$1&gt;0),$I$1=2,ROW()&gt;$BH$1+2,ROW()&lt;=$BH$1+4),"………………..",IFERROR(INDEX($AC$3:$AC$400,MATCH(ROWS(BM$3:BM368),BH$3:BH$400,0),1),"")))</f>
        <v/>
      </c>
      <c r="BN368" s="48">
        <f t="shared" ca="1" si="638"/>
        <v>0</v>
      </c>
      <c r="BO368" s="48" t="str">
        <f ca="1">IF(AND(OR($DY$2=0,$DY$1=0),$I$1=2,ROW()&gt;$BI$1+2,ROW()&lt;=$BI$1+4),"………………..",IF(AND(OR($DY$2&gt;0,$DY$1&gt;0),$I$1=2,ROW()&gt;$BI$1+2,ROW()&lt;=$BI$1+4),"………………..",IFERROR(INDEX($AC$3:$AC$400,MATCH(ROWS(BO$3:BO368),BI$3:BI$400,0),1),"")))</f>
        <v/>
      </c>
      <c r="BP368" s="48">
        <f t="shared" ca="1" si="639"/>
        <v>0</v>
      </c>
      <c r="BQ368" s="48" t="str">
        <f ca="1">IF(AND(OR($DY$2=0,$DY$1=0),$I$1=2,ROW()&gt;$BJ$1+2,ROW()&lt;=$BJ$1+4),"………………..",IF(AND(OR($DY$2&gt;0,$DY$1&gt;0),$I$1=2,ROW()&gt;$BJ$1+2,ROW()&lt;=$BJ$1+4),"………………..",IFERROR(INDEX($AC$3:$AC$400,MATCH(ROWS(BQ$3:BQ368),BJ$3:BJ$400,0),1),"")))</f>
        <v/>
      </c>
      <c r="BR368" s="48">
        <f t="shared" ca="1" si="640"/>
        <v>0</v>
      </c>
      <c r="BS368" s="48">
        <f ca="1">IF(IF(AND(OR(INDEX(PDC,MATCH($AC368,DEN_PDC,0),4)="D",INDEX(PDC,MATCH($AC368,DEN_PDC,0),4)="D/A"),SUMIFS(DARE,DEN_G,$AC368)&gt;=SUMIFS(AVERE,DEN_G,$AC368)),SUMIFS(DARE,DEN_G,$AC368),IF(AND(OR(INDEX(PDC,MATCH($AC368,DEN_PDC,0),4)="A",INDEX(PDC,MATCH($AC368,DEN_PDC,0),4)="D/A"),SUMIFS(AVERE,DEN_G,$AC368)&gt;=SUMIFS(DARE,DEN_G,$AC368)),SUMIFS(AVERE,DEN_G,$AC368),))&gt;0,MAX($BS$2:BS367)+1,0)</f>
        <v>0</v>
      </c>
      <c r="BT368" s="48" t="str">
        <f ca="1">IF($CO$1=0,"",IF(AND($I$1=2,ROW()&gt;$BR$1,ROW()&lt;=$BS$1)," …………….",IF(AND($E$1=1,$BX$1=1,$I$1=2,ROW()=$BQ$1),"TOTALI",IFERROR(INDEX(PDC,MATCH(ROWS(BT$3:BT368),BS$3:BS765,0),2),""))))</f>
        <v/>
      </c>
      <c r="BU368" s="48">
        <f t="shared" ca="1" si="641"/>
        <v>0</v>
      </c>
      <c r="BV368" s="48">
        <f t="shared" ca="1" si="642"/>
        <v>0</v>
      </c>
      <c r="BW368" s="48">
        <f t="shared" ca="1" si="643"/>
        <v>0</v>
      </c>
      <c r="BX368" s="48">
        <f t="shared" ca="1" si="644"/>
        <v>0</v>
      </c>
      <c r="BY368" s="48">
        <f ca="1">IF(OR(BW368&gt;0,BX368&gt;0),MAX($BY$2:BY367)+1,0)</f>
        <v>0</v>
      </c>
      <c r="BZ368" s="48" t="str">
        <f ca="1">IFERROR(INDEX($BT$3:$BY$400,MATCH(ROWS(BZ$3:BZ368),$BY$3:$BY$400,0),1),"")</f>
        <v/>
      </c>
      <c r="CA368" s="48" t="str">
        <f ca="1">IFERROR(INDEX($BT$3:$BY$400,MATCH(ROWS(CA$3:CA368),$BY$3:$BY$400,0),4),"")</f>
        <v/>
      </c>
      <c r="CB368" s="48" t="str">
        <f ca="1">IFERROR(INDEX($BT$3:$BY$400,MATCH(ROWS(CB$3:CB368),$BY$3:$BY$400,0),5),"")</f>
        <v/>
      </c>
      <c r="CC368" s="48" t="str">
        <f t="shared" ca="1" si="645"/>
        <v/>
      </c>
      <c r="CM368" s="242" t="str">
        <f t="shared" ca="1" si="655"/>
        <v/>
      </c>
      <c r="CN368" s="243">
        <f t="shared" ca="1" si="656"/>
        <v>0</v>
      </c>
      <c r="CO368" s="48" t="str">
        <f t="shared" ca="1" si="657"/>
        <v/>
      </c>
      <c r="CU368" s="48">
        <f ca="1">IF(SUMIFS(AVERE,DEN_G,AC368,AVERE,"&gt;"&amp;0)+SUMIFS(DARE,DEN_G,AC368,DARE,"&gt;"&amp;0)&gt;0,MAX($CU$2:CU367)+1,0)</f>
        <v>0</v>
      </c>
      <c r="CV368" s="48" t="str">
        <f ca="1">IF(IFERROR(INDEX(PDC,MATCH(ROWS($CV$3:CV368),$CU$3:$CU$400,0),2),"")="CONTO DI RISULTATO ECONOMICO","",IFERROR(INDEX(PDC,MATCH(ROWS($CV$3:CV368),$CU$3:$CU$400,0),2),""))</f>
        <v/>
      </c>
      <c r="CW368" s="48">
        <f ca="1">IFERROR(IF(CV368&lt;&gt;"",MAX($CW$2:CW367)+1,0),0)</f>
        <v>0</v>
      </c>
      <c r="CX368" s="48">
        <f t="shared" ref="CX368:CX378" ca="1" si="704">$FF$31</f>
        <v>29</v>
      </c>
      <c r="CY368" s="48" t="str">
        <f t="shared" ca="1" si="703"/>
        <v>MASTRO</v>
      </c>
      <c r="DA368" s="48" t="str">
        <f ca="1">IF(DB367="","","Num. riga")</f>
        <v/>
      </c>
      <c r="DB368" s="48" t="str">
        <f t="shared" ref="DB368" ca="1" si="705">IF(DB367="","","Data")</f>
        <v/>
      </c>
      <c r="DC368" s="48" t="str">
        <f ca="1">IF(DB367="","","Operazioni")</f>
        <v/>
      </c>
      <c r="DD368" s="48" t="str">
        <f ca="1">IF(DB367="","","Dare        ")</f>
        <v/>
      </c>
      <c r="DE368" s="48" t="str">
        <f ca="1">IF(DB367="","","Avere        ")</f>
        <v/>
      </c>
      <c r="DF368" s="48">
        <f ca="1">IF(AND(CX368=$DF$1,CX368&lt;&gt;""),0,IF(AND(DB368&lt;&gt;"",OR(DB367&lt;&gt;"",DB369&lt;&gt;"")),MAX($DF$2:DF367)+1,0))</f>
        <v>0</v>
      </c>
      <c r="DG368" s="48" t="s">
        <v>932</v>
      </c>
      <c r="DH368" s="244" t="s">
        <v>1126</v>
      </c>
      <c r="DI368" s="48" t="str">
        <f ca="1">IF(DL1=TRUE,"INTERESSI ATTIVI V/SOCI","UTILE SU TITOLI")</f>
        <v>UTILE SU TITOLI</v>
      </c>
      <c r="DJ368" s="48" t="s">
        <v>311</v>
      </c>
      <c r="DK368" s="48" t="s">
        <v>298</v>
      </c>
      <c r="DL368" s="48" t="s">
        <v>8</v>
      </c>
      <c r="DM368" s="48" t="s">
        <v>300</v>
      </c>
      <c r="DN368" s="48">
        <f ca="1">IF(DI368&lt;&gt;"",MAX($DN$2:DN367)+1,0)</f>
        <v>296</v>
      </c>
      <c r="DO368" s="48" t="str">
        <f ca="1">IF($BF$9=1,"ec16c","ec16b")</f>
        <v>ec16b</v>
      </c>
      <c r="DW368" s="48">
        <f>IF(DR368&lt;&gt;"",MAX($DW$2:DW367)+1,0)</f>
        <v>0</v>
      </c>
      <c r="DY368" s="48" t="str">
        <f t="shared" ca="1" si="647"/>
        <v/>
      </c>
      <c r="EL368" s="48">
        <f t="shared" ca="1" si="648"/>
        <v>0</v>
      </c>
      <c r="EM368" s="48">
        <f ca="1">IF(EL368&gt;=0,0,MAX($EM$2:EM367)+1)</f>
        <v>0</v>
      </c>
      <c r="EN368" s="48" t="str">
        <f t="shared" ca="1" si="658"/>
        <v/>
      </c>
      <c r="EO368" s="48" t="str">
        <f ca="1">IFERROR(INDEX($EM$3:$EN$400,MATCH(ROWS($EO$3:EO368),$EM$3:$EM$400,0),2),"")</f>
        <v/>
      </c>
      <c r="EP368" s="48">
        <f>ROW()</f>
        <v>368</v>
      </c>
      <c r="EQ368" s="48">
        <f t="shared" ca="1" si="649"/>
        <v>0</v>
      </c>
      <c r="ER368" s="48">
        <f ca="1">IF(ISNA(EQ368)=TRUE,MAX($ER$2:ER367)+1,0)</f>
        <v>0</v>
      </c>
      <c r="ES368" s="48" t="str">
        <f t="shared" ca="1" si="659"/>
        <v/>
      </c>
      <c r="ET368" s="48" t="str">
        <f ca="1">IFERROR(INDEX($ER$3:$ES$400,MATCH(ROWS($ET$3:ET368),$ER$3:$ER$400,0),2),"")</f>
        <v/>
      </c>
      <c r="EV368" s="48">
        <f ca="1">IFERROR(INDEX(LIBRO_GIORNALE!$O$11:$P$408,MATCH(ROWS($EV$2:EV367),LIBRO_GIORNALE!$P$11:$P$408,0),1),0)</f>
        <v>0</v>
      </c>
      <c r="EW368" s="48" t="str">
        <f t="shared" ca="1" si="629"/>
        <v>0</v>
      </c>
      <c r="EX368" s="48">
        <f t="shared" ca="1" si="660"/>
        <v>0</v>
      </c>
      <c r="EY368" s="48">
        <f ca="1">IF(EX368&gt;0,MAX($EY$2:EY367)+1,0)</f>
        <v>0</v>
      </c>
      <c r="EZ368" s="48">
        <f ca="1">IFERROR(INDEX($EX$3:$EX$400,MATCH(ROWS($EZ$3:EZ368),$EY$3:$EY$400,0),1),0)</f>
        <v>0</v>
      </c>
      <c r="FA368" s="48">
        <f ca="1">IF(EZ368&gt;0,0,MAX($FA$2:FA367)+1)</f>
        <v>366</v>
      </c>
      <c r="FB368" s="48">
        <f t="shared" ca="1" si="630"/>
        <v>0</v>
      </c>
      <c r="FC368" s="48">
        <f t="shared" ca="1" si="631"/>
        <v>366</v>
      </c>
      <c r="FD368" s="48">
        <f t="shared" ca="1" si="661"/>
        <v>366</v>
      </c>
      <c r="FE368" s="48">
        <f ca="1">IF(FD368=0,0,MAX($FE$2:FE367)+1)</f>
        <v>366</v>
      </c>
      <c r="FF368" s="48">
        <f ca="1">IFERROR(INDEX($FD$3:$FE$400,MATCH(ROWS($FF$3:FF368),$FE$3:$FE$400,0),1),"")</f>
        <v>366</v>
      </c>
      <c r="FG368" s="48">
        <f t="shared" si="696"/>
        <v>0</v>
      </c>
      <c r="FH368" s="48">
        <f t="shared" ca="1" si="662"/>
        <v>0</v>
      </c>
      <c r="FI368" s="48">
        <f ca="1">IF(FH368&lt;&gt;0,MAX($FI$2:FI367)+1,0)</f>
        <v>0</v>
      </c>
      <c r="FJ368" s="48" t="str">
        <f ca="1">IFERROR(INDEX($FH$3:$FI$400,MATCH(ROWS($FJ$3:FJ368),$FI$3:$FI$400,0),1),"")</f>
        <v/>
      </c>
      <c r="FK368" s="48">
        <f ca="1">IF(ABS(SUMIFS(DARE,DEN_G,"="&amp;FJ368,DATA,"&lt;="&amp;FINE_AC,DATA,"&gt;="&amp;INIZIO_A_PC)-SUMIFS(AVERE,DEN_G,"="&amp;FJ368,DATA,"&lt;="&amp;FINE_AC,DATA,"&gt;="&amp;INIZIO_A_PC))&gt;0,MAX($FK$2:FK367)+1,0)</f>
        <v>0</v>
      </c>
      <c r="FL368" s="48" t="str">
        <f ca="1">IF(AND(ROW()-2&lt;&gt;1,ROW()-2&lt;=$FK$1),CONCATENATE(" - ",IFERROR(INDEX($FJ$3:$FK$400,MATCH(ROWS($FL$3:FL368),$FK$3:$FK$400,0),1),"")),IFERROR(INDEX($FJ$3:$FK$400,MATCH(ROWS($FL$3:FL368),$FK$3:$FK$400,0),1),""))</f>
        <v/>
      </c>
      <c r="FM368" s="48">
        <f ca="1">IF(OR(B368="IVA ns/credito",B368="IVA NS/DEBITO",B368="IVA C/ACCONTO",B368="IMPOSTE C/ACCONTO",B368="CREDITI PER RITENUTE SUBITE",B368="CREDITI D'IMPOSTA"),MAX($FM$2:FM367)+1,0)</f>
        <v>0</v>
      </c>
      <c r="FN368" s="48" t="str">
        <f t="shared" ca="1" si="663"/>
        <v/>
      </c>
      <c r="FO368" s="48" t="str">
        <f ca="1">IFERROR(INDEX($FM$3:$FN$400,MATCH(ROWS($FO$3:FO368),$FM$3:$FM$400,0),2),"")</f>
        <v/>
      </c>
      <c r="FP368" s="48">
        <f ca="1">IF(ABS(SUMIFS(DARE,DEN_G,"="&amp;FO368,DATA,"&lt;="&amp;FINE_AC,DATA,"&gt;="&amp;INIZIO_A_PC)-SUMIFS(AVERE,DEN_G,"="&amp;FO368,DATA,"&lt;="&amp;FINE_AC,DATA,"&gt;="&amp;INIZIO_A_PC))&gt;0,MAX($FP$2:FP367)+1,0)</f>
        <v>0</v>
      </c>
      <c r="FQ368" s="48" t="str">
        <f ca="1">IF(AND(ROW()-2&lt;&gt;1,ROW()-2&lt;=$FP$1),CONCATENATE(" - ",IFERROR(INDEX($FO$3:$FP$400,MATCH(ROWS($FQ$3:FQ368),$FP$3:$FP$400,0),1),"")),IFERROR(INDEX($FO$3:$FP$400,MATCH(ROWS($FQ$3:FQ368),$FP$3:$FP$400,0),1),""))</f>
        <v/>
      </c>
    </row>
    <row r="369" spans="1:173" x14ac:dyDescent="0.3">
      <c r="A369" s="48" t="str">
        <f ca="1">IFERROR(IF($A$1=2,INDEX($DH$3:$DN$401,MATCH(ROWS(A$3:A369),$DN$3:$DN$401,0),COLUMN()),IF($A$1=1,INDEX($DQ$3:$DW$401,MATCH(ROWS(A$3:A369),$DW$3:$DW$401,0),COLUMN()),"")),"")</f>
        <v/>
      </c>
      <c r="B369" s="48" t="str">
        <f ca="1">IFERROR(IF($A$1=2,INDEX($DH$3:$DN$400,MATCH(ROWS(B$3:B369),$DN$3:$DN$400,0),COLUMN()),IF($A$1=1,INDEX($DQ$3:$DW$400,MATCH(ROWS(B$3:B369),$DW$3:$DW$400,0),COLUMN()),"")),"")</f>
        <v/>
      </c>
      <c r="D369" s="48" t="str">
        <f ca="1">IFERROR(IF($A$1=2,INDEX($DH$3:$DN$401,MATCH(ROWS(D$3:D369),$DN$3:$DN$401,0),COLUMN()),IF($A$1=1,INDEX($DQ$3:$DW$401,MATCH(ROWS(D$3:D369),$DW$3:$DW$401,0),COLUMN()),"")),"")</f>
        <v/>
      </c>
      <c r="E369" s="48" t="str">
        <f ca="1">IFERROR(IF($A$1=2,INDEX($DH$3:$DN$401,MATCH(ROWS(E$3:E369),$DN$3:$DN$401,0),COLUMN()),IF($A$1=1,INDEX($DQ$3:$DW$401,MATCH(ROWS(E$3:E369),$DW$3:$DW$401,0),COLUMN()),"")),"")</f>
        <v/>
      </c>
      <c r="F369" s="48" t="str">
        <f ca="1">IFERROR(IF($A$1=2,INDEX($DH$3:$DN$401,MATCH(ROWS(F$3:F369),$DN$3:$DN$401,0),COLUMN()),IF($A$1=1,INDEX($DQ$3:$DX$401,MATCH(ROWS(F$3:F369),$DW$3:$DW$401,0),COLUMN()),"")),"")</f>
        <v/>
      </c>
      <c r="G369" s="48" t="str">
        <f t="shared" ca="1" si="650"/>
        <v/>
      </c>
      <c r="H369" s="48" t="str">
        <f ca="1">IFERROR(IF($A$1=2,INDEX($DH$3:$DO$400,MATCH(ROWS(H$3:H369),$DN$3:$DN$400,0),COLUMN()),IF($A$1=1,INDEX($DQ$3:$DX$400,MATCH(ROWS(H$3:H369),$DW$3:$DW$400,0),COLUMN()),"")),"")</f>
        <v/>
      </c>
      <c r="M369" s="48">
        <f ca="1">IFERROR(IF(IF(MID($A369,3,3)=".00",MID(A369,1,2),"")&lt;&gt;"",MAX($M$2:M368)+1,0),"")</f>
        <v>0</v>
      </c>
      <c r="N369" s="48" t="str">
        <f t="shared" ca="1" si="651"/>
        <v/>
      </c>
      <c r="O369" s="48" t="str">
        <f ca="1">IF(IFERROR(INDEX($N$3:$O$300,MATCH(ROWS($O$3:O369),$M$3:$M$300,0),1),"")&lt;&gt;"",CONCATENATE(INDEX($N$3:$O$300,MATCH(ROWS($O$3:O369),$M$3:$M$300,0),1),".00"),"")</f>
        <v/>
      </c>
      <c r="P369" s="48" t="str">
        <f t="shared" ca="1" si="652"/>
        <v/>
      </c>
      <c r="Q369" s="48">
        <f ca="1">IF(M369&gt;=1,0,MAX($Q$2:Q368)+1)</f>
        <v>330</v>
      </c>
      <c r="U369" s="48" t="str">
        <f ca="1">IFERROR(INDEX(PDC,MATCH(ROWS(U$3:U369),$V$3:$V$400,0),2),"")</f>
        <v/>
      </c>
      <c r="V369" s="48">
        <f ca="1">IF(AND($T$1="VISUALIZZA TUTTI I CONTI",AA369&lt;&gt;""),MAX($V$2:V368)+1,IF(AND($U$2=2,AI369=$T$1),MAX($V$2:V368)+1,IF(AND($U$2=1,$T$1=AF369),MAX($V$2:V368)+1,0)))</f>
        <v>0</v>
      </c>
      <c r="AA369" s="48" t="str">
        <f t="shared" ca="1" si="653"/>
        <v/>
      </c>
      <c r="AB369" s="48" t="str">
        <f ca="1">IFERROR(INDEX($A$3:$G$400,MATCH(ROWS(AB$3:AB369),$Q$3:$Q$400,0),1),"")</f>
        <v/>
      </c>
      <c r="AC369" s="48" t="str">
        <f ca="1">IFERROR(INDEX($A$3:$G$400,MATCH(ROWS($AC$3:AC369),$Q$3:$Q$400,0),2),"")</f>
        <v/>
      </c>
      <c r="AD369" s="48" t="str">
        <f ca="1">IFERROR(INDEX($A$3:$G$400,MATCH(ROWS(AD$3:AD369),$Q$3:$Q$400,0),3),"")</f>
        <v/>
      </c>
      <c r="AE369" s="48" t="str">
        <f ca="1">IFERROR(INDEX($A$3:$G$400,MATCH(ROWS(AE$3:AE369),$Q$3:$Q$400,0),4),"")</f>
        <v/>
      </c>
      <c r="AF369" s="48" t="str">
        <f ca="1">IFERROR(INDEX($A$3:$G$400,MATCH(ROWS(AF$3:AF369),$Q$3:$Q$400,0),5),"")</f>
        <v/>
      </c>
      <c r="AG369" s="48" t="str">
        <f ca="1">IFERROR(INDEX($A$3:$G$400,MATCH(ROWS(AG$3:AG369),$Q$3:$Q$400,0),6),"")</f>
        <v/>
      </c>
      <c r="AH369" s="48" t="str">
        <f ca="1">IFERROR(INDEX($A$3:$G$400,MATCH(ROWS(AH$3:AH369),$Q$3:$Q$400,0),7),"")</f>
        <v/>
      </c>
      <c r="AI369" s="48" t="str">
        <f t="shared" ca="1" si="654"/>
        <v/>
      </c>
      <c r="AJ369" s="48" t="str">
        <f ca="1">IFERROR(INDEX($A$3:$H$400,MATCH(ROWS(AJ$3:AJ369),$Q$3:$Q$400,0),8),"")</f>
        <v/>
      </c>
      <c r="AZ369" s="48" t="str">
        <f ca="1">IF(BB369=0,"",ROW()-200)</f>
        <v/>
      </c>
      <c r="BA369" s="48">
        <f t="shared" ca="1" si="697"/>
        <v>0</v>
      </c>
      <c r="BB369" s="48">
        <f t="shared" ca="1" si="698"/>
        <v>0</v>
      </c>
      <c r="BC369" s="48">
        <f t="shared" ca="1" si="699"/>
        <v>0</v>
      </c>
      <c r="BD369" s="48">
        <f t="shared" ca="1" si="700"/>
        <v>0</v>
      </c>
      <c r="BE369" s="48">
        <f t="shared" ca="1" si="701"/>
        <v>0</v>
      </c>
      <c r="BF369" s="48">
        <f>ROW()-200</f>
        <v>169</v>
      </c>
      <c r="BG369" s="48">
        <f ca="1">IF(IF(AND(OR(INDEX(PDC,MATCH($AC369,DEN_PDC,0),6)="SP DARE",INDEX(PDC,MATCH($AC369,DEN_PDC,0),6)="SP DARE/AVERE"),SUMIFS(DARE,DEN_G,$AC369)&gt;=SUMIFS(AVERE,DEN_G,$AC369)),SUMIFS(DARE,DEN_G,$AC369)-SUMIFS(AVERE,DEN_G,$AC369),0)&gt;0,MAX($BG$2:BG368)+1,0)</f>
        <v>0</v>
      </c>
      <c r="BH369" s="48">
        <f ca="1">IF(IF(AND(OR(INDEX(PDC,MATCH($AC369,DEN_PDC,0),6)="SP AVERE",INDEX(PDC,MATCH($AC369,DEN_PDC,0),6)="SP DARE/AVERE"),SUMIFS(AVERE,DEN_G,$AC369)&gt;=SUMIFS(DARE,DEN_G,$AC369)),SUMIFS(AVERE,DEN_G,$AC369)-SUMIFS(DARE,DEN_G,$AC369),0)&gt;0,MAX(BH$2:BH368)+1,0)</f>
        <v>0</v>
      </c>
      <c r="BI369" s="48">
        <f ca="1">IF(IF(AND(OR(INDEX(PDC,MATCH($AC369,DEN_PDC,0),6)="SE DARE",INDEX(PDC,MATCH($AC369,DEN_PDC,0),6)="SE DARE/AVERE"),SUMIFS(DARE,DEN_G,$AC369)&gt;=SUMIFS(AVERE,DEN_G,$AC369)),SUMIFS(DARE,DEN_G,$AC369)-SUMIFS(AVERE,DEN_G,$AC369),0)&gt;0,MAX(BI$2:BI368)+1,0)</f>
        <v>0</v>
      </c>
      <c r="BJ369" s="48">
        <f ca="1">IF(IF(AND(OR(INDEX(PDC,MATCH($AC369,DEN_PDC,0),6)="SE AVERE",INDEX(PDC,MATCH($AC369,DEN_PDC,0),6)="SE DARE/AVERE"),SUMIFS(AVERE,DEN_G,$AC369)&gt;=SUMIFS(DARE,DEN_G,$AC369)),SUMIFS(AVERE,DEN_G,$AC369)-SUMIFS(DARE,DEN_G,$AC369),0)&gt;0,MAX(BJ$2:BJ368)+1,0)</f>
        <v>0</v>
      </c>
      <c r="BK369" s="48" t="str">
        <f ca="1">IF(AND(AND($DY$2=0,$DY$1=0),$I$1=2,ROW()&gt;$BG$1+2,ROW()&lt;=$BG$1+4),"………………..",IF(AND(OR($DY$2&gt;0,$DY$1&gt;0),$I$1=2,ROW()&gt;$BG$1+2,ROW()&lt;=$BG$1+4),"………………..",IFERROR(INDEX($AC$3:$AC$398,MATCH(ROWS(BK$3:BK369),BG$3:BG$398,0),1),"")))</f>
        <v/>
      </c>
      <c r="BL369" s="48">
        <f t="shared" ca="1" si="637"/>
        <v>0</v>
      </c>
      <c r="BM369" s="48" t="str">
        <f ca="1">IF(AND(OR($DY$2=0,$DY$1=0),$I$1=2,ROW()&gt;$BH$1+2,ROW()&lt;=$BH$1+4),"………………..",IF(AND(OR($DY$2&gt;0,$DY$1&gt;0),$I$1=2,ROW()&gt;$BH$1+2,ROW()&lt;=$BH$1+4),"………………..",IFERROR(INDEX($AC$3:$AC$400,MATCH(ROWS(BM$3:BM369),BH$3:BH$400,0),1),"")))</f>
        <v/>
      </c>
      <c r="BN369" s="48">
        <f t="shared" ca="1" si="638"/>
        <v>0</v>
      </c>
      <c r="BO369" s="48" t="str">
        <f ca="1">IF(AND(OR($DY$2=0,$DY$1=0),$I$1=2,ROW()&gt;$BI$1+2,ROW()&lt;=$BI$1+4),"………………..",IF(AND(OR($DY$2&gt;0,$DY$1&gt;0),$I$1=2,ROW()&gt;$BI$1+2,ROW()&lt;=$BI$1+4),"………………..",IFERROR(INDEX($AC$3:$AC$400,MATCH(ROWS(BO$3:BO369),BI$3:BI$400,0),1),"")))</f>
        <v/>
      </c>
      <c r="BP369" s="48">
        <f t="shared" ca="1" si="639"/>
        <v>0</v>
      </c>
      <c r="BQ369" s="48" t="str">
        <f ca="1">IF(AND(OR($DY$2=0,$DY$1=0),$I$1=2,ROW()&gt;$BJ$1+2,ROW()&lt;=$BJ$1+4),"………………..",IF(AND(OR($DY$2&gt;0,$DY$1&gt;0),$I$1=2,ROW()&gt;$BJ$1+2,ROW()&lt;=$BJ$1+4),"………………..",IFERROR(INDEX($AC$3:$AC$400,MATCH(ROWS(BQ$3:BQ369),BJ$3:BJ$400,0),1),"")))</f>
        <v/>
      </c>
      <c r="BR369" s="48">
        <f t="shared" ca="1" si="640"/>
        <v>0</v>
      </c>
      <c r="BS369" s="48">
        <f ca="1">IF(IF(AND(OR(INDEX(PDC,MATCH($AC369,DEN_PDC,0),4)="D",INDEX(PDC,MATCH($AC369,DEN_PDC,0),4)="D/A"),SUMIFS(DARE,DEN_G,$AC369)&gt;=SUMIFS(AVERE,DEN_G,$AC369)),SUMIFS(DARE,DEN_G,$AC369),IF(AND(OR(INDEX(PDC,MATCH($AC369,DEN_PDC,0),4)="A",INDEX(PDC,MATCH($AC369,DEN_PDC,0),4)="D/A"),SUMIFS(AVERE,DEN_G,$AC369)&gt;=SUMIFS(DARE,DEN_G,$AC369)),SUMIFS(AVERE,DEN_G,$AC369),))&gt;0,MAX($BS$2:BS368)+1,0)</f>
        <v>0</v>
      </c>
      <c r="BT369" s="48" t="str">
        <f ca="1">IF($CO$1=0,"",IF(AND($I$1=2,ROW()&gt;$BR$1,ROW()&lt;=$BS$1)," …………….",IF(AND($E$1=1,$BX$1=1,$I$1=2,ROW()=$BQ$1),"TOTALI",IFERROR(INDEX(PDC,MATCH(ROWS(BT$3:BT369),BS$3:BS766,0),2),""))))</f>
        <v/>
      </c>
      <c r="BU369" s="48">
        <f t="shared" ca="1" si="641"/>
        <v>0</v>
      </c>
      <c r="BV369" s="48">
        <f t="shared" ca="1" si="642"/>
        <v>0</v>
      </c>
      <c r="BW369" s="48">
        <f t="shared" ca="1" si="643"/>
        <v>0</v>
      </c>
      <c r="BX369" s="48">
        <f t="shared" ca="1" si="644"/>
        <v>0</v>
      </c>
      <c r="BY369" s="48">
        <f ca="1">IF(OR(BW369&gt;0,BX369&gt;0),MAX($BY$2:BY368)+1,0)</f>
        <v>0</v>
      </c>
      <c r="BZ369" s="48" t="str">
        <f ca="1">IFERROR(INDEX($BT$3:$BY$400,MATCH(ROWS(BZ$3:BZ369),$BY$3:$BY$400,0),1),"")</f>
        <v/>
      </c>
      <c r="CA369" s="48" t="str">
        <f ca="1">IFERROR(INDEX($BT$3:$BY$400,MATCH(ROWS(CA$3:CA369),$BY$3:$BY$400,0),4),"")</f>
        <v/>
      </c>
      <c r="CB369" s="48" t="str">
        <f ca="1">IFERROR(INDEX($BT$3:$BY$400,MATCH(ROWS(CB$3:CB369),$BY$3:$BY$400,0),5),"")</f>
        <v/>
      </c>
      <c r="CC369" s="48" t="str">
        <f t="shared" ca="1" si="645"/>
        <v/>
      </c>
      <c r="CM369" s="242" t="str">
        <f t="shared" ca="1" si="655"/>
        <v/>
      </c>
      <c r="CN369" s="243">
        <f t="shared" ca="1" si="656"/>
        <v>0</v>
      </c>
      <c r="CO369" s="48" t="str">
        <f t="shared" ca="1" si="657"/>
        <v/>
      </c>
      <c r="CU369" s="48">
        <f ca="1">IF(SUMIFS(AVERE,DEN_G,AC369,AVERE,"&gt;"&amp;0)+SUMIFS(DARE,DEN_G,AC369,DARE,"&gt;"&amp;0)&gt;0,MAX($CU$2:CU368)+1,0)</f>
        <v>0</v>
      </c>
      <c r="CV369" s="48" t="str">
        <f ca="1">IF(IFERROR(INDEX(PDC,MATCH(ROWS($CV$3:CV369),$CU$3:$CU$400,0),2),"")="CONTO DI RISULTATO ECONOMICO","",IFERROR(INDEX(PDC,MATCH(ROWS($CV$3:CV369),$CU$3:$CU$400,0),2),""))</f>
        <v/>
      </c>
      <c r="CW369" s="48">
        <f ca="1">IFERROR(IF(CV369&lt;&gt;"",MAX($CW$2:CW368)+1,0),0)</f>
        <v>0</v>
      </c>
      <c r="CX369" s="48">
        <f t="shared" ca="1" si="704"/>
        <v>29</v>
      </c>
      <c r="CY369" s="48" t="str">
        <f t="shared" ca="1" si="703"/>
        <v>MASTRO</v>
      </c>
      <c r="CZ369" s="48" t="e">
        <f t="shared" ref="CZ369:CZ378" ca="1" si="706">SUM(MATCH($CY369,INDIRECT(ADDRESS(SUM(CZ368)+3,54)&amp;":"&amp;ADDRESS(400,54)),0),CZ368)</f>
        <v>#N/A</v>
      </c>
      <c r="DA369" s="48" t="str">
        <f ca="1">IFERROR(INDEX(LIBRO_GIORNALE,CZ369,1),"")</f>
        <v/>
      </c>
      <c r="DB369" s="48" t="str">
        <f t="shared" ca="1" si="682"/>
        <v/>
      </c>
      <c r="DC369" s="48" t="str">
        <f t="shared" ref="DC369:DC378" ca="1" si="707">IF(IFERROR(INDEX(LIBRO_GIORNALE,CZ369,4),"")=0,"manca la descrizione dell'operazione",IFERROR(INDEX(LIBRO_GIORNALE,CZ369,4),""))</f>
        <v/>
      </c>
      <c r="DD369" s="48" t="str">
        <f t="shared" ref="DD369:DD378" ca="1" si="708">IFERROR(IF(INDEX(LIBRO_GIORNALE,CZ369,5)&gt;0,INDEX(LIBRO_GIORNALE,CZ369,5),""),"")</f>
        <v/>
      </c>
      <c r="DE369" s="48" t="str">
        <f t="shared" ref="DE369:DE378" ca="1" si="709">IFERROR(IF(INDEX(LIBRO_GIORNALE,CZ369,6)&gt;0,INDEX(LIBRO_GIORNALE,CZ369,6),""),"")</f>
        <v/>
      </c>
      <c r="DF369" s="48">
        <f ca="1">IF(AND(CX369=$DF$1,CX369&lt;&gt;""),0,IF(AND(DB369&lt;&gt;"",OR(DB368&lt;&gt;"",DB370&lt;&gt;"")),MAX($DF$2:DF368)+1,0))</f>
        <v>0</v>
      </c>
      <c r="DH369" s="244" t="s">
        <v>946</v>
      </c>
      <c r="DI369" s="48" t="s">
        <v>1124</v>
      </c>
      <c r="DJ369" s="48" t="s">
        <v>311</v>
      </c>
      <c r="DK369" s="48" t="s">
        <v>298</v>
      </c>
      <c r="DL369" s="48" t="s">
        <v>8</v>
      </c>
      <c r="DM369" s="48" t="s">
        <v>300</v>
      </c>
      <c r="DN369" s="48">
        <f ca="1">IF(DI369&lt;&gt;"",MAX($DN$2:DN368)+1,0)</f>
        <v>297</v>
      </c>
      <c r="DO369" s="48" t="s">
        <v>726</v>
      </c>
      <c r="DW369" s="48">
        <f>IF(DR369&lt;&gt;"",MAX($DW$2:DW368)+1,0)</f>
        <v>0</v>
      </c>
      <c r="DY369" s="48" t="str">
        <f t="shared" ca="1" si="647"/>
        <v/>
      </c>
      <c r="EL369" s="48">
        <f t="shared" ca="1" si="648"/>
        <v>0</v>
      </c>
      <c r="EM369" s="48">
        <f ca="1">IF(EL369&gt;=0,0,MAX($EM$2:EM368)+1)</f>
        <v>0</v>
      </c>
      <c r="EN369" s="48" t="str">
        <f t="shared" ca="1" si="658"/>
        <v/>
      </c>
      <c r="EO369" s="48" t="str">
        <f ca="1">IFERROR(INDEX($EM$3:$EN$400,MATCH(ROWS($EO$3:EO369),$EM$3:$EM$400,0),2),"")</f>
        <v/>
      </c>
      <c r="EP369" s="48">
        <f>ROW()</f>
        <v>369</v>
      </c>
      <c r="EQ369" s="48">
        <f t="shared" ca="1" si="649"/>
        <v>0</v>
      </c>
      <c r="ER369" s="48">
        <f ca="1">IF(ISNA(EQ369)=TRUE,MAX($ER$2:ER368)+1,0)</f>
        <v>0</v>
      </c>
      <c r="ES369" s="48" t="str">
        <f t="shared" ca="1" si="659"/>
        <v/>
      </c>
      <c r="ET369" s="48" t="str">
        <f ca="1">IFERROR(INDEX($ER$3:$ES$400,MATCH(ROWS($ET$3:ET369),$ER$3:$ER$400,0),2),"")</f>
        <v/>
      </c>
      <c r="EV369" s="48">
        <f ca="1">IFERROR(INDEX(LIBRO_GIORNALE!$O$11:$P$408,MATCH(ROWS($EV$2:EV368),LIBRO_GIORNALE!$P$11:$P$408,0),1),0)</f>
        <v>0</v>
      </c>
      <c r="EW369" s="48" t="str">
        <f t="shared" ca="1" si="629"/>
        <v>0</v>
      </c>
      <c r="EX369" s="48">
        <f t="shared" ca="1" si="660"/>
        <v>0</v>
      </c>
      <c r="EY369" s="48">
        <f ca="1">IF(EX369&gt;0,MAX($EY$2:EY368)+1,0)</f>
        <v>0</v>
      </c>
      <c r="EZ369" s="48">
        <f ca="1">IFERROR(INDEX($EX$3:$EX$400,MATCH(ROWS($EZ$3:EZ369),$EY$3:$EY$400,0),1),0)</f>
        <v>0</v>
      </c>
      <c r="FA369" s="48">
        <f ca="1">IF(EZ369&gt;0,0,MAX($FA$2:FA368)+1)</f>
        <v>367</v>
      </c>
      <c r="FB369" s="48">
        <f t="shared" ca="1" si="630"/>
        <v>0</v>
      </c>
      <c r="FC369" s="48">
        <f t="shared" ca="1" si="631"/>
        <v>367</v>
      </c>
      <c r="FD369" s="48">
        <f t="shared" ca="1" si="661"/>
        <v>367</v>
      </c>
      <c r="FE369" s="48">
        <f ca="1">IF(FD369=0,0,MAX($FE$2:FE368)+1)</f>
        <v>367</v>
      </c>
      <c r="FF369" s="48">
        <f ca="1">IFERROR(INDEX($FD$3:$FE$400,MATCH(ROWS($FF$3:FF369),$FE$3:$FE$400,0),1),"")</f>
        <v>367</v>
      </c>
      <c r="FG369" s="48">
        <f t="shared" si="696"/>
        <v>0</v>
      </c>
      <c r="FH369" s="48">
        <f t="shared" ca="1" si="662"/>
        <v>0</v>
      </c>
      <c r="FI369" s="48">
        <f ca="1">IF(FH369&lt;&gt;0,MAX($FI$2:FI368)+1,0)</f>
        <v>0</v>
      </c>
      <c r="FJ369" s="48" t="str">
        <f ca="1">IFERROR(INDEX($FH$3:$FI$400,MATCH(ROWS($FJ$3:FJ369),$FI$3:$FI$400,0),1),"")</f>
        <v/>
      </c>
      <c r="FK369" s="48">
        <f ca="1">IF(ABS(SUMIFS(DARE,DEN_G,"="&amp;FJ369,DATA,"&lt;="&amp;FINE_AC,DATA,"&gt;="&amp;INIZIO_A_PC)-SUMIFS(AVERE,DEN_G,"="&amp;FJ369,DATA,"&lt;="&amp;FINE_AC,DATA,"&gt;="&amp;INIZIO_A_PC))&gt;0,MAX($FK$2:FK368)+1,0)</f>
        <v>0</v>
      </c>
      <c r="FL369" s="48" t="str">
        <f ca="1">IF(AND(ROW()-2&lt;&gt;1,ROW()-2&lt;=$FK$1),CONCATENATE(" - ",IFERROR(INDEX($FJ$3:$FK$400,MATCH(ROWS($FL$3:FL369),$FK$3:$FK$400,0),1),"")),IFERROR(INDEX($FJ$3:$FK$400,MATCH(ROWS($FL$3:FL369),$FK$3:$FK$400,0),1),""))</f>
        <v/>
      </c>
      <c r="FM369" s="48">
        <f ca="1">IF(OR(B369="IVA ns/credito",B369="IVA NS/DEBITO",B369="IVA C/ACCONTO",B369="IMPOSTE C/ACCONTO",B369="CREDITI PER RITENUTE SUBITE",B369="CREDITI D'IMPOSTA"),MAX($FM$2:FM368)+1,0)</f>
        <v>0</v>
      </c>
      <c r="FN369" s="48" t="str">
        <f t="shared" ca="1" si="663"/>
        <v/>
      </c>
      <c r="FO369" s="48" t="str">
        <f ca="1">IFERROR(INDEX($FM$3:$FN$400,MATCH(ROWS($FO$3:FO369),$FM$3:$FM$400,0),2),"")</f>
        <v/>
      </c>
      <c r="FP369" s="48">
        <f ca="1">IF(ABS(SUMIFS(DARE,DEN_G,"="&amp;FO369,DATA,"&lt;="&amp;FINE_AC,DATA,"&gt;="&amp;INIZIO_A_PC)-SUMIFS(AVERE,DEN_G,"="&amp;FO369,DATA,"&lt;="&amp;FINE_AC,DATA,"&gt;="&amp;INIZIO_A_PC))&gt;0,MAX($FP$2:FP368)+1,0)</f>
        <v>0</v>
      </c>
      <c r="FQ369" s="48" t="str">
        <f ca="1">IF(AND(ROW()-2&lt;&gt;1,ROW()-2&lt;=$FP$1),CONCATENATE(" - ",IFERROR(INDEX($FO$3:$FP$400,MATCH(ROWS($FQ$3:FQ369),$FP$3:$FP$400,0),1),"")),IFERROR(INDEX($FO$3:$FP$400,MATCH(ROWS($FQ$3:FQ369),$FP$3:$FP$400,0),1),""))</f>
        <v/>
      </c>
    </row>
    <row r="370" spans="1:173" x14ac:dyDescent="0.3">
      <c r="A370" s="48" t="str">
        <f ca="1">IFERROR(IF($A$1=2,INDEX($DH$3:$DN$401,MATCH(ROWS(A$3:A370),$DN$3:$DN$401,0),COLUMN()),IF($A$1=1,INDEX($DQ$3:$DW$401,MATCH(ROWS(A$3:A370),$DW$3:$DW$401,0),COLUMN()),"")),"")</f>
        <v/>
      </c>
      <c r="B370" s="48" t="str">
        <f ca="1">IFERROR(IF($A$1=2,INDEX($DH$3:$DN$400,MATCH(ROWS(B$3:B370),$DN$3:$DN$400,0),COLUMN()),IF($A$1=1,INDEX($DQ$3:$DW$400,MATCH(ROWS(B$3:B370),$DW$3:$DW$400,0),COLUMN()),"")),"")</f>
        <v/>
      </c>
      <c r="D370" s="48" t="str">
        <f ca="1">IFERROR(IF($A$1=2,INDEX($DH$3:$DN$401,MATCH(ROWS(D$3:D370),$DN$3:$DN$401,0),COLUMN()),IF($A$1=1,INDEX($DQ$3:$DW$401,MATCH(ROWS(D$3:D370),$DW$3:$DW$401,0),COLUMN()),"")),"")</f>
        <v/>
      </c>
      <c r="E370" s="48" t="str">
        <f ca="1">IFERROR(IF($A$1=2,INDEX($DH$3:$DN$401,MATCH(ROWS(E$3:E370),$DN$3:$DN$401,0),COLUMN()),IF($A$1=1,INDEX($DQ$3:$DW$401,MATCH(ROWS(E$3:E370),$DW$3:$DW$401,0),COLUMN()),"")),"")</f>
        <v/>
      </c>
      <c r="F370" s="48" t="str">
        <f ca="1">IFERROR(IF($A$1=2,INDEX($DH$3:$DN$401,MATCH(ROWS(F$3:F370),$DN$3:$DN$401,0),COLUMN()),IF($A$1=1,INDEX($DQ$3:$DX$401,MATCH(ROWS(F$3:F370),$DW$3:$DW$401,0),COLUMN()),"")),"")</f>
        <v/>
      </c>
      <c r="G370" s="48" t="str">
        <f t="shared" ca="1" si="650"/>
        <v/>
      </c>
      <c r="H370" s="48" t="str">
        <f ca="1">IFERROR(IF($A$1=2,INDEX($DH$3:$DO$400,MATCH(ROWS(H$3:H370),$DN$3:$DN$400,0),COLUMN()),IF($A$1=1,INDEX($DQ$3:$DX$400,MATCH(ROWS(H$3:H370),$DW$3:$DW$400,0),COLUMN()),"")),"")</f>
        <v/>
      </c>
      <c r="M370" s="48">
        <f ca="1">IFERROR(IF(IF(MID($A370,3,3)=".00",MID(A370,1,2),"")&lt;&gt;"",MAX($M$2:M369)+1,0),"")</f>
        <v>0</v>
      </c>
      <c r="N370" s="48" t="str">
        <f t="shared" ca="1" si="651"/>
        <v/>
      </c>
      <c r="O370" s="48" t="str">
        <f ca="1">IF(IFERROR(INDEX($N$3:$O$300,MATCH(ROWS($O$3:O370),$M$3:$M$300,0),1),"")&lt;&gt;"",CONCATENATE(INDEX($N$3:$O$300,MATCH(ROWS($O$3:O370),$M$3:$M$300,0),1),".00"),"")</f>
        <v/>
      </c>
      <c r="P370" s="48" t="str">
        <f t="shared" ca="1" si="652"/>
        <v/>
      </c>
      <c r="Q370" s="48">
        <f ca="1">IF(M370&gt;=1,0,MAX($Q$2:Q369)+1)</f>
        <v>331</v>
      </c>
      <c r="U370" s="48" t="str">
        <f ca="1">IFERROR(INDEX(PDC,MATCH(ROWS(U$3:U370),$V$3:$V$400,0),2),"")</f>
        <v/>
      </c>
      <c r="V370" s="48">
        <f ca="1">IF(AND($T$1="VISUALIZZA TUTTI I CONTI",AA370&lt;&gt;""),MAX($V$2:V369)+1,IF(AND($U$2=2,AI370=$T$1),MAX($V$2:V369)+1,IF(AND($U$2=1,$T$1=AF370),MAX($V$2:V369)+1,0)))</f>
        <v>0</v>
      </c>
      <c r="AA370" s="48" t="str">
        <f t="shared" ca="1" si="653"/>
        <v/>
      </c>
      <c r="AB370" s="48" t="str">
        <f ca="1">IFERROR(INDEX($A$3:$G$400,MATCH(ROWS(AB$3:AB370),$Q$3:$Q$400,0),1),"")</f>
        <v/>
      </c>
      <c r="AC370" s="48" t="str">
        <f ca="1">IFERROR(INDEX($A$3:$G$400,MATCH(ROWS($AC$3:AC370),$Q$3:$Q$400,0),2),"")</f>
        <v/>
      </c>
      <c r="AD370" s="48" t="str">
        <f ca="1">IFERROR(INDEX($A$3:$G$400,MATCH(ROWS(AD$3:AD370),$Q$3:$Q$400,0),3),"")</f>
        <v/>
      </c>
      <c r="AE370" s="48" t="str">
        <f ca="1">IFERROR(INDEX($A$3:$G$400,MATCH(ROWS(AE$3:AE370),$Q$3:$Q$400,0),4),"")</f>
        <v/>
      </c>
      <c r="AF370" s="48" t="str">
        <f ca="1">IFERROR(INDEX($A$3:$G$400,MATCH(ROWS(AF$3:AF370),$Q$3:$Q$400,0),5),"")</f>
        <v/>
      </c>
      <c r="AG370" s="48" t="str">
        <f ca="1">IFERROR(INDEX($A$3:$G$400,MATCH(ROWS(AG$3:AG370),$Q$3:$Q$400,0),6),"")</f>
        <v/>
      </c>
      <c r="AH370" s="48" t="str">
        <f ca="1">IFERROR(INDEX($A$3:$G$400,MATCH(ROWS(AH$3:AH370),$Q$3:$Q$400,0),7),"")</f>
        <v/>
      </c>
      <c r="AI370" s="48" t="str">
        <f t="shared" ca="1" si="654"/>
        <v/>
      </c>
      <c r="AJ370" s="48" t="str">
        <f ca="1">IFERROR(INDEX($A$3:$H$400,MATCH(ROWS(AJ$3:AJ370),$Q$3:$Q$400,0),8),"")</f>
        <v/>
      </c>
      <c r="AZ370" s="48" t="str">
        <f t="shared" ref="AZ370:AZ378" ca="1" si="710">IF(BB370=0,"",ROW()-200)</f>
        <v/>
      </c>
      <c r="BA370" s="48">
        <f t="shared" ca="1" si="697"/>
        <v>0</v>
      </c>
      <c r="BB370" s="48">
        <f t="shared" ca="1" si="698"/>
        <v>0</v>
      </c>
      <c r="BC370" s="48">
        <f t="shared" ca="1" si="699"/>
        <v>0</v>
      </c>
      <c r="BD370" s="48">
        <f t="shared" ca="1" si="700"/>
        <v>0</v>
      </c>
      <c r="BE370" s="48">
        <f t="shared" ca="1" si="701"/>
        <v>0</v>
      </c>
      <c r="BF370" s="48">
        <f t="shared" ref="BF370:BF400" si="711">ROW()-200</f>
        <v>170</v>
      </c>
      <c r="BG370" s="48">
        <f ca="1">IF(IF(AND(OR(INDEX(PDC,MATCH($AC370,DEN_PDC,0),6)="SP DARE",INDEX(PDC,MATCH($AC370,DEN_PDC,0),6)="SP DARE/AVERE"),SUMIFS(DARE,DEN_G,$AC370)&gt;=SUMIFS(AVERE,DEN_G,$AC370)),SUMIFS(DARE,DEN_G,$AC370)-SUMIFS(AVERE,DEN_G,$AC370),0)&gt;0,MAX($BG$2:BG369)+1,0)</f>
        <v>0</v>
      </c>
      <c r="BH370" s="48">
        <f ca="1">IF(IF(AND(OR(INDEX(PDC,MATCH($AC370,DEN_PDC,0),6)="SP AVERE",INDEX(PDC,MATCH($AC370,DEN_PDC,0),6)="SP DARE/AVERE"),SUMIFS(AVERE,DEN_G,$AC370)&gt;=SUMIFS(DARE,DEN_G,$AC370)),SUMIFS(AVERE,DEN_G,$AC370)-SUMIFS(DARE,DEN_G,$AC370),0)&gt;0,MAX(BH$2:BH369)+1,0)</f>
        <v>0</v>
      </c>
      <c r="BI370" s="48">
        <f ca="1">IF(IF(AND(OR(INDEX(PDC,MATCH($AC370,DEN_PDC,0),6)="SE DARE",INDEX(PDC,MATCH($AC370,DEN_PDC,0),6)="SE DARE/AVERE"),SUMIFS(DARE,DEN_G,$AC370)&gt;=SUMIFS(AVERE,DEN_G,$AC370)),SUMIFS(DARE,DEN_G,$AC370)-SUMIFS(AVERE,DEN_G,$AC370),0)&gt;0,MAX(BI$2:BI369)+1,0)</f>
        <v>0</v>
      </c>
      <c r="BJ370" s="48">
        <f ca="1">IF(IF(AND(OR(INDEX(PDC,MATCH($AC370,DEN_PDC,0),6)="SE AVERE",INDEX(PDC,MATCH($AC370,DEN_PDC,0),6)="SE DARE/AVERE"),SUMIFS(AVERE,DEN_G,$AC370)&gt;=SUMIFS(DARE,DEN_G,$AC370)),SUMIFS(AVERE,DEN_G,$AC370)-SUMIFS(DARE,DEN_G,$AC370),0)&gt;0,MAX(BJ$2:BJ369)+1,0)</f>
        <v>0</v>
      </c>
      <c r="BK370" s="48" t="str">
        <f ca="1">IF(AND(AND($DY$2=0,$DY$1=0),$I$1=2,ROW()&gt;$BG$1+2,ROW()&lt;=$BG$1+4),"………………..",IF(AND(OR($DY$2&gt;0,$DY$1&gt;0),$I$1=2,ROW()&gt;$BG$1+2,ROW()&lt;=$BG$1+4),"………………..",IFERROR(INDEX($AC$3:$AC$398,MATCH(ROWS(BK$3:BK370),BG$3:BG$398,0),1),"")))</f>
        <v/>
      </c>
      <c r="BL370" s="48">
        <f t="shared" ca="1" si="637"/>
        <v>0</v>
      </c>
      <c r="BM370" s="48" t="str">
        <f ca="1">IF(AND(OR($DY$2=0,$DY$1=0),$I$1=2,ROW()&gt;$BH$1+2,ROW()&lt;=$BH$1+4),"………………..",IF(AND(OR($DY$2&gt;0,$DY$1&gt;0),$I$1=2,ROW()&gt;$BH$1+2,ROW()&lt;=$BH$1+4),"………………..",IFERROR(INDEX($AC$3:$AC$400,MATCH(ROWS(BM$3:BM370),BH$3:BH$400,0),1),"")))</f>
        <v/>
      </c>
      <c r="BN370" s="48">
        <f t="shared" ca="1" si="638"/>
        <v>0</v>
      </c>
      <c r="BO370" s="48" t="str">
        <f ca="1">IF(AND(OR($DY$2=0,$DY$1=0),$I$1=2,ROW()&gt;$BI$1+2,ROW()&lt;=$BI$1+4),"………………..",IF(AND(OR($DY$2&gt;0,$DY$1&gt;0),$I$1=2,ROW()&gt;$BI$1+2,ROW()&lt;=$BI$1+4),"………………..",IFERROR(INDEX($AC$3:$AC$400,MATCH(ROWS(BO$3:BO370),BI$3:BI$400,0),1),"")))</f>
        <v/>
      </c>
      <c r="BP370" s="48">
        <f t="shared" ca="1" si="639"/>
        <v>0</v>
      </c>
      <c r="BQ370" s="48" t="str">
        <f ca="1">IF(AND(OR($DY$2=0,$DY$1=0),$I$1=2,ROW()&gt;$BJ$1+2,ROW()&lt;=$BJ$1+4),"………………..",IF(AND(OR($DY$2&gt;0,$DY$1&gt;0),$I$1=2,ROW()&gt;$BJ$1+2,ROW()&lt;=$BJ$1+4),"………………..",IFERROR(INDEX($AC$3:$AC$400,MATCH(ROWS(BQ$3:BQ370),BJ$3:BJ$400,0),1),"")))</f>
        <v/>
      </c>
      <c r="BR370" s="48">
        <f t="shared" ca="1" si="640"/>
        <v>0</v>
      </c>
      <c r="BS370" s="48">
        <f ca="1">IF(IF(AND(OR(INDEX(PDC,MATCH($AC370,DEN_PDC,0),4)="D",INDEX(PDC,MATCH($AC370,DEN_PDC,0),4)="D/A"),SUMIFS(DARE,DEN_G,$AC370)&gt;=SUMIFS(AVERE,DEN_G,$AC370)),SUMIFS(DARE,DEN_G,$AC370),IF(AND(OR(INDEX(PDC,MATCH($AC370,DEN_PDC,0),4)="A",INDEX(PDC,MATCH($AC370,DEN_PDC,0),4)="D/A"),SUMIFS(AVERE,DEN_G,$AC370)&gt;=SUMIFS(DARE,DEN_G,$AC370)),SUMIFS(AVERE,DEN_G,$AC370),))&gt;0,MAX($BS$2:BS369)+1,0)</f>
        <v>0</v>
      </c>
      <c r="BT370" s="48" t="str">
        <f ca="1">IF($CO$1=0,"",IF(AND($I$1=2,ROW()&gt;$BR$1,ROW()&lt;=$BS$1)," …………….",IF(AND($E$1=1,$BX$1=1,$I$1=2,ROW()=$BQ$1),"TOTALI",IFERROR(INDEX(PDC,MATCH(ROWS(BT$3:BT370),BS$3:BS767,0),2),""))))</f>
        <v/>
      </c>
      <c r="BU370" s="48">
        <f t="shared" ca="1" si="641"/>
        <v>0</v>
      </c>
      <c r="BV370" s="48">
        <f t="shared" ca="1" si="642"/>
        <v>0</v>
      </c>
      <c r="BW370" s="48">
        <f t="shared" ca="1" si="643"/>
        <v>0</v>
      </c>
      <c r="BX370" s="48">
        <f t="shared" ca="1" si="644"/>
        <v>0</v>
      </c>
      <c r="BY370" s="48">
        <f ca="1">IF(OR(BW370&gt;0,BX370&gt;0),MAX($BY$2:BY369)+1,0)</f>
        <v>0</v>
      </c>
      <c r="BZ370" s="48" t="str">
        <f ca="1">IFERROR(INDEX($BT$3:$BY$400,MATCH(ROWS(BZ$3:BZ370),$BY$3:$BY$400,0),1),"")</f>
        <v/>
      </c>
      <c r="CA370" s="48" t="str">
        <f ca="1">IFERROR(INDEX($BT$3:$BY$400,MATCH(ROWS(CA$3:CA370),$BY$3:$BY$400,0),4),"")</f>
        <v/>
      </c>
      <c r="CB370" s="48" t="str">
        <f ca="1">IFERROR(INDEX($BT$3:$BY$400,MATCH(ROWS(CB$3:CB370),$BY$3:$BY$400,0),5),"")</f>
        <v/>
      </c>
      <c r="CC370" s="48" t="str">
        <f t="shared" ca="1" si="645"/>
        <v/>
      </c>
      <c r="CM370" s="242" t="str">
        <f t="shared" ca="1" si="655"/>
        <v/>
      </c>
      <c r="CN370" s="243">
        <f t="shared" ca="1" si="656"/>
        <v>0</v>
      </c>
      <c r="CO370" s="48" t="str">
        <f t="shared" ca="1" si="657"/>
        <v/>
      </c>
      <c r="CU370" s="48">
        <f ca="1">IF(SUMIFS(AVERE,DEN_G,AC370,AVERE,"&gt;"&amp;0)+SUMIFS(DARE,DEN_G,AC370,DARE,"&gt;"&amp;0)&gt;0,MAX($CU$2:CU369)+1,0)</f>
        <v>0</v>
      </c>
      <c r="CV370" s="48" t="str">
        <f ca="1">IF(IFERROR(INDEX(PDC,MATCH(ROWS($CV$3:CV370),$CU$3:$CU$400,0),2),"")="CONTO DI RISULTATO ECONOMICO","",IFERROR(INDEX(PDC,MATCH(ROWS($CV$3:CV370),$CU$3:$CU$400,0),2),""))</f>
        <v/>
      </c>
      <c r="CW370" s="48">
        <f ca="1">IFERROR(IF(CV370&lt;&gt;"",MAX($CW$2:CW369)+1,0),0)</f>
        <v>0</v>
      </c>
      <c r="CX370" s="48">
        <f t="shared" ca="1" si="704"/>
        <v>29</v>
      </c>
      <c r="CY370" s="48" t="str">
        <f t="shared" ca="1" si="703"/>
        <v>MASTRO</v>
      </c>
      <c r="CZ370" s="48" t="e">
        <f t="shared" ca="1" si="706"/>
        <v>#N/A</v>
      </c>
      <c r="DA370" s="48" t="str">
        <f t="shared" ref="DA370:DA378" ca="1" si="712">IFERROR(INDEX(LIBRO_GIORNALE,CZ370,1),"")</f>
        <v/>
      </c>
      <c r="DB370" s="48" t="str">
        <f t="shared" ca="1" si="682"/>
        <v/>
      </c>
      <c r="DC370" s="48" t="str">
        <f t="shared" ca="1" si="707"/>
        <v/>
      </c>
      <c r="DD370" s="48" t="str">
        <f t="shared" ca="1" si="708"/>
        <v/>
      </c>
      <c r="DE370" s="48" t="str">
        <f t="shared" ca="1" si="709"/>
        <v/>
      </c>
      <c r="DF370" s="48">
        <f ca="1">IF(AND(CX370=$DF$1,CX370&lt;&gt;""),0,IF(AND(DB370&lt;&gt;"",OR(DB369&lt;&gt;"",DB371&lt;&gt;"")),MAX($DF$2:DF369)+1,0))</f>
        <v>0</v>
      </c>
      <c r="DH370" s="244" t="s">
        <v>947</v>
      </c>
      <c r="DI370" s="48" t="s">
        <v>257</v>
      </c>
      <c r="DJ370" s="48" t="s">
        <v>311</v>
      </c>
      <c r="DK370" s="48" t="s">
        <v>298</v>
      </c>
      <c r="DL370" s="48" t="s">
        <v>8</v>
      </c>
      <c r="DM370" s="48" t="s">
        <v>300</v>
      </c>
      <c r="DN370" s="48">
        <f ca="1">IF(DI370&lt;&gt;"",MAX($DN$2:DN369)+1,0)</f>
        <v>298</v>
      </c>
      <c r="DO370" s="48" t="s">
        <v>726</v>
      </c>
      <c r="DQ370" s="227" t="s">
        <v>913</v>
      </c>
      <c r="DR370" s="228" t="s">
        <v>260</v>
      </c>
      <c r="DW370" s="48">
        <f ca="1">IF(DR370&lt;&gt;"",MAX($DW$2:DW369)+1,0)</f>
        <v>224</v>
      </c>
      <c r="DY370" s="48" t="str">
        <f t="shared" ca="1" si="647"/>
        <v/>
      </c>
      <c r="EL370" s="48">
        <f t="shared" ca="1" si="648"/>
        <v>0</v>
      </c>
      <c r="EM370" s="48">
        <f ca="1">IF(EL370&gt;=0,0,MAX($EM$2:EM369)+1)</f>
        <v>0</v>
      </c>
      <c r="EN370" s="48" t="str">
        <f t="shared" ca="1" si="658"/>
        <v/>
      </c>
      <c r="EO370" s="48" t="str">
        <f ca="1">IFERROR(INDEX($EM$3:$EN$400,MATCH(ROWS($EO$3:EO370),$EM$3:$EM$400,0),2),"")</f>
        <v/>
      </c>
      <c r="EP370" s="48">
        <f>ROW()</f>
        <v>370</v>
      </c>
      <c r="EQ370" s="48">
        <f t="shared" ca="1" si="649"/>
        <v>0</v>
      </c>
      <c r="ER370" s="48">
        <f ca="1">IF(ISNA(EQ370)=TRUE,MAX($ER$2:ER369)+1,0)</f>
        <v>0</v>
      </c>
      <c r="ES370" s="48" t="str">
        <f t="shared" ca="1" si="659"/>
        <v/>
      </c>
      <c r="ET370" s="48" t="str">
        <f ca="1">IFERROR(INDEX($ER$3:$ES$400,MATCH(ROWS($ET$3:ET370),$ER$3:$ER$400,0),2),"")</f>
        <v/>
      </c>
      <c r="EV370" s="48">
        <f ca="1">IFERROR(INDEX(LIBRO_GIORNALE!$O$11:$P$408,MATCH(ROWS($EV$2:EV369),LIBRO_GIORNALE!$P$11:$P$408,0),1),0)</f>
        <v>0</v>
      </c>
      <c r="EW370" s="48" t="str">
        <f t="shared" ca="1" si="629"/>
        <v>0</v>
      </c>
      <c r="EX370" s="48">
        <f t="shared" ca="1" si="660"/>
        <v>0</v>
      </c>
      <c r="EY370" s="48">
        <f ca="1">IF(EX370&gt;0,MAX($EY$2:EY369)+1,0)</f>
        <v>0</v>
      </c>
      <c r="EZ370" s="48">
        <f ca="1">IFERROR(INDEX($EX$3:$EX$400,MATCH(ROWS($EZ$3:EZ370),$EY$3:$EY$400,0),1),0)</f>
        <v>0</v>
      </c>
      <c r="FA370" s="48">
        <f ca="1">IF(EZ370&gt;0,0,MAX($FA$2:FA369)+1)</f>
        <v>368</v>
      </c>
      <c r="FB370" s="48">
        <f t="shared" ca="1" si="630"/>
        <v>0</v>
      </c>
      <c r="FC370" s="48">
        <f t="shared" ca="1" si="631"/>
        <v>368</v>
      </c>
      <c r="FD370" s="48">
        <f t="shared" ca="1" si="661"/>
        <v>368</v>
      </c>
      <c r="FE370" s="48">
        <f ca="1">IF(FD370=0,0,MAX($FE$2:FE369)+1)</f>
        <v>368</v>
      </c>
      <c r="FF370" s="48">
        <f ca="1">IFERROR(INDEX($FD$3:$FE$400,MATCH(ROWS($FF$3:FF370),$FE$3:$FE$400,0),1),"")</f>
        <v>368</v>
      </c>
      <c r="FG370" s="48">
        <f t="shared" si="696"/>
        <v>0</v>
      </c>
      <c r="FH370" s="48">
        <f t="shared" ca="1" si="662"/>
        <v>0</v>
      </c>
      <c r="FI370" s="48">
        <f ca="1">IF(FH370&lt;&gt;0,MAX($FI$2:FI369)+1,0)</f>
        <v>0</v>
      </c>
      <c r="FJ370" s="48" t="str">
        <f ca="1">IFERROR(INDEX($FH$3:$FI$400,MATCH(ROWS($FJ$3:FJ370),$FI$3:$FI$400,0),1),"")</f>
        <v/>
      </c>
      <c r="FK370" s="48">
        <f ca="1">IF(ABS(SUMIFS(DARE,DEN_G,"="&amp;FJ370,DATA,"&lt;="&amp;FINE_AC,DATA,"&gt;="&amp;INIZIO_A_PC)-SUMIFS(AVERE,DEN_G,"="&amp;FJ370,DATA,"&lt;="&amp;FINE_AC,DATA,"&gt;="&amp;INIZIO_A_PC))&gt;0,MAX($FK$2:FK369)+1,0)</f>
        <v>0</v>
      </c>
      <c r="FL370" s="48" t="str">
        <f ca="1">IF(AND(ROW()-2&lt;&gt;1,ROW()-2&lt;=$FK$1),CONCATENATE(" - ",IFERROR(INDEX($FJ$3:$FK$400,MATCH(ROWS($FL$3:FL370),$FK$3:$FK$400,0),1),"")),IFERROR(INDEX($FJ$3:$FK$400,MATCH(ROWS($FL$3:FL370),$FK$3:$FK$400,0),1),""))</f>
        <v/>
      </c>
      <c r="FM370" s="48">
        <f ca="1">IF(OR(B370="IVA ns/credito",B370="IVA NS/DEBITO",B370="IVA C/ACCONTO",B370="IMPOSTE C/ACCONTO",B370="CREDITI PER RITENUTE SUBITE",B370="CREDITI D'IMPOSTA"),MAX($FM$2:FM369)+1,0)</f>
        <v>0</v>
      </c>
      <c r="FN370" s="48" t="str">
        <f t="shared" ca="1" si="663"/>
        <v/>
      </c>
      <c r="FO370" s="48" t="str">
        <f ca="1">IFERROR(INDEX($FM$3:$FN$400,MATCH(ROWS($FO$3:FO370),$FM$3:$FM$400,0),2),"")</f>
        <v/>
      </c>
      <c r="FP370" s="48">
        <f ca="1">IF(ABS(SUMIFS(DARE,DEN_G,"="&amp;FO370,DATA,"&lt;="&amp;FINE_AC,DATA,"&gt;="&amp;INIZIO_A_PC)-SUMIFS(AVERE,DEN_G,"="&amp;FO370,DATA,"&lt;="&amp;FINE_AC,DATA,"&gt;="&amp;INIZIO_A_PC))&gt;0,MAX($FP$2:FP369)+1,0)</f>
        <v>0</v>
      </c>
      <c r="FQ370" s="48" t="str">
        <f ca="1">IF(AND(ROW()-2&lt;&gt;1,ROW()-2&lt;=$FP$1),CONCATENATE(" - ",IFERROR(INDEX($FO$3:$FP$400,MATCH(ROWS($FQ$3:FQ370),$FP$3:$FP$400,0),1),"")),IFERROR(INDEX($FO$3:$FP$400,MATCH(ROWS($FQ$3:FQ370),$FP$3:$FP$400,0),1),""))</f>
        <v/>
      </c>
    </row>
    <row r="371" spans="1:173" x14ac:dyDescent="0.3">
      <c r="A371" s="48" t="str">
        <f ca="1">IFERROR(IF($A$1=2,INDEX($DH$3:$DN$401,MATCH(ROWS(A$3:A371),$DN$3:$DN$401,0),COLUMN()),IF($A$1=1,INDEX($DQ$3:$DW$401,MATCH(ROWS(A$3:A371),$DW$3:$DW$401,0),COLUMN()),"")),"")</f>
        <v/>
      </c>
      <c r="B371" s="48" t="str">
        <f ca="1">IFERROR(IF($A$1=2,INDEX($DH$3:$DN$400,MATCH(ROWS(B$3:B371),$DN$3:$DN$400,0),COLUMN()),IF($A$1=1,INDEX($DQ$3:$DW$400,MATCH(ROWS(B$3:B371),$DW$3:$DW$400,0),COLUMN()),"")),"")</f>
        <v/>
      </c>
      <c r="D371" s="48" t="str">
        <f ca="1">IFERROR(IF($A$1=2,INDEX($DH$3:$DN$401,MATCH(ROWS(D$3:D371),$DN$3:$DN$401,0),COLUMN()),IF($A$1=1,INDEX($DQ$3:$DW$401,MATCH(ROWS(D$3:D371),$DW$3:$DW$401,0),COLUMN()),"")),"")</f>
        <v/>
      </c>
      <c r="E371" s="48" t="str">
        <f ca="1">IFERROR(IF($A$1=2,INDEX($DH$3:$DN$401,MATCH(ROWS(E$3:E371),$DN$3:$DN$401,0),COLUMN()),IF($A$1=1,INDEX($DQ$3:$DW$401,MATCH(ROWS(E$3:E371),$DW$3:$DW$401,0),COLUMN()),"")),"")</f>
        <v/>
      </c>
      <c r="F371" s="48" t="str">
        <f ca="1">IFERROR(IF($A$1=2,INDEX($DH$3:$DN$401,MATCH(ROWS(F$3:F371),$DN$3:$DN$401,0),COLUMN()),IF($A$1=1,INDEX($DQ$3:$DX$401,MATCH(ROWS(F$3:F371),$DW$3:$DW$401,0),COLUMN()),"")),"")</f>
        <v/>
      </c>
      <c r="G371" s="48" t="str">
        <f t="shared" ca="1" si="650"/>
        <v/>
      </c>
      <c r="H371" s="48" t="str">
        <f ca="1">IFERROR(IF($A$1=2,INDEX($DH$3:$DO$400,MATCH(ROWS(H$3:H371),$DN$3:$DN$400,0),COLUMN()),IF($A$1=1,INDEX($DQ$3:$DX$400,MATCH(ROWS(H$3:H371),$DW$3:$DW$400,0),COLUMN()),"")),"")</f>
        <v/>
      </c>
      <c r="M371" s="48">
        <f ca="1">IFERROR(IF(IF(MID($A371,3,3)=".00",MID(A371,1,2),"")&lt;&gt;"",MAX($M$2:M370)+1,0),"")</f>
        <v>0</v>
      </c>
      <c r="N371" s="48" t="str">
        <f t="shared" ca="1" si="651"/>
        <v/>
      </c>
      <c r="O371" s="48" t="str">
        <f ca="1">IF(IFERROR(INDEX($N$3:$O$300,MATCH(ROWS($O$3:O371),$M$3:$M$300,0),1),"")&lt;&gt;"",CONCATENATE(INDEX($N$3:$O$300,MATCH(ROWS($O$3:O371),$M$3:$M$300,0),1),".00"),"")</f>
        <v/>
      </c>
      <c r="P371" s="48" t="str">
        <f t="shared" ca="1" si="652"/>
        <v/>
      </c>
      <c r="Q371" s="48">
        <f ca="1">IF(M371&gt;=1,0,MAX($Q$2:Q370)+1)</f>
        <v>332</v>
      </c>
      <c r="U371" s="48" t="str">
        <f ca="1">IFERROR(INDEX(PDC,MATCH(ROWS(U$3:U371),$V$3:$V$400,0),2),"")</f>
        <v/>
      </c>
      <c r="V371" s="48">
        <f ca="1">IF(AND($T$1="VISUALIZZA TUTTI I CONTI",AA371&lt;&gt;""),MAX($V$2:V370)+1,IF(AND($U$2=2,AI371=$T$1),MAX($V$2:V370)+1,IF(AND($U$2=1,$T$1=AF371),MAX($V$2:V370)+1,0)))</f>
        <v>0</v>
      </c>
      <c r="AA371" s="48" t="str">
        <f t="shared" ca="1" si="653"/>
        <v/>
      </c>
      <c r="AB371" s="48" t="str">
        <f ca="1">IFERROR(INDEX($A$3:$G$400,MATCH(ROWS(AB$3:AB371),$Q$3:$Q$400,0),1),"")</f>
        <v/>
      </c>
      <c r="AC371" s="48" t="str">
        <f ca="1">IFERROR(INDEX($A$3:$G$400,MATCH(ROWS($AC$3:AC371),$Q$3:$Q$400,0),2),"")</f>
        <v/>
      </c>
      <c r="AD371" s="48" t="str">
        <f ca="1">IFERROR(INDEX($A$3:$G$400,MATCH(ROWS(AD$3:AD371),$Q$3:$Q$400,0),3),"")</f>
        <v/>
      </c>
      <c r="AE371" s="48" t="str">
        <f ca="1">IFERROR(INDEX($A$3:$G$400,MATCH(ROWS(AE$3:AE371),$Q$3:$Q$400,0),4),"")</f>
        <v/>
      </c>
      <c r="AF371" s="48" t="str">
        <f ca="1">IFERROR(INDEX($A$3:$G$400,MATCH(ROWS(AF$3:AF371),$Q$3:$Q$400,0),5),"")</f>
        <v/>
      </c>
      <c r="AG371" s="48" t="str">
        <f ca="1">IFERROR(INDEX($A$3:$G$400,MATCH(ROWS(AG$3:AG371),$Q$3:$Q$400,0),6),"")</f>
        <v/>
      </c>
      <c r="AH371" s="48" t="str">
        <f ca="1">IFERROR(INDEX($A$3:$G$400,MATCH(ROWS(AH$3:AH371),$Q$3:$Q$400,0),7),"")</f>
        <v/>
      </c>
      <c r="AI371" s="48" t="str">
        <f t="shared" ca="1" si="654"/>
        <v/>
      </c>
      <c r="AJ371" s="48" t="str">
        <f ca="1">IFERROR(INDEX($A$3:$H$400,MATCH(ROWS(AJ$3:AJ371),$Q$3:$Q$400,0),8),"")</f>
        <v/>
      </c>
      <c r="AZ371" s="48" t="str">
        <f t="shared" ca="1" si="710"/>
        <v/>
      </c>
      <c r="BA371" s="48">
        <f t="shared" ca="1" si="697"/>
        <v>0</v>
      </c>
      <c r="BB371" s="48">
        <f t="shared" ca="1" si="698"/>
        <v>0</v>
      </c>
      <c r="BC371" s="48">
        <f t="shared" ca="1" si="699"/>
        <v>0</v>
      </c>
      <c r="BD371" s="48">
        <f t="shared" ca="1" si="700"/>
        <v>0</v>
      </c>
      <c r="BE371" s="48">
        <f t="shared" ca="1" si="701"/>
        <v>0</v>
      </c>
      <c r="BF371" s="48">
        <f t="shared" si="711"/>
        <v>171</v>
      </c>
      <c r="BG371" s="48">
        <f ca="1">IF(IF(AND(OR(INDEX(PDC,MATCH($AC371,DEN_PDC,0),6)="SP DARE",INDEX(PDC,MATCH($AC371,DEN_PDC,0),6)="SP DARE/AVERE"),SUMIFS(DARE,DEN_G,$AC371)&gt;=SUMIFS(AVERE,DEN_G,$AC371)),SUMIFS(DARE,DEN_G,$AC371)-SUMIFS(AVERE,DEN_G,$AC371),0)&gt;0,MAX($BG$2:BG370)+1,0)</f>
        <v>0</v>
      </c>
      <c r="BH371" s="48">
        <f ca="1">IF(IF(AND(OR(INDEX(PDC,MATCH($AC371,DEN_PDC,0),6)="SP AVERE",INDEX(PDC,MATCH($AC371,DEN_PDC,0),6)="SP DARE/AVERE"),SUMIFS(AVERE,DEN_G,$AC371)&gt;=SUMIFS(DARE,DEN_G,$AC371)),SUMIFS(AVERE,DEN_G,$AC371)-SUMIFS(DARE,DEN_G,$AC371),0)&gt;0,MAX(BH$2:BH370)+1,0)</f>
        <v>0</v>
      </c>
      <c r="BI371" s="48">
        <f ca="1">IF(IF(AND(OR(INDEX(PDC,MATCH($AC371,DEN_PDC,0),6)="SE DARE",INDEX(PDC,MATCH($AC371,DEN_PDC,0),6)="SE DARE/AVERE"),SUMIFS(DARE,DEN_G,$AC371)&gt;=SUMIFS(AVERE,DEN_G,$AC371)),SUMIFS(DARE,DEN_G,$AC371)-SUMIFS(AVERE,DEN_G,$AC371),0)&gt;0,MAX(BI$2:BI370)+1,0)</f>
        <v>0</v>
      </c>
      <c r="BJ371" s="48">
        <f ca="1">IF(IF(AND(OR(INDEX(PDC,MATCH($AC371,DEN_PDC,0),6)="SE AVERE",INDEX(PDC,MATCH($AC371,DEN_PDC,0),6)="SE DARE/AVERE"),SUMIFS(AVERE,DEN_G,$AC371)&gt;=SUMIFS(DARE,DEN_G,$AC371)),SUMIFS(AVERE,DEN_G,$AC371)-SUMIFS(DARE,DEN_G,$AC371),0)&gt;0,MAX(BJ$2:BJ370)+1,0)</f>
        <v>0</v>
      </c>
      <c r="BK371" s="48" t="str">
        <f ca="1">IF(AND(AND($DY$2=0,$DY$1=0),$I$1=2,ROW()&gt;$BG$1+2,ROW()&lt;=$BG$1+4),"………………..",IF(AND(OR($DY$2&gt;0,$DY$1&gt;0),$I$1=2,ROW()&gt;$BG$1+2,ROW()&lt;=$BG$1+4),"………………..",IFERROR(INDEX($AC$3:$AC$398,MATCH(ROWS(BK$3:BK371),BG$3:BG$398,0),1),"")))</f>
        <v/>
      </c>
      <c r="BL371" s="48">
        <f t="shared" ca="1" si="637"/>
        <v>0</v>
      </c>
      <c r="BM371" s="48" t="str">
        <f ca="1">IF(AND(OR($DY$2=0,$DY$1=0),$I$1=2,ROW()&gt;$BH$1+2,ROW()&lt;=$BH$1+4),"………………..",IF(AND(OR($DY$2&gt;0,$DY$1&gt;0),$I$1=2,ROW()&gt;$BH$1+2,ROW()&lt;=$BH$1+4),"………………..",IFERROR(INDEX($AC$3:$AC$400,MATCH(ROWS(BM$3:BM371),BH$3:BH$400,0),1),"")))</f>
        <v/>
      </c>
      <c r="BN371" s="48">
        <f t="shared" ca="1" si="638"/>
        <v>0</v>
      </c>
      <c r="BO371" s="48" t="str">
        <f ca="1">IF(AND(OR($DY$2=0,$DY$1=0),$I$1=2,ROW()&gt;$BI$1+2,ROW()&lt;=$BI$1+4),"………………..",IF(AND(OR($DY$2&gt;0,$DY$1&gt;0),$I$1=2,ROW()&gt;$BI$1+2,ROW()&lt;=$BI$1+4),"………………..",IFERROR(INDEX($AC$3:$AC$400,MATCH(ROWS(BO$3:BO371),BI$3:BI$400,0),1),"")))</f>
        <v/>
      </c>
      <c r="BP371" s="48">
        <f t="shared" ca="1" si="639"/>
        <v>0</v>
      </c>
      <c r="BQ371" s="48" t="str">
        <f ca="1">IF(AND(OR($DY$2=0,$DY$1=0),$I$1=2,ROW()&gt;$BJ$1+2,ROW()&lt;=$BJ$1+4),"………………..",IF(AND(OR($DY$2&gt;0,$DY$1&gt;0),$I$1=2,ROW()&gt;$BJ$1+2,ROW()&lt;=$BJ$1+4),"………………..",IFERROR(INDEX($AC$3:$AC$400,MATCH(ROWS(BQ$3:BQ371),BJ$3:BJ$400,0),1),"")))</f>
        <v/>
      </c>
      <c r="BR371" s="48">
        <f t="shared" ca="1" si="640"/>
        <v>0</v>
      </c>
      <c r="BS371" s="48">
        <f ca="1">IF(IF(AND(OR(INDEX(PDC,MATCH($AC371,DEN_PDC,0),4)="D",INDEX(PDC,MATCH($AC371,DEN_PDC,0),4)="D/A"),SUMIFS(DARE,DEN_G,$AC371)&gt;=SUMIFS(AVERE,DEN_G,$AC371)),SUMIFS(DARE,DEN_G,$AC371),IF(AND(OR(INDEX(PDC,MATCH($AC371,DEN_PDC,0),4)="A",INDEX(PDC,MATCH($AC371,DEN_PDC,0),4)="D/A"),SUMIFS(AVERE,DEN_G,$AC371)&gt;=SUMIFS(DARE,DEN_G,$AC371)),SUMIFS(AVERE,DEN_G,$AC371),))&gt;0,MAX($BS$2:BS370)+1,0)</f>
        <v>0</v>
      </c>
      <c r="BT371" s="48" t="str">
        <f ca="1">IF($CO$1=0,"",IF(AND($I$1=2,ROW()&gt;$BR$1,ROW()&lt;=$BS$1)," …………….",IF(AND($E$1=1,$BX$1=1,$I$1=2,ROW()=$BQ$1),"TOTALI",IFERROR(INDEX(PDC,MATCH(ROWS(BT$3:BT371),BS$3:BS768,0),2),""))))</f>
        <v/>
      </c>
      <c r="BU371" s="48">
        <f t="shared" ca="1" si="641"/>
        <v>0</v>
      </c>
      <c r="BV371" s="48">
        <f t="shared" ca="1" si="642"/>
        <v>0</v>
      </c>
      <c r="BW371" s="48">
        <f t="shared" ca="1" si="643"/>
        <v>0</v>
      </c>
      <c r="BX371" s="48">
        <f t="shared" ca="1" si="644"/>
        <v>0</v>
      </c>
      <c r="BY371" s="48">
        <f ca="1">IF(OR(BW371&gt;0,BX371&gt;0),MAX($BY$2:BY370)+1,0)</f>
        <v>0</v>
      </c>
      <c r="BZ371" s="48" t="str">
        <f ca="1">IFERROR(INDEX($BT$3:$BY$400,MATCH(ROWS(BZ$3:BZ371),$BY$3:$BY$400,0),1),"")</f>
        <v/>
      </c>
      <c r="CA371" s="48" t="str">
        <f ca="1">IFERROR(INDEX($BT$3:$BY$400,MATCH(ROWS(CA$3:CA371),$BY$3:$BY$400,0),4),"")</f>
        <v/>
      </c>
      <c r="CB371" s="48" t="str">
        <f ca="1">IFERROR(INDEX($BT$3:$BY$400,MATCH(ROWS(CB$3:CB371),$BY$3:$BY$400,0),5),"")</f>
        <v/>
      </c>
      <c r="CC371" s="48" t="str">
        <f t="shared" ca="1" si="645"/>
        <v/>
      </c>
      <c r="CM371" s="242" t="str">
        <f t="shared" ca="1" si="655"/>
        <v/>
      </c>
      <c r="CN371" s="243">
        <f t="shared" ca="1" si="656"/>
        <v>0</v>
      </c>
      <c r="CO371" s="48" t="str">
        <f t="shared" ca="1" si="657"/>
        <v/>
      </c>
      <c r="CU371" s="48">
        <f ca="1">IF(SUMIFS(AVERE,DEN_G,AC371,AVERE,"&gt;"&amp;0)+SUMIFS(DARE,DEN_G,AC371,DARE,"&gt;"&amp;0)&gt;0,MAX($CU$2:CU370)+1,0)</f>
        <v>0</v>
      </c>
      <c r="CV371" s="48" t="str">
        <f ca="1">IF(IFERROR(INDEX(PDC,MATCH(ROWS($CV$3:CV371),$CU$3:$CU$400,0),2),"")="CONTO DI RISULTATO ECONOMICO","",IFERROR(INDEX(PDC,MATCH(ROWS($CV$3:CV371),$CU$3:$CU$400,0),2),""))</f>
        <v/>
      </c>
      <c r="CW371" s="48">
        <f ca="1">IFERROR(IF(CV371&lt;&gt;"",MAX($CW$2:CW370)+1,0),0)</f>
        <v>0</v>
      </c>
      <c r="CX371" s="48">
        <f t="shared" ca="1" si="704"/>
        <v>29</v>
      </c>
      <c r="CY371" s="48" t="str">
        <f t="shared" ca="1" si="703"/>
        <v>MASTRO</v>
      </c>
      <c r="CZ371" s="48" t="e">
        <f t="shared" ca="1" si="706"/>
        <v>#N/A</v>
      </c>
      <c r="DA371" s="48" t="str">
        <f t="shared" ca="1" si="712"/>
        <v/>
      </c>
      <c r="DB371" s="48" t="str">
        <f t="shared" ca="1" si="682"/>
        <v/>
      </c>
      <c r="DC371" s="48" t="str">
        <f t="shared" ca="1" si="707"/>
        <v/>
      </c>
      <c r="DD371" s="48" t="str">
        <f t="shared" ca="1" si="708"/>
        <v/>
      </c>
      <c r="DE371" s="48" t="str">
        <f t="shared" ca="1" si="709"/>
        <v/>
      </c>
      <c r="DF371" s="48">
        <f ca="1">IF(AND(CX371=$DF$1,CX371&lt;&gt;""),0,IF(AND(DB371&lt;&gt;"",OR(DB370&lt;&gt;"",DB372&lt;&gt;"")),MAX($DF$2:DF370)+1,0))</f>
        <v>0</v>
      </c>
      <c r="DH371" s="244" t="s">
        <v>1127</v>
      </c>
      <c r="DI371" s="48" t="s">
        <v>258</v>
      </c>
      <c r="DJ371" s="48" t="s">
        <v>311</v>
      </c>
      <c r="DK371" s="48" t="s">
        <v>298</v>
      </c>
      <c r="DL371" s="48" t="s">
        <v>8</v>
      </c>
      <c r="DM371" s="48" t="s">
        <v>300</v>
      </c>
      <c r="DN371" s="48">
        <f ca="1">IF(DI371&lt;&gt;"",MAX($DN$2:DN370)+1,0)</f>
        <v>299</v>
      </c>
      <c r="DO371" s="48" t="s">
        <v>726</v>
      </c>
      <c r="DQ371" s="227" t="s">
        <v>914</v>
      </c>
      <c r="DR371" s="48" t="s">
        <v>1078</v>
      </c>
      <c r="DS371" s="48" t="s">
        <v>311</v>
      </c>
      <c r="DT371" s="48" t="s">
        <v>275</v>
      </c>
      <c r="DU371" s="48" t="s">
        <v>7</v>
      </c>
      <c r="DV371" s="48" t="s">
        <v>301</v>
      </c>
      <c r="DW371" s="48">
        <f ca="1">IF(DR371&lt;&gt;"",MAX($DW$2:DW370)+1,0)</f>
        <v>225</v>
      </c>
      <c r="DX371" s="48" t="s">
        <v>728</v>
      </c>
      <c r="DY371" s="48" t="str">
        <f t="shared" ca="1" si="647"/>
        <v/>
      </c>
      <c r="EL371" s="48">
        <f t="shared" ca="1" si="648"/>
        <v>0</v>
      </c>
      <c r="EM371" s="48">
        <f ca="1">IF(EL371&gt;=0,0,MAX($EM$2:EM370)+1)</f>
        <v>0</v>
      </c>
      <c r="EN371" s="48" t="str">
        <f t="shared" ca="1" si="658"/>
        <v/>
      </c>
      <c r="EO371" s="48" t="str">
        <f ca="1">IFERROR(INDEX($EM$3:$EN$400,MATCH(ROWS($EO$3:EO371),$EM$3:$EM$400,0),2),"")</f>
        <v/>
      </c>
      <c r="EP371" s="48">
        <f>ROW()</f>
        <v>371</v>
      </c>
      <c r="EQ371" s="48">
        <f t="shared" ca="1" si="649"/>
        <v>0</v>
      </c>
      <c r="ER371" s="48">
        <f ca="1">IF(ISNA(EQ371)=TRUE,MAX($ER$2:ER370)+1,0)</f>
        <v>0</v>
      </c>
      <c r="ES371" s="48" t="str">
        <f t="shared" ca="1" si="659"/>
        <v/>
      </c>
      <c r="ET371" s="48" t="str">
        <f ca="1">IFERROR(INDEX($ER$3:$ES$400,MATCH(ROWS($ET$3:ET371),$ER$3:$ER$400,0),2),"")</f>
        <v/>
      </c>
      <c r="EV371" s="48">
        <f ca="1">IFERROR(INDEX(LIBRO_GIORNALE!$O$11:$P$408,MATCH(ROWS($EV$2:EV370),LIBRO_GIORNALE!$P$11:$P$408,0),1),0)</f>
        <v>0</v>
      </c>
      <c r="EW371" s="48" t="str">
        <f t="shared" ca="1" si="629"/>
        <v>0</v>
      </c>
      <c r="EX371" s="48">
        <f t="shared" ca="1" si="660"/>
        <v>0</v>
      </c>
      <c r="EY371" s="48">
        <f ca="1">IF(EX371&gt;0,MAX($EY$2:EY370)+1,0)</f>
        <v>0</v>
      </c>
      <c r="EZ371" s="48">
        <f ca="1">IFERROR(INDEX($EX$3:$EX$400,MATCH(ROWS($EZ$3:EZ371),$EY$3:$EY$400,0),1),0)</f>
        <v>0</v>
      </c>
      <c r="FA371" s="48">
        <f ca="1">IF(EZ371&gt;0,0,MAX($FA$2:FA370)+1)</f>
        <v>369</v>
      </c>
      <c r="FB371" s="48">
        <f t="shared" ca="1" si="630"/>
        <v>0</v>
      </c>
      <c r="FC371" s="48">
        <f t="shared" ca="1" si="631"/>
        <v>369</v>
      </c>
      <c r="FD371" s="48">
        <f t="shared" ca="1" si="661"/>
        <v>369</v>
      </c>
      <c r="FE371" s="48">
        <f ca="1">IF(FD371=0,0,MAX($FE$2:FE370)+1)</f>
        <v>369</v>
      </c>
      <c r="FF371" s="48">
        <f ca="1">IFERROR(INDEX($FD$3:$FE$400,MATCH(ROWS($FF$3:FF371),$FE$3:$FE$400,0),1),"")</f>
        <v>369</v>
      </c>
      <c r="FG371" s="48">
        <f t="shared" si="696"/>
        <v>0</v>
      </c>
      <c r="FH371" s="48">
        <f t="shared" ca="1" si="662"/>
        <v>0</v>
      </c>
      <c r="FI371" s="48">
        <f ca="1">IF(FH371&lt;&gt;0,MAX($FI$2:FI370)+1,0)</f>
        <v>0</v>
      </c>
      <c r="FJ371" s="48" t="str">
        <f ca="1">IFERROR(INDEX($FH$3:$FI$400,MATCH(ROWS($FJ$3:FJ371),$FI$3:$FI$400,0),1),"")</f>
        <v/>
      </c>
      <c r="FK371" s="48">
        <f ca="1">IF(ABS(SUMIFS(DARE,DEN_G,"="&amp;FJ371,DATA,"&lt;="&amp;FINE_AC,DATA,"&gt;="&amp;INIZIO_A_PC)-SUMIFS(AVERE,DEN_G,"="&amp;FJ371,DATA,"&lt;="&amp;FINE_AC,DATA,"&gt;="&amp;INIZIO_A_PC))&gt;0,MAX($FK$2:FK370)+1,0)</f>
        <v>0</v>
      </c>
      <c r="FL371" s="48" t="str">
        <f ca="1">IF(AND(ROW()-2&lt;&gt;1,ROW()-2&lt;=$FK$1),CONCATENATE(" - ",IFERROR(INDEX($FJ$3:$FK$400,MATCH(ROWS($FL$3:FL371),$FK$3:$FK$400,0),1),"")),IFERROR(INDEX($FJ$3:$FK$400,MATCH(ROWS($FL$3:FL371),$FK$3:$FK$400,0),1),""))</f>
        <v/>
      </c>
      <c r="FM371" s="48">
        <f ca="1">IF(OR(B371="IVA ns/credito",B371="IVA NS/DEBITO",B371="IVA C/ACCONTO",B371="IMPOSTE C/ACCONTO",B371="CREDITI PER RITENUTE SUBITE",B371="CREDITI D'IMPOSTA"),MAX($FM$2:FM370)+1,0)</f>
        <v>0</v>
      </c>
      <c r="FN371" s="48" t="str">
        <f t="shared" ca="1" si="663"/>
        <v/>
      </c>
      <c r="FO371" s="48" t="str">
        <f ca="1">IFERROR(INDEX($FM$3:$FN$400,MATCH(ROWS($FO$3:FO371),$FM$3:$FM$400,0),2),"")</f>
        <v/>
      </c>
      <c r="FP371" s="48">
        <f ca="1">IF(ABS(SUMIFS(DARE,DEN_G,"="&amp;FO371,DATA,"&lt;="&amp;FINE_AC,DATA,"&gt;="&amp;INIZIO_A_PC)-SUMIFS(AVERE,DEN_G,"="&amp;FO371,DATA,"&lt;="&amp;FINE_AC,DATA,"&gt;="&amp;INIZIO_A_PC))&gt;0,MAX($FP$2:FP370)+1,0)</f>
        <v>0</v>
      </c>
      <c r="FQ371" s="48" t="str">
        <f ca="1">IF(AND(ROW()-2&lt;&gt;1,ROW()-2&lt;=$FP$1),CONCATENATE(" - ",IFERROR(INDEX($FO$3:$FP$400,MATCH(ROWS($FQ$3:FQ371),$FP$3:$FP$400,0),1),"")),IFERROR(INDEX($FO$3:$FP$400,MATCH(ROWS($FQ$3:FQ371),$FP$3:$FP$400,0),1),""))</f>
        <v/>
      </c>
    </row>
    <row r="372" spans="1:173" x14ac:dyDescent="0.3">
      <c r="A372" s="48" t="str">
        <f ca="1">IFERROR(IF($A$1=2,INDEX($DH$3:$DN$401,MATCH(ROWS(A$3:A372),$DN$3:$DN$401,0),COLUMN()),IF($A$1=1,INDEX($DQ$3:$DW$401,MATCH(ROWS(A$3:A372),$DW$3:$DW$401,0),COLUMN()),"")),"")</f>
        <v/>
      </c>
      <c r="B372" s="48" t="str">
        <f ca="1">IFERROR(IF($A$1=2,INDEX($DH$3:$DN$400,MATCH(ROWS(B$3:B372),$DN$3:$DN$400,0),COLUMN()),IF($A$1=1,INDEX($DQ$3:$DW$400,MATCH(ROWS(B$3:B372),$DW$3:$DW$400,0),COLUMN()),"")),"")</f>
        <v/>
      </c>
      <c r="D372" s="48" t="str">
        <f ca="1">IFERROR(IF($A$1=2,INDEX($DH$3:$DN$401,MATCH(ROWS(D$3:D372),$DN$3:$DN$401,0),COLUMN()),IF($A$1=1,INDEX($DQ$3:$DW$401,MATCH(ROWS(D$3:D372),$DW$3:$DW$401,0),COLUMN()),"")),"")</f>
        <v/>
      </c>
      <c r="E372" s="48" t="str">
        <f ca="1">IFERROR(IF($A$1=2,INDEX($DH$3:$DN$401,MATCH(ROWS(E$3:E372),$DN$3:$DN$401,0),COLUMN()),IF($A$1=1,INDEX($DQ$3:$DW$401,MATCH(ROWS(E$3:E372),$DW$3:$DW$401,0),COLUMN()),"")),"")</f>
        <v/>
      </c>
      <c r="F372" s="48" t="str">
        <f ca="1">IFERROR(IF($A$1=2,INDEX($DH$3:$DN$401,MATCH(ROWS(F$3:F372),$DN$3:$DN$401,0),COLUMN()),IF($A$1=1,INDEX($DQ$3:$DX$401,MATCH(ROWS(F$3:F372),$DW$3:$DW$401,0),COLUMN()),"")),"")</f>
        <v/>
      </c>
      <c r="G372" s="48" t="str">
        <f t="shared" ca="1" si="650"/>
        <v/>
      </c>
      <c r="H372" s="48" t="str">
        <f ca="1">IFERROR(IF($A$1=2,INDEX($DH$3:$DO$400,MATCH(ROWS(H$3:H372),$DN$3:$DN$400,0),COLUMN()),IF($A$1=1,INDEX($DQ$3:$DX$400,MATCH(ROWS(H$3:H372),$DW$3:$DW$400,0),COLUMN()),"")),"")</f>
        <v/>
      </c>
      <c r="M372" s="48">
        <f ca="1">IFERROR(IF(IF(MID($A372,3,3)=".00",MID(A372,1,2),"")&lt;&gt;"",MAX($M$2:M371)+1,0),"")</f>
        <v>0</v>
      </c>
      <c r="N372" s="48" t="str">
        <f t="shared" ca="1" si="651"/>
        <v/>
      </c>
      <c r="O372" s="48" t="str">
        <f ca="1">IF(IFERROR(INDEX($N$3:$O$300,MATCH(ROWS($O$3:O372),$M$3:$M$300,0),1),"")&lt;&gt;"",CONCATENATE(INDEX($N$3:$O$300,MATCH(ROWS($O$3:O372),$M$3:$M$300,0),1),".00"),"")</f>
        <v/>
      </c>
      <c r="P372" s="48" t="str">
        <f t="shared" ca="1" si="652"/>
        <v/>
      </c>
      <c r="Q372" s="48">
        <f ca="1">IF(M372&gt;=1,0,MAX($Q$2:Q371)+1)</f>
        <v>333</v>
      </c>
      <c r="U372" s="48" t="str">
        <f ca="1">IFERROR(INDEX(PDC,MATCH(ROWS(U$3:U372),$V$3:$V$400,0),2),"")</f>
        <v/>
      </c>
      <c r="V372" s="48">
        <f ca="1">IF(AND($T$1="VISUALIZZA TUTTI I CONTI",AA372&lt;&gt;""),MAX($V$2:V371)+1,IF(AND($U$2=2,AI372=$T$1),MAX($V$2:V371)+1,IF(AND($U$2=1,$T$1=AF372),MAX($V$2:V371)+1,0)))</f>
        <v>0</v>
      </c>
      <c r="AA372" s="48" t="str">
        <f t="shared" ca="1" si="653"/>
        <v/>
      </c>
      <c r="AB372" s="48" t="str">
        <f ca="1">IFERROR(INDEX($A$3:$G$400,MATCH(ROWS(AB$3:AB372),$Q$3:$Q$400,0),1),"")</f>
        <v/>
      </c>
      <c r="AC372" s="48" t="str">
        <f ca="1">IFERROR(INDEX($A$3:$G$400,MATCH(ROWS($AC$3:AC372),$Q$3:$Q$400,0),2),"")</f>
        <v/>
      </c>
      <c r="AD372" s="48" t="str">
        <f ca="1">IFERROR(INDEX($A$3:$G$400,MATCH(ROWS(AD$3:AD372),$Q$3:$Q$400,0),3),"")</f>
        <v/>
      </c>
      <c r="AE372" s="48" t="str">
        <f ca="1">IFERROR(INDEX($A$3:$G$400,MATCH(ROWS(AE$3:AE372),$Q$3:$Q$400,0),4),"")</f>
        <v/>
      </c>
      <c r="AF372" s="48" t="str">
        <f ca="1">IFERROR(INDEX($A$3:$G$400,MATCH(ROWS(AF$3:AF372),$Q$3:$Q$400,0),5),"")</f>
        <v/>
      </c>
      <c r="AG372" s="48" t="str">
        <f ca="1">IFERROR(INDEX($A$3:$G$400,MATCH(ROWS(AG$3:AG372),$Q$3:$Q$400,0),6),"")</f>
        <v/>
      </c>
      <c r="AH372" s="48" t="str">
        <f ca="1">IFERROR(INDEX($A$3:$G$400,MATCH(ROWS(AH$3:AH372),$Q$3:$Q$400,0),7),"")</f>
        <v/>
      </c>
      <c r="AI372" s="48" t="str">
        <f t="shared" ca="1" si="654"/>
        <v/>
      </c>
      <c r="AJ372" s="48" t="str">
        <f ca="1">IFERROR(INDEX($A$3:$H$400,MATCH(ROWS(AJ$3:AJ372),$Q$3:$Q$400,0),8),"")</f>
        <v/>
      </c>
      <c r="AZ372" s="48" t="str">
        <f t="shared" ca="1" si="710"/>
        <v/>
      </c>
      <c r="BA372" s="48">
        <f t="shared" ca="1" si="697"/>
        <v>0</v>
      </c>
      <c r="BB372" s="48">
        <f t="shared" ca="1" si="698"/>
        <v>0</v>
      </c>
      <c r="BC372" s="48">
        <f t="shared" ca="1" si="699"/>
        <v>0</v>
      </c>
      <c r="BD372" s="48">
        <f t="shared" ca="1" si="700"/>
        <v>0</v>
      </c>
      <c r="BE372" s="48">
        <f t="shared" ca="1" si="701"/>
        <v>0</v>
      </c>
      <c r="BF372" s="48">
        <f t="shared" si="711"/>
        <v>172</v>
      </c>
      <c r="BG372" s="48">
        <f ca="1">IF(IF(AND(OR(INDEX(PDC,MATCH($AC372,DEN_PDC,0),6)="SP DARE",INDEX(PDC,MATCH($AC372,DEN_PDC,0),6)="SP DARE/AVERE"),SUMIFS(DARE,DEN_G,$AC372)&gt;=SUMIFS(AVERE,DEN_G,$AC372)),SUMIFS(DARE,DEN_G,$AC372)-SUMIFS(AVERE,DEN_G,$AC372),0)&gt;0,MAX($BG$2:BG371)+1,0)</f>
        <v>0</v>
      </c>
      <c r="BH372" s="48">
        <f ca="1">IF(IF(AND(OR(INDEX(PDC,MATCH($AC372,DEN_PDC,0),6)="SP AVERE",INDEX(PDC,MATCH($AC372,DEN_PDC,0),6)="SP DARE/AVERE"),SUMIFS(AVERE,DEN_G,$AC372)&gt;=SUMIFS(DARE,DEN_G,$AC372)),SUMIFS(AVERE,DEN_G,$AC372)-SUMIFS(DARE,DEN_G,$AC372),0)&gt;0,MAX(BH$2:BH371)+1,0)</f>
        <v>0</v>
      </c>
      <c r="BI372" s="48">
        <f ca="1">IF(IF(AND(OR(INDEX(PDC,MATCH($AC372,DEN_PDC,0),6)="SE DARE",INDEX(PDC,MATCH($AC372,DEN_PDC,0),6)="SE DARE/AVERE"),SUMIFS(DARE,DEN_G,$AC372)&gt;=SUMIFS(AVERE,DEN_G,$AC372)),SUMIFS(DARE,DEN_G,$AC372)-SUMIFS(AVERE,DEN_G,$AC372),0)&gt;0,MAX(BI$2:BI371)+1,0)</f>
        <v>0</v>
      </c>
      <c r="BJ372" s="48">
        <f ca="1">IF(IF(AND(OR(INDEX(PDC,MATCH($AC372,DEN_PDC,0),6)="SE AVERE",INDEX(PDC,MATCH($AC372,DEN_PDC,0),6)="SE DARE/AVERE"),SUMIFS(AVERE,DEN_G,$AC372)&gt;=SUMIFS(DARE,DEN_G,$AC372)),SUMIFS(AVERE,DEN_G,$AC372)-SUMIFS(DARE,DEN_G,$AC372),0)&gt;0,MAX(BJ$2:BJ371)+1,0)</f>
        <v>0</v>
      </c>
      <c r="BK372" s="48" t="str">
        <f ca="1">IF(AND(AND($DY$2=0,$DY$1=0),$I$1=2,ROW()&gt;$BG$1+2,ROW()&lt;=$BG$1+4),"………………..",IF(AND(OR($DY$2&gt;0,$DY$1&gt;0),$I$1=2,ROW()&gt;$BG$1+2,ROW()&lt;=$BG$1+4),"………………..",IFERROR(INDEX($AC$3:$AC$398,MATCH(ROWS(BK$3:BK372),BG$3:BG$398,0),1),"")))</f>
        <v/>
      </c>
      <c r="BL372" s="48">
        <f t="shared" ca="1" si="637"/>
        <v>0</v>
      </c>
      <c r="BM372" s="48" t="str">
        <f ca="1">IF(AND(OR($DY$2=0,$DY$1=0),$I$1=2,ROW()&gt;$BH$1+2,ROW()&lt;=$BH$1+4),"………………..",IF(AND(OR($DY$2&gt;0,$DY$1&gt;0),$I$1=2,ROW()&gt;$BH$1+2,ROW()&lt;=$BH$1+4),"………………..",IFERROR(INDEX($AC$3:$AC$400,MATCH(ROWS(BM$3:BM372),BH$3:BH$400,0),1),"")))</f>
        <v/>
      </c>
      <c r="BN372" s="48">
        <f t="shared" ca="1" si="638"/>
        <v>0</v>
      </c>
      <c r="BO372" s="48" t="str">
        <f ca="1">IF(AND(OR($DY$2=0,$DY$1=0),$I$1=2,ROW()&gt;$BI$1+2,ROW()&lt;=$BI$1+4),"………………..",IF(AND(OR($DY$2&gt;0,$DY$1&gt;0),$I$1=2,ROW()&gt;$BI$1+2,ROW()&lt;=$BI$1+4),"………………..",IFERROR(INDEX($AC$3:$AC$400,MATCH(ROWS(BO$3:BO372),BI$3:BI$400,0),1),"")))</f>
        <v/>
      </c>
      <c r="BP372" s="48">
        <f t="shared" ca="1" si="639"/>
        <v>0</v>
      </c>
      <c r="BQ372" s="48" t="str">
        <f ca="1">IF(AND(OR($DY$2=0,$DY$1=0),$I$1=2,ROW()&gt;$BJ$1+2,ROW()&lt;=$BJ$1+4),"………………..",IF(AND(OR($DY$2&gt;0,$DY$1&gt;0),$I$1=2,ROW()&gt;$BJ$1+2,ROW()&lt;=$BJ$1+4),"………………..",IFERROR(INDEX($AC$3:$AC$400,MATCH(ROWS(BQ$3:BQ372),BJ$3:BJ$400,0),1),"")))</f>
        <v/>
      </c>
      <c r="BR372" s="48">
        <f t="shared" ca="1" si="640"/>
        <v>0</v>
      </c>
      <c r="BS372" s="48">
        <f ca="1">IF(IF(AND(OR(INDEX(PDC,MATCH($AC372,DEN_PDC,0),4)="D",INDEX(PDC,MATCH($AC372,DEN_PDC,0),4)="D/A"),SUMIFS(DARE,DEN_G,$AC372)&gt;=SUMIFS(AVERE,DEN_G,$AC372)),SUMIFS(DARE,DEN_G,$AC372),IF(AND(OR(INDEX(PDC,MATCH($AC372,DEN_PDC,0),4)="A",INDEX(PDC,MATCH($AC372,DEN_PDC,0),4)="D/A"),SUMIFS(AVERE,DEN_G,$AC372)&gt;=SUMIFS(DARE,DEN_G,$AC372)),SUMIFS(AVERE,DEN_G,$AC372),))&gt;0,MAX($BS$2:BS371)+1,0)</f>
        <v>0</v>
      </c>
      <c r="BT372" s="48" t="str">
        <f ca="1">IF($CO$1=0,"",IF(AND($I$1=2,ROW()&gt;$BR$1,ROW()&lt;=$BS$1)," …………….",IF(AND($E$1=1,$BX$1=1,$I$1=2,ROW()=$BQ$1),"TOTALI",IFERROR(INDEX(PDC,MATCH(ROWS(BT$3:BT372),BS$3:BS769,0),2),""))))</f>
        <v/>
      </c>
      <c r="BU372" s="48">
        <f t="shared" ca="1" si="641"/>
        <v>0</v>
      </c>
      <c r="BV372" s="48">
        <f t="shared" ca="1" si="642"/>
        <v>0</v>
      </c>
      <c r="BW372" s="48">
        <f t="shared" ca="1" si="643"/>
        <v>0</v>
      </c>
      <c r="BX372" s="48">
        <f t="shared" ca="1" si="644"/>
        <v>0</v>
      </c>
      <c r="BY372" s="48">
        <f ca="1">IF(OR(BW372&gt;0,BX372&gt;0),MAX($BY$2:BY371)+1,0)</f>
        <v>0</v>
      </c>
      <c r="BZ372" s="48" t="str">
        <f ca="1">IFERROR(INDEX($BT$3:$BY$400,MATCH(ROWS(BZ$3:BZ372),$BY$3:$BY$400,0),1),"")</f>
        <v/>
      </c>
      <c r="CA372" s="48" t="str">
        <f ca="1">IFERROR(INDEX($BT$3:$BY$400,MATCH(ROWS(CA$3:CA372),$BY$3:$BY$400,0),4),"")</f>
        <v/>
      </c>
      <c r="CB372" s="48" t="str">
        <f ca="1">IFERROR(INDEX($BT$3:$BY$400,MATCH(ROWS(CB$3:CB372),$BY$3:$BY$400,0),5),"")</f>
        <v/>
      </c>
      <c r="CC372" s="48" t="str">
        <f t="shared" ca="1" si="645"/>
        <v/>
      </c>
      <c r="CM372" s="242" t="str">
        <f t="shared" ca="1" si="655"/>
        <v/>
      </c>
      <c r="CN372" s="243">
        <f t="shared" ca="1" si="656"/>
        <v>0</v>
      </c>
      <c r="CO372" s="48" t="str">
        <f t="shared" ca="1" si="657"/>
        <v/>
      </c>
      <c r="CU372" s="48">
        <f ca="1">IF(SUMIFS(AVERE,DEN_G,AC372,AVERE,"&gt;"&amp;0)+SUMIFS(DARE,DEN_G,AC372,DARE,"&gt;"&amp;0)&gt;0,MAX($CU$2:CU371)+1,0)</f>
        <v>0</v>
      </c>
      <c r="CV372" s="48" t="str">
        <f ca="1">IF(IFERROR(INDEX(PDC,MATCH(ROWS($CV$3:CV372),$CU$3:$CU$400,0),2),"")="CONTO DI RISULTATO ECONOMICO","",IFERROR(INDEX(PDC,MATCH(ROWS($CV$3:CV372),$CU$3:$CU$400,0),2),""))</f>
        <v/>
      </c>
      <c r="CW372" s="48">
        <f ca="1">IFERROR(IF(CV372&lt;&gt;"",MAX($CW$2:CW371)+1,0),0)</f>
        <v>0</v>
      </c>
      <c r="CX372" s="48">
        <f t="shared" ca="1" si="704"/>
        <v>29</v>
      </c>
      <c r="CY372" s="48" t="str">
        <f t="shared" ca="1" si="703"/>
        <v>MASTRO</v>
      </c>
      <c r="CZ372" s="48" t="e">
        <f t="shared" ca="1" si="706"/>
        <v>#N/A</v>
      </c>
      <c r="DA372" s="48" t="str">
        <f t="shared" ca="1" si="712"/>
        <v/>
      </c>
      <c r="DB372" s="48" t="str">
        <f t="shared" ca="1" si="682"/>
        <v/>
      </c>
      <c r="DC372" s="48" t="str">
        <f t="shared" ca="1" si="707"/>
        <v/>
      </c>
      <c r="DD372" s="48" t="str">
        <f t="shared" ca="1" si="708"/>
        <v/>
      </c>
      <c r="DE372" s="48" t="str">
        <f t="shared" ca="1" si="709"/>
        <v/>
      </c>
      <c r="DF372" s="48">
        <f ca="1">IF(AND(CX372=$DF$1,CX372&lt;&gt;""),0,IF(AND(DB372&lt;&gt;"",OR(DB371&lt;&gt;"",DB373&lt;&gt;"")),MAX($DF$2:DF371)+1,0))</f>
        <v>0</v>
      </c>
      <c r="DH372" s="244" t="s">
        <v>1128</v>
      </c>
      <c r="DI372" s="48" t="s">
        <v>1125</v>
      </c>
      <c r="DJ372" s="48" t="s">
        <v>311</v>
      </c>
      <c r="DK372" s="48" t="s">
        <v>298</v>
      </c>
      <c r="DL372" s="48" t="s">
        <v>8</v>
      </c>
      <c r="DM372" s="48" t="s">
        <v>300</v>
      </c>
      <c r="DN372" s="48">
        <f ca="1">IF(DI372&lt;&gt;"",MAX($DN$2:DN371)+1,0)</f>
        <v>300</v>
      </c>
      <c r="DO372" s="48" t="s">
        <v>726</v>
      </c>
      <c r="DQ372" s="227" t="s">
        <v>915</v>
      </c>
      <c r="DR372" s="48" t="s">
        <v>261</v>
      </c>
      <c r="DS372" s="48" t="s">
        <v>311</v>
      </c>
      <c r="DT372" s="48" t="s">
        <v>275</v>
      </c>
      <c r="DU372" s="48" t="s">
        <v>7</v>
      </c>
      <c r="DV372" s="48" t="s">
        <v>301</v>
      </c>
      <c r="DW372" s="48">
        <f ca="1">IF(DR372&lt;&gt;"",MAX($DW$2:DW371)+1,0)</f>
        <v>226</v>
      </c>
      <c r="DX372" s="48" t="s">
        <v>728</v>
      </c>
      <c r="DY372" s="48" t="str">
        <f t="shared" ca="1" si="647"/>
        <v/>
      </c>
      <c r="EL372" s="48">
        <f t="shared" ca="1" si="648"/>
        <v>0</v>
      </c>
      <c r="EM372" s="48">
        <f ca="1">IF(EL372&gt;=0,0,MAX($EM$2:EM371)+1)</f>
        <v>0</v>
      </c>
      <c r="EN372" s="48" t="str">
        <f t="shared" ca="1" si="658"/>
        <v/>
      </c>
      <c r="EO372" s="48" t="str">
        <f ca="1">IFERROR(INDEX($EM$3:$EN$400,MATCH(ROWS($EO$3:EO372),$EM$3:$EM$400,0),2),"")</f>
        <v/>
      </c>
      <c r="EP372" s="48">
        <f>ROW()</f>
        <v>372</v>
      </c>
      <c r="EQ372" s="48">
        <f t="shared" ca="1" si="649"/>
        <v>0</v>
      </c>
      <c r="ER372" s="48">
        <f ca="1">IF(ISNA(EQ372)=TRUE,MAX($ER$2:ER371)+1,0)</f>
        <v>0</v>
      </c>
      <c r="ES372" s="48" t="str">
        <f t="shared" ca="1" si="659"/>
        <v/>
      </c>
      <c r="ET372" s="48" t="str">
        <f ca="1">IFERROR(INDEX($ER$3:$ES$400,MATCH(ROWS($ET$3:ET372),$ER$3:$ER$400,0),2),"")</f>
        <v/>
      </c>
      <c r="EV372" s="48">
        <f ca="1">IFERROR(INDEX(LIBRO_GIORNALE!$O$11:$P$408,MATCH(ROWS($EV$2:EV371),LIBRO_GIORNALE!$P$11:$P$408,0),1),0)</f>
        <v>0</v>
      </c>
      <c r="EW372" s="48" t="str">
        <f t="shared" ca="1" si="629"/>
        <v>0</v>
      </c>
      <c r="EX372" s="48">
        <f t="shared" ca="1" si="660"/>
        <v>0</v>
      </c>
      <c r="EY372" s="48">
        <f ca="1">IF(EX372&gt;0,MAX($EY$2:EY371)+1,0)</f>
        <v>0</v>
      </c>
      <c r="EZ372" s="48">
        <f ca="1">IFERROR(INDEX($EX$3:$EX$400,MATCH(ROWS($EZ$3:EZ372),$EY$3:$EY$400,0),1),0)</f>
        <v>0</v>
      </c>
      <c r="FA372" s="48">
        <f ca="1">IF(EZ372&gt;0,0,MAX($FA$2:FA371)+1)</f>
        <v>370</v>
      </c>
      <c r="FB372" s="48">
        <f t="shared" ca="1" si="630"/>
        <v>0</v>
      </c>
      <c r="FC372" s="48">
        <f t="shared" ca="1" si="631"/>
        <v>370</v>
      </c>
      <c r="FD372" s="48">
        <f t="shared" ca="1" si="661"/>
        <v>370</v>
      </c>
      <c r="FE372" s="48">
        <f ca="1">IF(FD372=0,0,MAX($FE$2:FE371)+1)</f>
        <v>370</v>
      </c>
      <c r="FF372" s="48">
        <f ca="1">IFERROR(INDEX($FD$3:$FE$400,MATCH(ROWS($FF$3:FF372),$FE$3:$FE$400,0),1),"")</f>
        <v>370</v>
      </c>
      <c r="FG372" s="48">
        <f t="shared" si="696"/>
        <v>0</v>
      </c>
      <c r="FH372" s="48">
        <f t="shared" ca="1" si="662"/>
        <v>0</v>
      </c>
      <c r="FI372" s="48">
        <f ca="1">IF(FH372&lt;&gt;0,MAX($FI$2:FI371)+1,0)</f>
        <v>0</v>
      </c>
      <c r="FJ372" s="48" t="str">
        <f ca="1">IFERROR(INDEX($FH$3:$FI$400,MATCH(ROWS($FJ$3:FJ372),$FI$3:$FI$400,0),1),"")</f>
        <v/>
      </c>
      <c r="FK372" s="48">
        <f ca="1">IF(ABS(SUMIFS(DARE,DEN_G,"="&amp;FJ372,DATA,"&lt;="&amp;FINE_AC,DATA,"&gt;="&amp;INIZIO_A_PC)-SUMIFS(AVERE,DEN_G,"="&amp;FJ372,DATA,"&lt;="&amp;FINE_AC,DATA,"&gt;="&amp;INIZIO_A_PC))&gt;0,MAX($FK$2:FK371)+1,0)</f>
        <v>0</v>
      </c>
      <c r="FL372" s="48" t="str">
        <f ca="1">IF(AND(ROW()-2&lt;&gt;1,ROW()-2&lt;=$FK$1),CONCATENATE(" - ",IFERROR(INDEX($FJ$3:$FK$400,MATCH(ROWS($FL$3:FL372),$FK$3:$FK$400,0),1),"")),IFERROR(INDEX($FJ$3:$FK$400,MATCH(ROWS($FL$3:FL372),$FK$3:$FK$400,0),1),""))</f>
        <v/>
      </c>
      <c r="FM372" s="48">
        <f ca="1">IF(OR(B372="IVA ns/credito",B372="IVA NS/DEBITO",B372="IVA C/ACCONTO",B372="IMPOSTE C/ACCONTO",B372="CREDITI PER RITENUTE SUBITE",B372="CREDITI D'IMPOSTA"),MAX($FM$2:FM371)+1,0)</f>
        <v>0</v>
      </c>
      <c r="FN372" s="48" t="str">
        <f t="shared" ca="1" si="663"/>
        <v/>
      </c>
      <c r="FO372" s="48" t="str">
        <f ca="1">IFERROR(INDEX($FM$3:$FN$400,MATCH(ROWS($FO$3:FO372),$FM$3:$FM$400,0),2),"")</f>
        <v/>
      </c>
      <c r="FP372" s="48">
        <f ca="1">IF(ABS(SUMIFS(DARE,DEN_G,"="&amp;FO372,DATA,"&lt;="&amp;FINE_AC,DATA,"&gt;="&amp;INIZIO_A_PC)-SUMIFS(AVERE,DEN_G,"="&amp;FO372,DATA,"&lt;="&amp;FINE_AC,DATA,"&gt;="&amp;INIZIO_A_PC))&gt;0,MAX($FP$2:FP371)+1,0)</f>
        <v>0</v>
      </c>
      <c r="FQ372" s="48" t="str">
        <f ca="1">IF(AND(ROW()-2&lt;&gt;1,ROW()-2&lt;=$FP$1),CONCATENATE(" - ",IFERROR(INDEX($FO$3:$FP$400,MATCH(ROWS($FQ$3:FQ372),$FP$3:$FP$400,0),1),"")),IFERROR(INDEX($FO$3:$FP$400,MATCH(ROWS($FQ$3:FQ372),$FP$3:$FP$400,0),1),""))</f>
        <v/>
      </c>
    </row>
    <row r="373" spans="1:173" x14ac:dyDescent="0.3">
      <c r="A373" s="48" t="str">
        <f ca="1">IFERROR(IF($A$1=2,INDEX($DH$3:$DN$401,MATCH(ROWS(A$3:A373),$DN$3:$DN$401,0),COLUMN()),IF($A$1=1,INDEX($DQ$3:$DW$401,MATCH(ROWS(A$3:A373),$DW$3:$DW$401,0),COLUMN()),"")),"")</f>
        <v/>
      </c>
      <c r="B373" s="48" t="str">
        <f ca="1">IFERROR(IF($A$1=2,INDEX($DH$3:$DN$400,MATCH(ROWS(B$3:B373),$DN$3:$DN$400,0),COLUMN()),IF($A$1=1,INDEX($DQ$3:$DW$400,MATCH(ROWS(B$3:B373),$DW$3:$DW$400,0),COLUMN()),"")),"")</f>
        <v/>
      </c>
      <c r="D373" s="48" t="str">
        <f ca="1">IFERROR(IF($A$1=2,INDEX($DH$3:$DN$401,MATCH(ROWS(D$3:D373),$DN$3:$DN$401,0),COLUMN()),IF($A$1=1,INDEX($DQ$3:$DW$401,MATCH(ROWS(D$3:D373),$DW$3:$DW$401,0),COLUMN()),"")),"")</f>
        <v/>
      </c>
      <c r="E373" s="48" t="str">
        <f ca="1">IFERROR(IF($A$1=2,INDEX($DH$3:$DN$401,MATCH(ROWS(E$3:E373),$DN$3:$DN$401,0),COLUMN()),IF($A$1=1,INDEX($DQ$3:$DW$401,MATCH(ROWS(E$3:E373),$DW$3:$DW$401,0),COLUMN()),"")),"")</f>
        <v/>
      </c>
      <c r="F373" s="48" t="str">
        <f ca="1">IFERROR(IF($A$1=2,INDEX($DH$3:$DN$401,MATCH(ROWS(F$3:F373),$DN$3:$DN$401,0),COLUMN()),IF($A$1=1,INDEX($DQ$3:$DX$401,MATCH(ROWS(F$3:F373),$DW$3:$DW$401,0),COLUMN()),"")),"")</f>
        <v/>
      </c>
      <c r="G373" s="48" t="str">
        <f t="shared" ca="1" si="650"/>
        <v/>
      </c>
      <c r="H373" s="48" t="str">
        <f ca="1">IFERROR(IF($A$1=2,INDEX($DH$3:$DO$400,MATCH(ROWS(H$3:H373),$DN$3:$DN$400,0),COLUMN()),IF($A$1=1,INDEX($DQ$3:$DX$400,MATCH(ROWS(H$3:H373),$DW$3:$DW$400,0),COLUMN()),"")),"")</f>
        <v/>
      </c>
      <c r="M373" s="48">
        <f ca="1">IFERROR(IF(IF(MID($A373,3,3)=".00",MID(A373,1,2),"")&lt;&gt;"",MAX($M$2:M372)+1,0),"")</f>
        <v>0</v>
      </c>
      <c r="N373" s="48" t="str">
        <f t="shared" ca="1" si="651"/>
        <v/>
      </c>
      <c r="O373" s="48" t="str">
        <f ca="1">IF(IFERROR(INDEX($N$3:$O$300,MATCH(ROWS($O$3:O373),$M$3:$M$300,0),1),"")&lt;&gt;"",CONCATENATE(INDEX($N$3:$O$300,MATCH(ROWS($O$3:O373),$M$3:$M$300,0),1),".00"),"")</f>
        <v/>
      </c>
      <c r="P373" s="48" t="str">
        <f t="shared" ca="1" si="652"/>
        <v/>
      </c>
      <c r="Q373" s="48">
        <f ca="1">IF(M373&gt;=1,0,MAX($Q$2:Q372)+1)</f>
        <v>334</v>
      </c>
      <c r="U373" s="48" t="str">
        <f ca="1">IFERROR(INDEX(PDC,MATCH(ROWS(U$3:U373),$V$3:$V$400,0),2),"")</f>
        <v/>
      </c>
      <c r="V373" s="48">
        <f ca="1">IF(AND($T$1="VISUALIZZA TUTTI I CONTI",AA373&lt;&gt;""),MAX($V$2:V372)+1,IF(AND($U$2=2,AI373=$T$1),MAX($V$2:V372)+1,IF(AND($U$2=1,$T$1=AF373),MAX($V$2:V372)+1,0)))</f>
        <v>0</v>
      </c>
      <c r="AA373" s="48" t="str">
        <f t="shared" ca="1" si="653"/>
        <v/>
      </c>
      <c r="AB373" s="48" t="str">
        <f ca="1">IFERROR(INDEX($A$3:$G$400,MATCH(ROWS(AB$3:AB373),$Q$3:$Q$400,0),1),"")</f>
        <v/>
      </c>
      <c r="AC373" s="48" t="str">
        <f ca="1">IFERROR(INDEX($A$3:$G$400,MATCH(ROWS($AC$3:AC373),$Q$3:$Q$400,0),2),"")</f>
        <v/>
      </c>
      <c r="AD373" s="48" t="str">
        <f ca="1">IFERROR(INDEX($A$3:$G$400,MATCH(ROWS(AD$3:AD373),$Q$3:$Q$400,0),3),"")</f>
        <v/>
      </c>
      <c r="AE373" s="48" t="str">
        <f ca="1">IFERROR(INDEX($A$3:$G$400,MATCH(ROWS(AE$3:AE373),$Q$3:$Q$400,0),4),"")</f>
        <v/>
      </c>
      <c r="AF373" s="48" t="str">
        <f ca="1">IFERROR(INDEX($A$3:$G$400,MATCH(ROWS(AF$3:AF373),$Q$3:$Q$400,0),5),"")</f>
        <v/>
      </c>
      <c r="AG373" s="48" t="str">
        <f ca="1">IFERROR(INDEX($A$3:$G$400,MATCH(ROWS(AG$3:AG373),$Q$3:$Q$400,0),6),"")</f>
        <v/>
      </c>
      <c r="AH373" s="48" t="str">
        <f ca="1">IFERROR(INDEX($A$3:$G$400,MATCH(ROWS(AH$3:AH373),$Q$3:$Q$400,0),7),"")</f>
        <v/>
      </c>
      <c r="AI373" s="48" t="str">
        <f t="shared" ca="1" si="654"/>
        <v/>
      </c>
      <c r="AJ373" s="48" t="str">
        <f ca="1">IFERROR(INDEX($A$3:$H$400,MATCH(ROWS(AJ$3:AJ373),$Q$3:$Q$400,0),8),"")</f>
        <v/>
      </c>
      <c r="AZ373" s="48" t="str">
        <f t="shared" ca="1" si="710"/>
        <v/>
      </c>
      <c r="BA373" s="48">
        <f t="shared" ca="1" si="697"/>
        <v>0</v>
      </c>
      <c r="BB373" s="48">
        <f t="shared" ca="1" si="698"/>
        <v>0</v>
      </c>
      <c r="BC373" s="48">
        <f t="shared" ca="1" si="699"/>
        <v>0</v>
      </c>
      <c r="BD373" s="48">
        <f t="shared" ca="1" si="700"/>
        <v>0</v>
      </c>
      <c r="BE373" s="48">
        <f t="shared" ca="1" si="701"/>
        <v>0</v>
      </c>
      <c r="BF373" s="48">
        <f t="shared" si="711"/>
        <v>173</v>
      </c>
      <c r="BG373" s="48">
        <f ca="1">IF(IF(AND(OR(INDEX(PDC,MATCH($AC373,DEN_PDC,0),6)="SP DARE",INDEX(PDC,MATCH($AC373,DEN_PDC,0),6)="SP DARE/AVERE"),SUMIFS(DARE,DEN_G,$AC373)&gt;=SUMIFS(AVERE,DEN_G,$AC373)),SUMIFS(DARE,DEN_G,$AC373)-SUMIFS(AVERE,DEN_G,$AC373),0)&gt;0,MAX($BG$2:BG372)+1,0)</f>
        <v>0</v>
      </c>
      <c r="BH373" s="48">
        <f ca="1">IF(IF(AND(OR(INDEX(PDC,MATCH($AC373,DEN_PDC,0),6)="SP AVERE",INDEX(PDC,MATCH($AC373,DEN_PDC,0),6)="SP DARE/AVERE"),SUMIFS(AVERE,DEN_G,$AC373)&gt;=SUMIFS(DARE,DEN_G,$AC373)),SUMIFS(AVERE,DEN_G,$AC373)-SUMIFS(DARE,DEN_G,$AC373),0)&gt;0,MAX(BH$2:BH372)+1,0)</f>
        <v>0</v>
      </c>
      <c r="BI373" s="48">
        <f ca="1">IF(IF(AND(OR(INDEX(PDC,MATCH($AC373,DEN_PDC,0),6)="SE DARE",INDEX(PDC,MATCH($AC373,DEN_PDC,0),6)="SE DARE/AVERE"),SUMIFS(DARE,DEN_G,$AC373)&gt;=SUMIFS(AVERE,DEN_G,$AC373)),SUMIFS(DARE,DEN_G,$AC373)-SUMIFS(AVERE,DEN_G,$AC373),0)&gt;0,MAX(BI$2:BI372)+1,0)</f>
        <v>0</v>
      </c>
      <c r="BJ373" s="48">
        <f ca="1">IF(IF(AND(OR(INDEX(PDC,MATCH($AC373,DEN_PDC,0),6)="SE AVERE",INDEX(PDC,MATCH($AC373,DEN_PDC,0),6)="SE DARE/AVERE"),SUMIFS(AVERE,DEN_G,$AC373)&gt;=SUMIFS(DARE,DEN_G,$AC373)),SUMIFS(AVERE,DEN_G,$AC373)-SUMIFS(DARE,DEN_G,$AC373),0)&gt;0,MAX(BJ$2:BJ372)+1,0)</f>
        <v>0</v>
      </c>
      <c r="BK373" s="48" t="str">
        <f ca="1">IF(AND(AND($DY$2=0,$DY$1=0),$I$1=2,ROW()&gt;$BG$1+2,ROW()&lt;=$BG$1+4),"………………..",IF(AND(OR($DY$2&gt;0,$DY$1&gt;0),$I$1=2,ROW()&gt;$BG$1+2,ROW()&lt;=$BG$1+4),"………………..",IFERROR(INDEX($AC$3:$AC$398,MATCH(ROWS(BK$3:BK373),BG$3:BG$398,0),1),"")))</f>
        <v/>
      </c>
      <c r="BL373" s="48">
        <f t="shared" ca="1" si="637"/>
        <v>0</v>
      </c>
      <c r="BM373" s="48" t="str">
        <f ca="1">IF(AND(OR($DY$2=0,$DY$1=0),$I$1=2,ROW()&gt;$BH$1+2,ROW()&lt;=$BH$1+4),"………………..",IF(AND(OR($DY$2&gt;0,$DY$1&gt;0),$I$1=2,ROW()&gt;$BH$1+2,ROW()&lt;=$BH$1+4),"………………..",IFERROR(INDEX($AC$3:$AC$400,MATCH(ROWS(BM$3:BM373),BH$3:BH$400,0),1),"")))</f>
        <v/>
      </c>
      <c r="BN373" s="48">
        <f t="shared" ca="1" si="638"/>
        <v>0</v>
      </c>
      <c r="BO373" s="48" t="str">
        <f ca="1">IF(AND(OR($DY$2=0,$DY$1=0),$I$1=2,ROW()&gt;$BI$1+2,ROW()&lt;=$BI$1+4),"………………..",IF(AND(OR($DY$2&gt;0,$DY$1&gt;0),$I$1=2,ROW()&gt;$BI$1+2,ROW()&lt;=$BI$1+4),"………………..",IFERROR(INDEX($AC$3:$AC$400,MATCH(ROWS(BO$3:BO373),BI$3:BI$400,0),1),"")))</f>
        <v/>
      </c>
      <c r="BP373" s="48">
        <f t="shared" ca="1" si="639"/>
        <v>0</v>
      </c>
      <c r="BQ373" s="48" t="str">
        <f ca="1">IF(AND(OR($DY$2=0,$DY$1=0),$I$1=2,ROW()&gt;$BJ$1+2,ROW()&lt;=$BJ$1+4),"………………..",IF(AND(OR($DY$2&gt;0,$DY$1&gt;0),$I$1=2,ROW()&gt;$BJ$1+2,ROW()&lt;=$BJ$1+4),"………………..",IFERROR(INDEX($AC$3:$AC$400,MATCH(ROWS(BQ$3:BQ373),BJ$3:BJ$400,0),1),"")))</f>
        <v/>
      </c>
      <c r="BR373" s="48">
        <f t="shared" ca="1" si="640"/>
        <v>0</v>
      </c>
      <c r="BS373" s="48">
        <f ca="1">IF(IF(AND(OR(INDEX(PDC,MATCH($AC373,DEN_PDC,0),4)="D",INDEX(PDC,MATCH($AC373,DEN_PDC,0),4)="D/A"),SUMIFS(DARE,DEN_G,$AC373)&gt;=SUMIFS(AVERE,DEN_G,$AC373)),SUMIFS(DARE,DEN_G,$AC373),IF(AND(OR(INDEX(PDC,MATCH($AC373,DEN_PDC,0),4)="A",INDEX(PDC,MATCH($AC373,DEN_PDC,0),4)="D/A"),SUMIFS(AVERE,DEN_G,$AC373)&gt;=SUMIFS(DARE,DEN_G,$AC373)),SUMIFS(AVERE,DEN_G,$AC373),))&gt;0,MAX($BS$2:BS372)+1,0)</f>
        <v>0</v>
      </c>
      <c r="BT373" s="48" t="str">
        <f ca="1">IF($CO$1=0,"",IF(AND($I$1=2,ROW()&gt;$BR$1,ROW()&lt;=$BS$1)," …………….",IF(AND($E$1=1,$BX$1=1,$I$1=2,ROW()=$BQ$1),"TOTALI",IFERROR(INDEX(PDC,MATCH(ROWS(BT$3:BT373),BS$3:BS770,0),2),""))))</f>
        <v/>
      </c>
      <c r="BU373" s="48">
        <f t="shared" ca="1" si="641"/>
        <v>0</v>
      </c>
      <c r="BV373" s="48">
        <f t="shared" ca="1" si="642"/>
        <v>0</v>
      </c>
      <c r="BW373" s="48">
        <f t="shared" ca="1" si="643"/>
        <v>0</v>
      </c>
      <c r="BX373" s="48">
        <f t="shared" ca="1" si="644"/>
        <v>0</v>
      </c>
      <c r="BY373" s="48">
        <f ca="1">IF(OR(BW373&gt;0,BX373&gt;0),MAX($BY$2:BY372)+1,0)</f>
        <v>0</v>
      </c>
      <c r="BZ373" s="48" t="str">
        <f ca="1">IFERROR(INDEX($BT$3:$BY$400,MATCH(ROWS(BZ$3:BZ373),$BY$3:$BY$400,0),1),"")</f>
        <v/>
      </c>
      <c r="CA373" s="48" t="str">
        <f ca="1">IFERROR(INDEX($BT$3:$BY$400,MATCH(ROWS(CA$3:CA373),$BY$3:$BY$400,0),4),"")</f>
        <v/>
      </c>
      <c r="CB373" s="48" t="str">
        <f ca="1">IFERROR(INDEX($BT$3:$BY$400,MATCH(ROWS(CB$3:CB373),$BY$3:$BY$400,0),5),"")</f>
        <v/>
      </c>
      <c r="CC373" s="48" t="str">
        <f t="shared" ca="1" si="645"/>
        <v/>
      </c>
      <c r="CM373" s="242" t="str">
        <f t="shared" ca="1" si="655"/>
        <v/>
      </c>
      <c r="CN373" s="243">
        <f t="shared" ca="1" si="656"/>
        <v>0</v>
      </c>
      <c r="CO373" s="48" t="str">
        <f t="shared" ca="1" si="657"/>
        <v/>
      </c>
      <c r="CU373" s="48">
        <f ca="1">IF(SUMIFS(AVERE,DEN_G,AC373,AVERE,"&gt;"&amp;0)+SUMIFS(DARE,DEN_G,AC373,DARE,"&gt;"&amp;0)&gt;0,MAX($CU$2:CU372)+1,0)</f>
        <v>0</v>
      </c>
      <c r="CV373" s="48" t="str">
        <f ca="1">IF(IFERROR(INDEX(PDC,MATCH(ROWS($CV$3:CV373),$CU$3:$CU$400,0),2),"")="CONTO DI RISULTATO ECONOMICO","",IFERROR(INDEX(PDC,MATCH(ROWS($CV$3:CV373),$CU$3:$CU$400,0),2),""))</f>
        <v/>
      </c>
      <c r="CW373" s="48">
        <f ca="1">IFERROR(IF(CV373&lt;&gt;"",MAX($CW$2:CW372)+1,0),0)</f>
        <v>0</v>
      </c>
      <c r="CX373" s="48">
        <f t="shared" ca="1" si="704"/>
        <v>29</v>
      </c>
      <c r="CY373" s="48" t="str">
        <f t="shared" ca="1" si="703"/>
        <v>MASTRO</v>
      </c>
      <c r="CZ373" s="48" t="e">
        <f t="shared" ca="1" si="706"/>
        <v>#N/A</v>
      </c>
      <c r="DA373" s="48" t="str">
        <f t="shared" ca="1" si="712"/>
        <v/>
      </c>
      <c r="DB373" s="48" t="str">
        <f t="shared" ca="1" si="682"/>
        <v/>
      </c>
      <c r="DC373" s="48" t="str">
        <f t="shared" ca="1" si="707"/>
        <v/>
      </c>
      <c r="DD373" s="48" t="str">
        <f t="shared" ca="1" si="708"/>
        <v/>
      </c>
      <c r="DE373" s="48" t="str">
        <f t="shared" ca="1" si="709"/>
        <v/>
      </c>
      <c r="DF373" s="48">
        <f ca="1">IF(AND(CX373=$DF$1,CX373&lt;&gt;""),0,IF(AND(DB373&lt;&gt;"",OR(DB372&lt;&gt;"",DB374&lt;&gt;"")),MAX($DF$2:DF372)+1,0))</f>
        <v>0</v>
      </c>
      <c r="DH373" s="244" t="s">
        <v>948</v>
      </c>
      <c r="DI373" s="48" t="s">
        <v>259</v>
      </c>
      <c r="DJ373" s="48" t="s">
        <v>311</v>
      </c>
      <c r="DK373" s="48" t="s">
        <v>298</v>
      </c>
      <c r="DL373" s="48" t="s">
        <v>8</v>
      </c>
      <c r="DM373" s="48" t="s">
        <v>300</v>
      </c>
      <c r="DN373" s="48">
        <f ca="1">IF(DI373&lt;&gt;"",MAX($DN$2:DN372)+1,0)</f>
        <v>301</v>
      </c>
      <c r="DO373" s="48" t="s">
        <v>726</v>
      </c>
      <c r="DQ373" s="227" t="s">
        <v>916</v>
      </c>
      <c r="DR373" s="48" t="s">
        <v>262</v>
      </c>
      <c r="DS373" s="48" t="s">
        <v>311</v>
      </c>
      <c r="DT373" s="48" t="s">
        <v>275</v>
      </c>
      <c r="DU373" s="48" t="s">
        <v>7</v>
      </c>
      <c r="DV373" s="48" t="s">
        <v>301</v>
      </c>
      <c r="DW373" s="48">
        <f ca="1">IF(DR373&lt;&gt;"",MAX($DW$2:DW372)+1,0)</f>
        <v>227</v>
      </c>
      <c r="DX373" s="48" t="s">
        <v>728</v>
      </c>
      <c r="DY373" s="48" t="str">
        <f t="shared" ca="1" si="647"/>
        <v/>
      </c>
      <c r="EL373" s="48">
        <f t="shared" ca="1" si="648"/>
        <v>0</v>
      </c>
      <c r="EM373" s="48">
        <f ca="1">IF(EL373&gt;=0,0,MAX($EM$2:EM372)+1)</f>
        <v>0</v>
      </c>
      <c r="EN373" s="48" t="str">
        <f t="shared" ca="1" si="658"/>
        <v/>
      </c>
      <c r="EO373" s="48" t="str">
        <f ca="1">IFERROR(INDEX($EM$3:$EN$400,MATCH(ROWS($EO$3:EO373),$EM$3:$EM$400,0),2),"")</f>
        <v/>
      </c>
      <c r="EP373" s="48">
        <f>ROW()</f>
        <v>373</v>
      </c>
      <c r="EQ373" s="48">
        <f t="shared" ca="1" si="649"/>
        <v>0</v>
      </c>
      <c r="ER373" s="48">
        <f ca="1">IF(ISNA(EQ373)=TRUE,MAX($ER$2:ER372)+1,0)</f>
        <v>0</v>
      </c>
      <c r="ES373" s="48" t="str">
        <f t="shared" ca="1" si="659"/>
        <v/>
      </c>
      <c r="ET373" s="48" t="str">
        <f ca="1">IFERROR(INDEX($ER$3:$ES$400,MATCH(ROWS($ET$3:ET373),$ER$3:$ER$400,0),2),"")</f>
        <v/>
      </c>
      <c r="EV373" s="48">
        <f ca="1">IFERROR(INDEX(LIBRO_GIORNALE!$O$11:$P$408,MATCH(ROWS($EV$2:EV372),LIBRO_GIORNALE!$P$11:$P$408,0),1),0)</f>
        <v>0</v>
      </c>
      <c r="EW373" s="48" t="str">
        <f t="shared" ca="1" si="629"/>
        <v>0</v>
      </c>
      <c r="EX373" s="48">
        <f t="shared" ca="1" si="660"/>
        <v>0</v>
      </c>
      <c r="EY373" s="48">
        <f ca="1">IF(EX373&gt;0,MAX($EY$2:EY372)+1,0)</f>
        <v>0</v>
      </c>
      <c r="EZ373" s="48">
        <f ca="1">IFERROR(INDEX($EX$3:$EX$400,MATCH(ROWS($EZ$3:EZ373),$EY$3:$EY$400,0),1),0)</f>
        <v>0</v>
      </c>
      <c r="FA373" s="48">
        <f ca="1">IF(EZ373&gt;0,0,MAX($FA$2:FA372)+1)</f>
        <v>371</v>
      </c>
      <c r="FB373" s="48">
        <f t="shared" ca="1" si="630"/>
        <v>0</v>
      </c>
      <c r="FC373" s="48">
        <f t="shared" ca="1" si="631"/>
        <v>371</v>
      </c>
      <c r="FD373" s="48">
        <f t="shared" ca="1" si="661"/>
        <v>371</v>
      </c>
      <c r="FE373" s="48">
        <f ca="1">IF(FD373=0,0,MAX($FE$2:FE372)+1)</f>
        <v>371</v>
      </c>
      <c r="FF373" s="48">
        <f ca="1">IFERROR(INDEX($FD$3:$FE$400,MATCH(ROWS($FF$3:FF373),$FE$3:$FE$400,0),1),"")</f>
        <v>371</v>
      </c>
      <c r="FG373" s="48">
        <f t="shared" si="696"/>
        <v>0</v>
      </c>
      <c r="FH373" s="48">
        <f t="shared" ca="1" si="662"/>
        <v>0</v>
      </c>
      <c r="FI373" s="48">
        <f ca="1">IF(FH373&lt;&gt;0,MAX($FI$2:FI372)+1,0)</f>
        <v>0</v>
      </c>
      <c r="FJ373" s="48" t="str">
        <f ca="1">IFERROR(INDEX($FH$3:$FI$400,MATCH(ROWS($FJ$3:FJ373),$FI$3:$FI$400,0),1),"")</f>
        <v/>
      </c>
      <c r="FK373" s="48">
        <f ca="1">IF(ABS(SUMIFS(DARE,DEN_G,"="&amp;FJ373,DATA,"&lt;="&amp;FINE_AC,DATA,"&gt;="&amp;INIZIO_A_PC)-SUMIFS(AVERE,DEN_G,"="&amp;FJ373,DATA,"&lt;="&amp;FINE_AC,DATA,"&gt;="&amp;INIZIO_A_PC))&gt;0,MAX($FK$2:FK372)+1,0)</f>
        <v>0</v>
      </c>
      <c r="FL373" s="48" t="str">
        <f ca="1">IF(AND(ROW()-2&lt;&gt;1,ROW()-2&lt;=$FK$1),CONCATENATE(" - ",IFERROR(INDEX($FJ$3:$FK$400,MATCH(ROWS($FL$3:FL373),$FK$3:$FK$400,0),1),"")),IFERROR(INDEX($FJ$3:$FK$400,MATCH(ROWS($FL$3:FL373),$FK$3:$FK$400,0),1),""))</f>
        <v/>
      </c>
      <c r="FM373" s="48">
        <f ca="1">IF(OR(B373="IVA ns/credito",B373="IVA NS/DEBITO",B373="IVA C/ACCONTO",B373="IMPOSTE C/ACCONTO",B373="CREDITI PER RITENUTE SUBITE",B373="CREDITI D'IMPOSTA"),MAX($FM$2:FM372)+1,0)</f>
        <v>0</v>
      </c>
      <c r="FN373" s="48" t="str">
        <f t="shared" ca="1" si="663"/>
        <v/>
      </c>
      <c r="FO373" s="48" t="str">
        <f ca="1">IFERROR(INDEX($FM$3:$FN$400,MATCH(ROWS($FO$3:FO373),$FM$3:$FM$400,0),2),"")</f>
        <v/>
      </c>
      <c r="FP373" s="48">
        <f ca="1">IF(ABS(SUMIFS(DARE,DEN_G,"="&amp;FO373,DATA,"&lt;="&amp;FINE_AC,DATA,"&gt;="&amp;INIZIO_A_PC)-SUMIFS(AVERE,DEN_G,"="&amp;FO373,DATA,"&lt;="&amp;FINE_AC,DATA,"&gt;="&amp;INIZIO_A_PC))&gt;0,MAX($FP$2:FP372)+1,0)</f>
        <v>0</v>
      </c>
      <c r="FQ373" s="48" t="str">
        <f ca="1">IF(AND(ROW()-2&lt;&gt;1,ROW()-2&lt;=$FP$1),CONCATENATE(" - ",IFERROR(INDEX($FO$3:$FP$400,MATCH(ROWS($FQ$3:FQ373),$FP$3:$FP$400,0),1),"")),IFERROR(INDEX($FO$3:$FP$400,MATCH(ROWS($FQ$3:FQ373),$FP$3:$FP$400,0),1),""))</f>
        <v/>
      </c>
    </row>
    <row r="374" spans="1:173" x14ac:dyDescent="0.3">
      <c r="A374" s="48" t="str">
        <f ca="1">IFERROR(IF($A$1=2,INDEX($DH$3:$DN$401,MATCH(ROWS(A$3:A374),$DN$3:$DN$401,0),COLUMN()),IF($A$1=1,INDEX($DQ$3:$DW$401,MATCH(ROWS(A$3:A374),$DW$3:$DW$401,0),COLUMN()),"")),"")</f>
        <v/>
      </c>
      <c r="B374" s="48" t="str">
        <f ca="1">IFERROR(IF($A$1=2,INDEX($DH$3:$DN$400,MATCH(ROWS(B$3:B374),$DN$3:$DN$400,0),COLUMN()),IF($A$1=1,INDEX($DQ$3:$DW$400,MATCH(ROWS(B$3:B374),$DW$3:$DW$400,0),COLUMN()),"")),"")</f>
        <v/>
      </c>
      <c r="D374" s="48" t="str">
        <f ca="1">IFERROR(IF($A$1=2,INDEX($DH$3:$DN$401,MATCH(ROWS(D$3:D374),$DN$3:$DN$401,0),COLUMN()),IF($A$1=1,INDEX($DQ$3:$DW$401,MATCH(ROWS(D$3:D374),$DW$3:$DW$401,0),COLUMN()),"")),"")</f>
        <v/>
      </c>
      <c r="E374" s="48" t="str">
        <f ca="1">IFERROR(IF($A$1=2,INDEX($DH$3:$DN$401,MATCH(ROWS(E$3:E374),$DN$3:$DN$401,0),COLUMN()),IF($A$1=1,INDEX($DQ$3:$DW$401,MATCH(ROWS(E$3:E374),$DW$3:$DW$401,0),COLUMN()),"")),"")</f>
        <v/>
      </c>
      <c r="F374" s="48" t="str">
        <f ca="1">IFERROR(IF($A$1=2,INDEX($DH$3:$DN$401,MATCH(ROWS(F$3:F374),$DN$3:$DN$401,0),COLUMN()),IF($A$1=1,INDEX($DQ$3:$DX$401,MATCH(ROWS(F$3:F374),$DW$3:$DW$401,0),COLUMN()),"")),"")</f>
        <v/>
      </c>
      <c r="G374" s="48" t="str">
        <f t="shared" ca="1" si="650"/>
        <v/>
      </c>
      <c r="H374" s="48" t="str">
        <f ca="1">IFERROR(IF($A$1=2,INDEX($DH$3:$DO$400,MATCH(ROWS(H$3:H374),$DN$3:$DN$400,0),COLUMN()),IF($A$1=1,INDEX($DQ$3:$DX$400,MATCH(ROWS(H$3:H374),$DW$3:$DW$400,0),COLUMN()),"")),"")</f>
        <v/>
      </c>
      <c r="M374" s="48">
        <f ca="1">IFERROR(IF(IF(MID($A374,3,3)=".00",MID(A374,1,2),"")&lt;&gt;"",MAX($M$2:M373)+1,0),"")</f>
        <v>0</v>
      </c>
      <c r="N374" s="48" t="str">
        <f t="shared" ca="1" si="651"/>
        <v/>
      </c>
      <c r="O374" s="48" t="str">
        <f ca="1">IF(IFERROR(INDEX($N$3:$O$300,MATCH(ROWS($O$3:O374),$M$3:$M$300,0),1),"")&lt;&gt;"",CONCATENATE(INDEX($N$3:$O$300,MATCH(ROWS($O$3:O374),$M$3:$M$300,0),1),".00"),"")</f>
        <v/>
      </c>
      <c r="P374" s="48" t="str">
        <f t="shared" ca="1" si="652"/>
        <v/>
      </c>
      <c r="Q374" s="48">
        <f ca="1">IF(M374&gt;=1,0,MAX($Q$2:Q373)+1)</f>
        <v>335</v>
      </c>
      <c r="U374" s="48" t="str">
        <f ca="1">IFERROR(INDEX(PDC,MATCH(ROWS(U$3:U374),$V$3:$V$400,0),2),"")</f>
        <v/>
      </c>
      <c r="V374" s="48">
        <f ca="1">IF(AND($T$1="VISUALIZZA TUTTI I CONTI",AA374&lt;&gt;""),MAX($V$2:V373)+1,IF(AND($U$2=2,AI374=$T$1),MAX($V$2:V373)+1,IF(AND($U$2=1,$T$1=AF374),MAX($V$2:V373)+1,0)))</f>
        <v>0</v>
      </c>
      <c r="AA374" s="48" t="str">
        <f t="shared" ca="1" si="653"/>
        <v/>
      </c>
      <c r="AB374" s="48" t="str">
        <f ca="1">IFERROR(INDEX($A$3:$G$400,MATCH(ROWS(AB$3:AB374),$Q$3:$Q$400,0),1),"")</f>
        <v/>
      </c>
      <c r="AC374" s="48" t="str">
        <f ca="1">IFERROR(INDEX($A$3:$G$400,MATCH(ROWS($AC$3:AC374),$Q$3:$Q$400,0),2),"")</f>
        <v/>
      </c>
      <c r="AD374" s="48" t="str">
        <f ca="1">IFERROR(INDEX($A$3:$G$400,MATCH(ROWS(AD$3:AD374),$Q$3:$Q$400,0),3),"")</f>
        <v/>
      </c>
      <c r="AE374" s="48" t="str">
        <f ca="1">IFERROR(INDEX($A$3:$G$400,MATCH(ROWS(AE$3:AE374),$Q$3:$Q$400,0),4),"")</f>
        <v/>
      </c>
      <c r="AF374" s="48" t="str">
        <f ca="1">IFERROR(INDEX($A$3:$G$400,MATCH(ROWS(AF$3:AF374),$Q$3:$Q$400,0),5),"")</f>
        <v/>
      </c>
      <c r="AG374" s="48" t="str">
        <f ca="1">IFERROR(INDEX($A$3:$G$400,MATCH(ROWS(AG$3:AG374),$Q$3:$Q$400,0),6),"")</f>
        <v/>
      </c>
      <c r="AH374" s="48" t="str">
        <f ca="1">IFERROR(INDEX($A$3:$G$400,MATCH(ROWS(AH$3:AH374),$Q$3:$Q$400,0),7),"")</f>
        <v/>
      </c>
      <c r="AI374" s="48" t="str">
        <f t="shared" ca="1" si="654"/>
        <v/>
      </c>
      <c r="AJ374" s="48" t="str">
        <f ca="1">IFERROR(INDEX($A$3:$H$400,MATCH(ROWS(AJ$3:AJ374),$Q$3:$Q$400,0),8),"")</f>
        <v/>
      </c>
      <c r="AZ374" s="48" t="str">
        <f t="shared" ca="1" si="710"/>
        <v/>
      </c>
      <c r="BA374" s="48">
        <f t="shared" ca="1" si="697"/>
        <v>0</v>
      </c>
      <c r="BB374" s="48">
        <f t="shared" ca="1" si="698"/>
        <v>0</v>
      </c>
      <c r="BC374" s="48">
        <f t="shared" ca="1" si="699"/>
        <v>0</v>
      </c>
      <c r="BD374" s="48">
        <f t="shared" ca="1" si="700"/>
        <v>0</v>
      </c>
      <c r="BE374" s="48">
        <f t="shared" ca="1" si="701"/>
        <v>0</v>
      </c>
      <c r="BF374" s="48">
        <f t="shared" si="711"/>
        <v>174</v>
      </c>
      <c r="BG374" s="48">
        <f ca="1">IF(IF(AND(OR(INDEX(PDC,MATCH($AC374,DEN_PDC,0),6)="SP DARE",INDEX(PDC,MATCH($AC374,DEN_PDC,0),6)="SP DARE/AVERE"),SUMIFS(DARE,DEN_G,$AC374)&gt;=SUMIFS(AVERE,DEN_G,$AC374)),SUMIFS(DARE,DEN_G,$AC374)-SUMIFS(AVERE,DEN_G,$AC374),0)&gt;0,MAX($BG$2:BG373)+1,0)</f>
        <v>0</v>
      </c>
      <c r="BH374" s="48">
        <f ca="1">IF(IF(AND(OR(INDEX(PDC,MATCH($AC374,DEN_PDC,0),6)="SP AVERE",INDEX(PDC,MATCH($AC374,DEN_PDC,0),6)="SP DARE/AVERE"),SUMIFS(AVERE,DEN_G,$AC374)&gt;=SUMIFS(DARE,DEN_G,$AC374)),SUMIFS(AVERE,DEN_G,$AC374)-SUMIFS(DARE,DEN_G,$AC374),0)&gt;0,MAX(BH$2:BH373)+1,0)</f>
        <v>0</v>
      </c>
      <c r="BI374" s="48">
        <f ca="1">IF(IF(AND(OR(INDEX(PDC,MATCH($AC374,DEN_PDC,0),6)="SE DARE",INDEX(PDC,MATCH($AC374,DEN_PDC,0),6)="SE DARE/AVERE"),SUMIFS(DARE,DEN_G,$AC374)&gt;=SUMIFS(AVERE,DEN_G,$AC374)),SUMIFS(DARE,DEN_G,$AC374)-SUMIFS(AVERE,DEN_G,$AC374),0)&gt;0,MAX(BI$2:BI373)+1,0)</f>
        <v>0</v>
      </c>
      <c r="BJ374" s="48">
        <f ca="1">IF(IF(AND(OR(INDEX(PDC,MATCH($AC374,DEN_PDC,0),6)="SE AVERE",INDEX(PDC,MATCH($AC374,DEN_PDC,0),6)="SE DARE/AVERE"),SUMIFS(AVERE,DEN_G,$AC374)&gt;=SUMIFS(DARE,DEN_G,$AC374)),SUMIFS(AVERE,DEN_G,$AC374)-SUMIFS(DARE,DEN_G,$AC374),0)&gt;0,MAX(BJ$2:BJ373)+1,0)</f>
        <v>0</v>
      </c>
      <c r="BK374" s="48" t="str">
        <f ca="1">IF(AND(AND($DY$2=0,$DY$1=0),$I$1=2,ROW()&gt;$BG$1+2,ROW()&lt;=$BG$1+4),"………………..",IF(AND(OR($DY$2&gt;0,$DY$1&gt;0),$I$1=2,ROW()&gt;$BG$1+2,ROW()&lt;=$BG$1+4),"………………..",IFERROR(INDEX($AC$3:$AC$398,MATCH(ROWS(BK$3:BK374),BG$3:BG$398,0),1),"")))</f>
        <v/>
      </c>
      <c r="BL374" s="48">
        <f t="shared" ca="1" si="637"/>
        <v>0</v>
      </c>
      <c r="BM374" s="48" t="str">
        <f ca="1">IF(AND(OR($DY$2=0,$DY$1=0),$I$1=2,ROW()&gt;$BH$1+2,ROW()&lt;=$BH$1+4),"………………..",IF(AND(OR($DY$2&gt;0,$DY$1&gt;0),$I$1=2,ROW()&gt;$BH$1+2,ROW()&lt;=$BH$1+4),"………………..",IFERROR(INDEX($AC$3:$AC$400,MATCH(ROWS(BM$3:BM374),BH$3:BH$400,0),1),"")))</f>
        <v/>
      </c>
      <c r="BN374" s="48">
        <f t="shared" ca="1" si="638"/>
        <v>0</v>
      </c>
      <c r="BO374" s="48" t="str">
        <f ca="1">IF(AND(OR($DY$2=0,$DY$1=0),$I$1=2,ROW()&gt;$BI$1+2,ROW()&lt;=$BI$1+4),"………………..",IF(AND(OR($DY$2&gt;0,$DY$1&gt;0),$I$1=2,ROW()&gt;$BI$1+2,ROW()&lt;=$BI$1+4),"………………..",IFERROR(INDEX($AC$3:$AC$400,MATCH(ROWS(BO$3:BO374),BI$3:BI$400,0),1),"")))</f>
        <v/>
      </c>
      <c r="BP374" s="48">
        <f t="shared" ca="1" si="639"/>
        <v>0</v>
      </c>
      <c r="BQ374" s="48" t="str">
        <f ca="1">IF(AND(OR($DY$2=0,$DY$1=0),$I$1=2,ROW()&gt;$BJ$1+2,ROW()&lt;=$BJ$1+4),"………………..",IF(AND(OR($DY$2&gt;0,$DY$1&gt;0),$I$1=2,ROW()&gt;$BJ$1+2,ROW()&lt;=$BJ$1+4),"………………..",IFERROR(INDEX($AC$3:$AC$400,MATCH(ROWS(BQ$3:BQ374),BJ$3:BJ$400,0),1),"")))</f>
        <v/>
      </c>
      <c r="BR374" s="48">
        <f t="shared" ca="1" si="640"/>
        <v>0</v>
      </c>
      <c r="BS374" s="48">
        <f ca="1">IF(IF(AND(OR(INDEX(PDC,MATCH($AC374,DEN_PDC,0),4)="D",INDEX(PDC,MATCH($AC374,DEN_PDC,0),4)="D/A"),SUMIFS(DARE,DEN_G,$AC374)&gt;=SUMIFS(AVERE,DEN_G,$AC374)),SUMIFS(DARE,DEN_G,$AC374),IF(AND(OR(INDEX(PDC,MATCH($AC374,DEN_PDC,0),4)="A",INDEX(PDC,MATCH($AC374,DEN_PDC,0),4)="D/A"),SUMIFS(AVERE,DEN_G,$AC374)&gt;=SUMIFS(DARE,DEN_G,$AC374)),SUMIFS(AVERE,DEN_G,$AC374),))&gt;0,MAX($BS$2:BS373)+1,0)</f>
        <v>0</v>
      </c>
      <c r="BT374" s="48" t="str">
        <f ca="1">IF($CO$1=0,"",IF(AND($I$1=2,ROW()&gt;$BR$1,ROW()&lt;=$BS$1)," …………….",IF(AND($E$1=1,$BX$1=1,$I$1=2,ROW()=$BQ$1),"TOTALI",IFERROR(INDEX(PDC,MATCH(ROWS(BT$3:BT374),BS$3:BS771,0),2),""))))</f>
        <v/>
      </c>
      <c r="BU374" s="48">
        <f t="shared" ca="1" si="641"/>
        <v>0</v>
      </c>
      <c r="BV374" s="48">
        <f t="shared" ca="1" si="642"/>
        <v>0</v>
      </c>
      <c r="BW374" s="48">
        <f t="shared" ca="1" si="643"/>
        <v>0</v>
      </c>
      <c r="BX374" s="48">
        <f t="shared" ca="1" si="644"/>
        <v>0</v>
      </c>
      <c r="BY374" s="48">
        <f ca="1">IF(OR(BW374&gt;0,BX374&gt;0),MAX($BY$2:BY373)+1,0)</f>
        <v>0</v>
      </c>
      <c r="BZ374" s="48" t="str">
        <f ca="1">IFERROR(INDEX($BT$3:$BY$400,MATCH(ROWS(BZ$3:BZ374),$BY$3:$BY$400,0),1),"")</f>
        <v/>
      </c>
      <c r="CA374" s="48" t="str">
        <f ca="1">IFERROR(INDEX($BT$3:$BY$400,MATCH(ROWS(CA$3:CA374),$BY$3:$BY$400,0),4),"")</f>
        <v/>
      </c>
      <c r="CB374" s="48" t="str">
        <f ca="1">IFERROR(INDEX($BT$3:$BY$400,MATCH(ROWS(CB$3:CB374),$BY$3:$BY$400,0),5),"")</f>
        <v/>
      </c>
      <c r="CC374" s="48" t="str">
        <f t="shared" ca="1" si="645"/>
        <v/>
      </c>
      <c r="CM374" s="242" t="str">
        <f t="shared" ca="1" si="655"/>
        <v/>
      </c>
      <c r="CN374" s="243">
        <f t="shared" ca="1" si="656"/>
        <v>0</v>
      </c>
      <c r="CO374" s="48" t="str">
        <f t="shared" ca="1" si="657"/>
        <v/>
      </c>
      <c r="CU374" s="48">
        <f ca="1">IF(SUMIFS(AVERE,DEN_G,AC374,AVERE,"&gt;"&amp;0)+SUMIFS(DARE,DEN_G,AC374,DARE,"&gt;"&amp;0)&gt;0,MAX($CU$2:CU373)+1,0)</f>
        <v>0</v>
      </c>
      <c r="CV374" s="48" t="str">
        <f ca="1">IF(IFERROR(INDEX(PDC,MATCH(ROWS($CV$3:CV374),$CU$3:$CU$400,0),2),"")="CONTO DI RISULTATO ECONOMICO","",IFERROR(INDEX(PDC,MATCH(ROWS($CV$3:CV374),$CU$3:$CU$400,0),2),""))</f>
        <v/>
      </c>
      <c r="CW374" s="48">
        <f ca="1">IFERROR(IF(CV374&lt;&gt;"",MAX($CW$2:CW373)+1,0),0)</f>
        <v>0</v>
      </c>
      <c r="CX374" s="48">
        <f t="shared" ca="1" si="704"/>
        <v>29</v>
      </c>
      <c r="CY374" s="48" t="str">
        <f t="shared" ca="1" si="703"/>
        <v>MASTRO</v>
      </c>
      <c r="CZ374" s="48" t="e">
        <f t="shared" ca="1" si="706"/>
        <v>#N/A</v>
      </c>
      <c r="DA374" s="48" t="str">
        <f t="shared" ca="1" si="712"/>
        <v/>
      </c>
      <c r="DB374" s="48" t="str">
        <f t="shared" ca="1" si="682"/>
        <v/>
      </c>
      <c r="DC374" s="48" t="str">
        <f t="shared" ca="1" si="707"/>
        <v/>
      </c>
      <c r="DD374" s="48" t="str">
        <f t="shared" ca="1" si="708"/>
        <v/>
      </c>
      <c r="DE374" s="48" t="str">
        <f t="shared" ca="1" si="709"/>
        <v/>
      </c>
      <c r="DF374" s="48">
        <f ca="1">IF(AND(CX374=$DF$1,CX374&lt;&gt;""),0,IF(AND(DB374&lt;&gt;"",OR(DB373&lt;&gt;"",DB375&lt;&gt;"")),MAX($DF$2:DF373)+1,0))</f>
        <v>0</v>
      </c>
      <c r="DH374" s="244" t="s">
        <v>1030</v>
      </c>
      <c r="DI374" s="48" t="s">
        <v>1031</v>
      </c>
      <c r="DJ374" s="48" t="s">
        <v>311</v>
      </c>
      <c r="DK374" s="48" t="s">
        <v>298</v>
      </c>
      <c r="DL374" s="48" t="s">
        <v>8</v>
      </c>
      <c r="DM374" s="48" t="s">
        <v>300</v>
      </c>
      <c r="DN374" s="48">
        <f ca="1">IF(DI374&lt;&gt;"",MAX($DN$2:DN373)+1,0)</f>
        <v>302</v>
      </c>
      <c r="DO374" s="48" t="s">
        <v>728</v>
      </c>
      <c r="DQ374" s="227" t="s">
        <v>1079</v>
      </c>
      <c r="DR374" s="48" t="s">
        <v>263</v>
      </c>
      <c r="DS374" s="48" t="s">
        <v>311</v>
      </c>
      <c r="DT374" s="48" t="s">
        <v>275</v>
      </c>
      <c r="DU374" s="48" t="s">
        <v>7</v>
      </c>
      <c r="DV374" s="48" t="s">
        <v>301</v>
      </c>
      <c r="DW374" s="48">
        <f ca="1">IF(DR374&lt;&gt;"",MAX($DW$2:DW373)+1,0)</f>
        <v>228</v>
      </c>
      <c r="DX374" s="48" t="s">
        <v>728</v>
      </c>
      <c r="DY374" s="48" t="str">
        <f t="shared" ca="1" si="647"/>
        <v/>
      </c>
      <c r="EL374" s="48">
        <f t="shared" ca="1" si="648"/>
        <v>0</v>
      </c>
      <c r="EM374" s="48">
        <f ca="1">IF(EL374&gt;=0,0,MAX($EM$2:EM373)+1)</f>
        <v>0</v>
      </c>
      <c r="EN374" s="48" t="str">
        <f t="shared" ca="1" si="658"/>
        <v/>
      </c>
      <c r="EO374" s="48" t="str">
        <f ca="1">IFERROR(INDEX($EM$3:$EN$400,MATCH(ROWS($EO$3:EO374),$EM$3:$EM$400,0),2),"")</f>
        <v/>
      </c>
      <c r="EP374" s="48">
        <f>ROW()</f>
        <v>374</v>
      </c>
      <c r="EQ374" s="48">
        <f t="shared" ca="1" si="649"/>
        <v>0</v>
      </c>
      <c r="ER374" s="48">
        <f ca="1">IF(ISNA(EQ374)=TRUE,MAX($ER$2:ER373)+1,0)</f>
        <v>0</v>
      </c>
      <c r="ES374" s="48" t="str">
        <f t="shared" ca="1" si="659"/>
        <v/>
      </c>
      <c r="ET374" s="48" t="str">
        <f ca="1">IFERROR(INDEX($ER$3:$ES$400,MATCH(ROWS($ET$3:ET374),$ER$3:$ER$400,0),2),"")</f>
        <v/>
      </c>
      <c r="EV374" s="48">
        <f ca="1">IFERROR(INDEX(LIBRO_GIORNALE!$O$11:$P$408,MATCH(ROWS($EV$2:EV373),LIBRO_GIORNALE!$P$11:$P$408,0),1),0)</f>
        <v>0</v>
      </c>
      <c r="EW374" s="48" t="str">
        <f t="shared" ca="1" si="629"/>
        <v>0</v>
      </c>
      <c r="EX374" s="48">
        <f t="shared" ca="1" si="660"/>
        <v>0</v>
      </c>
      <c r="EY374" s="48">
        <f ca="1">IF(EX374&gt;0,MAX($EY$2:EY373)+1,0)</f>
        <v>0</v>
      </c>
      <c r="EZ374" s="48">
        <f ca="1">IFERROR(INDEX($EX$3:$EX$400,MATCH(ROWS($EZ$3:EZ374),$EY$3:$EY$400,0),1),0)</f>
        <v>0</v>
      </c>
      <c r="FA374" s="48">
        <f ca="1">IF(EZ374&gt;0,0,MAX($FA$2:FA373)+1)</f>
        <v>372</v>
      </c>
      <c r="FB374" s="48">
        <f t="shared" ca="1" si="630"/>
        <v>0</v>
      </c>
      <c r="FC374" s="48">
        <f t="shared" ca="1" si="631"/>
        <v>372</v>
      </c>
      <c r="FD374" s="48">
        <f t="shared" ca="1" si="661"/>
        <v>372</v>
      </c>
      <c r="FE374" s="48">
        <f ca="1">IF(FD374=0,0,MAX($FE$2:FE373)+1)</f>
        <v>372</v>
      </c>
      <c r="FF374" s="48">
        <f ca="1">IFERROR(INDEX($FD$3:$FE$400,MATCH(ROWS($FF$3:FF374),$FE$3:$FE$400,0),1),"")</f>
        <v>372</v>
      </c>
      <c r="FG374" s="48">
        <f t="shared" si="696"/>
        <v>0</v>
      </c>
      <c r="FH374" s="48">
        <f t="shared" ca="1" si="662"/>
        <v>0</v>
      </c>
      <c r="FI374" s="48">
        <f ca="1">IF(FH374&lt;&gt;0,MAX($FI$2:FI373)+1,0)</f>
        <v>0</v>
      </c>
      <c r="FJ374" s="48" t="str">
        <f ca="1">IFERROR(INDEX($FH$3:$FI$400,MATCH(ROWS($FJ$3:FJ374),$FI$3:$FI$400,0),1),"")</f>
        <v/>
      </c>
      <c r="FK374" s="48">
        <f ca="1">IF(ABS(SUMIFS(DARE,DEN_G,"="&amp;FJ374,DATA,"&lt;="&amp;FINE_AC,DATA,"&gt;="&amp;INIZIO_A_PC)-SUMIFS(AVERE,DEN_G,"="&amp;FJ374,DATA,"&lt;="&amp;FINE_AC,DATA,"&gt;="&amp;INIZIO_A_PC))&gt;0,MAX($FK$2:FK373)+1,0)</f>
        <v>0</v>
      </c>
      <c r="FL374" s="48" t="str">
        <f ca="1">IF(AND(ROW()-2&lt;&gt;1,ROW()-2&lt;=$FK$1),CONCATENATE(" - ",IFERROR(INDEX($FJ$3:$FK$400,MATCH(ROWS($FL$3:FL374),$FK$3:$FK$400,0),1),"")),IFERROR(INDEX($FJ$3:$FK$400,MATCH(ROWS($FL$3:FL374),$FK$3:$FK$400,0),1),""))</f>
        <v/>
      </c>
      <c r="FM374" s="48">
        <f ca="1">IF(OR(B374="IVA ns/credito",B374="IVA NS/DEBITO",B374="IVA C/ACCONTO",B374="IMPOSTE C/ACCONTO",B374="CREDITI PER RITENUTE SUBITE",B374="CREDITI D'IMPOSTA"),MAX($FM$2:FM373)+1,0)</f>
        <v>0</v>
      </c>
      <c r="FN374" s="48" t="str">
        <f t="shared" ca="1" si="663"/>
        <v/>
      </c>
      <c r="FO374" s="48" t="str">
        <f ca="1">IFERROR(INDEX($FM$3:$FN$400,MATCH(ROWS($FO$3:FO374),$FM$3:$FM$400,0),2),"")</f>
        <v/>
      </c>
      <c r="FP374" s="48">
        <f ca="1">IF(ABS(SUMIFS(DARE,DEN_G,"="&amp;FO374,DATA,"&lt;="&amp;FINE_AC,DATA,"&gt;="&amp;INIZIO_A_PC)-SUMIFS(AVERE,DEN_G,"="&amp;FO374,DATA,"&lt;="&amp;FINE_AC,DATA,"&gt;="&amp;INIZIO_A_PC))&gt;0,MAX($FP$2:FP373)+1,0)</f>
        <v>0</v>
      </c>
      <c r="FQ374" s="48" t="str">
        <f ca="1">IF(AND(ROW()-2&lt;&gt;1,ROW()-2&lt;=$FP$1),CONCATENATE(" - ",IFERROR(INDEX($FO$3:$FP$400,MATCH(ROWS($FQ$3:FQ374),$FP$3:$FP$400,0),1),"")),IFERROR(INDEX($FO$3:$FP$400,MATCH(ROWS($FQ$3:FQ374),$FP$3:$FP$400,0),1),""))</f>
        <v/>
      </c>
    </row>
    <row r="375" spans="1:173" x14ac:dyDescent="0.3">
      <c r="A375" s="48" t="str">
        <f ca="1">IFERROR(IF($A$1=2,INDEX($DH$3:$DN$401,MATCH(ROWS(A$3:A375),$DN$3:$DN$401,0),COLUMN()),IF($A$1=1,INDEX($DQ$3:$DW$401,MATCH(ROWS(A$3:A375),$DW$3:$DW$401,0),COLUMN()),"")),"")</f>
        <v/>
      </c>
      <c r="B375" s="48" t="str">
        <f ca="1">IFERROR(IF($A$1=2,INDEX($DH$3:$DN$400,MATCH(ROWS(B$3:B375),$DN$3:$DN$400,0),COLUMN()),IF($A$1=1,INDEX($DQ$3:$DW$400,MATCH(ROWS(B$3:B375),$DW$3:$DW$400,0),COLUMN()),"")),"")</f>
        <v/>
      </c>
      <c r="D375" s="48" t="str">
        <f ca="1">IFERROR(IF($A$1=2,INDEX($DH$3:$DN$401,MATCH(ROWS(D$3:D375),$DN$3:$DN$401,0),COLUMN()),IF($A$1=1,INDEX($DQ$3:$DW$401,MATCH(ROWS(D$3:D375),$DW$3:$DW$401,0),COLUMN()),"")),"")</f>
        <v/>
      </c>
      <c r="E375" s="48" t="str">
        <f ca="1">IFERROR(IF($A$1=2,INDEX($DH$3:$DN$401,MATCH(ROWS(E$3:E375),$DN$3:$DN$401,0),COLUMN()),IF($A$1=1,INDEX($DQ$3:$DW$401,MATCH(ROWS(E$3:E375),$DW$3:$DW$401,0),COLUMN()),"")),"")</f>
        <v/>
      </c>
      <c r="F375" s="48" t="str">
        <f ca="1">IFERROR(IF($A$1=2,INDEX($DH$3:$DN$401,MATCH(ROWS(F$3:F375),$DN$3:$DN$401,0),COLUMN()),IF($A$1=1,INDEX($DQ$3:$DX$401,MATCH(ROWS(F$3:F375),$DW$3:$DW$401,0),COLUMN()),"")),"")</f>
        <v/>
      </c>
      <c r="G375" s="48" t="str">
        <f t="shared" ca="1" si="650"/>
        <v/>
      </c>
      <c r="H375" s="48" t="str">
        <f ca="1">IFERROR(IF($A$1=2,INDEX($DH$3:$DO$400,MATCH(ROWS(H$3:H375),$DN$3:$DN$400,0),COLUMN()),IF($A$1=1,INDEX($DQ$3:$DX$400,MATCH(ROWS(H$3:H375),$DW$3:$DW$400,0),COLUMN()),"")),"")</f>
        <v/>
      </c>
      <c r="M375" s="48">
        <f ca="1">IFERROR(IF(IF(MID($A375,3,3)=".00",MID(A375,1,2),"")&lt;&gt;"",MAX($M$2:M374)+1,0),"")</f>
        <v>0</v>
      </c>
      <c r="N375" s="48" t="str">
        <f t="shared" ca="1" si="651"/>
        <v/>
      </c>
      <c r="O375" s="48" t="str">
        <f ca="1">IF(IFERROR(INDEX($N$3:$O$300,MATCH(ROWS($O$3:O375),$M$3:$M$300,0),1),"")&lt;&gt;"",CONCATENATE(INDEX($N$3:$O$300,MATCH(ROWS($O$3:O375),$M$3:$M$300,0),1),".00"),"")</f>
        <v/>
      </c>
      <c r="P375" s="48" t="str">
        <f t="shared" ca="1" si="652"/>
        <v/>
      </c>
      <c r="Q375" s="48">
        <f ca="1">IF(M375&gt;=1,0,MAX($Q$2:Q374)+1)</f>
        <v>336</v>
      </c>
      <c r="U375" s="48" t="str">
        <f ca="1">IFERROR(INDEX(PDC,MATCH(ROWS(U$3:U375),$V$3:$V$400,0),2),"")</f>
        <v/>
      </c>
      <c r="V375" s="48">
        <f ca="1">IF(AND($T$1="VISUALIZZA TUTTI I CONTI",AA375&lt;&gt;""),MAX($V$2:V374)+1,IF(AND($U$2=2,AI375=$T$1),MAX($V$2:V374)+1,IF(AND($U$2=1,$T$1=AF375),MAX($V$2:V374)+1,0)))</f>
        <v>0</v>
      </c>
      <c r="AA375" s="48" t="str">
        <f t="shared" ca="1" si="653"/>
        <v/>
      </c>
      <c r="AB375" s="48" t="str">
        <f ca="1">IFERROR(INDEX($A$3:$G$400,MATCH(ROWS(AB$3:AB375),$Q$3:$Q$400,0),1),"")</f>
        <v/>
      </c>
      <c r="AC375" s="48" t="str">
        <f ca="1">IFERROR(INDEX($A$3:$G$400,MATCH(ROWS($AC$3:AC375),$Q$3:$Q$400,0),2),"")</f>
        <v/>
      </c>
      <c r="AD375" s="48" t="str">
        <f ca="1">IFERROR(INDEX($A$3:$G$400,MATCH(ROWS(AD$3:AD375),$Q$3:$Q$400,0),3),"")</f>
        <v/>
      </c>
      <c r="AE375" s="48" t="str">
        <f ca="1">IFERROR(INDEX($A$3:$G$400,MATCH(ROWS(AE$3:AE375),$Q$3:$Q$400,0),4),"")</f>
        <v/>
      </c>
      <c r="AF375" s="48" t="str">
        <f ca="1">IFERROR(INDEX($A$3:$G$400,MATCH(ROWS(AF$3:AF375),$Q$3:$Q$400,0),5),"")</f>
        <v/>
      </c>
      <c r="AG375" s="48" t="str">
        <f ca="1">IFERROR(INDEX($A$3:$G$400,MATCH(ROWS(AG$3:AG375),$Q$3:$Q$400,0),6),"")</f>
        <v/>
      </c>
      <c r="AH375" s="48" t="str">
        <f ca="1">IFERROR(INDEX($A$3:$G$400,MATCH(ROWS(AH$3:AH375),$Q$3:$Q$400,0),7),"")</f>
        <v/>
      </c>
      <c r="AI375" s="48" t="str">
        <f t="shared" ca="1" si="654"/>
        <v/>
      </c>
      <c r="AJ375" s="48" t="str">
        <f ca="1">IFERROR(INDEX($A$3:$H$400,MATCH(ROWS(AJ$3:AJ375),$Q$3:$Q$400,0),8),"")</f>
        <v/>
      </c>
      <c r="AZ375" s="48" t="str">
        <f t="shared" ca="1" si="710"/>
        <v/>
      </c>
      <c r="BA375" s="48">
        <f t="shared" ca="1" si="697"/>
        <v>0</v>
      </c>
      <c r="BB375" s="48">
        <f t="shared" ca="1" si="698"/>
        <v>0</v>
      </c>
      <c r="BC375" s="48">
        <f t="shared" ca="1" si="699"/>
        <v>0</v>
      </c>
      <c r="BD375" s="48">
        <f t="shared" ca="1" si="700"/>
        <v>0</v>
      </c>
      <c r="BE375" s="48">
        <f t="shared" ca="1" si="701"/>
        <v>0</v>
      </c>
      <c r="BF375" s="48">
        <f t="shared" si="711"/>
        <v>175</v>
      </c>
      <c r="BG375" s="48">
        <f ca="1">IF(IF(AND(OR(INDEX(PDC,MATCH($AC375,DEN_PDC,0),6)="SP DARE",INDEX(PDC,MATCH($AC375,DEN_PDC,0),6)="SP DARE/AVERE"),SUMIFS(DARE,DEN_G,$AC375)&gt;=SUMIFS(AVERE,DEN_G,$AC375)),SUMIFS(DARE,DEN_G,$AC375)-SUMIFS(AVERE,DEN_G,$AC375),0)&gt;0,MAX($BG$2:BG374)+1,0)</f>
        <v>0</v>
      </c>
      <c r="BH375" s="48">
        <f ca="1">IF(IF(AND(OR(INDEX(PDC,MATCH($AC375,DEN_PDC,0),6)="SP AVERE",INDEX(PDC,MATCH($AC375,DEN_PDC,0),6)="SP DARE/AVERE"),SUMIFS(AVERE,DEN_G,$AC375)&gt;=SUMIFS(DARE,DEN_G,$AC375)),SUMIFS(AVERE,DEN_G,$AC375)-SUMIFS(DARE,DEN_G,$AC375),0)&gt;0,MAX(BH$2:BH374)+1,0)</f>
        <v>0</v>
      </c>
      <c r="BI375" s="48">
        <f ca="1">IF(IF(AND(OR(INDEX(PDC,MATCH($AC375,DEN_PDC,0),6)="SE DARE",INDEX(PDC,MATCH($AC375,DEN_PDC,0),6)="SE DARE/AVERE"),SUMIFS(DARE,DEN_G,$AC375)&gt;=SUMIFS(AVERE,DEN_G,$AC375)),SUMIFS(DARE,DEN_G,$AC375)-SUMIFS(AVERE,DEN_G,$AC375),0)&gt;0,MAX(BI$2:BI374)+1,0)</f>
        <v>0</v>
      </c>
      <c r="BJ375" s="48">
        <f ca="1">IF(IF(AND(OR(INDEX(PDC,MATCH($AC375,DEN_PDC,0),6)="SE AVERE",INDEX(PDC,MATCH($AC375,DEN_PDC,0),6)="SE DARE/AVERE"),SUMIFS(AVERE,DEN_G,$AC375)&gt;=SUMIFS(DARE,DEN_G,$AC375)),SUMIFS(AVERE,DEN_G,$AC375)-SUMIFS(DARE,DEN_G,$AC375),0)&gt;0,MAX(BJ$2:BJ374)+1,0)</f>
        <v>0</v>
      </c>
      <c r="BK375" s="48" t="str">
        <f ca="1">IF(AND(AND($DY$2=0,$DY$1=0),$I$1=2,ROW()&gt;$BG$1+2,ROW()&lt;=$BG$1+4),"………………..",IF(AND(OR($DY$2&gt;0,$DY$1&gt;0),$I$1=2,ROW()&gt;$BG$1+2,ROW()&lt;=$BG$1+4),"………………..",IFERROR(INDEX($AC$3:$AC$398,MATCH(ROWS(BK$3:BK375),BG$3:BG$398,0),1),"")))</f>
        <v/>
      </c>
      <c r="BL375" s="48">
        <f t="shared" ca="1" si="637"/>
        <v>0</v>
      </c>
      <c r="BM375" s="48" t="str">
        <f ca="1">IF(AND(OR($DY$2=0,$DY$1=0),$I$1=2,ROW()&gt;$BH$1+2,ROW()&lt;=$BH$1+4),"………………..",IF(AND(OR($DY$2&gt;0,$DY$1&gt;0),$I$1=2,ROW()&gt;$BH$1+2,ROW()&lt;=$BH$1+4),"………………..",IFERROR(INDEX($AC$3:$AC$400,MATCH(ROWS(BM$3:BM375),BH$3:BH$400,0),1),"")))</f>
        <v/>
      </c>
      <c r="BN375" s="48">
        <f t="shared" ca="1" si="638"/>
        <v>0</v>
      </c>
      <c r="BO375" s="48" t="str">
        <f ca="1">IF(AND(OR($DY$2=0,$DY$1=0),$I$1=2,ROW()&gt;$BI$1+2,ROW()&lt;=$BI$1+4),"………………..",IF(AND(OR($DY$2&gt;0,$DY$1&gt;0),$I$1=2,ROW()&gt;$BI$1+2,ROW()&lt;=$BI$1+4),"………………..",IFERROR(INDEX($AC$3:$AC$400,MATCH(ROWS(BO$3:BO375),BI$3:BI$400,0),1),"")))</f>
        <v/>
      </c>
      <c r="BP375" s="48">
        <f t="shared" ca="1" si="639"/>
        <v>0</v>
      </c>
      <c r="BQ375" s="48" t="str">
        <f ca="1">IF(AND(OR($DY$2=0,$DY$1=0),$I$1=2,ROW()&gt;$BJ$1+2,ROW()&lt;=$BJ$1+4),"………………..",IF(AND(OR($DY$2&gt;0,$DY$1&gt;0),$I$1=2,ROW()&gt;$BJ$1+2,ROW()&lt;=$BJ$1+4),"………………..",IFERROR(INDEX($AC$3:$AC$400,MATCH(ROWS(BQ$3:BQ375),BJ$3:BJ$400,0),1),"")))</f>
        <v/>
      </c>
      <c r="BR375" s="48">
        <f t="shared" ca="1" si="640"/>
        <v>0</v>
      </c>
      <c r="BS375" s="48">
        <f ca="1">IF(IF(AND(OR(INDEX(PDC,MATCH($AC375,DEN_PDC,0),4)="D",INDEX(PDC,MATCH($AC375,DEN_PDC,0),4)="D/A"),SUMIFS(DARE,DEN_G,$AC375)&gt;=SUMIFS(AVERE,DEN_G,$AC375)),SUMIFS(DARE,DEN_G,$AC375),IF(AND(OR(INDEX(PDC,MATCH($AC375,DEN_PDC,0),4)="A",INDEX(PDC,MATCH($AC375,DEN_PDC,0),4)="D/A"),SUMIFS(AVERE,DEN_G,$AC375)&gt;=SUMIFS(DARE,DEN_G,$AC375)),SUMIFS(AVERE,DEN_G,$AC375),))&gt;0,MAX($BS$2:BS374)+1,0)</f>
        <v>0</v>
      </c>
      <c r="BT375" s="48" t="str">
        <f ca="1">IF($CO$1=0,"",IF(AND($I$1=2,ROW()&gt;$BR$1,ROW()&lt;=$BS$1)," …………….",IF(AND($E$1=1,$BX$1=1,$I$1=2,ROW()=$BQ$1),"TOTALI",IFERROR(INDEX(PDC,MATCH(ROWS(BT$3:BT375),BS$3:BS772,0),2),""))))</f>
        <v/>
      </c>
      <c r="BU375" s="48">
        <f t="shared" ca="1" si="641"/>
        <v>0</v>
      </c>
      <c r="BV375" s="48">
        <f t="shared" ca="1" si="642"/>
        <v>0</v>
      </c>
      <c r="BW375" s="48">
        <f t="shared" ca="1" si="643"/>
        <v>0</v>
      </c>
      <c r="BX375" s="48">
        <f t="shared" ca="1" si="644"/>
        <v>0</v>
      </c>
      <c r="BY375" s="48">
        <f ca="1">IF(OR(BW375&gt;0,BX375&gt;0),MAX($BY$2:BY374)+1,0)</f>
        <v>0</v>
      </c>
      <c r="BZ375" s="48" t="str">
        <f ca="1">IFERROR(INDEX($BT$3:$BY$400,MATCH(ROWS(BZ$3:BZ375),$BY$3:$BY$400,0),1),"")</f>
        <v/>
      </c>
      <c r="CA375" s="48" t="str">
        <f ca="1">IFERROR(INDEX($BT$3:$BY$400,MATCH(ROWS(CA$3:CA375),$BY$3:$BY$400,0),4),"")</f>
        <v/>
      </c>
      <c r="CB375" s="48" t="str">
        <f ca="1">IFERROR(INDEX($BT$3:$BY$400,MATCH(ROWS(CB$3:CB375),$BY$3:$BY$400,0),5),"")</f>
        <v/>
      </c>
      <c r="CC375" s="48" t="str">
        <f t="shared" ca="1" si="645"/>
        <v/>
      </c>
      <c r="CM375" s="242" t="str">
        <f t="shared" ca="1" si="655"/>
        <v/>
      </c>
      <c r="CN375" s="243">
        <f t="shared" ca="1" si="656"/>
        <v>0</v>
      </c>
      <c r="CO375" s="48" t="str">
        <f t="shared" ca="1" si="657"/>
        <v/>
      </c>
      <c r="CU375" s="48">
        <f ca="1">IF(SUMIFS(AVERE,DEN_G,AC375,AVERE,"&gt;"&amp;0)+SUMIFS(DARE,DEN_G,AC375,DARE,"&gt;"&amp;0)&gt;0,MAX($CU$2:CU374)+1,0)</f>
        <v>0</v>
      </c>
      <c r="CV375" s="48" t="str">
        <f ca="1">IF(IFERROR(INDEX(PDC,MATCH(ROWS($CV$3:CV375),$CU$3:$CU$400,0),2),"")="CONTO DI RISULTATO ECONOMICO","",IFERROR(INDEX(PDC,MATCH(ROWS($CV$3:CV375),$CU$3:$CU$400,0),2),""))</f>
        <v/>
      </c>
      <c r="CW375" s="48">
        <f ca="1">IFERROR(IF(CV375&lt;&gt;"",MAX($CW$2:CW374)+1,0),0)</f>
        <v>0</v>
      </c>
      <c r="CX375" s="48">
        <f t="shared" ca="1" si="704"/>
        <v>29</v>
      </c>
      <c r="CY375" s="48" t="str">
        <f t="shared" ca="1" si="703"/>
        <v>MASTRO</v>
      </c>
      <c r="CZ375" s="48" t="e">
        <f t="shared" ca="1" si="706"/>
        <v>#N/A</v>
      </c>
      <c r="DA375" s="48" t="str">
        <f t="shared" ca="1" si="712"/>
        <v/>
      </c>
      <c r="DB375" s="48" t="str">
        <f t="shared" ca="1" si="682"/>
        <v/>
      </c>
      <c r="DC375" s="48" t="str">
        <f t="shared" ca="1" si="707"/>
        <v/>
      </c>
      <c r="DD375" s="48" t="str">
        <f t="shared" ca="1" si="708"/>
        <v/>
      </c>
      <c r="DE375" s="48" t="str">
        <f t="shared" ca="1" si="709"/>
        <v/>
      </c>
      <c r="DF375" s="48">
        <f ca="1">IF(AND(CX375=$DF$1,CX375&lt;&gt;""),0,IF(AND(DB375&lt;&gt;"",OR(DB374&lt;&gt;"",DB376&lt;&gt;"")),MAX($DF$2:DF374)+1,0))</f>
        <v>0</v>
      </c>
      <c r="DH375" s="244" t="s">
        <v>913</v>
      </c>
      <c r="DI375" s="228" t="s">
        <v>260</v>
      </c>
      <c r="DN375" s="48">
        <f ca="1">IF(DI375&lt;&gt;"",MAX($DN$2:DN374)+1,0)</f>
        <v>303</v>
      </c>
      <c r="DQ375" s="227" t="s">
        <v>917</v>
      </c>
      <c r="DS375" s="48" t="s">
        <v>311</v>
      </c>
      <c r="DT375" s="48" t="s">
        <v>275</v>
      </c>
      <c r="DU375" s="48" t="s">
        <v>7</v>
      </c>
      <c r="DV375" s="48" t="s">
        <v>301</v>
      </c>
      <c r="DW375" s="48">
        <f>IF(DR375&lt;&gt;"",MAX($DW$2:DW374)+1,0)</f>
        <v>0</v>
      </c>
      <c r="DX375" s="48" t="s">
        <v>728</v>
      </c>
      <c r="DY375" s="48" t="str">
        <f t="shared" ca="1" si="647"/>
        <v/>
      </c>
      <c r="EL375" s="48">
        <f t="shared" ca="1" si="648"/>
        <v>0</v>
      </c>
      <c r="EM375" s="48">
        <f ca="1">IF(EL375&gt;=0,0,MAX($EM$2:EM374)+1)</f>
        <v>0</v>
      </c>
      <c r="EN375" s="48" t="str">
        <f t="shared" ca="1" si="658"/>
        <v/>
      </c>
      <c r="EO375" s="48" t="str">
        <f ca="1">IFERROR(INDEX($EM$3:$EN$400,MATCH(ROWS($EO$3:EO375),$EM$3:$EM$400,0),2),"")</f>
        <v/>
      </c>
      <c r="EP375" s="48">
        <f>ROW()</f>
        <v>375</v>
      </c>
      <c r="EQ375" s="48">
        <f t="shared" ca="1" si="649"/>
        <v>0</v>
      </c>
      <c r="ER375" s="48">
        <f ca="1">IF(ISNA(EQ375)=TRUE,MAX($ER$2:ER374)+1,0)</f>
        <v>0</v>
      </c>
      <c r="ES375" s="48" t="str">
        <f t="shared" ca="1" si="659"/>
        <v/>
      </c>
      <c r="ET375" s="48" t="str">
        <f ca="1">IFERROR(INDEX($ER$3:$ES$400,MATCH(ROWS($ET$3:ET375),$ER$3:$ER$400,0),2),"")</f>
        <v/>
      </c>
      <c r="EV375" s="48">
        <f ca="1">IFERROR(INDEX(LIBRO_GIORNALE!$O$11:$P$408,MATCH(ROWS($EV$2:EV374),LIBRO_GIORNALE!$P$11:$P$408,0),1),0)</f>
        <v>0</v>
      </c>
      <c r="EW375" s="48" t="str">
        <f t="shared" ca="1" si="629"/>
        <v>0</v>
      </c>
      <c r="EX375" s="48">
        <f t="shared" ca="1" si="660"/>
        <v>0</v>
      </c>
      <c r="EY375" s="48">
        <f ca="1">IF(EX375&gt;0,MAX($EY$2:EY374)+1,0)</f>
        <v>0</v>
      </c>
      <c r="EZ375" s="48">
        <f ca="1">IFERROR(INDEX($EX$3:$EX$400,MATCH(ROWS($EZ$3:EZ375),$EY$3:$EY$400,0),1),0)</f>
        <v>0</v>
      </c>
      <c r="FA375" s="48">
        <f ca="1">IF(EZ375&gt;0,0,MAX($FA$2:FA374)+1)</f>
        <v>373</v>
      </c>
      <c r="FB375" s="48">
        <f t="shared" ca="1" si="630"/>
        <v>0</v>
      </c>
      <c r="FC375" s="48">
        <f t="shared" ca="1" si="631"/>
        <v>373</v>
      </c>
      <c r="FD375" s="48">
        <f t="shared" ca="1" si="661"/>
        <v>373</v>
      </c>
      <c r="FE375" s="48">
        <f ca="1">IF(FD375=0,0,MAX($FE$2:FE374)+1)</f>
        <v>373</v>
      </c>
      <c r="FF375" s="48">
        <f ca="1">IFERROR(INDEX($FD$3:$FE$400,MATCH(ROWS($FF$3:FF375),$FE$3:$FE$400,0),1),"")</f>
        <v>373</v>
      </c>
      <c r="FG375" s="48">
        <f t="shared" si="696"/>
        <v>0</v>
      </c>
      <c r="FH375" s="48">
        <f t="shared" ca="1" si="662"/>
        <v>0</v>
      </c>
      <c r="FI375" s="48">
        <f ca="1">IF(FH375&lt;&gt;0,MAX($FI$2:FI374)+1,0)</f>
        <v>0</v>
      </c>
      <c r="FJ375" s="48" t="str">
        <f ca="1">IFERROR(INDEX($FH$3:$FI$400,MATCH(ROWS($FJ$3:FJ375),$FI$3:$FI$400,0),1),"")</f>
        <v/>
      </c>
      <c r="FK375" s="48">
        <f ca="1">IF(ABS(SUMIFS(DARE,DEN_G,"="&amp;FJ375,DATA,"&lt;="&amp;FINE_AC,DATA,"&gt;="&amp;INIZIO_A_PC)-SUMIFS(AVERE,DEN_G,"="&amp;FJ375,DATA,"&lt;="&amp;FINE_AC,DATA,"&gt;="&amp;INIZIO_A_PC))&gt;0,MAX($FK$2:FK374)+1,0)</f>
        <v>0</v>
      </c>
      <c r="FL375" s="48" t="str">
        <f ca="1">IF(AND(ROW()-2&lt;&gt;1,ROW()-2&lt;=$FK$1),CONCATENATE(" - ",IFERROR(INDEX($FJ$3:$FK$400,MATCH(ROWS($FL$3:FL375),$FK$3:$FK$400,0),1),"")),IFERROR(INDEX($FJ$3:$FK$400,MATCH(ROWS($FL$3:FL375),$FK$3:$FK$400,0),1),""))</f>
        <v/>
      </c>
      <c r="FM375" s="48">
        <f ca="1">IF(OR(B375="IVA ns/credito",B375="IVA NS/DEBITO",B375="IVA C/ACCONTO",B375="IMPOSTE C/ACCONTO",B375="CREDITI PER RITENUTE SUBITE",B375="CREDITI D'IMPOSTA"),MAX($FM$2:FM374)+1,0)</f>
        <v>0</v>
      </c>
      <c r="FN375" s="48" t="str">
        <f t="shared" ca="1" si="663"/>
        <v/>
      </c>
      <c r="FO375" s="48" t="str">
        <f ca="1">IFERROR(INDEX($FM$3:$FN$400,MATCH(ROWS($FO$3:FO375),$FM$3:$FM$400,0),2),"")</f>
        <v/>
      </c>
      <c r="FP375" s="48">
        <f ca="1">IF(ABS(SUMIFS(DARE,DEN_G,"="&amp;FO375,DATA,"&lt;="&amp;FINE_AC,DATA,"&gt;="&amp;INIZIO_A_PC)-SUMIFS(AVERE,DEN_G,"="&amp;FO375,DATA,"&lt;="&amp;FINE_AC,DATA,"&gt;="&amp;INIZIO_A_PC))&gt;0,MAX($FP$2:FP374)+1,0)</f>
        <v>0</v>
      </c>
      <c r="FQ375" s="48" t="str">
        <f ca="1">IF(AND(ROW()-2&lt;&gt;1,ROW()-2&lt;=$FP$1),CONCATENATE(" - ",IFERROR(INDEX($FO$3:$FP$400,MATCH(ROWS($FQ$3:FQ375),$FP$3:$FP$400,0),1),"")),IFERROR(INDEX($FO$3:$FP$400,MATCH(ROWS($FQ$3:FQ375),$FP$3:$FP$400,0),1),""))</f>
        <v/>
      </c>
    </row>
    <row r="376" spans="1:173" x14ac:dyDescent="0.3">
      <c r="A376" s="48" t="str">
        <f ca="1">IFERROR(IF($A$1=2,INDEX($DH$3:$DN$401,MATCH(ROWS(A$3:A376),$DN$3:$DN$401,0),COLUMN()),IF($A$1=1,INDEX($DQ$3:$DW$401,MATCH(ROWS(A$3:A376),$DW$3:$DW$401,0),COLUMN()),"")),"")</f>
        <v/>
      </c>
      <c r="B376" s="48" t="str">
        <f ca="1">IFERROR(IF($A$1=2,INDEX($DH$3:$DN$400,MATCH(ROWS(B$3:B376),$DN$3:$DN$400,0),COLUMN()),IF($A$1=1,INDEX($DQ$3:$DW$400,MATCH(ROWS(B$3:B376),$DW$3:$DW$400,0),COLUMN()),"")),"")</f>
        <v/>
      </c>
      <c r="D376" s="48" t="str">
        <f ca="1">IFERROR(IF($A$1=2,INDEX($DH$3:$DN$401,MATCH(ROWS(D$3:D376),$DN$3:$DN$401,0),COLUMN()),IF($A$1=1,INDEX($DQ$3:$DW$401,MATCH(ROWS(D$3:D376),$DW$3:$DW$401,0),COLUMN()),"")),"")</f>
        <v/>
      </c>
      <c r="E376" s="48" t="str">
        <f ca="1">IFERROR(IF($A$1=2,INDEX($DH$3:$DN$401,MATCH(ROWS(E$3:E376),$DN$3:$DN$401,0),COLUMN()),IF($A$1=1,INDEX($DQ$3:$DW$401,MATCH(ROWS(E$3:E376),$DW$3:$DW$401,0),COLUMN()),"")),"")</f>
        <v/>
      </c>
      <c r="F376" s="48" t="str">
        <f ca="1">IFERROR(IF($A$1=2,INDEX($DH$3:$DN$401,MATCH(ROWS(F$3:F376),$DN$3:$DN$401,0),COLUMN()),IF($A$1=1,INDEX($DQ$3:$DX$401,MATCH(ROWS(F$3:F376),$DW$3:$DW$401,0),COLUMN()),"")),"")</f>
        <v/>
      </c>
      <c r="G376" s="48" t="str">
        <f t="shared" ca="1" si="650"/>
        <v/>
      </c>
      <c r="H376" s="48" t="str">
        <f ca="1">IFERROR(IF($A$1=2,INDEX($DH$3:$DO$400,MATCH(ROWS(H$3:H376),$DN$3:$DN$400,0),COLUMN()),IF($A$1=1,INDEX($DQ$3:$DX$400,MATCH(ROWS(H$3:H376),$DW$3:$DW$400,0),COLUMN()),"")),"")</f>
        <v/>
      </c>
      <c r="M376" s="48">
        <f ca="1">IFERROR(IF(IF(MID($A376,3,3)=".00",MID(A376,1,2),"")&lt;&gt;"",MAX($M$2:M375)+1,0),"")</f>
        <v>0</v>
      </c>
      <c r="N376" s="48" t="str">
        <f t="shared" ca="1" si="651"/>
        <v/>
      </c>
      <c r="O376" s="48" t="str">
        <f ca="1">IF(IFERROR(INDEX($N$3:$O$300,MATCH(ROWS($O$3:O376),$M$3:$M$300,0),1),"")&lt;&gt;"",CONCATENATE(INDEX($N$3:$O$300,MATCH(ROWS($O$3:O376),$M$3:$M$300,0),1),".00"),"")</f>
        <v/>
      </c>
      <c r="P376" s="48" t="str">
        <f t="shared" ca="1" si="652"/>
        <v/>
      </c>
      <c r="Q376" s="48">
        <f ca="1">IF(M376&gt;=1,0,MAX($Q$2:Q375)+1)</f>
        <v>337</v>
      </c>
      <c r="U376" s="48" t="str">
        <f ca="1">IFERROR(INDEX(PDC,MATCH(ROWS(U$3:U376),$V$3:$V$400,0),2),"")</f>
        <v/>
      </c>
      <c r="V376" s="48">
        <f ca="1">IF(AND($T$1="VISUALIZZA TUTTI I CONTI",AA376&lt;&gt;""),MAX($V$2:V375)+1,IF(AND($U$2=2,AI376=$T$1),MAX($V$2:V375)+1,IF(AND($U$2=1,$T$1=AF376),MAX($V$2:V375)+1,0)))</f>
        <v>0</v>
      </c>
      <c r="AA376" s="48" t="str">
        <f t="shared" ca="1" si="653"/>
        <v/>
      </c>
      <c r="AB376" s="48" t="str">
        <f ca="1">IFERROR(INDEX($A$3:$G$400,MATCH(ROWS(AB$3:AB376),$Q$3:$Q$400,0),1),"")</f>
        <v/>
      </c>
      <c r="AC376" s="48" t="str">
        <f ca="1">IFERROR(INDEX($A$3:$G$400,MATCH(ROWS($AC$3:AC376),$Q$3:$Q$400,0),2),"")</f>
        <v/>
      </c>
      <c r="AD376" s="48" t="str">
        <f ca="1">IFERROR(INDEX($A$3:$G$400,MATCH(ROWS(AD$3:AD376),$Q$3:$Q$400,0),3),"")</f>
        <v/>
      </c>
      <c r="AE376" s="48" t="str">
        <f ca="1">IFERROR(INDEX($A$3:$G$400,MATCH(ROWS(AE$3:AE376),$Q$3:$Q$400,0),4),"")</f>
        <v/>
      </c>
      <c r="AF376" s="48" t="str">
        <f ca="1">IFERROR(INDEX($A$3:$G$400,MATCH(ROWS(AF$3:AF376),$Q$3:$Q$400,0),5),"")</f>
        <v/>
      </c>
      <c r="AG376" s="48" t="str">
        <f ca="1">IFERROR(INDEX($A$3:$G$400,MATCH(ROWS(AG$3:AG376),$Q$3:$Q$400,0),6),"")</f>
        <v/>
      </c>
      <c r="AH376" s="48" t="str">
        <f ca="1">IFERROR(INDEX($A$3:$G$400,MATCH(ROWS(AH$3:AH376),$Q$3:$Q$400,0),7),"")</f>
        <v/>
      </c>
      <c r="AI376" s="48" t="str">
        <f t="shared" ca="1" si="654"/>
        <v/>
      </c>
      <c r="AJ376" s="48" t="str">
        <f ca="1">IFERROR(INDEX($A$3:$H$400,MATCH(ROWS(AJ$3:AJ376),$Q$3:$Q$400,0),8),"")</f>
        <v/>
      </c>
      <c r="AZ376" s="48" t="str">
        <f t="shared" ca="1" si="710"/>
        <v/>
      </c>
      <c r="BA376" s="48">
        <f t="shared" ca="1" si="697"/>
        <v>0</v>
      </c>
      <c r="BB376" s="48">
        <f t="shared" ca="1" si="698"/>
        <v>0</v>
      </c>
      <c r="BC376" s="48">
        <f t="shared" ca="1" si="699"/>
        <v>0</v>
      </c>
      <c r="BD376" s="48">
        <f t="shared" ca="1" si="700"/>
        <v>0</v>
      </c>
      <c r="BE376" s="48">
        <f t="shared" ca="1" si="701"/>
        <v>0</v>
      </c>
      <c r="BF376" s="48">
        <f t="shared" si="711"/>
        <v>176</v>
      </c>
      <c r="BG376" s="48">
        <f ca="1">IF(IF(AND(OR(INDEX(PDC,MATCH($AC376,DEN_PDC,0),6)="SP DARE",INDEX(PDC,MATCH($AC376,DEN_PDC,0),6)="SP DARE/AVERE"),SUMIFS(DARE,DEN_G,$AC376)&gt;=SUMIFS(AVERE,DEN_G,$AC376)),SUMIFS(DARE,DEN_G,$AC376)-SUMIFS(AVERE,DEN_G,$AC376),0)&gt;0,MAX($BG$2:BG375)+1,0)</f>
        <v>0</v>
      </c>
      <c r="BH376" s="48">
        <f ca="1">IF(IF(AND(OR(INDEX(PDC,MATCH($AC376,DEN_PDC,0),6)="SP AVERE",INDEX(PDC,MATCH($AC376,DEN_PDC,0),6)="SP DARE/AVERE"),SUMIFS(AVERE,DEN_G,$AC376)&gt;=SUMIFS(DARE,DEN_G,$AC376)),SUMIFS(AVERE,DEN_G,$AC376)-SUMIFS(DARE,DEN_G,$AC376),0)&gt;0,MAX(BH$2:BH375)+1,0)</f>
        <v>0</v>
      </c>
      <c r="BI376" s="48">
        <f ca="1">IF(IF(AND(OR(INDEX(PDC,MATCH($AC376,DEN_PDC,0),6)="SE DARE",INDEX(PDC,MATCH($AC376,DEN_PDC,0),6)="SE DARE/AVERE"),SUMIFS(DARE,DEN_G,$AC376)&gt;=SUMIFS(AVERE,DEN_G,$AC376)),SUMIFS(DARE,DEN_G,$AC376)-SUMIFS(AVERE,DEN_G,$AC376),0)&gt;0,MAX(BI$2:BI375)+1,0)</f>
        <v>0</v>
      </c>
      <c r="BJ376" s="48">
        <f ca="1">IF(IF(AND(OR(INDEX(PDC,MATCH($AC376,DEN_PDC,0),6)="SE AVERE",INDEX(PDC,MATCH($AC376,DEN_PDC,0),6)="SE DARE/AVERE"),SUMIFS(AVERE,DEN_G,$AC376)&gt;=SUMIFS(DARE,DEN_G,$AC376)),SUMIFS(AVERE,DEN_G,$AC376)-SUMIFS(DARE,DEN_G,$AC376),0)&gt;0,MAX(BJ$2:BJ375)+1,0)</f>
        <v>0</v>
      </c>
      <c r="BK376" s="48" t="str">
        <f ca="1">IF(AND(AND($DY$2=0,$DY$1=0),$I$1=2,ROW()&gt;$BG$1+2,ROW()&lt;=$BG$1+4),"………………..",IF(AND(OR($DY$2&gt;0,$DY$1&gt;0),$I$1=2,ROW()&gt;$BG$1+2,ROW()&lt;=$BG$1+4),"………………..",IFERROR(INDEX($AC$3:$AC$398,MATCH(ROWS(BK$3:BK376),BG$3:BG$398,0),1),"")))</f>
        <v/>
      </c>
      <c r="BL376" s="48">
        <f t="shared" ca="1" si="637"/>
        <v>0</v>
      </c>
      <c r="BM376" s="48" t="str">
        <f ca="1">IF(AND(OR($DY$2=0,$DY$1=0),$I$1=2,ROW()&gt;$BH$1+2,ROW()&lt;=$BH$1+4),"………………..",IF(AND(OR($DY$2&gt;0,$DY$1&gt;0),$I$1=2,ROW()&gt;$BH$1+2,ROW()&lt;=$BH$1+4),"………………..",IFERROR(INDEX($AC$3:$AC$400,MATCH(ROWS(BM$3:BM376),BH$3:BH$400,0),1),"")))</f>
        <v/>
      </c>
      <c r="BN376" s="48">
        <f t="shared" ca="1" si="638"/>
        <v>0</v>
      </c>
      <c r="BO376" s="48" t="str">
        <f ca="1">IF(AND(OR($DY$2=0,$DY$1=0),$I$1=2,ROW()&gt;$BI$1+2,ROW()&lt;=$BI$1+4),"………………..",IF(AND(OR($DY$2&gt;0,$DY$1&gt;0),$I$1=2,ROW()&gt;$BI$1+2,ROW()&lt;=$BI$1+4),"………………..",IFERROR(INDEX($AC$3:$AC$400,MATCH(ROWS(BO$3:BO376),BI$3:BI$400,0),1),"")))</f>
        <v/>
      </c>
      <c r="BP376" s="48">
        <f t="shared" ca="1" si="639"/>
        <v>0</v>
      </c>
      <c r="BQ376" s="48" t="str">
        <f ca="1">IF(AND(OR($DY$2=0,$DY$1=0),$I$1=2,ROW()&gt;$BJ$1+2,ROW()&lt;=$BJ$1+4),"………………..",IF(AND(OR($DY$2&gt;0,$DY$1&gt;0),$I$1=2,ROW()&gt;$BJ$1+2,ROW()&lt;=$BJ$1+4),"………………..",IFERROR(INDEX($AC$3:$AC$400,MATCH(ROWS(BQ$3:BQ376),BJ$3:BJ$400,0),1),"")))</f>
        <v/>
      </c>
      <c r="BR376" s="48">
        <f t="shared" ca="1" si="640"/>
        <v>0</v>
      </c>
      <c r="BS376" s="48">
        <f ca="1">IF(IF(AND(OR(INDEX(PDC,MATCH($AC376,DEN_PDC,0),4)="D",INDEX(PDC,MATCH($AC376,DEN_PDC,0),4)="D/A"),SUMIFS(DARE,DEN_G,$AC376)&gt;=SUMIFS(AVERE,DEN_G,$AC376)),SUMIFS(DARE,DEN_G,$AC376),IF(AND(OR(INDEX(PDC,MATCH($AC376,DEN_PDC,0),4)="A",INDEX(PDC,MATCH($AC376,DEN_PDC,0),4)="D/A"),SUMIFS(AVERE,DEN_G,$AC376)&gt;=SUMIFS(DARE,DEN_G,$AC376)),SUMIFS(AVERE,DEN_G,$AC376),))&gt;0,MAX($BS$2:BS375)+1,0)</f>
        <v>0</v>
      </c>
      <c r="BT376" s="48" t="str">
        <f ca="1">IF($CO$1=0,"",IF(AND($I$1=2,ROW()&gt;$BR$1,ROW()&lt;=$BS$1)," …………….",IF(AND($E$1=1,$BX$1=1,$I$1=2,ROW()=$BQ$1),"TOTALI",IFERROR(INDEX(PDC,MATCH(ROWS(BT$3:BT376),BS$3:BS773,0),2),""))))</f>
        <v/>
      </c>
      <c r="BU376" s="48">
        <f t="shared" ca="1" si="641"/>
        <v>0</v>
      </c>
      <c r="BV376" s="48">
        <f t="shared" ca="1" si="642"/>
        <v>0</v>
      </c>
      <c r="BW376" s="48">
        <f t="shared" ca="1" si="643"/>
        <v>0</v>
      </c>
      <c r="BX376" s="48">
        <f t="shared" ca="1" si="644"/>
        <v>0</v>
      </c>
      <c r="BY376" s="48">
        <f ca="1">IF(OR(BW376&gt;0,BX376&gt;0),MAX($BY$2:BY375)+1,0)</f>
        <v>0</v>
      </c>
      <c r="BZ376" s="48" t="str">
        <f ca="1">IFERROR(INDEX($BT$3:$BY$400,MATCH(ROWS(BZ$3:BZ376),$BY$3:$BY$400,0),1),"")</f>
        <v/>
      </c>
      <c r="CA376" s="48" t="str">
        <f ca="1">IFERROR(INDEX($BT$3:$BY$400,MATCH(ROWS(CA$3:CA376),$BY$3:$BY$400,0),4),"")</f>
        <v/>
      </c>
      <c r="CB376" s="48" t="str">
        <f ca="1">IFERROR(INDEX($BT$3:$BY$400,MATCH(ROWS(CB$3:CB376),$BY$3:$BY$400,0),5),"")</f>
        <v/>
      </c>
      <c r="CC376" s="48" t="str">
        <f t="shared" ca="1" si="645"/>
        <v/>
      </c>
      <c r="CM376" s="242" t="str">
        <f t="shared" ca="1" si="655"/>
        <v/>
      </c>
      <c r="CN376" s="243">
        <f t="shared" ca="1" si="656"/>
        <v>0</v>
      </c>
      <c r="CO376" s="48" t="str">
        <f t="shared" ca="1" si="657"/>
        <v/>
      </c>
      <c r="CU376" s="48">
        <f ca="1">IF(SUMIFS(AVERE,DEN_G,AC376,AVERE,"&gt;"&amp;0)+SUMIFS(DARE,DEN_G,AC376,DARE,"&gt;"&amp;0)&gt;0,MAX($CU$2:CU375)+1,0)</f>
        <v>0</v>
      </c>
      <c r="CV376" s="48" t="str">
        <f ca="1">IF(IFERROR(INDEX(PDC,MATCH(ROWS($CV$3:CV376),$CU$3:$CU$400,0),2),"")="CONTO DI RISULTATO ECONOMICO","",IFERROR(INDEX(PDC,MATCH(ROWS($CV$3:CV376),$CU$3:$CU$400,0),2),""))</f>
        <v/>
      </c>
      <c r="CW376" s="48">
        <f ca="1">IFERROR(IF(CV376&lt;&gt;"",MAX($CW$2:CW375)+1,0),0)</f>
        <v>0</v>
      </c>
      <c r="CX376" s="48">
        <f t="shared" ca="1" si="704"/>
        <v>29</v>
      </c>
      <c r="CY376" s="48" t="str">
        <f t="shared" ca="1" si="703"/>
        <v>MASTRO</v>
      </c>
      <c r="CZ376" s="48" t="e">
        <f t="shared" ca="1" si="706"/>
        <v>#N/A</v>
      </c>
      <c r="DA376" s="48" t="str">
        <f t="shared" ca="1" si="712"/>
        <v/>
      </c>
      <c r="DB376" s="48" t="str">
        <f t="shared" ca="1" si="682"/>
        <v/>
      </c>
      <c r="DC376" s="48" t="str">
        <f t="shared" ca="1" si="707"/>
        <v/>
      </c>
      <c r="DD376" s="48" t="str">
        <f t="shared" ca="1" si="708"/>
        <v/>
      </c>
      <c r="DE376" s="48" t="str">
        <f t="shared" ca="1" si="709"/>
        <v/>
      </c>
      <c r="DF376" s="48">
        <f ca="1">IF(AND(CX376=$DF$1,CX376&lt;&gt;""),0,IF(AND(DB376&lt;&gt;"",OR(DB375&lt;&gt;"",DB377&lt;&gt;"")),MAX($DF$2:DF375)+1,0))</f>
        <v>0</v>
      </c>
      <c r="DH376" s="244" t="s">
        <v>914</v>
      </c>
      <c r="DI376" s="48" t="s">
        <v>1078</v>
      </c>
      <c r="DJ376" s="48" t="s">
        <v>311</v>
      </c>
      <c r="DK376" s="48" t="s">
        <v>275</v>
      </c>
      <c r="DL376" s="48" t="s">
        <v>7</v>
      </c>
      <c r="DM376" s="48" t="s">
        <v>301</v>
      </c>
      <c r="DN376" s="48">
        <f ca="1">IF(DI376&lt;&gt;"",MAX($DN$2:DN375)+1,0)</f>
        <v>304</v>
      </c>
      <c r="DO376" s="48" t="s">
        <v>728</v>
      </c>
      <c r="DQ376" s="227" t="s">
        <v>917</v>
      </c>
      <c r="DR376" s="48" t="s">
        <v>264</v>
      </c>
      <c r="DS376" s="48" t="s">
        <v>311</v>
      </c>
      <c r="DT376" s="48" t="s">
        <v>275</v>
      </c>
      <c r="DU376" s="48" t="s">
        <v>7</v>
      </c>
      <c r="DV376" s="48" t="s">
        <v>301</v>
      </c>
      <c r="DW376" s="48">
        <f ca="1">IF(DR376&lt;&gt;"",MAX($DW$2:DW375)+1,0)</f>
        <v>229</v>
      </c>
      <c r="DX376" s="48" t="s">
        <v>728</v>
      </c>
      <c r="DY376" s="48" t="str">
        <f t="shared" ca="1" si="647"/>
        <v/>
      </c>
      <c r="EL376" s="48">
        <f t="shared" ca="1" si="648"/>
        <v>0</v>
      </c>
      <c r="EM376" s="48">
        <f ca="1">IF(EL376&gt;=0,0,MAX($EM$2:EM375)+1)</f>
        <v>0</v>
      </c>
      <c r="EN376" s="48" t="str">
        <f t="shared" ca="1" si="658"/>
        <v/>
      </c>
      <c r="EO376" s="48" t="str">
        <f ca="1">IFERROR(INDEX($EM$3:$EN$400,MATCH(ROWS($EO$3:EO376),$EM$3:$EM$400,0),2),"")</f>
        <v/>
      </c>
      <c r="EP376" s="48">
        <f>ROW()</f>
        <v>376</v>
      </c>
      <c r="EQ376" s="48">
        <f t="shared" ca="1" si="649"/>
        <v>0</v>
      </c>
      <c r="ER376" s="48">
        <f ca="1">IF(ISNA(EQ376)=TRUE,MAX($ER$2:ER375)+1,0)</f>
        <v>0</v>
      </c>
      <c r="ES376" s="48" t="str">
        <f t="shared" ca="1" si="659"/>
        <v/>
      </c>
      <c r="ET376" s="48" t="str">
        <f ca="1">IFERROR(INDEX($ER$3:$ES$400,MATCH(ROWS($ET$3:ET376),$ER$3:$ER$400,0),2),"")</f>
        <v/>
      </c>
      <c r="EV376" s="48">
        <f ca="1">IFERROR(INDEX(LIBRO_GIORNALE!$O$11:$P$408,MATCH(ROWS($EV$2:EV375),LIBRO_GIORNALE!$P$11:$P$408,0),1),0)</f>
        <v>0</v>
      </c>
      <c r="EW376" s="48" t="str">
        <f t="shared" ca="1" si="629"/>
        <v>0</v>
      </c>
      <c r="EX376" s="48">
        <f t="shared" ca="1" si="660"/>
        <v>0</v>
      </c>
      <c r="EY376" s="48">
        <f ca="1">IF(EX376&gt;0,MAX($EY$2:EY375)+1,0)</f>
        <v>0</v>
      </c>
      <c r="EZ376" s="48">
        <f ca="1">IFERROR(INDEX($EX$3:$EX$400,MATCH(ROWS($EZ$3:EZ376),$EY$3:$EY$400,0),1),0)</f>
        <v>0</v>
      </c>
      <c r="FA376" s="48">
        <f ca="1">IF(EZ376&gt;0,0,MAX($FA$2:FA375)+1)</f>
        <v>374</v>
      </c>
      <c r="FB376" s="48">
        <f t="shared" ca="1" si="630"/>
        <v>0</v>
      </c>
      <c r="FC376" s="48">
        <f t="shared" ca="1" si="631"/>
        <v>374</v>
      </c>
      <c r="FD376" s="48">
        <f t="shared" ca="1" si="661"/>
        <v>374</v>
      </c>
      <c r="FE376" s="48">
        <f ca="1">IF(FD376=0,0,MAX($FE$2:FE375)+1)</f>
        <v>374</v>
      </c>
      <c r="FF376" s="48">
        <f ca="1">IFERROR(INDEX($FD$3:$FE$400,MATCH(ROWS($FF$3:FF376),$FE$3:$FE$400,0),1),"")</f>
        <v>374</v>
      </c>
      <c r="FG376" s="48">
        <f t="shared" si="696"/>
        <v>0</v>
      </c>
      <c r="FH376" s="48">
        <f t="shared" ca="1" si="662"/>
        <v>0</v>
      </c>
      <c r="FI376" s="48">
        <f ca="1">IF(FH376&lt;&gt;0,MAX($FI$2:FI375)+1,0)</f>
        <v>0</v>
      </c>
      <c r="FJ376" s="48" t="str">
        <f ca="1">IFERROR(INDEX($FH$3:$FI$400,MATCH(ROWS($FJ$3:FJ376),$FI$3:$FI$400,0),1),"")</f>
        <v/>
      </c>
      <c r="FK376" s="48">
        <f ca="1">IF(ABS(SUMIFS(DARE,DEN_G,"="&amp;FJ376,DATA,"&lt;="&amp;FINE_AC,DATA,"&gt;="&amp;INIZIO_A_PC)-SUMIFS(AVERE,DEN_G,"="&amp;FJ376,DATA,"&lt;="&amp;FINE_AC,DATA,"&gt;="&amp;INIZIO_A_PC))&gt;0,MAX($FK$2:FK375)+1,0)</f>
        <v>0</v>
      </c>
      <c r="FL376" s="48" t="str">
        <f ca="1">IF(AND(ROW()-2&lt;&gt;1,ROW()-2&lt;=$FK$1),CONCATENATE(" - ",IFERROR(INDEX($FJ$3:$FK$400,MATCH(ROWS($FL$3:FL376),$FK$3:$FK$400,0),1),"")),IFERROR(INDEX($FJ$3:$FK$400,MATCH(ROWS($FL$3:FL376),$FK$3:$FK$400,0),1),""))</f>
        <v/>
      </c>
      <c r="FM376" s="48">
        <f ca="1">IF(OR(B376="IVA ns/credito",B376="IVA NS/DEBITO",B376="IVA C/ACCONTO",B376="IMPOSTE C/ACCONTO",B376="CREDITI PER RITENUTE SUBITE",B376="CREDITI D'IMPOSTA"),MAX($FM$2:FM375)+1,0)</f>
        <v>0</v>
      </c>
      <c r="FN376" s="48" t="str">
        <f t="shared" ca="1" si="663"/>
        <v/>
      </c>
      <c r="FO376" s="48" t="str">
        <f ca="1">IFERROR(INDEX($FM$3:$FN$400,MATCH(ROWS($FO$3:FO376),$FM$3:$FM$400,0),2),"")</f>
        <v/>
      </c>
      <c r="FP376" s="48">
        <f ca="1">IF(ABS(SUMIFS(DARE,DEN_G,"="&amp;FO376,DATA,"&lt;="&amp;FINE_AC,DATA,"&gt;="&amp;INIZIO_A_PC)-SUMIFS(AVERE,DEN_G,"="&amp;FO376,DATA,"&lt;="&amp;FINE_AC,DATA,"&gt;="&amp;INIZIO_A_PC))&gt;0,MAX($FP$2:FP375)+1,0)</f>
        <v>0</v>
      </c>
      <c r="FQ376" s="48" t="str">
        <f ca="1">IF(AND(ROW()-2&lt;&gt;1,ROW()-2&lt;=$FP$1),CONCATENATE(" - ",IFERROR(INDEX($FO$3:$FP$400,MATCH(ROWS($FQ$3:FQ376),$FP$3:$FP$400,0),1),"")),IFERROR(INDEX($FO$3:$FP$400,MATCH(ROWS($FQ$3:FQ376),$FP$3:$FP$400,0),1),""))</f>
        <v/>
      </c>
    </row>
    <row r="377" spans="1:173" x14ac:dyDescent="0.3">
      <c r="A377" s="48" t="str">
        <f ca="1">IFERROR(IF($A$1=2,INDEX($DH$3:$DN$401,MATCH(ROWS(A$3:A377),$DN$3:$DN$401,0),COLUMN()),IF($A$1=1,INDEX($DQ$3:$DW$401,MATCH(ROWS(A$3:A377),$DW$3:$DW$401,0),COLUMN()),"")),"")</f>
        <v/>
      </c>
      <c r="B377" s="48" t="str">
        <f ca="1">IFERROR(IF($A$1=2,INDEX($DH$3:$DN$400,MATCH(ROWS(B$3:B377),$DN$3:$DN$400,0),COLUMN()),IF($A$1=1,INDEX($DQ$3:$DW$400,MATCH(ROWS(B$3:B377),$DW$3:$DW$400,0),COLUMN()),"")),"")</f>
        <v/>
      </c>
      <c r="D377" s="48" t="str">
        <f ca="1">IFERROR(IF($A$1=2,INDEX($DH$3:$DN$401,MATCH(ROWS(D$3:D377),$DN$3:$DN$401,0),COLUMN()),IF($A$1=1,INDEX($DQ$3:$DW$401,MATCH(ROWS(D$3:D377),$DW$3:$DW$401,0),COLUMN()),"")),"")</f>
        <v/>
      </c>
      <c r="E377" s="48" t="str">
        <f ca="1">IFERROR(IF($A$1=2,INDEX($DH$3:$DN$401,MATCH(ROWS(E$3:E377),$DN$3:$DN$401,0),COLUMN()),IF($A$1=1,INDEX($DQ$3:$DW$401,MATCH(ROWS(E$3:E377),$DW$3:$DW$401,0),COLUMN()),"")),"")</f>
        <v/>
      </c>
      <c r="F377" s="48" t="str">
        <f ca="1">IFERROR(IF($A$1=2,INDEX($DH$3:$DN$401,MATCH(ROWS(F$3:F377),$DN$3:$DN$401,0),COLUMN()),IF($A$1=1,INDEX($DQ$3:$DX$401,MATCH(ROWS(F$3:F377),$DW$3:$DW$401,0),COLUMN()),"")),"")</f>
        <v/>
      </c>
      <c r="G377" s="48" t="str">
        <f t="shared" ca="1" si="650"/>
        <v/>
      </c>
      <c r="H377" s="48" t="str">
        <f ca="1">IFERROR(IF($A$1=2,INDEX($DH$3:$DO$400,MATCH(ROWS(H$3:H377),$DN$3:$DN$400,0),COLUMN()),IF($A$1=1,INDEX($DQ$3:$DX$400,MATCH(ROWS(H$3:H377),$DW$3:$DW$400,0),COLUMN()),"")),"")</f>
        <v/>
      </c>
      <c r="M377" s="48">
        <f ca="1">IFERROR(IF(IF(MID($A377,3,3)=".00",MID(A377,1,2),"")&lt;&gt;"",MAX($M$2:M376)+1,0),"")</f>
        <v>0</v>
      </c>
      <c r="N377" s="48" t="str">
        <f t="shared" ca="1" si="651"/>
        <v/>
      </c>
      <c r="O377" s="48" t="str">
        <f ca="1">IF(IFERROR(INDEX($N$3:$O$300,MATCH(ROWS($O$3:O377),$M$3:$M$300,0),1),"")&lt;&gt;"",CONCATENATE(INDEX($N$3:$O$300,MATCH(ROWS($O$3:O377),$M$3:$M$300,0),1),".00"),"")</f>
        <v/>
      </c>
      <c r="P377" s="48" t="str">
        <f t="shared" ca="1" si="652"/>
        <v/>
      </c>
      <c r="Q377" s="48">
        <f ca="1">IF(M377&gt;=1,0,MAX($Q$2:Q376)+1)</f>
        <v>338</v>
      </c>
      <c r="U377" s="48" t="str">
        <f ca="1">IFERROR(INDEX(PDC,MATCH(ROWS(U$3:U377),$V$3:$V$400,0),2),"")</f>
        <v/>
      </c>
      <c r="V377" s="48">
        <f ca="1">IF(AND($T$1="VISUALIZZA TUTTI I CONTI",AA377&lt;&gt;""),MAX($V$2:V376)+1,IF(AND($U$2=2,AI377=$T$1),MAX($V$2:V376)+1,IF(AND($U$2=1,$T$1=AF377),MAX($V$2:V376)+1,0)))</f>
        <v>0</v>
      </c>
      <c r="AA377" s="48" t="str">
        <f t="shared" ca="1" si="653"/>
        <v/>
      </c>
      <c r="AB377" s="48" t="str">
        <f ca="1">IFERROR(INDEX($A$3:$G$400,MATCH(ROWS(AB$3:AB377),$Q$3:$Q$400,0),1),"")</f>
        <v/>
      </c>
      <c r="AC377" s="48" t="str">
        <f ca="1">IFERROR(INDEX($A$3:$G$400,MATCH(ROWS($AC$3:AC377),$Q$3:$Q$400,0),2),"")</f>
        <v/>
      </c>
      <c r="AD377" s="48" t="str">
        <f ca="1">IFERROR(INDEX($A$3:$G$400,MATCH(ROWS(AD$3:AD377),$Q$3:$Q$400,0),3),"")</f>
        <v/>
      </c>
      <c r="AE377" s="48" t="str">
        <f ca="1">IFERROR(INDEX($A$3:$G$400,MATCH(ROWS(AE$3:AE377),$Q$3:$Q$400,0),4),"")</f>
        <v/>
      </c>
      <c r="AF377" s="48" t="str">
        <f ca="1">IFERROR(INDEX($A$3:$G$400,MATCH(ROWS(AF$3:AF377),$Q$3:$Q$400,0),5),"")</f>
        <v/>
      </c>
      <c r="AG377" s="48" t="str">
        <f ca="1">IFERROR(INDEX($A$3:$G$400,MATCH(ROWS(AG$3:AG377),$Q$3:$Q$400,0),6),"")</f>
        <v/>
      </c>
      <c r="AH377" s="48" t="str">
        <f ca="1">IFERROR(INDEX($A$3:$G$400,MATCH(ROWS(AH$3:AH377),$Q$3:$Q$400,0),7),"")</f>
        <v/>
      </c>
      <c r="AI377" s="48" t="str">
        <f t="shared" ca="1" si="654"/>
        <v/>
      </c>
      <c r="AJ377" s="48" t="str">
        <f ca="1">IFERROR(INDEX($A$3:$H$400,MATCH(ROWS(AJ$3:AJ377),$Q$3:$Q$400,0),8),"")</f>
        <v/>
      </c>
      <c r="AZ377" s="48" t="str">
        <f t="shared" ca="1" si="710"/>
        <v/>
      </c>
      <c r="BA377" s="48">
        <f t="shared" ca="1" si="697"/>
        <v>0</v>
      </c>
      <c r="BB377" s="48">
        <f t="shared" ca="1" si="698"/>
        <v>0</v>
      </c>
      <c r="BC377" s="48">
        <f t="shared" ca="1" si="699"/>
        <v>0</v>
      </c>
      <c r="BD377" s="48">
        <f t="shared" ca="1" si="700"/>
        <v>0</v>
      </c>
      <c r="BE377" s="48">
        <f t="shared" ca="1" si="701"/>
        <v>0</v>
      </c>
      <c r="BF377" s="48">
        <f t="shared" si="711"/>
        <v>177</v>
      </c>
      <c r="BG377" s="48">
        <f ca="1">IF(IF(AND(OR(INDEX(PDC,MATCH($AC377,DEN_PDC,0),6)="SP DARE",INDEX(PDC,MATCH($AC377,DEN_PDC,0),6)="SP DARE/AVERE"),SUMIFS(DARE,DEN_G,$AC377)&gt;=SUMIFS(AVERE,DEN_G,$AC377)),SUMIFS(DARE,DEN_G,$AC377)-SUMIFS(AVERE,DEN_G,$AC377),0)&gt;0,MAX($BG$2:BG376)+1,0)</f>
        <v>0</v>
      </c>
      <c r="BH377" s="48">
        <f ca="1">IF(IF(AND(OR(INDEX(PDC,MATCH($AC377,DEN_PDC,0),6)="SP AVERE",INDEX(PDC,MATCH($AC377,DEN_PDC,0),6)="SP DARE/AVERE"),SUMIFS(AVERE,DEN_G,$AC377)&gt;=SUMIFS(DARE,DEN_G,$AC377)),SUMIFS(AVERE,DEN_G,$AC377)-SUMIFS(DARE,DEN_G,$AC377),0)&gt;0,MAX(BH$2:BH376)+1,0)</f>
        <v>0</v>
      </c>
      <c r="BI377" s="48">
        <f ca="1">IF(IF(AND(OR(INDEX(PDC,MATCH($AC377,DEN_PDC,0),6)="SE DARE",INDEX(PDC,MATCH($AC377,DEN_PDC,0),6)="SE DARE/AVERE"),SUMIFS(DARE,DEN_G,$AC377)&gt;=SUMIFS(AVERE,DEN_G,$AC377)),SUMIFS(DARE,DEN_G,$AC377)-SUMIFS(AVERE,DEN_G,$AC377),0)&gt;0,MAX(BI$2:BI376)+1,0)</f>
        <v>0</v>
      </c>
      <c r="BJ377" s="48">
        <f ca="1">IF(IF(AND(OR(INDEX(PDC,MATCH($AC377,DEN_PDC,0),6)="SE AVERE",INDEX(PDC,MATCH($AC377,DEN_PDC,0),6)="SE DARE/AVERE"),SUMIFS(AVERE,DEN_G,$AC377)&gt;=SUMIFS(DARE,DEN_G,$AC377)),SUMIFS(AVERE,DEN_G,$AC377)-SUMIFS(DARE,DEN_G,$AC377),0)&gt;0,MAX(BJ$2:BJ376)+1,0)</f>
        <v>0</v>
      </c>
      <c r="BK377" s="48" t="str">
        <f ca="1">IF(AND(AND($DY$2=0,$DY$1=0),$I$1=2,ROW()&gt;$BG$1+2,ROW()&lt;=$BG$1+4),"………………..",IF(AND(OR($DY$2&gt;0,$DY$1&gt;0),$I$1=2,ROW()&gt;$BG$1+2,ROW()&lt;=$BG$1+4),"………………..",IFERROR(INDEX($AC$3:$AC$398,MATCH(ROWS(BK$3:BK377),BG$3:BG$398,0),1),"")))</f>
        <v/>
      </c>
      <c r="BL377" s="48">
        <f t="shared" ca="1" si="637"/>
        <v>0</v>
      </c>
      <c r="BM377" s="48" t="str">
        <f ca="1">IF(AND(OR($DY$2=0,$DY$1=0),$I$1=2,ROW()&gt;$BH$1+2,ROW()&lt;=$BH$1+4),"………………..",IF(AND(OR($DY$2&gt;0,$DY$1&gt;0),$I$1=2,ROW()&gt;$BH$1+2,ROW()&lt;=$BH$1+4),"………………..",IFERROR(INDEX($AC$3:$AC$400,MATCH(ROWS(BM$3:BM377),BH$3:BH$400,0),1),"")))</f>
        <v/>
      </c>
      <c r="BN377" s="48">
        <f t="shared" ca="1" si="638"/>
        <v>0</v>
      </c>
      <c r="BO377" s="48" t="str">
        <f ca="1">IF(AND(OR($DY$2=0,$DY$1=0),$I$1=2,ROW()&gt;$BI$1+2,ROW()&lt;=$BI$1+4),"………………..",IF(AND(OR($DY$2&gt;0,$DY$1&gt;0),$I$1=2,ROW()&gt;$BI$1+2,ROW()&lt;=$BI$1+4),"………………..",IFERROR(INDEX($AC$3:$AC$400,MATCH(ROWS(BO$3:BO377),BI$3:BI$400,0),1),"")))</f>
        <v/>
      </c>
      <c r="BP377" s="48">
        <f t="shared" ca="1" si="639"/>
        <v>0</v>
      </c>
      <c r="BQ377" s="48" t="str">
        <f ca="1">IF(AND(OR($DY$2=0,$DY$1=0),$I$1=2,ROW()&gt;$BJ$1+2,ROW()&lt;=$BJ$1+4),"………………..",IF(AND(OR($DY$2&gt;0,$DY$1&gt;0),$I$1=2,ROW()&gt;$BJ$1+2,ROW()&lt;=$BJ$1+4),"………………..",IFERROR(INDEX($AC$3:$AC$400,MATCH(ROWS(BQ$3:BQ377),BJ$3:BJ$400,0),1),"")))</f>
        <v/>
      </c>
      <c r="BR377" s="48">
        <f t="shared" ca="1" si="640"/>
        <v>0</v>
      </c>
      <c r="BS377" s="48">
        <f ca="1">IF(IF(AND(OR(INDEX(PDC,MATCH($AC377,DEN_PDC,0),4)="D",INDEX(PDC,MATCH($AC377,DEN_PDC,0),4)="D/A"),SUMIFS(DARE,DEN_G,$AC377)&gt;=SUMIFS(AVERE,DEN_G,$AC377)),SUMIFS(DARE,DEN_G,$AC377),IF(AND(OR(INDEX(PDC,MATCH($AC377,DEN_PDC,0),4)="A",INDEX(PDC,MATCH($AC377,DEN_PDC,0),4)="D/A"),SUMIFS(AVERE,DEN_G,$AC377)&gt;=SUMIFS(DARE,DEN_G,$AC377)),SUMIFS(AVERE,DEN_G,$AC377),))&gt;0,MAX($BS$2:BS376)+1,0)</f>
        <v>0</v>
      </c>
      <c r="BT377" s="48" t="str">
        <f ca="1">IF($CO$1=0,"",IF(AND($I$1=2,ROW()&gt;$BR$1,ROW()&lt;=$BS$1)," …………….",IF(AND($E$1=1,$BX$1=1,$I$1=2,ROW()=$BQ$1),"TOTALI",IFERROR(INDEX(PDC,MATCH(ROWS(BT$3:BT377),BS$3:BS774,0),2),""))))</f>
        <v/>
      </c>
      <c r="BU377" s="48">
        <f t="shared" ca="1" si="641"/>
        <v>0</v>
      </c>
      <c r="BV377" s="48">
        <f t="shared" ca="1" si="642"/>
        <v>0</v>
      </c>
      <c r="BW377" s="48">
        <f t="shared" ca="1" si="643"/>
        <v>0</v>
      </c>
      <c r="BX377" s="48">
        <f t="shared" ca="1" si="644"/>
        <v>0</v>
      </c>
      <c r="BY377" s="48">
        <f ca="1">IF(OR(BW377&gt;0,BX377&gt;0),MAX($BY$2:BY376)+1,0)</f>
        <v>0</v>
      </c>
      <c r="BZ377" s="48" t="str">
        <f ca="1">IFERROR(INDEX($BT$3:$BY$400,MATCH(ROWS(BZ$3:BZ377),$BY$3:$BY$400,0),1),"")</f>
        <v/>
      </c>
      <c r="CA377" s="48" t="str">
        <f ca="1">IFERROR(INDEX($BT$3:$BY$400,MATCH(ROWS(CA$3:CA377),$BY$3:$BY$400,0),4),"")</f>
        <v/>
      </c>
      <c r="CB377" s="48" t="str">
        <f ca="1">IFERROR(INDEX($BT$3:$BY$400,MATCH(ROWS(CB$3:CB377),$BY$3:$BY$400,0),5),"")</f>
        <v/>
      </c>
      <c r="CC377" s="48" t="str">
        <f t="shared" ca="1" si="645"/>
        <v/>
      </c>
      <c r="CM377" s="242" t="str">
        <f t="shared" ca="1" si="655"/>
        <v/>
      </c>
      <c r="CN377" s="243">
        <f t="shared" ca="1" si="656"/>
        <v>0</v>
      </c>
      <c r="CO377" s="48" t="str">
        <f t="shared" ca="1" si="657"/>
        <v/>
      </c>
      <c r="CU377" s="48">
        <f ca="1">IF(SUMIFS(AVERE,DEN_G,AC377,AVERE,"&gt;"&amp;0)+SUMIFS(DARE,DEN_G,AC377,DARE,"&gt;"&amp;0)&gt;0,MAX($CU$2:CU376)+1,0)</f>
        <v>0</v>
      </c>
      <c r="CV377" s="48" t="str">
        <f ca="1">IF(IFERROR(INDEX(PDC,MATCH(ROWS($CV$3:CV377),$CU$3:$CU$400,0),2),"")="CONTO DI RISULTATO ECONOMICO","",IFERROR(INDEX(PDC,MATCH(ROWS($CV$3:CV377),$CU$3:$CU$400,0),2),""))</f>
        <v/>
      </c>
      <c r="CW377" s="48">
        <f ca="1">IFERROR(IF(CV377&lt;&gt;"",MAX($CW$2:CW376)+1,0),0)</f>
        <v>0</v>
      </c>
      <c r="CX377" s="48">
        <f t="shared" ca="1" si="704"/>
        <v>29</v>
      </c>
      <c r="CY377" s="48" t="str">
        <f t="shared" ca="1" si="703"/>
        <v>MASTRO</v>
      </c>
      <c r="CZ377" s="48" t="e">
        <f t="shared" ca="1" si="706"/>
        <v>#N/A</v>
      </c>
      <c r="DA377" s="48" t="str">
        <f t="shared" ca="1" si="712"/>
        <v/>
      </c>
      <c r="DB377" s="48" t="str">
        <f t="shared" ca="1" si="682"/>
        <v/>
      </c>
      <c r="DC377" s="48" t="str">
        <f t="shared" ca="1" si="707"/>
        <v/>
      </c>
      <c r="DD377" s="48" t="str">
        <f t="shared" ca="1" si="708"/>
        <v/>
      </c>
      <c r="DE377" s="48" t="str">
        <f t="shared" ca="1" si="709"/>
        <v/>
      </c>
      <c r="DF377" s="48">
        <f ca="1">IF(AND(CX377=$DF$1,CX377&lt;&gt;""),0,IF(AND(DB377&lt;&gt;"",OR(DB376&lt;&gt;"",DB378&lt;&gt;"")),MAX($DF$2:DF376)+1,0))</f>
        <v>0</v>
      </c>
      <c r="DH377" s="244" t="s">
        <v>915</v>
      </c>
      <c r="DI377" s="48" t="s">
        <v>261</v>
      </c>
      <c r="DJ377" s="48" t="s">
        <v>311</v>
      </c>
      <c r="DK377" s="48" t="s">
        <v>275</v>
      </c>
      <c r="DL377" s="48" t="s">
        <v>7</v>
      </c>
      <c r="DM377" s="48" t="s">
        <v>301</v>
      </c>
      <c r="DN377" s="48">
        <f ca="1">IF(DI377&lt;&gt;"",MAX($DN$2:DN376)+1,0)</f>
        <v>305</v>
      </c>
      <c r="DO377" s="48" t="s">
        <v>728</v>
      </c>
      <c r="DQ377" s="227" t="s">
        <v>266</v>
      </c>
      <c r="DR377" s="228" t="s">
        <v>265</v>
      </c>
      <c r="DW377" s="48">
        <f ca="1">IF(DR377&lt;&gt;"",MAX($DW$2:DW376)+1,0)</f>
        <v>230</v>
      </c>
      <c r="DY377" s="48" t="str">
        <f t="shared" ca="1" si="647"/>
        <v/>
      </c>
      <c r="EL377" s="48">
        <f t="shared" ca="1" si="648"/>
        <v>0</v>
      </c>
      <c r="EM377" s="48">
        <f ca="1">IF(EL377&gt;=0,0,MAX($EM$2:EM376)+1)</f>
        <v>0</v>
      </c>
      <c r="EN377" s="48" t="str">
        <f t="shared" ca="1" si="658"/>
        <v/>
      </c>
      <c r="EO377" s="48" t="str">
        <f ca="1">IFERROR(INDEX($EM$3:$EN$400,MATCH(ROWS($EO$3:EO377),$EM$3:$EM$400,0),2),"")</f>
        <v/>
      </c>
      <c r="EP377" s="48">
        <f>ROW()</f>
        <v>377</v>
      </c>
      <c r="EQ377" s="48">
        <f t="shared" ca="1" si="649"/>
        <v>0</v>
      </c>
      <c r="ER377" s="48">
        <f ca="1">IF(ISNA(EQ377)=TRUE,MAX($ER$2:ER376)+1,0)</f>
        <v>0</v>
      </c>
      <c r="ES377" s="48" t="str">
        <f t="shared" ca="1" si="659"/>
        <v/>
      </c>
      <c r="ET377" s="48" t="str">
        <f ca="1">IFERROR(INDEX($ER$3:$ES$400,MATCH(ROWS($ET$3:ET377),$ER$3:$ER$400,0),2),"")</f>
        <v/>
      </c>
      <c r="EV377" s="48">
        <f ca="1">IFERROR(INDEX(LIBRO_GIORNALE!$O$11:$P$408,MATCH(ROWS($EV$2:EV376),LIBRO_GIORNALE!$P$11:$P$408,0),1),0)</f>
        <v>0</v>
      </c>
      <c r="EW377" s="48" t="str">
        <f t="shared" ca="1" si="629"/>
        <v>0</v>
      </c>
      <c r="EX377" s="48">
        <f t="shared" ca="1" si="660"/>
        <v>0</v>
      </c>
      <c r="EY377" s="48">
        <f ca="1">IF(EX377&gt;0,MAX($EY$2:EY376)+1,0)</f>
        <v>0</v>
      </c>
      <c r="EZ377" s="48">
        <f ca="1">IFERROR(INDEX($EX$3:$EX$400,MATCH(ROWS($EZ$3:EZ377),$EY$3:$EY$400,0),1),0)</f>
        <v>0</v>
      </c>
      <c r="FA377" s="48">
        <f ca="1">IF(EZ377&gt;0,0,MAX($FA$2:FA376)+1)</f>
        <v>375</v>
      </c>
      <c r="FB377" s="48">
        <f t="shared" ca="1" si="630"/>
        <v>0</v>
      </c>
      <c r="FC377" s="48">
        <f t="shared" ca="1" si="631"/>
        <v>375</v>
      </c>
      <c r="FD377" s="48">
        <f t="shared" ca="1" si="661"/>
        <v>375</v>
      </c>
      <c r="FE377" s="48">
        <f ca="1">IF(FD377=0,0,MAX($FE$2:FE376)+1)</f>
        <v>375</v>
      </c>
      <c r="FF377" s="48">
        <f ca="1">IFERROR(INDEX($FD$3:$FE$400,MATCH(ROWS($FF$3:FF377),$FE$3:$FE$400,0),1),"")</f>
        <v>375</v>
      </c>
      <c r="FG377" s="48">
        <f t="shared" si="696"/>
        <v>0</v>
      </c>
      <c r="FH377" s="48">
        <f t="shared" ca="1" si="662"/>
        <v>0</v>
      </c>
      <c r="FI377" s="48">
        <f ca="1">IF(FH377&lt;&gt;0,MAX($FI$2:FI376)+1,0)</f>
        <v>0</v>
      </c>
      <c r="FJ377" s="48" t="str">
        <f ca="1">IFERROR(INDEX($FH$3:$FI$400,MATCH(ROWS($FJ$3:FJ377),$FI$3:$FI$400,0),1),"")</f>
        <v/>
      </c>
      <c r="FK377" s="48">
        <f ca="1">IF(ABS(SUMIFS(DARE,DEN_G,"="&amp;FJ377,DATA,"&lt;="&amp;FINE_AC,DATA,"&gt;="&amp;INIZIO_A_PC)-SUMIFS(AVERE,DEN_G,"="&amp;FJ377,DATA,"&lt;="&amp;FINE_AC,DATA,"&gt;="&amp;INIZIO_A_PC))&gt;0,MAX($FK$2:FK376)+1,0)</f>
        <v>0</v>
      </c>
      <c r="FL377" s="48" t="str">
        <f ca="1">IF(AND(ROW()-2&lt;&gt;1,ROW()-2&lt;=$FK$1),CONCATENATE(" - ",IFERROR(INDEX($FJ$3:$FK$400,MATCH(ROWS($FL$3:FL377),$FK$3:$FK$400,0),1),"")),IFERROR(INDEX($FJ$3:$FK$400,MATCH(ROWS($FL$3:FL377),$FK$3:$FK$400,0),1),""))</f>
        <v/>
      </c>
      <c r="FM377" s="48">
        <f ca="1">IF(OR(B377="IVA ns/credito",B377="IVA NS/DEBITO",B377="IVA C/ACCONTO",B377="IMPOSTE C/ACCONTO",B377="CREDITI PER RITENUTE SUBITE",B377="CREDITI D'IMPOSTA"),MAX($FM$2:FM376)+1,0)</f>
        <v>0</v>
      </c>
      <c r="FN377" s="48" t="str">
        <f t="shared" ca="1" si="663"/>
        <v/>
      </c>
      <c r="FO377" s="48" t="str">
        <f ca="1">IFERROR(INDEX($FM$3:$FN$400,MATCH(ROWS($FO$3:FO377),$FM$3:$FM$400,0),2),"")</f>
        <v/>
      </c>
      <c r="FP377" s="48">
        <f ca="1">IF(ABS(SUMIFS(DARE,DEN_G,"="&amp;FO377,DATA,"&lt;="&amp;FINE_AC,DATA,"&gt;="&amp;INIZIO_A_PC)-SUMIFS(AVERE,DEN_G,"="&amp;FO377,DATA,"&lt;="&amp;FINE_AC,DATA,"&gt;="&amp;INIZIO_A_PC))&gt;0,MAX($FP$2:FP376)+1,0)</f>
        <v>0</v>
      </c>
      <c r="FQ377" s="48" t="str">
        <f ca="1">IF(AND(ROW()-2&lt;&gt;1,ROW()-2&lt;=$FP$1),CONCATENATE(" - ",IFERROR(INDEX($FO$3:$FP$400,MATCH(ROWS($FQ$3:FQ377),$FP$3:$FP$400,0),1),"")),IFERROR(INDEX($FO$3:$FP$400,MATCH(ROWS($FQ$3:FQ377),$FP$3:$FP$400,0),1),""))</f>
        <v/>
      </c>
    </row>
    <row r="378" spans="1:173" x14ac:dyDescent="0.3">
      <c r="A378" s="48" t="str">
        <f ca="1">IFERROR(IF($A$1=2,INDEX($DH$3:$DN$401,MATCH(ROWS(A$3:A378),$DN$3:$DN$401,0),COLUMN()),IF($A$1=1,INDEX($DQ$3:$DW$401,MATCH(ROWS(A$3:A378),$DW$3:$DW$401,0),COLUMN()),"")),"")</f>
        <v/>
      </c>
      <c r="B378" s="48" t="str">
        <f ca="1">IFERROR(IF($A$1=2,INDEX($DH$3:$DN$400,MATCH(ROWS(B$3:B378),$DN$3:$DN$400,0),COLUMN()),IF($A$1=1,INDEX($DQ$3:$DW$400,MATCH(ROWS(B$3:B378),$DW$3:$DW$400,0),COLUMN()),"")),"")</f>
        <v/>
      </c>
      <c r="D378" s="48" t="str">
        <f ca="1">IFERROR(IF($A$1=2,INDEX($DH$3:$DN$401,MATCH(ROWS(D$3:D378),$DN$3:$DN$401,0),COLUMN()),IF($A$1=1,INDEX($DQ$3:$DW$401,MATCH(ROWS(D$3:D378),$DW$3:$DW$401,0),COLUMN()),"")),"")</f>
        <v/>
      </c>
      <c r="E378" s="48" t="str">
        <f ca="1">IFERROR(IF($A$1=2,INDEX($DH$3:$DN$401,MATCH(ROWS(E$3:E378),$DN$3:$DN$401,0),COLUMN()),IF($A$1=1,INDEX($DQ$3:$DW$401,MATCH(ROWS(E$3:E378),$DW$3:$DW$401,0),COLUMN()),"")),"")</f>
        <v/>
      </c>
      <c r="F378" s="48" t="str">
        <f ca="1">IFERROR(IF($A$1=2,INDEX($DH$3:$DN$401,MATCH(ROWS(F$3:F378),$DN$3:$DN$401,0),COLUMN()),IF($A$1=1,INDEX($DQ$3:$DX$401,MATCH(ROWS(F$3:F378),$DW$3:$DW$401,0),COLUMN()),"")),"")</f>
        <v/>
      </c>
      <c r="G378" s="48" t="str">
        <f t="shared" ca="1" si="650"/>
        <v/>
      </c>
      <c r="H378" s="48" t="str">
        <f ca="1">IFERROR(IF($A$1=2,INDEX($DH$3:$DO$400,MATCH(ROWS(H$3:H378),$DN$3:$DN$400,0),COLUMN()),IF($A$1=1,INDEX($DQ$3:$DX$400,MATCH(ROWS(H$3:H378),$DW$3:$DW$400,0),COLUMN()),"")),"")</f>
        <v/>
      </c>
      <c r="M378" s="48">
        <f ca="1">IFERROR(IF(IF(MID($A378,3,3)=".00",MID(A378,1,2),"")&lt;&gt;"",MAX($M$2:M377)+1,0),"")</f>
        <v>0</v>
      </c>
      <c r="N378" s="48" t="str">
        <f t="shared" ca="1" si="651"/>
        <v/>
      </c>
      <c r="O378" s="48" t="str">
        <f ca="1">IF(IFERROR(INDEX($N$3:$O$300,MATCH(ROWS($O$3:O378),$M$3:$M$300,0),1),"")&lt;&gt;"",CONCATENATE(INDEX($N$3:$O$300,MATCH(ROWS($O$3:O378),$M$3:$M$300,0),1),".00"),"")</f>
        <v/>
      </c>
      <c r="P378" s="48" t="str">
        <f t="shared" ca="1" si="652"/>
        <v/>
      </c>
      <c r="Q378" s="48">
        <f ca="1">IF(M378&gt;=1,0,MAX($Q$2:Q377)+1)</f>
        <v>339</v>
      </c>
      <c r="U378" s="48" t="str">
        <f ca="1">IFERROR(INDEX(PDC,MATCH(ROWS(U$3:U378),$V$3:$V$400,0),2),"")</f>
        <v/>
      </c>
      <c r="V378" s="48">
        <f ca="1">IF(AND($T$1="VISUALIZZA TUTTI I CONTI",AA378&lt;&gt;""),MAX($V$2:V377)+1,IF(AND($U$2=2,AI378=$T$1),MAX($V$2:V377)+1,IF(AND($U$2=1,$T$1=AF378),MAX($V$2:V377)+1,0)))</f>
        <v>0</v>
      </c>
      <c r="AA378" s="48" t="str">
        <f t="shared" ca="1" si="653"/>
        <v/>
      </c>
      <c r="AB378" s="48" t="str">
        <f ca="1">IFERROR(INDEX($A$3:$G$400,MATCH(ROWS(AB$3:AB378),$Q$3:$Q$400,0),1),"")</f>
        <v/>
      </c>
      <c r="AC378" s="48" t="str">
        <f ca="1">IFERROR(INDEX($A$3:$G$400,MATCH(ROWS($AC$3:AC378),$Q$3:$Q$400,0),2),"")</f>
        <v/>
      </c>
      <c r="AD378" s="48" t="str">
        <f ca="1">IFERROR(INDEX($A$3:$G$400,MATCH(ROWS(AD$3:AD378),$Q$3:$Q$400,0),3),"")</f>
        <v/>
      </c>
      <c r="AE378" s="48" t="str">
        <f ca="1">IFERROR(INDEX($A$3:$G$400,MATCH(ROWS(AE$3:AE378),$Q$3:$Q$400,0),4),"")</f>
        <v/>
      </c>
      <c r="AF378" s="48" t="str">
        <f ca="1">IFERROR(INDEX($A$3:$G$400,MATCH(ROWS(AF$3:AF378),$Q$3:$Q$400,0),5),"")</f>
        <v/>
      </c>
      <c r="AG378" s="48" t="str">
        <f ca="1">IFERROR(INDEX($A$3:$G$400,MATCH(ROWS(AG$3:AG378),$Q$3:$Q$400,0),6),"")</f>
        <v/>
      </c>
      <c r="AH378" s="48" t="str">
        <f ca="1">IFERROR(INDEX($A$3:$G$400,MATCH(ROWS(AH$3:AH378),$Q$3:$Q$400,0),7),"")</f>
        <v/>
      </c>
      <c r="AI378" s="48" t="str">
        <f t="shared" ca="1" si="654"/>
        <v/>
      </c>
      <c r="AJ378" s="48" t="str">
        <f ca="1">IFERROR(INDEX($A$3:$H$400,MATCH(ROWS(AJ$3:AJ378),$Q$3:$Q$400,0),8),"")</f>
        <v/>
      </c>
      <c r="AZ378" s="48" t="str">
        <f t="shared" ca="1" si="710"/>
        <v/>
      </c>
      <c r="BA378" s="48">
        <f t="shared" ca="1" si="697"/>
        <v>0</v>
      </c>
      <c r="BB378" s="48">
        <f t="shared" ca="1" si="698"/>
        <v>0</v>
      </c>
      <c r="BC378" s="48">
        <f t="shared" ca="1" si="699"/>
        <v>0</v>
      </c>
      <c r="BD378" s="48">
        <f t="shared" ca="1" si="700"/>
        <v>0</v>
      </c>
      <c r="BE378" s="48">
        <f t="shared" ca="1" si="701"/>
        <v>0</v>
      </c>
      <c r="BF378" s="48">
        <f t="shared" si="711"/>
        <v>178</v>
      </c>
      <c r="BG378" s="48">
        <f ca="1">IF(IF(AND(OR(INDEX(PDC,MATCH($AC378,DEN_PDC,0),6)="SP DARE",INDEX(PDC,MATCH($AC378,DEN_PDC,0),6)="SP DARE/AVERE"),SUMIFS(DARE,DEN_G,$AC378)&gt;=SUMIFS(AVERE,DEN_G,$AC378)),SUMIFS(DARE,DEN_G,$AC378)-SUMIFS(AVERE,DEN_G,$AC378),0)&gt;0,MAX($BG$2:BG377)+1,0)</f>
        <v>0</v>
      </c>
      <c r="BH378" s="48">
        <f ca="1">IF(IF(AND(OR(INDEX(PDC,MATCH($AC378,DEN_PDC,0),6)="SP AVERE",INDEX(PDC,MATCH($AC378,DEN_PDC,0),6)="SP DARE/AVERE"),SUMIFS(AVERE,DEN_G,$AC378)&gt;=SUMIFS(DARE,DEN_G,$AC378)),SUMIFS(AVERE,DEN_G,$AC378)-SUMIFS(DARE,DEN_G,$AC378),0)&gt;0,MAX(BH$2:BH377)+1,0)</f>
        <v>0</v>
      </c>
      <c r="BI378" s="48">
        <f ca="1">IF(IF(AND(OR(INDEX(PDC,MATCH($AC378,DEN_PDC,0),6)="SE DARE",INDEX(PDC,MATCH($AC378,DEN_PDC,0),6)="SE DARE/AVERE"),SUMIFS(DARE,DEN_G,$AC378)&gt;=SUMIFS(AVERE,DEN_G,$AC378)),SUMIFS(DARE,DEN_G,$AC378)-SUMIFS(AVERE,DEN_G,$AC378),0)&gt;0,MAX(BI$2:BI377)+1,0)</f>
        <v>0</v>
      </c>
      <c r="BJ378" s="48">
        <f ca="1">IF(IF(AND(OR(INDEX(PDC,MATCH($AC378,DEN_PDC,0),6)="SE AVERE",INDEX(PDC,MATCH($AC378,DEN_PDC,0),6)="SE DARE/AVERE"),SUMIFS(AVERE,DEN_G,$AC378)&gt;=SUMIFS(DARE,DEN_G,$AC378)),SUMIFS(AVERE,DEN_G,$AC378)-SUMIFS(DARE,DEN_G,$AC378),0)&gt;0,MAX(BJ$2:BJ377)+1,0)</f>
        <v>0</v>
      </c>
      <c r="BK378" s="48" t="str">
        <f ca="1">IF(AND(AND($DY$2=0,$DY$1=0),$I$1=2,ROW()&gt;$BG$1+2,ROW()&lt;=$BG$1+4),"………………..",IF(AND(OR($DY$2&gt;0,$DY$1&gt;0),$I$1=2,ROW()&gt;$BG$1+2,ROW()&lt;=$BG$1+4),"………………..",IFERROR(INDEX($AC$3:$AC$398,MATCH(ROWS(BK$3:BK378),BG$3:BG$398,0),1),"")))</f>
        <v/>
      </c>
      <c r="BL378" s="48">
        <f t="shared" ca="1" si="637"/>
        <v>0</v>
      </c>
      <c r="BM378" s="48" t="str">
        <f ca="1">IF(AND(OR($DY$2=0,$DY$1=0),$I$1=2,ROW()&gt;$BH$1+2,ROW()&lt;=$BH$1+4),"………………..",IF(AND(OR($DY$2&gt;0,$DY$1&gt;0),$I$1=2,ROW()&gt;$BH$1+2,ROW()&lt;=$BH$1+4),"………………..",IFERROR(INDEX($AC$3:$AC$400,MATCH(ROWS(BM$3:BM378),BH$3:BH$400,0),1),"")))</f>
        <v/>
      </c>
      <c r="BN378" s="48">
        <f t="shared" ca="1" si="638"/>
        <v>0</v>
      </c>
      <c r="BO378" s="48" t="str">
        <f ca="1">IF(AND(OR($DY$2=0,$DY$1=0),$I$1=2,ROW()&gt;$BI$1+2,ROW()&lt;=$BI$1+4),"………………..",IF(AND(OR($DY$2&gt;0,$DY$1&gt;0),$I$1=2,ROW()&gt;$BI$1+2,ROW()&lt;=$BI$1+4),"………………..",IFERROR(INDEX($AC$3:$AC$400,MATCH(ROWS(BO$3:BO378),BI$3:BI$400,0),1),"")))</f>
        <v/>
      </c>
      <c r="BP378" s="48">
        <f t="shared" ca="1" si="639"/>
        <v>0</v>
      </c>
      <c r="BQ378" s="48" t="str">
        <f ca="1">IF(AND(OR($DY$2=0,$DY$1=0),$I$1=2,ROW()&gt;$BJ$1+2,ROW()&lt;=$BJ$1+4),"………………..",IF(AND(OR($DY$2&gt;0,$DY$1&gt;0),$I$1=2,ROW()&gt;$BJ$1+2,ROW()&lt;=$BJ$1+4),"………………..",IFERROR(INDEX($AC$3:$AC$400,MATCH(ROWS(BQ$3:BQ378),BJ$3:BJ$400,0),1),"")))</f>
        <v/>
      </c>
      <c r="BR378" s="48">
        <f t="shared" ca="1" si="640"/>
        <v>0</v>
      </c>
      <c r="BS378" s="48">
        <f ca="1">IF(IF(AND(OR(INDEX(PDC,MATCH($AC378,DEN_PDC,0),4)="D",INDEX(PDC,MATCH($AC378,DEN_PDC,0),4)="D/A"),SUMIFS(DARE,DEN_G,$AC378)&gt;=SUMIFS(AVERE,DEN_G,$AC378)),SUMIFS(DARE,DEN_G,$AC378),IF(AND(OR(INDEX(PDC,MATCH($AC378,DEN_PDC,0),4)="A",INDEX(PDC,MATCH($AC378,DEN_PDC,0),4)="D/A"),SUMIFS(AVERE,DEN_G,$AC378)&gt;=SUMIFS(DARE,DEN_G,$AC378)),SUMIFS(AVERE,DEN_G,$AC378),))&gt;0,MAX($BS$2:BS377)+1,0)</f>
        <v>0</v>
      </c>
      <c r="BT378" s="48" t="str">
        <f ca="1">IF($CO$1=0,"",IF(AND($I$1=2,ROW()&gt;$BR$1,ROW()&lt;=$BS$1)," …………….",IF(AND($E$1=1,$BX$1=1,$I$1=2,ROW()=$BQ$1),"TOTALI",IFERROR(INDEX(PDC,MATCH(ROWS(BT$3:BT378),BS$3:BS775,0),2),""))))</f>
        <v/>
      </c>
      <c r="BU378" s="48">
        <f t="shared" ca="1" si="641"/>
        <v>0</v>
      </c>
      <c r="BV378" s="48">
        <f t="shared" ca="1" si="642"/>
        <v>0</v>
      </c>
      <c r="BW378" s="48">
        <f t="shared" ca="1" si="643"/>
        <v>0</v>
      </c>
      <c r="BX378" s="48">
        <f t="shared" ca="1" si="644"/>
        <v>0</v>
      </c>
      <c r="BY378" s="48">
        <f ca="1">IF(OR(BW378&gt;0,BX378&gt;0),MAX($BY$2:BY377)+1,0)</f>
        <v>0</v>
      </c>
      <c r="BZ378" s="48" t="str">
        <f ca="1">IFERROR(INDEX($BT$3:$BY$400,MATCH(ROWS(BZ$3:BZ378),$BY$3:$BY$400,0),1),"")</f>
        <v/>
      </c>
      <c r="CA378" s="48" t="str">
        <f ca="1">IFERROR(INDEX($BT$3:$BY$400,MATCH(ROWS(CA$3:CA378),$BY$3:$BY$400,0),4),"")</f>
        <v/>
      </c>
      <c r="CB378" s="48" t="str">
        <f ca="1">IFERROR(INDEX($BT$3:$BY$400,MATCH(ROWS(CB$3:CB378),$BY$3:$BY$400,0),5),"")</f>
        <v/>
      </c>
      <c r="CC378" s="48" t="str">
        <f t="shared" ca="1" si="645"/>
        <v/>
      </c>
      <c r="CM378" s="242" t="str">
        <f t="shared" ca="1" si="655"/>
        <v/>
      </c>
      <c r="CN378" s="243">
        <f t="shared" ca="1" si="656"/>
        <v>0</v>
      </c>
      <c r="CO378" s="48" t="str">
        <f t="shared" ca="1" si="657"/>
        <v/>
      </c>
      <c r="CU378" s="48">
        <f ca="1">IF(SUMIFS(AVERE,DEN_G,AC378,AVERE,"&gt;"&amp;0)+SUMIFS(DARE,DEN_G,AC378,DARE,"&gt;"&amp;0)&gt;0,MAX($CU$2:CU377)+1,0)</f>
        <v>0</v>
      </c>
      <c r="CV378" s="48" t="str">
        <f ca="1">IF(IFERROR(INDEX(PDC,MATCH(ROWS($CV$3:CV378),$CU$3:$CU$400,0),2),"")="CONTO DI RISULTATO ECONOMICO","",IFERROR(INDEX(PDC,MATCH(ROWS($CV$3:CV378),$CU$3:$CU$400,0),2),""))</f>
        <v/>
      </c>
      <c r="CW378" s="48">
        <f ca="1">IFERROR(IF(CV378&lt;&gt;"",MAX($CW$2:CW377)+1,0),0)</f>
        <v>0</v>
      </c>
      <c r="CX378" s="48">
        <f t="shared" ca="1" si="704"/>
        <v>29</v>
      </c>
      <c r="CY378" s="48" t="str">
        <f t="shared" ca="1" si="703"/>
        <v>MASTRO</v>
      </c>
      <c r="CZ378" s="48" t="e">
        <f t="shared" ca="1" si="706"/>
        <v>#N/A</v>
      </c>
      <c r="DA378" s="48" t="str">
        <f t="shared" ca="1" si="712"/>
        <v/>
      </c>
      <c r="DB378" s="48" t="str">
        <f t="shared" ca="1" si="682"/>
        <v/>
      </c>
      <c r="DC378" s="48" t="str">
        <f t="shared" ca="1" si="707"/>
        <v/>
      </c>
      <c r="DD378" s="48" t="str">
        <f t="shared" ca="1" si="708"/>
        <v/>
      </c>
      <c r="DE378" s="48" t="str">
        <f t="shared" ca="1" si="709"/>
        <v/>
      </c>
      <c r="DF378" s="48">
        <f ca="1">IF(AND(CX378=$DF$1,CX378&lt;&gt;""),0,IF(AND(DB378&lt;&gt;"",OR(DB377&lt;&gt;"",DB379&lt;&gt;"")),MAX($DF$2:DF377)+1,0))</f>
        <v>0</v>
      </c>
      <c r="DH378" s="244" t="s">
        <v>916</v>
      </c>
      <c r="DI378" s="48" t="s">
        <v>262</v>
      </c>
      <c r="DJ378" s="48" t="s">
        <v>311</v>
      </c>
      <c r="DK378" s="48" t="s">
        <v>275</v>
      </c>
      <c r="DL378" s="48" t="s">
        <v>7</v>
      </c>
      <c r="DM378" s="48" t="s">
        <v>301</v>
      </c>
      <c r="DN378" s="48">
        <f ca="1">IF(DI378&lt;&gt;"",MAX($DN$2:DN377)+1,0)</f>
        <v>306</v>
      </c>
      <c r="DO378" s="48" t="s">
        <v>728</v>
      </c>
      <c r="DQ378" s="227" t="s">
        <v>267</v>
      </c>
      <c r="DR378" s="48" t="s">
        <v>265</v>
      </c>
      <c r="DS378" s="48" t="s">
        <v>311</v>
      </c>
      <c r="DT378" s="48" t="s">
        <v>275</v>
      </c>
      <c r="DU378" s="48" t="s">
        <v>7</v>
      </c>
      <c r="DV378" s="48" t="s">
        <v>301</v>
      </c>
      <c r="DW378" s="48">
        <f ca="1">IF(DR378&lt;&gt;"",MAX($DW$2:DW377)+1,0)</f>
        <v>231</v>
      </c>
      <c r="DX378" s="48" t="s">
        <v>756</v>
      </c>
      <c r="DY378" s="48" t="str">
        <f t="shared" ca="1" si="647"/>
        <v/>
      </c>
      <c r="EL378" s="48">
        <f t="shared" ca="1" si="648"/>
        <v>0</v>
      </c>
      <c r="EM378" s="48">
        <f ca="1">IF(EL378&gt;=0,0,MAX($EM$2:EM377)+1)</f>
        <v>0</v>
      </c>
      <c r="EN378" s="48" t="str">
        <f t="shared" ca="1" si="658"/>
        <v/>
      </c>
      <c r="EO378" s="48" t="str">
        <f ca="1">IFERROR(INDEX($EM$3:$EN$400,MATCH(ROWS($EO$3:EO378),$EM$3:$EM$400,0),2),"")</f>
        <v/>
      </c>
      <c r="EP378" s="48">
        <f>ROW()</f>
        <v>378</v>
      </c>
      <c r="EQ378" s="48">
        <f t="shared" ca="1" si="649"/>
        <v>0</v>
      </c>
      <c r="ER378" s="48">
        <f ca="1">IF(ISNA(EQ378)=TRUE,MAX($ER$2:ER377)+1,0)</f>
        <v>0</v>
      </c>
      <c r="ES378" s="48" t="str">
        <f t="shared" ca="1" si="659"/>
        <v/>
      </c>
      <c r="ET378" s="48" t="str">
        <f ca="1">IFERROR(INDEX($ER$3:$ES$400,MATCH(ROWS($ET$3:ET378),$ER$3:$ER$400,0),2),"")</f>
        <v/>
      </c>
      <c r="EV378" s="48">
        <f ca="1">IFERROR(INDEX(LIBRO_GIORNALE!$O$11:$P$408,MATCH(ROWS($EV$2:EV377),LIBRO_GIORNALE!$P$11:$P$408,0),1),0)</f>
        <v>0</v>
      </c>
      <c r="EW378" s="48" t="str">
        <f t="shared" ca="1" si="629"/>
        <v>0</v>
      </c>
      <c r="EX378" s="48">
        <f t="shared" ca="1" si="660"/>
        <v>0</v>
      </c>
      <c r="EY378" s="48">
        <f ca="1">IF(EX378&gt;0,MAX($EY$2:EY377)+1,0)</f>
        <v>0</v>
      </c>
      <c r="EZ378" s="48">
        <f ca="1">IFERROR(INDEX($EX$3:$EX$400,MATCH(ROWS($EZ$3:EZ378),$EY$3:$EY$400,0),1),0)</f>
        <v>0</v>
      </c>
      <c r="FA378" s="48">
        <f ca="1">IF(EZ378&gt;0,0,MAX($FA$2:FA377)+1)</f>
        <v>376</v>
      </c>
      <c r="FB378" s="48">
        <f t="shared" ca="1" si="630"/>
        <v>0</v>
      </c>
      <c r="FC378" s="48">
        <f t="shared" ca="1" si="631"/>
        <v>376</v>
      </c>
      <c r="FD378" s="48">
        <f t="shared" ca="1" si="661"/>
        <v>376</v>
      </c>
      <c r="FE378" s="48">
        <f ca="1">IF(FD378=0,0,MAX($FE$2:FE377)+1)</f>
        <v>376</v>
      </c>
      <c r="FF378" s="48">
        <f ca="1">IFERROR(INDEX($FD$3:$FE$400,MATCH(ROWS($FF$3:FF378),$FE$3:$FE$400,0),1),"")</f>
        <v>376</v>
      </c>
      <c r="FG378" s="48">
        <f t="shared" si="696"/>
        <v>0</v>
      </c>
      <c r="FH378" s="48">
        <f t="shared" ca="1" si="662"/>
        <v>0</v>
      </c>
      <c r="FI378" s="48">
        <f ca="1">IF(FH378&lt;&gt;0,MAX($FI$2:FI377)+1,0)</f>
        <v>0</v>
      </c>
      <c r="FJ378" s="48" t="str">
        <f ca="1">IFERROR(INDEX($FH$3:$FI$400,MATCH(ROWS($FJ$3:FJ378),$FI$3:$FI$400,0),1),"")</f>
        <v/>
      </c>
      <c r="FK378" s="48">
        <f ca="1">IF(ABS(SUMIFS(DARE,DEN_G,"="&amp;FJ378,DATA,"&lt;="&amp;FINE_AC,DATA,"&gt;="&amp;INIZIO_A_PC)-SUMIFS(AVERE,DEN_G,"="&amp;FJ378,DATA,"&lt;="&amp;FINE_AC,DATA,"&gt;="&amp;INIZIO_A_PC))&gt;0,MAX($FK$2:FK377)+1,0)</f>
        <v>0</v>
      </c>
      <c r="FL378" s="48" t="str">
        <f ca="1">IF(AND(ROW()-2&lt;&gt;1,ROW()-2&lt;=$FK$1),CONCATENATE(" - ",IFERROR(INDEX($FJ$3:$FK$400,MATCH(ROWS($FL$3:FL378),$FK$3:$FK$400,0),1),"")),IFERROR(INDEX($FJ$3:$FK$400,MATCH(ROWS($FL$3:FL378),$FK$3:$FK$400,0),1),""))</f>
        <v/>
      </c>
      <c r="FM378" s="48">
        <f ca="1">IF(OR(B378="IVA ns/credito",B378="IVA NS/DEBITO",B378="IVA C/ACCONTO",B378="IMPOSTE C/ACCONTO",B378="CREDITI PER RITENUTE SUBITE",B378="CREDITI D'IMPOSTA"),MAX($FM$2:FM377)+1,0)</f>
        <v>0</v>
      </c>
      <c r="FN378" s="48" t="str">
        <f t="shared" ca="1" si="663"/>
        <v/>
      </c>
      <c r="FO378" s="48" t="str">
        <f ca="1">IFERROR(INDEX($FM$3:$FN$400,MATCH(ROWS($FO$3:FO378),$FM$3:$FM$400,0),2),"")</f>
        <v/>
      </c>
      <c r="FP378" s="48">
        <f ca="1">IF(ABS(SUMIFS(DARE,DEN_G,"="&amp;FO378,DATA,"&lt;="&amp;FINE_AC,DATA,"&gt;="&amp;INIZIO_A_PC)-SUMIFS(AVERE,DEN_G,"="&amp;FO378,DATA,"&lt;="&amp;FINE_AC,DATA,"&gt;="&amp;INIZIO_A_PC))&gt;0,MAX($FP$2:FP377)+1,0)</f>
        <v>0</v>
      </c>
      <c r="FQ378" s="48" t="str">
        <f ca="1">IF(AND(ROW()-2&lt;&gt;1,ROW()-2&lt;=$FP$1),CONCATENATE(" - ",IFERROR(INDEX($FO$3:$FP$400,MATCH(ROWS($FQ$3:FQ378),$FP$3:$FP$400,0),1),"")),IFERROR(INDEX($FO$3:$FP$400,MATCH(ROWS($FQ$3:FQ378),$FP$3:$FP$400,0),1),""))</f>
        <v/>
      </c>
    </row>
    <row r="379" spans="1:173" x14ac:dyDescent="0.3">
      <c r="A379" s="48" t="str">
        <f ca="1">IFERROR(IF($A$1=2,INDEX($DH$3:$DN$401,MATCH(ROWS(A$3:A379),$DN$3:$DN$401,0),COLUMN()),IF($A$1=1,INDEX($DQ$3:$DW$401,MATCH(ROWS(A$3:A379),$DW$3:$DW$401,0),COLUMN()),"")),"")</f>
        <v/>
      </c>
      <c r="B379" s="48" t="str">
        <f ca="1">IFERROR(IF($A$1=2,INDEX($DH$3:$DN$400,MATCH(ROWS(B$3:B379),$DN$3:$DN$400,0),COLUMN()),IF($A$1=1,INDEX($DQ$3:$DW$400,MATCH(ROWS(B$3:B379),$DW$3:$DW$400,0),COLUMN()),"")),"")</f>
        <v/>
      </c>
      <c r="D379" s="48" t="str">
        <f ca="1">IFERROR(IF($A$1=2,INDEX($DH$3:$DN$401,MATCH(ROWS(D$3:D379),$DN$3:$DN$401,0),COLUMN()),IF($A$1=1,INDEX($DQ$3:$DW$401,MATCH(ROWS(D$3:D379),$DW$3:$DW$401,0),COLUMN()),"")),"")</f>
        <v/>
      </c>
      <c r="E379" s="48" t="str">
        <f ca="1">IFERROR(IF($A$1=2,INDEX($DH$3:$DN$401,MATCH(ROWS(E$3:E379),$DN$3:$DN$401,0),COLUMN()),IF($A$1=1,INDEX($DQ$3:$DW$401,MATCH(ROWS(E$3:E379),$DW$3:$DW$401,0),COLUMN()),"")),"")</f>
        <v/>
      </c>
      <c r="F379" s="48" t="str">
        <f ca="1">IFERROR(IF($A$1=2,INDEX($DH$3:$DN$401,MATCH(ROWS(F$3:F379),$DN$3:$DN$401,0),COLUMN()),IF($A$1=1,INDEX($DQ$3:$DX$401,MATCH(ROWS(F$3:F379),$DW$3:$DW$401,0),COLUMN()),"")),"")</f>
        <v/>
      </c>
      <c r="G379" s="48" t="str">
        <f t="shared" ca="1" si="650"/>
        <v/>
      </c>
      <c r="H379" s="48" t="str">
        <f ca="1">IFERROR(IF($A$1=2,INDEX($DH$3:$DO$400,MATCH(ROWS(H$3:H379),$DN$3:$DN$400,0),COLUMN()),IF($A$1=1,INDEX($DQ$3:$DX$400,MATCH(ROWS(H$3:H379),$DW$3:$DW$400,0),COLUMN()),"")),"")</f>
        <v/>
      </c>
      <c r="M379" s="48">
        <f ca="1">IFERROR(IF(IF(MID($A379,3,3)=".00",MID(A379,1,2),"")&lt;&gt;"",MAX($M$2:M378)+1,0),"")</f>
        <v>0</v>
      </c>
      <c r="N379" s="48" t="str">
        <f t="shared" ca="1" si="651"/>
        <v/>
      </c>
      <c r="O379" s="48" t="str">
        <f ca="1">IF(IFERROR(INDEX($N$3:$O$300,MATCH(ROWS($O$3:O379),$M$3:$M$300,0),1),"")&lt;&gt;"",CONCATENATE(INDEX($N$3:$O$300,MATCH(ROWS($O$3:O379),$M$3:$M$300,0),1),".00"),"")</f>
        <v/>
      </c>
      <c r="P379" s="48" t="str">
        <f t="shared" ca="1" si="652"/>
        <v/>
      </c>
      <c r="Q379" s="48">
        <f ca="1">IF(M379&gt;=1,0,MAX($Q$2:Q378)+1)</f>
        <v>340</v>
      </c>
      <c r="U379" s="48" t="str">
        <f ca="1">IFERROR(INDEX(PDC,MATCH(ROWS(U$3:U379),$V$3:$V$400,0),2),"")</f>
        <v/>
      </c>
      <c r="V379" s="48">
        <f ca="1">IF(AND($T$1="VISUALIZZA TUTTI I CONTI",AA379&lt;&gt;""),MAX($V$2:V378)+1,IF(AND($U$2=2,AI379=$T$1),MAX($V$2:V378)+1,IF(AND($U$2=1,$T$1=AF379),MAX($V$2:V378)+1,0)))</f>
        <v>0</v>
      </c>
      <c r="AA379" s="48" t="str">
        <f t="shared" ca="1" si="653"/>
        <v/>
      </c>
      <c r="AB379" s="48" t="str">
        <f ca="1">IFERROR(INDEX($A$3:$G$400,MATCH(ROWS(AB$3:AB379),$Q$3:$Q$400,0),1),"")</f>
        <v/>
      </c>
      <c r="AC379" s="48" t="str">
        <f ca="1">IFERROR(INDEX($A$3:$G$400,MATCH(ROWS($AC$3:AC379),$Q$3:$Q$400,0),2),"")</f>
        <v/>
      </c>
      <c r="AD379" s="48" t="str">
        <f ca="1">IFERROR(INDEX($A$3:$G$400,MATCH(ROWS(AD$3:AD379),$Q$3:$Q$400,0),3),"")</f>
        <v/>
      </c>
      <c r="AE379" s="48" t="str">
        <f ca="1">IFERROR(INDEX($A$3:$G$400,MATCH(ROWS(AE$3:AE379),$Q$3:$Q$400,0),4),"")</f>
        <v/>
      </c>
      <c r="AF379" s="48" t="str">
        <f ca="1">IFERROR(INDEX($A$3:$G$400,MATCH(ROWS(AF$3:AF379),$Q$3:$Q$400,0),5),"")</f>
        <v/>
      </c>
      <c r="AG379" s="48" t="str">
        <f ca="1">IFERROR(INDEX($A$3:$G$400,MATCH(ROWS(AG$3:AG379),$Q$3:$Q$400,0),6),"")</f>
        <v/>
      </c>
      <c r="AH379" s="48" t="str">
        <f ca="1">IFERROR(INDEX($A$3:$G$400,MATCH(ROWS(AH$3:AH379),$Q$3:$Q$400,0),7),"")</f>
        <v/>
      </c>
      <c r="AI379" s="48" t="str">
        <f t="shared" ca="1" si="654"/>
        <v/>
      </c>
      <c r="AJ379" s="48" t="str">
        <f ca="1">IFERROR(INDEX($A$3:$H$400,MATCH(ROWS(AJ$3:AJ379),$Q$3:$Q$400,0),8),"")</f>
        <v/>
      </c>
      <c r="AZ379" s="48" t="str">
        <f ca="1">IF(BB379=0,"",ROW()-200)</f>
        <v/>
      </c>
      <c r="BA379" s="48">
        <f t="shared" ca="1" si="697"/>
        <v>0</v>
      </c>
      <c r="BB379" s="48">
        <f t="shared" ca="1" si="698"/>
        <v>0</v>
      </c>
      <c r="BC379" s="48">
        <f t="shared" ca="1" si="699"/>
        <v>0</v>
      </c>
      <c r="BD379" s="48">
        <f t="shared" ca="1" si="700"/>
        <v>0</v>
      </c>
      <c r="BE379" s="48">
        <f t="shared" ca="1" si="701"/>
        <v>0</v>
      </c>
      <c r="BF379" s="48">
        <f t="shared" si="711"/>
        <v>179</v>
      </c>
      <c r="BG379" s="48">
        <f ca="1">IF(IF(AND(OR(INDEX(PDC,MATCH($AC379,DEN_PDC,0),6)="SP DARE",INDEX(PDC,MATCH($AC379,DEN_PDC,0),6)="SP DARE/AVERE"),SUMIFS(DARE,DEN_G,$AC379)&gt;=SUMIFS(AVERE,DEN_G,$AC379)),SUMIFS(DARE,DEN_G,$AC379)-SUMIFS(AVERE,DEN_G,$AC379),0)&gt;0,MAX($BG$2:BG378)+1,0)</f>
        <v>0</v>
      </c>
      <c r="BH379" s="48">
        <f ca="1">IF(IF(AND(OR(INDEX(PDC,MATCH($AC379,DEN_PDC,0),6)="SP AVERE",INDEX(PDC,MATCH($AC379,DEN_PDC,0),6)="SP DARE/AVERE"),SUMIFS(AVERE,DEN_G,$AC379)&gt;=SUMIFS(DARE,DEN_G,$AC379)),SUMIFS(AVERE,DEN_G,$AC379)-SUMIFS(DARE,DEN_G,$AC379),0)&gt;0,MAX(BH$2:BH378)+1,0)</f>
        <v>0</v>
      </c>
      <c r="BI379" s="48">
        <f ca="1">IF(IF(AND(OR(INDEX(PDC,MATCH($AC379,DEN_PDC,0),6)="SE DARE",INDEX(PDC,MATCH($AC379,DEN_PDC,0),6)="SE DARE/AVERE"),SUMIFS(DARE,DEN_G,$AC379)&gt;=SUMIFS(AVERE,DEN_G,$AC379)),SUMIFS(DARE,DEN_G,$AC379)-SUMIFS(AVERE,DEN_G,$AC379),0)&gt;0,MAX(BI$2:BI378)+1,0)</f>
        <v>0</v>
      </c>
      <c r="BJ379" s="48">
        <f ca="1">IF(IF(AND(OR(INDEX(PDC,MATCH($AC379,DEN_PDC,0),6)="SE AVERE",INDEX(PDC,MATCH($AC379,DEN_PDC,0),6)="SE DARE/AVERE"),SUMIFS(AVERE,DEN_G,$AC379)&gt;=SUMIFS(DARE,DEN_G,$AC379)),SUMIFS(AVERE,DEN_G,$AC379)-SUMIFS(DARE,DEN_G,$AC379),0)&gt;0,MAX(BJ$2:BJ378)+1,0)</f>
        <v>0</v>
      </c>
      <c r="BK379" s="48" t="str">
        <f ca="1">IF(AND(AND($DY$2=0,$DY$1=0),$I$1=2,ROW()&gt;$BG$1+2,ROW()&lt;=$BG$1+4),"………………..",IF(AND(OR($DY$2&gt;0,$DY$1&gt;0),$I$1=2,ROW()&gt;$BG$1+2,ROW()&lt;=$BG$1+4),"………………..",IFERROR(INDEX($AC$3:$AC$398,MATCH(ROWS(BK$3:BK379),BG$3:BG$398,0),1),"")))</f>
        <v/>
      </c>
      <c r="BL379" s="48">
        <f t="shared" ca="1" si="637"/>
        <v>0</v>
      </c>
      <c r="BM379" s="48" t="str">
        <f ca="1">IF(AND(OR($DY$2=0,$DY$1=0),$I$1=2,ROW()&gt;$BH$1+2,ROW()&lt;=$BH$1+4),"………………..",IF(AND(OR($DY$2&gt;0,$DY$1&gt;0),$I$1=2,ROW()&gt;$BH$1+2,ROW()&lt;=$BH$1+4),"………………..",IFERROR(INDEX($AC$3:$AC$400,MATCH(ROWS(BM$3:BM379),BH$3:BH$400,0),1),"")))</f>
        <v/>
      </c>
      <c r="BN379" s="48">
        <f t="shared" ca="1" si="638"/>
        <v>0</v>
      </c>
      <c r="BO379" s="48" t="str">
        <f ca="1">IF(AND(OR($DY$2=0,$DY$1=0),$I$1=2,ROW()&gt;$BI$1+2,ROW()&lt;=$BI$1+4),"………………..",IF(AND(OR($DY$2&gt;0,$DY$1&gt;0),$I$1=2,ROW()&gt;$BI$1+2,ROW()&lt;=$BI$1+4),"………………..",IFERROR(INDEX($AC$3:$AC$400,MATCH(ROWS(BO$3:BO379),BI$3:BI$400,0),1),"")))</f>
        <v/>
      </c>
      <c r="BP379" s="48">
        <f t="shared" ca="1" si="639"/>
        <v>0</v>
      </c>
      <c r="BQ379" s="48" t="str">
        <f ca="1">IF(AND(OR($DY$2=0,$DY$1=0),$I$1=2,ROW()&gt;$BJ$1+2,ROW()&lt;=$BJ$1+4),"………………..",IF(AND(OR($DY$2&gt;0,$DY$1&gt;0),$I$1=2,ROW()&gt;$BJ$1+2,ROW()&lt;=$BJ$1+4),"………………..",IFERROR(INDEX($AC$3:$AC$400,MATCH(ROWS(BQ$3:BQ379),BJ$3:BJ$400,0),1),"")))</f>
        <v/>
      </c>
      <c r="BR379" s="48">
        <f t="shared" ca="1" si="640"/>
        <v>0</v>
      </c>
      <c r="BS379" s="48">
        <f ca="1">IF(IF(AND(OR(INDEX(PDC,MATCH($AC379,DEN_PDC,0),4)="D",INDEX(PDC,MATCH($AC379,DEN_PDC,0),4)="D/A"),SUMIFS(DARE,DEN_G,$AC379)&gt;=SUMIFS(AVERE,DEN_G,$AC379)),SUMIFS(DARE,DEN_G,$AC379),IF(AND(OR(INDEX(PDC,MATCH($AC379,DEN_PDC,0),4)="A",INDEX(PDC,MATCH($AC379,DEN_PDC,0),4)="D/A"),SUMIFS(AVERE,DEN_G,$AC379)&gt;=SUMIFS(DARE,DEN_G,$AC379)),SUMIFS(AVERE,DEN_G,$AC379),))&gt;0,MAX($BS$2:BS378)+1,0)</f>
        <v>0</v>
      </c>
      <c r="BT379" s="48" t="str">
        <f ca="1">IF($CO$1=0,"",IF(AND($I$1=2,ROW()&gt;$BR$1,ROW()&lt;=$BS$1)," …………….",IF(AND($E$1=1,$BX$1=1,$I$1=2,ROW()=$BQ$1),"TOTALI",IFERROR(INDEX(PDC,MATCH(ROWS(BT$3:BT379),BS$3:BS776,0),2),""))))</f>
        <v/>
      </c>
      <c r="BU379" s="48">
        <f t="shared" ca="1" si="641"/>
        <v>0</v>
      </c>
      <c r="BV379" s="48">
        <f t="shared" ca="1" si="642"/>
        <v>0</v>
      </c>
      <c r="BW379" s="48">
        <f t="shared" ca="1" si="643"/>
        <v>0</v>
      </c>
      <c r="BX379" s="48">
        <f t="shared" ca="1" si="644"/>
        <v>0</v>
      </c>
      <c r="BY379" s="48">
        <f ca="1">IF(OR(BW379&gt;0,BX379&gt;0),MAX($BY$2:BY378)+1,0)</f>
        <v>0</v>
      </c>
      <c r="BZ379" s="48" t="str">
        <f ca="1">IFERROR(INDEX($BT$3:$BY$400,MATCH(ROWS(BZ$3:BZ379),$BY$3:$BY$400,0),1),"")</f>
        <v/>
      </c>
      <c r="CA379" s="48" t="str">
        <f ca="1">IFERROR(INDEX($BT$3:$BY$400,MATCH(ROWS(CA$3:CA379),$BY$3:$BY$400,0),4),"")</f>
        <v/>
      </c>
      <c r="CB379" s="48" t="str">
        <f ca="1">IFERROR(INDEX($BT$3:$BY$400,MATCH(ROWS(CB$3:CB379),$BY$3:$BY$400,0),5),"")</f>
        <v/>
      </c>
      <c r="CC379" s="48" t="str">
        <f t="shared" ca="1" si="645"/>
        <v/>
      </c>
      <c r="CM379" s="242" t="str">
        <f t="shared" ca="1" si="655"/>
        <v/>
      </c>
      <c r="CN379" s="243">
        <f t="shared" ca="1" si="656"/>
        <v>0</v>
      </c>
      <c r="CO379" s="48" t="str">
        <f t="shared" ca="1" si="657"/>
        <v/>
      </c>
      <c r="CU379" s="48">
        <f ca="1">IF(SUMIFS(AVERE,DEN_G,AC379,AVERE,"&gt;"&amp;0)+SUMIFS(DARE,DEN_G,AC379,DARE,"&gt;"&amp;0)&gt;0,MAX($CU$2:CU378)+1,0)</f>
        <v>0</v>
      </c>
      <c r="CV379" s="48" t="str">
        <f ca="1">IF(IFERROR(INDEX(PDC,MATCH(ROWS($CV$3:CV379),$CU$3:$CU$400,0),2),"")="CONTO DI RISULTATO ECONOMICO","",IFERROR(INDEX(PDC,MATCH(ROWS($CV$3:CV379),$CU$3:$CU$400,0),2),""))</f>
        <v/>
      </c>
      <c r="CW379" s="48">
        <f ca="1">IFERROR(IF(CV379&lt;&gt;"",MAX($CW$2:CW378)+1,0),0)</f>
        <v>0</v>
      </c>
      <c r="CY379" s="48" t="s">
        <v>500</v>
      </c>
      <c r="DB379" s="48" t="str">
        <f t="shared" ref="DB379" ca="1" si="713">IF(CX378=$DF$1,"","MASTRO")</f>
        <v>MASTRO</v>
      </c>
      <c r="DF379" s="48">
        <f ca="1">IF(AND(CX379=$DF$1,CX379&lt;&gt;""),0,IF(AND(DB379&lt;&gt;"",OR(DB378&lt;&gt;"",DB380&lt;&gt;"")),MAX($DF$2:DF378)+1,0))</f>
        <v>0</v>
      </c>
      <c r="DH379" s="244" t="s">
        <v>1079</v>
      </c>
      <c r="DI379" s="48" t="s">
        <v>263</v>
      </c>
      <c r="DJ379" s="48" t="s">
        <v>311</v>
      </c>
      <c r="DK379" s="48" t="s">
        <v>275</v>
      </c>
      <c r="DL379" s="48" t="s">
        <v>7</v>
      </c>
      <c r="DM379" s="48" t="s">
        <v>301</v>
      </c>
      <c r="DN379" s="48">
        <f ca="1">IF(DI379&lt;&gt;"",MAX($DN$2:DN378)+1,0)</f>
        <v>307</v>
      </c>
      <c r="DO379" s="48" t="s">
        <v>728</v>
      </c>
      <c r="DQ379" s="227" t="s">
        <v>918</v>
      </c>
      <c r="DR379" s="228" t="s">
        <v>268</v>
      </c>
      <c r="DW379" s="48">
        <f ca="1">IF(DR379&lt;&gt;"",MAX($DW$2:DW378)+1,0)</f>
        <v>232</v>
      </c>
      <c r="DY379" s="48" t="str">
        <f t="shared" ca="1" si="647"/>
        <v/>
      </c>
      <c r="EL379" s="48">
        <f t="shared" ca="1" si="648"/>
        <v>0</v>
      </c>
      <c r="EM379" s="48">
        <f ca="1">IF(EL379&gt;=0,0,MAX($EM$2:EM378)+1)</f>
        <v>0</v>
      </c>
      <c r="EN379" s="48" t="str">
        <f t="shared" ca="1" si="658"/>
        <v/>
      </c>
      <c r="EO379" s="48" t="str">
        <f ca="1">IFERROR(INDEX($EM$3:$EN$400,MATCH(ROWS($EO$3:EO379),$EM$3:$EM$400,0),2),"")</f>
        <v/>
      </c>
      <c r="EP379" s="48">
        <f>ROW()</f>
        <v>379</v>
      </c>
      <c r="EQ379" s="48">
        <f t="shared" ca="1" si="649"/>
        <v>0</v>
      </c>
      <c r="ER379" s="48">
        <f ca="1">IF(ISNA(EQ379)=TRUE,MAX($ER$2:ER378)+1,0)</f>
        <v>0</v>
      </c>
      <c r="ES379" s="48" t="str">
        <f t="shared" ca="1" si="659"/>
        <v/>
      </c>
      <c r="ET379" s="48" t="str">
        <f ca="1">IFERROR(INDEX($ER$3:$ES$400,MATCH(ROWS($ET$3:ET379),$ER$3:$ER$400,0),2),"")</f>
        <v/>
      </c>
      <c r="EV379" s="48">
        <f ca="1">IFERROR(INDEX(LIBRO_GIORNALE!$O$11:$P$408,MATCH(ROWS($EV$2:EV378),LIBRO_GIORNALE!$P$11:$P$408,0),1),0)</f>
        <v>0</v>
      </c>
      <c r="EW379" s="48" t="str">
        <f t="shared" ca="1" si="629"/>
        <v>0</v>
      </c>
      <c r="EX379" s="48">
        <f t="shared" ca="1" si="660"/>
        <v>0</v>
      </c>
      <c r="EY379" s="48">
        <f ca="1">IF(EX379&gt;0,MAX($EY$2:EY378)+1,0)</f>
        <v>0</v>
      </c>
      <c r="EZ379" s="48">
        <f ca="1">IFERROR(INDEX($EX$3:$EX$400,MATCH(ROWS($EZ$3:EZ379),$EY$3:$EY$400,0),1),0)</f>
        <v>0</v>
      </c>
      <c r="FA379" s="48">
        <f ca="1">IF(EZ379&gt;0,0,MAX($FA$2:FA378)+1)</f>
        <v>377</v>
      </c>
      <c r="FB379" s="48">
        <f t="shared" ca="1" si="630"/>
        <v>0</v>
      </c>
      <c r="FC379" s="48">
        <f t="shared" ca="1" si="631"/>
        <v>377</v>
      </c>
      <c r="FD379" s="48">
        <f t="shared" ca="1" si="661"/>
        <v>377</v>
      </c>
      <c r="FE379" s="48">
        <f ca="1">IF(FD379=0,0,MAX($FE$2:FE378)+1)</f>
        <v>377</v>
      </c>
      <c r="FF379" s="48">
        <f ca="1">IFERROR(INDEX($FD$3:$FE$400,MATCH(ROWS($FF$3:FF379),$FE$3:$FE$400,0),1),"")</f>
        <v>377</v>
      </c>
      <c r="FG379" s="48">
        <f t="shared" si="696"/>
        <v>0</v>
      </c>
      <c r="FH379" s="48">
        <f t="shared" ca="1" si="662"/>
        <v>0</v>
      </c>
      <c r="FI379" s="48">
        <f ca="1">IF(FH379&lt;&gt;0,MAX($FI$2:FI378)+1,0)</f>
        <v>0</v>
      </c>
      <c r="FJ379" s="48" t="str">
        <f ca="1">IFERROR(INDEX($FH$3:$FI$400,MATCH(ROWS($FJ$3:FJ379),$FI$3:$FI$400,0),1),"")</f>
        <v/>
      </c>
      <c r="FK379" s="48">
        <f ca="1">IF(ABS(SUMIFS(DARE,DEN_G,"="&amp;FJ379,DATA,"&lt;="&amp;FINE_AC,DATA,"&gt;="&amp;INIZIO_A_PC)-SUMIFS(AVERE,DEN_G,"="&amp;FJ379,DATA,"&lt;="&amp;FINE_AC,DATA,"&gt;="&amp;INIZIO_A_PC))&gt;0,MAX($FK$2:FK378)+1,0)</f>
        <v>0</v>
      </c>
      <c r="FL379" s="48" t="str">
        <f ca="1">IF(AND(ROW()-2&lt;&gt;1,ROW()-2&lt;=$FK$1),CONCATENATE(" - ",IFERROR(INDEX($FJ$3:$FK$400,MATCH(ROWS($FL$3:FL379),$FK$3:$FK$400,0),1),"")),IFERROR(INDEX($FJ$3:$FK$400,MATCH(ROWS($FL$3:FL379),$FK$3:$FK$400,0),1),""))</f>
        <v/>
      </c>
      <c r="FM379" s="48">
        <f ca="1">IF(OR(B379="IVA ns/credito",B379="IVA NS/DEBITO",B379="IVA C/ACCONTO",B379="IMPOSTE C/ACCONTO",B379="CREDITI PER RITENUTE SUBITE",B379="CREDITI D'IMPOSTA"),MAX($FM$2:FM378)+1,0)</f>
        <v>0</v>
      </c>
      <c r="FN379" s="48" t="str">
        <f t="shared" ca="1" si="663"/>
        <v/>
      </c>
      <c r="FO379" s="48" t="str">
        <f ca="1">IFERROR(INDEX($FM$3:$FN$400,MATCH(ROWS($FO$3:FO379),$FM$3:$FM$400,0),2),"")</f>
        <v/>
      </c>
      <c r="FP379" s="48">
        <f ca="1">IF(ABS(SUMIFS(DARE,DEN_G,"="&amp;FO379,DATA,"&lt;="&amp;FINE_AC,DATA,"&gt;="&amp;INIZIO_A_PC)-SUMIFS(AVERE,DEN_G,"="&amp;FO379,DATA,"&lt;="&amp;FINE_AC,DATA,"&gt;="&amp;INIZIO_A_PC))&gt;0,MAX($FP$2:FP378)+1,0)</f>
        <v>0</v>
      </c>
      <c r="FQ379" s="48" t="str">
        <f ca="1">IF(AND(ROW()-2&lt;&gt;1,ROW()-2&lt;=$FP$1),CONCATENATE(" - ",IFERROR(INDEX($FO$3:$FP$400,MATCH(ROWS($FQ$3:FQ379),$FP$3:$FP$400,0),1),"")),IFERROR(INDEX($FO$3:$FP$400,MATCH(ROWS($FQ$3:FQ379),$FP$3:$FP$400,0),1),""))</f>
        <v/>
      </c>
    </row>
    <row r="380" spans="1:173" x14ac:dyDescent="0.3">
      <c r="A380" s="48" t="str">
        <f ca="1">IFERROR(IF($A$1=2,INDEX($DH$3:$DN$401,MATCH(ROWS(A$3:A380),$DN$3:$DN$401,0),COLUMN()),IF($A$1=1,INDEX($DQ$3:$DW$401,MATCH(ROWS(A$3:A380),$DW$3:$DW$401,0),COLUMN()),"")),"")</f>
        <v/>
      </c>
      <c r="B380" s="48" t="str">
        <f ca="1">IFERROR(IF($A$1=2,INDEX($DH$3:$DN$400,MATCH(ROWS(B$3:B380),$DN$3:$DN$400,0),COLUMN()),IF($A$1=1,INDEX($DQ$3:$DW$400,MATCH(ROWS(B$3:B380),$DW$3:$DW$400,0),COLUMN()),"")),"")</f>
        <v/>
      </c>
      <c r="D380" s="48" t="str">
        <f ca="1">IFERROR(IF($A$1=2,INDEX($DH$3:$DN$401,MATCH(ROWS(D$3:D380),$DN$3:$DN$401,0),COLUMN()),IF($A$1=1,INDEX($DQ$3:$DW$401,MATCH(ROWS(D$3:D380),$DW$3:$DW$401,0),COLUMN()),"")),"")</f>
        <v/>
      </c>
      <c r="E380" s="48" t="str">
        <f ca="1">IFERROR(IF($A$1=2,INDEX($DH$3:$DN$401,MATCH(ROWS(E$3:E380),$DN$3:$DN$401,0),COLUMN()),IF($A$1=1,INDEX($DQ$3:$DW$401,MATCH(ROWS(E$3:E380),$DW$3:$DW$401,0),COLUMN()),"")),"")</f>
        <v/>
      </c>
      <c r="F380" s="48" t="str">
        <f ca="1">IFERROR(IF($A$1=2,INDEX($DH$3:$DN$401,MATCH(ROWS(F$3:F380),$DN$3:$DN$401,0),COLUMN()),IF($A$1=1,INDEX($DQ$3:$DX$401,MATCH(ROWS(F$3:F380),$DW$3:$DW$401,0),COLUMN()),"")),"")</f>
        <v/>
      </c>
      <c r="G380" s="48" t="str">
        <f t="shared" ca="1" si="650"/>
        <v/>
      </c>
      <c r="H380" s="48" t="str">
        <f ca="1">IFERROR(IF($A$1=2,INDEX($DH$3:$DO$400,MATCH(ROWS(H$3:H380),$DN$3:$DN$400,0),COLUMN()),IF($A$1=1,INDEX($DQ$3:$DX$400,MATCH(ROWS(H$3:H380),$DW$3:$DW$400,0),COLUMN()),"")),"")</f>
        <v/>
      </c>
      <c r="M380" s="48">
        <f ca="1">IFERROR(IF(IF(MID($A380,3,3)=".00",MID(A380,1,2),"")&lt;&gt;"",MAX($M$2:M379)+1,0),"")</f>
        <v>0</v>
      </c>
      <c r="N380" s="48" t="str">
        <f t="shared" ca="1" si="651"/>
        <v/>
      </c>
      <c r="O380" s="48" t="str">
        <f ca="1">IF(IFERROR(INDEX($N$3:$O$300,MATCH(ROWS($O$3:O380),$M$3:$M$300,0),1),"")&lt;&gt;"",CONCATENATE(INDEX($N$3:$O$300,MATCH(ROWS($O$3:O380),$M$3:$M$300,0),1),".00"),"")</f>
        <v/>
      </c>
      <c r="P380" s="48" t="str">
        <f t="shared" ca="1" si="652"/>
        <v/>
      </c>
      <c r="Q380" s="48">
        <f ca="1">IF(M380&gt;=1,0,MAX($Q$2:Q379)+1)</f>
        <v>341</v>
      </c>
      <c r="U380" s="48" t="str">
        <f ca="1">IFERROR(INDEX(PDC,MATCH(ROWS(U$3:U380),$V$3:$V$400,0),2),"")</f>
        <v/>
      </c>
      <c r="V380" s="48">
        <f ca="1">IF(AND($T$1="VISUALIZZA TUTTI I CONTI",AA380&lt;&gt;""),MAX($V$2:V379)+1,IF(AND($U$2=2,AI380=$T$1),MAX($V$2:V379)+1,IF(AND($U$2=1,$T$1=AF380),MAX($V$2:V379)+1,0)))</f>
        <v>0</v>
      </c>
      <c r="AA380" s="48" t="str">
        <f t="shared" ca="1" si="653"/>
        <v/>
      </c>
      <c r="AB380" s="48" t="str">
        <f ca="1">IFERROR(INDEX($A$3:$G$400,MATCH(ROWS(AB$3:AB380),$Q$3:$Q$400,0),1),"")</f>
        <v/>
      </c>
      <c r="AC380" s="48" t="str">
        <f ca="1">IFERROR(INDEX($A$3:$G$400,MATCH(ROWS($AC$3:AC380),$Q$3:$Q$400,0),2),"")</f>
        <v/>
      </c>
      <c r="AD380" s="48" t="str">
        <f ca="1">IFERROR(INDEX($A$3:$G$400,MATCH(ROWS(AD$3:AD380),$Q$3:$Q$400,0),3),"")</f>
        <v/>
      </c>
      <c r="AE380" s="48" t="str">
        <f ca="1">IFERROR(INDEX($A$3:$G$400,MATCH(ROWS(AE$3:AE380),$Q$3:$Q$400,0),4),"")</f>
        <v/>
      </c>
      <c r="AF380" s="48" t="str">
        <f ca="1">IFERROR(INDEX($A$3:$G$400,MATCH(ROWS(AF$3:AF380),$Q$3:$Q$400,0),5),"")</f>
        <v/>
      </c>
      <c r="AG380" s="48" t="str">
        <f ca="1">IFERROR(INDEX($A$3:$G$400,MATCH(ROWS(AG$3:AG380),$Q$3:$Q$400,0),6),"")</f>
        <v/>
      </c>
      <c r="AH380" s="48" t="str">
        <f ca="1">IFERROR(INDEX($A$3:$G$400,MATCH(ROWS(AH$3:AH380),$Q$3:$Q$400,0),7),"")</f>
        <v/>
      </c>
      <c r="AI380" s="48" t="str">
        <f t="shared" ca="1" si="654"/>
        <v/>
      </c>
      <c r="AJ380" s="48" t="str">
        <f ca="1">IFERROR(INDEX($A$3:$H$400,MATCH(ROWS(AJ$3:AJ380),$Q$3:$Q$400,0),8),"")</f>
        <v/>
      </c>
      <c r="AZ380" s="48" t="str">
        <f t="shared" ref="AZ380:AZ390" ca="1" si="714">IF(BB380=0,"",ROW()-200)</f>
        <v/>
      </c>
      <c r="BA380" s="48">
        <f t="shared" ca="1" si="697"/>
        <v>0</v>
      </c>
      <c r="BB380" s="48">
        <f t="shared" ca="1" si="698"/>
        <v>0</v>
      </c>
      <c r="BC380" s="48">
        <f t="shared" ca="1" si="699"/>
        <v>0</v>
      </c>
      <c r="BD380" s="48">
        <f t="shared" ca="1" si="700"/>
        <v>0</v>
      </c>
      <c r="BE380" s="48">
        <f t="shared" ca="1" si="701"/>
        <v>0</v>
      </c>
      <c r="BF380" s="48">
        <f t="shared" si="711"/>
        <v>180</v>
      </c>
      <c r="BG380" s="48">
        <f ca="1">IF(IF(AND(OR(INDEX(PDC,MATCH($AC380,DEN_PDC,0),6)="SP DARE",INDEX(PDC,MATCH($AC380,DEN_PDC,0),6)="SP DARE/AVERE"),SUMIFS(DARE,DEN_G,$AC380)&gt;=SUMIFS(AVERE,DEN_G,$AC380)),SUMIFS(DARE,DEN_G,$AC380)-SUMIFS(AVERE,DEN_G,$AC380),0)&gt;0,MAX($BG$2:BG379)+1,0)</f>
        <v>0</v>
      </c>
      <c r="BH380" s="48">
        <f ca="1">IF(IF(AND(OR(INDEX(PDC,MATCH($AC380,DEN_PDC,0),6)="SP AVERE",INDEX(PDC,MATCH($AC380,DEN_PDC,0),6)="SP DARE/AVERE"),SUMIFS(AVERE,DEN_G,$AC380)&gt;=SUMIFS(DARE,DEN_G,$AC380)),SUMIFS(AVERE,DEN_G,$AC380)-SUMIFS(DARE,DEN_G,$AC380),0)&gt;0,MAX(BH$2:BH379)+1,0)</f>
        <v>0</v>
      </c>
      <c r="BI380" s="48">
        <f ca="1">IF(IF(AND(OR(INDEX(PDC,MATCH($AC380,DEN_PDC,0),6)="SE DARE",INDEX(PDC,MATCH($AC380,DEN_PDC,0),6)="SE DARE/AVERE"),SUMIFS(DARE,DEN_G,$AC380)&gt;=SUMIFS(AVERE,DEN_G,$AC380)),SUMIFS(DARE,DEN_G,$AC380)-SUMIFS(AVERE,DEN_G,$AC380),0)&gt;0,MAX(BI$2:BI379)+1,0)</f>
        <v>0</v>
      </c>
      <c r="BJ380" s="48">
        <f ca="1">IF(IF(AND(OR(INDEX(PDC,MATCH($AC380,DEN_PDC,0),6)="SE AVERE",INDEX(PDC,MATCH($AC380,DEN_PDC,0),6)="SE DARE/AVERE"),SUMIFS(AVERE,DEN_G,$AC380)&gt;=SUMIFS(DARE,DEN_G,$AC380)),SUMIFS(AVERE,DEN_G,$AC380)-SUMIFS(DARE,DEN_G,$AC380),0)&gt;0,MAX(BJ$2:BJ379)+1,0)</f>
        <v>0</v>
      </c>
      <c r="BK380" s="48" t="str">
        <f ca="1">IF(AND(AND($DY$2=0,$DY$1=0),$I$1=2,ROW()&gt;$BG$1+2,ROW()&lt;=$BG$1+4),"………………..",IF(AND(OR($DY$2&gt;0,$DY$1&gt;0),$I$1=2,ROW()&gt;$BG$1+2,ROW()&lt;=$BG$1+4),"………………..",IFERROR(INDEX($AC$3:$AC$398,MATCH(ROWS(BK$3:BK380),BG$3:BG$398,0),1),"")))</f>
        <v/>
      </c>
      <c r="BL380" s="48">
        <f t="shared" ca="1" si="637"/>
        <v>0</v>
      </c>
      <c r="BM380" s="48" t="str">
        <f ca="1">IF(AND(OR($DY$2=0,$DY$1=0),$I$1=2,ROW()&gt;$BH$1+2,ROW()&lt;=$BH$1+4),"………………..",IF(AND(OR($DY$2&gt;0,$DY$1&gt;0),$I$1=2,ROW()&gt;$BH$1+2,ROW()&lt;=$BH$1+4),"………………..",IFERROR(INDEX($AC$3:$AC$400,MATCH(ROWS(BM$3:BM380),BH$3:BH$400,0),1),"")))</f>
        <v/>
      </c>
      <c r="BN380" s="48">
        <f t="shared" ca="1" si="638"/>
        <v>0</v>
      </c>
      <c r="BO380" s="48" t="str">
        <f ca="1">IF(AND(OR($DY$2=0,$DY$1=0),$I$1=2,ROW()&gt;$BI$1+2,ROW()&lt;=$BI$1+4),"………………..",IF(AND(OR($DY$2&gt;0,$DY$1&gt;0),$I$1=2,ROW()&gt;$BI$1+2,ROW()&lt;=$BI$1+4),"………………..",IFERROR(INDEX($AC$3:$AC$400,MATCH(ROWS(BO$3:BO380),BI$3:BI$400,0),1),"")))</f>
        <v/>
      </c>
      <c r="BP380" s="48">
        <f t="shared" ca="1" si="639"/>
        <v>0</v>
      </c>
      <c r="BQ380" s="48" t="str">
        <f ca="1">IF(AND(OR($DY$2=0,$DY$1=0),$I$1=2,ROW()&gt;$BJ$1+2,ROW()&lt;=$BJ$1+4),"………………..",IF(AND(OR($DY$2&gt;0,$DY$1&gt;0),$I$1=2,ROW()&gt;$BJ$1+2,ROW()&lt;=$BJ$1+4),"………………..",IFERROR(INDEX($AC$3:$AC$400,MATCH(ROWS(BQ$3:BQ380),BJ$3:BJ$400,0),1),"")))</f>
        <v/>
      </c>
      <c r="BR380" s="48">
        <f t="shared" ca="1" si="640"/>
        <v>0</v>
      </c>
      <c r="BS380" s="48">
        <f ca="1">IF(IF(AND(OR(INDEX(PDC,MATCH($AC380,DEN_PDC,0),4)="D",INDEX(PDC,MATCH($AC380,DEN_PDC,0),4)="D/A"),SUMIFS(DARE,DEN_G,$AC380)&gt;=SUMIFS(AVERE,DEN_G,$AC380)),SUMIFS(DARE,DEN_G,$AC380),IF(AND(OR(INDEX(PDC,MATCH($AC380,DEN_PDC,0),4)="A",INDEX(PDC,MATCH($AC380,DEN_PDC,0),4)="D/A"),SUMIFS(AVERE,DEN_G,$AC380)&gt;=SUMIFS(DARE,DEN_G,$AC380)),SUMIFS(AVERE,DEN_G,$AC380),))&gt;0,MAX($BS$2:BS379)+1,0)</f>
        <v>0</v>
      </c>
      <c r="BT380" s="48" t="str">
        <f ca="1">IF($CO$1=0,"",IF(AND($I$1=2,ROW()&gt;$BR$1,ROW()&lt;=$BS$1)," …………….",IF(AND($E$1=1,$BX$1=1,$I$1=2,ROW()=$BQ$1),"TOTALI",IFERROR(INDEX(PDC,MATCH(ROWS(BT$3:BT380),BS$3:BS777,0),2),""))))</f>
        <v/>
      </c>
      <c r="BU380" s="48">
        <f t="shared" ca="1" si="641"/>
        <v>0</v>
      </c>
      <c r="BV380" s="48">
        <f t="shared" ca="1" si="642"/>
        <v>0</v>
      </c>
      <c r="BW380" s="48">
        <f t="shared" ca="1" si="643"/>
        <v>0</v>
      </c>
      <c r="BX380" s="48">
        <f t="shared" ca="1" si="644"/>
        <v>0</v>
      </c>
      <c r="BY380" s="48">
        <f ca="1">IF(OR(BW380&gt;0,BX380&gt;0),MAX($BY$2:BY379)+1,0)</f>
        <v>0</v>
      </c>
      <c r="BZ380" s="48" t="str">
        <f ca="1">IFERROR(INDEX($BT$3:$BY$400,MATCH(ROWS(BZ$3:BZ380),$BY$3:$BY$400,0),1),"")</f>
        <v/>
      </c>
      <c r="CA380" s="48" t="str">
        <f ca="1">IFERROR(INDEX($BT$3:$BY$400,MATCH(ROWS(CA$3:CA380),$BY$3:$BY$400,0),4),"")</f>
        <v/>
      </c>
      <c r="CB380" s="48" t="str">
        <f ca="1">IFERROR(INDEX($BT$3:$BY$400,MATCH(ROWS(CB$3:CB380),$BY$3:$BY$400,0),5),"")</f>
        <v/>
      </c>
      <c r="CC380" s="48" t="str">
        <f t="shared" ca="1" si="645"/>
        <v/>
      </c>
      <c r="CM380" s="242" t="str">
        <f t="shared" ca="1" si="655"/>
        <v/>
      </c>
      <c r="CN380" s="243">
        <f t="shared" ca="1" si="656"/>
        <v>0</v>
      </c>
      <c r="CO380" s="48" t="str">
        <f t="shared" ca="1" si="657"/>
        <v/>
      </c>
      <c r="CU380" s="48">
        <f ca="1">IF(SUMIFS(AVERE,DEN_G,AC380,AVERE,"&gt;"&amp;0)+SUMIFS(DARE,DEN_G,AC380,DARE,"&gt;"&amp;0)&gt;0,MAX($CU$2:CU379)+1,0)</f>
        <v>0</v>
      </c>
      <c r="CV380" s="48" t="str">
        <f ca="1">IF(IFERROR(INDEX(PDC,MATCH(ROWS($CV$3:CV380),$CU$3:$CU$400,0),2),"")="CONTO DI RISULTATO ECONOMICO","",IFERROR(INDEX(PDC,MATCH(ROWS($CV$3:CV380),$CU$3:$CU$400,0),2),""))</f>
        <v/>
      </c>
      <c r="CW380" s="48">
        <f ca="1">IFERROR(IF(CV380&lt;&gt;"",MAX($CW$2:CW379)+1,0),0)</f>
        <v>0</v>
      </c>
      <c r="CX380" s="48">
        <f ca="1">$FF$32</f>
        <v>30</v>
      </c>
      <c r="CY380" s="48" t="str">
        <f t="shared" ref="CY380:CY391" ca="1" si="715">IF(ISERROR(INDEX($CV$3:$CX$1302,MATCH(CX380,$CW$3:$CW$1302,0),1)),"MASTRO",INDEX($CV$3:$CX$1302,MATCH(CX380,$CW$3:$CW$1302,0),1))</f>
        <v>MASTRO</v>
      </c>
      <c r="DA380" s="48" t="str">
        <f>IF(CY379="MASTRO","Conto n.","")</f>
        <v>Conto n.</v>
      </c>
      <c r="DB380" s="48" t="str">
        <f ca="1">IF(CY380=0,"",INDEX(PDC,MATCH(DC380,DEN_PDC,0),1))</f>
        <v/>
      </c>
      <c r="DC380" s="48" t="str">
        <f ca="1">IF(OR(CY380=0,CY380="mastro"),"",CY380)</f>
        <v/>
      </c>
      <c r="DD380" s="48" t="str">
        <f ca="1">IF(AND($DA$2=TRUE,OR(INDEX(PDC,MATCH($DC380,DEN_PDC,0),4)="A",INDEX(PDC,MATCH($DC380,DEN_PDC,0),4)="D/A"),SUMIFS(AVERE,DEN_G,"="&amp;$DC380,DATA,"&lt;="&amp;FINE_AC,DATA,"&gt;="&amp;INIZIO_AC)&gt;SUMIFS(DARE,DEN_G,"="&amp;$DC380,DATA,"&lt;="&amp;FINE_AC,DATA,"&gt;="&amp;INIZIO_AC)),CONCATENATE("s ",FIXED(ABS(SUMIFS(AVERE,DEN_G,"="&amp;$DC380,DATA,"&lt;="&amp;FINE_AC,DATA,"&gt;="&amp;INIZIO_AC)-SUMIFS(DARE,DEN_G,"="&amp;$DC380,DATA,"&lt;="&amp;FINE_AC,DATA,"&gt;="&amp;INIZIO_AC)),2)),"")</f>
        <v/>
      </c>
      <c r="DE380" s="48" t="str">
        <f ca="1">IF(AND($DA$2=TRUE,OR(INDEX(PDC,MATCH($DC380,DEN_PDC,0),4)="D",INDEX(PDC,MATCH($DC380,DEN_PDC,0),4)="D/A"),SUMIFS(DARE,DEN_G,"="&amp;$DC380,DATA,"&lt;="&amp;FINE_AC,DATA,"&gt;="&amp;INIZIO_AC)&gt;SUMIFS(AVERE,DEN_G,"="&amp;$DC380,DATA,"&lt;="&amp;FINE_AC,DATA,"&gt;="&amp;INIZIO_AC)),CONCATENATE("s ",FIXED(ABS(SUMIFS(DARE,DEN_G,"="&amp;$DC380,DATA,"&lt;="&amp;FINE_AC,DATA,"&gt;="&amp;INIZIO_AC)-SUMIFS(AVERE,DEN_G,"="&amp;$DC380,DATA,"&lt;="&amp;FINE_AC,DATA,"&gt;="&amp;INIZIO_AC)),2)),"")</f>
        <v/>
      </c>
      <c r="DF380" s="48">
        <f ca="1">IF(AND(CX380=$DF$1,CX380&lt;&gt;""),0,IF(AND(DB380&lt;&gt;"",OR(DB379&lt;&gt;"",DB381&lt;&gt;"")),MAX($DF$2:DF379)+1,0))</f>
        <v>0</v>
      </c>
      <c r="DH380" s="244" t="s">
        <v>1133</v>
      </c>
      <c r="DI380" s="48" t="s">
        <v>850</v>
      </c>
      <c r="DJ380" s="48" t="s">
        <v>311</v>
      </c>
      <c r="DK380" s="48" t="s">
        <v>275</v>
      </c>
      <c r="DL380" s="48" t="s">
        <v>7</v>
      </c>
      <c r="DM380" s="48" t="s">
        <v>301</v>
      </c>
      <c r="DN380" s="48">
        <f ca="1">IF(DI380&lt;&gt;"",MAX($DN$2:DN379)+1,0)</f>
        <v>308</v>
      </c>
      <c r="DO380" s="48" t="s">
        <v>728</v>
      </c>
      <c r="DQ380" s="227" t="s">
        <v>919</v>
      </c>
      <c r="DR380" s="48" t="s">
        <v>269</v>
      </c>
      <c r="DS380" s="48" t="s">
        <v>311</v>
      </c>
      <c r="DT380" s="48" t="s">
        <v>271</v>
      </c>
      <c r="DU380" s="48" t="s">
        <v>268</v>
      </c>
      <c r="DW380" s="48">
        <f ca="1">IF(DR380&lt;&gt;"",MAX($DW$2:DW379)+1,0)</f>
        <v>233</v>
      </c>
      <c r="DY380" s="48" t="str">
        <f t="shared" ca="1" si="647"/>
        <v/>
      </c>
      <c r="EL380" s="48">
        <f t="shared" ca="1" si="648"/>
        <v>0</v>
      </c>
      <c r="EM380" s="48">
        <f ca="1">IF(EL380&gt;=0,0,MAX($EM$2:EM379)+1)</f>
        <v>0</v>
      </c>
      <c r="EN380" s="48" t="str">
        <f t="shared" ca="1" si="658"/>
        <v/>
      </c>
      <c r="EO380" s="48" t="str">
        <f ca="1">IFERROR(INDEX($EM$3:$EN$400,MATCH(ROWS($EO$3:EO380),$EM$3:$EM$400,0),2),"")</f>
        <v/>
      </c>
      <c r="EP380" s="48">
        <f>ROW()</f>
        <v>380</v>
      </c>
      <c r="EQ380" s="48">
        <f t="shared" ca="1" si="649"/>
        <v>0</v>
      </c>
      <c r="ER380" s="48">
        <f ca="1">IF(ISNA(EQ380)=TRUE,MAX($ER$2:ER379)+1,0)</f>
        <v>0</v>
      </c>
      <c r="ES380" s="48" t="str">
        <f t="shared" ca="1" si="659"/>
        <v/>
      </c>
      <c r="ET380" s="48" t="str">
        <f ca="1">IFERROR(INDEX($ER$3:$ES$400,MATCH(ROWS($ET$3:ET380),$ER$3:$ER$400,0),2),"")</f>
        <v/>
      </c>
      <c r="EV380" s="48">
        <f ca="1">IFERROR(INDEX(LIBRO_GIORNALE!$O$11:$P$408,MATCH(ROWS($EV$2:EV379),LIBRO_GIORNALE!$P$11:$P$408,0),1),0)</f>
        <v>0</v>
      </c>
      <c r="EW380" s="48" t="str">
        <f t="shared" ref="EW380:EW401" ca="1" si="716">UPPER(IFERROR(INDEX($AZ$103:$BB$400,MATCH(EV380,$AZ$103:$AZ$400,0),3),0))</f>
        <v>0</v>
      </c>
      <c r="EX380" s="48">
        <f t="shared" ca="1" si="660"/>
        <v>0</v>
      </c>
      <c r="EY380" s="48">
        <f ca="1">IF(EX380&gt;0,MAX($EY$2:EY379)+1,0)</f>
        <v>0</v>
      </c>
      <c r="EZ380" s="48">
        <f ca="1">IFERROR(INDEX($EX$3:$EX$400,MATCH(ROWS($EZ$3:EZ380),$EY$3:$EY$400,0),1),0)</f>
        <v>0</v>
      </c>
      <c r="FA380" s="48">
        <f ca="1">IF(EZ380&gt;0,0,MAX($FA$2:FA379)+1)</f>
        <v>378</v>
      </c>
      <c r="FB380" s="48">
        <f t="shared" ref="FB380:FB400" ca="1" si="717">IFERROR(IF(FA380&gt;0,MATCH(FA380,$EZ$3:$EZ$400,0),0),0)</f>
        <v>0</v>
      </c>
      <c r="FC380" s="48">
        <f t="shared" ref="FC380:FC400" ca="1" si="718">IF(FB380=0,FA380,0)</f>
        <v>378</v>
      </c>
      <c r="FD380" s="48">
        <f t="shared" ca="1" si="661"/>
        <v>378</v>
      </c>
      <c r="FE380" s="48">
        <f ca="1">IF(FD380=0,0,MAX($FE$2:FE379)+1)</f>
        <v>378</v>
      </c>
      <c r="FF380" s="48">
        <f ca="1">IFERROR(INDEX($FD$3:$FE$400,MATCH(ROWS($FF$3:FF380),$FE$3:$FE$400,0),1),"")</f>
        <v>378</v>
      </c>
      <c r="FG380" s="48">
        <f t="shared" si="696"/>
        <v>0</v>
      </c>
      <c r="FH380" s="48">
        <f t="shared" ca="1" si="662"/>
        <v>0</v>
      </c>
      <c r="FI380" s="48">
        <f ca="1">IF(FH380&lt;&gt;0,MAX($FI$2:FI379)+1,0)</f>
        <v>0</v>
      </c>
      <c r="FJ380" s="48" t="str">
        <f ca="1">IFERROR(INDEX($FH$3:$FI$400,MATCH(ROWS($FJ$3:FJ380),$FI$3:$FI$400,0),1),"")</f>
        <v/>
      </c>
      <c r="FK380" s="48">
        <f ca="1">IF(ABS(SUMIFS(DARE,DEN_G,"="&amp;FJ380,DATA,"&lt;="&amp;FINE_AC,DATA,"&gt;="&amp;INIZIO_A_PC)-SUMIFS(AVERE,DEN_G,"="&amp;FJ380,DATA,"&lt;="&amp;FINE_AC,DATA,"&gt;="&amp;INIZIO_A_PC))&gt;0,MAX($FK$2:FK379)+1,0)</f>
        <v>0</v>
      </c>
      <c r="FL380" s="48" t="str">
        <f ca="1">IF(AND(ROW()-2&lt;&gt;1,ROW()-2&lt;=$FK$1),CONCATENATE(" - ",IFERROR(INDEX($FJ$3:$FK$400,MATCH(ROWS($FL$3:FL380),$FK$3:$FK$400,0),1),"")),IFERROR(INDEX($FJ$3:$FK$400,MATCH(ROWS($FL$3:FL380),$FK$3:$FK$400,0),1),""))</f>
        <v/>
      </c>
      <c r="FM380" s="48">
        <f ca="1">IF(OR(B380="IVA ns/credito",B380="IVA NS/DEBITO",B380="IVA C/ACCONTO",B380="IMPOSTE C/ACCONTO",B380="CREDITI PER RITENUTE SUBITE",B380="CREDITI D'IMPOSTA"),MAX($FM$2:FM379)+1,0)</f>
        <v>0</v>
      </c>
      <c r="FN380" s="48" t="str">
        <f t="shared" ca="1" si="663"/>
        <v/>
      </c>
      <c r="FO380" s="48" t="str">
        <f ca="1">IFERROR(INDEX($FM$3:$FN$400,MATCH(ROWS($FO$3:FO380),$FM$3:$FM$400,0),2),"")</f>
        <v/>
      </c>
      <c r="FP380" s="48">
        <f ca="1">IF(ABS(SUMIFS(DARE,DEN_G,"="&amp;FO380,DATA,"&lt;="&amp;FINE_AC,DATA,"&gt;="&amp;INIZIO_A_PC)-SUMIFS(AVERE,DEN_G,"="&amp;FO380,DATA,"&lt;="&amp;FINE_AC,DATA,"&gt;="&amp;INIZIO_A_PC))&gt;0,MAX($FP$2:FP379)+1,0)</f>
        <v>0</v>
      </c>
      <c r="FQ380" s="48" t="str">
        <f ca="1">IF(AND(ROW()-2&lt;&gt;1,ROW()-2&lt;=$FP$1),CONCATENATE(" - ",IFERROR(INDEX($FO$3:$FP$400,MATCH(ROWS($FQ$3:FQ380),$FP$3:$FP$400,0),1),"")),IFERROR(INDEX($FO$3:$FP$400,MATCH(ROWS($FQ$3:FQ380),$FP$3:$FP$400,0),1),""))</f>
        <v/>
      </c>
    </row>
    <row r="381" spans="1:173" x14ac:dyDescent="0.3">
      <c r="A381" s="48" t="str">
        <f ca="1">IFERROR(IF($A$1=2,INDEX($DH$3:$DN$401,MATCH(ROWS(A$3:A381),$DN$3:$DN$401,0),COLUMN()),IF($A$1=1,INDEX($DQ$3:$DW$401,MATCH(ROWS(A$3:A381),$DW$3:$DW$401,0),COLUMN()),"")),"")</f>
        <v/>
      </c>
      <c r="B381" s="48" t="str">
        <f ca="1">IFERROR(IF($A$1=2,INDEX($DH$3:$DN$400,MATCH(ROWS(B$3:B381),$DN$3:$DN$400,0),COLUMN()),IF($A$1=1,INDEX($DQ$3:$DW$400,MATCH(ROWS(B$3:B381),$DW$3:$DW$400,0),COLUMN()),"")),"")</f>
        <v/>
      </c>
      <c r="D381" s="48" t="str">
        <f ca="1">IFERROR(IF($A$1=2,INDEX($DH$3:$DN$401,MATCH(ROWS(D$3:D381),$DN$3:$DN$401,0),COLUMN()),IF($A$1=1,INDEX($DQ$3:$DW$401,MATCH(ROWS(D$3:D381),$DW$3:$DW$401,0),COLUMN()),"")),"")</f>
        <v/>
      </c>
      <c r="E381" s="48" t="str">
        <f ca="1">IFERROR(IF($A$1=2,INDEX($DH$3:$DN$401,MATCH(ROWS(E$3:E381),$DN$3:$DN$401,0),COLUMN()),IF($A$1=1,INDEX($DQ$3:$DW$401,MATCH(ROWS(E$3:E381),$DW$3:$DW$401,0),COLUMN()),"")),"")</f>
        <v/>
      </c>
      <c r="F381" s="48" t="str">
        <f ca="1">IFERROR(IF($A$1=2,INDEX($DH$3:$DN$401,MATCH(ROWS(F$3:F381),$DN$3:$DN$401,0),COLUMN()),IF($A$1=1,INDEX($DQ$3:$DX$401,MATCH(ROWS(F$3:F381),$DW$3:$DW$401,0),COLUMN()),"")),"")</f>
        <v/>
      </c>
      <c r="G381" s="48" t="str">
        <f t="shared" ca="1" si="650"/>
        <v/>
      </c>
      <c r="H381" s="48" t="str">
        <f ca="1">IFERROR(IF($A$1=2,INDEX($DH$3:$DO$400,MATCH(ROWS(H$3:H381),$DN$3:$DN$400,0),COLUMN()),IF($A$1=1,INDEX($DQ$3:$DX$400,MATCH(ROWS(H$3:H381),$DW$3:$DW$400,0),COLUMN()),"")),"")</f>
        <v/>
      </c>
      <c r="M381" s="48">
        <f ca="1">IFERROR(IF(IF(MID($A381,3,3)=".00",MID(A381,1,2),"")&lt;&gt;"",MAX($M$2:M380)+1,0),"")</f>
        <v>0</v>
      </c>
      <c r="N381" s="48" t="str">
        <f t="shared" ca="1" si="651"/>
        <v/>
      </c>
      <c r="O381" s="48" t="str">
        <f ca="1">IF(IFERROR(INDEX($N$3:$O$300,MATCH(ROWS($O$3:O381),$M$3:$M$300,0),1),"")&lt;&gt;"",CONCATENATE(INDEX($N$3:$O$300,MATCH(ROWS($O$3:O381),$M$3:$M$300,0),1),".00"),"")</f>
        <v/>
      </c>
      <c r="P381" s="48" t="str">
        <f t="shared" ca="1" si="652"/>
        <v/>
      </c>
      <c r="Q381" s="48">
        <f ca="1">IF(M381&gt;=1,0,MAX($Q$2:Q380)+1)</f>
        <v>342</v>
      </c>
      <c r="U381" s="48" t="str">
        <f ca="1">IFERROR(INDEX(PDC,MATCH(ROWS(U$3:U381),$V$3:$V$400,0),2),"")</f>
        <v/>
      </c>
      <c r="V381" s="48">
        <f ca="1">IF(AND($T$1="VISUALIZZA TUTTI I CONTI",AA381&lt;&gt;""),MAX($V$2:V380)+1,IF(AND($U$2=2,AI381=$T$1),MAX($V$2:V380)+1,IF(AND($U$2=1,$T$1=AF381),MAX($V$2:V380)+1,0)))</f>
        <v>0</v>
      </c>
      <c r="AA381" s="48" t="str">
        <f t="shared" ca="1" si="653"/>
        <v/>
      </c>
      <c r="AB381" s="48" t="str">
        <f ca="1">IFERROR(INDEX($A$3:$G$400,MATCH(ROWS(AB$3:AB381),$Q$3:$Q$400,0),1),"")</f>
        <v/>
      </c>
      <c r="AC381" s="48" t="str">
        <f ca="1">IFERROR(INDEX($A$3:$G$400,MATCH(ROWS($AC$3:AC381),$Q$3:$Q$400,0),2),"")</f>
        <v/>
      </c>
      <c r="AD381" s="48" t="str">
        <f ca="1">IFERROR(INDEX($A$3:$G$400,MATCH(ROWS(AD$3:AD381),$Q$3:$Q$400,0),3),"")</f>
        <v/>
      </c>
      <c r="AE381" s="48" t="str">
        <f ca="1">IFERROR(INDEX($A$3:$G$400,MATCH(ROWS(AE$3:AE381),$Q$3:$Q$400,0),4),"")</f>
        <v/>
      </c>
      <c r="AF381" s="48" t="str">
        <f ca="1">IFERROR(INDEX($A$3:$G$400,MATCH(ROWS(AF$3:AF381),$Q$3:$Q$400,0),5),"")</f>
        <v/>
      </c>
      <c r="AG381" s="48" t="str">
        <f ca="1">IFERROR(INDEX($A$3:$G$400,MATCH(ROWS(AG$3:AG381),$Q$3:$Q$400,0),6),"")</f>
        <v/>
      </c>
      <c r="AH381" s="48" t="str">
        <f ca="1">IFERROR(INDEX($A$3:$G$400,MATCH(ROWS(AH$3:AH381),$Q$3:$Q$400,0),7),"")</f>
        <v/>
      </c>
      <c r="AI381" s="48" t="str">
        <f t="shared" ca="1" si="654"/>
        <v/>
      </c>
      <c r="AJ381" s="48" t="str">
        <f ca="1">IFERROR(INDEX($A$3:$H$400,MATCH(ROWS(AJ$3:AJ381),$Q$3:$Q$400,0),8),"")</f>
        <v/>
      </c>
      <c r="AZ381" s="48" t="str">
        <f t="shared" ca="1" si="714"/>
        <v/>
      </c>
      <c r="BA381" s="48">
        <f t="shared" ca="1" si="697"/>
        <v>0</v>
      </c>
      <c r="BB381" s="48">
        <f t="shared" ca="1" si="698"/>
        <v>0</v>
      </c>
      <c r="BC381" s="48">
        <f t="shared" ca="1" si="699"/>
        <v>0</v>
      </c>
      <c r="BD381" s="48">
        <f t="shared" ca="1" si="700"/>
        <v>0</v>
      </c>
      <c r="BE381" s="48">
        <f t="shared" ca="1" si="701"/>
        <v>0</v>
      </c>
      <c r="BF381" s="48">
        <f t="shared" si="711"/>
        <v>181</v>
      </c>
      <c r="BG381" s="48">
        <f ca="1">IF(IF(AND(OR(INDEX(PDC,MATCH($AC381,DEN_PDC,0),6)="SP DARE",INDEX(PDC,MATCH($AC381,DEN_PDC,0),6)="SP DARE/AVERE"),SUMIFS(DARE,DEN_G,$AC381)&gt;=SUMIFS(AVERE,DEN_G,$AC381)),SUMIFS(DARE,DEN_G,$AC381)-SUMIFS(AVERE,DEN_G,$AC381),0)&gt;0,MAX($BG$2:BG380)+1,0)</f>
        <v>0</v>
      </c>
      <c r="BH381" s="48">
        <f ca="1">IF(IF(AND(OR(INDEX(PDC,MATCH($AC381,DEN_PDC,0),6)="SP AVERE",INDEX(PDC,MATCH($AC381,DEN_PDC,0),6)="SP DARE/AVERE"),SUMIFS(AVERE,DEN_G,$AC381)&gt;=SUMIFS(DARE,DEN_G,$AC381)),SUMIFS(AVERE,DEN_G,$AC381)-SUMIFS(DARE,DEN_G,$AC381),0)&gt;0,MAX(BH$2:BH380)+1,0)</f>
        <v>0</v>
      </c>
      <c r="BI381" s="48">
        <f ca="1">IF(IF(AND(OR(INDEX(PDC,MATCH($AC381,DEN_PDC,0),6)="SE DARE",INDEX(PDC,MATCH($AC381,DEN_PDC,0),6)="SE DARE/AVERE"),SUMIFS(DARE,DEN_G,$AC381)&gt;=SUMIFS(AVERE,DEN_G,$AC381)),SUMIFS(DARE,DEN_G,$AC381)-SUMIFS(AVERE,DEN_G,$AC381),0)&gt;0,MAX(BI$2:BI380)+1,0)</f>
        <v>0</v>
      </c>
      <c r="BJ381" s="48">
        <f ca="1">IF(IF(AND(OR(INDEX(PDC,MATCH($AC381,DEN_PDC,0),6)="SE AVERE",INDEX(PDC,MATCH($AC381,DEN_PDC,0),6)="SE DARE/AVERE"),SUMIFS(AVERE,DEN_G,$AC381)&gt;=SUMIFS(DARE,DEN_G,$AC381)),SUMIFS(AVERE,DEN_G,$AC381)-SUMIFS(DARE,DEN_G,$AC381),0)&gt;0,MAX(BJ$2:BJ380)+1,0)</f>
        <v>0</v>
      </c>
      <c r="BK381" s="48" t="str">
        <f ca="1">IF(AND(AND($DY$2=0,$DY$1=0),$I$1=2,ROW()&gt;$BG$1+2,ROW()&lt;=$BG$1+4),"………………..",IF(AND(OR($DY$2&gt;0,$DY$1&gt;0),$I$1=2,ROW()&gt;$BG$1+2,ROW()&lt;=$BG$1+4),"………………..",IFERROR(INDEX($AC$3:$AC$398,MATCH(ROWS(BK$3:BK381),BG$3:BG$398,0),1),"")))</f>
        <v/>
      </c>
      <c r="BL381" s="48">
        <f t="shared" ca="1" si="637"/>
        <v>0</v>
      </c>
      <c r="BM381" s="48" t="str">
        <f ca="1">IF(AND(OR($DY$2=0,$DY$1=0),$I$1=2,ROW()&gt;$BH$1+2,ROW()&lt;=$BH$1+4),"………………..",IF(AND(OR($DY$2&gt;0,$DY$1&gt;0),$I$1=2,ROW()&gt;$BH$1+2,ROW()&lt;=$BH$1+4),"………………..",IFERROR(INDEX($AC$3:$AC$400,MATCH(ROWS(BM$3:BM381),BH$3:BH$400,0),1),"")))</f>
        <v/>
      </c>
      <c r="BN381" s="48">
        <f t="shared" ca="1" si="638"/>
        <v>0</v>
      </c>
      <c r="BO381" s="48" t="str">
        <f ca="1">IF(AND(OR($DY$2=0,$DY$1=0),$I$1=2,ROW()&gt;$BI$1+2,ROW()&lt;=$BI$1+4),"………………..",IF(AND(OR($DY$2&gt;0,$DY$1&gt;0),$I$1=2,ROW()&gt;$BI$1+2,ROW()&lt;=$BI$1+4),"………………..",IFERROR(INDEX($AC$3:$AC$400,MATCH(ROWS(BO$3:BO381),BI$3:BI$400,0),1),"")))</f>
        <v/>
      </c>
      <c r="BP381" s="48">
        <f t="shared" ca="1" si="639"/>
        <v>0</v>
      </c>
      <c r="BQ381" s="48" t="str">
        <f ca="1">IF(AND(OR($DY$2=0,$DY$1=0),$I$1=2,ROW()&gt;$BJ$1+2,ROW()&lt;=$BJ$1+4),"………………..",IF(AND(OR($DY$2&gt;0,$DY$1&gt;0),$I$1=2,ROW()&gt;$BJ$1+2,ROW()&lt;=$BJ$1+4),"………………..",IFERROR(INDEX($AC$3:$AC$400,MATCH(ROWS(BQ$3:BQ381),BJ$3:BJ$400,0),1),"")))</f>
        <v/>
      </c>
      <c r="BR381" s="48">
        <f t="shared" ca="1" si="640"/>
        <v>0</v>
      </c>
      <c r="BS381" s="48">
        <f ca="1">IF(IF(AND(OR(INDEX(PDC,MATCH($AC381,DEN_PDC,0),4)="D",INDEX(PDC,MATCH($AC381,DEN_PDC,0),4)="D/A"),SUMIFS(DARE,DEN_G,$AC381)&gt;=SUMIFS(AVERE,DEN_G,$AC381)),SUMIFS(DARE,DEN_G,$AC381),IF(AND(OR(INDEX(PDC,MATCH($AC381,DEN_PDC,0),4)="A",INDEX(PDC,MATCH($AC381,DEN_PDC,0),4)="D/A"),SUMIFS(AVERE,DEN_G,$AC381)&gt;=SUMIFS(DARE,DEN_G,$AC381)),SUMIFS(AVERE,DEN_G,$AC381),))&gt;0,MAX($BS$2:BS380)+1,0)</f>
        <v>0</v>
      </c>
      <c r="BT381" s="48" t="str">
        <f ca="1">IF($CO$1=0,"",IF(AND($I$1=2,ROW()&gt;$BR$1,ROW()&lt;=$BS$1)," …………….",IF(AND($E$1=1,$BX$1=1,$I$1=2,ROW()=$BQ$1),"TOTALI",IFERROR(INDEX(PDC,MATCH(ROWS(BT$3:BT381),BS$3:BS778,0),2),""))))</f>
        <v/>
      </c>
      <c r="BU381" s="48">
        <f t="shared" ca="1" si="641"/>
        <v>0</v>
      </c>
      <c r="BV381" s="48">
        <f t="shared" ca="1" si="642"/>
        <v>0</v>
      </c>
      <c r="BW381" s="48">
        <f t="shared" ca="1" si="643"/>
        <v>0</v>
      </c>
      <c r="BX381" s="48">
        <f t="shared" ca="1" si="644"/>
        <v>0</v>
      </c>
      <c r="BY381" s="48">
        <f ca="1">IF(OR(BW381&gt;0,BX381&gt;0),MAX($BY$2:BY380)+1,0)</f>
        <v>0</v>
      </c>
      <c r="BZ381" s="48" t="str">
        <f ca="1">IFERROR(INDEX($BT$3:$BY$400,MATCH(ROWS(BZ$3:BZ381),$BY$3:$BY$400,0),1),"")</f>
        <v/>
      </c>
      <c r="CA381" s="48" t="str">
        <f ca="1">IFERROR(INDEX($BT$3:$BY$400,MATCH(ROWS(CA$3:CA381),$BY$3:$BY$400,0),4),"")</f>
        <v/>
      </c>
      <c r="CB381" s="48" t="str">
        <f ca="1">IFERROR(INDEX($BT$3:$BY$400,MATCH(ROWS(CB$3:CB381),$BY$3:$BY$400,0),5),"")</f>
        <v/>
      </c>
      <c r="CC381" s="48" t="str">
        <f t="shared" ca="1" si="645"/>
        <v/>
      </c>
      <c r="CM381" s="242" t="str">
        <f t="shared" ca="1" si="655"/>
        <v/>
      </c>
      <c r="CN381" s="243">
        <f t="shared" ca="1" si="656"/>
        <v>0</v>
      </c>
      <c r="CO381" s="48" t="str">
        <f t="shared" ca="1" si="657"/>
        <v/>
      </c>
      <c r="CU381" s="48">
        <f ca="1">IF(SUMIFS(AVERE,DEN_G,AC381,AVERE,"&gt;"&amp;0)+SUMIFS(DARE,DEN_G,AC381,DARE,"&gt;"&amp;0)&gt;0,MAX($CU$2:CU380)+1,0)</f>
        <v>0</v>
      </c>
      <c r="CV381" s="48" t="str">
        <f ca="1">IF(IFERROR(INDEX(PDC,MATCH(ROWS($CV$3:CV381),$CU$3:$CU$400,0),2),"")="CONTO DI RISULTATO ECONOMICO","",IFERROR(INDEX(PDC,MATCH(ROWS($CV$3:CV381),$CU$3:$CU$400,0),2),""))</f>
        <v/>
      </c>
      <c r="CW381" s="48">
        <f ca="1">IFERROR(IF(CV381&lt;&gt;"",MAX($CW$2:CW380)+1,0),0)</f>
        <v>0</v>
      </c>
      <c r="CX381" s="48">
        <f t="shared" ref="CX381:CX391" ca="1" si="719">$FF$32</f>
        <v>30</v>
      </c>
      <c r="CY381" s="48" t="str">
        <f t="shared" ca="1" si="715"/>
        <v>MASTRO</v>
      </c>
      <c r="DA381" s="48" t="str">
        <f ca="1">IF(DB380="","","Num. riga")</f>
        <v/>
      </c>
      <c r="DB381" s="48" t="str">
        <f t="shared" ref="DB381" ca="1" si="720">IF(DB380="","","Data")</f>
        <v/>
      </c>
      <c r="DC381" s="48" t="str">
        <f ca="1">IF(DB380="","","Operazioni")</f>
        <v/>
      </c>
      <c r="DD381" s="48" t="str">
        <f ca="1">IF(DB380="","","Dare        ")</f>
        <v/>
      </c>
      <c r="DE381" s="48" t="str">
        <f ca="1">IF(DB380="","","Avere        ")</f>
        <v/>
      </c>
      <c r="DF381" s="48">
        <f ca="1">IF(AND(CX381=$DF$1,CX381&lt;&gt;""),0,IF(AND(DB381&lt;&gt;"",OR(DB380&lt;&gt;"",DB382&lt;&gt;"")),MAX($DF$2:DF380)+1,0))</f>
        <v>0</v>
      </c>
      <c r="DH381" s="244" t="s">
        <v>949</v>
      </c>
      <c r="DI381" s="48" t="s">
        <v>459</v>
      </c>
      <c r="DJ381" s="48" t="s">
        <v>311</v>
      </c>
      <c r="DK381" s="48" t="s">
        <v>275</v>
      </c>
      <c r="DL381" s="48" t="s">
        <v>7</v>
      </c>
      <c r="DM381" s="48" t="s">
        <v>301</v>
      </c>
      <c r="DN381" s="48">
        <f ca="1">IF(DI381&lt;&gt;"",MAX($DN$2:DN380)+1,0)</f>
        <v>309</v>
      </c>
      <c r="DO381" s="48" t="s">
        <v>728</v>
      </c>
      <c r="DY381" s="48" t="str">
        <f t="shared" ca="1" si="647"/>
        <v/>
      </c>
      <c r="EL381" s="48">
        <f t="shared" ca="1" si="648"/>
        <v>0</v>
      </c>
      <c r="EM381" s="48">
        <f ca="1">IF(EL381&gt;=0,0,MAX($EM$2:EM380)+1)</f>
        <v>0</v>
      </c>
      <c r="EN381" s="48" t="str">
        <f t="shared" ca="1" si="658"/>
        <v/>
      </c>
      <c r="EO381" s="48" t="str">
        <f ca="1">IFERROR(INDEX($EM$3:$EN$400,MATCH(ROWS($EO$3:EO381),$EM$3:$EM$400,0),2),"")</f>
        <v/>
      </c>
      <c r="EP381" s="48">
        <f>ROW()</f>
        <v>381</v>
      </c>
      <c r="EQ381" s="48">
        <f t="shared" ca="1" si="649"/>
        <v>0</v>
      </c>
      <c r="ER381" s="48">
        <f ca="1">IF(ISNA(EQ381)=TRUE,MAX($ER$2:ER380)+1,0)</f>
        <v>0</v>
      </c>
      <c r="ES381" s="48" t="str">
        <f t="shared" ca="1" si="659"/>
        <v/>
      </c>
      <c r="ET381" s="48" t="str">
        <f ca="1">IFERROR(INDEX($ER$3:$ES$400,MATCH(ROWS($ET$3:ET381),$ER$3:$ER$400,0),2),"")</f>
        <v/>
      </c>
      <c r="EV381" s="48">
        <f ca="1">IFERROR(INDEX(LIBRO_GIORNALE!$O$11:$P$408,MATCH(ROWS($EV$2:EV380),LIBRO_GIORNALE!$P$11:$P$408,0),1),0)</f>
        <v>0</v>
      </c>
      <c r="EW381" s="48" t="str">
        <f t="shared" ca="1" si="716"/>
        <v>0</v>
      </c>
      <c r="EX381" s="48">
        <f t="shared" ca="1" si="660"/>
        <v>0</v>
      </c>
      <c r="EY381" s="48">
        <f ca="1">IF(EX381&gt;0,MAX($EY$2:EY380)+1,0)</f>
        <v>0</v>
      </c>
      <c r="EZ381" s="48">
        <f ca="1">IFERROR(INDEX($EX$3:$EX$400,MATCH(ROWS($EZ$3:EZ381),$EY$3:$EY$400,0),1),0)</f>
        <v>0</v>
      </c>
      <c r="FA381" s="48">
        <f ca="1">IF(EZ381&gt;0,0,MAX($FA$2:FA380)+1)</f>
        <v>379</v>
      </c>
      <c r="FB381" s="48">
        <f t="shared" ca="1" si="717"/>
        <v>0</v>
      </c>
      <c r="FC381" s="48">
        <f t="shared" ca="1" si="718"/>
        <v>379</v>
      </c>
      <c r="FD381" s="48">
        <f t="shared" ca="1" si="661"/>
        <v>379</v>
      </c>
      <c r="FE381" s="48">
        <f ca="1">IF(FD381=0,0,MAX($FE$2:FE380)+1)</f>
        <v>379</v>
      </c>
      <c r="FF381" s="48">
        <f ca="1">IFERROR(INDEX($FD$3:$FE$400,MATCH(ROWS($FF$3:FF381),$FE$3:$FE$400,0),1),"")</f>
        <v>379</v>
      </c>
      <c r="FG381" s="48">
        <f t="shared" si="696"/>
        <v>0</v>
      </c>
      <c r="FH381" s="48">
        <f t="shared" ca="1" si="662"/>
        <v>0</v>
      </c>
      <c r="FI381" s="48">
        <f ca="1">IF(FH381&lt;&gt;0,MAX($FI$2:FI380)+1,0)</f>
        <v>0</v>
      </c>
      <c r="FJ381" s="48" t="str">
        <f ca="1">IFERROR(INDEX($FH$3:$FI$400,MATCH(ROWS($FJ$3:FJ381),$FI$3:$FI$400,0),1),"")</f>
        <v/>
      </c>
      <c r="FK381" s="48">
        <f ca="1">IF(ABS(SUMIFS(DARE,DEN_G,"="&amp;FJ381,DATA,"&lt;="&amp;FINE_AC,DATA,"&gt;="&amp;INIZIO_A_PC)-SUMIFS(AVERE,DEN_G,"="&amp;FJ381,DATA,"&lt;="&amp;FINE_AC,DATA,"&gt;="&amp;INIZIO_A_PC))&gt;0,MAX($FK$2:FK380)+1,0)</f>
        <v>0</v>
      </c>
      <c r="FL381" s="48" t="str">
        <f ca="1">IF(AND(ROW()-2&lt;&gt;1,ROW()-2&lt;=$FK$1),CONCATENATE(" - ",IFERROR(INDEX($FJ$3:$FK$400,MATCH(ROWS($FL$3:FL381),$FK$3:$FK$400,0),1),"")),IFERROR(INDEX($FJ$3:$FK$400,MATCH(ROWS($FL$3:FL381),$FK$3:$FK$400,0),1),""))</f>
        <v/>
      </c>
      <c r="FM381" s="48">
        <f ca="1">IF(OR(B381="IVA ns/credito",B381="IVA NS/DEBITO",B381="IVA C/ACCONTO",B381="IMPOSTE C/ACCONTO",B381="CREDITI PER RITENUTE SUBITE",B381="CREDITI D'IMPOSTA"),MAX($FM$2:FM380)+1,0)</f>
        <v>0</v>
      </c>
      <c r="FN381" s="48" t="str">
        <f t="shared" ca="1" si="663"/>
        <v/>
      </c>
      <c r="FO381" s="48" t="str">
        <f ca="1">IFERROR(INDEX($FM$3:$FN$400,MATCH(ROWS($FO$3:FO381),$FM$3:$FM$400,0),2),"")</f>
        <v/>
      </c>
      <c r="FP381" s="48">
        <f ca="1">IF(ABS(SUMIFS(DARE,DEN_G,"="&amp;FO381,DATA,"&lt;="&amp;FINE_AC,DATA,"&gt;="&amp;INIZIO_A_PC)-SUMIFS(AVERE,DEN_G,"="&amp;FO381,DATA,"&lt;="&amp;FINE_AC,DATA,"&gt;="&amp;INIZIO_A_PC))&gt;0,MAX($FP$2:FP380)+1,0)</f>
        <v>0</v>
      </c>
      <c r="FQ381" s="48" t="str">
        <f ca="1">IF(AND(ROW()-2&lt;&gt;1,ROW()-2&lt;=$FP$1),CONCATENATE(" - ",IFERROR(INDEX($FO$3:$FP$400,MATCH(ROWS($FQ$3:FQ381),$FP$3:$FP$400,0),1),"")),IFERROR(INDEX($FO$3:$FP$400,MATCH(ROWS($FQ$3:FQ381),$FP$3:$FP$400,0),1),""))</f>
        <v/>
      </c>
    </row>
    <row r="382" spans="1:173" x14ac:dyDescent="0.3">
      <c r="A382" s="48" t="str">
        <f ca="1">IFERROR(IF($A$1=2,INDEX($DH$3:$DN$401,MATCH(ROWS(A$3:A382),$DN$3:$DN$401,0),COLUMN()),IF($A$1=1,INDEX($DQ$3:$DW$401,MATCH(ROWS(A$3:A382),$DW$3:$DW$401,0),COLUMN()),"")),"")</f>
        <v/>
      </c>
      <c r="B382" s="48" t="str">
        <f ca="1">IFERROR(IF($A$1=2,INDEX($DH$3:$DN$400,MATCH(ROWS(B$3:B382),$DN$3:$DN$400,0),COLUMN()),IF($A$1=1,INDEX($DQ$3:$DW$400,MATCH(ROWS(B$3:B382),$DW$3:$DW$400,0),COLUMN()),"")),"")</f>
        <v/>
      </c>
      <c r="D382" s="48" t="str">
        <f ca="1">IFERROR(IF($A$1=2,INDEX($DH$3:$DN$401,MATCH(ROWS(D$3:D382),$DN$3:$DN$401,0),COLUMN()),IF($A$1=1,INDEX($DQ$3:$DW$401,MATCH(ROWS(D$3:D382),$DW$3:$DW$401,0),COLUMN()),"")),"")</f>
        <v/>
      </c>
      <c r="E382" s="48" t="str">
        <f ca="1">IFERROR(IF($A$1=2,INDEX($DH$3:$DN$401,MATCH(ROWS(E$3:E382),$DN$3:$DN$401,0),COLUMN()),IF($A$1=1,INDEX($DQ$3:$DW$401,MATCH(ROWS(E$3:E382),$DW$3:$DW$401,0),COLUMN()),"")),"")</f>
        <v/>
      </c>
      <c r="F382" s="48" t="str">
        <f ca="1">IFERROR(IF($A$1=2,INDEX($DH$3:$DN$401,MATCH(ROWS(F$3:F382),$DN$3:$DN$401,0),COLUMN()),IF($A$1=1,INDEX($DQ$3:$DX$401,MATCH(ROWS(F$3:F382),$DW$3:$DW$401,0),COLUMN()),"")),"")</f>
        <v/>
      </c>
      <c r="G382" s="48" t="str">
        <f t="shared" ca="1" si="650"/>
        <v/>
      </c>
      <c r="H382" s="48" t="str">
        <f ca="1">IFERROR(IF($A$1=2,INDEX($DH$3:$DO$400,MATCH(ROWS(H$3:H382),$DN$3:$DN$400,0),COLUMN()),IF($A$1=1,INDEX($DQ$3:$DX$400,MATCH(ROWS(H$3:H382),$DW$3:$DW$400,0),COLUMN()),"")),"")</f>
        <v/>
      </c>
      <c r="M382" s="48">
        <f ca="1">IFERROR(IF(IF(MID($A382,3,3)=".00",MID(A382,1,2),"")&lt;&gt;"",MAX($M$2:M381)+1,0),"")</f>
        <v>0</v>
      </c>
      <c r="N382" s="48" t="str">
        <f t="shared" ca="1" si="651"/>
        <v/>
      </c>
      <c r="O382" s="48" t="str">
        <f ca="1">IF(IFERROR(INDEX($N$3:$O$300,MATCH(ROWS($O$3:O382),$M$3:$M$300,0),1),"")&lt;&gt;"",CONCATENATE(INDEX($N$3:$O$300,MATCH(ROWS($O$3:O382),$M$3:$M$300,0),1),".00"),"")</f>
        <v/>
      </c>
      <c r="P382" s="48" t="str">
        <f t="shared" ca="1" si="652"/>
        <v/>
      </c>
      <c r="Q382" s="48">
        <f ca="1">IF(M382&gt;=1,0,MAX($Q$2:Q381)+1)</f>
        <v>343</v>
      </c>
      <c r="U382" s="48" t="str">
        <f ca="1">IFERROR(INDEX(PDC,MATCH(ROWS(U$3:U382),$V$3:$V$400,0),2),"")</f>
        <v/>
      </c>
      <c r="V382" s="48">
        <f ca="1">IF(AND($T$1="VISUALIZZA TUTTI I CONTI",AA382&lt;&gt;""),MAX($V$2:V381)+1,IF(AND($U$2=2,AI382=$T$1),MAX($V$2:V381)+1,IF(AND($U$2=1,$T$1=AF382),MAX($V$2:V381)+1,0)))</f>
        <v>0</v>
      </c>
      <c r="AA382" s="48" t="str">
        <f t="shared" ca="1" si="653"/>
        <v/>
      </c>
      <c r="AB382" s="48" t="str">
        <f ca="1">IFERROR(INDEX($A$3:$G$400,MATCH(ROWS(AB$3:AB382),$Q$3:$Q$400,0),1),"")</f>
        <v/>
      </c>
      <c r="AC382" s="48" t="str">
        <f ca="1">IFERROR(INDEX($A$3:$G$400,MATCH(ROWS($AC$3:AC382),$Q$3:$Q$400,0),2),"")</f>
        <v/>
      </c>
      <c r="AD382" s="48" t="str">
        <f ca="1">IFERROR(INDEX($A$3:$G$400,MATCH(ROWS(AD$3:AD382),$Q$3:$Q$400,0),3),"")</f>
        <v/>
      </c>
      <c r="AE382" s="48" t="str">
        <f ca="1">IFERROR(INDEX($A$3:$G$400,MATCH(ROWS(AE$3:AE382),$Q$3:$Q$400,0),4),"")</f>
        <v/>
      </c>
      <c r="AF382" s="48" t="str">
        <f ca="1">IFERROR(INDEX($A$3:$G$400,MATCH(ROWS(AF$3:AF382),$Q$3:$Q$400,0),5),"")</f>
        <v/>
      </c>
      <c r="AG382" s="48" t="str">
        <f ca="1">IFERROR(INDEX($A$3:$G$400,MATCH(ROWS(AG$3:AG382),$Q$3:$Q$400,0),6),"")</f>
        <v/>
      </c>
      <c r="AH382" s="48" t="str">
        <f ca="1">IFERROR(INDEX($A$3:$G$400,MATCH(ROWS(AH$3:AH382),$Q$3:$Q$400,0),7),"")</f>
        <v/>
      </c>
      <c r="AI382" s="48" t="str">
        <f t="shared" ca="1" si="654"/>
        <v/>
      </c>
      <c r="AJ382" s="48" t="str">
        <f ca="1">IFERROR(INDEX($A$3:$H$400,MATCH(ROWS(AJ$3:AJ382),$Q$3:$Q$400,0),8),"")</f>
        <v/>
      </c>
      <c r="AZ382" s="48" t="str">
        <f t="shared" ca="1" si="714"/>
        <v/>
      </c>
      <c r="BA382" s="48">
        <f t="shared" ca="1" si="697"/>
        <v>0</v>
      </c>
      <c r="BB382" s="48">
        <f t="shared" ca="1" si="698"/>
        <v>0</v>
      </c>
      <c r="BC382" s="48">
        <f t="shared" ca="1" si="699"/>
        <v>0</v>
      </c>
      <c r="BD382" s="48">
        <f t="shared" ca="1" si="700"/>
        <v>0</v>
      </c>
      <c r="BE382" s="48">
        <f t="shared" ca="1" si="701"/>
        <v>0</v>
      </c>
      <c r="BF382" s="48">
        <f t="shared" si="711"/>
        <v>182</v>
      </c>
      <c r="BG382" s="48">
        <f ca="1">IF(IF(AND(OR(INDEX(PDC,MATCH($AC382,DEN_PDC,0),6)="SP DARE",INDEX(PDC,MATCH($AC382,DEN_PDC,0),6)="SP DARE/AVERE"),SUMIFS(DARE,DEN_G,$AC382)&gt;=SUMIFS(AVERE,DEN_G,$AC382)),SUMIFS(DARE,DEN_G,$AC382)-SUMIFS(AVERE,DEN_G,$AC382),0)&gt;0,MAX($BG$2:BG381)+1,0)</f>
        <v>0</v>
      </c>
      <c r="BH382" s="48">
        <f ca="1">IF(IF(AND(OR(INDEX(PDC,MATCH($AC382,DEN_PDC,0),6)="SP AVERE",INDEX(PDC,MATCH($AC382,DEN_PDC,0),6)="SP DARE/AVERE"),SUMIFS(AVERE,DEN_G,$AC382)&gt;=SUMIFS(DARE,DEN_G,$AC382)),SUMIFS(AVERE,DEN_G,$AC382)-SUMIFS(DARE,DEN_G,$AC382),0)&gt;0,MAX(BH$2:BH381)+1,0)</f>
        <v>0</v>
      </c>
      <c r="BI382" s="48">
        <f ca="1">IF(IF(AND(OR(INDEX(PDC,MATCH($AC382,DEN_PDC,0),6)="SE DARE",INDEX(PDC,MATCH($AC382,DEN_PDC,0),6)="SE DARE/AVERE"),SUMIFS(DARE,DEN_G,$AC382)&gt;=SUMIFS(AVERE,DEN_G,$AC382)),SUMIFS(DARE,DEN_G,$AC382)-SUMIFS(AVERE,DEN_G,$AC382),0)&gt;0,MAX(BI$2:BI381)+1,0)</f>
        <v>0</v>
      </c>
      <c r="BJ382" s="48">
        <f ca="1">IF(IF(AND(OR(INDEX(PDC,MATCH($AC382,DEN_PDC,0),6)="SE AVERE",INDEX(PDC,MATCH($AC382,DEN_PDC,0),6)="SE DARE/AVERE"),SUMIFS(AVERE,DEN_G,$AC382)&gt;=SUMIFS(DARE,DEN_G,$AC382)),SUMIFS(AVERE,DEN_G,$AC382)-SUMIFS(DARE,DEN_G,$AC382),0)&gt;0,MAX(BJ$2:BJ381)+1,0)</f>
        <v>0</v>
      </c>
      <c r="BK382" s="48" t="str">
        <f ca="1">IF(AND(AND($DY$2=0,$DY$1=0),$I$1=2,ROW()&gt;$BG$1+2,ROW()&lt;=$BG$1+4),"………………..",IF(AND(OR($DY$2&gt;0,$DY$1&gt;0),$I$1=2,ROW()&gt;$BG$1+2,ROW()&lt;=$BG$1+4),"………………..",IFERROR(INDEX($AC$3:$AC$398,MATCH(ROWS(BK$3:BK382),BG$3:BG$398,0),1),"")))</f>
        <v/>
      </c>
      <c r="BL382" s="48">
        <f t="shared" ca="1" si="637"/>
        <v>0</v>
      </c>
      <c r="BM382" s="48" t="str">
        <f ca="1">IF(AND(OR($DY$2=0,$DY$1=0),$I$1=2,ROW()&gt;$BH$1+2,ROW()&lt;=$BH$1+4),"………………..",IF(AND(OR($DY$2&gt;0,$DY$1&gt;0),$I$1=2,ROW()&gt;$BH$1+2,ROW()&lt;=$BH$1+4),"………………..",IFERROR(INDEX($AC$3:$AC$400,MATCH(ROWS(BM$3:BM382),BH$3:BH$400,0),1),"")))</f>
        <v/>
      </c>
      <c r="BN382" s="48">
        <f t="shared" ca="1" si="638"/>
        <v>0</v>
      </c>
      <c r="BO382" s="48" t="str">
        <f ca="1">IF(AND(OR($DY$2=0,$DY$1=0),$I$1=2,ROW()&gt;$BI$1+2,ROW()&lt;=$BI$1+4),"………………..",IF(AND(OR($DY$2&gt;0,$DY$1&gt;0),$I$1=2,ROW()&gt;$BI$1+2,ROW()&lt;=$BI$1+4),"………………..",IFERROR(INDEX($AC$3:$AC$400,MATCH(ROWS(BO$3:BO382),BI$3:BI$400,0),1),"")))</f>
        <v/>
      </c>
      <c r="BP382" s="48">
        <f t="shared" ca="1" si="639"/>
        <v>0</v>
      </c>
      <c r="BQ382" s="48" t="str">
        <f ca="1">IF(AND(OR($DY$2=0,$DY$1=0),$I$1=2,ROW()&gt;$BJ$1+2,ROW()&lt;=$BJ$1+4),"………………..",IF(AND(OR($DY$2&gt;0,$DY$1&gt;0),$I$1=2,ROW()&gt;$BJ$1+2,ROW()&lt;=$BJ$1+4),"………………..",IFERROR(INDEX($AC$3:$AC$400,MATCH(ROWS(BQ$3:BQ382),BJ$3:BJ$400,0),1),"")))</f>
        <v/>
      </c>
      <c r="BR382" s="48">
        <f t="shared" ca="1" si="640"/>
        <v>0</v>
      </c>
      <c r="BS382" s="48">
        <f ca="1">IF(IF(AND(OR(INDEX(PDC,MATCH($AC382,DEN_PDC,0),4)="D",INDEX(PDC,MATCH($AC382,DEN_PDC,0),4)="D/A"),SUMIFS(DARE,DEN_G,$AC382)&gt;=SUMIFS(AVERE,DEN_G,$AC382)),SUMIFS(DARE,DEN_G,$AC382),IF(AND(OR(INDEX(PDC,MATCH($AC382,DEN_PDC,0),4)="A",INDEX(PDC,MATCH($AC382,DEN_PDC,0),4)="D/A"),SUMIFS(AVERE,DEN_G,$AC382)&gt;=SUMIFS(DARE,DEN_G,$AC382)),SUMIFS(AVERE,DEN_G,$AC382),))&gt;0,MAX($BS$2:BS381)+1,0)</f>
        <v>0</v>
      </c>
      <c r="BT382" s="48" t="str">
        <f ca="1">IF($CO$1=0,"",IF(AND($I$1=2,ROW()&gt;$BR$1,ROW()&lt;=$BS$1)," …………….",IF(AND($E$1=1,$BX$1=1,$I$1=2,ROW()=$BQ$1),"TOTALI",IFERROR(INDEX(PDC,MATCH(ROWS(BT$3:BT382),BS$3:BS779,0),2),""))))</f>
        <v/>
      </c>
      <c r="BU382" s="48">
        <f t="shared" ca="1" si="641"/>
        <v>0</v>
      </c>
      <c r="BV382" s="48">
        <f t="shared" ca="1" si="642"/>
        <v>0</v>
      </c>
      <c r="BW382" s="48">
        <f t="shared" ca="1" si="643"/>
        <v>0</v>
      </c>
      <c r="BX382" s="48">
        <f t="shared" ca="1" si="644"/>
        <v>0</v>
      </c>
      <c r="BY382" s="48">
        <f ca="1">IF(OR(BW382&gt;0,BX382&gt;0),MAX($BY$2:BY381)+1,0)</f>
        <v>0</v>
      </c>
      <c r="BZ382" s="48" t="str">
        <f ca="1">IFERROR(INDEX($BT$3:$BY$400,MATCH(ROWS(BZ$3:BZ382),$BY$3:$BY$400,0),1),"")</f>
        <v/>
      </c>
      <c r="CA382" s="48" t="str">
        <f ca="1">IFERROR(INDEX($BT$3:$BY$400,MATCH(ROWS(CA$3:CA382),$BY$3:$BY$400,0),4),"")</f>
        <v/>
      </c>
      <c r="CB382" s="48" t="str">
        <f ca="1">IFERROR(INDEX($BT$3:$BY$400,MATCH(ROWS(CB$3:CB382),$BY$3:$BY$400,0),5),"")</f>
        <v/>
      </c>
      <c r="CC382" s="48" t="str">
        <f t="shared" ca="1" si="645"/>
        <v/>
      </c>
      <c r="CM382" s="242" t="str">
        <f t="shared" ca="1" si="655"/>
        <v/>
      </c>
      <c r="CN382" s="243">
        <f t="shared" ca="1" si="656"/>
        <v>0</v>
      </c>
      <c r="CO382" s="48" t="str">
        <f t="shared" ca="1" si="657"/>
        <v/>
      </c>
      <c r="CU382" s="48">
        <f ca="1">IF(SUMIFS(AVERE,DEN_G,AC382,AVERE,"&gt;"&amp;0)+SUMIFS(DARE,DEN_G,AC382,DARE,"&gt;"&amp;0)&gt;0,MAX($CU$2:CU381)+1,0)</f>
        <v>0</v>
      </c>
      <c r="CV382" s="48" t="str">
        <f ca="1">IF(IFERROR(INDEX(PDC,MATCH(ROWS($CV$3:CV382),$CU$3:$CU$400,0),2),"")="CONTO DI RISULTATO ECONOMICO","",IFERROR(INDEX(PDC,MATCH(ROWS($CV$3:CV382),$CU$3:$CU$400,0),2),""))</f>
        <v/>
      </c>
      <c r="CW382" s="48">
        <f ca="1">IFERROR(IF(CV382&lt;&gt;"",MAX($CW$2:CW381)+1,0),0)</f>
        <v>0</v>
      </c>
      <c r="CX382" s="48">
        <f t="shared" ca="1" si="719"/>
        <v>30</v>
      </c>
      <c r="CY382" s="48" t="str">
        <f t="shared" ca="1" si="715"/>
        <v>MASTRO</v>
      </c>
      <c r="CZ382" s="48" t="e">
        <f t="shared" ref="CZ382:CZ391" ca="1" si="721">SUM(MATCH($CY382,INDIRECT(ADDRESS(SUM(CZ381)+3,54)&amp;":"&amp;ADDRESS(400,54)),0),CZ381)</f>
        <v>#N/A</v>
      </c>
      <c r="DA382" s="48" t="str">
        <f ca="1">IFERROR(INDEX(LIBRO_GIORNALE,CZ382,1),"")</f>
        <v/>
      </c>
      <c r="DB382" s="48" t="str">
        <f t="shared" ca="1" si="682"/>
        <v/>
      </c>
      <c r="DC382" s="48" t="str">
        <f t="shared" ref="DC382:DC391" ca="1" si="722">IF(IFERROR(INDEX(LIBRO_GIORNALE,CZ382,4),"")=0,"manca la descrizione dell'operazione",IFERROR(INDEX(LIBRO_GIORNALE,CZ382,4),""))</f>
        <v/>
      </c>
      <c r="DD382" s="48" t="str">
        <f t="shared" ref="DD382:DD391" ca="1" si="723">IFERROR(IF(INDEX(LIBRO_GIORNALE,CZ382,5)&gt;0,INDEX(LIBRO_GIORNALE,CZ382,5),""),"")</f>
        <v/>
      </c>
      <c r="DE382" s="48" t="str">
        <f t="shared" ref="DE382:DE391" ca="1" si="724">IFERROR(IF(INDEX(LIBRO_GIORNALE,CZ382,6)&gt;0,INDEX(LIBRO_GIORNALE,CZ382,6),""),"")</f>
        <v/>
      </c>
      <c r="DF382" s="48">
        <f ca="1">IF(AND(CX382=$DF$1,CX382&lt;&gt;""),0,IF(AND(DB382&lt;&gt;"",OR(DB381&lt;&gt;"",DB383&lt;&gt;"")),MAX($DF$2:DF381)+1,0))</f>
        <v>0</v>
      </c>
      <c r="DH382" s="244" t="s">
        <v>950</v>
      </c>
      <c r="DI382" s="48" t="s">
        <v>460</v>
      </c>
      <c r="DJ382" s="48" t="s">
        <v>311</v>
      </c>
      <c r="DK382" s="48" t="s">
        <v>275</v>
      </c>
      <c r="DL382" s="48" t="s">
        <v>7</v>
      </c>
      <c r="DM382" s="48" t="s">
        <v>301</v>
      </c>
      <c r="DN382" s="48">
        <f ca="1">IF(DI382&lt;&gt;"",MAX($DN$2:DN381)+1,0)</f>
        <v>310</v>
      </c>
      <c r="DO382" s="48" t="s">
        <v>728</v>
      </c>
      <c r="DY382" s="48" t="str">
        <f t="shared" ca="1" si="647"/>
        <v/>
      </c>
      <c r="EL382" s="48">
        <f t="shared" ca="1" si="648"/>
        <v>0</v>
      </c>
      <c r="EM382" s="48">
        <f ca="1">IF(EL382&gt;=0,0,MAX($EM$2:EM381)+1)</f>
        <v>0</v>
      </c>
      <c r="EN382" s="48" t="str">
        <f t="shared" ca="1" si="658"/>
        <v/>
      </c>
      <c r="EO382" s="48" t="str">
        <f ca="1">IFERROR(INDEX($EM$3:$EN$400,MATCH(ROWS($EO$3:EO382),$EM$3:$EM$400,0),2),"")</f>
        <v/>
      </c>
      <c r="EP382" s="48">
        <f>ROW()</f>
        <v>382</v>
      </c>
      <c r="EQ382" s="48">
        <f t="shared" ca="1" si="649"/>
        <v>0</v>
      </c>
      <c r="ER382" s="48">
        <f ca="1">IF(ISNA(EQ382)=TRUE,MAX($ER$2:ER381)+1,0)</f>
        <v>0</v>
      </c>
      <c r="ES382" s="48" t="str">
        <f t="shared" ca="1" si="659"/>
        <v/>
      </c>
      <c r="ET382" s="48" t="str">
        <f ca="1">IFERROR(INDEX($ER$3:$ES$400,MATCH(ROWS($ET$3:ET382),$ER$3:$ER$400,0),2),"")</f>
        <v/>
      </c>
      <c r="EV382" s="48">
        <f ca="1">IFERROR(INDEX(LIBRO_GIORNALE!$O$11:$P$408,MATCH(ROWS($EV$2:EV381),LIBRO_GIORNALE!$P$11:$P$408,0),1),0)</f>
        <v>0</v>
      </c>
      <c r="EW382" s="48" t="str">
        <f t="shared" ca="1" si="716"/>
        <v>0</v>
      </c>
      <c r="EX382" s="48">
        <f t="shared" ca="1" si="660"/>
        <v>0</v>
      </c>
      <c r="EY382" s="48">
        <f ca="1">IF(EX382&gt;0,MAX($EY$2:EY381)+1,0)</f>
        <v>0</v>
      </c>
      <c r="EZ382" s="48">
        <f ca="1">IFERROR(INDEX($EX$3:$EX$400,MATCH(ROWS($EZ$3:EZ382),$EY$3:$EY$400,0),1),0)</f>
        <v>0</v>
      </c>
      <c r="FA382" s="48">
        <f ca="1">IF(EZ382&gt;0,0,MAX($FA$2:FA381)+1)</f>
        <v>380</v>
      </c>
      <c r="FB382" s="48">
        <f t="shared" ca="1" si="717"/>
        <v>0</v>
      </c>
      <c r="FC382" s="48">
        <f t="shared" ca="1" si="718"/>
        <v>380</v>
      </c>
      <c r="FD382" s="48">
        <f t="shared" ca="1" si="661"/>
        <v>380</v>
      </c>
      <c r="FE382" s="48">
        <f ca="1">IF(FD382=0,0,MAX($FE$2:FE381)+1)</f>
        <v>380</v>
      </c>
      <c r="FF382" s="48">
        <f ca="1">IFERROR(INDEX($FD$3:$FE$400,MATCH(ROWS($FF$3:FF382),$FE$3:$FE$400,0),1),"")</f>
        <v>380</v>
      </c>
      <c r="FG382" s="48">
        <f t="shared" si="696"/>
        <v>0</v>
      </c>
      <c r="FH382" s="48">
        <f t="shared" ca="1" si="662"/>
        <v>0</v>
      </c>
      <c r="FI382" s="48">
        <f ca="1">IF(FH382&lt;&gt;0,MAX($FI$2:FI381)+1,0)</f>
        <v>0</v>
      </c>
      <c r="FJ382" s="48" t="str">
        <f ca="1">IFERROR(INDEX($FH$3:$FI$400,MATCH(ROWS($FJ$3:FJ382),$FI$3:$FI$400,0),1),"")</f>
        <v/>
      </c>
      <c r="FK382" s="48">
        <f ca="1">IF(ABS(SUMIFS(DARE,DEN_G,"="&amp;FJ382,DATA,"&lt;="&amp;FINE_AC,DATA,"&gt;="&amp;INIZIO_A_PC)-SUMIFS(AVERE,DEN_G,"="&amp;FJ382,DATA,"&lt;="&amp;FINE_AC,DATA,"&gt;="&amp;INIZIO_A_PC))&gt;0,MAX($FK$2:FK381)+1,0)</f>
        <v>0</v>
      </c>
      <c r="FL382" s="48" t="str">
        <f ca="1">IF(AND(ROW()-2&lt;&gt;1,ROW()-2&lt;=$FK$1),CONCATENATE(" - ",IFERROR(INDEX($FJ$3:$FK$400,MATCH(ROWS($FL$3:FL382),$FK$3:$FK$400,0),1),"")),IFERROR(INDEX($FJ$3:$FK$400,MATCH(ROWS($FL$3:FL382),$FK$3:$FK$400,0),1),""))</f>
        <v/>
      </c>
      <c r="FM382" s="48">
        <f ca="1">IF(OR(B382="IVA ns/credito",B382="IVA NS/DEBITO",B382="IVA C/ACCONTO",B382="IMPOSTE C/ACCONTO",B382="CREDITI PER RITENUTE SUBITE",B382="CREDITI D'IMPOSTA"),MAX($FM$2:FM381)+1,0)</f>
        <v>0</v>
      </c>
      <c r="FN382" s="48" t="str">
        <f t="shared" ca="1" si="663"/>
        <v/>
      </c>
      <c r="FO382" s="48" t="str">
        <f ca="1">IFERROR(INDEX($FM$3:$FN$400,MATCH(ROWS($FO$3:FO382),$FM$3:$FM$400,0),2),"")</f>
        <v/>
      </c>
      <c r="FP382" s="48">
        <f ca="1">IF(ABS(SUMIFS(DARE,DEN_G,"="&amp;FO382,DATA,"&lt;="&amp;FINE_AC,DATA,"&gt;="&amp;INIZIO_A_PC)-SUMIFS(AVERE,DEN_G,"="&amp;FO382,DATA,"&lt;="&amp;FINE_AC,DATA,"&gt;="&amp;INIZIO_A_PC))&gt;0,MAX($FP$2:FP381)+1,0)</f>
        <v>0</v>
      </c>
      <c r="FQ382" s="48" t="str">
        <f ca="1">IF(AND(ROW()-2&lt;&gt;1,ROW()-2&lt;=$FP$1),CONCATENATE(" - ",IFERROR(INDEX($FO$3:$FP$400,MATCH(ROWS($FQ$3:FQ382),$FP$3:$FP$400,0),1),"")),IFERROR(INDEX($FO$3:$FP$400,MATCH(ROWS($FQ$3:FQ382),$FP$3:$FP$400,0),1),""))</f>
        <v/>
      </c>
    </row>
    <row r="383" spans="1:173" x14ac:dyDescent="0.3">
      <c r="A383" s="48" t="str">
        <f ca="1">IFERROR(IF($A$1=2,INDEX($DH$3:$DN$401,MATCH(ROWS(A$3:A383),$DN$3:$DN$401,0),COLUMN()),IF($A$1=1,INDEX($DQ$3:$DW$401,MATCH(ROWS(A$3:A383),$DW$3:$DW$401,0),COLUMN()),"")),"")</f>
        <v/>
      </c>
      <c r="B383" s="48" t="str">
        <f ca="1">IFERROR(IF($A$1=2,INDEX($DH$3:$DN$400,MATCH(ROWS(B$3:B383),$DN$3:$DN$400,0),COLUMN()),IF($A$1=1,INDEX($DQ$3:$DW$400,MATCH(ROWS(B$3:B383),$DW$3:$DW$400,0),COLUMN()),"")),"")</f>
        <v/>
      </c>
      <c r="D383" s="48" t="str">
        <f ca="1">IFERROR(IF($A$1=2,INDEX($DH$3:$DN$401,MATCH(ROWS(D$3:D383),$DN$3:$DN$401,0),COLUMN()),IF($A$1=1,INDEX($DQ$3:$DW$401,MATCH(ROWS(D$3:D383),$DW$3:$DW$401,0),COLUMN()),"")),"")</f>
        <v/>
      </c>
      <c r="E383" s="48" t="str">
        <f ca="1">IFERROR(IF($A$1=2,INDEX($DH$3:$DN$401,MATCH(ROWS(E$3:E383),$DN$3:$DN$401,0),COLUMN()),IF($A$1=1,INDEX($DQ$3:$DW$401,MATCH(ROWS(E$3:E383),$DW$3:$DW$401,0),COLUMN()),"")),"")</f>
        <v/>
      </c>
      <c r="F383" s="48" t="str">
        <f ca="1">IFERROR(IF($A$1=2,INDEX($DH$3:$DN$401,MATCH(ROWS(F$3:F383),$DN$3:$DN$401,0),COLUMN()),IF($A$1=1,INDEX($DQ$3:$DX$401,MATCH(ROWS(F$3:F383),$DW$3:$DW$401,0),COLUMN()),"")),"")</f>
        <v/>
      </c>
      <c r="G383" s="48" t="str">
        <f t="shared" ca="1" si="650"/>
        <v/>
      </c>
      <c r="H383" s="48" t="str">
        <f ca="1">IFERROR(IF($A$1=2,INDEX($DH$3:$DO$400,MATCH(ROWS(H$3:H383),$DN$3:$DN$400,0),COLUMN()),IF($A$1=1,INDEX($DQ$3:$DX$400,MATCH(ROWS(H$3:H383),$DW$3:$DW$400,0),COLUMN()),"")),"")</f>
        <v/>
      </c>
      <c r="M383" s="48">
        <f ca="1">IFERROR(IF(IF(MID($A383,3,3)=".00",MID(A383,1,2),"")&lt;&gt;"",MAX($M$2:M382)+1,0),"")</f>
        <v>0</v>
      </c>
      <c r="N383" s="48" t="str">
        <f t="shared" ca="1" si="651"/>
        <v/>
      </c>
      <c r="O383" s="48" t="str">
        <f ca="1">IF(IFERROR(INDEX($N$3:$O$300,MATCH(ROWS($O$3:O383),$M$3:$M$300,0),1),"")&lt;&gt;"",CONCATENATE(INDEX($N$3:$O$300,MATCH(ROWS($O$3:O383),$M$3:$M$300,0),1),".00"),"")</f>
        <v/>
      </c>
      <c r="P383" s="48" t="str">
        <f t="shared" ca="1" si="652"/>
        <v/>
      </c>
      <c r="Q383" s="48">
        <f ca="1">IF(M383&gt;=1,0,MAX($Q$2:Q382)+1)</f>
        <v>344</v>
      </c>
      <c r="U383" s="48" t="str">
        <f ca="1">IFERROR(INDEX(PDC,MATCH(ROWS(U$3:U383),$V$3:$V$400,0),2),"")</f>
        <v/>
      </c>
      <c r="V383" s="48">
        <f ca="1">IF(AND($T$1="VISUALIZZA TUTTI I CONTI",AA383&lt;&gt;""),MAX($V$2:V382)+1,IF(AND($U$2=2,AI383=$T$1),MAX($V$2:V382)+1,IF(AND($U$2=1,$T$1=AF383),MAX($V$2:V382)+1,0)))</f>
        <v>0</v>
      </c>
      <c r="AA383" s="48" t="str">
        <f t="shared" ca="1" si="653"/>
        <v/>
      </c>
      <c r="AB383" s="48" t="str">
        <f ca="1">IFERROR(INDEX($A$3:$G$400,MATCH(ROWS(AB$3:AB383),$Q$3:$Q$400,0),1),"")</f>
        <v/>
      </c>
      <c r="AC383" s="48" t="str">
        <f ca="1">IFERROR(INDEX($A$3:$G$400,MATCH(ROWS($AC$3:AC383),$Q$3:$Q$400,0),2),"")</f>
        <v/>
      </c>
      <c r="AD383" s="48" t="str">
        <f ca="1">IFERROR(INDEX($A$3:$G$400,MATCH(ROWS(AD$3:AD383),$Q$3:$Q$400,0),3),"")</f>
        <v/>
      </c>
      <c r="AE383" s="48" t="str">
        <f ca="1">IFERROR(INDEX($A$3:$G$400,MATCH(ROWS(AE$3:AE383),$Q$3:$Q$400,0),4),"")</f>
        <v/>
      </c>
      <c r="AF383" s="48" t="str">
        <f ca="1">IFERROR(INDEX($A$3:$G$400,MATCH(ROWS(AF$3:AF383),$Q$3:$Q$400,0),5),"")</f>
        <v/>
      </c>
      <c r="AG383" s="48" t="str">
        <f ca="1">IFERROR(INDEX($A$3:$G$400,MATCH(ROWS(AG$3:AG383),$Q$3:$Q$400,0),6),"")</f>
        <v/>
      </c>
      <c r="AH383" s="48" t="str">
        <f ca="1">IFERROR(INDEX($A$3:$G$400,MATCH(ROWS(AH$3:AH383),$Q$3:$Q$400,0),7),"")</f>
        <v/>
      </c>
      <c r="AI383" s="48" t="str">
        <f t="shared" ca="1" si="654"/>
        <v/>
      </c>
      <c r="AJ383" s="48" t="str">
        <f ca="1">IFERROR(INDEX($A$3:$H$400,MATCH(ROWS(AJ$3:AJ383),$Q$3:$Q$400,0),8),"")</f>
        <v/>
      </c>
      <c r="AZ383" s="48" t="str">
        <f t="shared" ca="1" si="714"/>
        <v/>
      </c>
      <c r="BA383" s="48">
        <f t="shared" ca="1" si="697"/>
        <v>0</v>
      </c>
      <c r="BB383" s="48">
        <f t="shared" ca="1" si="698"/>
        <v>0</v>
      </c>
      <c r="BC383" s="48">
        <f t="shared" ca="1" si="699"/>
        <v>0</v>
      </c>
      <c r="BD383" s="48">
        <f t="shared" ca="1" si="700"/>
        <v>0</v>
      </c>
      <c r="BE383" s="48">
        <f t="shared" ca="1" si="701"/>
        <v>0</v>
      </c>
      <c r="BF383" s="48">
        <f t="shared" si="711"/>
        <v>183</v>
      </c>
      <c r="BG383" s="48">
        <f ca="1">IF(IF(AND(OR(INDEX(PDC,MATCH($AC383,DEN_PDC,0),6)="SP DARE",INDEX(PDC,MATCH($AC383,DEN_PDC,0),6)="SP DARE/AVERE"),SUMIFS(DARE,DEN_G,$AC383)&gt;=SUMIFS(AVERE,DEN_G,$AC383)),SUMIFS(DARE,DEN_G,$AC383)-SUMIFS(AVERE,DEN_G,$AC383),0)&gt;0,MAX($BG$2:BG382)+1,0)</f>
        <v>0</v>
      </c>
      <c r="BH383" s="48">
        <f ca="1">IF(IF(AND(OR(INDEX(PDC,MATCH($AC383,DEN_PDC,0),6)="SP AVERE",INDEX(PDC,MATCH($AC383,DEN_PDC,0),6)="SP DARE/AVERE"),SUMIFS(AVERE,DEN_G,$AC383)&gt;=SUMIFS(DARE,DEN_G,$AC383)),SUMIFS(AVERE,DEN_G,$AC383)-SUMIFS(DARE,DEN_G,$AC383),0)&gt;0,MAX(BH$2:BH382)+1,0)</f>
        <v>0</v>
      </c>
      <c r="BI383" s="48">
        <f ca="1">IF(IF(AND(OR(INDEX(PDC,MATCH($AC383,DEN_PDC,0),6)="SE DARE",INDEX(PDC,MATCH($AC383,DEN_PDC,0),6)="SE DARE/AVERE"),SUMIFS(DARE,DEN_G,$AC383)&gt;=SUMIFS(AVERE,DEN_G,$AC383)),SUMIFS(DARE,DEN_G,$AC383)-SUMIFS(AVERE,DEN_G,$AC383),0)&gt;0,MAX(BI$2:BI382)+1,0)</f>
        <v>0</v>
      </c>
      <c r="BJ383" s="48">
        <f ca="1">IF(IF(AND(OR(INDEX(PDC,MATCH($AC383,DEN_PDC,0),6)="SE AVERE",INDEX(PDC,MATCH($AC383,DEN_PDC,0),6)="SE DARE/AVERE"),SUMIFS(AVERE,DEN_G,$AC383)&gt;=SUMIFS(DARE,DEN_G,$AC383)),SUMIFS(AVERE,DEN_G,$AC383)-SUMIFS(DARE,DEN_G,$AC383),0)&gt;0,MAX(BJ$2:BJ382)+1,0)</f>
        <v>0</v>
      </c>
      <c r="BK383" s="48" t="str">
        <f ca="1">IF(AND(AND($DY$2=0,$DY$1=0),$I$1=2,ROW()&gt;$BG$1+2,ROW()&lt;=$BG$1+4),"………………..",IF(AND(OR($DY$2&gt;0,$DY$1&gt;0),$I$1=2,ROW()&gt;$BG$1+2,ROW()&lt;=$BG$1+4),"………………..",IFERROR(INDEX($AC$3:$AC$398,MATCH(ROWS(BK$3:BK383),BG$3:BG$398,0),1),"")))</f>
        <v/>
      </c>
      <c r="BL383" s="48">
        <f t="shared" ca="1" si="637"/>
        <v>0</v>
      </c>
      <c r="BM383" s="48" t="str">
        <f ca="1">IF(AND(OR($DY$2=0,$DY$1=0),$I$1=2,ROW()&gt;$BH$1+2,ROW()&lt;=$BH$1+4),"………………..",IF(AND(OR($DY$2&gt;0,$DY$1&gt;0),$I$1=2,ROW()&gt;$BH$1+2,ROW()&lt;=$BH$1+4),"………………..",IFERROR(INDEX($AC$3:$AC$400,MATCH(ROWS(BM$3:BM383),BH$3:BH$400,0),1),"")))</f>
        <v/>
      </c>
      <c r="BN383" s="48">
        <f t="shared" ca="1" si="638"/>
        <v>0</v>
      </c>
      <c r="BO383" s="48" t="str">
        <f ca="1">IF(AND(OR($DY$2=0,$DY$1=0),$I$1=2,ROW()&gt;$BI$1+2,ROW()&lt;=$BI$1+4),"………………..",IF(AND(OR($DY$2&gt;0,$DY$1&gt;0),$I$1=2,ROW()&gt;$BI$1+2,ROW()&lt;=$BI$1+4),"………………..",IFERROR(INDEX($AC$3:$AC$400,MATCH(ROWS(BO$3:BO383),BI$3:BI$400,0),1),"")))</f>
        <v/>
      </c>
      <c r="BP383" s="48">
        <f t="shared" ca="1" si="639"/>
        <v>0</v>
      </c>
      <c r="BQ383" s="48" t="str">
        <f ca="1">IF(AND(OR($DY$2=0,$DY$1=0),$I$1=2,ROW()&gt;$BJ$1+2,ROW()&lt;=$BJ$1+4),"………………..",IF(AND(OR($DY$2&gt;0,$DY$1&gt;0),$I$1=2,ROW()&gt;$BJ$1+2,ROW()&lt;=$BJ$1+4),"………………..",IFERROR(INDEX($AC$3:$AC$400,MATCH(ROWS(BQ$3:BQ383),BJ$3:BJ$400,0),1),"")))</f>
        <v/>
      </c>
      <c r="BR383" s="48">
        <f t="shared" ca="1" si="640"/>
        <v>0</v>
      </c>
      <c r="BS383" s="48">
        <f ca="1">IF(IF(AND(OR(INDEX(PDC,MATCH($AC383,DEN_PDC,0),4)="D",INDEX(PDC,MATCH($AC383,DEN_PDC,0),4)="D/A"),SUMIFS(DARE,DEN_G,$AC383)&gt;=SUMIFS(AVERE,DEN_G,$AC383)),SUMIFS(DARE,DEN_G,$AC383),IF(AND(OR(INDEX(PDC,MATCH($AC383,DEN_PDC,0),4)="A",INDEX(PDC,MATCH($AC383,DEN_PDC,0),4)="D/A"),SUMIFS(AVERE,DEN_G,$AC383)&gt;=SUMIFS(DARE,DEN_G,$AC383)),SUMIFS(AVERE,DEN_G,$AC383),))&gt;0,MAX($BS$2:BS382)+1,0)</f>
        <v>0</v>
      </c>
      <c r="BT383" s="48" t="str">
        <f ca="1">IF($CO$1=0,"",IF(AND($I$1=2,ROW()&gt;$BR$1,ROW()&lt;=$BS$1)," …………….",IF(AND($E$1=1,$BX$1=1,$I$1=2,ROW()=$BQ$1),"TOTALI",IFERROR(INDEX(PDC,MATCH(ROWS(BT$3:BT383),BS$3:BS780,0),2),""))))</f>
        <v/>
      </c>
      <c r="BU383" s="48">
        <f t="shared" ca="1" si="641"/>
        <v>0</v>
      </c>
      <c r="BV383" s="48">
        <f t="shared" ca="1" si="642"/>
        <v>0</v>
      </c>
      <c r="BW383" s="48">
        <f t="shared" ca="1" si="643"/>
        <v>0</v>
      </c>
      <c r="BX383" s="48">
        <f t="shared" ca="1" si="644"/>
        <v>0</v>
      </c>
      <c r="BY383" s="48">
        <f ca="1">IF(OR(BW383&gt;0,BX383&gt;0),MAX($BY$2:BY382)+1,0)</f>
        <v>0</v>
      </c>
      <c r="BZ383" s="48" t="str">
        <f ca="1">IFERROR(INDEX($BT$3:$BY$400,MATCH(ROWS(BZ$3:BZ383),$BY$3:$BY$400,0),1),"")</f>
        <v/>
      </c>
      <c r="CA383" s="48" t="str">
        <f ca="1">IFERROR(INDEX($BT$3:$BY$400,MATCH(ROWS(CA$3:CA383),$BY$3:$BY$400,0),4),"")</f>
        <v/>
      </c>
      <c r="CB383" s="48" t="str">
        <f ca="1">IFERROR(INDEX($BT$3:$BY$400,MATCH(ROWS(CB$3:CB383),$BY$3:$BY$400,0),5),"")</f>
        <v/>
      </c>
      <c r="CC383" s="48" t="str">
        <f t="shared" ca="1" si="645"/>
        <v/>
      </c>
      <c r="CM383" s="242" t="str">
        <f t="shared" ca="1" si="655"/>
        <v/>
      </c>
      <c r="CN383" s="243">
        <f t="shared" ca="1" si="656"/>
        <v>0</v>
      </c>
      <c r="CO383" s="48" t="str">
        <f t="shared" ca="1" si="657"/>
        <v/>
      </c>
      <c r="CU383" s="48">
        <f ca="1">IF(SUMIFS(AVERE,DEN_G,AC383,AVERE,"&gt;"&amp;0)+SUMIFS(DARE,DEN_G,AC383,DARE,"&gt;"&amp;0)&gt;0,MAX($CU$2:CU382)+1,0)</f>
        <v>0</v>
      </c>
      <c r="CV383" s="48" t="str">
        <f ca="1">IF(IFERROR(INDEX(PDC,MATCH(ROWS($CV$3:CV383),$CU$3:$CU$400,0),2),"")="CONTO DI RISULTATO ECONOMICO","",IFERROR(INDEX(PDC,MATCH(ROWS($CV$3:CV383),$CU$3:$CU$400,0),2),""))</f>
        <v/>
      </c>
      <c r="CW383" s="48">
        <f ca="1">IFERROR(IF(CV383&lt;&gt;"",MAX($CW$2:CW382)+1,0),0)</f>
        <v>0</v>
      </c>
      <c r="CX383" s="48">
        <f t="shared" ca="1" si="719"/>
        <v>30</v>
      </c>
      <c r="CY383" s="48" t="str">
        <f t="shared" ca="1" si="715"/>
        <v>MASTRO</v>
      </c>
      <c r="CZ383" s="48" t="e">
        <f t="shared" ca="1" si="721"/>
        <v>#N/A</v>
      </c>
      <c r="DA383" s="48" t="str">
        <f t="shared" ref="DA383:DA391" ca="1" si="725">IFERROR(INDEX(LIBRO_GIORNALE,CZ383,1),"")</f>
        <v/>
      </c>
      <c r="DB383" s="48" t="str">
        <f t="shared" ca="1" si="682"/>
        <v/>
      </c>
      <c r="DC383" s="48" t="str">
        <f t="shared" ca="1" si="722"/>
        <v/>
      </c>
      <c r="DD383" s="48" t="str">
        <f t="shared" ca="1" si="723"/>
        <v/>
      </c>
      <c r="DE383" s="48" t="str">
        <f t="shared" ca="1" si="724"/>
        <v/>
      </c>
      <c r="DF383" s="48">
        <f ca="1">IF(AND(CX383=$DF$1,CX383&lt;&gt;""),0,IF(AND(DB383&lt;&gt;"",OR(DB382&lt;&gt;"",DB384&lt;&gt;"")),MAX($DF$2:DF382)+1,0))</f>
        <v>0</v>
      </c>
      <c r="DH383" s="244" t="s">
        <v>951</v>
      </c>
      <c r="DI383" s="48" t="s">
        <v>1129</v>
      </c>
      <c r="DJ383" s="48" t="s">
        <v>311</v>
      </c>
      <c r="DK383" s="48" t="s">
        <v>275</v>
      </c>
      <c r="DL383" s="48" t="s">
        <v>7</v>
      </c>
      <c r="DM383" s="48" t="s">
        <v>301</v>
      </c>
      <c r="DN383" s="48">
        <f ca="1">IF(DI383&lt;&gt;"",MAX($DN$2:DN382)+1,0)</f>
        <v>311</v>
      </c>
      <c r="DO383" s="48" t="s">
        <v>728</v>
      </c>
      <c r="DY383" s="48" t="str">
        <f t="shared" ca="1" si="647"/>
        <v/>
      </c>
      <c r="EL383" s="48">
        <f t="shared" ca="1" si="648"/>
        <v>0</v>
      </c>
      <c r="EM383" s="48">
        <f ca="1">IF(EL383&gt;=0,0,MAX($EM$2:EM382)+1)</f>
        <v>0</v>
      </c>
      <c r="EN383" s="48" t="str">
        <f t="shared" ca="1" si="658"/>
        <v/>
      </c>
      <c r="EO383" s="48" t="str">
        <f ca="1">IFERROR(INDEX($EM$3:$EN$400,MATCH(ROWS($EO$3:EO383),$EM$3:$EM$400,0),2),"")</f>
        <v/>
      </c>
      <c r="EP383" s="48">
        <f>ROW()</f>
        <v>383</v>
      </c>
      <c r="EQ383" s="48">
        <f t="shared" ca="1" si="649"/>
        <v>0</v>
      </c>
      <c r="ER383" s="48">
        <f ca="1">IF(ISNA(EQ383)=TRUE,MAX($ER$2:ER382)+1,0)</f>
        <v>0</v>
      </c>
      <c r="ES383" s="48" t="str">
        <f t="shared" ca="1" si="659"/>
        <v/>
      </c>
      <c r="ET383" s="48" t="str">
        <f ca="1">IFERROR(INDEX($ER$3:$ES$400,MATCH(ROWS($ET$3:ET383),$ER$3:$ER$400,0),2),"")</f>
        <v/>
      </c>
      <c r="EV383" s="48">
        <f ca="1">IFERROR(INDEX(LIBRO_GIORNALE!$O$11:$P$408,MATCH(ROWS($EV$2:EV382),LIBRO_GIORNALE!$P$11:$P$408,0),1),0)</f>
        <v>0</v>
      </c>
      <c r="EW383" s="48" t="str">
        <f t="shared" ca="1" si="716"/>
        <v>0</v>
      </c>
      <c r="EX383" s="48">
        <f t="shared" ca="1" si="660"/>
        <v>0</v>
      </c>
      <c r="EY383" s="48">
        <f ca="1">IF(EX383&gt;0,MAX($EY$2:EY382)+1,0)</f>
        <v>0</v>
      </c>
      <c r="EZ383" s="48">
        <f ca="1">IFERROR(INDEX($EX$3:$EX$400,MATCH(ROWS($EZ$3:EZ383),$EY$3:$EY$400,0),1),0)</f>
        <v>0</v>
      </c>
      <c r="FA383" s="48">
        <f ca="1">IF(EZ383&gt;0,0,MAX($FA$2:FA382)+1)</f>
        <v>381</v>
      </c>
      <c r="FB383" s="48">
        <f t="shared" ca="1" si="717"/>
        <v>0</v>
      </c>
      <c r="FC383" s="48">
        <f t="shared" ca="1" si="718"/>
        <v>381</v>
      </c>
      <c r="FD383" s="48">
        <f t="shared" ca="1" si="661"/>
        <v>381</v>
      </c>
      <c r="FE383" s="48">
        <f ca="1">IF(FD383=0,0,MAX($FE$2:FE382)+1)</f>
        <v>381</v>
      </c>
      <c r="FF383" s="48">
        <f ca="1">IFERROR(INDEX($FD$3:$FE$400,MATCH(ROWS($FF$3:FF383),$FE$3:$FE$400,0),1),"")</f>
        <v>381</v>
      </c>
      <c r="FG383" s="48">
        <f t="shared" si="696"/>
        <v>0</v>
      </c>
      <c r="FH383" s="48">
        <f t="shared" ca="1" si="662"/>
        <v>0</v>
      </c>
      <c r="FI383" s="48">
        <f ca="1">IF(FH383&lt;&gt;0,MAX($FI$2:FI382)+1,0)</f>
        <v>0</v>
      </c>
      <c r="FJ383" s="48" t="str">
        <f ca="1">IFERROR(INDEX($FH$3:$FI$400,MATCH(ROWS($FJ$3:FJ383),$FI$3:$FI$400,0),1),"")</f>
        <v/>
      </c>
      <c r="FK383" s="48">
        <f ca="1">IF(ABS(SUMIFS(DARE,DEN_G,"="&amp;FJ383,DATA,"&lt;="&amp;FINE_AC,DATA,"&gt;="&amp;INIZIO_A_PC)-SUMIFS(AVERE,DEN_G,"="&amp;FJ383,DATA,"&lt;="&amp;FINE_AC,DATA,"&gt;="&amp;INIZIO_A_PC))&gt;0,MAX($FK$2:FK382)+1,0)</f>
        <v>0</v>
      </c>
      <c r="FL383" s="48" t="str">
        <f ca="1">IF(AND(ROW()-2&lt;&gt;1,ROW()-2&lt;=$FK$1),CONCATENATE(" - ",IFERROR(INDEX($FJ$3:$FK$400,MATCH(ROWS($FL$3:FL383),$FK$3:$FK$400,0),1),"")),IFERROR(INDEX($FJ$3:$FK$400,MATCH(ROWS($FL$3:FL383),$FK$3:$FK$400,0),1),""))</f>
        <v/>
      </c>
      <c r="FM383" s="48">
        <f ca="1">IF(OR(B383="IVA ns/credito",B383="IVA NS/DEBITO",B383="IVA C/ACCONTO",B383="IMPOSTE C/ACCONTO",B383="CREDITI PER RITENUTE SUBITE",B383="CREDITI D'IMPOSTA"),MAX($FM$2:FM382)+1,0)</f>
        <v>0</v>
      </c>
      <c r="FN383" s="48" t="str">
        <f t="shared" ca="1" si="663"/>
        <v/>
      </c>
      <c r="FO383" s="48" t="str">
        <f ca="1">IFERROR(INDEX($FM$3:$FN$400,MATCH(ROWS($FO$3:FO383),$FM$3:$FM$400,0),2),"")</f>
        <v/>
      </c>
      <c r="FP383" s="48">
        <f ca="1">IF(ABS(SUMIFS(DARE,DEN_G,"="&amp;FO383,DATA,"&lt;="&amp;FINE_AC,DATA,"&gt;="&amp;INIZIO_A_PC)-SUMIFS(AVERE,DEN_G,"="&amp;FO383,DATA,"&lt;="&amp;FINE_AC,DATA,"&gt;="&amp;INIZIO_A_PC))&gt;0,MAX($FP$2:FP382)+1,0)</f>
        <v>0</v>
      </c>
      <c r="FQ383" s="48" t="str">
        <f ca="1">IF(AND(ROW()-2&lt;&gt;1,ROW()-2&lt;=$FP$1),CONCATENATE(" - ",IFERROR(INDEX($FO$3:$FP$400,MATCH(ROWS($FQ$3:FQ383),$FP$3:$FP$400,0),1),"")),IFERROR(INDEX($FO$3:$FP$400,MATCH(ROWS($FQ$3:FQ383),$FP$3:$FP$400,0),1),""))</f>
        <v/>
      </c>
    </row>
    <row r="384" spans="1:173" x14ac:dyDescent="0.3">
      <c r="A384" s="48" t="str">
        <f ca="1">IFERROR(IF($A$1=2,INDEX($DH$3:$DN$401,MATCH(ROWS(A$3:A384),$DN$3:$DN$401,0),COLUMN()),IF($A$1=1,INDEX($DQ$3:$DW$401,MATCH(ROWS(A$3:A384),$DW$3:$DW$401,0),COLUMN()),"")),"")</f>
        <v/>
      </c>
      <c r="B384" s="48" t="str">
        <f ca="1">IFERROR(IF($A$1=2,INDEX($DH$3:$DN$400,MATCH(ROWS(B$3:B384),$DN$3:$DN$400,0),COLUMN()),IF($A$1=1,INDEX($DQ$3:$DW$400,MATCH(ROWS(B$3:B384),$DW$3:$DW$400,0),COLUMN()),"")),"")</f>
        <v/>
      </c>
      <c r="D384" s="48" t="str">
        <f ca="1">IFERROR(IF($A$1=2,INDEX($DH$3:$DN$401,MATCH(ROWS(D$3:D384),$DN$3:$DN$401,0),COLUMN()),IF($A$1=1,INDEX($DQ$3:$DW$401,MATCH(ROWS(D$3:D384),$DW$3:$DW$401,0),COLUMN()),"")),"")</f>
        <v/>
      </c>
      <c r="E384" s="48" t="str">
        <f ca="1">IFERROR(IF($A$1=2,INDEX($DH$3:$DN$401,MATCH(ROWS(E$3:E384),$DN$3:$DN$401,0),COLUMN()),IF($A$1=1,INDEX($DQ$3:$DW$401,MATCH(ROWS(E$3:E384),$DW$3:$DW$401,0),COLUMN()),"")),"")</f>
        <v/>
      </c>
      <c r="F384" s="48" t="str">
        <f ca="1">IFERROR(IF($A$1=2,INDEX($DH$3:$DN$401,MATCH(ROWS(F$3:F384),$DN$3:$DN$401,0),COLUMN()),IF($A$1=1,INDEX($DQ$3:$DX$401,MATCH(ROWS(F$3:F384),$DW$3:$DW$401,0),COLUMN()),"")),"")</f>
        <v/>
      </c>
      <c r="G384" s="48" t="str">
        <f t="shared" ca="1" si="650"/>
        <v/>
      </c>
      <c r="H384" s="48" t="str">
        <f ca="1">IFERROR(IF($A$1=2,INDEX($DH$3:$DO$400,MATCH(ROWS(H$3:H384),$DN$3:$DN$400,0),COLUMN()),IF($A$1=1,INDEX($DQ$3:$DX$400,MATCH(ROWS(H$3:H384),$DW$3:$DW$400,0),COLUMN()),"")),"")</f>
        <v/>
      </c>
      <c r="M384" s="48">
        <f ca="1">IFERROR(IF(IF(MID($A384,3,3)=".00",MID(A384,1,2),"")&lt;&gt;"",MAX($M$2:M383)+1,0),"")</f>
        <v>0</v>
      </c>
      <c r="N384" s="48" t="str">
        <f t="shared" ca="1" si="651"/>
        <v/>
      </c>
      <c r="O384" s="48" t="str">
        <f ca="1">IF(IFERROR(INDEX($N$3:$O$300,MATCH(ROWS($O$3:O384),$M$3:$M$300,0),1),"")&lt;&gt;"",CONCATENATE(INDEX($N$3:$O$300,MATCH(ROWS($O$3:O384),$M$3:$M$300,0),1),".00"),"")</f>
        <v/>
      </c>
      <c r="P384" s="48" t="str">
        <f t="shared" ca="1" si="652"/>
        <v/>
      </c>
      <c r="Q384" s="48">
        <f ca="1">IF(M384&gt;=1,0,MAX($Q$2:Q383)+1)</f>
        <v>345</v>
      </c>
      <c r="U384" s="48" t="str">
        <f ca="1">IFERROR(INDEX(PDC,MATCH(ROWS(U$3:U384),$V$3:$V$400,0),2),"")</f>
        <v/>
      </c>
      <c r="V384" s="48">
        <f ca="1">IF(AND($T$1="VISUALIZZA TUTTI I CONTI",AA384&lt;&gt;""),MAX($V$2:V383)+1,IF(AND($U$2=2,AI384=$T$1),MAX($V$2:V383)+1,IF(AND($U$2=1,$T$1=AF384),MAX($V$2:V383)+1,0)))</f>
        <v>0</v>
      </c>
      <c r="AA384" s="48" t="str">
        <f t="shared" ca="1" si="653"/>
        <v/>
      </c>
      <c r="AB384" s="48" t="str">
        <f ca="1">IFERROR(INDEX($A$3:$G$400,MATCH(ROWS(AB$3:AB384),$Q$3:$Q$400,0),1),"")</f>
        <v/>
      </c>
      <c r="AC384" s="48" t="str">
        <f ca="1">IFERROR(INDEX($A$3:$G$400,MATCH(ROWS($AC$3:AC384),$Q$3:$Q$400,0),2),"")</f>
        <v/>
      </c>
      <c r="AD384" s="48" t="str">
        <f ca="1">IFERROR(INDEX($A$3:$G$400,MATCH(ROWS(AD$3:AD384),$Q$3:$Q$400,0),3),"")</f>
        <v/>
      </c>
      <c r="AE384" s="48" t="str">
        <f ca="1">IFERROR(INDEX($A$3:$G$400,MATCH(ROWS(AE$3:AE384),$Q$3:$Q$400,0),4),"")</f>
        <v/>
      </c>
      <c r="AF384" s="48" t="str">
        <f ca="1">IFERROR(INDEX($A$3:$G$400,MATCH(ROWS(AF$3:AF384),$Q$3:$Q$400,0),5),"")</f>
        <v/>
      </c>
      <c r="AG384" s="48" t="str">
        <f ca="1">IFERROR(INDEX($A$3:$G$400,MATCH(ROWS(AG$3:AG384),$Q$3:$Q$400,0),6),"")</f>
        <v/>
      </c>
      <c r="AH384" s="48" t="str">
        <f ca="1">IFERROR(INDEX($A$3:$G$400,MATCH(ROWS(AH$3:AH384),$Q$3:$Q$400,0),7),"")</f>
        <v/>
      </c>
      <c r="AI384" s="48" t="str">
        <f t="shared" ca="1" si="654"/>
        <v/>
      </c>
      <c r="AJ384" s="48" t="str">
        <f ca="1">IFERROR(INDEX($A$3:$H$400,MATCH(ROWS(AJ$3:AJ384),$Q$3:$Q$400,0),8),"")</f>
        <v/>
      </c>
      <c r="AZ384" s="48" t="str">
        <f t="shared" ca="1" si="714"/>
        <v/>
      </c>
      <c r="BA384" s="48">
        <f t="shared" ca="1" si="697"/>
        <v>0</v>
      </c>
      <c r="BB384" s="48">
        <f t="shared" ca="1" si="698"/>
        <v>0</v>
      </c>
      <c r="BC384" s="48">
        <f t="shared" ca="1" si="699"/>
        <v>0</v>
      </c>
      <c r="BD384" s="48">
        <f t="shared" ca="1" si="700"/>
        <v>0</v>
      </c>
      <c r="BE384" s="48">
        <f t="shared" ca="1" si="701"/>
        <v>0</v>
      </c>
      <c r="BF384" s="48">
        <f t="shared" si="711"/>
        <v>184</v>
      </c>
      <c r="BG384" s="48">
        <f ca="1">IF(IF(AND(OR(INDEX(PDC,MATCH($AC384,DEN_PDC,0),6)="SP DARE",INDEX(PDC,MATCH($AC384,DEN_PDC,0),6)="SP DARE/AVERE"),SUMIFS(DARE,DEN_G,$AC384)&gt;=SUMIFS(AVERE,DEN_G,$AC384)),SUMIFS(DARE,DEN_G,$AC384)-SUMIFS(AVERE,DEN_G,$AC384),0)&gt;0,MAX($BG$2:BG383)+1,0)</f>
        <v>0</v>
      </c>
      <c r="BH384" s="48">
        <f ca="1">IF(IF(AND(OR(INDEX(PDC,MATCH($AC384,DEN_PDC,0),6)="SP AVERE",INDEX(PDC,MATCH($AC384,DEN_PDC,0),6)="SP DARE/AVERE"),SUMIFS(AVERE,DEN_G,$AC384)&gt;=SUMIFS(DARE,DEN_G,$AC384)),SUMIFS(AVERE,DEN_G,$AC384)-SUMIFS(DARE,DEN_G,$AC384),0)&gt;0,MAX(BH$2:BH383)+1,0)</f>
        <v>0</v>
      </c>
      <c r="BI384" s="48">
        <f ca="1">IF(IF(AND(OR(INDEX(PDC,MATCH($AC384,DEN_PDC,0),6)="SE DARE",INDEX(PDC,MATCH($AC384,DEN_PDC,0),6)="SE DARE/AVERE"),SUMIFS(DARE,DEN_G,$AC384)&gt;=SUMIFS(AVERE,DEN_G,$AC384)),SUMIFS(DARE,DEN_G,$AC384)-SUMIFS(AVERE,DEN_G,$AC384),0)&gt;0,MAX(BI$2:BI383)+1,0)</f>
        <v>0</v>
      </c>
      <c r="BJ384" s="48">
        <f ca="1">IF(IF(AND(OR(INDEX(PDC,MATCH($AC384,DEN_PDC,0),6)="SE AVERE",INDEX(PDC,MATCH($AC384,DEN_PDC,0),6)="SE DARE/AVERE"),SUMIFS(AVERE,DEN_G,$AC384)&gt;=SUMIFS(DARE,DEN_G,$AC384)),SUMIFS(AVERE,DEN_G,$AC384)-SUMIFS(DARE,DEN_G,$AC384),0)&gt;0,MAX(BJ$2:BJ383)+1,0)</f>
        <v>0</v>
      </c>
      <c r="BK384" s="48" t="str">
        <f ca="1">IF(AND(AND($DY$2=0,$DY$1=0),$I$1=2,ROW()&gt;$BG$1+2,ROW()&lt;=$BG$1+4),"………………..",IF(AND(OR($DY$2&gt;0,$DY$1&gt;0),$I$1=2,ROW()&gt;$BG$1+2,ROW()&lt;=$BG$1+4),"………………..",IFERROR(INDEX($AC$3:$AC$398,MATCH(ROWS(BK$3:BK384),BG$3:BG$398,0),1),"")))</f>
        <v/>
      </c>
      <c r="BL384" s="48">
        <f t="shared" ca="1" si="637"/>
        <v>0</v>
      </c>
      <c r="BM384" s="48" t="str">
        <f ca="1">IF(AND(OR($DY$2=0,$DY$1=0),$I$1=2,ROW()&gt;$BH$1+2,ROW()&lt;=$BH$1+4),"………………..",IF(AND(OR($DY$2&gt;0,$DY$1&gt;0),$I$1=2,ROW()&gt;$BH$1+2,ROW()&lt;=$BH$1+4),"………………..",IFERROR(INDEX($AC$3:$AC$400,MATCH(ROWS(BM$3:BM384),BH$3:BH$400,0),1),"")))</f>
        <v/>
      </c>
      <c r="BN384" s="48">
        <f t="shared" ca="1" si="638"/>
        <v>0</v>
      </c>
      <c r="BO384" s="48" t="str">
        <f ca="1">IF(AND(OR($DY$2=0,$DY$1=0),$I$1=2,ROW()&gt;$BI$1+2,ROW()&lt;=$BI$1+4),"………………..",IF(AND(OR($DY$2&gt;0,$DY$1&gt;0),$I$1=2,ROW()&gt;$BI$1+2,ROW()&lt;=$BI$1+4),"………………..",IFERROR(INDEX($AC$3:$AC$400,MATCH(ROWS(BO$3:BO384),BI$3:BI$400,0),1),"")))</f>
        <v/>
      </c>
      <c r="BP384" s="48">
        <f t="shared" ca="1" si="639"/>
        <v>0</v>
      </c>
      <c r="BQ384" s="48" t="str">
        <f ca="1">IF(AND(OR($DY$2=0,$DY$1=0),$I$1=2,ROW()&gt;$BJ$1+2,ROW()&lt;=$BJ$1+4),"………………..",IF(AND(OR($DY$2&gt;0,$DY$1&gt;0),$I$1=2,ROW()&gt;$BJ$1+2,ROW()&lt;=$BJ$1+4),"………………..",IFERROR(INDEX($AC$3:$AC$400,MATCH(ROWS(BQ$3:BQ384),BJ$3:BJ$400,0),1),"")))</f>
        <v/>
      </c>
      <c r="BR384" s="48">
        <f t="shared" ca="1" si="640"/>
        <v>0</v>
      </c>
      <c r="BS384" s="48">
        <f ca="1">IF(IF(AND(OR(INDEX(PDC,MATCH($AC384,DEN_PDC,0),4)="D",INDEX(PDC,MATCH($AC384,DEN_PDC,0),4)="D/A"),SUMIFS(DARE,DEN_G,$AC384)&gt;=SUMIFS(AVERE,DEN_G,$AC384)),SUMIFS(DARE,DEN_G,$AC384),IF(AND(OR(INDEX(PDC,MATCH($AC384,DEN_PDC,0),4)="A",INDEX(PDC,MATCH($AC384,DEN_PDC,0),4)="D/A"),SUMIFS(AVERE,DEN_G,$AC384)&gt;=SUMIFS(DARE,DEN_G,$AC384)),SUMIFS(AVERE,DEN_G,$AC384),))&gt;0,MAX($BS$2:BS383)+1,0)</f>
        <v>0</v>
      </c>
      <c r="BT384" s="48" t="str">
        <f ca="1">IF($CO$1=0,"",IF(AND($I$1=2,ROW()&gt;$BR$1,ROW()&lt;=$BS$1)," …………….",IF(AND($E$1=1,$BX$1=1,$I$1=2,ROW()=$BQ$1),"TOTALI",IFERROR(INDEX(PDC,MATCH(ROWS(BT$3:BT384),BS$3:BS781,0),2),""))))</f>
        <v/>
      </c>
      <c r="BU384" s="48">
        <f t="shared" ca="1" si="641"/>
        <v>0</v>
      </c>
      <c r="BV384" s="48">
        <f t="shared" ca="1" si="642"/>
        <v>0</v>
      </c>
      <c r="BW384" s="48">
        <f t="shared" ca="1" si="643"/>
        <v>0</v>
      </c>
      <c r="BX384" s="48">
        <f t="shared" ca="1" si="644"/>
        <v>0</v>
      </c>
      <c r="BY384" s="48">
        <f ca="1">IF(OR(BW384&gt;0,BX384&gt;0),MAX($BY$2:BY383)+1,0)</f>
        <v>0</v>
      </c>
      <c r="BZ384" s="48" t="str">
        <f ca="1">IFERROR(INDEX($BT$3:$BY$400,MATCH(ROWS(BZ$3:BZ384),$BY$3:$BY$400,0),1),"")</f>
        <v/>
      </c>
      <c r="CA384" s="48" t="str">
        <f ca="1">IFERROR(INDEX($BT$3:$BY$400,MATCH(ROWS(CA$3:CA384),$BY$3:$BY$400,0),4),"")</f>
        <v/>
      </c>
      <c r="CB384" s="48" t="str">
        <f ca="1">IFERROR(INDEX($BT$3:$BY$400,MATCH(ROWS(CB$3:CB384),$BY$3:$BY$400,0),5),"")</f>
        <v/>
      </c>
      <c r="CC384" s="48" t="str">
        <f t="shared" ca="1" si="645"/>
        <v/>
      </c>
      <c r="CM384" s="242" t="str">
        <f t="shared" ca="1" si="655"/>
        <v/>
      </c>
      <c r="CN384" s="243">
        <f t="shared" ca="1" si="656"/>
        <v>0</v>
      </c>
      <c r="CO384" s="48" t="str">
        <f t="shared" ca="1" si="657"/>
        <v/>
      </c>
      <c r="CU384" s="48">
        <f ca="1">IF(SUMIFS(AVERE,DEN_G,AC384,AVERE,"&gt;"&amp;0)+SUMIFS(DARE,DEN_G,AC384,DARE,"&gt;"&amp;0)&gt;0,MAX($CU$2:CU383)+1,0)</f>
        <v>0</v>
      </c>
      <c r="CV384" s="48" t="str">
        <f ca="1">IF(IFERROR(INDEX(PDC,MATCH(ROWS($CV$3:CV384),$CU$3:$CU$400,0),2),"")="CONTO DI RISULTATO ECONOMICO","",IFERROR(INDEX(PDC,MATCH(ROWS($CV$3:CV384),$CU$3:$CU$400,0),2),""))</f>
        <v/>
      </c>
      <c r="CW384" s="48">
        <f ca="1">IFERROR(IF(CV384&lt;&gt;"",MAX($CW$2:CW383)+1,0),0)</f>
        <v>0</v>
      </c>
      <c r="CX384" s="48">
        <f t="shared" ca="1" si="719"/>
        <v>30</v>
      </c>
      <c r="CY384" s="48" t="str">
        <f t="shared" ca="1" si="715"/>
        <v>MASTRO</v>
      </c>
      <c r="CZ384" s="48" t="e">
        <f t="shared" ca="1" si="721"/>
        <v>#N/A</v>
      </c>
      <c r="DA384" s="48" t="str">
        <f t="shared" ca="1" si="725"/>
        <v/>
      </c>
      <c r="DB384" s="48" t="str">
        <f t="shared" ca="1" si="682"/>
        <v/>
      </c>
      <c r="DC384" s="48" t="str">
        <f t="shared" ca="1" si="722"/>
        <v/>
      </c>
      <c r="DD384" s="48" t="str">
        <f t="shared" ca="1" si="723"/>
        <v/>
      </c>
      <c r="DE384" s="48" t="str">
        <f t="shared" ca="1" si="724"/>
        <v/>
      </c>
      <c r="DF384" s="48">
        <f ca="1">IF(AND(CX384=$DF$1,CX384&lt;&gt;""),0,IF(AND(DB384&lt;&gt;"",OR(DB383&lt;&gt;"",DB385&lt;&gt;"")),MAX($DF$2:DF383)+1,0))</f>
        <v>0</v>
      </c>
      <c r="DH384" s="244" t="s">
        <v>1134</v>
      </c>
      <c r="DI384" s="48" t="s">
        <v>1130</v>
      </c>
      <c r="DJ384" s="48" t="s">
        <v>311</v>
      </c>
      <c r="DK384" s="48" t="s">
        <v>275</v>
      </c>
      <c r="DL384" s="48" t="s">
        <v>7</v>
      </c>
      <c r="DM384" s="48" t="s">
        <v>301</v>
      </c>
      <c r="DN384" s="48">
        <f ca="1">IF(DI384&lt;&gt;"",MAX($DN$2:DN383)+1,0)</f>
        <v>312</v>
      </c>
      <c r="DO384" s="48" t="s">
        <v>728</v>
      </c>
      <c r="DY384" s="48" t="str">
        <f t="shared" ca="1" si="647"/>
        <v/>
      </c>
      <c r="EL384" s="48">
        <f t="shared" ca="1" si="648"/>
        <v>0</v>
      </c>
      <c r="EM384" s="48">
        <f ca="1">IF(EL384&gt;=0,0,MAX($EM$2:EM383)+1)</f>
        <v>0</v>
      </c>
      <c r="EN384" s="48" t="str">
        <f t="shared" ca="1" si="658"/>
        <v/>
      </c>
      <c r="EO384" s="48" t="str">
        <f ca="1">IFERROR(INDEX($EM$3:$EN$400,MATCH(ROWS($EO$3:EO384),$EM$3:$EM$400,0),2),"")</f>
        <v/>
      </c>
      <c r="EP384" s="48">
        <f>ROW()</f>
        <v>384</v>
      </c>
      <c r="EQ384" s="48">
        <f t="shared" ca="1" si="649"/>
        <v>0</v>
      </c>
      <c r="ER384" s="48">
        <f ca="1">IF(ISNA(EQ384)=TRUE,MAX($ER$2:ER383)+1,0)</f>
        <v>0</v>
      </c>
      <c r="ES384" s="48" t="str">
        <f t="shared" ca="1" si="659"/>
        <v/>
      </c>
      <c r="ET384" s="48" t="str">
        <f ca="1">IFERROR(INDEX($ER$3:$ES$400,MATCH(ROWS($ET$3:ET384),$ER$3:$ER$400,0),2),"")</f>
        <v/>
      </c>
      <c r="EV384" s="48">
        <f ca="1">IFERROR(INDEX(LIBRO_GIORNALE!$O$11:$P$408,MATCH(ROWS($EV$2:EV383),LIBRO_GIORNALE!$P$11:$P$408,0),1),0)</f>
        <v>0</v>
      </c>
      <c r="EW384" s="48" t="str">
        <f t="shared" ca="1" si="716"/>
        <v>0</v>
      </c>
      <c r="EX384" s="48">
        <f t="shared" ca="1" si="660"/>
        <v>0</v>
      </c>
      <c r="EY384" s="48">
        <f ca="1">IF(EX384&gt;0,MAX($EY$2:EY383)+1,0)</f>
        <v>0</v>
      </c>
      <c r="EZ384" s="48">
        <f ca="1">IFERROR(INDEX($EX$3:$EX$400,MATCH(ROWS($EZ$3:EZ384),$EY$3:$EY$400,0),1),0)</f>
        <v>0</v>
      </c>
      <c r="FA384" s="48">
        <f ca="1">IF(EZ384&gt;0,0,MAX($FA$2:FA383)+1)</f>
        <v>382</v>
      </c>
      <c r="FB384" s="48">
        <f t="shared" ca="1" si="717"/>
        <v>0</v>
      </c>
      <c r="FC384" s="48">
        <f t="shared" ca="1" si="718"/>
        <v>382</v>
      </c>
      <c r="FD384" s="48">
        <f t="shared" ca="1" si="661"/>
        <v>382</v>
      </c>
      <c r="FE384" s="48">
        <f ca="1">IF(FD384=0,0,MAX($FE$2:FE383)+1)</f>
        <v>382</v>
      </c>
      <c r="FF384" s="48">
        <f ca="1">IFERROR(INDEX($FD$3:$FE$400,MATCH(ROWS($FF$3:FF384),$FE$3:$FE$400,0),1),"")</f>
        <v>382</v>
      </c>
      <c r="FG384" s="48">
        <f t="shared" si="696"/>
        <v>0</v>
      </c>
      <c r="FH384" s="48">
        <f t="shared" ca="1" si="662"/>
        <v>0</v>
      </c>
      <c r="FI384" s="48">
        <f ca="1">IF(FH384&lt;&gt;0,MAX($FI$2:FI383)+1,0)</f>
        <v>0</v>
      </c>
      <c r="FJ384" s="48" t="str">
        <f ca="1">IFERROR(INDEX($FH$3:$FI$400,MATCH(ROWS($FJ$3:FJ384),$FI$3:$FI$400,0),1),"")</f>
        <v/>
      </c>
      <c r="FK384" s="48">
        <f ca="1">IF(ABS(SUMIFS(DARE,DEN_G,"="&amp;FJ384,DATA,"&lt;="&amp;FINE_AC,DATA,"&gt;="&amp;INIZIO_A_PC)-SUMIFS(AVERE,DEN_G,"="&amp;FJ384,DATA,"&lt;="&amp;FINE_AC,DATA,"&gt;="&amp;INIZIO_A_PC))&gt;0,MAX($FK$2:FK383)+1,0)</f>
        <v>0</v>
      </c>
      <c r="FL384" s="48" t="str">
        <f ca="1">IF(AND(ROW()-2&lt;&gt;1,ROW()-2&lt;=$FK$1),CONCATENATE(" - ",IFERROR(INDEX($FJ$3:$FK$400,MATCH(ROWS($FL$3:FL384),$FK$3:$FK$400,0),1),"")),IFERROR(INDEX($FJ$3:$FK$400,MATCH(ROWS($FL$3:FL384),$FK$3:$FK$400,0),1),""))</f>
        <v/>
      </c>
      <c r="FM384" s="48">
        <f ca="1">IF(OR(B384="IVA ns/credito",B384="IVA NS/DEBITO",B384="IVA C/ACCONTO",B384="IMPOSTE C/ACCONTO",B384="CREDITI PER RITENUTE SUBITE",B384="CREDITI D'IMPOSTA"),MAX($FM$2:FM383)+1,0)</f>
        <v>0</v>
      </c>
      <c r="FN384" s="48" t="str">
        <f t="shared" ca="1" si="663"/>
        <v/>
      </c>
      <c r="FO384" s="48" t="str">
        <f ca="1">IFERROR(INDEX($FM$3:$FN$400,MATCH(ROWS($FO$3:FO384),$FM$3:$FM$400,0),2),"")</f>
        <v/>
      </c>
      <c r="FP384" s="48">
        <f ca="1">IF(ABS(SUMIFS(DARE,DEN_G,"="&amp;FO384,DATA,"&lt;="&amp;FINE_AC,DATA,"&gt;="&amp;INIZIO_A_PC)-SUMIFS(AVERE,DEN_G,"="&amp;FO384,DATA,"&lt;="&amp;FINE_AC,DATA,"&gt;="&amp;INIZIO_A_PC))&gt;0,MAX($FP$2:FP383)+1,0)</f>
        <v>0</v>
      </c>
      <c r="FQ384" s="48" t="str">
        <f ca="1">IF(AND(ROW()-2&lt;&gt;1,ROW()-2&lt;=$FP$1),CONCATENATE(" - ",IFERROR(INDEX($FO$3:$FP$400,MATCH(ROWS($FQ$3:FQ384),$FP$3:$FP$400,0),1),"")),IFERROR(INDEX($FO$3:$FP$400,MATCH(ROWS($FQ$3:FQ384),$FP$3:$FP$400,0),1),""))</f>
        <v/>
      </c>
    </row>
    <row r="385" spans="1:173" x14ac:dyDescent="0.3">
      <c r="A385" s="48" t="str">
        <f ca="1">IFERROR(IF($A$1=2,INDEX($DH$3:$DN$401,MATCH(ROWS(A$3:A385),$DN$3:$DN$401,0),COLUMN()),IF($A$1=1,INDEX($DQ$3:$DW$401,MATCH(ROWS(A$3:A385),$DW$3:$DW$401,0),COLUMN()),"")),"")</f>
        <v/>
      </c>
      <c r="B385" s="48" t="str">
        <f ca="1">IFERROR(IF($A$1=2,INDEX($DH$3:$DN$400,MATCH(ROWS(B$3:B385),$DN$3:$DN$400,0),COLUMN()),IF($A$1=1,INDEX($DQ$3:$DW$400,MATCH(ROWS(B$3:B385),$DW$3:$DW$400,0),COLUMN()),"")),"")</f>
        <v/>
      </c>
      <c r="D385" s="48" t="str">
        <f ca="1">IFERROR(IF($A$1=2,INDEX($DH$3:$DN$401,MATCH(ROWS(D$3:D385),$DN$3:$DN$401,0),COLUMN()),IF($A$1=1,INDEX($DQ$3:$DW$401,MATCH(ROWS(D$3:D385),$DW$3:$DW$401,0),COLUMN()),"")),"")</f>
        <v/>
      </c>
      <c r="E385" s="48" t="str">
        <f ca="1">IFERROR(IF($A$1=2,INDEX($DH$3:$DN$401,MATCH(ROWS(E$3:E385),$DN$3:$DN$401,0),COLUMN()),IF($A$1=1,INDEX($DQ$3:$DW$401,MATCH(ROWS(E$3:E385),$DW$3:$DW$401,0),COLUMN()),"")),"")</f>
        <v/>
      </c>
      <c r="F385" s="48" t="str">
        <f ca="1">IFERROR(IF($A$1=2,INDEX($DH$3:$DN$401,MATCH(ROWS(F$3:F385),$DN$3:$DN$401,0),COLUMN()),IF($A$1=1,INDEX($DQ$3:$DX$401,MATCH(ROWS(F$3:F385),$DW$3:$DW$401,0),COLUMN()),"")),"")</f>
        <v/>
      </c>
      <c r="G385" s="48" t="str">
        <f t="shared" ca="1" si="650"/>
        <v/>
      </c>
      <c r="H385" s="48" t="str">
        <f ca="1">IFERROR(IF($A$1=2,INDEX($DH$3:$DO$400,MATCH(ROWS(H$3:H385),$DN$3:$DN$400,0),COLUMN()),IF($A$1=1,INDEX($DQ$3:$DX$400,MATCH(ROWS(H$3:H385),$DW$3:$DW$400,0),COLUMN()),"")),"")</f>
        <v/>
      </c>
      <c r="M385" s="48">
        <f ca="1">IFERROR(IF(IF(MID($A385,3,3)=".00",MID(A385,1,2),"")&lt;&gt;"",MAX($M$2:M384)+1,0),"")</f>
        <v>0</v>
      </c>
      <c r="N385" s="48" t="str">
        <f t="shared" ca="1" si="651"/>
        <v/>
      </c>
      <c r="O385" s="48" t="str">
        <f ca="1">IF(IFERROR(INDEX($N$3:$O$300,MATCH(ROWS($O$3:O385),$M$3:$M$300,0),1),"")&lt;&gt;"",CONCATENATE(INDEX($N$3:$O$300,MATCH(ROWS($O$3:O385),$M$3:$M$300,0),1),".00"),"")</f>
        <v/>
      </c>
      <c r="P385" s="48" t="str">
        <f t="shared" ca="1" si="652"/>
        <v/>
      </c>
      <c r="Q385" s="48">
        <f ca="1">IF(M385&gt;=1,0,MAX($Q$2:Q384)+1)</f>
        <v>346</v>
      </c>
      <c r="U385" s="48" t="str">
        <f ca="1">IFERROR(INDEX(PDC,MATCH(ROWS(U$3:U385),$V$3:$V$400,0),2),"")</f>
        <v/>
      </c>
      <c r="V385" s="48">
        <f ca="1">IF(AND($T$1="VISUALIZZA TUTTI I CONTI",AA385&lt;&gt;""),MAX($V$2:V384)+1,IF(AND($U$2=2,AI385=$T$1),MAX($V$2:V384)+1,IF(AND($U$2=1,$T$1=AF385),MAX($V$2:V384)+1,0)))</f>
        <v>0</v>
      </c>
      <c r="AA385" s="48" t="str">
        <f t="shared" ca="1" si="653"/>
        <v/>
      </c>
      <c r="AB385" s="48" t="str">
        <f ca="1">IFERROR(INDEX($A$3:$G$400,MATCH(ROWS(AB$3:AB385),$Q$3:$Q$400,0),1),"")</f>
        <v/>
      </c>
      <c r="AC385" s="48" t="str">
        <f ca="1">IFERROR(INDEX($A$3:$G$400,MATCH(ROWS($AC$3:AC385),$Q$3:$Q$400,0),2),"")</f>
        <v/>
      </c>
      <c r="AD385" s="48" t="str">
        <f ca="1">IFERROR(INDEX($A$3:$G$400,MATCH(ROWS(AD$3:AD385),$Q$3:$Q$400,0),3),"")</f>
        <v/>
      </c>
      <c r="AE385" s="48" t="str">
        <f ca="1">IFERROR(INDEX($A$3:$G$400,MATCH(ROWS(AE$3:AE385),$Q$3:$Q$400,0),4),"")</f>
        <v/>
      </c>
      <c r="AF385" s="48" t="str">
        <f ca="1">IFERROR(INDEX($A$3:$G$400,MATCH(ROWS(AF$3:AF385),$Q$3:$Q$400,0),5),"")</f>
        <v/>
      </c>
      <c r="AG385" s="48" t="str">
        <f ca="1">IFERROR(INDEX($A$3:$G$400,MATCH(ROWS(AG$3:AG385),$Q$3:$Q$400,0),6),"")</f>
        <v/>
      </c>
      <c r="AH385" s="48" t="str">
        <f ca="1">IFERROR(INDEX($A$3:$G$400,MATCH(ROWS(AH$3:AH385),$Q$3:$Q$400,0),7),"")</f>
        <v/>
      </c>
      <c r="AI385" s="48" t="str">
        <f t="shared" ca="1" si="654"/>
        <v/>
      </c>
      <c r="AJ385" s="48" t="str">
        <f ca="1">IFERROR(INDEX($A$3:$H$400,MATCH(ROWS(AJ$3:AJ385),$Q$3:$Q$400,0),8),"")</f>
        <v/>
      </c>
      <c r="AZ385" s="48" t="str">
        <f t="shared" ca="1" si="714"/>
        <v/>
      </c>
      <c r="BA385" s="48">
        <f t="shared" ca="1" si="697"/>
        <v>0</v>
      </c>
      <c r="BB385" s="48">
        <f t="shared" ca="1" si="698"/>
        <v>0</v>
      </c>
      <c r="BC385" s="48">
        <f t="shared" ca="1" si="699"/>
        <v>0</v>
      </c>
      <c r="BD385" s="48">
        <f t="shared" ca="1" si="700"/>
        <v>0</v>
      </c>
      <c r="BE385" s="48">
        <f t="shared" ca="1" si="701"/>
        <v>0</v>
      </c>
      <c r="BF385" s="48">
        <f t="shared" si="711"/>
        <v>185</v>
      </c>
      <c r="BG385" s="48">
        <f ca="1">IF(IF(AND(OR(INDEX(PDC,MATCH($AC385,DEN_PDC,0),6)="SP DARE",INDEX(PDC,MATCH($AC385,DEN_PDC,0),6)="SP DARE/AVERE"),SUMIFS(DARE,DEN_G,$AC385)&gt;=SUMIFS(AVERE,DEN_G,$AC385)),SUMIFS(DARE,DEN_G,$AC385)-SUMIFS(AVERE,DEN_G,$AC385),0)&gt;0,MAX($BG$2:BG384)+1,0)</f>
        <v>0</v>
      </c>
      <c r="BH385" s="48">
        <f ca="1">IF(IF(AND(OR(INDEX(PDC,MATCH($AC385,DEN_PDC,0),6)="SP AVERE",INDEX(PDC,MATCH($AC385,DEN_PDC,0),6)="SP DARE/AVERE"),SUMIFS(AVERE,DEN_G,$AC385)&gt;=SUMIFS(DARE,DEN_G,$AC385)),SUMIFS(AVERE,DEN_G,$AC385)-SUMIFS(DARE,DEN_G,$AC385),0)&gt;0,MAX(BH$2:BH384)+1,0)</f>
        <v>0</v>
      </c>
      <c r="BI385" s="48">
        <f ca="1">IF(IF(AND(OR(INDEX(PDC,MATCH($AC385,DEN_PDC,0),6)="SE DARE",INDEX(PDC,MATCH($AC385,DEN_PDC,0),6)="SE DARE/AVERE"),SUMIFS(DARE,DEN_G,$AC385)&gt;=SUMIFS(AVERE,DEN_G,$AC385)),SUMIFS(DARE,DEN_G,$AC385)-SUMIFS(AVERE,DEN_G,$AC385),0)&gt;0,MAX(BI$2:BI384)+1,0)</f>
        <v>0</v>
      </c>
      <c r="BJ385" s="48">
        <f ca="1">IF(IF(AND(OR(INDEX(PDC,MATCH($AC385,DEN_PDC,0),6)="SE AVERE",INDEX(PDC,MATCH($AC385,DEN_PDC,0),6)="SE DARE/AVERE"),SUMIFS(AVERE,DEN_G,$AC385)&gt;=SUMIFS(DARE,DEN_G,$AC385)),SUMIFS(AVERE,DEN_G,$AC385)-SUMIFS(DARE,DEN_G,$AC385),0)&gt;0,MAX(BJ$2:BJ384)+1,0)</f>
        <v>0</v>
      </c>
      <c r="BK385" s="48" t="str">
        <f ca="1">IF(AND(AND($DY$2=0,$DY$1=0),$I$1=2,ROW()&gt;$BG$1+2,ROW()&lt;=$BG$1+4),"………………..",IF(AND(OR($DY$2&gt;0,$DY$1&gt;0),$I$1=2,ROW()&gt;$BG$1+2,ROW()&lt;=$BG$1+4),"………………..",IFERROR(INDEX($AC$3:$AC$398,MATCH(ROWS(BK$3:BK385),BG$3:BG$398,0),1),"")))</f>
        <v/>
      </c>
      <c r="BL385" s="48">
        <f t="shared" ca="1" si="637"/>
        <v>0</v>
      </c>
      <c r="BM385" s="48" t="str">
        <f ca="1">IF(AND(OR($DY$2=0,$DY$1=0),$I$1=2,ROW()&gt;$BH$1+2,ROW()&lt;=$BH$1+4),"………………..",IF(AND(OR($DY$2&gt;0,$DY$1&gt;0),$I$1=2,ROW()&gt;$BH$1+2,ROW()&lt;=$BH$1+4),"………………..",IFERROR(INDEX($AC$3:$AC$400,MATCH(ROWS(BM$3:BM385),BH$3:BH$400,0),1),"")))</f>
        <v/>
      </c>
      <c r="BN385" s="48">
        <f t="shared" ca="1" si="638"/>
        <v>0</v>
      </c>
      <c r="BO385" s="48" t="str">
        <f ca="1">IF(AND(OR($DY$2=0,$DY$1=0),$I$1=2,ROW()&gt;$BI$1+2,ROW()&lt;=$BI$1+4),"………………..",IF(AND(OR($DY$2&gt;0,$DY$1&gt;0),$I$1=2,ROW()&gt;$BI$1+2,ROW()&lt;=$BI$1+4),"………………..",IFERROR(INDEX($AC$3:$AC$400,MATCH(ROWS(BO$3:BO385),BI$3:BI$400,0),1),"")))</f>
        <v/>
      </c>
      <c r="BP385" s="48">
        <f t="shared" ca="1" si="639"/>
        <v>0</v>
      </c>
      <c r="BQ385" s="48" t="str">
        <f ca="1">IF(AND(OR($DY$2=0,$DY$1=0),$I$1=2,ROW()&gt;$BJ$1+2,ROW()&lt;=$BJ$1+4),"………………..",IF(AND(OR($DY$2&gt;0,$DY$1&gt;0),$I$1=2,ROW()&gt;$BJ$1+2,ROW()&lt;=$BJ$1+4),"………………..",IFERROR(INDEX($AC$3:$AC$400,MATCH(ROWS(BQ$3:BQ385),BJ$3:BJ$400,0),1),"")))</f>
        <v/>
      </c>
      <c r="BR385" s="48">
        <f t="shared" ca="1" si="640"/>
        <v>0</v>
      </c>
      <c r="BS385" s="48">
        <f ca="1">IF(IF(AND(OR(INDEX(PDC,MATCH($AC385,DEN_PDC,0),4)="D",INDEX(PDC,MATCH($AC385,DEN_PDC,0),4)="D/A"),SUMIFS(DARE,DEN_G,$AC385)&gt;=SUMIFS(AVERE,DEN_G,$AC385)),SUMIFS(DARE,DEN_G,$AC385),IF(AND(OR(INDEX(PDC,MATCH($AC385,DEN_PDC,0),4)="A",INDEX(PDC,MATCH($AC385,DEN_PDC,0),4)="D/A"),SUMIFS(AVERE,DEN_G,$AC385)&gt;=SUMIFS(DARE,DEN_G,$AC385)),SUMIFS(AVERE,DEN_G,$AC385),))&gt;0,MAX($BS$2:BS384)+1,0)</f>
        <v>0</v>
      </c>
      <c r="BT385" s="48" t="str">
        <f ca="1">IF($CO$1=0,"",IF(AND($I$1=2,ROW()&gt;$BR$1,ROW()&lt;=$BS$1)," …………….",IF(AND($E$1=1,$BX$1=1,$I$1=2,ROW()=$BQ$1),"TOTALI",IFERROR(INDEX(PDC,MATCH(ROWS(BT$3:BT385),BS$3:BS782,0),2),""))))</f>
        <v/>
      </c>
      <c r="BU385" s="48">
        <f t="shared" ca="1" si="641"/>
        <v>0</v>
      </c>
      <c r="BV385" s="48">
        <f t="shared" ca="1" si="642"/>
        <v>0</v>
      </c>
      <c r="BW385" s="48">
        <f t="shared" ca="1" si="643"/>
        <v>0</v>
      </c>
      <c r="BX385" s="48">
        <f t="shared" ca="1" si="644"/>
        <v>0</v>
      </c>
      <c r="BY385" s="48">
        <f ca="1">IF(OR(BW385&gt;0,BX385&gt;0),MAX($BY$2:BY384)+1,0)</f>
        <v>0</v>
      </c>
      <c r="BZ385" s="48" t="str">
        <f ca="1">IFERROR(INDEX($BT$3:$BY$400,MATCH(ROWS(BZ$3:BZ385),$BY$3:$BY$400,0),1),"")</f>
        <v/>
      </c>
      <c r="CA385" s="48" t="str">
        <f ca="1">IFERROR(INDEX($BT$3:$BY$400,MATCH(ROWS(CA$3:CA385),$BY$3:$BY$400,0),4),"")</f>
        <v/>
      </c>
      <c r="CB385" s="48" t="str">
        <f ca="1">IFERROR(INDEX($BT$3:$BY$400,MATCH(ROWS(CB$3:CB385),$BY$3:$BY$400,0),5),"")</f>
        <v/>
      </c>
      <c r="CC385" s="48" t="str">
        <f t="shared" ca="1" si="645"/>
        <v/>
      </c>
      <c r="CM385" s="242" t="str">
        <f t="shared" ca="1" si="655"/>
        <v/>
      </c>
      <c r="CN385" s="243">
        <f t="shared" ca="1" si="656"/>
        <v>0</v>
      </c>
      <c r="CO385" s="48" t="str">
        <f t="shared" ca="1" si="657"/>
        <v/>
      </c>
      <c r="CU385" s="48">
        <f ca="1">IF(SUMIFS(AVERE,DEN_G,AC385,AVERE,"&gt;"&amp;0)+SUMIFS(DARE,DEN_G,AC385,DARE,"&gt;"&amp;0)&gt;0,MAX($CU$2:CU384)+1,0)</f>
        <v>0</v>
      </c>
      <c r="CV385" s="48" t="str">
        <f ca="1">IF(IFERROR(INDEX(PDC,MATCH(ROWS($CV$3:CV385),$CU$3:$CU$400,0),2),"")="CONTO DI RISULTATO ECONOMICO","",IFERROR(INDEX(PDC,MATCH(ROWS($CV$3:CV385),$CU$3:$CU$400,0),2),""))</f>
        <v/>
      </c>
      <c r="CW385" s="48">
        <f ca="1">IFERROR(IF(CV385&lt;&gt;"",MAX($CW$2:CW384)+1,0),0)</f>
        <v>0</v>
      </c>
      <c r="CX385" s="48">
        <f t="shared" ca="1" si="719"/>
        <v>30</v>
      </c>
      <c r="CY385" s="48" t="str">
        <f t="shared" ca="1" si="715"/>
        <v>MASTRO</v>
      </c>
      <c r="CZ385" s="48" t="e">
        <f t="shared" ca="1" si="721"/>
        <v>#N/A</v>
      </c>
      <c r="DA385" s="48" t="str">
        <f t="shared" ca="1" si="725"/>
        <v/>
      </c>
      <c r="DB385" s="48" t="str">
        <f t="shared" ca="1" si="682"/>
        <v/>
      </c>
      <c r="DC385" s="48" t="str">
        <f t="shared" ca="1" si="722"/>
        <v/>
      </c>
      <c r="DD385" s="48" t="str">
        <f t="shared" ca="1" si="723"/>
        <v/>
      </c>
      <c r="DE385" s="48" t="str">
        <f t="shared" ca="1" si="724"/>
        <v/>
      </c>
      <c r="DF385" s="48">
        <f ca="1">IF(AND(CX385=$DF$1,CX385&lt;&gt;""),0,IF(AND(DB385&lt;&gt;"",OR(DB384&lt;&gt;"",DB386&lt;&gt;"")),MAX($DF$2:DF384)+1,0))</f>
        <v>0</v>
      </c>
      <c r="DH385" s="244" t="s">
        <v>1135</v>
      </c>
      <c r="DI385" s="48" t="s">
        <v>1131</v>
      </c>
      <c r="DJ385" s="48" t="s">
        <v>311</v>
      </c>
      <c r="DK385" s="48" t="s">
        <v>275</v>
      </c>
      <c r="DL385" s="48" t="s">
        <v>7</v>
      </c>
      <c r="DM385" s="48" t="s">
        <v>301</v>
      </c>
      <c r="DN385" s="48">
        <f ca="1">IF(DI385&lt;&gt;"",MAX($DN$2:DN384)+1,0)</f>
        <v>313</v>
      </c>
      <c r="DO385" s="48" t="s">
        <v>728</v>
      </c>
      <c r="DY385" s="48" t="str">
        <f t="shared" ca="1" si="647"/>
        <v/>
      </c>
      <c r="EL385" s="48">
        <f t="shared" ca="1" si="648"/>
        <v>0</v>
      </c>
      <c r="EM385" s="48">
        <f ca="1">IF(EL385&gt;=0,0,MAX($EM$2:EM384)+1)</f>
        <v>0</v>
      </c>
      <c r="EN385" s="48" t="str">
        <f t="shared" ca="1" si="658"/>
        <v/>
      </c>
      <c r="EO385" s="48" t="str">
        <f ca="1">IFERROR(INDEX($EM$3:$EN$400,MATCH(ROWS($EO$3:EO385),$EM$3:$EM$400,0),2),"")</f>
        <v/>
      </c>
      <c r="EP385" s="48">
        <f>ROW()</f>
        <v>385</v>
      </c>
      <c r="EQ385" s="48">
        <f t="shared" ca="1" si="649"/>
        <v>0</v>
      </c>
      <c r="ER385" s="48">
        <f ca="1">IF(ISNA(EQ385)=TRUE,MAX($ER$2:ER384)+1,0)</f>
        <v>0</v>
      </c>
      <c r="ES385" s="48" t="str">
        <f t="shared" ca="1" si="659"/>
        <v/>
      </c>
      <c r="ET385" s="48" t="str">
        <f ca="1">IFERROR(INDEX($ER$3:$ES$400,MATCH(ROWS($ET$3:ET385),$ER$3:$ER$400,0),2),"")</f>
        <v/>
      </c>
      <c r="EV385" s="48">
        <f ca="1">IFERROR(INDEX(LIBRO_GIORNALE!$O$11:$P$408,MATCH(ROWS($EV$2:EV384),LIBRO_GIORNALE!$P$11:$P$408,0),1),0)</f>
        <v>0</v>
      </c>
      <c r="EW385" s="48" t="str">
        <f t="shared" ca="1" si="716"/>
        <v>0</v>
      </c>
      <c r="EX385" s="48">
        <f t="shared" ca="1" si="660"/>
        <v>0</v>
      </c>
      <c r="EY385" s="48">
        <f ca="1">IF(EX385&gt;0,MAX($EY$2:EY384)+1,0)</f>
        <v>0</v>
      </c>
      <c r="EZ385" s="48">
        <f ca="1">IFERROR(INDEX($EX$3:$EX$400,MATCH(ROWS($EZ$3:EZ385),$EY$3:$EY$400,0),1),0)</f>
        <v>0</v>
      </c>
      <c r="FA385" s="48">
        <f ca="1">IF(EZ385&gt;0,0,MAX($FA$2:FA384)+1)</f>
        <v>383</v>
      </c>
      <c r="FB385" s="48">
        <f t="shared" ca="1" si="717"/>
        <v>0</v>
      </c>
      <c r="FC385" s="48">
        <f t="shared" ca="1" si="718"/>
        <v>383</v>
      </c>
      <c r="FD385" s="48">
        <f t="shared" ca="1" si="661"/>
        <v>383</v>
      </c>
      <c r="FE385" s="48">
        <f ca="1">IF(FD385=0,0,MAX($FE$2:FE384)+1)</f>
        <v>383</v>
      </c>
      <c r="FF385" s="48">
        <f ca="1">IFERROR(INDEX($FD$3:$FE$400,MATCH(ROWS($FF$3:FF385),$FE$3:$FE$400,0),1),"")</f>
        <v>383</v>
      </c>
      <c r="FG385" s="48">
        <f t="shared" si="696"/>
        <v>0</v>
      </c>
      <c r="FH385" s="48">
        <f t="shared" ca="1" si="662"/>
        <v>0</v>
      </c>
      <c r="FI385" s="48">
        <f ca="1">IF(FH385&lt;&gt;0,MAX($FI$2:FI384)+1,0)</f>
        <v>0</v>
      </c>
      <c r="FJ385" s="48" t="str">
        <f ca="1">IFERROR(INDEX($FH$3:$FI$400,MATCH(ROWS($FJ$3:FJ385),$FI$3:$FI$400,0),1),"")</f>
        <v/>
      </c>
      <c r="FK385" s="48">
        <f ca="1">IF(ABS(SUMIFS(DARE,DEN_G,"="&amp;FJ385,DATA,"&lt;="&amp;FINE_AC,DATA,"&gt;="&amp;INIZIO_A_PC)-SUMIFS(AVERE,DEN_G,"="&amp;FJ385,DATA,"&lt;="&amp;FINE_AC,DATA,"&gt;="&amp;INIZIO_A_PC))&gt;0,MAX($FK$2:FK384)+1,0)</f>
        <v>0</v>
      </c>
      <c r="FL385" s="48" t="str">
        <f ca="1">IF(AND(ROW()-2&lt;&gt;1,ROW()-2&lt;=$FK$1),CONCATENATE(" - ",IFERROR(INDEX($FJ$3:$FK$400,MATCH(ROWS($FL$3:FL385),$FK$3:$FK$400,0),1),"")),IFERROR(INDEX($FJ$3:$FK$400,MATCH(ROWS($FL$3:FL385),$FK$3:$FK$400,0),1),""))</f>
        <v/>
      </c>
      <c r="FM385" s="48">
        <f ca="1">IF(OR(B385="IVA ns/credito",B385="IVA NS/DEBITO",B385="IVA C/ACCONTO",B385="IMPOSTE C/ACCONTO",B385="CREDITI PER RITENUTE SUBITE",B385="CREDITI D'IMPOSTA"),MAX($FM$2:FM384)+1,0)</f>
        <v>0</v>
      </c>
      <c r="FN385" s="48" t="str">
        <f t="shared" ca="1" si="663"/>
        <v/>
      </c>
      <c r="FO385" s="48" t="str">
        <f ca="1">IFERROR(INDEX($FM$3:$FN$400,MATCH(ROWS($FO$3:FO385),$FM$3:$FM$400,0),2),"")</f>
        <v/>
      </c>
      <c r="FP385" s="48">
        <f ca="1">IF(ABS(SUMIFS(DARE,DEN_G,"="&amp;FO385,DATA,"&lt;="&amp;FINE_AC,DATA,"&gt;="&amp;INIZIO_A_PC)-SUMIFS(AVERE,DEN_G,"="&amp;FO385,DATA,"&lt;="&amp;FINE_AC,DATA,"&gt;="&amp;INIZIO_A_PC))&gt;0,MAX($FP$2:FP384)+1,0)</f>
        <v>0</v>
      </c>
      <c r="FQ385" s="48" t="str">
        <f ca="1">IF(AND(ROW()-2&lt;&gt;1,ROW()-2&lt;=$FP$1),CONCATENATE(" - ",IFERROR(INDEX($FO$3:$FP$400,MATCH(ROWS($FQ$3:FQ385),$FP$3:$FP$400,0),1),"")),IFERROR(INDEX($FO$3:$FP$400,MATCH(ROWS($FQ$3:FQ385),$FP$3:$FP$400,0),1),""))</f>
        <v/>
      </c>
    </row>
    <row r="386" spans="1:173" x14ac:dyDescent="0.3">
      <c r="A386" s="48" t="str">
        <f ca="1">IFERROR(IF($A$1=2,INDEX($DH$3:$DN$401,MATCH(ROWS(A$3:A386),$DN$3:$DN$401,0),COLUMN()),IF($A$1=1,INDEX($DQ$3:$DW$401,MATCH(ROWS(A$3:A386),$DW$3:$DW$401,0),COLUMN()),"")),"")</f>
        <v/>
      </c>
      <c r="B386" s="48" t="str">
        <f ca="1">IFERROR(IF($A$1=2,INDEX($DH$3:$DN$400,MATCH(ROWS(B$3:B386),$DN$3:$DN$400,0),COLUMN()),IF($A$1=1,INDEX($DQ$3:$DW$400,MATCH(ROWS(B$3:B386),$DW$3:$DW$400,0),COLUMN()),"")),"")</f>
        <v/>
      </c>
      <c r="D386" s="48" t="str">
        <f ca="1">IFERROR(IF($A$1=2,INDEX($DH$3:$DN$401,MATCH(ROWS(D$3:D386),$DN$3:$DN$401,0),COLUMN()),IF($A$1=1,INDEX($DQ$3:$DW$401,MATCH(ROWS(D$3:D386),$DW$3:$DW$401,0),COLUMN()),"")),"")</f>
        <v/>
      </c>
      <c r="E386" s="48" t="str">
        <f ca="1">IFERROR(IF($A$1=2,INDEX($DH$3:$DN$401,MATCH(ROWS(E$3:E386),$DN$3:$DN$401,0),COLUMN()),IF($A$1=1,INDEX($DQ$3:$DW$401,MATCH(ROWS(E$3:E386),$DW$3:$DW$401,0),COLUMN()),"")),"")</f>
        <v/>
      </c>
      <c r="F386" s="48" t="str">
        <f ca="1">IFERROR(IF($A$1=2,INDEX($DH$3:$DN$401,MATCH(ROWS(F$3:F386),$DN$3:$DN$401,0),COLUMN()),IF($A$1=1,INDEX($DQ$3:$DX$401,MATCH(ROWS(F$3:F386),$DW$3:$DW$401,0),COLUMN()),"")),"")</f>
        <v/>
      </c>
      <c r="G386" s="48" t="str">
        <f t="shared" ca="1" si="650"/>
        <v/>
      </c>
      <c r="H386" s="48" t="str">
        <f ca="1">IFERROR(IF($A$1=2,INDEX($DH$3:$DO$400,MATCH(ROWS(H$3:H386),$DN$3:$DN$400,0),COLUMN()),IF($A$1=1,INDEX($DQ$3:$DX$400,MATCH(ROWS(H$3:H386),$DW$3:$DW$400,0),COLUMN()),"")),"")</f>
        <v/>
      </c>
      <c r="M386" s="48">
        <f ca="1">IFERROR(IF(IF(MID($A386,3,3)=".00",MID(A386,1,2),"")&lt;&gt;"",MAX($M$2:M385)+1,0),"")</f>
        <v>0</v>
      </c>
      <c r="N386" s="48" t="str">
        <f t="shared" ca="1" si="651"/>
        <v/>
      </c>
      <c r="O386" s="48" t="str">
        <f ca="1">IF(IFERROR(INDEX($N$3:$O$300,MATCH(ROWS($O$3:O386),$M$3:$M$300,0),1),"")&lt;&gt;"",CONCATENATE(INDEX($N$3:$O$300,MATCH(ROWS($O$3:O386),$M$3:$M$300,0),1),".00"),"")</f>
        <v/>
      </c>
      <c r="P386" s="48" t="str">
        <f t="shared" ca="1" si="652"/>
        <v/>
      </c>
      <c r="Q386" s="48">
        <f ca="1">IF(M386&gt;=1,0,MAX($Q$2:Q385)+1)</f>
        <v>347</v>
      </c>
      <c r="U386" s="48" t="str">
        <f ca="1">IFERROR(INDEX(PDC,MATCH(ROWS(U$3:U386),$V$3:$V$400,0),2),"")</f>
        <v/>
      </c>
      <c r="V386" s="48">
        <f ca="1">IF(AND($T$1="VISUALIZZA TUTTI I CONTI",AA386&lt;&gt;""),MAX($V$2:V385)+1,IF(AND($U$2=2,AI386=$T$1),MAX($V$2:V385)+1,IF(AND($U$2=1,$T$1=AF386),MAX($V$2:V385)+1,0)))</f>
        <v>0</v>
      </c>
      <c r="AA386" s="48" t="str">
        <f t="shared" ca="1" si="653"/>
        <v/>
      </c>
      <c r="AB386" s="48" t="str">
        <f ca="1">IFERROR(INDEX($A$3:$G$400,MATCH(ROWS(AB$3:AB386),$Q$3:$Q$400,0),1),"")</f>
        <v/>
      </c>
      <c r="AC386" s="48" t="str">
        <f ca="1">IFERROR(INDEX($A$3:$G$400,MATCH(ROWS($AC$3:AC386),$Q$3:$Q$400,0),2),"")</f>
        <v/>
      </c>
      <c r="AD386" s="48" t="str">
        <f ca="1">IFERROR(INDEX($A$3:$G$400,MATCH(ROWS(AD$3:AD386),$Q$3:$Q$400,0),3),"")</f>
        <v/>
      </c>
      <c r="AE386" s="48" t="str">
        <f ca="1">IFERROR(INDEX($A$3:$G$400,MATCH(ROWS(AE$3:AE386),$Q$3:$Q$400,0),4),"")</f>
        <v/>
      </c>
      <c r="AF386" s="48" t="str">
        <f ca="1">IFERROR(INDEX($A$3:$G$400,MATCH(ROWS(AF$3:AF386),$Q$3:$Q$400,0),5),"")</f>
        <v/>
      </c>
      <c r="AG386" s="48" t="str">
        <f ca="1">IFERROR(INDEX($A$3:$G$400,MATCH(ROWS(AG$3:AG386),$Q$3:$Q$400,0),6),"")</f>
        <v/>
      </c>
      <c r="AH386" s="48" t="str">
        <f ca="1">IFERROR(INDEX($A$3:$G$400,MATCH(ROWS(AH$3:AH386),$Q$3:$Q$400,0),7),"")</f>
        <v/>
      </c>
      <c r="AI386" s="48" t="str">
        <f t="shared" ca="1" si="654"/>
        <v/>
      </c>
      <c r="AJ386" s="48" t="str">
        <f ca="1">IFERROR(INDEX($A$3:$H$400,MATCH(ROWS(AJ$3:AJ386),$Q$3:$Q$400,0),8),"")</f>
        <v/>
      </c>
      <c r="AZ386" s="48" t="str">
        <f t="shared" ca="1" si="714"/>
        <v/>
      </c>
      <c r="BA386" s="48">
        <f t="shared" ca="1" si="697"/>
        <v>0</v>
      </c>
      <c r="BB386" s="48">
        <f t="shared" ca="1" si="698"/>
        <v>0</v>
      </c>
      <c r="BC386" s="48">
        <f t="shared" ca="1" si="699"/>
        <v>0</v>
      </c>
      <c r="BD386" s="48">
        <f t="shared" ca="1" si="700"/>
        <v>0</v>
      </c>
      <c r="BE386" s="48">
        <f t="shared" ca="1" si="701"/>
        <v>0</v>
      </c>
      <c r="BF386" s="48">
        <f t="shared" si="711"/>
        <v>186</v>
      </c>
      <c r="BG386" s="48">
        <f ca="1">IF(IF(AND(OR(INDEX(PDC,MATCH($AC386,DEN_PDC,0),6)="SP DARE",INDEX(PDC,MATCH($AC386,DEN_PDC,0),6)="SP DARE/AVERE"),SUMIFS(DARE,DEN_G,$AC386)&gt;=SUMIFS(AVERE,DEN_G,$AC386)),SUMIFS(DARE,DEN_G,$AC386)-SUMIFS(AVERE,DEN_G,$AC386),0)&gt;0,MAX($BG$2:BG385)+1,0)</f>
        <v>0</v>
      </c>
      <c r="BH386" s="48">
        <f ca="1">IF(IF(AND(OR(INDEX(PDC,MATCH($AC386,DEN_PDC,0),6)="SP AVERE",INDEX(PDC,MATCH($AC386,DEN_PDC,0),6)="SP DARE/AVERE"),SUMIFS(AVERE,DEN_G,$AC386)&gt;=SUMIFS(DARE,DEN_G,$AC386)),SUMIFS(AVERE,DEN_G,$AC386)-SUMIFS(DARE,DEN_G,$AC386),0)&gt;0,MAX(BH$2:BH385)+1,0)</f>
        <v>0</v>
      </c>
      <c r="BI386" s="48">
        <f ca="1">IF(IF(AND(OR(INDEX(PDC,MATCH($AC386,DEN_PDC,0),6)="SE DARE",INDEX(PDC,MATCH($AC386,DEN_PDC,0),6)="SE DARE/AVERE"),SUMIFS(DARE,DEN_G,$AC386)&gt;=SUMIFS(AVERE,DEN_G,$AC386)),SUMIFS(DARE,DEN_G,$AC386)-SUMIFS(AVERE,DEN_G,$AC386),0)&gt;0,MAX(BI$2:BI385)+1,0)</f>
        <v>0</v>
      </c>
      <c r="BJ386" s="48">
        <f ca="1">IF(IF(AND(OR(INDEX(PDC,MATCH($AC386,DEN_PDC,0),6)="SE AVERE",INDEX(PDC,MATCH($AC386,DEN_PDC,0),6)="SE DARE/AVERE"),SUMIFS(AVERE,DEN_G,$AC386)&gt;=SUMIFS(DARE,DEN_G,$AC386)),SUMIFS(AVERE,DEN_G,$AC386)-SUMIFS(DARE,DEN_G,$AC386),0)&gt;0,MAX(BJ$2:BJ385)+1,0)</f>
        <v>0</v>
      </c>
      <c r="BK386" s="48" t="str">
        <f ca="1">IF(AND(AND($DY$2=0,$DY$1=0),$I$1=2,ROW()&gt;$BG$1+2,ROW()&lt;=$BG$1+4),"………………..",IF(AND(OR($DY$2&gt;0,$DY$1&gt;0),$I$1=2,ROW()&gt;$BG$1+2,ROW()&lt;=$BG$1+4),"………………..",IFERROR(INDEX($AC$3:$AC$398,MATCH(ROWS(BK$3:BK386),BG$3:BG$398,0),1),"")))</f>
        <v/>
      </c>
      <c r="BL386" s="48">
        <f t="shared" ca="1" si="637"/>
        <v>0</v>
      </c>
      <c r="BM386" s="48" t="str">
        <f ca="1">IF(AND(OR($DY$2=0,$DY$1=0),$I$1=2,ROW()&gt;$BH$1+2,ROW()&lt;=$BH$1+4),"………………..",IF(AND(OR($DY$2&gt;0,$DY$1&gt;0),$I$1=2,ROW()&gt;$BH$1+2,ROW()&lt;=$BH$1+4),"………………..",IFERROR(INDEX($AC$3:$AC$400,MATCH(ROWS(BM$3:BM386),BH$3:BH$400,0),1),"")))</f>
        <v/>
      </c>
      <c r="BN386" s="48">
        <f t="shared" ca="1" si="638"/>
        <v>0</v>
      </c>
      <c r="BO386" s="48" t="str">
        <f ca="1">IF(AND(OR($DY$2=0,$DY$1=0),$I$1=2,ROW()&gt;$BI$1+2,ROW()&lt;=$BI$1+4),"………………..",IF(AND(OR($DY$2&gt;0,$DY$1&gt;0),$I$1=2,ROW()&gt;$BI$1+2,ROW()&lt;=$BI$1+4),"………………..",IFERROR(INDEX($AC$3:$AC$400,MATCH(ROWS(BO$3:BO386),BI$3:BI$400,0),1),"")))</f>
        <v/>
      </c>
      <c r="BP386" s="48">
        <f t="shared" ca="1" si="639"/>
        <v>0</v>
      </c>
      <c r="BQ386" s="48" t="str">
        <f ca="1">IF(AND(OR($DY$2=0,$DY$1=0),$I$1=2,ROW()&gt;$BJ$1+2,ROW()&lt;=$BJ$1+4),"………………..",IF(AND(OR($DY$2&gt;0,$DY$1&gt;0),$I$1=2,ROW()&gt;$BJ$1+2,ROW()&lt;=$BJ$1+4),"………………..",IFERROR(INDEX($AC$3:$AC$400,MATCH(ROWS(BQ$3:BQ386),BJ$3:BJ$400,0),1),"")))</f>
        <v/>
      </c>
      <c r="BR386" s="48">
        <f t="shared" ca="1" si="640"/>
        <v>0</v>
      </c>
      <c r="BS386" s="48">
        <f ca="1">IF(IF(AND(OR(INDEX(PDC,MATCH($AC386,DEN_PDC,0),4)="D",INDEX(PDC,MATCH($AC386,DEN_PDC,0),4)="D/A"),SUMIFS(DARE,DEN_G,$AC386)&gt;=SUMIFS(AVERE,DEN_G,$AC386)),SUMIFS(DARE,DEN_G,$AC386),IF(AND(OR(INDEX(PDC,MATCH($AC386,DEN_PDC,0),4)="A",INDEX(PDC,MATCH($AC386,DEN_PDC,0),4)="D/A"),SUMIFS(AVERE,DEN_G,$AC386)&gt;=SUMIFS(DARE,DEN_G,$AC386)),SUMIFS(AVERE,DEN_G,$AC386),))&gt;0,MAX($BS$2:BS385)+1,0)</f>
        <v>0</v>
      </c>
      <c r="BT386" s="48" t="str">
        <f ca="1">IF($CO$1=0,"",IF(AND($I$1=2,ROW()&gt;$BR$1,ROW()&lt;=$BS$1)," …………….",IF(AND($E$1=1,$BX$1=1,$I$1=2,ROW()=$BQ$1),"TOTALI",IFERROR(INDEX(PDC,MATCH(ROWS(BT$3:BT386),BS$3:BS783,0),2),""))))</f>
        <v/>
      </c>
      <c r="BU386" s="48">
        <f t="shared" ca="1" si="641"/>
        <v>0</v>
      </c>
      <c r="BV386" s="48">
        <f t="shared" ca="1" si="642"/>
        <v>0</v>
      </c>
      <c r="BW386" s="48">
        <f t="shared" ca="1" si="643"/>
        <v>0</v>
      </c>
      <c r="BX386" s="48">
        <f t="shared" ca="1" si="644"/>
        <v>0</v>
      </c>
      <c r="BY386" s="48">
        <f ca="1">IF(OR(BW386&gt;0,BX386&gt;0),MAX($BY$2:BY385)+1,0)</f>
        <v>0</v>
      </c>
      <c r="BZ386" s="48" t="str">
        <f ca="1">IFERROR(INDEX($BT$3:$BY$400,MATCH(ROWS(BZ$3:BZ386),$BY$3:$BY$400,0),1),"")</f>
        <v/>
      </c>
      <c r="CA386" s="48" t="str">
        <f ca="1">IFERROR(INDEX($BT$3:$BY$400,MATCH(ROWS(CA$3:CA386),$BY$3:$BY$400,0),4),"")</f>
        <v/>
      </c>
      <c r="CB386" s="48" t="str">
        <f ca="1">IFERROR(INDEX($BT$3:$BY$400,MATCH(ROWS(CB$3:CB386),$BY$3:$BY$400,0),5),"")</f>
        <v/>
      </c>
      <c r="CC386" s="48" t="str">
        <f t="shared" ca="1" si="645"/>
        <v/>
      </c>
      <c r="CM386" s="242" t="str">
        <f t="shared" ca="1" si="655"/>
        <v/>
      </c>
      <c r="CN386" s="243">
        <f t="shared" ca="1" si="656"/>
        <v>0</v>
      </c>
      <c r="CO386" s="48" t="str">
        <f t="shared" ca="1" si="657"/>
        <v/>
      </c>
      <c r="CU386" s="48">
        <f ca="1">IF(SUMIFS(AVERE,DEN_G,AC386,AVERE,"&gt;"&amp;0)+SUMIFS(DARE,DEN_G,AC386,DARE,"&gt;"&amp;0)&gt;0,MAX($CU$2:CU385)+1,0)</f>
        <v>0</v>
      </c>
      <c r="CV386" s="48" t="str">
        <f ca="1">IF(IFERROR(INDEX(PDC,MATCH(ROWS($CV$3:CV386),$CU$3:$CU$400,0),2),"")="CONTO DI RISULTATO ECONOMICO","",IFERROR(INDEX(PDC,MATCH(ROWS($CV$3:CV386),$CU$3:$CU$400,0),2),""))</f>
        <v/>
      </c>
      <c r="CW386" s="48">
        <f ca="1">IFERROR(IF(CV386&lt;&gt;"",MAX($CW$2:CW385)+1,0),0)</f>
        <v>0</v>
      </c>
      <c r="CX386" s="48">
        <f t="shared" ca="1" si="719"/>
        <v>30</v>
      </c>
      <c r="CY386" s="48" t="str">
        <f t="shared" ca="1" si="715"/>
        <v>MASTRO</v>
      </c>
      <c r="CZ386" s="48" t="e">
        <f t="shared" ca="1" si="721"/>
        <v>#N/A</v>
      </c>
      <c r="DA386" s="48" t="str">
        <f t="shared" ca="1" si="725"/>
        <v/>
      </c>
      <c r="DB386" s="48" t="str">
        <f t="shared" ca="1" si="682"/>
        <v/>
      </c>
      <c r="DC386" s="48" t="str">
        <f t="shared" ca="1" si="722"/>
        <v/>
      </c>
      <c r="DD386" s="48" t="str">
        <f t="shared" ca="1" si="723"/>
        <v/>
      </c>
      <c r="DE386" s="48" t="str">
        <f t="shared" ca="1" si="724"/>
        <v/>
      </c>
      <c r="DF386" s="48">
        <f ca="1">IF(AND(CX386=$DF$1,CX386&lt;&gt;""),0,IF(AND(DB386&lt;&gt;"",OR(DB385&lt;&gt;"",DB387&lt;&gt;"")),MAX($DF$2:DF385)+1,0))</f>
        <v>0</v>
      </c>
      <c r="DH386" s="244" t="s">
        <v>952</v>
      </c>
      <c r="DI386" s="48" t="s">
        <v>1132</v>
      </c>
      <c r="DJ386" s="48" t="s">
        <v>311</v>
      </c>
      <c r="DK386" s="48" t="s">
        <v>275</v>
      </c>
      <c r="DL386" s="48" t="s">
        <v>7</v>
      </c>
      <c r="DM386" s="48" t="s">
        <v>301</v>
      </c>
      <c r="DN386" s="48">
        <f ca="1">IF(DI386&lt;&gt;"",MAX($DN$2:DN385)+1,0)</f>
        <v>314</v>
      </c>
      <c r="DO386" s="48" t="s">
        <v>728</v>
      </c>
      <c r="DY386" s="48" t="str">
        <f t="shared" ca="1" si="647"/>
        <v/>
      </c>
      <c r="EL386" s="48">
        <f t="shared" ca="1" si="648"/>
        <v>0</v>
      </c>
      <c r="EM386" s="48">
        <f ca="1">IF(EL386&gt;=0,0,MAX($EM$2:EM385)+1)</f>
        <v>0</v>
      </c>
      <c r="EN386" s="48" t="str">
        <f t="shared" ca="1" si="658"/>
        <v/>
      </c>
      <c r="EO386" s="48" t="str">
        <f ca="1">IFERROR(INDEX($EM$3:$EN$400,MATCH(ROWS($EO$3:EO386),$EM$3:$EM$400,0),2),"")</f>
        <v/>
      </c>
      <c r="EP386" s="48">
        <f>ROW()</f>
        <v>386</v>
      </c>
      <c r="EQ386" s="48">
        <f t="shared" ca="1" si="649"/>
        <v>0</v>
      </c>
      <c r="ER386" s="48">
        <f ca="1">IF(ISNA(EQ386)=TRUE,MAX($ER$2:ER385)+1,0)</f>
        <v>0</v>
      </c>
      <c r="ES386" s="48" t="str">
        <f t="shared" ca="1" si="659"/>
        <v/>
      </c>
      <c r="ET386" s="48" t="str">
        <f ca="1">IFERROR(INDEX($ER$3:$ES$400,MATCH(ROWS($ET$3:ET386),$ER$3:$ER$400,0),2),"")</f>
        <v/>
      </c>
      <c r="EV386" s="48">
        <f ca="1">IFERROR(INDEX(LIBRO_GIORNALE!$O$11:$P$408,MATCH(ROWS($EV$2:EV385),LIBRO_GIORNALE!$P$11:$P$408,0),1),0)</f>
        <v>0</v>
      </c>
      <c r="EW386" s="48" t="str">
        <f t="shared" ca="1" si="716"/>
        <v>0</v>
      </c>
      <c r="EX386" s="48">
        <f t="shared" ca="1" si="660"/>
        <v>0</v>
      </c>
      <c r="EY386" s="48">
        <f ca="1">IF(EX386&gt;0,MAX($EY$2:EY385)+1,0)</f>
        <v>0</v>
      </c>
      <c r="EZ386" s="48">
        <f ca="1">IFERROR(INDEX($EX$3:$EX$400,MATCH(ROWS($EZ$3:EZ386),$EY$3:$EY$400,0),1),0)</f>
        <v>0</v>
      </c>
      <c r="FA386" s="48">
        <f ca="1">IF(EZ386&gt;0,0,MAX($FA$2:FA385)+1)</f>
        <v>384</v>
      </c>
      <c r="FB386" s="48">
        <f t="shared" ca="1" si="717"/>
        <v>0</v>
      </c>
      <c r="FC386" s="48">
        <f t="shared" ca="1" si="718"/>
        <v>384</v>
      </c>
      <c r="FD386" s="48">
        <f t="shared" ca="1" si="661"/>
        <v>384</v>
      </c>
      <c r="FE386" s="48">
        <f ca="1">IF(FD386=0,0,MAX($FE$2:FE385)+1)</f>
        <v>384</v>
      </c>
      <c r="FF386" s="48">
        <f ca="1">IFERROR(INDEX($FD$3:$FE$400,MATCH(ROWS($FF$3:FF386),$FE$3:$FE$400,0),1),"")</f>
        <v>384</v>
      </c>
      <c r="FG386" s="48">
        <f t="shared" si="696"/>
        <v>0</v>
      </c>
      <c r="FH386" s="48">
        <f t="shared" ca="1" si="662"/>
        <v>0</v>
      </c>
      <c r="FI386" s="48">
        <f ca="1">IF(FH386&lt;&gt;0,MAX($FI$2:FI385)+1,0)</f>
        <v>0</v>
      </c>
      <c r="FJ386" s="48" t="str">
        <f ca="1">IFERROR(INDEX($FH$3:$FI$400,MATCH(ROWS($FJ$3:FJ386),$FI$3:$FI$400,0),1),"")</f>
        <v/>
      </c>
      <c r="FK386" s="48">
        <f ca="1">IF(ABS(SUMIFS(DARE,DEN_G,"="&amp;FJ386,DATA,"&lt;="&amp;FINE_AC,DATA,"&gt;="&amp;INIZIO_A_PC)-SUMIFS(AVERE,DEN_G,"="&amp;FJ386,DATA,"&lt;="&amp;FINE_AC,DATA,"&gt;="&amp;INIZIO_A_PC))&gt;0,MAX($FK$2:FK385)+1,0)</f>
        <v>0</v>
      </c>
      <c r="FL386" s="48" t="str">
        <f ca="1">IF(AND(ROW()-2&lt;&gt;1,ROW()-2&lt;=$FK$1),CONCATENATE(" - ",IFERROR(INDEX($FJ$3:$FK$400,MATCH(ROWS($FL$3:FL386),$FK$3:$FK$400,0),1),"")),IFERROR(INDEX($FJ$3:$FK$400,MATCH(ROWS($FL$3:FL386),$FK$3:$FK$400,0),1),""))</f>
        <v/>
      </c>
      <c r="FM386" s="48">
        <f ca="1">IF(OR(B386="IVA ns/credito",B386="IVA NS/DEBITO",B386="IVA C/ACCONTO",B386="IMPOSTE C/ACCONTO",B386="CREDITI PER RITENUTE SUBITE",B386="CREDITI D'IMPOSTA"),MAX($FM$2:FM385)+1,0)</f>
        <v>0</v>
      </c>
      <c r="FN386" s="48" t="str">
        <f t="shared" ca="1" si="663"/>
        <v/>
      </c>
      <c r="FO386" s="48" t="str">
        <f ca="1">IFERROR(INDEX($FM$3:$FN$400,MATCH(ROWS($FO$3:FO386),$FM$3:$FM$400,0),2),"")</f>
        <v/>
      </c>
      <c r="FP386" s="48">
        <f ca="1">IF(ABS(SUMIFS(DARE,DEN_G,"="&amp;FO386,DATA,"&lt;="&amp;FINE_AC,DATA,"&gt;="&amp;INIZIO_A_PC)-SUMIFS(AVERE,DEN_G,"="&amp;FO386,DATA,"&lt;="&amp;FINE_AC,DATA,"&gt;="&amp;INIZIO_A_PC))&gt;0,MAX($FP$2:FP385)+1,0)</f>
        <v>0</v>
      </c>
      <c r="FQ386" s="48" t="str">
        <f ca="1">IF(AND(ROW()-2&lt;&gt;1,ROW()-2&lt;=$FP$1),CONCATENATE(" - ",IFERROR(INDEX($FO$3:$FP$400,MATCH(ROWS($FQ$3:FQ386),$FP$3:$FP$400,0),1),"")),IFERROR(INDEX($FO$3:$FP$400,MATCH(ROWS($FQ$3:FQ386),$FP$3:$FP$400,0),1),""))</f>
        <v/>
      </c>
    </row>
    <row r="387" spans="1:173" x14ac:dyDescent="0.3">
      <c r="A387" s="48" t="str">
        <f ca="1">IFERROR(IF($A$1=2,INDEX($DH$3:$DN$401,MATCH(ROWS(A$3:A387),$DN$3:$DN$401,0),COLUMN()),IF($A$1=1,INDEX($DQ$3:$DW$401,MATCH(ROWS(A$3:A387),$DW$3:$DW$401,0),COLUMN()),"")),"")</f>
        <v/>
      </c>
      <c r="B387" s="48" t="str">
        <f ca="1">IFERROR(IF($A$1=2,INDEX($DH$3:$DN$400,MATCH(ROWS(B$3:B387),$DN$3:$DN$400,0),COLUMN()),IF($A$1=1,INDEX($DQ$3:$DW$400,MATCH(ROWS(B$3:B387),$DW$3:$DW$400,0),COLUMN()),"")),"")</f>
        <v/>
      </c>
      <c r="D387" s="48" t="str">
        <f ca="1">IFERROR(IF($A$1=2,INDEX($DH$3:$DN$401,MATCH(ROWS(D$3:D387),$DN$3:$DN$401,0),COLUMN()),IF($A$1=1,INDEX($DQ$3:$DW$401,MATCH(ROWS(D$3:D387),$DW$3:$DW$401,0),COLUMN()),"")),"")</f>
        <v/>
      </c>
      <c r="E387" s="48" t="str">
        <f ca="1">IFERROR(IF($A$1=2,INDEX($DH$3:$DN$401,MATCH(ROWS(E$3:E387),$DN$3:$DN$401,0),COLUMN()),IF($A$1=1,INDEX($DQ$3:$DW$401,MATCH(ROWS(E$3:E387),$DW$3:$DW$401,0),COLUMN()),"")),"")</f>
        <v/>
      </c>
      <c r="F387" s="48" t="str">
        <f ca="1">IFERROR(IF($A$1=2,INDEX($DH$3:$DN$401,MATCH(ROWS(F$3:F387),$DN$3:$DN$401,0),COLUMN()),IF($A$1=1,INDEX($DQ$3:$DX$401,MATCH(ROWS(F$3:F387),$DW$3:$DW$401,0),COLUMN()),"")),"")</f>
        <v/>
      </c>
      <c r="G387" s="48" t="str">
        <f t="shared" ca="1" si="650"/>
        <v/>
      </c>
      <c r="H387" s="48" t="str">
        <f ca="1">IFERROR(IF($A$1=2,INDEX($DH$3:$DO$400,MATCH(ROWS(H$3:H387),$DN$3:$DN$400,0),COLUMN()),IF($A$1=1,INDEX($DQ$3:$DX$400,MATCH(ROWS(H$3:H387),$DW$3:$DW$400,0),COLUMN()),"")),"")</f>
        <v/>
      </c>
      <c r="M387" s="48">
        <f ca="1">IFERROR(IF(IF(MID($A387,3,3)=".00",MID(A387,1,2),"")&lt;&gt;"",MAX($M$2:M386)+1,0),"")</f>
        <v>0</v>
      </c>
      <c r="N387" s="48" t="str">
        <f t="shared" ca="1" si="651"/>
        <v/>
      </c>
      <c r="O387" s="48" t="str">
        <f ca="1">IF(IFERROR(INDEX($N$3:$O$300,MATCH(ROWS($O$3:O387),$M$3:$M$300,0),1),"")&lt;&gt;"",CONCATENATE(INDEX($N$3:$O$300,MATCH(ROWS($O$3:O387),$M$3:$M$300,0),1),".00"),"")</f>
        <v/>
      </c>
      <c r="P387" s="48" t="str">
        <f t="shared" ca="1" si="652"/>
        <v/>
      </c>
      <c r="Q387" s="48">
        <f ca="1">IF(M387&gt;=1,0,MAX($Q$2:Q386)+1)</f>
        <v>348</v>
      </c>
      <c r="U387" s="48" t="str">
        <f ca="1">IFERROR(INDEX(PDC,MATCH(ROWS(U$3:U387),$V$3:$V$400,0),2),"")</f>
        <v/>
      </c>
      <c r="V387" s="48">
        <f ca="1">IF(AND($T$1="VISUALIZZA TUTTI I CONTI",AA387&lt;&gt;""),MAX($V$2:V386)+1,IF(AND($U$2=2,AI387=$T$1),MAX($V$2:V386)+1,IF(AND($U$2=1,$T$1=AF387),MAX($V$2:V386)+1,0)))</f>
        <v>0</v>
      </c>
      <c r="AA387" s="48" t="str">
        <f t="shared" ca="1" si="653"/>
        <v/>
      </c>
      <c r="AB387" s="48" t="str">
        <f ca="1">IFERROR(INDEX($A$3:$G$400,MATCH(ROWS(AB$3:AB387),$Q$3:$Q$400,0),1),"")</f>
        <v/>
      </c>
      <c r="AC387" s="48" t="str">
        <f ca="1">IFERROR(INDEX($A$3:$G$400,MATCH(ROWS($AC$3:AC387),$Q$3:$Q$400,0),2),"")</f>
        <v/>
      </c>
      <c r="AD387" s="48" t="str">
        <f ca="1">IFERROR(INDEX($A$3:$G$400,MATCH(ROWS(AD$3:AD387),$Q$3:$Q$400,0),3),"")</f>
        <v/>
      </c>
      <c r="AE387" s="48" t="str">
        <f ca="1">IFERROR(INDEX($A$3:$G$400,MATCH(ROWS(AE$3:AE387),$Q$3:$Q$400,0),4),"")</f>
        <v/>
      </c>
      <c r="AF387" s="48" t="str">
        <f ca="1">IFERROR(INDEX($A$3:$G$400,MATCH(ROWS(AF$3:AF387),$Q$3:$Q$400,0),5),"")</f>
        <v/>
      </c>
      <c r="AG387" s="48" t="str">
        <f ca="1">IFERROR(INDEX($A$3:$G$400,MATCH(ROWS(AG$3:AG387),$Q$3:$Q$400,0),6),"")</f>
        <v/>
      </c>
      <c r="AH387" s="48" t="str">
        <f ca="1">IFERROR(INDEX($A$3:$G$400,MATCH(ROWS(AH$3:AH387),$Q$3:$Q$400,0),7),"")</f>
        <v/>
      </c>
      <c r="AI387" s="48" t="str">
        <f t="shared" ca="1" si="654"/>
        <v/>
      </c>
      <c r="AJ387" s="48" t="str">
        <f ca="1">IFERROR(INDEX($A$3:$H$400,MATCH(ROWS(AJ$3:AJ387),$Q$3:$Q$400,0),8),"")</f>
        <v/>
      </c>
      <c r="AZ387" s="48" t="str">
        <f t="shared" ca="1" si="714"/>
        <v/>
      </c>
      <c r="BA387" s="48">
        <f t="shared" ca="1" si="697"/>
        <v>0</v>
      </c>
      <c r="BB387" s="48">
        <f t="shared" ca="1" si="698"/>
        <v>0</v>
      </c>
      <c r="BC387" s="48">
        <f t="shared" ca="1" si="699"/>
        <v>0</v>
      </c>
      <c r="BD387" s="48">
        <f t="shared" ca="1" si="700"/>
        <v>0</v>
      </c>
      <c r="BE387" s="48">
        <f t="shared" ca="1" si="701"/>
        <v>0</v>
      </c>
      <c r="BF387" s="48">
        <f t="shared" si="711"/>
        <v>187</v>
      </c>
      <c r="BG387" s="48">
        <f ca="1">IF(IF(AND(OR(INDEX(PDC,MATCH($AC387,DEN_PDC,0),6)="SP DARE",INDEX(PDC,MATCH($AC387,DEN_PDC,0),6)="SP DARE/AVERE"),SUMIFS(DARE,DEN_G,$AC387)&gt;=SUMIFS(AVERE,DEN_G,$AC387)),SUMIFS(DARE,DEN_G,$AC387)-SUMIFS(AVERE,DEN_G,$AC387),0)&gt;0,MAX($BG$2:BG386)+1,0)</f>
        <v>0</v>
      </c>
      <c r="BH387" s="48">
        <f ca="1">IF(IF(AND(OR(INDEX(PDC,MATCH($AC387,DEN_PDC,0),6)="SP AVERE",INDEX(PDC,MATCH($AC387,DEN_PDC,0),6)="SP DARE/AVERE"),SUMIFS(AVERE,DEN_G,$AC387)&gt;=SUMIFS(DARE,DEN_G,$AC387)),SUMIFS(AVERE,DEN_G,$AC387)-SUMIFS(DARE,DEN_G,$AC387),0)&gt;0,MAX(BH$2:BH386)+1,0)</f>
        <v>0</v>
      </c>
      <c r="BI387" s="48">
        <f ca="1">IF(IF(AND(OR(INDEX(PDC,MATCH($AC387,DEN_PDC,0),6)="SE DARE",INDEX(PDC,MATCH($AC387,DEN_PDC,0),6)="SE DARE/AVERE"),SUMIFS(DARE,DEN_G,$AC387)&gt;=SUMIFS(AVERE,DEN_G,$AC387)),SUMIFS(DARE,DEN_G,$AC387)-SUMIFS(AVERE,DEN_G,$AC387),0)&gt;0,MAX(BI$2:BI386)+1,0)</f>
        <v>0</v>
      </c>
      <c r="BJ387" s="48">
        <f ca="1">IF(IF(AND(OR(INDEX(PDC,MATCH($AC387,DEN_PDC,0),6)="SE AVERE",INDEX(PDC,MATCH($AC387,DEN_PDC,0),6)="SE DARE/AVERE"),SUMIFS(AVERE,DEN_G,$AC387)&gt;=SUMIFS(DARE,DEN_G,$AC387)),SUMIFS(AVERE,DEN_G,$AC387)-SUMIFS(DARE,DEN_G,$AC387),0)&gt;0,MAX(BJ$2:BJ386)+1,0)</f>
        <v>0</v>
      </c>
      <c r="BK387" s="48" t="str">
        <f ca="1">IF(AND(AND($DY$2=0,$DY$1=0),$I$1=2,ROW()&gt;$BG$1+2,ROW()&lt;=$BG$1+4),"………………..",IF(AND(OR($DY$2&gt;0,$DY$1&gt;0),$I$1=2,ROW()&gt;$BG$1+2,ROW()&lt;=$BG$1+4),"………………..",IFERROR(INDEX($AC$3:$AC$398,MATCH(ROWS(BK$3:BK387),BG$3:BG$398,0),1),"")))</f>
        <v/>
      </c>
      <c r="BL387" s="48">
        <f t="shared" ref="BL387:BL400" ca="1" si="726">IF(BK387&lt;&gt;0,SUMIFS(DARE,DEN_G,$BK387)-SUMIFS(AVERE,DEN_G,$BK387),0)</f>
        <v>0</v>
      </c>
      <c r="BM387" s="48" t="str">
        <f ca="1">IF(AND(OR($DY$2=0,$DY$1=0),$I$1=2,ROW()&gt;$BH$1+2,ROW()&lt;=$BH$1+4),"………………..",IF(AND(OR($DY$2&gt;0,$DY$1&gt;0),$I$1=2,ROW()&gt;$BH$1+2,ROW()&lt;=$BH$1+4),"………………..",IFERROR(INDEX($AC$3:$AC$400,MATCH(ROWS(BM$3:BM387),BH$3:BH$400,0),1),"")))</f>
        <v/>
      </c>
      <c r="BN387" s="48">
        <f t="shared" ref="BN387:BN400" ca="1" si="727">IF(AND($I$1=2,BM387="……………….."),"_ _ _",IF(BM387&lt;&gt;0,SUMIFS(AVERE,DEN_G,$BM387)-SUMIFS(DARE,DEN_G,$BM387),0))</f>
        <v>0</v>
      </c>
      <c r="BO387" s="48" t="str">
        <f ca="1">IF(AND(OR($DY$2=0,$DY$1=0),$I$1=2,ROW()&gt;$BI$1+2,ROW()&lt;=$BI$1+4),"………………..",IF(AND(OR($DY$2&gt;0,$DY$1&gt;0),$I$1=2,ROW()&gt;$BI$1+2,ROW()&lt;=$BI$1+4),"………………..",IFERROR(INDEX($AC$3:$AC$400,MATCH(ROWS(BO$3:BO387),BI$3:BI$400,0),1),"")))</f>
        <v/>
      </c>
      <c r="BP387" s="48">
        <f t="shared" ref="BP387:BP400" ca="1" si="728">IF(AND($I$1=2,BO387="……………….."),"_ _ _",IF(BO387&lt;&gt;0,(SUMIFS(DARE,DEN_G,$BO387)-SUMIFS(AVERE,DEN_G,$BO387)),0))</f>
        <v>0</v>
      </c>
      <c r="BQ387" s="48" t="str">
        <f ca="1">IF(AND(OR($DY$2=0,$DY$1=0),$I$1=2,ROW()&gt;$BJ$1+2,ROW()&lt;=$BJ$1+4),"………………..",IF(AND(OR($DY$2&gt;0,$DY$1&gt;0),$I$1=2,ROW()&gt;$BJ$1+2,ROW()&lt;=$BJ$1+4),"………………..",IFERROR(INDEX($AC$3:$AC$400,MATCH(ROWS(BQ$3:BQ387),BJ$3:BJ$400,0),1),"")))</f>
        <v/>
      </c>
      <c r="BR387" s="48">
        <f t="shared" ref="BR387:BR400" ca="1" si="729">IF(AND($I$1=2,BQ387="……………….."),"_ _ _",IF(BQ387&lt;&gt;0,SUMIFS(AVERE,DEN_G,$BQ387)-SUMIFS(DARE,DEN_G,$BQ387),0))</f>
        <v>0</v>
      </c>
      <c r="BS387" s="48">
        <f ca="1">IF(IF(AND(OR(INDEX(PDC,MATCH($AC387,DEN_PDC,0),4)="D",INDEX(PDC,MATCH($AC387,DEN_PDC,0),4)="D/A"),SUMIFS(DARE,DEN_G,$AC387)&gt;=SUMIFS(AVERE,DEN_G,$AC387)),SUMIFS(DARE,DEN_G,$AC387),IF(AND(OR(INDEX(PDC,MATCH($AC387,DEN_PDC,0),4)="A",INDEX(PDC,MATCH($AC387,DEN_PDC,0),4)="D/A"),SUMIFS(AVERE,DEN_G,$AC387)&gt;=SUMIFS(DARE,DEN_G,$AC387)),SUMIFS(AVERE,DEN_G,$AC387),))&gt;0,MAX($BS$2:BS386)+1,0)</f>
        <v>0</v>
      </c>
      <c r="BT387" s="48" t="str">
        <f ca="1">IF($CO$1=0,"",IF(AND($I$1=2,ROW()&gt;$BR$1,ROW()&lt;=$BS$1)," …………….",IF(AND($E$1=1,$BX$1=1,$I$1=2,ROW()=$BQ$1),"TOTALI",IFERROR(INDEX(PDC,MATCH(ROWS(BT$3:BT387),BS$3:BS784,0),2),""))))</f>
        <v/>
      </c>
      <c r="BU387" s="48">
        <f t="shared" ref="BU387:BU398" ca="1" si="730">IF(BT387="",0,IF(BT387=" …………….","_ _ _    ",IF(BT387="",0,IF(AND($I$1=2,BT387="TOTALI"),"_ _ _    ",SUMIFS(DARE,DEN_G,$BT387)))))</f>
        <v>0</v>
      </c>
      <c r="BV387" s="48">
        <f t="shared" ref="BV387:BV398" ca="1" si="731">IF(BT387="",0,IF(BT387=" …………….","_ _ _    ",IF(BT387="",0,IF(AND($I$1=2,BT387="TOTALI"),"_ _ _    ",SUMIFS(AVERE,DEN_G,$BT387)))))</f>
        <v>0</v>
      </c>
      <c r="BW387" s="48">
        <f t="shared" ref="BW387:BW398" ca="1" si="732">IF(BU387&gt;BV387,BU387-BV387,IF(BU387="_ _ _    ","_ _ _    ",0))</f>
        <v>0</v>
      </c>
      <c r="BX387" s="48">
        <f t="shared" ref="BX387:BX398" ca="1" si="733">IF(BV387&gt;BU387,BV387-BU387,IF(BU387="_ _ _    ","_ _ _    ",0))</f>
        <v>0</v>
      </c>
      <c r="BY387" s="48">
        <f ca="1">IF(OR(BW387&gt;0,BX387&gt;0),MAX($BY$2:BY386)+1,0)</f>
        <v>0</v>
      </c>
      <c r="BZ387" s="48" t="str">
        <f ca="1">IFERROR(INDEX($BT$3:$BY$400,MATCH(ROWS(BZ$3:BZ387),$BY$3:$BY$400,0),1),"")</f>
        <v/>
      </c>
      <c r="CA387" s="48" t="str">
        <f ca="1">IFERROR(INDEX($BT$3:$BY$400,MATCH(ROWS(CA$3:CA387),$BY$3:$BY$400,0),4),"")</f>
        <v/>
      </c>
      <c r="CB387" s="48" t="str">
        <f ca="1">IFERROR(INDEX($BT$3:$BY$400,MATCH(ROWS(CB$3:CB387),$BY$3:$BY$400,0),5),"")</f>
        <v/>
      </c>
      <c r="CC387" s="48" t="str">
        <f t="shared" ref="CC387:CC398" ca="1" si="734">IFERROR(INDEX(PDC,MATCH(BZ387,DEN_PDC,0),9),"")</f>
        <v/>
      </c>
      <c r="CM387" s="242" t="str">
        <f t="shared" ca="1" si="655"/>
        <v/>
      </c>
      <c r="CN387" s="243">
        <f t="shared" ca="1" si="656"/>
        <v>0</v>
      </c>
      <c r="CO387" s="48" t="str">
        <f t="shared" ca="1" si="657"/>
        <v/>
      </c>
      <c r="CU387" s="48">
        <f ca="1">IF(SUMIFS(AVERE,DEN_G,AC387,AVERE,"&gt;"&amp;0)+SUMIFS(DARE,DEN_G,AC387,DARE,"&gt;"&amp;0)&gt;0,MAX($CU$2:CU386)+1,0)</f>
        <v>0</v>
      </c>
      <c r="CV387" s="48" t="str">
        <f ca="1">IF(IFERROR(INDEX(PDC,MATCH(ROWS($CV$3:CV387),$CU$3:$CU$400,0),2),"")="CONTO DI RISULTATO ECONOMICO","",IFERROR(INDEX(PDC,MATCH(ROWS($CV$3:CV387),$CU$3:$CU$400,0),2),""))</f>
        <v/>
      </c>
      <c r="CW387" s="48">
        <f ca="1">IFERROR(IF(CV387&lt;&gt;"",MAX($CW$2:CW386)+1,0),0)</f>
        <v>0</v>
      </c>
      <c r="CX387" s="48">
        <f t="shared" ca="1" si="719"/>
        <v>30</v>
      </c>
      <c r="CY387" s="48" t="str">
        <f t="shared" ca="1" si="715"/>
        <v>MASTRO</v>
      </c>
      <c r="CZ387" s="48" t="e">
        <f t="shared" ca="1" si="721"/>
        <v>#N/A</v>
      </c>
      <c r="DA387" s="48" t="str">
        <f t="shared" ca="1" si="725"/>
        <v/>
      </c>
      <c r="DB387" s="48" t="str">
        <f t="shared" ca="1" si="682"/>
        <v/>
      </c>
      <c r="DC387" s="48" t="str">
        <f t="shared" ca="1" si="722"/>
        <v/>
      </c>
      <c r="DD387" s="48" t="str">
        <f t="shared" ca="1" si="723"/>
        <v/>
      </c>
      <c r="DE387" s="48" t="str">
        <f t="shared" ca="1" si="724"/>
        <v/>
      </c>
      <c r="DF387" s="48">
        <f ca="1">IF(AND(CX387=$DF$1,CX387&lt;&gt;""),0,IF(AND(DB387&lt;&gt;"",OR(DB386&lt;&gt;"",DB388&lt;&gt;"")),MAX($DF$2:DF386)+1,0))</f>
        <v>0</v>
      </c>
      <c r="DH387" s="244" t="s">
        <v>953</v>
      </c>
      <c r="DI387" s="48" t="s">
        <v>264</v>
      </c>
      <c r="DJ387" s="48" t="s">
        <v>311</v>
      </c>
      <c r="DK387" s="48" t="s">
        <v>275</v>
      </c>
      <c r="DL387" s="48" t="s">
        <v>7</v>
      </c>
      <c r="DM387" s="48" t="s">
        <v>301</v>
      </c>
      <c r="DN387" s="48">
        <f ca="1">IF(DI387&lt;&gt;"",MAX($DN$2:DN386)+1,0)</f>
        <v>315</v>
      </c>
      <c r="DO387" s="48" t="s">
        <v>728</v>
      </c>
      <c r="DY387" s="48" t="str">
        <f t="shared" ref="DY387:DY400" ca="1" si="735">IF(BB387=0,"",INDEX(PDC,MATCH(BB387,DEN_PDC,0),1))</f>
        <v/>
      </c>
      <c r="EL387" s="48">
        <f t="shared" ref="EL387:EL396" ca="1" si="736">IF(OR(AND($I$1=1,AC387="perdita d'esercizio"),AND($I$1=1,AC387="utile d'esercizio")),0,IF(AND(AE387="d",AG387="SP DARE"),SUMIFS(dare_grezzo,den_grezzo,AC387,data_grezzo,"&lt;="&amp;FINE_AC,data_grezzo,"&gt;="&amp;INIZIO_A_PC)-SUMIFS(avere_grezzo,den_grezzo,AC387,data_grezzo,"&lt;="&amp;FINE_AC,data_grezzo,"&gt;="&amp;INIZIO_A_PC),IF(AND(AE387="a",AG387="SP AVERE"),SUMIFS(avere_grezzo,den_grezzo,AC387,data_grezzo,"&lt;="&amp;FINE_AC,data_grezzo,"&gt;="&amp;INIZIO_A_PC)-SUMIFS(dare_grezzo,den_grezzo,AC387,data_grezzo,"&lt;="&amp;FINE_AC,data_grezzo,"&gt;="&amp;INIZIO_A_PC),IF(AND(AE387="d",AG387="SE DARE"),SUMIFS(dare_grezzo,den_grezzo,AC387,data_grezzo,"&lt;="&amp;FINE_AC,data_grezzo,"&gt;="&amp;INIZIO_A_PC,data_grezzo,"&gt;="&amp;INIZIO_AC)-SUMIFS(avere_grezzo,den_grezzo,AC387,data_grezzo,"&lt;="&amp;FINE_AC,data_grezzo,"&gt;="&amp;INIZIO_A_PC,data_grezzo,"&gt;="&amp;INIZIO_AC),IF(AND(AE387="a",AG387="SE AVERE"),SUMIFS(avere_grezzo,den_grezzo,AC387,data_grezzo,"&lt;="&amp;FINE_AC,data_grezzo,"&gt;="&amp;INIZIO_A_PC,data_grezzo,"&gt;="&amp;INIZIO_AC)-SUMIFS(dare_grezzo,den_grezzo,AC387,data_grezzo,"&lt;="&amp;FINE_AC,data_grezzo,"&gt;="&amp;INIZIO_A_PC,data_grezzo,"&gt;="&amp;INIZIO_AC),0)))))</f>
        <v>0</v>
      </c>
      <c r="EM387" s="48">
        <f ca="1">IF(EL387&gt;=0,0,MAX($EM$2:EM386)+1)</f>
        <v>0</v>
      </c>
      <c r="EN387" s="48" t="str">
        <f t="shared" ca="1" si="658"/>
        <v/>
      </c>
      <c r="EO387" s="48" t="str">
        <f ca="1">IFERROR(INDEX($EM$3:$EN$400,MATCH(ROWS($EO$3:EO387),$EM$3:$EM$400,0),2),"")</f>
        <v/>
      </c>
      <c r="EP387" s="48">
        <f>ROW()</f>
        <v>387</v>
      </c>
      <c r="EQ387" s="48">
        <f t="shared" ref="EQ387:EQ400" ca="1" si="737">IF(AND(AM387&lt;&gt;0,AL387&lt;=FINE_AC),INDEX(PDC,MATCH(SUBSTITUTE(AM387,"[",""),DEN_PDC,0),1),0)</f>
        <v>0</v>
      </c>
      <c r="ER387" s="48">
        <f ca="1">IF(ISNA(EQ387)=TRUE,MAX($ER$2:ER386)+1,0)</f>
        <v>0</v>
      </c>
      <c r="ES387" s="48" t="str">
        <f t="shared" ca="1" si="659"/>
        <v/>
      </c>
      <c r="ET387" s="48" t="str">
        <f ca="1">IFERROR(INDEX($ER$3:$ES$400,MATCH(ROWS($ET$3:ET387),$ER$3:$ER$400,0),2),"")</f>
        <v/>
      </c>
      <c r="EV387" s="48">
        <f ca="1">IFERROR(INDEX(LIBRO_GIORNALE!$O$11:$P$408,MATCH(ROWS($EV$2:EV386),LIBRO_GIORNALE!$P$11:$P$408,0),1),0)</f>
        <v>0</v>
      </c>
      <c r="EW387" s="48" t="str">
        <f t="shared" ca="1" si="716"/>
        <v>0</v>
      </c>
      <c r="EX387" s="48">
        <f t="shared" ca="1" si="660"/>
        <v>0</v>
      </c>
      <c r="EY387" s="48">
        <f ca="1">IF(EX387&gt;0,MAX($EY$2:EY386)+1,0)</f>
        <v>0</v>
      </c>
      <c r="EZ387" s="48">
        <f ca="1">IFERROR(INDEX($EX$3:$EX$400,MATCH(ROWS($EZ$3:EZ387),$EY$3:$EY$400,0),1),0)</f>
        <v>0</v>
      </c>
      <c r="FA387" s="48">
        <f ca="1">IF(EZ387&gt;0,0,MAX($FA$2:FA386)+1)</f>
        <v>385</v>
      </c>
      <c r="FB387" s="48">
        <f t="shared" ca="1" si="717"/>
        <v>0</v>
      </c>
      <c r="FC387" s="48">
        <f t="shared" ca="1" si="718"/>
        <v>385</v>
      </c>
      <c r="FD387" s="48">
        <f t="shared" ca="1" si="661"/>
        <v>385</v>
      </c>
      <c r="FE387" s="48">
        <f ca="1">IF(FD387=0,0,MAX($FE$2:FE386)+1)</f>
        <v>385</v>
      </c>
      <c r="FF387" s="48">
        <f ca="1">IFERROR(INDEX($FD$3:$FE$400,MATCH(ROWS($FF$3:FF387),$FE$3:$FE$400,0),1),"")</f>
        <v>385</v>
      </c>
      <c r="FG387" s="48">
        <f t="shared" si="696"/>
        <v>0</v>
      </c>
      <c r="FH387" s="48">
        <f t="shared" ca="1" si="662"/>
        <v>0</v>
      </c>
      <c r="FI387" s="48">
        <f ca="1">IF(FH387&lt;&gt;0,MAX($FI$2:FI386)+1,0)</f>
        <v>0</v>
      </c>
      <c r="FJ387" s="48" t="str">
        <f ca="1">IFERROR(INDEX($FH$3:$FI$400,MATCH(ROWS($FJ$3:FJ387),$FI$3:$FI$400,0),1),"")</f>
        <v/>
      </c>
      <c r="FK387" s="48">
        <f ca="1">IF(ABS(SUMIFS(DARE,DEN_G,"="&amp;FJ387,DATA,"&lt;="&amp;FINE_AC,DATA,"&gt;="&amp;INIZIO_A_PC)-SUMIFS(AVERE,DEN_G,"="&amp;FJ387,DATA,"&lt;="&amp;FINE_AC,DATA,"&gt;="&amp;INIZIO_A_PC))&gt;0,MAX($FK$2:FK386)+1,0)</f>
        <v>0</v>
      </c>
      <c r="FL387" s="48" t="str">
        <f ca="1">IF(AND(ROW()-2&lt;&gt;1,ROW()-2&lt;=$FK$1),CONCATENATE(" - ",IFERROR(INDEX($FJ$3:$FK$400,MATCH(ROWS($FL$3:FL387),$FK$3:$FK$400,0),1),"")),IFERROR(INDEX($FJ$3:$FK$400,MATCH(ROWS($FL$3:FL387),$FK$3:$FK$400,0),1),""))</f>
        <v/>
      </c>
      <c r="FM387" s="48">
        <f ca="1">IF(OR(B387="IVA ns/credito",B387="IVA NS/DEBITO",B387="IVA C/ACCONTO",B387="IMPOSTE C/ACCONTO",B387="CREDITI PER RITENUTE SUBITE",B387="CREDITI D'IMPOSTA"),MAX($FM$2:FM386)+1,0)</f>
        <v>0</v>
      </c>
      <c r="FN387" s="48" t="str">
        <f t="shared" ca="1" si="663"/>
        <v/>
      </c>
      <c r="FO387" s="48" t="str">
        <f ca="1">IFERROR(INDEX($FM$3:$FN$400,MATCH(ROWS($FO$3:FO387),$FM$3:$FM$400,0),2),"")</f>
        <v/>
      </c>
      <c r="FP387" s="48">
        <f ca="1">IF(ABS(SUMIFS(DARE,DEN_G,"="&amp;FO387,DATA,"&lt;="&amp;FINE_AC,DATA,"&gt;="&amp;INIZIO_A_PC)-SUMIFS(AVERE,DEN_G,"="&amp;FO387,DATA,"&lt;="&amp;FINE_AC,DATA,"&gt;="&amp;INIZIO_A_PC))&gt;0,MAX($FP$2:FP386)+1,0)</f>
        <v>0</v>
      </c>
      <c r="FQ387" s="48" t="str">
        <f ca="1">IF(AND(ROW()-2&lt;&gt;1,ROW()-2&lt;=$FP$1),CONCATENATE(" - ",IFERROR(INDEX($FO$3:$FP$400,MATCH(ROWS($FQ$3:FQ387),$FP$3:$FP$400,0),1),"")),IFERROR(INDEX($FO$3:$FP$400,MATCH(ROWS($FQ$3:FQ387),$FP$3:$FP$400,0),1),""))</f>
        <v/>
      </c>
    </row>
    <row r="388" spans="1:173" x14ac:dyDescent="0.3">
      <c r="A388" s="48" t="str">
        <f ca="1">IFERROR(IF($A$1=2,INDEX($DH$3:$DN$401,MATCH(ROWS(A$3:A388),$DN$3:$DN$401,0),COLUMN()),IF($A$1=1,INDEX($DQ$3:$DW$401,MATCH(ROWS(A$3:A388),$DW$3:$DW$401,0),COLUMN()),"")),"")</f>
        <v/>
      </c>
      <c r="B388" s="48" t="str">
        <f ca="1">IFERROR(IF($A$1=2,INDEX($DH$3:$DN$400,MATCH(ROWS(B$3:B388),$DN$3:$DN$400,0),COLUMN()),IF($A$1=1,INDEX($DQ$3:$DW$400,MATCH(ROWS(B$3:B388),$DW$3:$DW$400,0),COLUMN()),"")),"")</f>
        <v/>
      </c>
      <c r="D388" s="48" t="str">
        <f ca="1">IFERROR(IF($A$1=2,INDEX($DH$3:$DN$401,MATCH(ROWS(D$3:D388),$DN$3:$DN$401,0),COLUMN()),IF($A$1=1,INDEX($DQ$3:$DW$401,MATCH(ROWS(D$3:D388),$DW$3:$DW$401,0),COLUMN()),"")),"")</f>
        <v/>
      </c>
      <c r="E388" s="48" t="str">
        <f ca="1">IFERROR(IF($A$1=2,INDEX($DH$3:$DN$401,MATCH(ROWS(E$3:E388),$DN$3:$DN$401,0),COLUMN()),IF($A$1=1,INDEX($DQ$3:$DW$401,MATCH(ROWS(E$3:E388),$DW$3:$DW$401,0),COLUMN()),"")),"")</f>
        <v/>
      </c>
      <c r="F388" s="48" t="str">
        <f ca="1">IFERROR(IF($A$1=2,INDEX($DH$3:$DN$401,MATCH(ROWS(F$3:F388),$DN$3:$DN$401,0),COLUMN()),IF($A$1=1,INDEX($DQ$3:$DX$401,MATCH(ROWS(F$3:F388),$DW$3:$DW$401,0),COLUMN()),"")),"")</f>
        <v/>
      </c>
      <c r="G388" s="48" t="str">
        <f t="shared" ref="G388:G400" ca="1" si="738">IFERROR(MID(F388,1,2),"")</f>
        <v/>
      </c>
      <c r="H388" s="48" t="str">
        <f ca="1">IFERROR(IF($A$1=2,INDEX($DH$3:$DO$400,MATCH(ROWS(H$3:H388),$DN$3:$DN$400,0),COLUMN()),IF($A$1=1,INDEX($DQ$3:$DX$400,MATCH(ROWS(H$3:H388),$DW$3:$DW$400,0),COLUMN()),"")),"")</f>
        <v/>
      </c>
      <c r="M388" s="48">
        <f ca="1">IFERROR(IF(IF(MID($A388,3,3)=".00",MID(A388,1,2),"")&lt;&gt;"",MAX($M$2:M387)+1,0),"")</f>
        <v>0</v>
      </c>
      <c r="N388" s="48" t="str">
        <f t="shared" ref="N388:N400" ca="1" si="739">IFERROR(IF(MID($A388,3,3)=".00",MID(A388,1,2),""),"")</f>
        <v/>
      </c>
      <c r="O388" s="48" t="str">
        <f ca="1">IF(IFERROR(INDEX($N$3:$O$300,MATCH(ROWS($O$3:O388),$M$3:$M$300,0),1),"")&lt;&gt;"",CONCATENATE(INDEX($N$3:$O$300,MATCH(ROWS($O$3:O388),$M$3:$M$300,0),1),".00"),"")</f>
        <v/>
      </c>
      <c r="P388" s="48" t="str">
        <f t="shared" ref="P388:P400" ca="1" si="740">IFERROR(INDEX($A$3:$B$400,MATCH(O388,$A$3:$A$400,0),2),"")</f>
        <v/>
      </c>
      <c r="Q388" s="48">
        <f ca="1">IF(M388&gt;=1,0,MAX($Q$2:Q387)+1)</f>
        <v>349</v>
      </c>
      <c r="U388" s="48" t="str">
        <f ca="1">IFERROR(INDEX(PDC,MATCH(ROWS(U$3:U388),$V$3:$V$400,0),2),"")</f>
        <v/>
      </c>
      <c r="V388" s="48">
        <f ca="1">IF(AND($T$1="VISUALIZZA TUTTI I CONTI",AA388&lt;&gt;""),MAX($V$2:V387)+1,IF(AND($U$2=2,AI388=$T$1),MAX($V$2:V387)+1,IF(AND($U$2=1,$T$1=AF388),MAX($V$2:V387)+1,0)))</f>
        <v>0</v>
      </c>
      <c r="AA388" s="48" t="str">
        <f t="shared" ref="AA388:AA400" ca="1" si="741">IF(AC388&lt;&gt;"",CONCATENATE(MID(AB388,1,2),".00"),"")</f>
        <v/>
      </c>
      <c r="AB388" s="48" t="str">
        <f ca="1">IFERROR(INDEX($A$3:$G$400,MATCH(ROWS(AB$3:AB388),$Q$3:$Q$400,0),1),"")</f>
        <v/>
      </c>
      <c r="AC388" s="48" t="str">
        <f ca="1">IFERROR(INDEX($A$3:$G$400,MATCH(ROWS($AC$3:AC388),$Q$3:$Q$400,0),2),"")</f>
        <v/>
      </c>
      <c r="AD388" s="48" t="str">
        <f ca="1">IFERROR(INDEX($A$3:$G$400,MATCH(ROWS(AD$3:AD388),$Q$3:$Q$400,0),3),"")</f>
        <v/>
      </c>
      <c r="AE388" s="48" t="str">
        <f ca="1">IFERROR(INDEX($A$3:$G$400,MATCH(ROWS(AE$3:AE388),$Q$3:$Q$400,0),4),"")</f>
        <v/>
      </c>
      <c r="AF388" s="48" t="str">
        <f ca="1">IFERROR(INDEX($A$3:$G$400,MATCH(ROWS(AF$3:AF388),$Q$3:$Q$400,0),5),"")</f>
        <v/>
      </c>
      <c r="AG388" s="48" t="str">
        <f ca="1">IFERROR(INDEX($A$3:$G$400,MATCH(ROWS(AG$3:AG388),$Q$3:$Q$400,0),6),"")</f>
        <v/>
      </c>
      <c r="AH388" s="48" t="str">
        <f ca="1">IFERROR(INDEX($A$3:$G$400,MATCH(ROWS(AH$3:AH388),$Q$3:$Q$400,0),7),"")</f>
        <v/>
      </c>
      <c r="AI388" s="48" t="str">
        <f t="shared" ref="AI388:AI400" ca="1" si="742">INDEX($O$3:$P$50,MATCH(AA388,$O$3:$O$50,0),2)</f>
        <v/>
      </c>
      <c r="AJ388" s="48" t="str">
        <f ca="1">IFERROR(INDEX($A$3:$H$400,MATCH(ROWS(AJ$3:AJ388),$Q$3:$Q$400,0),8),"")</f>
        <v/>
      </c>
      <c r="AZ388" s="48" t="str">
        <f t="shared" ca="1" si="714"/>
        <v/>
      </c>
      <c r="BA388" s="48">
        <f t="shared" ca="1" si="697"/>
        <v>0</v>
      </c>
      <c r="BB388" s="48">
        <f t="shared" ca="1" si="698"/>
        <v>0</v>
      </c>
      <c r="BC388" s="48">
        <f t="shared" ca="1" si="699"/>
        <v>0</v>
      </c>
      <c r="BD388" s="48">
        <f t="shared" ca="1" si="700"/>
        <v>0</v>
      </c>
      <c r="BE388" s="48">
        <f t="shared" ca="1" si="701"/>
        <v>0</v>
      </c>
      <c r="BF388" s="48">
        <f t="shared" si="711"/>
        <v>188</v>
      </c>
      <c r="BG388" s="48">
        <f ca="1">IF(IF(AND(OR(INDEX(PDC,MATCH($AC388,DEN_PDC,0),6)="SP DARE",INDEX(PDC,MATCH($AC388,DEN_PDC,0),6)="SP DARE/AVERE"),SUMIFS(DARE,DEN_G,$AC388)&gt;=SUMIFS(AVERE,DEN_G,$AC388)),SUMIFS(DARE,DEN_G,$AC388)-SUMIFS(AVERE,DEN_G,$AC388),0)&gt;0,MAX($BG$2:BG387)+1,0)</f>
        <v>0</v>
      </c>
      <c r="BH388" s="48">
        <f ca="1">IF(IF(AND(OR(INDEX(PDC,MATCH($AC388,DEN_PDC,0),6)="SP AVERE",INDEX(PDC,MATCH($AC388,DEN_PDC,0),6)="SP DARE/AVERE"),SUMIFS(AVERE,DEN_G,$AC388)&gt;=SUMIFS(DARE,DEN_G,$AC388)),SUMIFS(AVERE,DEN_G,$AC388)-SUMIFS(DARE,DEN_G,$AC388),0)&gt;0,MAX(BH$2:BH387)+1,0)</f>
        <v>0</v>
      </c>
      <c r="BI388" s="48">
        <f ca="1">IF(IF(AND(OR(INDEX(PDC,MATCH($AC388,DEN_PDC,0),6)="SE DARE",INDEX(PDC,MATCH($AC388,DEN_PDC,0),6)="SE DARE/AVERE"),SUMIFS(DARE,DEN_G,$AC388)&gt;=SUMIFS(AVERE,DEN_G,$AC388)),SUMIFS(DARE,DEN_G,$AC388)-SUMIFS(AVERE,DEN_G,$AC388),0)&gt;0,MAX(BI$2:BI387)+1,0)</f>
        <v>0</v>
      </c>
      <c r="BJ388" s="48">
        <f ca="1">IF(IF(AND(OR(INDEX(PDC,MATCH($AC388,DEN_PDC,0),6)="SE AVERE",INDEX(PDC,MATCH($AC388,DEN_PDC,0),6)="SE DARE/AVERE"),SUMIFS(AVERE,DEN_G,$AC388)&gt;=SUMIFS(DARE,DEN_G,$AC388)),SUMIFS(AVERE,DEN_G,$AC388)-SUMIFS(DARE,DEN_G,$AC388),0)&gt;0,MAX(BJ$2:BJ387)+1,0)</f>
        <v>0</v>
      </c>
      <c r="BK388" s="48" t="str">
        <f ca="1">IF(AND(AND($DY$2=0,$DY$1=0),$I$1=2,ROW()&gt;$BG$1+2,ROW()&lt;=$BG$1+4),"………………..",IF(AND(OR($DY$2&gt;0,$DY$1&gt;0),$I$1=2,ROW()&gt;$BG$1+2,ROW()&lt;=$BG$1+4),"………………..",IFERROR(INDEX($AC$3:$AC$398,MATCH(ROWS(BK$3:BK388),BG$3:BG$398,0),1),"")))</f>
        <v/>
      </c>
      <c r="BL388" s="48">
        <f t="shared" ca="1" si="726"/>
        <v>0</v>
      </c>
      <c r="BM388" s="48" t="str">
        <f ca="1">IF(AND(OR($DY$2=0,$DY$1=0),$I$1=2,ROW()&gt;$BH$1+2,ROW()&lt;=$BH$1+4),"………………..",IF(AND(OR($DY$2&gt;0,$DY$1&gt;0),$I$1=2,ROW()&gt;$BH$1+2,ROW()&lt;=$BH$1+4),"………………..",IFERROR(INDEX($AC$3:$AC$400,MATCH(ROWS(BM$3:BM388),BH$3:BH$400,0),1),"")))</f>
        <v/>
      </c>
      <c r="BN388" s="48">
        <f t="shared" ca="1" si="727"/>
        <v>0</v>
      </c>
      <c r="BO388" s="48" t="str">
        <f ca="1">IF(AND(OR($DY$2=0,$DY$1=0),$I$1=2,ROW()&gt;$BI$1+2,ROW()&lt;=$BI$1+4),"………………..",IF(AND(OR($DY$2&gt;0,$DY$1&gt;0),$I$1=2,ROW()&gt;$BI$1+2,ROW()&lt;=$BI$1+4),"………………..",IFERROR(INDEX($AC$3:$AC$400,MATCH(ROWS(BO$3:BO388),BI$3:BI$400,0),1),"")))</f>
        <v/>
      </c>
      <c r="BP388" s="48">
        <f t="shared" ca="1" si="728"/>
        <v>0</v>
      </c>
      <c r="BQ388" s="48" t="str">
        <f ca="1">IF(AND(OR($DY$2=0,$DY$1=0),$I$1=2,ROW()&gt;$BJ$1+2,ROW()&lt;=$BJ$1+4),"………………..",IF(AND(OR($DY$2&gt;0,$DY$1&gt;0),$I$1=2,ROW()&gt;$BJ$1+2,ROW()&lt;=$BJ$1+4),"………………..",IFERROR(INDEX($AC$3:$AC$400,MATCH(ROWS(BQ$3:BQ388),BJ$3:BJ$400,0),1),"")))</f>
        <v/>
      </c>
      <c r="BR388" s="48">
        <f t="shared" ca="1" si="729"/>
        <v>0</v>
      </c>
      <c r="BS388" s="48">
        <f ca="1">IF(IF(AND(OR(INDEX(PDC,MATCH($AC388,DEN_PDC,0),4)="D",INDEX(PDC,MATCH($AC388,DEN_PDC,0),4)="D/A"),SUMIFS(DARE,DEN_G,$AC388)&gt;=SUMIFS(AVERE,DEN_G,$AC388)),SUMIFS(DARE,DEN_G,$AC388),IF(AND(OR(INDEX(PDC,MATCH($AC388,DEN_PDC,0),4)="A",INDEX(PDC,MATCH($AC388,DEN_PDC,0),4)="D/A"),SUMIFS(AVERE,DEN_G,$AC388)&gt;=SUMIFS(DARE,DEN_G,$AC388)),SUMIFS(AVERE,DEN_G,$AC388),))&gt;0,MAX($BS$2:BS387)+1,0)</f>
        <v>0</v>
      </c>
      <c r="BT388" s="48" t="str">
        <f ca="1">IF($CO$1=0,"",IF(AND($I$1=2,ROW()&gt;$BR$1,ROW()&lt;=$BS$1)," …………….",IF(AND($E$1=1,$BX$1=1,$I$1=2,ROW()=$BQ$1),"TOTALI",IFERROR(INDEX(PDC,MATCH(ROWS(BT$3:BT388),BS$3:BS785,0),2),""))))</f>
        <v/>
      </c>
      <c r="BU388" s="48">
        <f t="shared" ca="1" si="730"/>
        <v>0</v>
      </c>
      <c r="BV388" s="48">
        <f t="shared" ca="1" si="731"/>
        <v>0</v>
      </c>
      <c r="BW388" s="48">
        <f t="shared" ca="1" si="732"/>
        <v>0</v>
      </c>
      <c r="BX388" s="48">
        <f t="shared" ca="1" si="733"/>
        <v>0</v>
      </c>
      <c r="BY388" s="48">
        <f ca="1">IF(OR(BW388&gt;0,BX388&gt;0),MAX($BY$2:BY387)+1,0)</f>
        <v>0</v>
      </c>
      <c r="BZ388" s="48" t="str">
        <f ca="1">IFERROR(INDEX($BT$3:$BY$400,MATCH(ROWS(BZ$3:BZ388),$BY$3:$BY$400,0),1),"")</f>
        <v/>
      </c>
      <c r="CA388" s="48" t="str">
        <f ca="1">IFERROR(INDEX($BT$3:$BY$400,MATCH(ROWS(CA$3:CA388),$BY$3:$BY$400,0),4),"")</f>
        <v/>
      </c>
      <c r="CB388" s="48" t="str">
        <f ca="1">IFERROR(INDEX($BT$3:$BY$400,MATCH(ROWS(CB$3:CB388),$BY$3:$BY$400,0),5),"")</f>
        <v/>
      </c>
      <c r="CC388" s="48" t="str">
        <f t="shared" ca="1" si="734"/>
        <v/>
      </c>
      <c r="CM388" s="242" t="str">
        <f t="shared" ref="CM388:CM400" ca="1" si="743">IF($CO$1=0,"",IF(AND($E$1=1,$I$1=2,OR($BU$1=1,$BU$1=3)),"",IF(AND($E$1=1,$I$1=2,$BW$1=1,ROW()=$BS$1+1,OR($BU$1=1,$BU$1=3,$CL$1=1)),"TOTALI",IF(AND($F$1=1,$BA$1&gt;0,$I$1=1,ROW()=$BT$1+3,$CL$1=1,$BD$1=1,$EL$2=0),"TOTALI",""))))</f>
        <v/>
      </c>
      <c r="CN388" s="243">
        <f t="shared" ref="CN388:CN399" ca="1" si="744">IF(CM388="TOTALI",$BU$401,0)</f>
        <v>0</v>
      </c>
      <c r="CO388" s="48" t="str">
        <f t="shared" ref="CO388:CO400" ca="1" si="745">IF($CO$1=0,"",CONCATENATE(BT388,CM388))</f>
        <v/>
      </c>
      <c r="CU388" s="48">
        <f ca="1">IF(SUMIFS(AVERE,DEN_G,AC388,AVERE,"&gt;"&amp;0)+SUMIFS(DARE,DEN_G,AC388,DARE,"&gt;"&amp;0)&gt;0,MAX($CU$2:CU387)+1,0)</f>
        <v>0</v>
      </c>
      <c r="CV388" s="48" t="str">
        <f ca="1">IF(IFERROR(INDEX(PDC,MATCH(ROWS($CV$3:CV388),$CU$3:$CU$400,0),2),"")="CONTO DI RISULTATO ECONOMICO","",IFERROR(INDEX(PDC,MATCH(ROWS($CV$3:CV388),$CU$3:$CU$400,0),2),""))</f>
        <v/>
      </c>
      <c r="CW388" s="48">
        <f ca="1">IFERROR(IF(CV388&lt;&gt;"",MAX($CW$2:CW387)+1,0),0)</f>
        <v>0</v>
      </c>
      <c r="CX388" s="48">
        <f t="shared" ca="1" si="719"/>
        <v>30</v>
      </c>
      <c r="CY388" s="48" t="str">
        <f t="shared" ca="1" si="715"/>
        <v>MASTRO</v>
      </c>
      <c r="CZ388" s="48" t="e">
        <f t="shared" ca="1" si="721"/>
        <v>#N/A</v>
      </c>
      <c r="DA388" s="48" t="str">
        <f t="shared" ca="1" si="725"/>
        <v/>
      </c>
      <c r="DB388" s="48" t="str">
        <f t="shared" ca="1" si="682"/>
        <v/>
      </c>
      <c r="DC388" s="48" t="str">
        <f t="shared" ca="1" si="722"/>
        <v/>
      </c>
      <c r="DD388" s="48" t="str">
        <f t="shared" ca="1" si="723"/>
        <v/>
      </c>
      <c r="DE388" s="48" t="str">
        <f t="shared" ca="1" si="724"/>
        <v/>
      </c>
      <c r="DF388" s="48">
        <f ca="1">IF(AND(CX388=$DF$1,CX388&lt;&gt;""),0,IF(AND(DB388&lt;&gt;"",OR(DB387&lt;&gt;"",DB389&lt;&gt;"")),MAX($DF$2:DF387)+1,0))</f>
        <v>0</v>
      </c>
      <c r="DH388" s="244" t="s">
        <v>1136</v>
      </c>
      <c r="DI388" s="48" t="s">
        <v>1032</v>
      </c>
      <c r="DJ388" s="48" t="s">
        <v>311</v>
      </c>
      <c r="DK388" s="48" t="s">
        <v>298</v>
      </c>
      <c r="DL388" s="48" t="s">
        <v>320</v>
      </c>
      <c r="DM388" s="48" t="s">
        <v>300</v>
      </c>
      <c r="DN388" s="48">
        <f ca="1">IF(DI388&lt;&gt;"",MAX($DN$2:DN387)+1,0)</f>
        <v>316</v>
      </c>
      <c r="DO388" s="48" t="s">
        <v>728</v>
      </c>
      <c r="DY388" s="48" t="str">
        <f t="shared" ca="1" si="735"/>
        <v/>
      </c>
      <c r="EL388" s="48">
        <f t="shared" ca="1" si="736"/>
        <v>0</v>
      </c>
      <c r="EM388" s="48">
        <f ca="1">IF(EL388&gt;=0,0,MAX($EM$2:EM387)+1)</f>
        <v>0</v>
      </c>
      <c r="EN388" s="48" t="str">
        <f t="shared" ref="EN388:EN396" ca="1" si="746">IF(EL388&lt;0,AC388,"")</f>
        <v/>
      </c>
      <c r="EO388" s="48" t="str">
        <f ca="1">IFERROR(INDEX($EM$3:$EN$400,MATCH(ROWS($EO$3:EO388),$EM$3:$EM$400,0),2),"")</f>
        <v/>
      </c>
      <c r="EP388" s="48">
        <f>ROW()</f>
        <v>388</v>
      </c>
      <c r="EQ388" s="48">
        <f t="shared" ca="1" si="737"/>
        <v>0</v>
      </c>
      <c r="ER388" s="48">
        <f ca="1">IF(ISNA(EQ388)=TRUE,MAX($ER$2:ER387)+1,0)</f>
        <v>0</v>
      </c>
      <c r="ES388" s="48" t="str">
        <f t="shared" ref="ES388:ES451" ca="1" si="747">IF(ER388&lt;&gt;0,AM388,"")</f>
        <v/>
      </c>
      <c r="ET388" s="48" t="str">
        <f ca="1">IFERROR(INDEX($ER$3:$ES$400,MATCH(ROWS($ET$3:ET388),$ER$3:$ER$400,0),2),"")</f>
        <v/>
      </c>
      <c r="EV388" s="48">
        <f ca="1">IFERROR(INDEX(LIBRO_GIORNALE!$O$11:$P$408,MATCH(ROWS($EV$2:EV387),LIBRO_GIORNALE!$P$11:$P$408,0),1),0)</f>
        <v>0</v>
      </c>
      <c r="EW388" s="48" t="str">
        <f t="shared" ca="1" si="716"/>
        <v>0</v>
      </c>
      <c r="EX388" s="48">
        <f t="shared" ref="EX388:EX400" ca="1" si="748">IF(EXACT(EW388,EW387),0,IF($EV$1=1,IFERROR(MATCH($EW388,$CV$3:$CV$400,0),0),0))</f>
        <v>0</v>
      </c>
      <c r="EY388" s="48">
        <f ca="1">IF(EX388&gt;0,MAX($EY$2:EY387)+1,0)</f>
        <v>0</v>
      </c>
      <c r="EZ388" s="48">
        <f ca="1">IFERROR(INDEX($EX$3:$EX$400,MATCH(ROWS($EZ$3:EZ388),$EY$3:$EY$400,0),1),0)</f>
        <v>0</v>
      </c>
      <c r="FA388" s="48">
        <f ca="1">IF(EZ388&gt;0,0,MAX($FA$2:FA387)+1)</f>
        <v>386</v>
      </c>
      <c r="FB388" s="48">
        <f t="shared" ca="1" si="717"/>
        <v>0</v>
      </c>
      <c r="FC388" s="48">
        <f t="shared" ca="1" si="718"/>
        <v>386</v>
      </c>
      <c r="FD388" s="48">
        <f t="shared" ref="FD388:FD400" ca="1" si="749">SUM(EZ388,FC388)</f>
        <v>386</v>
      </c>
      <c r="FE388" s="48">
        <f ca="1">IF(FD388=0,0,MAX($FE$2:FE387)+1)</f>
        <v>386</v>
      </c>
      <c r="FF388" s="48">
        <f ca="1">IFERROR(INDEX($FD$3:$FE$400,MATCH(ROWS($FF$3:FF388),$FE$3:$FE$400,0),1),"")</f>
        <v>386</v>
      </c>
      <c r="FG388" s="48">
        <f t="shared" si="696"/>
        <v>0</v>
      </c>
      <c r="FH388" s="48">
        <f t="shared" ref="FH388:FH400" ca="1" si="750">IF(F388="SP DARE/AVERE",B388,0)</f>
        <v>0</v>
      </c>
      <c r="FI388" s="48">
        <f ca="1">IF(FH388&lt;&gt;0,MAX($FI$2:FI387)+1,0)</f>
        <v>0</v>
      </c>
      <c r="FJ388" s="48" t="str">
        <f ca="1">IFERROR(INDEX($FH$3:$FI$400,MATCH(ROWS($FJ$3:FJ388),$FI$3:$FI$400,0),1),"")</f>
        <v/>
      </c>
      <c r="FK388" s="48">
        <f ca="1">IF(ABS(SUMIFS(DARE,DEN_G,"="&amp;FJ388,DATA,"&lt;="&amp;FINE_AC,DATA,"&gt;="&amp;INIZIO_A_PC)-SUMIFS(AVERE,DEN_G,"="&amp;FJ388,DATA,"&lt;="&amp;FINE_AC,DATA,"&gt;="&amp;INIZIO_A_PC))&gt;0,MAX($FK$2:FK387)+1,0)</f>
        <v>0</v>
      </c>
      <c r="FL388" s="48" t="str">
        <f ca="1">IF(AND(ROW()-2&lt;&gt;1,ROW()-2&lt;=$FK$1),CONCATENATE(" - ",IFERROR(INDEX($FJ$3:$FK$400,MATCH(ROWS($FL$3:FL388),$FK$3:$FK$400,0),1),"")),IFERROR(INDEX($FJ$3:$FK$400,MATCH(ROWS($FL$3:FL388),$FK$3:$FK$400,0),1),""))</f>
        <v/>
      </c>
      <c r="FM388" s="48">
        <f ca="1">IF(OR(B388="IVA ns/credito",B388="IVA NS/DEBITO",B388="IVA C/ACCONTO",B388="IMPOSTE C/ACCONTO",B388="CREDITI PER RITENUTE SUBITE",B388="CREDITI D'IMPOSTA"),MAX($FM$2:FM387)+1,0)</f>
        <v>0</v>
      </c>
      <c r="FN388" s="48" t="str">
        <f t="shared" ref="FN388:FN400" ca="1" si="751">IF(FM388&gt;0,B388,"")</f>
        <v/>
      </c>
      <c r="FO388" s="48" t="str">
        <f ca="1">IFERROR(INDEX($FM$3:$FN$400,MATCH(ROWS($FO$3:FO388),$FM$3:$FM$400,0),2),"")</f>
        <v/>
      </c>
      <c r="FP388" s="48">
        <f ca="1">IF(ABS(SUMIFS(DARE,DEN_G,"="&amp;FO388,DATA,"&lt;="&amp;FINE_AC,DATA,"&gt;="&amp;INIZIO_A_PC)-SUMIFS(AVERE,DEN_G,"="&amp;FO388,DATA,"&lt;="&amp;FINE_AC,DATA,"&gt;="&amp;INIZIO_A_PC))&gt;0,MAX($FP$2:FP387)+1,0)</f>
        <v>0</v>
      </c>
      <c r="FQ388" s="48" t="str">
        <f ca="1">IF(AND(ROW()-2&lt;&gt;1,ROW()-2&lt;=$FP$1),CONCATENATE(" - ",IFERROR(INDEX($FO$3:$FP$400,MATCH(ROWS($FQ$3:FQ388),$FP$3:$FP$400,0),1),"")),IFERROR(INDEX($FO$3:$FP$400,MATCH(ROWS($FQ$3:FQ388),$FP$3:$FP$400,0),1),""))</f>
        <v/>
      </c>
    </row>
    <row r="389" spans="1:173" x14ac:dyDescent="0.3">
      <c r="A389" s="48" t="str">
        <f ca="1">IFERROR(IF($A$1=2,INDEX($DH$3:$DN$401,MATCH(ROWS(A$3:A389),$DN$3:$DN$401,0),COLUMN()),IF($A$1=1,INDEX($DQ$3:$DW$401,MATCH(ROWS(A$3:A389),$DW$3:$DW$401,0),COLUMN()),"")),"")</f>
        <v/>
      </c>
      <c r="B389" s="48" t="str">
        <f ca="1">IFERROR(IF($A$1=2,INDEX($DH$3:$DN$400,MATCH(ROWS(B$3:B389),$DN$3:$DN$400,0),COLUMN()),IF($A$1=1,INDEX($DQ$3:$DW$400,MATCH(ROWS(B$3:B389),$DW$3:$DW$400,0),COLUMN()),"")),"")</f>
        <v/>
      </c>
      <c r="D389" s="48" t="str">
        <f ca="1">IFERROR(IF($A$1=2,INDEX($DH$3:$DN$401,MATCH(ROWS(D$3:D389),$DN$3:$DN$401,0),COLUMN()),IF($A$1=1,INDEX($DQ$3:$DW$401,MATCH(ROWS(D$3:D389),$DW$3:$DW$401,0),COLUMN()),"")),"")</f>
        <v/>
      </c>
      <c r="E389" s="48" t="str">
        <f ca="1">IFERROR(IF($A$1=2,INDEX($DH$3:$DN$401,MATCH(ROWS(E$3:E389),$DN$3:$DN$401,0),COLUMN()),IF($A$1=1,INDEX($DQ$3:$DW$401,MATCH(ROWS(E$3:E389),$DW$3:$DW$401,0),COLUMN()),"")),"")</f>
        <v/>
      </c>
      <c r="F389" s="48" t="str">
        <f ca="1">IFERROR(IF($A$1=2,INDEX($DH$3:$DN$401,MATCH(ROWS(F$3:F389),$DN$3:$DN$401,0),COLUMN()),IF($A$1=1,INDEX($DQ$3:$DX$401,MATCH(ROWS(F$3:F389),$DW$3:$DW$401,0),COLUMN()),"")),"")</f>
        <v/>
      </c>
      <c r="G389" s="48" t="str">
        <f t="shared" ca="1" si="738"/>
        <v/>
      </c>
      <c r="H389" s="48" t="str">
        <f ca="1">IFERROR(IF($A$1=2,INDEX($DH$3:$DO$400,MATCH(ROWS(H$3:H389),$DN$3:$DN$400,0),COLUMN()),IF($A$1=1,INDEX($DQ$3:$DX$400,MATCH(ROWS(H$3:H389),$DW$3:$DW$400,0),COLUMN()),"")),"")</f>
        <v/>
      </c>
      <c r="M389" s="48">
        <f ca="1">IFERROR(IF(IF(MID($A389,3,3)=".00",MID(A389,1,2),"")&lt;&gt;"",MAX($M$2:M388)+1,0),"")</f>
        <v>0</v>
      </c>
      <c r="N389" s="48" t="str">
        <f t="shared" ca="1" si="739"/>
        <v/>
      </c>
      <c r="O389" s="48" t="str">
        <f ca="1">IF(IFERROR(INDEX($N$3:$O$300,MATCH(ROWS($O$3:O389),$M$3:$M$300,0),1),"")&lt;&gt;"",CONCATENATE(INDEX($N$3:$O$300,MATCH(ROWS($O$3:O389),$M$3:$M$300,0),1),".00"),"")</f>
        <v/>
      </c>
      <c r="P389" s="48" t="str">
        <f t="shared" ca="1" si="740"/>
        <v/>
      </c>
      <c r="Q389" s="48">
        <f ca="1">IF(M389&gt;=1,0,MAX($Q$2:Q388)+1)</f>
        <v>350</v>
      </c>
      <c r="U389" s="48" t="str">
        <f ca="1">IFERROR(INDEX(PDC,MATCH(ROWS(U$3:U389),$V$3:$V$400,0),2),"")</f>
        <v/>
      </c>
      <c r="V389" s="48">
        <f ca="1">IF(AND($T$1="VISUALIZZA TUTTI I CONTI",AA389&lt;&gt;""),MAX($V$2:V388)+1,IF(AND($U$2=2,AI389=$T$1),MAX($V$2:V388)+1,IF(AND($U$2=1,$T$1=AF389),MAX($V$2:V388)+1,0)))</f>
        <v>0</v>
      </c>
      <c r="AA389" s="48" t="str">
        <f t="shared" ca="1" si="741"/>
        <v/>
      </c>
      <c r="AB389" s="48" t="str">
        <f ca="1">IFERROR(INDEX($A$3:$G$400,MATCH(ROWS(AB$3:AB389),$Q$3:$Q$400,0),1),"")</f>
        <v/>
      </c>
      <c r="AC389" s="48" t="str">
        <f ca="1">IFERROR(INDEX($A$3:$G$400,MATCH(ROWS($AC$3:AC389),$Q$3:$Q$400,0),2),"")</f>
        <v/>
      </c>
      <c r="AD389" s="48" t="str">
        <f ca="1">IFERROR(INDEX($A$3:$G$400,MATCH(ROWS(AD$3:AD389),$Q$3:$Q$400,0),3),"")</f>
        <v/>
      </c>
      <c r="AE389" s="48" t="str">
        <f ca="1">IFERROR(INDEX($A$3:$G$400,MATCH(ROWS(AE$3:AE389),$Q$3:$Q$400,0),4),"")</f>
        <v/>
      </c>
      <c r="AF389" s="48" t="str">
        <f ca="1">IFERROR(INDEX($A$3:$G$400,MATCH(ROWS(AF$3:AF389),$Q$3:$Q$400,0),5),"")</f>
        <v/>
      </c>
      <c r="AG389" s="48" t="str">
        <f ca="1">IFERROR(INDEX($A$3:$G$400,MATCH(ROWS(AG$3:AG389),$Q$3:$Q$400,0),6),"")</f>
        <v/>
      </c>
      <c r="AH389" s="48" t="str">
        <f ca="1">IFERROR(INDEX($A$3:$G$400,MATCH(ROWS(AH$3:AH389),$Q$3:$Q$400,0),7),"")</f>
        <v/>
      </c>
      <c r="AI389" s="48" t="str">
        <f t="shared" ca="1" si="742"/>
        <v/>
      </c>
      <c r="AJ389" s="48" t="str">
        <f ca="1">IFERROR(INDEX($A$3:$H$400,MATCH(ROWS(AJ$3:AJ389),$Q$3:$Q$400,0),8),"")</f>
        <v/>
      </c>
      <c r="AZ389" s="48" t="str">
        <f t="shared" ca="1" si="714"/>
        <v/>
      </c>
      <c r="BA389" s="48">
        <f t="shared" ca="1" si="697"/>
        <v>0</v>
      </c>
      <c r="BB389" s="48">
        <f t="shared" ca="1" si="698"/>
        <v>0</v>
      </c>
      <c r="BC389" s="48">
        <f t="shared" ca="1" si="699"/>
        <v>0</v>
      </c>
      <c r="BD389" s="48">
        <f t="shared" ca="1" si="700"/>
        <v>0</v>
      </c>
      <c r="BE389" s="48">
        <f t="shared" ca="1" si="701"/>
        <v>0</v>
      </c>
      <c r="BF389" s="48">
        <f t="shared" si="711"/>
        <v>189</v>
      </c>
      <c r="BG389" s="48">
        <f ca="1">IF(IF(AND(OR(INDEX(PDC,MATCH($AC389,DEN_PDC,0),6)="SP DARE",INDEX(PDC,MATCH($AC389,DEN_PDC,0),6)="SP DARE/AVERE"),SUMIFS(DARE,DEN_G,$AC389)&gt;=SUMIFS(AVERE,DEN_G,$AC389)),SUMIFS(DARE,DEN_G,$AC389)-SUMIFS(AVERE,DEN_G,$AC389),0)&gt;0,MAX($BG$2:BG388)+1,0)</f>
        <v>0</v>
      </c>
      <c r="BH389" s="48">
        <f ca="1">IF(IF(AND(OR(INDEX(PDC,MATCH($AC389,DEN_PDC,0),6)="SP AVERE",INDEX(PDC,MATCH($AC389,DEN_PDC,0),6)="SP DARE/AVERE"),SUMIFS(AVERE,DEN_G,$AC389)&gt;=SUMIFS(DARE,DEN_G,$AC389)),SUMIFS(AVERE,DEN_G,$AC389)-SUMIFS(DARE,DEN_G,$AC389),0)&gt;0,MAX(BH$2:BH388)+1,0)</f>
        <v>0</v>
      </c>
      <c r="BI389" s="48">
        <f ca="1">IF(IF(AND(OR(INDEX(PDC,MATCH($AC389,DEN_PDC,0),6)="SE DARE",INDEX(PDC,MATCH($AC389,DEN_PDC,0),6)="SE DARE/AVERE"),SUMIFS(DARE,DEN_G,$AC389)&gt;=SUMIFS(AVERE,DEN_G,$AC389)),SUMIFS(DARE,DEN_G,$AC389)-SUMIFS(AVERE,DEN_G,$AC389),0)&gt;0,MAX(BI$2:BI388)+1,0)</f>
        <v>0</v>
      </c>
      <c r="BJ389" s="48">
        <f ca="1">IF(IF(AND(OR(INDEX(PDC,MATCH($AC389,DEN_PDC,0),6)="SE AVERE",INDEX(PDC,MATCH($AC389,DEN_PDC,0),6)="SE DARE/AVERE"),SUMIFS(AVERE,DEN_G,$AC389)&gt;=SUMIFS(DARE,DEN_G,$AC389)),SUMIFS(AVERE,DEN_G,$AC389)-SUMIFS(DARE,DEN_G,$AC389),0)&gt;0,MAX(BJ$2:BJ388)+1,0)</f>
        <v>0</v>
      </c>
      <c r="BK389" s="48" t="str">
        <f ca="1">IF(AND(AND($DY$2=0,$DY$1=0),$I$1=2,ROW()&gt;$BG$1+2,ROW()&lt;=$BG$1+4),"………………..",IF(AND(OR($DY$2&gt;0,$DY$1&gt;0),$I$1=2,ROW()&gt;$BG$1+2,ROW()&lt;=$BG$1+4),"………………..",IFERROR(INDEX($AC$3:$AC$398,MATCH(ROWS(BK$3:BK389),BG$3:BG$398,0),1),"")))</f>
        <v/>
      </c>
      <c r="BL389" s="48">
        <f t="shared" ca="1" si="726"/>
        <v>0</v>
      </c>
      <c r="BM389" s="48" t="str">
        <f ca="1">IF(AND(OR($DY$2=0,$DY$1=0),$I$1=2,ROW()&gt;$BH$1+2,ROW()&lt;=$BH$1+4),"………………..",IF(AND(OR($DY$2&gt;0,$DY$1&gt;0),$I$1=2,ROW()&gt;$BH$1+2,ROW()&lt;=$BH$1+4),"………………..",IFERROR(INDEX($AC$3:$AC$400,MATCH(ROWS(BM$3:BM389),BH$3:BH$400,0),1),"")))</f>
        <v/>
      </c>
      <c r="BN389" s="48">
        <f t="shared" ca="1" si="727"/>
        <v>0</v>
      </c>
      <c r="BO389" s="48" t="str">
        <f ca="1">IF(AND(OR($DY$2=0,$DY$1=0),$I$1=2,ROW()&gt;$BI$1+2,ROW()&lt;=$BI$1+4),"………………..",IF(AND(OR($DY$2&gt;0,$DY$1&gt;0),$I$1=2,ROW()&gt;$BI$1+2,ROW()&lt;=$BI$1+4),"………………..",IFERROR(INDEX($AC$3:$AC$400,MATCH(ROWS(BO$3:BO389),BI$3:BI$400,0),1),"")))</f>
        <v/>
      </c>
      <c r="BP389" s="48">
        <f t="shared" ca="1" si="728"/>
        <v>0</v>
      </c>
      <c r="BQ389" s="48" t="str">
        <f ca="1">IF(AND(OR($DY$2=0,$DY$1=0),$I$1=2,ROW()&gt;$BJ$1+2,ROW()&lt;=$BJ$1+4),"………………..",IF(AND(OR($DY$2&gt;0,$DY$1&gt;0),$I$1=2,ROW()&gt;$BJ$1+2,ROW()&lt;=$BJ$1+4),"………………..",IFERROR(INDEX($AC$3:$AC$400,MATCH(ROWS(BQ$3:BQ389),BJ$3:BJ$400,0),1),"")))</f>
        <v/>
      </c>
      <c r="BR389" s="48">
        <f t="shared" ca="1" si="729"/>
        <v>0</v>
      </c>
      <c r="BS389" s="48">
        <f ca="1">IF(IF(AND(OR(INDEX(PDC,MATCH($AC389,DEN_PDC,0),4)="D",INDEX(PDC,MATCH($AC389,DEN_PDC,0),4)="D/A"),SUMIFS(DARE,DEN_G,$AC389)&gt;=SUMIFS(AVERE,DEN_G,$AC389)),SUMIFS(DARE,DEN_G,$AC389),IF(AND(OR(INDEX(PDC,MATCH($AC389,DEN_PDC,0),4)="A",INDEX(PDC,MATCH($AC389,DEN_PDC,0),4)="D/A"),SUMIFS(AVERE,DEN_G,$AC389)&gt;=SUMIFS(DARE,DEN_G,$AC389)),SUMIFS(AVERE,DEN_G,$AC389),))&gt;0,MAX($BS$2:BS388)+1,0)</f>
        <v>0</v>
      </c>
      <c r="BT389" s="48" t="str">
        <f ca="1">IF($CO$1=0,"",IF(AND($I$1=2,ROW()&gt;$BR$1,ROW()&lt;=$BS$1)," …………….",IF(AND($E$1=1,$BX$1=1,$I$1=2,ROW()=$BQ$1),"TOTALI",IFERROR(INDEX(PDC,MATCH(ROWS(BT$3:BT389),BS$3:BS786,0),2),""))))</f>
        <v/>
      </c>
      <c r="BU389" s="48">
        <f t="shared" ca="1" si="730"/>
        <v>0</v>
      </c>
      <c r="BV389" s="48">
        <f t="shared" ca="1" si="731"/>
        <v>0</v>
      </c>
      <c r="BW389" s="48">
        <f t="shared" ca="1" si="732"/>
        <v>0</v>
      </c>
      <c r="BX389" s="48">
        <f t="shared" ca="1" si="733"/>
        <v>0</v>
      </c>
      <c r="BY389" s="48">
        <f ca="1">IF(OR(BW389&gt;0,BX389&gt;0),MAX($BY$2:BY388)+1,0)</f>
        <v>0</v>
      </c>
      <c r="BZ389" s="48" t="str">
        <f ca="1">IFERROR(INDEX($BT$3:$BY$400,MATCH(ROWS(BZ$3:BZ389),$BY$3:$BY$400,0),1),"")</f>
        <v/>
      </c>
      <c r="CA389" s="48" t="str">
        <f ca="1">IFERROR(INDEX($BT$3:$BY$400,MATCH(ROWS(CA$3:CA389),$BY$3:$BY$400,0),4),"")</f>
        <v/>
      </c>
      <c r="CB389" s="48" t="str">
        <f ca="1">IFERROR(INDEX($BT$3:$BY$400,MATCH(ROWS(CB$3:CB389),$BY$3:$BY$400,0),5),"")</f>
        <v/>
      </c>
      <c r="CC389" s="48" t="str">
        <f t="shared" ca="1" si="734"/>
        <v/>
      </c>
      <c r="CM389" s="242" t="str">
        <f t="shared" ca="1" si="743"/>
        <v/>
      </c>
      <c r="CN389" s="243">
        <f t="shared" ca="1" si="744"/>
        <v>0</v>
      </c>
      <c r="CO389" s="48" t="str">
        <f t="shared" ca="1" si="745"/>
        <v/>
      </c>
      <c r="CU389" s="48">
        <f ca="1">IF(SUMIFS(AVERE,DEN_G,AC389,AVERE,"&gt;"&amp;0)+SUMIFS(DARE,DEN_G,AC389,DARE,"&gt;"&amp;0)&gt;0,MAX($CU$2:CU388)+1,0)</f>
        <v>0</v>
      </c>
      <c r="CV389" s="48" t="str">
        <f ca="1">IF(IFERROR(INDEX(PDC,MATCH(ROWS($CV$3:CV389),$CU$3:$CU$400,0),2),"")="CONTO DI RISULTATO ECONOMICO","",IFERROR(INDEX(PDC,MATCH(ROWS($CV$3:CV389),$CU$3:$CU$400,0),2),""))</f>
        <v/>
      </c>
      <c r="CW389" s="48">
        <f ca="1">IFERROR(IF(CV389&lt;&gt;"",MAX($CW$2:CW388)+1,0),0)</f>
        <v>0</v>
      </c>
      <c r="CX389" s="48">
        <f t="shared" ca="1" si="719"/>
        <v>30</v>
      </c>
      <c r="CY389" s="48" t="str">
        <f t="shared" ca="1" si="715"/>
        <v>MASTRO</v>
      </c>
      <c r="CZ389" s="48" t="e">
        <f t="shared" ca="1" si="721"/>
        <v>#N/A</v>
      </c>
      <c r="DA389" s="48" t="str">
        <f t="shared" ca="1" si="725"/>
        <v/>
      </c>
      <c r="DB389" s="48" t="str">
        <f t="shared" ca="1" si="682"/>
        <v/>
      </c>
      <c r="DC389" s="48" t="str">
        <f t="shared" ca="1" si="722"/>
        <v/>
      </c>
      <c r="DD389" s="48" t="str">
        <f t="shared" ca="1" si="723"/>
        <v/>
      </c>
      <c r="DE389" s="48" t="str">
        <f t="shared" ca="1" si="724"/>
        <v/>
      </c>
      <c r="DF389" s="48">
        <f ca="1">IF(AND(CX389=$DF$1,CX389&lt;&gt;""),0,IF(AND(DB389&lt;&gt;"",OR(DB388&lt;&gt;"",DB390&lt;&gt;"")),MAX($DF$2:DF388)+1,0))</f>
        <v>0</v>
      </c>
      <c r="DH389" s="244" t="s">
        <v>954</v>
      </c>
      <c r="DI389" s="228" t="s">
        <v>461</v>
      </c>
      <c r="DN389" s="48">
        <f ca="1">IF(DI389&lt;&gt;"",MAX($DN$2:DN388)+1,0)</f>
        <v>317</v>
      </c>
      <c r="DY389" s="48" t="str">
        <f t="shared" ca="1" si="735"/>
        <v/>
      </c>
      <c r="EL389" s="48">
        <f t="shared" ca="1" si="736"/>
        <v>0</v>
      </c>
      <c r="EM389" s="48">
        <f ca="1">IF(EL389&gt;=0,0,MAX($EM$2:EM388)+1)</f>
        <v>0</v>
      </c>
      <c r="EN389" s="48" t="str">
        <f t="shared" ca="1" si="746"/>
        <v/>
      </c>
      <c r="EO389" s="48" t="str">
        <f ca="1">IFERROR(INDEX($EM$3:$EN$400,MATCH(ROWS($EO$3:EO389),$EM$3:$EM$400,0),2),"")</f>
        <v/>
      </c>
      <c r="EP389" s="48">
        <f>ROW()</f>
        <v>389</v>
      </c>
      <c r="EQ389" s="48">
        <f t="shared" ca="1" si="737"/>
        <v>0</v>
      </c>
      <c r="ER389" s="48">
        <f ca="1">IF(ISNA(EQ389)=TRUE,MAX($ER$2:ER388)+1,0)</f>
        <v>0</v>
      </c>
      <c r="ES389" s="48" t="str">
        <f t="shared" ca="1" si="747"/>
        <v/>
      </c>
      <c r="ET389" s="48" t="str">
        <f ca="1">IFERROR(INDEX($ER$3:$ES$400,MATCH(ROWS($ET$3:ET389),$ER$3:$ER$400,0),2),"")</f>
        <v/>
      </c>
      <c r="EV389" s="48">
        <f ca="1">IFERROR(INDEX(LIBRO_GIORNALE!$O$11:$P$408,MATCH(ROWS($EV$2:EV388),LIBRO_GIORNALE!$P$11:$P$408,0),1),0)</f>
        <v>0</v>
      </c>
      <c r="EW389" s="48" t="str">
        <f t="shared" ca="1" si="716"/>
        <v>0</v>
      </c>
      <c r="EX389" s="48">
        <f t="shared" ca="1" si="748"/>
        <v>0</v>
      </c>
      <c r="EY389" s="48">
        <f ca="1">IF(EX389&gt;0,MAX($EY$2:EY388)+1,0)</f>
        <v>0</v>
      </c>
      <c r="EZ389" s="48">
        <f ca="1">IFERROR(INDEX($EX$3:$EX$400,MATCH(ROWS($EZ$3:EZ389),$EY$3:$EY$400,0),1),0)</f>
        <v>0</v>
      </c>
      <c r="FA389" s="48">
        <f ca="1">IF(EZ389&gt;0,0,MAX($FA$2:FA388)+1)</f>
        <v>387</v>
      </c>
      <c r="FB389" s="48">
        <f t="shared" ca="1" si="717"/>
        <v>0</v>
      </c>
      <c r="FC389" s="48">
        <f t="shared" ca="1" si="718"/>
        <v>387</v>
      </c>
      <c r="FD389" s="48">
        <f t="shared" ca="1" si="749"/>
        <v>387</v>
      </c>
      <c r="FE389" s="48">
        <f ca="1">IF(FD389=0,0,MAX($FE$2:FE388)+1)</f>
        <v>387</v>
      </c>
      <c r="FF389" s="48">
        <f ca="1">IFERROR(INDEX($FD$3:$FE$400,MATCH(ROWS($FF$3:FF389),$FE$3:$FE$400,0),1),"")</f>
        <v>387</v>
      </c>
      <c r="FG389" s="48">
        <f t="shared" si="696"/>
        <v>0</v>
      </c>
      <c r="FH389" s="48">
        <f t="shared" ca="1" si="750"/>
        <v>0</v>
      </c>
      <c r="FI389" s="48">
        <f ca="1">IF(FH389&lt;&gt;0,MAX($FI$2:FI388)+1,0)</f>
        <v>0</v>
      </c>
      <c r="FJ389" s="48" t="str">
        <f ca="1">IFERROR(INDEX($FH$3:$FI$400,MATCH(ROWS($FJ$3:FJ389),$FI$3:$FI$400,0),1),"")</f>
        <v/>
      </c>
      <c r="FK389" s="48">
        <f ca="1">IF(ABS(SUMIFS(DARE,DEN_G,"="&amp;FJ389,DATA,"&lt;="&amp;FINE_AC,DATA,"&gt;="&amp;INIZIO_A_PC)-SUMIFS(AVERE,DEN_G,"="&amp;FJ389,DATA,"&lt;="&amp;FINE_AC,DATA,"&gt;="&amp;INIZIO_A_PC))&gt;0,MAX($FK$2:FK388)+1,0)</f>
        <v>0</v>
      </c>
      <c r="FL389" s="48" t="str">
        <f ca="1">IF(AND(ROW()-2&lt;&gt;1,ROW()-2&lt;=$FK$1),CONCATENATE(" - ",IFERROR(INDEX($FJ$3:$FK$400,MATCH(ROWS($FL$3:FL389),$FK$3:$FK$400,0),1),"")),IFERROR(INDEX($FJ$3:$FK$400,MATCH(ROWS($FL$3:FL389),$FK$3:$FK$400,0),1),""))</f>
        <v/>
      </c>
      <c r="FM389" s="48">
        <f ca="1">IF(OR(B389="IVA ns/credito",B389="IVA NS/DEBITO",B389="IVA C/ACCONTO",B389="IMPOSTE C/ACCONTO",B389="CREDITI PER RITENUTE SUBITE",B389="CREDITI D'IMPOSTA"),MAX($FM$2:FM388)+1,0)</f>
        <v>0</v>
      </c>
      <c r="FN389" s="48" t="str">
        <f t="shared" ca="1" si="751"/>
        <v/>
      </c>
      <c r="FO389" s="48" t="str">
        <f ca="1">IFERROR(INDEX($FM$3:$FN$400,MATCH(ROWS($FO$3:FO389),$FM$3:$FM$400,0),2),"")</f>
        <v/>
      </c>
      <c r="FP389" s="48">
        <f ca="1">IF(ABS(SUMIFS(DARE,DEN_G,"="&amp;FO389,DATA,"&lt;="&amp;FINE_AC,DATA,"&gt;="&amp;INIZIO_A_PC)-SUMIFS(AVERE,DEN_G,"="&amp;FO389,DATA,"&lt;="&amp;FINE_AC,DATA,"&gt;="&amp;INIZIO_A_PC))&gt;0,MAX($FP$2:FP388)+1,0)</f>
        <v>0</v>
      </c>
      <c r="FQ389" s="48" t="str">
        <f ca="1">IF(AND(ROW()-2&lt;&gt;1,ROW()-2&lt;=$FP$1),CONCATENATE(" - ",IFERROR(INDEX($FO$3:$FP$400,MATCH(ROWS($FQ$3:FQ389),$FP$3:$FP$400,0),1),"")),IFERROR(INDEX($FO$3:$FP$400,MATCH(ROWS($FQ$3:FQ389),$FP$3:$FP$400,0),1),""))</f>
        <v/>
      </c>
    </row>
    <row r="390" spans="1:173" x14ac:dyDescent="0.3">
      <c r="A390" s="48" t="str">
        <f ca="1">IFERROR(IF($A$1=2,INDEX($DH$3:$DN$401,MATCH(ROWS(A$3:A390),$DN$3:$DN$401,0),COLUMN()),IF($A$1=1,INDEX($DQ$3:$DW$401,MATCH(ROWS(A$3:A390),$DW$3:$DW$401,0),COLUMN()),"")),"")</f>
        <v/>
      </c>
      <c r="B390" s="48" t="str">
        <f ca="1">IFERROR(IF($A$1=2,INDEX($DH$3:$DN$400,MATCH(ROWS(B$3:B390),$DN$3:$DN$400,0),COLUMN()),IF($A$1=1,INDEX($DQ$3:$DW$400,MATCH(ROWS(B$3:B390),$DW$3:$DW$400,0),COLUMN()),"")),"")</f>
        <v/>
      </c>
      <c r="D390" s="48" t="str">
        <f ca="1">IFERROR(IF($A$1=2,INDEX($DH$3:$DN$401,MATCH(ROWS(D$3:D390),$DN$3:$DN$401,0),COLUMN()),IF($A$1=1,INDEX($DQ$3:$DW$401,MATCH(ROWS(D$3:D390),$DW$3:$DW$401,0),COLUMN()),"")),"")</f>
        <v/>
      </c>
      <c r="E390" s="48" t="str">
        <f ca="1">IFERROR(IF($A$1=2,INDEX($DH$3:$DN$401,MATCH(ROWS(E$3:E390),$DN$3:$DN$401,0),COLUMN()),IF($A$1=1,INDEX($DQ$3:$DW$401,MATCH(ROWS(E$3:E390),$DW$3:$DW$401,0),COLUMN()),"")),"")</f>
        <v/>
      </c>
      <c r="F390" s="48" t="str">
        <f ca="1">IFERROR(IF($A$1=2,INDEX($DH$3:$DN$401,MATCH(ROWS(F$3:F390),$DN$3:$DN$401,0),COLUMN()),IF($A$1=1,INDEX($DQ$3:$DX$401,MATCH(ROWS(F$3:F390),$DW$3:$DW$401,0),COLUMN()),"")),"")</f>
        <v/>
      </c>
      <c r="G390" s="48" t="str">
        <f t="shared" ca="1" si="738"/>
        <v/>
      </c>
      <c r="H390" s="48" t="str">
        <f ca="1">IFERROR(IF($A$1=2,INDEX($DH$3:$DO$400,MATCH(ROWS(H$3:H390),$DN$3:$DN$400,0),COLUMN()),IF($A$1=1,INDEX($DQ$3:$DX$400,MATCH(ROWS(H$3:H390),$DW$3:$DW$400,0),COLUMN()),"")),"")</f>
        <v/>
      </c>
      <c r="M390" s="48">
        <f ca="1">IFERROR(IF(IF(MID($A390,3,3)=".00",MID(A390,1,2),"")&lt;&gt;"",MAX($M$2:M389)+1,0),"")</f>
        <v>0</v>
      </c>
      <c r="N390" s="48" t="str">
        <f t="shared" ca="1" si="739"/>
        <v/>
      </c>
      <c r="O390" s="48" t="str">
        <f ca="1">IF(IFERROR(INDEX($N$3:$O$300,MATCH(ROWS($O$3:O390),$M$3:$M$300,0),1),"")&lt;&gt;"",CONCATENATE(INDEX($N$3:$O$300,MATCH(ROWS($O$3:O390),$M$3:$M$300,0),1),".00"),"")</f>
        <v/>
      </c>
      <c r="P390" s="48" t="str">
        <f t="shared" ca="1" si="740"/>
        <v/>
      </c>
      <c r="Q390" s="48">
        <f ca="1">IF(M390&gt;=1,0,MAX($Q$2:Q389)+1)</f>
        <v>351</v>
      </c>
      <c r="U390" s="48" t="str">
        <f ca="1">IFERROR(INDEX(PDC,MATCH(ROWS(U$3:U390),$V$3:$V$400,0),2),"")</f>
        <v/>
      </c>
      <c r="V390" s="48">
        <f ca="1">IF(AND($T$1="VISUALIZZA TUTTI I CONTI",AA390&lt;&gt;""),MAX($V$2:V389)+1,IF(AND($U$2=2,AI390=$T$1),MAX($V$2:V389)+1,IF(AND($U$2=1,$T$1=AF390),MAX($V$2:V389)+1,0)))</f>
        <v>0</v>
      </c>
      <c r="AA390" s="48" t="str">
        <f t="shared" ca="1" si="741"/>
        <v/>
      </c>
      <c r="AB390" s="48" t="str">
        <f ca="1">IFERROR(INDEX($A$3:$G$400,MATCH(ROWS(AB$3:AB390),$Q$3:$Q$400,0),1),"")</f>
        <v/>
      </c>
      <c r="AC390" s="48" t="str">
        <f ca="1">IFERROR(INDEX($A$3:$G$400,MATCH(ROWS($AC$3:AC390),$Q$3:$Q$400,0),2),"")</f>
        <v/>
      </c>
      <c r="AD390" s="48" t="str">
        <f ca="1">IFERROR(INDEX($A$3:$G$400,MATCH(ROWS(AD$3:AD390),$Q$3:$Q$400,0),3),"")</f>
        <v/>
      </c>
      <c r="AE390" s="48" t="str">
        <f ca="1">IFERROR(INDEX($A$3:$G$400,MATCH(ROWS(AE$3:AE390),$Q$3:$Q$400,0),4),"")</f>
        <v/>
      </c>
      <c r="AF390" s="48" t="str">
        <f ca="1">IFERROR(INDEX($A$3:$G$400,MATCH(ROWS(AF$3:AF390),$Q$3:$Q$400,0),5),"")</f>
        <v/>
      </c>
      <c r="AG390" s="48" t="str">
        <f ca="1">IFERROR(INDEX($A$3:$G$400,MATCH(ROWS(AG$3:AG390),$Q$3:$Q$400,0),6),"")</f>
        <v/>
      </c>
      <c r="AH390" s="48" t="str">
        <f ca="1">IFERROR(INDEX($A$3:$G$400,MATCH(ROWS(AH$3:AH390),$Q$3:$Q$400,0),7),"")</f>
        <v/>
      </c>
      <c r="AI390" s="48" t="str">
        <f t="shared" ca="1" si="742"/>
        <v/>
      </c>
      <c r="AJ390" s="48" t="str">
        <f ca="1">IFERROR(INDEX($A$3:$H$400,MATCH(ROWS(AJ$3:AJ390),$Q$3:$Q$400,0),8),"")</f>
        <v/>
      </c>
      <c r="AZ390" s="48" t="str">
        <f t="shared" ca="1" si="714"/>
        <v/>
      </c>
      <c r="BA390" s="48">
        <f t="shared" ca="1" si="697"/>
        <v>0</v>
      </c>
      <c r="BB390" s="48">
        <f t="shared" ca="1" si="698"/>
        <v>0</v>
      </c>
      <c r="BC390" s="48">
        <f t="shared" ca="1" si="699"/>
        <v>0</v>
      </c>
      <c r="BD390" s="48">
        <f t="shared" ca="1" si="700"/>
        <v>0</v>
      </c>
      <c r="BE390" s="48">
        <f t="shared" ca="1" si="701"/>
        <v>0</v>
      </c>
      <c r="BF390" s="48">
        <f t="shared" si="711"/>
        <v>190</v>
      </c>
      <c r="BG390" s="48">
        <f ca="1">IF(IF(AND(OR(INDEX(PDC,MATCH($AC390,DEN_PDC,0),6)="SP DARE",INDEX(PDC,MATCH($AC390,DEN_PDC,0),6)="SP DARE/AVERE"),SUMIFS(DARE,DEN_G,$AC390)&gt;=SUMIFS(AVERE,DEN_G,$AC390)),SUMIFS(DARE,DEN_G,$AC390)-SUMIFS(AVERE,DEN_G,$AC390),0)&gt;0,MAX($BG$2:BG389)+1,0)</f>
        <v>0</v>
      </c>
      <c r="BH390" s="48">
        <f ca="1">IF(IF(AND(OR(INDEX(PDC,MATCH($AC390,DEN_PDC,0),6)="SP AVERE",INDEX(PDC,MATCH($AC390,DEN_PDC,0),6)="SP DARE/AVERE"),SUMIFS(AVERE,DEN_G,$AC390)&gt;=SUMIFS(DARE,DEN_G,$AC390)),SUMIFS(AVERE,DEN_G,$AC390)-SUMIFS(DARE,DEN_G,$AC390),0)&gt;0,MAX(BH$2:BH389)+1,0)</f>
        <v>0</v>
      </c>
      <c r="BI390" s="48">
        <f ca="1">IF(IF(AND(OR(INDEX(PDC,MATCH($AC390,DEN_PDC,0),6)="SE DARE",INDEX(PDC,MATCH($AC390,DEN_PDC,0),6)="SE DARE/AVERE"),SUMIFS(DARE,DEN_G,$AC390)&gt;=SUMIFS(AVERE,DEN_G,$AC390)),SUMIFS(DARE,DEN_G,$AC390)-SUMIFS(AVERE,DEN_G,$AC390),0)&gt;0,MAX(BI$2:BI389)+1,0)</f>
        <v>0</v>
      </c>
      <c r="BJ390" s="48">
        <f ca="1">IF(IF(AND(OR(INDEX(PDC,MATCH($AC390,DEN_PDC,0),6)="SE AVERE",INDEX(PDC,MATCH($AC390,DEN_PDC,0),6)="SE DARE/AVERE"),SUMIFS(AVERE,DEN_G,$AC390)&gt;=SUMIFS(DARE,DEN_G,$AC390)),SUMIFS(AVERE,DEN_G,$AC390)-SUMIFS(DARE,DEN_G,$AC390),0)&gt;0,MAX(BJ$2:BJ389)+1,0)</f>
        <v>0</v>
      </c>
      <c r="BK390" s="48" t="str">
        <f ca="1">IF(AND(AND($DY$2=0,$DY$1=0),$I$1=2,ROW()&gt;$BG$1+2,ROW()&lt;=$BG$1+4),"………………..",IF(AND(OR($DY$2&gt;0,$DY$1&gt;0),$I$1=2,ROW()&gt;$BG$1+2,ROW()&lt;=$BG$1+4),"………………..",IFERROR(INDEX($AC$3:$AC$398,MATCH(ROWS(BK$3:BK390),BG$3:BG$398,0),1),"")))</f>
        <v/>
      </c>
      <c r="BL390" s="48">
        <f t="shared" ca="1" si="726"/>
        <v>0</v>
      </c>
      <c r="BM390" s="48" t="str">
        <f ca="1">IF(AND(OR($DY$2=0,$DY$1=0),$I$1=2,ROW()&gt;$BH$1+2,ROW()&lt;=$BH$1+4),"………………..",IF(AND(OR($DY$2&gt;0,$DY$1&gt;0),$I$1=2,ROW()&gt;$BH$1+2,ROW()&lt;=$BH$1+4),"………………..",IFERROR(INDEX($AC$3:$AC$400,MATCH(ROWS(BM$3:BM390),BH$3:BH$400,0),1),"")))</f>
        <v/>
      </c>
      <c r="BN390" s="48">
        <f t="shared" ca="1" si="727"/>
        <v>0</v>
      </c>
      <c r="BO390" s="48" t="str">
        <f ca="1">IF(AND(OR($DY$2=0,$DY$1=0),$I$1=2,ROW()&gt;$BI$1+2,ROW()&lt;=$BI$1+4),"………………..",IF(AND(OR($DY$2&gt;0,$DY$1&gt;0),$I$1=2,ROW()&gt;$BI$1+2,ROW()&lt;=$BI$1+4),"………………..",IFERROR(INDEX($AC$3:$AC$400,MATCH(ROWS(BO$3:BO390),BI$3:BI$400,0),1),"")))</f>
        <v/>
      </c>
      <c r="BP390" s="48">
        <f t="shared" ca="1" si="728"/>
        <v>0</v>
      </c>
      <c r="BQ390" s="48" t="str">
        <f ca="1">IF(AND(OR($DY$2=0,$DY$1=0),$I$1=2,ROW()&gt;$BJ$1+2,ROW()&lt;=$BJ$1+4),"………………..",IF(AND(OR($DY$2&gt;0,$DY$1&gt;0),$I$1=2,ROW()&gt;$BJ$1+2,ROW()&lt;=$BJ$1+4),"………………..",IFERROR(INDEX($AC$3:$AC$400,MATCH(ROWS(BQ$3:BQ390),BJ$3:BJ$400,0),1),"")))</f>
        <v/>
      </c>
      <c r="BR390" s="48">
        <f t="shared" ca="1" si="729"/>
        <v>0</v>
      </c>
      <c r="BS390" s="48">
        <f ca="1">IF(IF(AND(OR(INDEX(PDC,MATCH($AC390,DEN_PDC,0),4)="D",INDEX(PDC,MATCH($AC390,DEN_PDC,0),4)="D/A"),SUMIFS(DARE,DEN_G,$AC390)&gt;=SUMIFS(AVERE,DEN_G,$AC390)),SUMIFS(DARE,DEN_G,$AC390),IF(AND(OR(INDEX(PDC,MATCH($AC390,DEN_PDC,0),4)="A",INDEX(PDC,MATCH($AC390,DEN_PDC,0),4)="D/A"),SUMIFS(AVERE,DEN_G,$AC390)&gt;=SUMIFS(DARE,DEN_G,$AC390)),SUMIFS(AVERE,DEN_G,$AC390),))&gt;0,MAX($BS$2:BS389)+1,0)</f>
        <v>0</v>
      </c>
      <c r="BT390" s="48" t="str">
        <f ca="1">IF($CO$1=0,"",IF(AND($I$1=2,ROW()&gt;$BR$1,ROW()&lt;=$BS$1)," …………….",IF(AND($E$1=1,$BX$1=1,$I$1=2,ROW()=$BQ$1),"TOTALI",IFERROR(INDEX(PDC,MATCH(ROWS(BT$3:BT390),BS$3:BS787,0),2),""))))</f>
        <v/>
      </c>
      <c r="BU390" s="48">
        <f t="shared" ca="1" si="730"/>
        <v>0</v>
      </c>
      <c r="BV390" s="48">
        <f t="shared" ca="1" si="731"/>
        <v>0</v>
      </c>
      <c r="BW390" s="48">
        <f t="shared" ca="1" si="732"/>
        <v>0</v>
      </c>
      <c r="BX390" s="48">
        <f t="shared" ca="1" si="733"/>
        <v>0</v>
      </c>
      <c r="BY390" s="48">
        <f ca="1">IF(OR(BW390&gt;0,BX390&gt;0),MAX($BY$2:BY389)+1,0)</f>
        <v>0</v>
      </c>
      <c r="BZ390" s="48" t="str">
        <f ca="1">IFERROR(INDEX($BT$3:$BY$400,MATCH(ROWS(BZ$3:BZ390),$BY$3:$BY$400,0),1),"")</f>
        <v/>
      </c>
      <c r="CA390" s="48" t="str">
        <f ca="1">IFERROR(INDEX($BT$3:$BY$400,MATCH(ROWS(CA$3:CA390),$BY$3:$BY$400,0),4),"")</f>
        <v/>
      </c>
      <c r="CB390" s="48" t="str">
        <f ca="1">IFERROR(INDEX($BT$3:$BY$400,MATCH(ROWS(CB$3:CB390),$BY$3:$BY$400,0),5),"")</f>
        <v/>
      </c>
      <c r="CC390" s="48" t="str">
        <f t="shared" ca="1" si="734"/>
        <v/>
      </c>
      <c r="CM390" s="242" t="str">
        <f t="shared" ca="1" si="743"/>
        <v/>
      </c>
      <c r="CN390" s="243">
        <f t="shared" ca="1" si="744"/>
        <v>0</v>
      </c>
      <c r="CO390" s="48" t="str">
        <f t="shared" ca="1" si="745"/>
        <v/>
      </c>
      <c r="CU390" s="48">
        <f ca="1">IF(SUMIFS(AVERE,DEN_G,AC390,AVERE,"&gt;"&amp;0)+SUMIFS(DARE,DEN_G,AC390,DARE,"&gt;"&amp;0)&gt;0,MAX($CU$2:CU389)+1,0)</f>
        <v>0</v>
      </c>
      <c r="CV390" s="48" t="str">
        <f ca="1">IF(IFERROR(INDEX(PDC,MATCH(ROWS($CV$3:CV390),$CU$3:$CU$400,0),2),"")="CONTO DI RISULTATO ECONOMICO","",IFERROR(INDEX(PDC,MATCH(ROWS($CV$3:CV390),$CU$3:$CU$400,0),2),""))</f>
        <v/>
      </c>
      <c r="CW390" s="48">
        <f ca="1">IFERROR(IF(CV390&lt;&gt;"",MAX($CW$2:CW389)+1,0),0)</f>
        <v>0</v>
      </c>
      <c r="CX390" s="48">
        <f t="shared" ca="1" si="719"/>
        <v>30</v>
      </c>
      <c r="CY390" s="48" t="str">
        <f t="shared" ca="1" si="715"/>
        <v>MASTRO</v>
      </c>
      <c r="CZ390" s="48" t="e">
        <f t="shared" ca="1" si="721"/>
        <v>#N/A</v>
      </c>
      <c r="DA390" s="48" t="str">
        <f t="shared" ca="1" si="725"/>
        <v/>
      </c>
      <c r="DB390" s="48" t="str">
        <f t="shared" ca="1" si="682"/>
        <v/>
      </c>
      <c r="DC390" s="48" t="str">
        <f t="shared" ca="1" si="722"/>
        <v/>
      </c>
      <c r="DD390" s="48" t="str">
        <f t="shared" ca="1" si="723"/>
        <v/>
      </c>
      <c r="DE390" s="48" t="str">
        <f t="shared" ca="1" si="724"/>
        <v/>
      </c>
      <c r="DF390" s="48">
        <f ca="1">IF(AND(CX390=$DF$1,CX390&lt;&gt;""),0,IF(AND(DB390&lt;&gt;"",OR(DB389&lt;&gt;"",DB391&lt;&gt;"")),MAX($DF$2:DF389)+1,0))</f>
        <v>0</v>
      </c>
      <c r="DH390" s="244" t="s">
        <v>955</v>
      </c>
      <c r="DI390" s="48" t="s">
        <v>462</v>
      </c>
      <c r="DJ390" s="48" t="s">
        <v>311</v>
      </c>
      <c r="DK390" s="48" t="s">
        <v>298</v>
      </c>
      <c r="DL390" s="48" t="s">
        <v>8</v>
      </c>
      <c r="DM390" s="48" t="s">
        <v>300</v>
      </c>
      <c r="DN390" s="48">
        <f ca="1">IF(DI390&lt;&gt;"",MAX($DN$2:DN389)+1,0)</f>
        <v>318</v>
      </c>
      <c r="DO390" s="48" t="s">
        <v>729</v>
      </c>
      <c r="DY390" s="48" t="str">
        <f t="shared" ca="1" si="735"/>
        <v/>
      </c>
      <c r="EL390" s="48">
        <f t="shared" ca="1" si="736"/>
        <v>0</v>
      </c>
      <c r="EM390" s="48">
        <f ca="1">IF(EL390&gt;=0,0,MAX($EM$2:EM389)+1)</f>
        <v>0</v>
      </c>
      <c r="EN390" s="48" t="str">
        <f t="shared" ca="1" si="746"/>
        <v/>
      </c>
      <c r="EO390" s="48" t="str">
        <f ca="1">IFERROR(INDEX($EM$3:$EN$400,MATCH(ROWS($EO$3:EO390),$EM$3:$EM$400,0),2),"")</f>
        <v/>
      </c>
      <c r="EP390" s="48">
        <f>ROW()</f>
        <v>390</v>
      </c>
      <c r="EQ390" s="48">
        <f t="shared" ca="1" si="737"/>
        <v>0</v>
      </c>
      <c r="ER390" s="48">
        <f ca="1">IF(ISNA(EQ390)=TRUE,MAX($ER$2:ER389)+1,0)</f>
        <v>0</v>
      </c>
      <c r="ES390" s="48" t="str">
        <f t="shared" ca="1" si="747"/>
        <v/>
      </c>
      <c r="ET390" s="48" t="str">
        <f ca="1">IFERROR(INDEX($ER$3:$ES$400,MATCH(ROWS($ET$3:ET390),$ER$3:$ER$400,0),2),"")</f>
        <v/>
      </c>
      <c r="EV390" s="48">
        <f ca="1">IFERROR(INDEX(LIBRO_GIORNALE!$O$11:$P$408,MATCH(ROWS($EV$2:EV389),LIBRO_GIORNALE!$P$11:$P$408,0),1),0)</f>
        <v>0</v>
      </c>
      <c r="EW390" s="48" t="str">
        <f t="shared" ca="1" si="716"/>
        <v>0</v>
      </c>
      <c r="EX390" s="48">
        <f t="shared" ca="1" si="748"/>
        <v>0</v>
      </c>
      <c r="EY390" s="48">
        <f ca="1">IF(EX390&gt;0,MAX($EY$2:EY389)+1,0)</f>
        <v>0</v>
      </c>
      <c r="EZ390" s="48">
        <f ca="1">IFERROR(INDEX($EX$3:$EX$400,MATCH(ROWS($EZ$3:EZ390),$EY$3:$EY$400,0),1),0)</f>
        <v>0</v>
      </c>
      <c r="FA390" s="48">
        <f ca="1">IF(EZ390&gt;0,0,MAX($FA$2:FA389)+1)</f>
        <v>388</v>
      </c>
      <c r="FB390" s="48">
        <f t="shared" ca="1" si="717"/>
        <v>0</v>
      </c>
      <c r="FC390" s="48">
        <f t="shared" ca="1" si="718"/>
        <v>388</v>
      </c>
      <c r="FD390" s="48">
        <f t="shared" ca="1" si="749"/>
        <v>388</v>
      </c>
      <c r="FE390" s="48">
        <f ca="1">IF(FD390=0,0,MAX($FE$2:FE389)+1)</f>
        <v>388</v>
      </c>
      <c r="FF390" s="48">
        <f ca="1">IFERROR(INDEX($FD$3:$FE$400,MATCH(ROWS($FF$3:FF390),$FE$3:$FE$400,0),1),"")</f>
        <v>388</v>
      </c>
      <c r="FG390" s="48">
        <f t="shared" si="696"/>
        <v>0</v>
      </c>
      <c r="FH390" s="48">
        <f t="shared" ca="1" si="750"/>
        <v>0</v>
      </c>
      <c r="FI390" s="48">
        <f ca="1">IF(FH390&lt;&gt;0,MAX($FI$2:FI389)+1,0)</f>
        <v>0</v>
      </c>
      <c r="FJ390" s="48" t="str">
        <f ca="1">IFERROR(INDEX($FH$3:$FI$400,MATCH(ROWS($FJ$3:FJ390),$FI$3:$FI$400,0),1),"")</f>
        <v/>
      </c>
      <c r="FK390" s="48">
        <f ca="1">IF(ABS(SUMIFS(DARE,DEN_G,"="&amp;FJ390,DATA,"&lt;="&amp;FINE_AC,DATA,"&gt;="&amp;INIZIO_A_PC)-SUMIFS(AVERE,DEN_G,"="&amp;FJ390,DATA,"&lt;="&amp;FINE_AC,DATA,"&gt;="&amp;INIZIO_A_PC))&gt;0,MAX($FK$2:FK389)+1,0)</f>
        <v>0</v>
      </c>
      <c r="FL390" s="48" t="str">
        <f ca="1">IF(AND(ROW()-2&lt;&gt;1,ROW()-2&lt;=$FK$1),CONCATENATE(" - ",IFERROR(INDEX($FJ$3:$FK$400,MATCH(ROWS($FL$3:FL390),$FK$3:$FK$400,0),1),"")),IFERROR(INDEX($FJ$3:$FK$400,MATCH(ROWS($FL$3:FL390),$FK$3:$FK$400,0),1),""))</f>
        <v/>
      </c>
      <c r="FM390" s="48">
        <f ca="1">IF(OR(B390="IVA ns/credito",B390="IVA NS/DEBITO",B390="IVA C/ACCONTO",B390="IMPOSTE C/ACCONTO",B390="CREDITI PER RITENUTE SUBITE",B390="CREDITI D'IMPOSTA"),MAX($FM$2:FM389)+1,0)</f>
        <v>0</v>
      </c>
      <c r="FN390" s="48" t="str">
        <f t="shared" ca="1" si="751"/>
        <v/>
      </c>
      <c r="FO390" s="48" t="str">
        <f ca="1">IFERROR(INDEX($FM$3:$FN$400,MATCH(ROWS($FO$3:FO390),$FM$3:$FM$400,0),2),"")</f>
        <v/>
      </c>
      <c r="FP390" s="48">
        <f ca="1">IF(ABS(SUMIFS(DARE,DEN_G,"="&amp;FO390,DATA,"&lt;="&amp;FINE_AC,DATA,"&gt;="&amp;INIZIO_A_PC)-SUMIFS(AVERE,DEN_G,"="&amp;FO390,DATA,"&lt;="&amp;FINE_AC,DATA,"&gt;="&amp;INIZIO_A_PC))&gt;0,MAX($FP$2:FP389)+1,0)</f>
        <v>0</v>
      </c>
      <c r="FQ390" s="48" t="str">
        <f ca="1">IF(AND(ROW()-2&lt;&gt;1,ROW()-2&lt;=$FP$1),CONCATENATE(" - ",IFERROR(INDEX($FO$3:$FP$400,MATCH(ROWS($FQ$3:FQ390),$FP$3:$FP$400,0),1),"")),IFERROR(INDEX($FO$3:$FP$400,MATCH(ROWS($FQ$3:FQ390),$FP$3:$FP$400,0),1),""))</f>
        <v/>
      </c>
    </row>
    <row r="391" spans="1:173" x14ac:dyDescent="0.3">
      <c r="A391" s="48" t="str">
        <f ca="1">IFERROR(IF($A$1=2,INDEX($DH$3:$DN$401,MATCH(ROWS(A$3:A391),$DN$3:$DN$401,0),COLUMN()),IF($A$1=1,INDEX($DQ$3:$DW$401,MATCH(ROWS(A$3:A391),$DW$3:$DW$401,0),COLUMN()),"")),"")</f>
        <v/>
      </c>
      <c r="B391" s="48" t="str">
        <f ca="1">IFERROR(IF($A$1=2,INDEX($DH$3:$DN$400,MATCH(ROWS(B$3:B391),$DN$3:$DN$400,0),COLUMN()),IF($A$1=1,INDEX($DQ$3:$DW$400,MATCH(ROWS(B$3:B391),$DW$3:$DW$400,0),COLUMN()),"")),"")</f>
        <v/>
      </c>
      <c r="D391" s="48" t="str">
        <f ca="1">IFERROR(IF($A$1=2,INDEX($DH$3:$DN$401,MATCH(ROWS(D$3:D391),$DN$3:$DN$401,0),COLUMN()),IF($A$1=1,INDEX($DQ$3:$DW$401,MATCH(ROWS(D$3:D391),$DW$3:$DW$401,0),COLUMN()),"")),"")</f>
        <v/>
      </c>
      <c r="E391" s="48" t="str">
        <f ca="1">IFERROR(IF($A$1=2,INDEX($DH$3:$DN$401,MATCH(ROWS(E$3:E391),$DN$3:$DN$401,0),COLUMN()),IF($A$1=1,INDEX($DQ$3:$DW$401,MATCH(ROWS(E$3:E391),$DW$3:$DW$401,0),COLUMN()),"")),"")</f>
        <v/>
      </c>
      <c r="F391" s="48" t="str">
        <f ca="1">IFERROR(IF($A$1=2,INDEX($DH$3:$DN$401,MATCH(ROWS(F$3:F391),$DN$3:$DN$401,0),COLUMN()),IF($A$1=1,INDEX($DQ$3:$DX$401,MATCH(ROWS(F$3:F391),$DW$3:$DW$401,0),COLUMN()),"")),"")</f>
        <v/>
      </c>
      <c r="G391" s="48" t="str">
        <f t="shared" ca="1" si="738"/>
        <v/>
      </c>
      <c r="H391" s="48" t="str">
        <f ca="1">IFERROR(IF($A$1=2,INDEX($DH$3:$DO$400,MATCH(ROWS(H$3:H391),$DN$3:$DN$400,0),COLUMN()),IF($A$1=1,INDEX($DQ$3:$DX$400,MATCH(ROWS(H$3:H391),$DW$3:$DW$400,0),COLUMN()),"")),"")</f>
        <v/>
      </c>
      <c r="M391" s="48">
        <f ca="1">IFERROR(IF(IF(MID($A391,3,3)=".00",MID(A391,1,2),"")&lt;&gt;"",MAX($M$2:M390)+1,0),"")</f>
        <v>0</v>
      </c>
      <c r="N391" s="48" t="str">
        <f t="shared" ca="1" si="739"/>
        <v/>
      </c>
      <c r="O391" s="48" t="str">
        <f ca="1">IF(IFERROR(INDEX($N$3:$O$300,MATCH(ROWS($O$3:O391),$M$3:$M$300,0),1),"")&lt;&gt;"",CONCATENATE(INDEX($N$3:$O$300,MATCH(ROWS($O$3:O391),$M$3:$M$300,0),1),".00"),"")</f>
        <v/>
      </c>
      <c r="P391" s="48" t="str">
        <f t="shared" ca="1" si="740"/>
        <v/>
      </c>
      <c r="Q391" s="48">
        <f ca="1">IF(M391&gt;=1,0,MAX($Q$2:Q390)+1)</f>
        <v>352</v>
      </c>
      <c r="U391" s="48" t="str">
        <f ca="1">IFERROR(INDEX(PDC,MATCH(ROWS(U$3:U391),$V$3:$V$400,0),2),"")</f>
        <v/>
      </c>
      <c r="V391" s="48">
        <f ca="1">IF(AND($T$1="VISUALIZZA TUTTI I CONTI",AA391&lt;&gt;""),MAX($V$2:V390)+1,IF(AND($U$2=2,AI391=$T$1),MAX($V$2:V390)+1,IF(AND($U$2=1,$T$1=AF391),MAX($V$2:V390)+1,0)))</f>
        <v>0</v>
      </c>
      <c r="AA391" s="48" t="str">
        <f t="shared" ca="1" si="741"/>
        <v/>
      </c>
      <c r="AB391" s="48" t="str">
        <f ca="1">IFERROR(INDEX($A$3:$G$400,MATCH(ROWS(AB$3:AB391),$Q$3:$Q$400,0),1),"")</f>
        <v/>
      </c>
      <c r="AC391" s="48" t="str">
        <f ca="1">IFERROR(INDEX($A$3:$G$400,MATCH(ROWS($AC$3:AC391),$Q$3:$Q$400,0),2),"")</f>
        <v/>
      </c>
      <c r="AD391" s="48" t="str">
        <f ca="1">IFERROR(INDEX($A$3:$G$400,MATCH(ROWS(AD$3:AD391),$Q$3:$Q$400,0),3),"")</f>
        <v/>
      </c>
      <c r="AE391" s="48" t="str">
        <f ca="1">IFERROR(INDEX($A$3:$G$400,MATCH(ROWS(AE$3:AE391),$Q$3:$Q$400,0),4),"")</f>
        <v/>
      </c>
      <c r="AF391" s="48" t="str">
        <f ca="1">IFERROR(INDEX($A$3:$G$400,MATCH(ROWS(AF$3:AF391),$Q$3:$Q$400,0),5),"")</f>
        <v/>
      </c>
      <c r="AG391" s="48" t="str">
        <f ca="1">IFERROR(INDEX($A$3:$G$400,MATCH(ROWS(AG$3:AG391),$Q$3:$Q$400,0),6),"")</f>
        <v/>
      </c>
      <c r="AH391" s="48" t="str">
        <f ca="1">IFERROR(INDEX($A$3:$G$400,MATCH(ROWS(AH$3:AH391),$Q$3:$Q$400,0),7),"")</f>
        <v/>
      </c>
      <c r="AI391" s="48" t="str">
        <f t="shared" ca="1" si="742"/>
        <v/>
      </c>
      <c r="AJ391" s="48" t="str">
        <f ca="1">IFERROR(INDEX($A$3:$H$400,MATCH(ROWS(AJ$3:AJ391),$Q$3:$Q$400,0),8),"")</f>
        <v/>
      </c>
      <c r="AZ391" s="48" t="str">
        <f ca="1">IF(BB391=0,"",ROW()-200)</f>
        <v/>
      </c>
      <c r="BA391" s="48">
        <f t="shared" ca="1" si="697"/>
        <v>0</v>
      </c>
      <c r="BB391" s="48">
        <f t="shared" ca="1" si="698"/>
        <v>0</v>
      </c>
      <c r="BC391" s="48">
        <f t="shared" ca="1" si="699"/>
        <v>0</v>
      </c>
      <c r="BD391" s="48">
        <f t="shared" ca="1" si="700"/>
        <v>0</v>
      </c>
      <c r="BE391" s="48">
        <f t="shared" ca="1" si="701"/>
        <v>0</v>
      </c>
      <c r="BF391" s="48">
        <f t="shared" si="711"/>
        <v>191</v>
      </c>
      <c r="BG391" s="48">
        <f ca="1">IF(IF(AND(OR(INDEX(PDC,MATCH($AC391,DEN_PDC,0),6)="SP DARE",INDEX(PDC,MATCH($AC391,DEN_PDC,0),6)="SP DARE/AVERE"),SUMIFS(DARE,DEN_G,$AC391)&gt;=SUMIFS(AVERE,DEN_G,$AC391)),SUMIFS(DARE,DEN_G,$AC391)-SUMIFS(AVERE,DEN_G,$AC391),0)&gt;0,MAX($BG$2:BG390)+1,0)</f>
        <v>0</v>
      </c>
      <c r="BH391" s="48">
        <f ca="1">IF(IF(AND(OR(INDEX(PDC,MATCH($AC391,DEN_PDC,0),6)="SP AVERE",INDEX(PDC,MATCH($AC391,DEN_PDC,0),6)="SP DARE/AVERE"),SUMIFS(AVERE,DEN_G,$AC391)&gt;=SUMIFS(DARE,DEN_G,$AC391)),SUMIFS(AVERE,DEN_G,$AC391)-SUMIFS(DARE,DEN_G,$AC391),0)&gt;0,MAX(BH$2:BH390)+1,0)</f>
        <v>0</v>
      </c>
      <c r="BI391" s="48">
        <f ca="1">IF(IF(AND(OR(INDEX(PDC,MATCH($AC391,DEN_PDC,0),6)="SE DARE",INDEX(PDC,MATCH($AC391,DEN_PDC,0),6)="SE DARE/AVERE"),SUMIFS(DARE,DEN_G,$AC391)&gt;=SUMIFS(AVERE,DEN_G,$AC391)),SUMIFS(DARE,DEN_G,$AC391)-SUMIFS(AVERE,DEN_G,$AC391),0)&gt;0,MAX(BI$2:BI390)+1,0)</f>
        <v>0</v>
      </c>
      <c r="BJ391" s="48">
        <f ca="1">IF(IF(AND(OR(INDEX(PDC,MATCH($AC391,DEN_PDC,0),6)="SE AVERE",INDEX(PDC,MATCH($AC391,DEN_PDC,0),6)="SE DARE/AVERE"),SUMIFS(AVERE,DEN_G,$AC391)&gt;=SUMIFS(DARE,DEN_G,$AC391)),SUMIFS(AVERE,DEN_G,$AC391)-SUMIFS(DARE,DEN_G,$AC391),0)&gt;0,MAX(BJ$2:BJ390)+1,0)</f>
        <v>0</v>
      </c>
      <c r="BK391" s="48" t="str">
        <f ca="1">IF(AND(AND($DY$2=0,$DY$1=0),$I$1=2,ROW()&gt;$BG$1+2,ROW()&lt;=$BG$1+4),"………………..",IF(AND(OR($DY$2&gt;0,$DY$1&gt;0),$I$1=2,ROW()&gt;$BG$1+2,ROW()&lt;=$BG$1+4),"………………..",IFERROR(INDEX($AC$3:$AC$398,MATCH(ROWS(BK$3:BK391),BG$3:BG$398,0),1),"")))</f>
        <v/>
      </c>
      <c r="BL391" s="48">
        <f t="shared" ca="1" si="726"/>
        <v>0</v>
      </c>
      <c r="BM391" s="48" t="str">
        <f ca="1">IF(AND(OR($DY$2=0,$DY$1=0),$I$1=2,ROW()&gt;$BH$1+2,ROW()&lt;=$BH$1+4),"………………..",IF(AND(OR($DY$2&gt;0,$DY$1&gt;0),$I$1=2,ROW()&gt;$BH$1+2,ROW()&lt;=$BH$1+4),"………………..",IFERROR(INDEX($AC$3:$AC$400,MATCH(ROWS(BM$3:BM391),BH$3:BH$400,0),1),"")))</f>
        <v/>
      </c>
      <c r="BN391" s="48">
        <f t="shared" ca="1" si="727"/>
        <v>0</v>
      </c>
      <c r="BO391" s="48" t="str">
        <f ca="1">IF(AND(OR($DY$2=0,$DY$1=0),$I$1=2,ROW()&gt;$BI$1+2,ROW()&lt;=$BI$1+4),"………………..",IF(AND(OR($DY$2&gt;0,$DY$1&gt;0),$I$1=2,ROW()&gt;$BI$1+2,ROW()&lt;=$BI$1+4),"………………..",IFERROR(INDEX($AC$3:$AC$400,MATCH(ROWS(BO$3:BO391),BI$3:BI$400,0),1),"")))</f>
        <v/>
      </c>
      <c r="BP391" s="48">
        <f t="shared" ca="1" si="728"/>
        <v>0</v>
      </c>
      <c r="BQ391" s="48" t="str">
        <f ca="1">IF(AND(OR($DY$2=0,$DY$1=0),$I$1=2,ROW()&gt;$BJ$1+2,ROW()&lt;=$BJ$1+4),"………………..",IF(AND(OR($DY$2&gt;0,$DY$1&gt;0),$I$1=2,ROW()&gt;$BJ$1+2,ROW()&lt;=$BJ$1+4),"………………..",IFERROR(INDEX($AC$3:$AC$400,MATCH(ROWS(BQ$3:BQ391),BJ$3:BJ$400,0),1),"")))</f>
        <v/>
      </c>
      <c r="BR391" s="48">
        <f t="shared" ca="1" si="729"/>
        <v>0</v>
      </c>
      <c r="BS391" s="48">
        <f ca="1">IF(IF(AND(OR(INDEX(PDC,MATCH($AC391,DEN_PDC,0),4)="D",INDEX(PDC,MATCH($AC391,DEN_PDC,0),4)="D/A"),SUMIFS(DARE,DEN_G,$AC391)&gt;=SUMIFS(AVERE,DEN_G,$AC391)),SUMIFS(DARE,DEN_G,$AC391),IF(AND(OR(INDEX(PDC,MATCH($AC391,DEN_PDC,0),4)="A",INDEX(PDC,MATCH($AC391,DEN_PDC,0),4)="D/A"),SUMIFS(AVERE,DEN_G,$AC391)&gt;=SUMIFS(DARE,DEN_G,$AC391)),SUMIFS(AVERE,DEN_G,$AC391),))&gt;0,MAX($BS$2:BS390)+1,0)</f>
        <v>0</v>
      </c>
      <c r="BT391" s="48" t="str">
        <f ca="1">IF($CO$1=0,"",IF(AND($I$1=2,ROW()&gt;$BR$1,ROW()&lt;=$BS$1)," …………….",IF(AND($E$1=1,$BX$1=1,$I$1=2,ROW()=$BQ$1),"TOTALI",IFERROR(INDEX(PDC,MATCH(ROWS(BT$3:BT391),BS$3:BS788,0),2),""))))</f>
        <v/>
      </c>
      <c r="BU391" s="48">
        <f t="shared" ca="1" si="730"/>
        <v>0</v>
      </c>
      <c r="BV391" s="48">
        <f t="shared" ca="1" si="731"/>
        <v>0</v>
      </c>
      <c r="BW391" s="48">
        <f t="shared" ca="1" si="732"/>
        <v>0</v>
      </c>
      <c r="BX391" s="48">
        <f t="shared" ca="1" si="733"/>
        <v>0</v>
      </c>
      <c r="BY391" s="48">
        <f ca="1">IF(OR(BW391&gt;0,BX391&gt;0),MAX($BY$2:BY390)+1,0)</f>
        <v>0</v>
      </c>
      <c r="BZ391" s="48" t="str">
        <f ca="1">IFERROR(INDEX($BT$3:$BY$400,MATCH(ROWS(BZ$3:BZ391),$BY$3:$BY$400,0),1),"")</f>
        <v/>
      </c>
      <c r="CA391" s="48" t="str">
        <f ca="1">IFERROR(INDEX($BT$3:$BY$400,MATCH(ROWS(CA$3:CA391),$BY$3:$BY$400,0),4),"")</f>
        <v/>
      </c>
      <c r="CB391" s="48" t="str">
        <f ca="1">IFERROR(INDEX($BT$3:$BY$400,MATCH(ROWS(CB$3:CB391),$BY$3:$BY$400,0),5),"")</f>
        <v/>
      </c>
      <c r="CC391" s="48" t="str">
        <f t="shared" ca="1" si="734"/>
        <v/>
      </c>
      <c r="CM391" s="242" t="str">
        <f t="shared" ca="1" si="743"/>
        <v/>
      </c>
      <c r="CN391" s="243">
        <f t="shared" ca="1" si="744"/>
        <v>0</v>
      </c>
      <c r="CO391" s="48" t="str">
        <f t="shared" ca="1" si="745"/>
        <v/>
      </c>
      <c r="CU391" s="48">
        <f ca="1">IF(SUMIFS(AVERE,DEN_G,AC391,AVERE,"&gt;"&amp;0)+SUMIFS(DARE,DEN_G,AC391,DARE,"&gt;"&amp;0)&gt;0,MAX($CU$2:CU390)+1,0)</f>
        <v>0</v>
      </c>
      <c r="CV391" s="48" t="str">
        <f ca="1">IF(IFERROR(INDEX(PDC,MATCH(ROWS($CV$3:CV391),$CU$3:$CU$400,0),2),"")="CONTO DI RISULTATO ECONOMICO","",IFERROR(INDEX(PDC,MATCH(ROWS($CV$3:CV391),$CU$3:$CU$400,0),2),""))</f>
        <v/>
      </c>
      <c r="CW391" s="48">
        <f ca="1">IFERROR(IF(CV391&lt;&gt;"",MAX($CW$2:CW390)+1,0),0)</f>
        <v>0</v>
      </c>
      <c r="CX391" s="48">
        <f t="shared" ca="1" si="719"/>
        <v>30</v>
      </c>
      <c r="CY391" s="48" t="str">
        <f t="shared" ca="1" si="715"/>
        <v>MASTRO</v>
      </c>
      <c r="CZ391" s="48" t="e">
        <f t="shared" ca="1" si="721"/>
        <v>#N/A</v>
      </c>
      <c r="DA391" s="48" t="str">
        <f t="shared" ca="1" si="725"/>
        <v/>
      </c>
      <c r="DB391" s="48" t="str">
        <f t="shared" ca="1" si="682"/>
        <v/>
      </c>
      <c r="DC391" s="48" t="str">
        <f t="shared" ca="1" si="722"/>
        <v/>
      </c>
      <c r="DD391" s="48" t="str">
        <f t="shared" ca="1" si="723"/>
        <v/>
      </c>
      <c r="DE391" s="48" t="str">
        <f t="shared" ca="1" si="724"/>
        <v/>
      </c>
      <c r="DF391" s="48">
        <f ca="1">IF(AND(CX391=$DF$1,CX391&lt;&gt;""),0,IF(AND(DB391&lt;&gt;"",OR(DB390&lt;&gt;"",DB392&lt;&gt;"")),MAX($DF$2:DF390)+1,0))</f>
        <v>0</v>
      </c>
      <c r="DH391" s="244" t="s">
        <v>1142</v>
      </c>
      <c r="DI391" s="48" t="s">
        <v>463</v>
      </c>
      <c r="DJ391" s="48" t="s">
        <v>311</v>
      </c>
      <c r="DK391" s="48" t="s">
        <v>298</v>
      </c>
      <c r="DL391" s="48" t="s">
        <v>8</v>
      </c>
      <c r="DM391" s="48" t="s">
        <v>300</v>
      </c>
      <c r="DN391" s="48">
        <f ca="1">IF(DI391&lt;&gt;"",MAX($DN$2:DN390)+1,0)</f>
        <v>319</v>
      </c>
      <c r="DO391" s="48" t="s">
        <v>730</v>
      </c>
      <c r="DY391" s="48" t="str">
        <f t="shared" ca="1" si="735"/>
        <v/>
      </c>
      <c r="EL391" s="48">
        <f t="shared" ca="1" si="736"/>
        <v>0</v>
      </c>
      <c r="EM391" s="48">
        <f ca="1">IF(EL391&gt;=0,0,MAX($EM$2:EM390)+1)</f>
        <v>0</v>
      </c>
      <c r="EN391" s="48" t="str">
        <f t="shared" ca="1" si="746"/>
        <v/>
      </c>
      <c r="EO391" s="48" t="str">
        <f ca="1">IFERROR(INDEX($EM$3:$EN$400,MATCH(ROWS($EO$3:EO391),$EM$3:$EM$400,0),2),"")</f>
        <v/>
      </c>
      <c r="EP391" s="48">
        <f>ROW()</f>
        <v>391</v>
      </c>
      <c r="EQ391" s="48">
        <f t="shared" ca="1" si="737"/>
        <v>0</v>
      </c>
      <c r="ER391" s="48">
        <f ca="1">IF(ISNA(EQ391)=TRUE,MAX($ER$2:ER390)+1,0)</f>
        <v>0</v>
      </c>
      <c r="ES391" s="48" t="str">
        <f t="shared" ca="1" si="747"/>
        <v/>
      </c>
      <c r="ET391" s="48" t="str">
        <f ca="1">IFERROR(INDEX($ER$3:$ES$400,MATCH(ROWS($ET$3:ET391),$ER$3:$ER$400,0),2),"")</f>
        <v/>
      </c>
      <c r="EV391" s="48">
        <f ca="1">IFERROR(INDEX(LIBRO_GIORNALE!$O$11:$P$408,MATCH(ROWS($EV$2:EV390),LIBRO_GIORNALE!$P$11:$P$408,0),1),0)</f>
        <v>0</v>
      </c>
      <c r="EW391" s="48" t="str">
        <f t="shared" ca="1" si="716"/>
        <v>0</v>
      </c>
      <c r="EX391" s="48">
        <f t="shared" ca="1" si="748"/>
        <v>0</v>
      </c>
      <c r="EY391" s="48">
        <f ca="1">IF(EX391&gt;0,MAX($EY$2:EY390)+1,0)</f>
        <v>0</v>
      </c>
      <c r="EZ391" s="48">
        <f ca="1">IFERROR(INDEX($EX$3:$EX$400,MATCH(ROWS($EZ$3:EZ391),$EY$3:$EY$400,0),1),0)</f>
        <v>0</v>
      </c>
      <c r="FA391" s="48">
        <f ca="1">IF(EZ391&gt;0,0,MAX($FA$2:FA390)+1)</f>
        <v>389</v>
      </c>
      <c r="FB391" s="48">
        <f t="shared" ca="1" si="717"/>
        <v>0</v>
      </c>
      <c r="FC391" s="48">
        <f t="shared" ca="1" si="718"/>
        <v>389</v>
      </c>
      <c r="FD391" s="48">
        <f t="shared" ca="1" si="749"/>
        <v>389</v>
      </c>
      <c r="FE391" s="48">
        <f ca="1">IF(FD391=0,0,MAX($FE$2:FE390)+1)</f>
        <v>389</v>
      </c>
      <c r="FF391" s="48">
        <f ca="1">IFERROR(INDEX($FD$3:$FE$400,MATCH(ROWS($FF$3:FF391),$FE$3:$FE$400,0),1),"")</f>
        <v>389</v>
      </c>
      <c r="FG391" s="48">
        <f t="shared" si="696"/>
        <v>0</v>
      </c>
      <c r="FH391" s="48">
        <f t="shared" ca="1" si="750"/>
        <v>0</v>
      </c>
      <c r="FI391" s="48">
        <f ca="1">IF(FH391&lt;&gt;0,MAX($FI$2:FI390)+1,0)</f>
        <v>0</v>
      </c>
      <c r="FJ391" s="48" t="str">
        <f ca="1">IFERROR(INDEX($FH$3:$FI$400,MATCH(ROWS($FJ$3:FJ391),$FI$3:$FI$400,0),1),"")</f>
        <v/>
      </c>
      <c r="FK391" s="48">
        <f ca="1">IF(ABS(SUMIFS(DARE,DEN_G,"="&amp;FJ391,DATA,"&lt;="&amp;FINE_AC,DATA,"&gt;="&amp;INIZIO_A_PC)-SUMIFS(AVERE,DEN_G,"="&amp;FJ391,DATA,"&lt;="&amp;FINE_AC,DATA,"&gt;="&amp;INIZIO_A_PC))&gt;0,MAX($FK$2:FK390)+1,0)</f>
        <v>0</v>
      </c>
      <c r="FL391" s="48" t="str">
        <f ca="1">IF(AND(ROW()-2&lt;&gt;1,ROW()-2&lt;=$FK$1),CONCATENATE(" - ",IFERROR(INDEX($FJ$3:$FK$400,MATCH(ROWS($FL$3:FL391),$FK$3:$FK$400,0),1),"")),IFERROR(INDEX($FJ$3:$FK$400,MATCH(ROWS($FL$3:FL391),$FK$3:$FK$400,0),1),""))</f>
        <v/>
      </c>
      <c r="FM391" s="48">
        <f ca="1">IF(OR(B391="IVA ns/credito",B391="IVA NS/DEBITO",B391="IVA C/ACCONTO",B391="IMPOSTE C/ACCONTO",B391="CREDITI PER RITENUTE SUBITE",B391="CREDITI D'IMPOSTA"),MAX($FM$2:FM390)+1,0)</f>
        <v>0</v>
      </c>
      <c r="FN391" s="48" t="str">
        <f t="shared" ca="1" si="751"/>
        <v/>
      </c>
      <c r="FO391" s="48" t="str">
        <f ca="1">IFERROR(INDEX($FM$3:$FN$400,MATCH(ROWS($FO$3:FO391),$FM$3:$FM$400,0),2),"")</f>
        <v/>
      </c>
      <c r="FP391" s="48">
        <f ca="1">IF(ABS(SUMIFS(DARE,DEN_G,"="&amp;FO391,DATA,"&lt;="&amp;FINE_AC,DATA,"&gt;="&amp;INIZIO_A_PC)-SUMIFS(AVERE,DEN_G,"="&amp;FO391,DATA,"&lt;="&amp;FINE_AC,DATA,"&gt;="&amp;INIZIO_A_PC))&gt;0,MAX($FP$2:FP390)+1,0)</f>
        <v>0</v>
      </c>
      <c r="FQ391" s="48" t="str">
        <f ca="1">IF(AND(ROW()-2&lt;&gt;1,ROW()-2&lt;=$FP$1),CONCATENATE(" - ",IFERROR(INDEX($FO$3:$FP$400,MATCH(ROWS($FQ$3:FQ391),$FP$3:$FP$400,0),1),"")),IFERROR(INDEX($FO$3:$FP$400,MATCH(ROWS($FQ$3:FQ391),$FP$3:$FP$400,0),1),""))</f>
        <v/>
      </c>
    </row>
    <row r="392" spans="1:173" x14ac:dyDescent="0.3">
      <c r="A392" s="48" t="str">
        <f ca="1">IFERROR(IF($A$1=2,INDEX($DH$3:$DN$401,MATCH(ROWS(A$3:A392),$DN$3:$DN$401,0),COLUMN()),IF($A$1=1,INDEX($DQ$3:$DW$401,MATCH(ROWS(A$3:A392),$DW$3:$DW$401,0),COLUMN()),"")),"")</f>
        <v/>
      </c>
      <c r="B392" s="48" t="str">
        <f ca="1">IFERROR(IF($A$1=2,INDEX($DH$3:$DN$400,MATCH(ROWS(B$3:B392),$DN$3:$DN$400,0),COLUMN()),IF($A$1=1,INDEX($DQ$3:$DW$400,MATCH(ROWS(B$3:B392),$DW$3:$DW$400,0),COLUMN()),"")),"")</f>
        <v/>
      </c>
      <c r="D392" s="48" t="str">
        <f ca="1">IFERROR(IF($A$1=2,INDEX($DH$3:$DN$401,MATCH(ROWS(D$3:D392),$DN$3:$DN$401,0),COLUMN()),IF($A$1=1,INDEX($DQ$3:$DW$401,MATCH(ROWS(D$3:D392),$DW$3:$DW$401,0),COLUMN()),"")),"")</f>
        <v/>
      </c>
      <c r="E392" s="48" t="str">
        <f ca="1">IFERROR(IF($A$1=2,INDEX($DH$3:$DN$401,MATCH(ROWS(E$3:E392),$DN$3:$DN$401,0),COLUMN()),IF($A$1=1,INDEX($DQ$3:$DW$401,MATCH(ROWS(E$3:E392),$DW$3:$DW$401,0),COLUMN()),"")),"")</f>
        <v/>
      </c>
      <c r="F392" s="48" t="str">
        <f ca="1">IFERROR(IF($A$1=2,INDEX($DH$3:$DN$401,MATCH(ROWS(F$3:F392),$DN$3:$DN$401,0),COLUMN()),IF($A$1=1,INDEX($DQ$3:$DX$401,MATCH(ROWS(F$3:F392),$DW$3:$DW$401,0),COLUMN()),"")),"")</f>
        <v/>
      </c>
      <c r="G392" s="48" t="str">
        <f t="shared" ca="1" si="738"/>
        <v/>
      </c>
      <c r="H392" s="48" t="str">
        <f ca="1">IFERROR(IF($A$1=2,INDEX($DH$3:$DO$400,MATCH(ROWS(H$3:H392),$DN$3:$DN$400,0),COLUMN()),IF($A$1=1,INDEX($DQ$3:$DX$400,MATCH(ROWS(H$3:H392),$DW$3:$DW$400,0),COLUMN()),"")),"")</f>
        <v/>
      </c>
      <c r="M392" s="48">
        <f ca="1">IFERROR(IF(IF(MID($A392,3,3)=".00",MID(A392,1,2),"")&lt;&gt;"",MAX($M$2:M391)+1,0),"")</f>
        <v>0</v>
      </c>
      <c r="N392" s="48" t="str">
        <f t="shared" ca="1" si="739"/>
        <v/>
      </c>
      <c r="O392" s="48" t="str">
        <f ca="1">IF(IFERROR(INDEX($N$3:$O$300,MATCH(ROWS($O$3:O392),$M$3:$M$300,0),1),"")&lt;&gt;"",CONCATENATE(INDEX($N$3:$O$300,MATCH(ROWS($O$3:O392),$M$3:$M$300,0),1),".00"),"")</f>
        <v/>
      </c>
      <c r="P392" s="48" t="str">
        <f t="shared" ca="1" si="740"/>
        <v/>
      </c>
      <c r="Q392" s="48">
        <f ca="1">IF(M392&gt;=1,0,MAX($Q$2:Q391)+1)</f>
        <v>353</v>
      </c>
      <c r="U392" s="48" t="str">
        <f ca="1">IFERROR(INDEX(PDC,MATCH(ROWS(U$3:U392),$V$3:$V$400,0),2),"")</f>
        <v/>
      </c>
      <c r="V392" s="48">
        <f ca="1">IF(AND($T$1="VISUALIZZA TUTTI I CONTI",AA392&lt;&gt;""),MAX($V$2:V391)+1,IF(AND($U$2=2,AI392=$T$1),MAX($V$2:V391)+1,IF(AND($U$2=1,$T$1=AF392),MAX($V$2:V391)+1,0)))</f>
        <v>0</v>
      </c>
      <c r="AA392" s="48" t="str">
        <f t="shared" ca="1" si="741"/>
        <v/>
      </c>
      <c r="AB392" s="48" t="str">
        <f ca="1">IFERROR(INDEX($A$3:$G$400,MATCH(ROWS(AB$3:AB392),$Q$3:$Q$400,0),1),"")</f>
        <v/>
      </c>
      <c r="AC392" s="48" t="str">
        <f ca="1">IFERROR(INDEX($A$3:$G$400,MATCH(ROWS($AC$3:AC392),$Q$3:$Q$400,0),2),"")</f>
        <v/>
      </c>
      <c r="AD392" s="48" t="str">
        <f ca="1">IFERROR(INDEX($A$3:$G$400,MATCH(ROWS(AD$3:AD392),$Q$3:$Q$400,0),3),"")</f>
        <v/>
      </c>
      <c r="AE392" s="48" t="str">
        <f ca="1">IFERROR(INDEX($A$3:$G$400,MATCH(ROWS(AE$3:AE392),$Q$3:$Q$400,0),4),"")</f>
        <v/>
      </c>
      <c r="AF392" s="48" t="str">
        <f ca="1">IFERROR(INDEX($A$3:$G$400,MATCH(ROWS(AF$3:AF392),$Q$3:$Q$400,0),5),"")</f>
        <v/>
      </c>
      <c r="AG392" s="48" t="str">
        <f ca="1">IFERROR(INDEX($A$3:$G$400,MATCH(ROWS(AG$3:AG392),$Q$3:$Q$400,0),6),"")</f>
        <v/>
      </c>
      <c r="AH392" s="48" t="str">
        <f ca="1">IFERROR(INDEX($A$3:$G$400,MATCH(ROWS(AH$3:AH392),$Q$3:$Q$400,0),7),"")</f>
        <v/>
      </c>
      <c r="AI392" s="48" t="str">
        <f t="shared" ca="1" si="742"/>
        <v/>
      </c>
      <c r="AJ392" s="48" t="str">
        <f ca="1">IFERROR(INDEX($A$3:$H$400,MATCH(ROWS(AJ$3:AJ392),$Q$3:$Q$400,0),8),"")</f>
        <v/>
      </c>
      <c r="AZ392" s="48" t="str">
        <f t="shared" ref="AZ392:AZ395" ca="1" si="752">IF(BB392=0,"",ROW()-200)</f>
        <v/>
      </c>
      <c r="BA392" s="48">
        <f t="shared" ca="1" si="697"/>
        <v>0</v>
      </c>
      <c r="BB392" s="48">
        <f t="shared" ca="1" si="698"/>
        <v>0</v>
      </c>
      <c r="BC392" s="48">
        <f t="shared" ca="1" si="699"/>
        <v>0</v>
      </c>
      <c r="BD392" s="48">
        <f t="shared" ca="1" si="700"/>
        <v>0</v>
      </c>
      <c r="BE392" s="48">
        <f t="shared" ca="1" si="701"/>
        <v>0</v>
      </c>
      <c r="BF392" s="48">
        <f t="shared" si="711"/>
        <v>192</v>
      </c>
      <c r="BG392" s="48">
        <f ca="1">IF(IF(AND(OR(INDEX(PDC,MATCH($AC392,DEN_PDC,0),6)="SP DARE",INDEX(PDC,MATCH($AC392,DEN_PDC,0),6)="SP DARE/AVERE"),SUMIFS(DARE,DEN_G,$AC392)&gt;=SUMIFS(AVERE,DEN_G,$AC392)),SUMIFS(DARE,DEN_G,$AC392)-SUMIFS(AVERE,DEN_G,$AC392),0)&gt;0,MAX($BG$2:BG391)+1,0)</f>
        <v>0</v>
      </c>
      <c r="BH392" s="48">
        <f ca="1">IF(IF(AND(OR(INDEX(PDC,MATCH($AC392,DEN_PDC,0),6)="SP AVERE",INDEX(PDC,MATCH($AC392,DEN_PDC,0),6)="SP DARE/AVERE"),SUMIFS(AVERE,DEN_G,$AC392)&gt;=SUMIFS(DARE,DEN_G,$AC392)),SUMIFS(AVERE,DEN_G,$AC392)-SUMIFS(DARE,DEN_G,$AC392),0)&gt;0,MAX(BH$2:BH391)+1,0)</f>
        <v>0</v>
      </c>
      <c r="BI392" s="48">
        <f ca="1">IF(IF(AND(OR(INDEX(PDC,MATCH($AC392,DEN_PDC,0),6)="SE DARE",INDEX(PDC,MATCH($AC392,DEN_PDC,0),6)="SE DARE/AVERE"),SUMIFS(DARE,DEN_G,$AC392)&gt;=SUMIFS(AVERE,DEN_G,$AC392)),SUMIFS(DARE,DEN_G,$AC392)-SUMIFS(AVERE,DEN_G,$AC392),0)&gt;0,MAX(BI$2:BI391)+1,0)</f>
        <v>0</v>
      </c>
      <c r="BJ392" s="48">
        <f ca="1">IF(IF(AND(OR(INDEX(PDC,MATCH($AC392,DEN_PDC,0),6)="SE AVERE",INDEX(PDC,MATCH($AC392,DEN_PDC,0),6)="SE DARE/AVERE"),SUMIFS(AVERE,DEN_G,$AC392)&gt;=SUMIFS(DARE,DEN_G,$AC392)),SUMIFS(AVERE,DEN_G,$AC392)-SUMIFS(DARE,DEN_G,$AC392),0)&gt;0,MAX(BJ$2:BJ391)+1,0)</f>
        <v>0</v>
      </c>
      <c r="BK392" s="48" t="str">
        <f ca="1">IF(AND(AND($DY$2=0,$DY$1=0),$I$1=2,ROW()&gt;$BG$1+2,ROW()&lt;=$BG$1+4),"………………..",IF(AND(OR($DY$2&gt;0,$DY$1&gt;0),$I$1=2,ROW()&gt;$BG$1+2,ROW()&lt;=$BG$1+4),"………………..",IFERROR(INDEX($AC$3:$AC$398,MATCH(ROWS(BK$3:BK392),BG$3:BG$398,0),1),"")))</f>
        <v/>
      </c>
      <c r="BL392" s="48">
        <f t="shared" ca="1" si="726"/>
        <v>0</v>
      </c>
      <c r="BM392" s="48" t="str">
        <f ca="1">IF(AND(OR($DY$2=0,$DY$1=0),$I$1=2,ROW()&gt;$BH$1+2,ROW()&lt;=$BH$1+4),"………………..",IF(AND(OR($DY$2&gt;0,$DY$1&gt;0),$I$1=2,ROW()&gt;$BH$1+2,ROW()&lt;=$BH$1+4),"………………..",IFERROR(INDEX($AC$3:$AC$400,MATCH(ROWS(BM$3:BM392),BH$3:BH$400,0),1),"")))</f>
        <v/>
      </c>
      <c r="BN392" s="48">
        <f t="shared" ca="1" si="727"/>
        <v>0</v>
      </c>
      <c r="BO392" s="48" t="str">
        <f ca="1">IF(AND(OR($DY$2=0,$DY$1=0),$I$1=2,ROW()&gt;$BI$1+2,ROW()&lt;=$BI$1+4),"………………..",IF(AND(OR($DY$2&gt;0,$DY$1&gt;0),$I$1=2,ROW()&gt;$BI$1+2,ROW()&lt;=$BI$1+4),"………………..",IFERROR(INDEX($AC$3:$AC$400,MATCH(ROWS(BO$3:BO392),BI$3:BI$400,0),1),"")))</f>
        <v/>
      </c>
      <c r="BP392" s="48">
        <f t="shared" ca="1" si="728"/>
        <v>0</v>
      </c>
      <c r="BQ392" s="48" t="str">
        <f ca="1">IF(AND(OR($DY$2=0,$DY$1=0),$I$1=2,ROW()&gt;$BJ$1+2,ROW()&lt;=$BJ$1+4),"………………..",IF(AND(OR($DY$2&gt;0,$DY$1&gt;0),$I$1=2,ROW()&gt;$BJ$1+2,ROW()&lt;=$BJ$1+4),"………………..",IFERROR(INDEX($AC$3:$AC$400,MATCH(ROWS(BQ$3:BQ392),BJ$3:BJ$400,0),1),"")))</f>
        <v/>
      </c>
      <c r="BR392" s="48">
        <f t="shared" ca="1" si="729"/>
        <v>0</v>
      </c>
      <c r="BS392" s="48">
        <f ca="1">IF(IF(AND(OR(INDEX(PDC,MATCH($AC392,DEN_PDC,0),4)="D",INDEX(PDC,MATCH($AC392,DEN_PDC,0),4)="D/A"),SUMIFS(DARE,DEN_G,$AC392)&gt;=SUMIFS(AVERE,DEN_G,$AC392)),SUMIFS(DARE,DEN_G,$AC392),IF(AND(OR(INDEX(PDC,MATCH($AC392,DEN_PDC,0),4)="A",INDEX(PDC,MATCH($AC392,DEN_PDC,0),4)="D/A"),SUMIFS(AVERE,DEN_G,$AC392)&gt;=SUMIFS(DARE,DEN_G,$AC392)),SUMIFS(AVERE,DEN_G,$AC392),))&gt;0,MAX($BS$2:BS391)+1,0)</f>
        <v>0</v>
      </c>
      <c r="BT392" s="48" t="str">
        <f ca="1">IF($CO$1=0,"",IF(AND($I$1=2,ROW()&gt;$BR$1,ROW()&lt;=$BS$1)," …………….",IF(AND($E$1=1,$BX$1=1,$I$1=2,ROW()=$BQ$1),"TOTALI",IFERROR(INDEX(PDC,MATCH(ROWS(BT$3:BT392),BS$3:BS789,0),2),""))))</f>
        <v/>
      </c>
      <c r="BU392" s="48">
        <f t="shared" ca="1" si="730"/>
        <v>0</v>
      </c>
      <c r="BV392" s="48">
        <f t="shared" ca="1" si="731"/>
        <v>0</v>
      </c>
      <c r="BW392" s="48">
        <f t="shared" ca="1" si="732"/>
        <v>0</v>
      </c>
      <c r="BX392" s="48">
        <f t="shared" ca="1" si="733"/>
        <v>0</v>
      </c>
      <c r="BY392" s="48">
        <f ca="1">IF(OR(BW392&gt;0,BX392&gt;0),MAX($BY$2:BY391)+1,0)</f>
        <v>0</v>
      </c>
      <c r="BZ392" s="48" t="str">
        <f ca="1">IFERROR(INDEX($BT$3:$BY$400,MATCH(ROWS(BZ$3:BZ392),$BY$3:$BY$400,0),1),"")</f>
        <v/>
      </c>
      <c r="CA392" s="48" t="str">
        <f ca="1">IFERROR(INDEX($BT$3:$BY$400,MATCH(ROWS(CA$3:CA392),$BY$3:$BY$400,0),4),"")</f>
        <v/>
      </c>
      <c r="CB392" s="48" t="str">
        <f ca="1">IFERROR(INDEX($BT$3:$BY$400,MATCH(ROWS(CB$3:CB392),$BY$3:$BY$400,0),5),"")</f>
        <v/>
      </c>
      <c r="CC392" s="48" t="str">
        <f t="shared" ca="1" si="734"/>
        <v/>
      </c>
      <c r="CM392" s="242" t="str">
        <f t="shared" ca="1" si="743"/>
        <v/>
      </c>
      <c r="CN392" s="243">
        <f t="shared" ca="1" si="744"/>
        <v>0</v>
      </c>
      <c r="CO392" s="48" t="str">
        <f t="shared" ca="1" si="745"/>
        <v/>
      </c>
      <c r="CU392" s="48">
        <f ca="1">IF(SUMIFS(AVERE,DEN_G,AC392,AVERE,"&gt;"&amp;0)+SUMIFS(DARE,DEN_G,AC392,DARE,"&gt;"&amp;0)&gt;0,MAX($CU$2:CU391)+1,0)</f>
        <v>0</v>
      </c>
      <c r="CV392" s="48" t="str">
        <f ca="1">IF(IFERROR(INDEX(PDC,MATCH(ROWS($CV$3:CV392),$CU$3:$CU$400,0),2),"")="CONTO DI RISULTATO ECONOMICO","",IFERROR(INDEX(PDC,MATCH(ROWS($CV$3:CV392),$CU$3:$CU$400,0),2),""))</f>
        <v/>
      </c>
      <c r="CW392" s="48">
        <f ca="1">IFERROR(IF(CV392&lt;&gt;"",MAX($CW$2:CW391)+1,0),0)</f>
        <v>0</v>
      </c>
      <c r="CY392" s="48" t="s">
        <v>500</v>
      </c>
      <c r="DB392" s="48" t="str">
        <f t="shared" ref="DB392" ca="1" si="753">IF(CX391=$DF$1,"","MASTRO")</f>
        <v>MASTRO</v>
      </c>
      <c r="DF392" s="48">
        <f ca="1">IF(AND(CX392=$DF$1,CX392&lt;&gt;""),0,IF(AND(DB392&lt;&gt;"",OR(DB391&lt;&gt;"",DB393&lt;&gt;"")),MAX($DF$2:DF391)+1,0))</f>
        <v>0</v>
      </c>
      <c r="DH392" s="244" t="s">
        <v>956</v>
      </c>
      <c r="DI392" s="228" t="s">
        <v>464</v>
      </c>
      <c r="DN392" s="48">
        <f ca="1">IF(DI392&lt;&gt;"",MAX($DN$2:DN391)+1,0)</f>
        <v>320</v>
      </c>
      <c r="DY392" s="48" t="str">
        <f t="shared" ca="1" si="735"/>
        <v/>
      </c>
      <c r="EL392" s="48">
        <f t="shared" ca="1" si="736"/>
        <v>0</v>
      </c>
      <c r="EM392" s="48">
        <f ca="1">IF(EL392&gt;=0,0,MAX($EM$2:EM391)+1)</f>
        <v>0</v>
      </c>
      <c r="EN392" s="48" t="str">
        <f t="shared" ca="1" si="746"/>
        <v/>
      </c>
      <c r="EO392" s="48" t="str">
        <f ca="1">IFERROR(INDEX($EM$3:$EN$400,MATCH(ROWS($EO$3:EO392),$EM$3:$EM$400,0),2),"")</f>
        <v/>
      </c>
      <c r="EP392" s="48">
        <f>ROW()</f>
        <v>392</v>
      </c>
      <c r="EQ392" s="48">
        <f t="shared" ca="1" si="737"/>
        <v>0</v>
      </c>
      <c r="ER392" s="48">
        <f ca="1">IF(ISNA(EQ392)=TRUE,MAX($ER$2:ER391)+1,0)</f>
        <v>0</v>
      </c>
      <c r="ES392" s="48" t="str">
        <f t="shared" ca="1" si="747"/>
        <v/>
      </c>
      <c r="ET392" s="48" t="str">
        <f ca="1">IFERROR(INDEX($ER$3:$ES$400,MATCH(ROWS($ET$3:ET392),$ER$3:$ER$400,0),2),"")</f>
        <v/>
      </c>
      <c r="EV392" s="48">
        <f ca="1">IFERROR(INDEX(LIBRO_GIORNALE!$O$11:$P$408,MATCH(ROWS($EV$2:EV391),LIBRO_GIORNALE!$P$11:$P$408,0),1),0)</f>
        <v>0</v>
      </c>
      <c r="EW392" s="48" t="str">
        <f t="shared" ca="1" si="716"/>
        <v>0</v>
      </c>
      <c r="EX392" s="48">
        <f t="shared" ca="1" si="748"/>
        <v>0</v>
      </c>
      <c r="EY392" s="48">
        <f ca="1">IF(EX392&gt;0,MAX($EY$2:EY391)+1,0)</f>
        <v>0</v>
      </c>
      <c r="EZ392" s="48">
        <f ca="1">IFERROR(INDEX($EX$3:$EX$400,MATCH(ROWS($EZ$3:EZ392),$EY$3:$EY$400,0),1),0)</f>
        <v>0</v>
      </c>
      <c r="FA392" s="48">
        <f ca="1">IF(EZ392&gt;0,0,MAX($FA$2:FA391)+1)</f>
        <v>390</v>
      </c>
      <c r="FB392" s="48">
        <f t="shared" ca="1" si="717"/>
        <v>0</v>
      </c>
      <c r="FC392" s="48">
        <f t="shared" ca="1" si="718"/>
        <v>390</v>
      </c>
      <c r="FD392" s="48">
        <f t="shared" ca="1" si="749"/>
        <v>390</v>
      </c>
      <c r="FE392" s="48">
        <f ca="1">IF(FD392=0,0,MAX($FE$2:FE391)+1)</f>
        <v>390</v>
      </c>
      <c r="FF392" s="48">
        <f ca="1">IFERROR(INDEX($FD$3:$FE$400,MATCH(ROWS($FF$3:FF392),$FE$3:$FE$400,0),1),"")</f>
        <v>390</v>
      </c>
      <c r="FG392" s="48">
        <f t="shared" si="696"/>
        <v>0</v>
      </c>
      <c r="FH392" s="48">
        <f t="shared" ca="1" si="750"/>
        <v>0</v>
      </c>
      <c r="FI392" s="48">
        <f ca="1">IF(FH392&lt;&gt;0,MAX($FI$2:FI391)+1,0)</f>
        <v>0</v>
      </c>
      <c r="FJ392" s="48" t="str">
        <f ca="1">IFERROR(INDEX($FH$3:$FI$400,MATCH(ROWS($FJ$3:FJ392),$FI$3:$FI$400,0),1),"")</f>
        <v/>
      </c>
      <c r="FK392" s="48">
        <f ca="1">IF(ABS(SUMIFS(DARE,DEN_G,"="&amp;FJ392,DATA,"&lt;="&amp;FINE_AC,DATA,"&gt;="&amp;INIZIO_A_PC)-SUMIFS(AVERE,DEN_G,"="&amp;FJ392,DATA,"&lt;="&amp;FINE_AC,DATA,"&gt;="&amp;INIZIO_A_PC))&gt;0,MAX($FK$2:FK391)+1,0)</f>
        <v>0</v>
      </c>
      <c r="FL392" s="48" t="str">
        <f ca="1">IF(AND(ROW()-2&lt;&gt;1,ROW()-2&lt;=$FK$1),CONCATENATE(" - ",IFERROR(INDEX($FJ$3:$FK$400,MATCH(ROWS($FL$3:FL392),$FK$3:$FK$400,0),1),"")),IFERROR(INDEX($FJ$3:$FK$400,MATCH(ROWS($FL$3:FL392),$FK$3:$FK$400,0),1),""))</f>
        <v/>
      </c>
      <c r="FM392" s="48">
        <f ca="1">IF(OR(B392="IVA ns/credito",B392="IVA NS/DEBITO",B392="IVA C/ACCONTO",B392="IMPOSTE C/ACCONTO",B392="CREDITI PER RITENUTE SUBITE",B392="CREDITI D'IMPOSTA"),MAX($FM$2:FM391)+1,0)</f>
        <v>0</v>
      </c>
      <c r="FN392" s="48" t="str">
        <f t="shared" ca="1" si="751"/>
        <v/>
      </c>
      <c r="FO392" s="48" t="str">
        <f ca="1">IFERROR(INDEX($FM$3:$FN$400,MATCH(ROWS($FO$3:FO392),$FM$3:$FM$400,0),2),"")</f>
        <v/>
      </c>
      <c r="FP392" s="48">
        <f ca="1">IF(ABS(SUMIFS(DARE,DEN_G,"="&amp;FO392,DATA,"&lt;="&amp;FINE_AC,DATA,"&gt;="&amp;INIZIO_A_PC)-SUMIFS(AVERE,DEN_G,"="&amp;FO392,DATA,"&lt;="&amp;FINE_AC,DATA,"&gt;="&amp;INIZIO_A_PC))&gt;0,MAX($FP$2:FP391)+1,0)</f>
        <v>0</v>
      </c>
      <c r="FQ392" s="48" t="str">
        <f ca="1">IF(AND(ROW()-2&lt;&gt;1,ROW()-2&lt;=$FP$1),CONCATENATE(" - ",IFERROR(INDEX($FO$3:$FP$400,MATCH(ROWS($FQ$3:FQ392),$FP$3:$FP$400,0),1),"")),IFERROR(INDEX($FO$3:$FP$400,MATCH(ROWS($FQ$3:FQ392),$FP$3:$FP$400,0),1),""))</f>
        <v/>
      </c>
    </row>
    <row r="393" spans="1:173" x14ac:dyDescent="0.3">
      <c r="A393" s="48" t="str">
        <f ca="1">IFERROR(IF($A$1=2,INDEX($DH$3:$DN$401,MATCH(ROWS(A$3:A393),$DN$3:$DN$401,0),COLUMN()),IF($A$1=1,INDEX($DQ$3:$DW$401,MATCH(ROWS(A$3:A393),$DW$3:$DW$401,0),COLUMN()),"")),"")</f>
        <v/>
      </c>
      <c r="B393" s="48" t="str">
        <f ca="1">IFERROR(IF($A$1=2,INDEX($DH$3:$DN$400,MATCH(ROWS(B$3:B393),$DN$3:$DN$400,0),COLUMN()),IF($A$1=1,INDEX($DQ$3:$DW$400,MATCH(ROWS(B$3:B393),$DW$3:$DW$400,0),COLUMN()),"")),"")</f>
        <v/>
      </c>
      <c r="D393" s="48" t="str">
        <f ca="1">IFERROR(IF($A$1=2,INDEX($DH$3:$DN$401,MATCH(ROWS(D$3:D393),$DN$3:$DN$401,0),COLUMN()),IF($A$1=1,INDEX($DQ$3:$DW$401,MATCH(ROWS(D$3:D393),$DW$3:$DW$401,0),COLUMN()),"")),"")</f>
        <v/>
      </c>
      <c r="E393" s="48" t="str">
        <f ca="1">IFERROR(IF($A$1=2,INDEX($DH$3:$DN$401,MATCH(ROWS(E$3:E393),$DN$3:$DN$401,0),COLUMN()),IF($A$1=1,INDEX($DQ$3:$DW$401,MATCH(ROWS(E$3:E393),$DW$3:$DW$401,0),COLUMN()),"")),"")</f>
        <v/>
      </c>
      <c r="F393" s="48" t="str">
        <f ca="1">IFERROR(IF($A$1=2,INDEX($DH$3:$DN$401,MATCH(ROWS(F$3:F393),$DN$3:$DN$401,0),COLUMN()),IF($A$1=1,INDEX($DQ$3:$DX$401,MATCH(ROWS(F$3:F393),$DW$3:$DW$401,0),COLUMN()),"")),"")</f>
        <v/>
      </c>
      <c r="G393" s="48" t="str">
        <f t="shared" ca="1" si="738"/>
        <v/>
      </c>
      <c r="H393" s="48" t="str">
        <f ca="1">IFERROR(IF($A$1=2,INDEX($DH$3:$DO$401,MATCH(ROWS(H$3:H393),$DN$3:$DN$401,0),COLUMN()),IF($A$1=1,INDEX($DQ$3:$DX$401,MATCH(ROWS(H$3:H393),$DW$3:$DW$401,0),COLUMN()),"")),"")</f>
        <v/>
      </c>
      <c r="M393" s="48">
        <f ca="1">IFERROR(IF(IF(MID($A393,3,3)=".00",MID(A393,1,2),"")&lt;&gt;"",MAX($M$2:M392)+1,0),"")</f>
        <v>0</v>
      </c>
      <c r="N393" s="48" t="str">
        <f t="shared" ca="1" si="739"/>
        <v/>
      </c>
      <c r="O393" s="48" t="str">
        <f ca="1">IF(IFERROR(INDEX($N$3:$O$300,MATCH(ROWS($O$3:O393),$M$3:$M$300,0),1),"")&lt;&gt;"",CONCATENATE(INDEX($N$3:$O$300,MATCH(ROWS($O$3:O393),$M$3:$M$300,0),1),".00"),"")</f>
        <v/>
      </c>
      <c r="P393" s="48" t="str">
        <f t="shared" ca="1" si="740"/>
        <v/>
      </c>
      <c r="Q393" s="48">
        <f ca="1">IF(M393&gt;=1,0,MAX($Q$2:Q392)+1)</f>
        <v>354</v>
      </c>
      <c r="U393" s="48" t="str">
        <f ca="1">IFERROR(INDEX(PDC,MATCH(ROWS(U$3:U393),$V$3:$V$400,0),2),"")</f>
        <v/>
      </c>
      <c r="V393" s="48">
        <f ca="1">IF(AND($T$1="VISUALIZZA TUTTI I CONTI",AA393&lt;&gt;""),MAX($V$2:V392)+1,IF(AND($U$2=2,AI393=$T$1),MAX($V$2:V392)+1,IF(AND($U$2=1,$T$1=AF393),MAX($V$2:V392)+1,0)))</f>
        <v>0</v>
      </c>
      <c r="AA393" s="48" t="str">
        <f t="shared" ca="1" si="741"/>
        <v/>
      </c>
      <c r="AB393" s="48" t="str">
        <f ca="1">IFERROR(INDEX($A$3:$G$400,MATCH(ROWS(AB$3:AB393),$Q$3:$Q$400,0),1),"")</f>
        <v/>
      </c>
      <c r="AC393" s="48" t="str">
        <f ca="1">IFERROR(INDEX($A$3:$G$400,MATCH(ROWS($AC$3:AC393),$Q$3:$Q$400,0),2),"")</f>
        <v/>
      </c>
      <c r="AD393" s="48" t="str">
        <f ca="1">IFERROR(INDEX($A$3:$G$400,MATCH(ROWS(AD$3:AD393),$Q$3:$Q$400,0),3),"")</f>
        <v/>
      </c>
      <c r="AE393" s="48" t="str">
        <f ca="1">IFERROR(INDEX($A$3:$G$400,MATCH(ROWS(AE$3:AE393),$Q$3:$Q$400,0),4),"")</f>
        <v/>
      </c>
      <c r="AF393" s="48" t="str">
        <f ca="1">IFERROR(INDEX($A$3:$G$400,MATCH(ROWS(AF$3:AF393),$Q$3:$Q$400,0),5),"")</f>
        <v/>
      </c>
      <c r="AG393" s="48" t="str">
        <f ca="1">IFERROR(INDEX($A$3:$G$400,MATCH(ROWS(AG$3:AG393),$Q$3:$Q$400,0),6),"")</f>
        <v/>
      </c>
      <c r="AH393" s="48" t="str">
        <f ca="1">IFERROR(INDEX($A$3:$G$400,MATCH(ROWS(AH$3:AH393),$Q$3:$Q$400,0),7),"")</f>
        <v/>
      </c>
      <c r="AI393" s="48" t="str">
        <f t="shared" ca="1" si="742"/>
        <v/>
      </c>
      <c r="AJ393" s="48" t="str">
        <f ca="1">IFERROR(INDEX($A$3:$H$400,MATCH(ROWS(AJ$3:AJ393),$Q$3:$Q$400,0),8),"")</f>
        <v/>
      </c>
      <c r="AZ393" s="48" t="str">
        <f t="shared" ca="1" si="752"/>
        <v/>
      </c>
      <c r="BA393" s="48">
        <f t="shared" ca="1" si="697"/>
        <v>0</v>
      </c>
      <c r="BB393" s="48">
        <f t="shared" ca="1" si="698"/>
        <v>0</v>
      </c>
      <c r="BC393" s="48">
        <f t="shared" ca="1" si="699"/>
        <v>0</v>
      </c>
      <c r="BD393" s="48">
        <f t="shared" ca="1" si="700"/>
        <v>0</v>
      </c>
      <c r="BE393" s="48">
        <f t="shared" ca="1" si="701"/>
        <v>0</v>
      </c>
      <c r="BF393" s="48">
        <f t="shared" si="711"/>
        <v>193</v>
      </c>
      <c r="BG393" s="48">
        <f ca="1">IF(IF(AND(OR(INDEX(PDC,MATCH($AC393,DEN_PDC,0),6)="SP DARE",INDEX(PDC,MATCH($AC393,DEN_PDC,0),6)="SP DARE/AVERE"),SUMIFS(DARE,DEN_G,$AC393)&gt;=SUMIFS(AVERE,DEN_G,$AC393)),SUMIFS(DARE,DEN_G,$AC393)-SUMIFS(AVERE,DEN_G,$AC393),0)&gt;0,MAX($BG$2:BG392)+1,0)</f>
        <v>0</v>
      </c>
      <c r="BH393" s="48">
        <f ca="1">IF(IF(AND(OR(INDEX(PDC,MATCH($AC393,DEN_PDC,0),6)="SP AVERE",INDEX(PDC,MATCH($AC393,DEN_PDC,0),6)="SP DARE/AVERE"),SUMIFS(AVERE,DEN_G,$AC393)&gt;=SUMIFS(DARE,DEN_G,$AC393)),SUMIFS(AVERE,DEN_G,$AC393)-SUMIFS(DARE,DEN_G,$AC393),0)&gt;0,MAX(BH$2:BH392)+1,0)</f>
        <v>0</v>
      </c>
      <c r="BI393" s="48">
        <f ca="1">IF(IF(AND(OR(INDEX(PDC,MATCH($AC393,DEN_PDC,0),6)="SE DARE",INDEX(PDC,MATCH($AC393,DEN_PDC,0),6)="SE DARE/AVERE"),SUMIFS(DARE,DEN_G,$AC393)&gt;=SUMIFS(AVERE,DEN_G,$AC393)),SUMIFS(DARE,DEN_G,$AC393)-SUMIFS(AVERE,DEN_G,$AC393),0)&gt;0,MAX(BI$2:BI392)+1,0)</f>
        <v>0</v>
      </c>
      <c r="BJ393" s="48">
        <f ca="1">IF(IF(AND(OR(INDEX(PDC,MATCH($AC393,DEN_PDC,0),6)="SE AVERE",INDEX(PDC,MATCH($AC393,DEN_PDC,0),6)="SE DARE/AVERE"),SUMIFS(AVERE,DEN_G,$AC393)&gt;=SUMIFS(DARE,DEN_G,$AC393)),SUMIFS(AVERE,DEN_G,$AC393)-SUMIFS(DARE,DEN_G,$AC393),0)&gt;0,MAX(BJ$2:BJ392)+1,0)</f>
        <v>0</v>
      </c>
      <c r="BK393" s="48" t="str">
        <f ca="1">IF(AND(AND($DY$2=0,$DY$1=0),$I$1=2,ROW()&gt;$BG$1+2,ROW()&lt;=$BG$1+4),"………………..",IF(AND(OR($DY$2&gt;0,$DY$1&gt;0),$I$1=2,ROW()&gt;$BG$1+2,ROW()&lt;=$BG$1+4),"………………..",IFERROR(INDEX($AC$3:$AC$398,MATCH(ROWS(BK$3:BK393),BG$3:BG$398,0),1),"")))</f>
        <v/>
      </c>
      <c r="BL393" s="48">
        <f t="shared" ca="1" si="726"/>
        <v>0</v>
      </c>
      <c r="BM393" s="48" t="str">
        <f ca="1">IF(AND(OR($DY$2=0,$DY$1=0),$I$1=2,ROW()&gt;$BH$1+2,ROW()&lt;=$BH$1+4),"………………..",IF(AND(OR($DY$2&gt;0,$DY$1&gt;0),$I$1=2,ROW()&gt;$BH$1+2,ROW()&lt;=$BH$1+4),"………………..",IFERROR(INDEX($AC$3:$AC$400,MATCH(ROWS(BM$3:BM393),BH$3:BH$400,0),1),"")))</f>
        <v/>
      </c>
      <c r="BN393" s="48">
        <f t="shared" ca="1" si="727"/>
        <v>0</v>
      </c>
      <c r="BO393" s="48" t="str">
        <f ca="1">IF(AND(OR($DY$2=0,$DY$1=0),$I$1=2,ROW()&gt;$BI$1+2,ROW()&lt;=$BI$1+4),"………………..",IF(AND(OR($DY$2&gt;0,$DY$1&gt;0),$I$1=2,ROW()&gt;$BI$1+2,ROW()&lt;=$BI$1+4),"………………..",IFERROR(INDEX($AC$3:$AC$400,MATCH(ROWS(BO$3:BO393),BI$3:BI$400,0),1),"")))</f>
        <v/>
      </c>
      <c r="BP393" s="48">
        <f t="shared" ca="1" si="728"/>
        <v>0</v>
      </c>
      <c r="BQ393" s="48" t="str">
        <f ca="1">IF(AND(OR($DY$2=0,$DY$1=0),$I$1=2,ROW()&gt;$BJ$1+2,ROW()&lt;=$BJ$1+4),"………………..",IF(AND(OR($DY$2&gt;0,$DY$1&gt;0),$I$1=2,ROW()&gt;$BJ$1+2,ROW()&lt;=$BJ$1+4),"………………..",IFERROR(INDEX($AC$3:$AC$400,MATCH(ROWS(BQ$3:BQ393),BJ$3:BJ$400,0),1),"")))</f>
        <v/>
      </c>
      <c r="BR393" s="48">
        <f t="shared" ca="1" si="729"/>
        <v>0</v>
      </c>
      <c r="BS393" s="48">
        <f ca="1">IF(IF(AND(OR(INDEX(PDC,MATCH($AC393,DEN_PDC,0),4)="D",INDEX(PDC,MATCH($AC393,DEN_PDC,0),4)="D/A"),SUMIFS(DARE,DEN_G,$AC393)&gt;=SUMIFS(AVERE,DEN_G,$AC393)),SUMIFS(DARE,DEN_G,$AC393),IF(AND(OR(INDEX(PDC,MATCH($AC393,DEN_PDC,0),4)="A",INDEX(PDC,MATCH($AC393,DEN_PDC,0),4)="D/A"),SUMIFS(AVERE,DEN_G,$AC393)&gt;=SUMIFS(DARE,DEN_G,$AC393)),SUMIFS(AVERE,DEN_G,$AC393),))&gt;0,MAX($BS$2:BS392)+1,0)</f>
        <v>0</v>
      </c>
      <c r="BT393" s="48" t="str">
        <f ca="1">IF($CO$1=0,"",IF(AND($I$1=2,ROW()&gt;$BR$1,ROW()&lt;=$BS$1)," …………….",IF(AND($E$1=1,$BX$1=1,$I$1=2,ROW()=$BQ$1),"TOTALI",IFERROR(INDEX(PDC,MATCH(ROWS(BT$3:BT393),BS$3:BS790,0),2),""))))</f>
        <v/>
      </c>
      <c r="BU393" s="48">
        <f t="shared" ca="1" si="730"/>
        <v>0</v>
      </c>
      <c r="BV393" s="48">
        <f t="shared" ca="1" si="731"/>
        <v>0</v>
      </c>
      <c r="BW393" s="48">
        <f t="shared" ca="1" si="732"/>
        <v>0</v>
      </c>
      <c r="BX393" s="48">
        <f t="shared" ca="1" si="733"/>
        <v>0</v>
      </c>
      <c r="BY393" s="48">
        <f ca="1">IF(OR(BW393&gt;0,BX393&gt;0),MAX($BY$2:BY392)+1,0)</f>
        <v>0</v>
      </c>
      <c r="BZ393" s="48" t="str">
        <f ca="1">IFERROR(INDEX($BT$3:$BY$400,MATCH(ROWS(BZ$3:BZ393),$BY$3:$BY$400,0),1),"")</f>
        <v/>
      </c>
      <c r="CA393" s="48" t="str">
        <f ca="1">IFERROR(INDEX($BT$3:$BY$400,MATCH(ROWS(CA$3:CA393),$BY$3:$BY$400,0),4),"")</f>
        <v/>
      </c>
      <c r="CB393" s="48" t="str">
        <f ca="1">IFERROR(INDEX($BT$3:$BY$400,MATCH(ROWS(CB$3:CB393),$BY$3:$BY$400,0),5),"")</f>
        <v/>
      </c>
      <c r="CC393" s="48" t="str">
        <f t="shared" ca="1" si="734"/>
        <v/>
      </c>
      <c r="CM393" s="242" t="str">
        <f t="shared" ca="1" si="743"/>
        <v/>
      </c>
      <c r="CN393" s="243">
        <f t="shared" ca="1" si="744"/>
        <v>0</v>
      </c>
      <c r="CO393" s="48" t="str">
        <f t="shared" ca="1" si="745"/>
        <v/>
      </c>
      <c r="CU393" s="48">
        <f ca="1">IF(SUMIFS(AVERE,DEN_G,AC393,AVERE,"&gt;"&amp;0)+SUMIFS(DARE,DEN_G,AC393,DARE,"&gt;"&amp;0)&gt;0,MAX($CU$2:CU392)+1,0)</f>
        <v>0</v>
      </c>
      <c r="CV393" s="48" t="str">
        <f ca="1">IF(IFERROR(INDEX(PDC,MATCH(ROWS($CV$3:CV393),$CU$3:$CU$400,0),2),"")="CONTO DI RISULTATO ECONOMICO","",IFERROR(INDEX(PDC,MATCH(ROWS($CV$3:CV393),$CU$3:$CU$400,0),2),""))</f>
        <v/>
      </c>
      <c r="CW393" s="48">
        <f ca="1">IFERROR(IF(CV393&lt;&gt;"",MAX($CW$2:CW392)+1,0),0)</f>
        <v>0</v>
      </c>
      <c r="CX393" s="48">
        <f ca="1">$FF$33</f>
        <v>31</v>
      </c>
      <c r="CY393" s="48" t="str">
        <f t="shared" ref="CY393:CY404" ca="1" si="754">IF(ISERROR(INDEX($CV$3:$CX$1302,MATCH(CX393,$CW$3:$CW$1302,0),1)),"MASTRO",INDEX($CV$3:$CX$1302,MATCH(CX393,$CW$3:$CW$1302,0),1))</f>
        <v>MASTRO</v>
      </c>
      <c r="DA393" s="48" t="str">
        <f>IF(CY392="MASTRO","Conto n.","")</f>
        <v>Conto n.</v>
      </c>
      <c r="DB393" s="48" t="str">
        <f ca="1">IF(CY393=0,"",INDEX(PDC,MATCH(DC393,DEN_PDC,0),1))</f>
        <v/>
      </c>
      <c r="DC393" s="48" t="str">
        <f ca="1">IF(OR(CY393=0,CY393="mastro"),"",CY393)</f>
        <v/>
      </c>
      <c r="DD393" s="48" t="str">
        <f ca="1">IF(AND($DA$2=TRUE,OR(INDEX(PDC,MATCH($DC393,DEN_PDC,0),4)="A",INDEX(PDC,MATCH($DC393,DEN_PDC,0),4)="D/A"),SUMIFS(AVERE,DEN_G,"="&amp;$DC393,DATA,"&lt;="&amp;FINE_AC,DATA,"&gt;="&amp;INIZIO_AC)&gt;SUMIFS(DARE,DEN_G,"="&amp;$DC393,DATA,"&lt;="&amp;FINE_AC,DATA,"&gt;="&amp;INIZIO_AC)),CONCATENATE("s ",FIXED(ABS(SUMIFS(AVERE,DEN_G,"="&amp;$DC393,DATA,"&lt;="&amp;FINE_AC,DATA,"&gt;="&amp;INIZIO_AC)-SUMIFS(DARE,DEN_G,"="&amp;$DC393,DATA,"&lt;="&amp;FINE_AC,DATA,"&gt;="&amp;INIZIO_AC)),2)),"")</f>
        <v/>
      </c>
      <c r="DE393" s="48" t="str">
        <f ca="1">IF(AND($DA$2=TRUE,OR(INDEX(PDC,MATCH($DC393,DEN_PDC,0),4)="D",INDEX(PDC,MATCH($DC393,DEN_PDC,0),4)="D/A"),SUMIFS(DARE,DEN_G,"="&amp;$DC393,DATA,"&lt;="&amp;FINE_AC,DATA,"&gt;="&amp;INIZIO_AC)&gt;SUMIFS(AVERE,DEN_G,"="&amp;$DC393,DATA,"&lt;="&amp;FINE_AC,DATA,"&gt;="&amp;INIZIO_AC)),CONCATENATE("s ",FIXED(ABS(SUMIFS(DARE,DEN_G,"="&amp;$DC393,DATA,"&lt;="&amp;FINE_AC,DATA,"&gt;="&amp;INIZIO_AC)-SUMIFS(AVERE,DEN_G,"="&amp;$DC393,DATA,"&lt;="&amp;FINE_AC,DATA,"&gt;="&amp;INIZIO_AC)),2)),"")</f>
        <v/>
      </c>
      <c r="DF393" s="48">
        <f ca="1">IF(AND(CX393=$DF$1,CX393&lt;&gt;""),0,IF(AND(DB393&lt;&gt;"",OR(DB392&lt;&gt;"",DB394&lt;&gt;"")),MAX($DF$2:DF392)+1,0))</f>
        <v>0</v>
      </c>
      <c r="DH393" s="244" t="s">
        <v>1137</v>
      </c>
      <c r="DI393" s="48" t="s">
        <v>465</v>
      </c>
      <c r="DJ393" s="48" t="s">
        <v>311</v>
      </c>
      <c r="DK393" s="48" t="s">
        <v>275</v>
      </c>
      <c r="DL393" s="48" t="s">
        <v>7</v>
      </c>
      <c r="DM393" s="48" t="s">
        <v>301</v>
      </c>
      <c r="DN393" s="48">
        <f ca="1">IF(DI393&lt;&gt;"",MAX($DN$2:DN392)+1,0)</f>
        <v>321</v>
      </c>
      <c r="DO393" s="48" t="s">
        <v>731</v>
      </c>
      <c r="DY393" s="48" t="str">
        <f t="shared" ca="1" si="735"/>
        <v/>
      </c>
      <c r="EL393" s="48">
        <f t="shared" ca="1" si="736"/>
        <v>0</v>
      </c>
      <c r="EM393" s="48">
        <f ca="1">IF(EL393&gt;=0,0,MAX($EM$2:EM392)+1)</f>
        <v>0</v>
      </c>
      <c r="EN393" s="48" t="str">
        <f t="shared" ca="1" si="746"/>
        <v/>
      </c>
      <c r="EO393" s="48" t="str">
        <f ca="1">IFERROR(INDEX($EM$3:$EN$400,MATCH(ROWS($EO$3:EO393),$EM$3:$EM$400,0),2),"")</f>
        <v/>
      </c>
      <c r="EP393" s="48">
        <f>ROW()</f>
        <v>393</v>
      </c>
      <c r="EQ393" s="48">
        <f t="shared" ca="1" si="737"/>
        <v>0</v>
      </c>
      <c r="ER393" s="48">
        <f ca="1">IF(ISNA(EQ393)=TRUE,MAX($ER$2:ER392)+1,0)</f>
        <v>0</v>
      </c>
      <c r="ES393" s="48" t="str">
        <f t="shared" ca="1" si="747"/>
        <v/>
      </c>
      <c r="ET393" s="48" t="str">
        <f ca="1">IFERROR(INDEX($ER$3:$ES$400,MATCH(ROWS($ET$3:ET393),$ER$3:$ER$400,0),2),"")</f>
        <v/>
      </c>
      <c r="EV393" s="48">
        <f ca="1">IFERROR(INDEX(LIBRO_GIORNALE!$O$11:$P$408,MATCH(ROWS($EV$2:EV392),LIBRO_GIORNALE!$P$11:$P$408,0),1),0)</f>
        <v>0</v>
      </c>
      <c r="EW393" s="48" t="str">
        <f t="shared" ca="1" si="716"/>
        <v>0</v>
      </c>
      <c r="EX393" s="48">
        <f t="shared" ca="1" si="748"/>
        <v>0</v>
      </c>
      <c r="EY393" s="48">
        <f ca="1">IF(EX393&gt;0,MAX($EY$2:EY392)+1,0)</f>
        <v>0</v>
      </c>
      <c r="EZ393" s="48">
        <f ca="1">IFERROR(INDEX($EX$3:$EX$400,MATCH(ROWS($EZ$3:EZ393),$EY$3:$EY$400,0),1),0)</f>
        <v>0</v>
      </c>
      <c r="FA393" s="48">
        <f ca="1">IF(EZ393&gt;0,0,MAX($FA$2:FA392)+1)</f>
        <v>391</v>
      </c>
      <c r="FB393" s="48">
        <f t="shared" ca="1" si="717"/>
        <v>0</v>
      </c>
      <c r="FC393" s="48">
        <f t="shared" ca="1" si="718"/>
        <v>391</v>
      </c>
      <c r="FD393" s="48">
        <f t="shared" ca="1" si="749"/>
        <v>391</v>
      </c>
      <c r="FE393" s="48">
        <f ca="1">IF(FD393=0,0,MAX($FE$2:FE392)+1)</f>
        <v>391</v>
      </c>
      <c r="FF393" s="48">
        <f ca="1">IFERROR(INDEX($FD$3:$FE$400,MATCH(ROWS($FF$3:FF393),$FE$3:$FE$400,0),1),"")</f>
        <v>391</v>
      </c>
      <c r="FG393" s="48">
        <f t="shared" si="696"/>
        <v>0</v>
      </c>
      <c r="FH393" s="48">
        <f t="shared" ca="1" si="750"/>
        <v>0</v>
      </c>
      <c r="FI393" s="48">
        <f ca="1">IF(FH393&lt;&gt;0,MAX($FI$2:FI392)+1,0)</f>
        <v>0</v>
      </c>
      <c r="FJ393" s="48" t="str">
        <f ca="1">IFERROR(INDEX($FH$3:$FI$400,MATCH(ROWS($FJ$3:FJ393),$FI$3:$FI$400,0),1),"")</f>
        <v/>
      </c>
      <c r="FK393" s="48">
        <f ca="1">IF(ABS(SUMIFS(DARE,DEN_G,"="&amp;FJ393,DATA,"&lt;="&amp;FINE_AC,DATA,"&gt;="&amp;INIZIO_A_PC)-SUMIFS(AVERE,DEN_G,"="&amp;FJ393,DATA,"&lt;="&amp;FINE_AC,DATA,"&gt;="&amp;INIZIO_A_PC))&gt;0,MAX($FK$2:FK392)+1,0)</f>
        <v>0</v>
      </c>
      <c r="FL393" s="48" t="str">
        <f ca="1">IF(AND(ROW()-2&lt;&gt;1,ROW()-2&lt;=$FK$1),CONCATENATE(" - ",IFERROR(INDEX($FJ$3:$FK$400,MATCH(ROWS($FL$3:FL393),$FK$3:$FK$400,0),1),"")),IFERROR(INDEX($FJ$3:$FK$400,MATCH(ROWS($FL$3:FL393),$FK$3:$FK$400,0),1),""))</f>
        <v/>
      </c>
      <c r="FM393" s="48">
        <f ca="1">IF(OR(B393="IVA ns/credito",B393="IVA NS/DEBITO",B393="IVA C/ACCONTO",B393="IMPOSTE C/ACCONTO",B393="CREDITI PER RITENUTE SUBITE",B393="CREDITI D'IMPOSTA"),MAX($FM$2:FM392)+1,0)</f>
        <v>0</v>
      </c>
      <c r="FN393" s="48" t="str">
        <f t="shared" ca="1" si="751"/>
        <v/>
      </c>
      <c r="FO393" s="48" t="str">
        <f ca="1">IFERROR(INDEX($FM$3:$FN$400,MATCH(ROWS($FO$3:FO393),$FM$3:$FM$400,0),2),"")</f>
        <v/>
      </c>
      <c r="FP393" s="48">
        <f ca="1">IF(ABS(SUMIFS(DARE,DEN_G,"="&amp;FO393,DATA,"&lt;="&amp;FINE_AC,DATA,"&gt;="&amp;INIZIO_A_PC)-SUMIFS(AVERE,DEN_G,"="&amp;FO393,DATA,"&lt;="&amp;FINE_AC,DATA,"&gt;="&amp;INIZIO_A_PC))&gt;0,MAX($FP$2:FP392)+1,0)</f>
        <v>0</v>
      </c>
      <c r="FQ393" s="48" t="str">
        <f ca="1">IF(AND(ROW()-2&lt;&gt;1,ROW()-2&lt;=$FP$1),CONCATENATE(" - ",IFERROR(INDEX($FO$3:$FP$400,MATCH(ROWS($FQ$3:FQ393),$FP$3:$FP$400,0),1),"")),IFERROR(INDEX($FO$3:$FP$400,MATCH(ROWS($FQ$3:FQ393),$FP$3:$FP$400,0),1),""))</f>
        <v/>
      </c>
    </row>
    <row r="394" spans="1:173" x14ac:dyDescent="0.3">
      <c r="A394" s="48" t="str">
        <f ca="1">IFERROR(IF($A$1=2,INDEX($DH$3:$DN$401,MATCH(ROWS(A$3:A394),$DN$3:$DN$401,0),COLUMN()),IF($A$1=1,INDEX($DQ$3:$DW$401,MATCH(ROWS(A$3:A394),$DW$3:$DW$401,0),COLUMN()),"")),"")</f>
        <v/>
      </c>
      <c r="B394" s="48" t="str">
        <f ca="1">IFERROR(IF($A$1=2,INDEX($DH$3:$DN$400,MATCH(ROWS(B$3:B394),$DN$3:$DN$400,0),COLUMN()),IF($A$1=1,INDEX($DQ$3:$DW$400,MATCH(ROWS(B$3:B394),$DW$3:$DW$400,0),COLUMN()),"")),"")</f>
        <v/>
      </c>
      <c r="D394" s="48" t="str">
        <f ca="1">IFERROR(IF($A$1=2,INDEX($DH$3:$DN$401,MATCH(ROWS(D$3:D394),$DN$3:$DN$401,0),COLUMN()),IF($A$1=1,INDEX($DQ$3:$DW$401,MATCH(ROWS(D$3:D394),$DW$3:$DW$401,0),COLUMN()),"")),"")</f>
        <v/>
      </c>
      <c r="E394" s="48" t="str">
        <f ca="1">IFERROR(IF($A$1=2,INDEX($DH$3:$DN$401,MATCH(ROWS(E$3:E394),$DN$3:$DN$401,0),COLUMN()),IF($A$1=1,INDEX($DQ$3:$DW$401,MATCH(ROWS(E$3:E394),$DW$3:$DW$401,0),COLUMN()),"")),"")</f>
        <v/>
      </c>
      <c r="F394" s="48" t="str">
        <f ca="1">IFERROR(IF($A$1=2,INDEX($DH$3:$DN$401,MATCH(ROWS(F$3:F394),$DN$3:$DN$401,0),COLUMN()),IF($A$1=1,INDEX($DQ$3:$DX$401,MATCH(ROWS(F$3:F394),$DW$3:$DW$401,0),COLUMN()),"")),"")</f>
        <v/>
      </c>
      <c r="G394" s="48" t="str">
        <f t="shared" ca="1" si="738"/>
        <v/>
      </c>
      <c r="H394" s="48" t="str">
        <f ca="1">IFERROR(IF($A$1=2,INDEX($DH$3:$DO$400,MATCH(ROWS(H$3:H394),$DN$3:$DN$400,0),COLUMN()),IF($A$1=1,INDEX($DQ$3:$DX$400,MATCH(ROWS(H$3:H394),$DW$3:$DW$400,0),COLUMN()),"")),"")</f>
        <v/>
      </c>
      <c r="M394" s="48">
        <f ca="1">IFERROR(IF(IF(MID($A394,3,3)=".00",MID(A394,1,2),"")&lt;&gt;"",MAX($M$2:M393)+1,0),"")</f>
        <v>0</v>
      </c>
      <c r="N394" s="48" t="str">
        <f t="shared" ca="1" si="739"/>
        <v/>
      </c>
      <c r="O394" s="48" t="str">
        <f ca="1">IF(IFERROR(INDEX($N$3:$O$300,MATCH(ROWS($O$3:O394),$M$3:$M$300,0),1),"")&lt;&gt;"",CONCATENATE(INDEX($N$3:$O$300,MATCH(ROWS($O$3:O394),$M$3:$M$300,0),1),".00"),"")</f>
        <v/>
      </c>
      <c r="P394" s="48" t="str">
        <f t="shared" ca="1" si="740"/>
        <v/>
      </c>
      <c r="Q394" s="48">
        <f ca="1">IF(M394&gt;=1,0,MAX($Q$2:Q393)+1)</f>
        <v>355</v>
      </c>
      <c r="U394" s="48" t="str">
        <f ca="1">IFERROR(INDEX(PDC,MATCH(ROWS(U$3:U394),$V$3:$V$400,0),2),"")</f>
        <v/>
      </c>
      <c r="V394" s="48">
        <f ca="1">IF(AND($T$1="VISUALIZZA TUTTI I CONTI",AA394&lt;&gt;""),MAX($V$2:V393)+1,IF(AND($U$2=2,AI394=$T$1),MAX($V$2:V393)+1,IF(AND($U$2=1,$T$1=AF394),MAX($V$2:V393)+1,0)))</f>
        <v>0</v>
      </c>
      <c r="AA394" s="48" t="str">
        <f t="shared" ca="1" si="741"/>
        <v/>
      </c>
      <c r="AB394" s="48" t="str">
        <f ca="1">IFERROR(INDEX($A$3:$G$400,MATCH(ROWS(AB$3:AB394),$Q$3:$Q$400,0),1),"")</f>
        <v/>
      </c>
      <c r="AC394" s="48" t="str">
        <f ca="1">IFERROR(INDEX($A$3:$G$400,MATCH(ROWS($AC$3:AC394),$Q$3:$Q$400,0),2),"")</f>
        <v/>
      </c>
      <c r="AD394" s="48" t="str">
        <f ca="1">IFERROR(INDEX($A$3:$G$400,MATCH(ROWS(AD$3:AD394),$Q$3:$Q$400,0),3),"")</f>
        <v/>
      </c>
      <c r="AE394" s="48" t="str">
        <f ca="1">IFERROR(INDEX($A$3:$G$400,MATCH(ROWS(AE$3:AE394),$Q$3:$Q$400,0),4),"")</f>
        <v/>
      </c>
      <c r="AF394" s="48" t="str">
        <f ca="1">IFERROR(INDEX($A$3:$G$400,MATCH(ROWS(AF$3:AF394),$Q$3:$Q$400,0),5),"")</f>
        <v/>
      </c>
      <c r="AG394" s="48" t="str">
        <f ca="1">IFERROR(INDEX($A$3:$G$400,MATCH(ROWS(AG$3:AG394),$Q$3:$Q$400,0),6),"")</f>
        <v/>
      </c>
      <c r="AH394" s="48" t="str">
        <f ca="1">IFERROR(INDEX($A$3:$G$400,MATCH(ROWS(AH$3:AH394),$Q$3:$Q$400,0),7),"")</f>
        <v/>
      </c>
      <c r="AI394" s="48" t="str">
        <f t="shared" ca="1" si="742"/>
        <v/>
      </c>
      <c r="AJ394" s="48" t="str">
        <f ca="1">IFERROR(INDEX($A$3:$H$400,MATCH(ROWS(AJ$3:AJ394),$Q$3:$Q$400,0),8),"")</f>
        <v/>
      </c>
      <c r="AZ394" s="48" t="str">
        <f t="shared" ca="1" si="752"/>
        <v/>
      </c>
      <c r="BA394" s="48">
        <f t="shared" ca="1" si="697"/>
        <v>0</v>
      </c>
      <c r="BB394" s="48">
        <f t="shared" ca="1" si="698"/>
        <v>0</v>
      </c>
      <c r="BC394" s="48">
        <f t="shared" ca="1" si="699"/>
        <v>0</v>
      </c>
      <c r="BD394" s="48">
        <f t="shared" ca="1" si="700"/>
        <v>0</v>
      </c>
      <c r="BE394" s="48">
        <f t="shared" ca="1" si="701"/>
        <v>0</v>
      </c>
      <c r="BF394" s="48">
        <f t="shared" si="711"/>
        <v>194</v>
      </c>
      <c r="BG394" s="48">
        <f ca="1">IF(IF(AND(OR(INDEX(PDC,MATCH($AC394,DEN_PDC,0),6)="SP DARE",INDEX(PDC,MATCH($AC394,DEN_PDC,0),6)="SP DARE/AVERE"),SUMIFS(DARE,DEN_G,$AC394)&gt;=SUMIFS(AVERE,DEN_G,$AC394)),SUMIFS(DARE,DEN_G,$AC394)-SUMIFS(AVERE,DEN_G,$AC394),0)&gt;0,MAX($BG$2:BG393)+1,0)</f>
        <v>0</v>
      </c>
      <c r="BH394" s="48">
        <f ca="1">IF(IF(AND(OR(INDEX(PDC,MATCH($AC394,DEN_PDC,0),6)="SP AVERE",INDEX(PDC,MATCH($AC394,DEN_PDC,0),6)="SP DARE/AVERE"),SUMIFS(AVERE,DEN_G,$AC394)&gt;=SUMIFS(DARE,DEN_G,$AC394)),SUMIFS(AVERE,DEN_G,$AC394)-SUMIFS(DARE,DEN_G,$AC394),0)&gt;0,MAX(BH$2:BH393)+1,0)</f>
        <v>0</v>
      </c>
      <c r="BI394" s="48">
        <f ca="1">IF(IF(AND(OR(INDEX(PDC,MATCH($AC394,DEN_PDC,0),6)="SE DARE",INDEX(PDC,MATCH($AC394,DEN_PDC,0),6)="SE DARE/AVERE"),SUMIFS(DARE,DEN_G,$AC394)&gt;=SUMIFS(AVERE,DEN_G,$AC394)),SUMIFS(DARE,DEN_G,$AC394)-SUMIFS(AVERE,DEN_G,$AC394),0)&gt;0,MAX(BI$2:BI393)+1,0)</f>
        <v>0</v>
      </c>
      <c r="BJ394" s="48">
        <f ca="1">IF(IF(AND(OR(INDEX(PDC,MATCH($AC394,DEN_PDC,0),6)="SE AVERE",INDEX(PDC,MATCH($AC394,DEN_PDC,0),6)="SE DARE/AVERE"),SUMIFS(AVERE,DEN_G,$AC394)&gt;=SUMIFS(DARE,DEN_G,$AC394)),SUMIFS(AVERE,DEN_G,$AC394)-SUMIFS(DARE,DEN_G,$AC394),0)&gt;0,MAX(BJ$2:BJ393)+1,0)</f>
        <v>0</v>
      </c>
      <c r="BK394" s="48" t="str">
        <f ca="1">IF(AND(AND($DY$2=0,$DY$1=0),$I$1=2,ROW()&gt;$BG$1+2,ROW()&lt;=$BG$1+4),"………………..",IF(AND(OR($DY$2&gt;0,$DY$1&gt;0),$I$1=2,ROW()&gt;$BG$1+2,ROW()&lt;=$BG$1+4),"………………..",IFERROR(INDEX($AC$3:$AC$398,MATCH(ROWS(BK$3:BK394),BG$3:BG$398,0),1),"")))</f>
        <v/>
      </c>
      <c r="BL394" s="48">
        <f t="shared" ca="1" si="726"/>
        <v>0</v>
      </c>
      <c r="BM394" s="48" t="str">
        <f ca="1">IF(AND(OR($DY$2=0,$DY$1=0),$I$1=2,ROW()&gt;$BH$1+2,ROW()&lt;=$BH$1+4),"………………..",IF(AND(OR($DY$2&gt;0,$DY$1&gt;0),$I$1=2,ROW()&gt;$BH$1+2,ROW()&lt;=$BH$1+4),"………………..",IFERROR(INDEX($AC$3:$AC$400,MATCH(ROWS(BM$3:BM394),BH$3:BH$400,0),1),"")))</f>
        <v/>
      </c>
      <c r="BN394" s="48">
        <f t="shared" ca="1" si="727"/>
        <v>0</v>
      </c>
      <c r="BO394" s="48" t="str">
        <f ca="1">IF(AND(OR($DY$2=0,$DY$1=0),$I$1=2,ROW()&gt;$BI$1+2,ROW()&lt;=$BI$1+4),"………………..",IF(AND(OR($DY$2&gt;0,$DY$1&gt;0),$I$1=2,ROW()&gt;$BI$1+2,ROW()&lt;=$BI$1+4),"………………..",IFERROR(INDEX($AC$3:$AC$400,MATCH(ROWS(BO$3:BO394),BI$3:BI$400,0),1),"")))</f>
        <v/>
      </c>
      <c r="BP394" s="48">
        <f t="shared" ca="1" si="728"/>
        <v>0</v>
      </c>
      <c r="BQ394" s="48" t="str">
        <f ca="1">IF(AND(OR($DY$2=0,$DY$1=0),$I$1=2,ROW()&gt;$BJ$1+2,ROW()&lt;=$BJ$1+4),"………………..",IF(AND(OR($DY$2&gt;0,$DY$1&gt;0),$I$1=2,ROW()&gt;$BJ$1+2,ROW()&lt;=$BJ$1+4),"………………..",IFERROR(INDEX($AC$3:$AC$400,MATCH(ROWS(BQ$3:BQ394),BJ$3:BJ$400,0),1),"")))</f>
        <v/>
      </c>
      <c r="BR394" s="48">
        <f t="shared" ca="1" si="729"/>
        <v>0</v>
      </c>
      <c r="BS394" s="48">
        <f ca="1">IF(IF(AND(OR(INDEX(PDC,MATCH($AC394,DEN_PDC,0),4)="D",INDEX(PDC,MATCH($AC394,DEN_PDC,0),4)="D/A"),SUMIFS(DARE,DEN_G,$AC394)&gt;=SUMIFS(AVERE,DEN_G,$AC394)),SUMIFS(DARE,DEN_G,$AC394),IF(AND(OR(INDEX(PDC,MATCH($AC394,DEN_PDC,0),4)="A",INDEX(PDC,MATCH($AC394,DEN_PDC,0),4)="D/A"),SUMIFS(AVERE,DEN_G,$AC394)&gt;=SUMIFS(DARE,DEN_G,$AC394)),SUMIFS(AVERE,DEN_G,$AC394),))&gt;0,MAX($BS$2:BS393)+1,0)</f>
        <v>0</v>
      </c>
      <c r="BT394" s="48" t="str">
        <f ca="1">IF($CO$1=0,"",IF(AND($I$1=2,ROW()&gt;$BR$1,ROW()&lt;=$BS$1)," …………….",IF(AND($E$1=1,$BX$1=1,$I$1=2,ROW()=$BQ$1),"TOTALI",IFERROR(INDEX(PDC,MATCH(ROWS(BT$3:BT394),BS$3:BS791,0),2),""))))</f>
        <v/>
      </c>
      <c r="BU394" s="48">
        <f t="shared" ca="1" si="730"/>
        <v>0</v>
      </c>
      <c r="BV394" s="48">
        <f t="shared" ca="1" si="731"/>
        <v>0</v>
      </c>
      <c r="BW394" s="48">
        <f t="shared" ca="1" si="732"/>
        <v>0</v>
      </c>
      <c r="BX394" s="48">
        <f t="shared" ca="1" si="733"/>
        <v>0</v>
      </c>
      <c r="BY394" s="48">
        <f ca="1">IF(OR(BW394&gt;0,BX394&gt;0),MAX($BY$2:BY393)+1,0)</f>
        <v>0</v>
      </c>
      <c r="BZ394" s="48" t="str">
        <f ca="1">IFERROR(INDEX($BT$3:$BY$400,MATCH(ROWS(BZ$3:BZ394),$BY$3:$BY$400,0),1),"")</f>
        <v/>
      </c>
      <c r="CA394" s="48" t="str">
        <f ca="1">IFERROR(INDEX($BT$3:$BY$400,MATCH(ROWS(CA$3:CA394),$BY$3:$BY$400,0),4),"")</f>
        <v/>
      </c>
      <c r="CB394" s="48" t="str">
        <f ca="1">IFERROR(INDEX($BT$3:$BY$400,MATCH(ROWS(CB$3:CB394),$BY$3:$BY$400,0),5),"")</f>
        <v/>
      </c>
      <c r="CC394" s="48" t="str">
        <f t="shared" ca="1" si="734"/>
        <v/>
      </c>
      <c r="CM394" s="242" t="str">
        <f t="shared" ca="1" si="743"/>
        <v/>
      </c>
      <c r="CN394" s="243">
        <f t="shared" ca="1" si="744"/>
        <v>0</v>
      </c>
      <c r="CO394" s="48" t="str">
        <f t="shared" ca="1" si="745"/>
        <v/>
      </c>
      <c r="CU394" s="48">
        <f ca="1">IF(SUMIFS(AVERE,DEN_G,AC394,AVERE,"&gt;"&amp;0)+SUMIFS(DARE,DEN_G,AC394,DARE,"&gt;"&amp;0)&gt;0,MAX($CU$2:CU393)+1,0)</f>
        <v>0</v>
      </c>
      <c r="CV394" s="48" t="str">
        <f ca="1">IF(IFERROR(INDEX(PDC,MATCH(ROWS($CV$3:CV394),$CU$3:$CU$400,0),2),"")="CONTO DI RISULTATO ECONOMICO","",IFERROR(INDEX(PDC,MATCH(ROWS($CV$3:CV394),$CU$3:$CU$400,0),2),""))</f>
        <v/>
      </c>
      <c r="CW394" s="48">
        <f ca="1">IFERROR(IF(CV394&lt;&gt;"",MAX($CW$2:CW393)+1,0),0)</f>
        <v>0</v>
      </c>
      <c r="CX394" s="48">
        <f t="shared" ref="CX394:CX404" ca="1" si="755">$FF$33</f>
        <v>31</v>
      </c>
      <c r="CY394" s="48" t="str">
        <f t="shared" ca="1" si="754"/>
        <v>MASTRO</v>
      </c>
      <c r="DA394" s="48" t="str">
        <f ca="1">IF(DB393="","","Num. riga")</f>
        <v/>
      </c>
      <c r="DB394" s="48" t="str">
        <f t="shared" ref="DB394" ca="1" si="756">IF(DB393="","","Data")</f>
        <v/>
      </c>
      <c r="DC394" s="48" t="str">
        <f ca="1">IF(DB393="","","Operazioni")</f>
        <v/>
      </c>
      <c r="DD394" s="48" t="str">
        <f ca="1">IF(DB393="","","Dare        ")</f>
        <v/>
      </c>
      <c r="DE394" s="48" t="str">
        <f ca="1">IF(DB393="","","Avere        ")</f>
        <v/>
      </c>
      <c r="DF394" s="48">
        <f ca="1">IF(AND(CX394=$DF$1,CX394&lt;&gt;""),0,IF(AND(DB394&lt;&gt;"",OR(DB393&lt;&gt;"",DB395&lt;&gt;"")),MAX($DF$2:DF393)+1,0))</f>
        <v>0</v>
      </c>
      <c r="DH394" s="244" t="s">
        <v>1138</v>
      </c>
      <c r="DI394" s="48" t="s">
        <v>466</v>
      </c>
      <c r="DJ394" s="48" t="s">
        <v>311</v>
      </c>
      <c r="DK394" s="48" t="s">
        <v>275</v>
      </c>
      <c r="DL394" s="48" t="s">
        <v>7</v>
      </c>
      <c r="DM394" s="48" t="s">
        <v>301</v>
      </c>
      <c r="DN394" s="48">
        <f ca="1">IF(DI394&lt;&gt;"",MAX($DN$2:DN393)+1,0)</f>
        <v>322</v>
      </c>
      <c r="DO394" s="48" t="s">
        <v>754</v>
      </c>
      <c r="DY394" s="48" t="str">
        <f t="shared" ca="1" si="735"/>
        <v/>
      </c>
      <c r="EL394" s="48">
        <f t="shared" ca="1" si="736"/>
        <v>0</v>
      </c>
      <c r="EM394" s="48">
        <f ca="1">IF(EL394&gt;=0,0,MAX($EM$2:EM393)+1)</f>
        <v>0</v>
      </c>
      <c r="EN394" s="48" t="str">
        <f t="shared" ca="1" si="746"/>
        <v/>
      </c>
      <c r="EO394" s="48" t="str">
        <f ca="1">IFERROR(INDEX($EM$3:$EN$400,MATCH(ROWS($EO$3:EO394),$EM$3:$EM$400,0),2),"")</f>
        <v/>
      </c>
      <c r="EP394" s="48">
        <f>ROW()</f>
        <v>394</v>
      </c>
      <c r="EQ394" s="48">
        <f t="shared" ca="1" si="737"/>
        <v>0</v>
      </c>
      <c r="ER394" s="48">
        <f ca="1">IF(ISNA(EQ394)=TRUE,MAX($ER$2:ER393)+1,0)</f>
        <v>0</v>
      </c>
      <c r="ES394" s="48" t="str">
        <f t="shared" ca="1" si="747"/>
        <v/>
      </c>
      <c r="ET394" s="48" t="str">
        <f ca="1">IFERROR(INDEX($ER$3:$ES$400,MATCH(ROWS($ET$3:ET394),$ER$3:$ER$400,0),2),"")</f>
        <v/>
      </c>
      <c r="EV394" s="48">
        <f ca="1">IFERROR(INDEX(LIBRO_GIORNALE!$O$11:$P$408,MATCH(ROWS($EV$2:EV393),LIBRO_GIORNALE!$P$11:$P$408,0),1),0)</f>
        <v>0</v>
      </c>
      <c r="EW394" s="48" t="str">
        <f t="shared" ca="1" si="716"/>
        <v>0</v>
      </c>
      <c r="EX394" s="48">
        <f t="shared" ca="1" si="748"/>
        <v>0</v>
      </c>
      <c r="EY394" s="48">
        <f ca="1">IF(EX394&gt;0,MAX($EY$2:EY393)+1,0)</f>
        <v>0</v>
      </c>
      <c r="EZ394" s="48">
        <f ca="1">IFERROR(INDEX($EX$3:$EX$400,MATCH(ROWS($EZ$3:EZ394),$EY$3:$EY$400,0),1),0)</f>
        <v>0</v>
      </c>
      <c r="FA394" s="48">
        <f ca="1">IF(EZ394&gt;0,0,MAX($FA$2:FA393)+1)</f>
        <v>392</v>
      </c>
      <c r="FB394" s="48">
        <f t="shared" ca="1" si="717"/>
        <v>0</v>
      </c>
      <c r="FC394" s="48">
        <f t="shared" ca="1" si="718"/>
        <v>392</v>
      </c>
      <c r="FD394" s="48">
        <f t="shared" ca="1" si="749"/>
        <v>392</v>
      </c>
      <c r="FE394" s="48">
        <f ca="1">IF(FD394=0,0,MAX($FE$2:FE393)+1)</f>
        <v>392</v>
      </c>
      <c r="FF394" s="48">
        <f ca="1">IFERROR(INDEX($FD$3:$FE$400,MATCH(ROWS($FF$3:FF394),$FE$3:$FE$400,0),1),"")</f>
        <v>392</v>
      </c>
      <c r="FG394" s="48">
        <f t="shared" si="696"/>
        <v>0</v>
      </c>
      <c r="FH394" s="48">
        <f t="shared" ca="1" si="750"/>
        <v>0</v>
      </c>
      <c r="FI394" s="48">
        <f ca="1">IF(FH394&lt;&gt;0,MAX($FI$2:FI393)+1,0)</f>
        <v>0</v>
      </c>
      <c r="FJ394" s="48" t="str">
        <f ca="1">IFERROR(INDEX($FH$3:$FI$400,MATCH(ROWS($FJ$3:FJ394),$FI$3:$FI$400,0),1),"")</f>
        <v/>
      </c>
      <c r="FK394" s="48">
        <f ca="1">IF(ABS(SUMIFS(DARE,DEN_G,"="&amp;FJ394,DATA,"&lt;="&amp;FINE_AC,DATA,"&gt;="&amp;INIZIO_A_PC)-SUMIFS(AVERE,DEN_G,"="&amp;FJ394,DATA,"&lt;="&amp;FINE_AC,DATA,"&gt;="&amp;INIZIO_A_PC))&gt;0,MAX($FK$2:FK393)+1,0)</f>
        <v>0</v>
      </c>
      <c r="FL394" s="48" t="str">
        <f ca="1">IF(AND(ROW()-2&lt;&gt;1,ROW()-2&lt;=$FK$1),CONCATENATE(" - ",IFERROR(INDEX($FJ$3:$FK$400,MATCH(ROWS($FL$3:FL394),$FK$3:$FK$400,0),1),"")),IFERROR(INDEX($FJ$3:$FK$400,MATCH(ROWS($FL$3:FL394),$FK$3:$FK$400,0),1),""))</f>
        <v/>
      </c>
      <c r="FM394" s="48">
        <f ca="1">IF(OR(B394="IVA ns/credito",B394="IVA NS/DEBITO",B394="IVA C/ACCONTO",B394="IMPOSTE C/ACCONTO",B394="CREDITI PER RITENUTE SUBITE",B394="CREDITI D'IMPOSTA"),MAX($FM$2:FM393)+1,0)</f>
        <v>0</v>
      </c>
      <c r="FN394" s="48" t="str">
        <f t="shared" ca="1" si="751"/>
        <v/>
      </c>
      <c r="FO394" s="48" t="str">
        <f ca="1">IFERROR(INDEX($FM$3:$FN$400,MATCH(ROWS($FO$3:FO394),$FM$3:$FM$400,0),2),"")</f>
        <v/>
      </c>
      <c r="FP394" s="48">
        <f ca="1">IF(ABS(SUMIFS(DARE,DEN_G,"="&amp;FO394,DATA,"&lt;="&amp;FINE_AC,DATA,"&gt;="&amp;INIZIO_A_PC)-SUMIFS(AVERE,DEN_G,"="&amp;FO394,DATA,"&lt;="&amp;FINE_AC,DATA,"&gt;="&amp;INIZIO_A_PC))&gt;0,MAX($FP$2:FP393)+1,0)</f>
        <v>0</v>
      </c>
      <c r="FQ394" s="48" t="str">
        <f ca="1">IF(AND(ROW()-2&lt;&gt;1,ROW()-2&lt;=$FP$1),CONCATENATE(" - ",IFERROR(INDEX($FO$3:$FP$400,MATCH(ROWS($FQ$3:FQ394),$FP$3:$FP$400,0),1),"")),IFERROR(INDEX($FO$3:$FP$400,MATCH(ROWS($FQ$3:FQ394),$FP$3:$FP$400,0),1),""))</f>
        <v/>
      </c>
    </row>
    <row r="395" spans="1:173" x14ac:dyDescent="0.3">
      <c r="A395" s="48" t="str">
        <f ca="1">IFERROR(IF($A$1=2,INDEX($DH$3:$DN$401,MATCH(ROWS(A$3:A395),$DN$3:$DN$401,0),COLUMN()),IF($A$1=1,INDEX($DQ$3:$DW$401,MATCH(ROWS(A$3:A395),$DW$3:$DW$401,0),COLUMN()),"")),"")</f>
        <v/>
      </c>
      <c r="B395" s="48" t="str">
        <f ca="1">IFERROR(IF($A$1=2,INDEX($DH$3:$DN$400,MATCH(ROWS(B$3:B395),$DN$3:$DN$400,0),COLUMN()),IF($A$1=1,INDEX($DQ$3:$DW$400,MATCH(ROWS(B$3:B395),$DW$3:$DW$400,0),COLUMN()),"")),"")</f>
        <v/>
      </c>
      <c r="D395" s="48" t="str">
        <f ca="1">IFERROR(IF($A$1=2,INDEX($DH$3:$DN$401,MATCH(ROWS(D$3:D395),$DN$3:$DN$401,0),COLUMN()),IF($A$1=1,INDEX($DQ$3:$DW$401,MATCH(ROWS(D$3:D395),$DW$3:$DW$401,0),COLUMN()),"")),"")</f>
        <v/>
      </c>
      <c r="E395" s="48" t="str">
        <f ca="1">IFERROR(IF($A$1=2,INDEX($DH$3:$DN$401,MATCH(ROWS(E$3:E395),$DN$3:$DN$401,0),COLUMN()),IF($A$1=1,INDEX($DQ$3:$DW$401,MATCH(ROWS(E$3:E395),$DW$3:$DW$401,0),COLUMN()),"")),"")</f>
        <v/>
      </c>
      <c r="F395" s="48" t="str">
        <f ca="1">IFERROR(IF($A$1=2,INDEX($DH$3:$DN$401,MATCH(ROWS(F$3:F395),$DN$3:$DN$401,0),COLUMN()),IF($A$1=1,INDEX($DQ$3:$DX$401,MATCH(ROWS(F$3:F395),$DW$3:$DW$401,0),COLUMN()),"")),"")</f>
        <v/>
      </c>
      <c r="G395" s="48" t="str">
        <f t="shared" ca="1" si="738"/>
        <v/>
      </c>
      <c r="H395" s="48" t="str">
        <f ca="1">IFERROR(IF($A$1=2,INDEX($DH$3:$DO$400,MATCH(ROWS(H$3:H395),$DN$3:$DN$400,0),COLUMN()),IF($A$1=1,INDEX($DQ$3:$DX$400,MATCH(ROWS(H$3:H395),$DW$3:$DW$400,0),COLUMN()),"")),"")</f>
        <v/>
      </c>
      <c r="M395" s="48">
        <f ca="1">IFERROR(IF(IF(MID($A395,3,3)=".00",MID(A395,1,2),"")&lt;&gt;"",MAX($M$2:M394)+1,0),"")</f>
        <v>0</v>
      </c>
      <c r="N395" s="48" t="str">
        <f t="shared" ca="1" si="739"/>
        <v/>
      </c>
      <c r="O395" s="48" t="str">
        <f ca="1">IF(IFERROR(INDEX($N$3:$O$300,MATCH(ROWS($O$3:O395),$M$3:$M$300,0),1),"")&lt;&gt;"",CONCATENATE(INDEX($N$3:$O$300,MATCH(ROWS($O$3:O395),$M$3:$M$300,0),1),".00"),"")</f>
        <v/>
      </c>
      <c r="P395" s="48" t="str">
        <f t="shared" ca="1" si="740"/>
        <v/>
      </c>
      <c r="Q395" s="48">
        <f ca="1">IF(M395&gt;=1,0,MAX($Q$2:Q394)+1)</f>
        <v>356</v>
      </c>
      <c r="U395" s="48" t="str">
        <f ca="1">IFERROR(INDEX(PDC,MATCH(ROWS(U$3:U395),$V$3:$V$400,0),2),"")</f>
        <v/>
      </c>
      <c r="V395" s="48">
        <f ca="1">IF(AND($T$1="VISUALIZZA TUTTI I CONTI",AA395&lt;&gt;""),MAX($V$2:V394)+1,IF(AND($U$2=2,AI395=$T$1),MAX($V$2:V394)+1,IF(AND($U$2=1,$T$1=AF395),MAX($V$2:V394)+1,0)))</f>
        <v>0</v>
      </c>
      <c r="AA395" s="48" t="str">
        <f t="shared" ca="1" si="741"/>
        <v/>
      </c>
      <c r="AB395" s="48" t="str">
        <f ca="1">IFERROR(INDEX($A$3:$G$400,MATCH(ROWS(AB$3:AB395),$Q$3:$Q$400,0),1),"")</f>
        <v/>
      </c>
      <c r="AC395" s="48" t="str">
        <f ca="1">IFERROR(INDEX($A$3:$G$400,MATCH(ROWS($AC$3:AC395),$Q$3:$Q$400,0),2),"")</f>
        <v/>
      </c>
      <c r="AD395" s="48" t="str">
        <f ca="1">IFERROR(INDEX($A$3:$G$400,MATCH(ROWS(AD$3:AD395),$Q$3:$Q$400,0),3),"")</f>
        <v/>
      </c>
      <c r="AE395" s="48" t="str">
        <f ca="1">IFERROR(INDEX($A$3:$G$400,MATCH(ROWS(AE$3:AE395),$Q$3:$Q$400,0),4),"")</f>
        <v/>
      </c>
      <c r="AF395" s="48" t="str">
        <f ca="1">IFERROR(INDEX($A$3:$G$400,MATCH(ROWS(AF$3:AF395),$Q$3:$Q$400,0),5),"")</f>
        <v/>
      </c>
      <c r="AG395" s="48" t="str">
        <f ca="1">IFERROR(INDEX($A$3:$G$400,MATCH(ROWS(AG$3:AG395),$Q$3:$Q$400,0),6),"")</f>
        <v/>
      </c>
      <c r="AH395" s="48" t="str">
        <f ca="1">IFERROR(INDEX($A$3:$G$400,MATCH(ROWS(AH$3:AH395),$Q$3:$Q$400,0),7),"")</f>
        <v/>
      </c>
      <c r="AI395" s="48" t="str">
        <f t="shared" ca="1" si="742"/>
        <v/>
      </c>
      <c r="AJ395" s="48" t="str">
        <f ca="1">IFERROR(INDEX($A$3:$H$400,MATCH(ROWS(AJ$3:AJ395),$Q$3:$Q$400,0),8),"")</f>
        <v/>
      </c>
      <c r="AZ395" s="48" t="str">
        <f t="shared" ca="1" si="752"/>
        <v/>
      </c>
      <c r="BA395" s="48">
        <f t="shared" ca="1" si="697"/>
        <v>0</v>
      </c>
      <c r="BB395" s="48">
        <f t="shared" ca="1" si="698"/>
        <v>0</v>
      </c>
      <c r="BC395" s="48">
        <f t="shared" ca="1" si="699"/>
        <v>0</v>
      </c>
      <c r="BD395" s="48">
        <f t="shared" ca="1" si="700"/>
        <v>0</v>
      </c>
      <c r="BE395" s="48">
        <f t="shared" ca="1" si="701"/>
        <v>0</v>
      </c>
      <c r="BF395" s="48">
        <f t="shared" si="711"/>
        <v>195</v>
      </c>
      <c r="BG395" s="48">
        <f ca="1">IF(IF(AND(OR(INDEX(PDC,MATCH($AC395,DEN_PDC,0),6)="SP DARE",INDEX(PDC,MATCH($AC395,DEN_PDC,0),6)="SP DARE/AVERE"),SUMIFS(DARE,DEN_G,$AC395)&gt;=SUMIFS(AVERE,DEN_G,$AC395)),SUMIFS(DARE,DEN_G,$AC395)-SUMIFS(AVERE,DEN_G,$AC395),0)&gt;0,MAX($BG$2:BG394)+1,0)</f>
        <v>0</v>
      </c>
      <c r="BH395" s="48">
        <f ca="1">IF(IF(AND(OR(INDEX(PDC,MATCH($AC395,DEN_PDC,0),6)="SP AVERE",INDEX(PDC,MATCH($AC395,DEN_PDC,0),6)="SP DARE/AVERE"),SUMIFS(AVERE,DEN_G,$AC395)&gt;=SUMIFS(DARE,DEN_G,$AC395)),SUMIFS(AVERE,DEN_G,$AC395)-SUMIFS(DARE,DEN_G,$AC395),0)&gt;0,MAX(BH$2:BH394)+1,0)</f>
        <v>0</v>
      </c>
      <c r="BI395" s="48">
        <f ca="1">IF(IF(AND(OR(INDEX(PDC,MATCH($AC395,DEN_PDC,0),6)="SE DARE",INDEX(PDC,MATCH($AC395,DEN_PDC,0),6)="SE DARE/AVERE"),SUMIFS(DARE,DEN_G,$AC395)&gt;=SUMIFS(AVERE,DEN_G,$AC395)),SUMIFS(DARE,DEN_G,$AC395)-SUMIFS(AVERE,DEN_G,$AC395),0)&gt;0,MAX(BI$2:BI394)+1,0)</f>
        <v>0</v>
      </c>
      <c r="BJ395" s="48">
        <f ca="1">IF(IF(AND(OR(INDEX(PDC,MATCH($AC395,DEN_PDC,0),6)="SE AVERE",INDEX(PDC,MATCH($AC395,DEN_PDC,0),6)="SE DARE/AVERE"),SUMIFS(AVERE,DEN_G,$AC395)&gt;=SUMIFS(DARE,DEN_G,$AC395)),SUMIFS(AVERE,DEN_G,$AC395)-SUMIFS(DARE,DEN_G,$AC395),0)&gt;0,MAX(BJ$2:BJ394)+1,0)</f>
        <v>0</v>
      </c>
      <c r="BK395" s="48" t="str">
        <f ca="1">IF(AND(AND($DY$2=0,$DY$1=0),$I$1=2,ROW()&gt;$BG$1+2,ROW()&lt;=$BG$1+4),"………………..",IF(AND(OR($DY$2&gt;0,$DY$1&gt;0),$I$1=2,ROW()&gt;$BG$1+2,ROW()&lt;=$BG$1+4),"………………..",IFERROR(INDEX($AC$3:$AC$398,MATCH(ROWS(BK$3:BK395),BG$3:BG$398,0),1),"")))</f>
        <v/>
      </c>
      <c r="BL395" s="48">
        <f t="shared" ca="1" si="726"/>
        <v>0</v>
      </c>
      <c r="BM395" s="48" t="str">
        <f ca="1">IF(AND(OR($DY$2=0,$DY$1=0),$I$1=2,ROW()&gt;$BH$1+2,ROW()&lt;=$BH$1+4),"………………..",IF(AND(OR($DY$2&gt;0,$DY$1&gt;0),$I$1=2,ROW()&gt;$BH$1+2,ROW()&lt;=$BH$1+4),"………………..",IFERROR(INDEX($AC$3:$AC$400,MATCH(ROWS(BM$3:BM395),BH$3:BH$400,0),1),"")))</f>
        <v/>
      </c>
      <c r="BN395" s="48">
        <f t="shared" ca="1" si="727"/>
        <v>0</v>
      </c>
      <c r="BO395" s="48" t="str">
        <f ca="1">IF(AND(OR($DY$2=0,$DY$1=0),$I$1=2,ROW()&gt;$BI$1+2,ROW()&lt;=$BI$1+4),"………………..",IF(AND(OR($DY$2&gt;0,$DY$1&gt;0),$I$1=2,ROW()&gt;$BI$1+2,ROW()&lt;=$BI$1+4),"………………..",IFERROR(INDEX($AC$3:$AC$400,MATCH(ROWS(BO$3:BO395),BI$3:BI$400,0),1),"")))</f>
        <v/>
      </c>
      <c r="BP395" s="48">
        <f t="shared" ca="1" si="728"/>
        <v>0</v>
      </c>
      <c r="BQ395" s="48" t="str">
        <f ca="1">IF(AND(OR($DY$2=0,$DY$1=0),$I$1=2,ROW()&gt;$BJ$1+2,ROW()&lt;=$BJ$1+4),"………………..",IF(AND(OR($DY$2&gt;0,$DY$1&gt;0),$I$1=2,ROW()&gt;$BJ$1+2,ROW()&lt;=$BJ$1+4),"………………..",IFERROR(INDEX($AC$3:$AC$400,MATCH(ROWS(BQ$3:BQ395),BJ$3:BJ$400,0),1),"")))</f>
        <v/>
      </c>
      <c r="BR395" s="48">
        <f t="shared" ca="1" si="729"/>
        <v>0</v>
      </c>
      <c r="BS395" s="48">
        <f ca="1">IF(IF(AND(OR(INDEX(PDC,MATCH($AC395,DEN_PDC,0),4)="D",INDEX(PDC,MATCH($AC395,DEN_PDC,0),4)="D/A"),SUMIFS(DARE,DEN_G,$AC395)&gt;=SUMIFS(AVERE,DEN_G,$AC395)),SUMIFS(DARE,DEN_G,$AC395),IF(AND(OR(INDEX(PDC,MATCH($AC395,DEN_PDC,0),4)="A",INDEX(PDC,MATCH($AC395,DEN_PDC,0),4)="D/A"),SUMIFS(AVERE,DEN_G,$AC395)&gt;=SUMIFS(DARE,DEN_G,$AC395)),SUMIFS(AVERE,DEN_G,$AC395),))&gt;0,MAX($BS$2:BS394)+1,0)</f>
        <v>0</v>
      </c>
      <c r="BT395" s="48" t="str">
        <f ca="1">IF($CO$1=0,"",IF(AND($I$1=2,ROW()&gt;$BR$1,ROW()&lt;=$BS$1)," …………….",IF(AND($E$1=1,$BX$1=1,$I$1=2,ROW()=$BQ$1),"TOTALI",IFERROR(INDEX(PDC,MATCH(ROWS(BT$3:BT395),BS$3:BS792,0),2),""))))</f>
        <v/>
      </c>
      <c r="BU395" s="48">
        <f t="shared" ca="1" si="730"/>
        <v>0</v>
      </c>
      <c r="BV395" s="48">
        <f t="shared" ca="1" si="731"/>
        <v>0</v>
      </c>
      <c r="BW395" s="48">
        <f t="shared" ca="1" si="732"/>
        <v>0</v>
      </c>
      <c r="BX395" s="48">
        <f t="shared" ca="1" si="733"/>
        <v>0</v>
      </c>
      <c r="BY395" s="48">
        <f ca="1">IF(OR(BW395&gt;0,BX395&gt;0),MAX($BY$2:BY394)+1,0)</f>
        <v>0</v>
      </c>
      <c r="BZ395" s="48" t="str">
        <f ca="1">IFERROR(INDEX($BT$3:$BY$400,MATCH(ROWS(BZ$3:BZ395),$BY$3:$BY$400,0),1),"")</f>
        <v/>
      </c>
      <c r="CA395" s="48" t="str">
        <f ca="1">IFERROR(INDEX($BT$3:$BY$400,MATCH(ROWS(CA$3:CA395),$BY$3:$BY$400,0),4),"")</f>
        <v/>
      </c>
      <c r="CB395" s="48" t="str">
        <f ca="1">IFERROR(INDEX($BT$3:$BY$400,MATCH(ROWS(CB$3:CB395),$BY$3:$BY$400,0),5),"")</f>
        <v/>
      </c>
      <c r="CC395" s="48" t="str">
        <f t="shared" ca="1" si="734"/>
        <v/>
      </c>
      <c r="CM395" s="242" t="str">
        <f t="shared" ca="1" si="743"/>
        <v/>
      </c>
      <c r="CN395" s="243">
        <f t="shared" ca="1" si="744"/>
        <v>0</v>
      </c>
      <c r="CO395" s="48" t="str">
        <f t="shared" ca="1" si="745"/>
        <v/>
      </c>
      <c r="CU395" s="48">
        <f ca="1">IF(SUMIFS(AVERE,DEN_G,AC395,AVERE,"&gt;"&amp;0)+SUMIFS(DARE,DEN_G,AC395,DARE,"&gt;"&amp;0)&gt;0,MAX($CU$2:CU394)+1,0)</f>
        <v>0</v>
      </c>
      <c r="CV395" s="48" t="str">
        <f ca="1">IF(IFERROR(INDEX(PDC,MATCH(ROWS($CV$3:CV395),$CU$3:$CU$400,0),2),"")="CONTO DI RISULTATO ECONOMICO","",IFERROR(INDEX(PDC,MATCH(ROWS($CV$3:CV395),$CU$3:$CU$400,0),2),""))</f>
        <v/>
      </c>
      <c r="CW395" s="48">
        <f ca="1">IFERROR(IF(CV395&lt;&gt;"",MAX($CW$2:CW394)+1,0),0)</f>
        <v>0</v>
      </c>
      <c r="CX395" s="48">
        <f t="shared" ca="1" si="755"/>
        <v>31</v>
      </c>
      <c r="CY395" s="48" t="str">
        <f t="shared" ca="1" si="754"/>
        <v>MASTRO</v>
      </c>
      <c r="CZ395" s="48" t="e">
        <f t="shared" ref="CZ395:CZ404" ca="1" si="757">SUM(MATCH($CY395,INDIRECT(ADDRESS(SUM(CZ394)+3,54)&amp;":"&amp;ADDRESS(400,54)),0),CZ394)</f>
        <v>#N/A</v>
      </c>
      <c r="DA395" s="48" t="str">
        <f ca="1">IFERROR(INDEX(LIBRO_GIORNALE,CZ395,1),"")</f>
        <v/>
      </c>
      <c r="DB395" s="48" t="str">
        <f t="shared" ca="1" si="682"/>
        <v/>
      </c>
      <c r="DC395" s="48" t="str">
        <f t="shared" ref="DC395:DC404" ca="1" si="758">IF(IFERROR(INDEX(LIBRO_GIORNALE,CZ395,4),"")=0,"manca la descrizione dell'operazione",IFERROR(INDEX(LIBRO_GIORNALE,CZ395,4),""))</f>
        <v/>
      </c>
      <c r="DD395" s="48" t="str">
        <f t="shared" ref="DD395:DD404" ca="1" si="759">IFERROR(IF(INDEX(LIBRO_GIORNALE,CZ395,5)&gt;0,INDEX(LIBRO_GIORNALE,CZ395,5),""),"")</f>
        <v/>
      </c>
      <c r="DE395" s="48" t="str">
        <f t="shared" ref="DE395:DE404" ca="1" si="760">IFERROR(IF(INDEX(LIBRO_GIORNALE,CZ395,6)&gt;0,INDEX(LIBRO_GIORNALE,CZ395,6),""),"")</f>
        <v/>
      </c>
      <c r="DF395" s="48">
        <f ca="1">IF(AND(CX395=$DF$1,CX395&lt;&gt;""),0,IF(AND(DB395&lt;&gt;"",OR(DB394&lt;&gt;"",DB396&lt;&gt;"")),MAX($DF$2:DF394)+1,0))</f>
        <v>0</v>
      </c>
      <c r="DH395" s="244" t="s">
        <v>266</v>
      </c>
      <c r="DI395" s="228" t="s">
        <v>265</v>
      </c>
      <c r="DN395" s="48">
        <f ca="1">IF(DI395&lt;&gt;"",MAX($DN$2:DN394)+1,0)</f>
        <v>323</v>
      </c>
      <c r="DY395" s="48" t="str">
        <f t="shared" ca="1" si="735"/>
        <v/>
      </c>
      <c r="EL395" s="48">
        <f t="shared" ca="1" si="736"/>
        <v>0</v>
      </c>
      <c r="EM395" s="48">
        <f ca="1">IF(EL395&gt;=0,0,MAX($EM$2:EM394)+1)</f>
        <v>0</v>
      </c>
      <c r="EN395" s="48" t="str">
        <f t="shared" ca="1" si="746"/>
        <v/>
      </c>
      <c r="EO395" s="48" t="str">
        <f ca="1">IFERROR(INDEX($EM$3:$EN$400,MATCH(ROWS($EO$3:EO395),$EM$3:$EM$400,0),2),"")</f>
        <v/>
      </c>
      <c r="EP395" s="48">
        <f>ROW()</f>
        <v>395</v>
      </c>
      <c r="EQ395" s="48">
        <f t="shared" ca="1" si="737"/>
        <v>0</v>
      </c>
      <c r="ER395" s="48">
        <f ca="1">IF(ISNA(EQ395)=TRUE,MAX($ER$2:ER394)+1,0)</f>
        <v>0</v>
      </c>
      <c r="ES395" s="48" t="str">
        <f t="shared" ca="1" si="747"/>
        <v/>
      </c>
      <c r="ET395" s="48" t="str">
        <f ca="1">IFERROR(INDEX($ER$3:$ES$400,MATCH(ROWS($ET$3:ET395),$ER$3:$ER$400,0),2),"")</f>
        <v/>
      </c>
      <c r="EV395" s="48">
        <f ca="1">IFERROR(INDEX(LIBRO_GIORNALE!$O$11:$P$408,MATCH(ROWS($EV$2:EV394),LIBRO_GIORNALE!$P$11:$P$408,0),1),0)</f>
        <v>0</v>
      </c>
      <c r="EW395" s="48" t="str">
        <f t="shared" ca="1" si="716"/>
        <v>0</v>
      </c>
      <c r="EX395" s="48">
        <f t="shared" ca="1" si="748"/>
        <v>0</v>
      </c>
      <c r="EY395" s="48">
        <f ca="1">IF(EX395&gt;0,MAX($EY$2:EY394)+1,0)</f>
        <v>0</v>
      </c>
      <c r="EZ395" s="48">
        <f ca="1">IFERROR(INDEX($EX$3:$EX$400,MATCH(ROWS($EZ$3:EZ395),$EY$3:$EY$400,0),1),0)</f>
        <v>0</v>
      </c>
      <c r="FA395" s="48">
        <f ca="1">IF(EZ395&gt;0,0,MAX($FA$2:FA394)+1)</f>
        <v>393</v>
      </c>
      <c r="FB395" s="48">
        <f t="shared" ca="1" si="717"/>
        <v>0</v>
      </c>
      <c r="FC395" s="48">
        <f t="shared" ca="1" si="718"/>
        <v>393</v>
      </c>
      <c r="FD395" s="48">
        <f t="shared" ca="1" si="749"/>
        <v>393</v>
      </c>
      <c r="FE395" s="48">
        <f ca="1">IF(FD395=0,0,MAX($FE$2:FE394)+1)</f>
        <v>393</v>
      </c>
      <c r="FF395" s="48">
        <f ca="1">IFERROR(INDEX($FD$3:$FE$400,MATCH(ROWS($FF$3:FF395),$FE$3:$FE$400,0),1),"")</f>
        <v>393</v>
      </c>
      <c r="FG395" s="48">
        <f t="shared" si="696"/>
        <v>0</v>
      </c>
      <c r="FH395" s="48">
        <f t="shared" ca="1" si="750"/>
        <v>0</v>
      </c>
      <c r="FI395" s="48">
        <f ca="1">IF(FH395&lt;&gt;0,MAX($FI$2:FI394)+1,0)</f>
        <v>0</v>
      </c>
      <c r="FJ395" s="48" t="str">
        <f ca="1">IFERROR(INDEX($FH$3:$FI$400,MATCH(ROWS($FJ$3:FJ395),$FI$3:$FI$400,0),1),"")</f>
        <v/>
      </c>
      <c r="FK395" s="48">
        <f ca="1">IF(ABS(SUMIFS(DARE,DEN_G,"="&amp;FJ395,DATA,"&lt;="&amp;FINE_AC,DATA,"&gt;="&amp;INIZIO_A_PC)-SUMIFS(AVERE,DEN_G,"="&amp;FJ395,DATA,"&lt;="&amp;FINE_AC,DATA,"&gt;="&amp;INIZIO_A_PC))&gt;0,MAX($FK$2:FK394)+1,0)</f>
        <v>0</v>
      </c>
      <c r="FL395" s="48" t="str">
        <f ca="1">IF(AND(ROW()-2&lt;&gt;1,ROW()-2&lt;=$FK$1),CONCATENATE(" - ",IFERROR(INDEX($FJ$3:$FK$400,MATCH(ROWS($FL$3:FL395),$FK$3:$FK$400,0),1),"")),IFERROR(INDEX($FJ$3:$FK$400,MATCH(ROWS($FL$3:FL395),$FK$3:$FK$400,0),1),""))</f>
        <v/>
      </c>
      <c r="FM395" s="48">
        <f ca="1">IF(OR(B395="IVA ns/credito",B395="IVA NS/DEBITO",B395="IVA C/ACCONTO",B395="IMPOSTE C/ACCONTO",B395="CREDITI PER RITENUTE SUBITE",B395="CREDITI D'IMPOSTA"),MAX($FM$2:FM394)+1,0)</f>
        <v>0</v>
      </c>
      <c r="FN395" s="48" t="str">
        <f t="shared" ca="1" si="751"/>
        <v/>
      </c>
      <c r="FO395" s="48" t="str">
        <f ca="1">IFERROR(INDEX($FM$3:$FN$400,MATCH(ROWS($FO$3:FO395),$FM$3:$FM$400,0),2),"")</f>
        <v/>
      </c>
      <c r="FP395" s="48">
        <f ca="1">IF(ABS(SUMIFS(DARE,DEN_G,"="&amp;FO395,DATA,"&lt;="&amp;FINE_AC,DATA,"&gt;="&amp;INIZIO_A_PC)-SUMIFS(AVERE,DEN_G,"="&amp;FO395,DATA,"&lt;="&amp;FINE_AC,DATA,"&gt;="&amp;INIZIO_A_PC))&gt;0,MAX($FP$2:FP394)+1,0)</f>
        <v>0</v>
      </c>
      <c r="FQ395" s="48" t="str">
        <f ca="1">IF(AND(ROW()-2&lt;&gt;1,ROW()-2&lt;=$FP$1),CONCATENATE(" - ",IFERROR(INDEX($FO$3:$FP$400,MATCH(ROWS($FQ$3:FQ395),$FP$3:$FP$400,0),1),"")),IFERROR(INDEX($FO$3:$FP$400,MATCH(ROWS($FQ$3:FQ395),$FP$3:$FP$400,0),1),""))</f>
        <v/>
      </c>
    </row>
    <row r="396" spans="1:173" x14ac:dyDescent="0.3">
      <c r="A396" s="48" t="str">
        <f ca="1">IFERROR(IF($A$1=2,INDEX($DH$3:$DN$401,MATCH(ROWS(A$3:A396),$DN$3:$DN$401,0),COLUMN()),IF($A$1=1,INDEX($DQ$3:$DW$401,MATCH(ROWS(A$3:A396),$DW$3:$DW$401,0),COLUMN()),"")),"")</f>
        <v/>
      </c>
      <c r="B396" s="48" t="str">
        <f ca="1">IFERROR(IF($A$1=2,INDEX($DH$3:$DN$400,MATCH(ROWS(B$3:B396),$DN$3:$DN$400,0),COLUMN()),IF($A$1=1,INDEX($DQ$3:$DW$400,MATCH(ROWS(B$3:B396),$DW$3:$DW$400,0),COLUMN()),"")),"")</f>
        <v/>
      </c>
      <c r="D396" s="48" t="str">
        <f ca="1">IFERROR(IF($A$1=2,INDEX($DH$3:$DN$401,MATCH(ROWS(D$3:D396),$DN$3:$DN$401,0),COLUMN()),IF($A$1=1,INDEX($DQ$3:$DW$401,MATCH(ROWS(D$3:D396),$DW$3:$DW$401,0),COLUMN()),"")),"")</f>
        <v/>
      </c>
      <c r="E396" s="48" t="str">
        <f ca="1">IFERROR(IF($A$1=2,INDEX($DH$3:$DN$401,MATCH(ROWS(E$3:E396),$DN$3:$DN$401,0),COLUMN()),IF($A$1=1,INDEX($DQ$3:$DW$401,MATCH(ROWS(E$3:E396),$DW$3:$DW$401,0),COLUMN()),"")),"")</f>
        <v/>
      </c>
      <c r="F396" s="48" t="str">
        <f ca="1">IFERROR(IF($A$1=2,INDEX($DH$3:$DN$401,MATCH(ROWS(F$3:F396),$DN$3:$DN$401,0),COLUMN()),IF($A$1=1,INDEX($DQ$3:$DX$401,MATCH(ROWS(F$3:F396),$DW$3:$DW$401,0),COLUMN()),"")),"")</f>
        <v/>
      </c>
      <c r="G396" s="48" t="str">
        <f t="shared" ca="1" si="738"/>
        <v/>
      </c>
      <c r="H396" s="48" t="str">
        <f ca="1">IFERROR(IF($A$1=2,INDEX($DH$3:$DO$400,MATCH(ROWS(H$3:H396),$DN$3:$DN$400,0),COLUMN()),IF($A$1=1,INDEX($DQ$3:$DX$400,MATCH(ROWS(H$3:H396),$DW$3:$DW$400,0),COLUMN()),"")),"")</f>
        <v/>
      </c>
      <c r="M396" s="48">
        <f ca="1">IFERROR(IF(IF(MID($A396,3,3)=".00",MID(A396,1,2),"")&lt;&gt;"",MAX($M$2:M395)+1,0),"")</f>
        <v>0</v>
      </c>
      <c r="N396" s="48" t="str">
        <f t="shared" ca="1" si="739"/>
        <v/>
      </c>
      <c r="O396" s="48" t="str">
        <f ca="1">IF(IFERROR(INDEX($N$3:$O$300,MATCH(ROWS($O$3:O396),$M$3:$M$300,0),1),"")&lt;&gt;"",CONCATENATE(INDEX($N$3:$O$300,MATCH(ROWS($O$3:O396),$M$3:$M$300,0),1),".00"),"")</f>
        <v/>
      </c>
      <c r="P396" s="48" t="str">
        <f t="shared" ca="1" si="740"/>
        <v/>
      </c>
      <c r="Q396" s="48">
        <f ca="1">IF(M396&gt;=1,0,MAX($Q$2:Q395)+1)</f>
        <v>357</v>
      </c>
      <c r="U396" s="48" t="str">
        <f ca="1">IFERROR(INDEX(PDC,MATCH(ROWS(U$3:U396),$V$3:$V$400,0),2),"")</f>
        <v/>
      </c>
      <c r="V396" s="48">
        <f ca="1">IF(AND($T$1="VISUALIZZA TUTTI I CONTI",AA396&lt;&gt;""),MAX($V$2:V395)+1,IF(AND($U$2=2,AI396=$T$1),MAX($V$2:V395)+1,IF(AND($U$2=1,$T$1=AF396),MAX($V$2:V395)+1,0)))</f>
        <v>0</v>
      </c>
      <c r="AA396" s="48" t="str">
        <f t="shared" ca="1" si="741"/>
        <v/>
      </c>
      <c r="AB396" s="48" t="str">
        <f ca="1">IFERROR(INDEX($A$3:$G$400,MATCH(ROWS(AB$3:AB396),$Q$3:$Q$400,0),1),"")</f>
        <v/>
      </c>
      <c r="AC396" s="48" t="str">
        <f ca="1">IFERROR(INDEX($A$3:$G$400,MATCH(ROWS($AC$3:AC396),$Q$3:$Q$400,0),2),"")</f>
        <v/>
      </c>
      <c r="AD396" s="48" t="str">
        <f ca="1">IFERROR(INDEX($A$3:$G$400,MATCH(ROWS(AD$3:AD396),$Q$3:$Q$400,0),3),"")</f>
        <v/>
      </c>
      <c r="AE396" s="48" t="str">
        <f ca="1">IFERROR(INDEX($A$3:$G$400,MATCH(ROWS(AE$3:AE396),$Q$3:$Q$400,0),4),"")</f>
        <v/>
      </c>
      <c r="AF396" s="48" t="str">
        <f ca="1">IFERROR(INDEX($A$3:$G$400,MATCH(ROWS(AF$3:AF396),$Q$3:$Q$400,0),5),"")</f>
        <v/>
      </c>
      <c r="AG396" s="48" t="str">
        <f ca="1">IFERROR(INDEX($A$3:$G$400,MATCH(ROWS(AG$3:AG396),$Q$3:$Q$400,0),6),"")</f>
        <v/>
      </c>
      <c r="AH396" s="48" t="str">
        <f ca="1">IFERROR(INDEX($A$3:$G$400,MATCH(ROWS(AH$3:AH396),$Q$3:$Q$400,0),7),"")</f>
        <v/>
      </c>
      <c r="AI396" s="48" t="str">
        <f t="shared" ca="1" si="742"/>
        <v/>
      </c>
      <c r="AJ396" s="48" t="str">
        <f ca="1">IFERROR(INDEX($A$3:$H$400,MATCH(ROWS(AJ$3:AJ396),$Q$3:$Q$400,0),8),"")</f>
        <v/>
      </c>
      <c r="AZ396" s="48" t="str">
        <f ca="1">IF(BB396=0,"",ROW()-200)</f>
        <v/>
      </c>
      <c r="BA396" s="48">
        <f t="shared" ca="1" si="697"/>
        <v>0</v>
      </c>
      <c r="BB396" s="48">
        <f t="shared" ca="1" si="698"/>
        <v>0</v>
      </c>
      <c r="BC396" s="48">
        <f t="shared" ca="1" si="699"/>
        <v>0</v>
      </c>
      <c r="BD396" s="48">
        <f t="shared" ca="1" si="700"/>
        <v>0</v>
      </c>
      <c r="BE396" s="48">
        <f t="shared" ca="1" si="701"/>
        <v>0</v>
      </c>
      <c r="BF396" s="48">
        <f t="shared" si="711"/>
        <v>196</v>
      </c>
      <c r="BG396" s="48">
        <f ca="1">IF(IF(AND(OR(INDEX(PDC,MATCH($AC396,DEN_PDC,0),6)="SP DARE",INDEX(PDC,MATCH($AC396,DEN_PDC,0),6)="SP DARE/AVERE"),SUMIFS(DARE,DEN_G,$AC396)&gt;=SUMIFS(AVERE,DEN_G,$AC396)),SUMIFS(DARE,DEN_G,$AC396)-SUMIFS(AVERE,DEN_G,$AC396),0)&gt;0,MAX($BG$2:BG395)+1,0)</f>
        <v>0</v>
      </c>
      <c r="BH396" s="48">
        <f ca="1">IF(IF(AND(OR(INDEX(PDC,MATCH($AC396,DEN_PDC,0),6)="SP AVERE",INDEX(PDC,MATCH($AC396,DEN_PDC,0),6)="SP DARE/AVERE"),SUMIFS(AVERE,DEN_G,$AC396)&gt;=SUMIFS(DARE,DEN_G,$AC396)),SUMIFS(AVERE,DEN_G,$AC396)-SUMIFS(DARE,DEN_G,$AC396),0)&gt;0,MAX(BH$2:BH395)+1,0)</f>
        <v>0</v>
      </c>
      <c r="BI396" s="48">
        <f ca="1">IF(IF(AND(OR(INDEX(PDC,MATCH($AC396,DEN_PDC,0),6)="SE DARE",INDEX(PDC,MATCH($AC396,DEN_PDC,0),6)="SE DARE/AVERE"),SUMIFS(DARE,DEN_G,$AC396)&gt;=SUMIFS(AVERE,DEN_G,$AC396)),SUMIFS(DARE,DEN_G,$AC396)-SUMIFS(AVERE,DEN_G,$AC396),0)&gt;0,MAX(BI$2:BI395)+1,0)</f>
        <v>0</v>
      </c>
      <c r="BJ396" s="48">
        <f ca="1">IF(IF(AND(OR(INDEX(PDC,MATCH($AC396,DEN_PDC,0),6)="SE AVERE",INDEX(PDC,MATCH($AC396,DEN_PDC,0),6)="SE DARE/AVERE"),SUMIFS(AVERE,DEN_G,$AC396)&gt;=SUMIFS(DARE,DEN_G,$AC396)),SUMIFS(AVERE,DEN_G,$AC396)-SUMIFS(DARE,DEN_G,$AC396),0)&gt;0,MAX(BJ$2:BJ395)+1,0)</f>
        <v>0</v>
      </c>
      <c r="BK396" s="48" t="str">
        <f ca="1">IF(AND(AND($DY$2=0,$DY$1=0),$I$1=2,ROW()&gt;$BG$1+2,ROW()&lt;=$BG$1+4),"………………..",IF(AND(OR($DY$2&gt;0,$DY$1&gt;0),$I$1=2,ROW()&gt;$BG$1+2,ROW()&lt;=$BG$1+4),"………………..",IFERROR(INDEX($AC$3:$AC$398,MATCH(ROWS(BK$3:BK396),BG$3:BG$398,0),1),"")))</f>
        <v/>
      </c>
      <c r="BL396" s="48">
        <f t="shared" ca="1" si="726"/>
        <v>0</v>
      </c>
      <c r="BM396" s="48" t="str">
        <f ca="1">IF(AND(OR($DY$2=0,$DY$1=0),$I$1=2,ROW()&gt;$BH$1+2,ROW()&lt;=$BH$1+4),"………………..",IF(AND(OR($DY$2&gt;0,$DY$1&gt;0),$I$1=2,ROW()&gt;$BH$1+2,ROW()&lt;=$BH$1+4),"………………..",IFERROR(INDEX($AC$3:$AC$400,MATCH(ROWS(BM$3:BM396),BH$3:BH$400,0),1),"")))</f>
        <v/>
      </c>
      <c r="BN396" s="48">
        <f t="shared" ca="1" si="727"/>
        <v>0</v>
      </c>
      <c r="BO396" s="48" t="str">
        <f ca="1">IF(AND(OR($DY$2=0,$DY$1=0),$I$1=2,ROW()&gt;$BI$1+2,ROW()&lt;=$BI$1+4),"………………..",IF(AND(OR($DY$2&gt;0,$DY$1&gt;0),$I$1=2,ROW()&gt;$BI$1+2,ROW()&lt;=$BI$1+4),"………………..",IFERROR(INDEX($AC$3:$AC$400,MATCH(ROWS(BO$3:BO396),BI$3:BI$400,0),1),"")))</f>
        <v/>
      </c>
      <c r="BP396" s="48">
        <f t="shared" ca="1" si="728"/>
        <v>0</v>
      </c>
      <c r="BQ396" s="48" t="str">
        <f ca="1">IF(AND(OR($DY$2=0,$DY$1=0),$I$1=2,ROW()&gt;$BJ$1+2,ROW()&lt;=$BJ$1+4),"………………..",IF(AND(OR($DY$2&gt;0,$DY$1&gt;0),$I$1=2,ROW()&gt;$BJ$1+2,ROW()&lt;=$BJ$1+4),"………………..",IFERROR(INDEX($AC$3:$AC$400,MATCH(ROWS(BQ$3:BQ396),BJ$3:BJ$400,0),1),"")))</f>
        <v/>
      </c>
      <c r="BR396" s="48">
        <f t="shared" ca="1" si="729"/>
        <v>0</v>
      </c>
      <c r="BS396" s="48">
        <f ca="1">IF(IF(AND(OR(INDEX(PDC,MATCH($AC396,DEN_PDC,0),4)="D",INDEX(PDC,MATCH($AC396,DEN_PDC,0),4)="D/A"),SUMIFS(DARE,DEN_G,$AC396)&gt;=SUMIFS(AVERE,DEN_G,$AC396)),SUMIFS(DARE,DEN_G,$AC396),IF(AND(OR(INDEX(PDC,MATCH($AC396,DEN_PDC,0),4)="A",INDEX(PDC,MATCH($AC396,DEN_PDC,0),4)="D/A"),SUMIFS(AVERE,DEN_G,$AC396)&gt;=SUMIFS(DARE,DEN_G,$AC396)),SUMIFS(AVERE,DEN_G,$AC396),))&gt;0,MAX($BS$2:BS395)+1,0)</f>
        <v>0</v>
      </c>
      <c r="BT396" s="48" t="str">
        <f ca="1">IF($CO$1=0,"",IF(AND($I$1=2,ROW()&gt;$BR$1,ROW()&lt;=$BS$1)," …………….",IF(AND($E$1=1,$BX$1=1,$I$1=2,ROW()=$BQ$1),"TOTALI",IFERROR(INDEX(PDC,MATCH(ROWS(BT$3:BT396),BS$3:BS793,0),2),""))))</f>
        <v/>
      </c>
      <c r="BU396" s="48">
        <f t="shared" ca="1" si="730"/>
        <v>0</v>
      </c>
      <c r="BV396" s="48">
        <f t="shared" ca="1" si="731"/>
        <v>0</v>
      </c>
      <c r="BW396" s="48">
        <f t="shared" ca="1" si="732"/>
        <v>0</v>
      </c>
      <c r="BX396" s="48">
        <f t="shared" ca="1" si="733"/>
        <v>0</v>
      </c>
      <c r="BY396" s="48">
        <f ca="1">IF(OR(BW396&gt;0,BX396&gt;0),MAX($BY$2:BY395)+1,0)</f>
        <v>0</v>
      </c>
      <c r="BZ396" s="48" t="str">
        <f ca="1">IFERROR(INDEX($BT$3:$BY$400,MATCH(ROWS(BZ$3:BZ396),$BY$3:$BY$400,0),1),"")</f>
        <v/>
      </c>
      <c r="CA396" s="48" t="str">
        <f ca="1">IFERROR(INDEX($BT$3:$BY$400,MATCH(ROWS(CA$3:CA396),$BY$3:$BY$400,0),4),"")</f>
        <v/>
      </c>
      <c r="CB396" s="48" t="str">
        <f ca="1">IFERROR(INDEX($BT$3:$BY$400,MATCH(ROWS(CB$3:CB396),$BY$3:$BY$400,0),5),"")</f>
        <v/>
      </c>
      <c r="CC396" s="48" t="str">
        <f t="shared" ca="1" si="734"/>
        <v/>
      </c>
      <c r="CM396" s="242" t="str">
        <f t="shared" ca="1" si="743"/>
        <v/>
      </c>
      <c r="CN396" s="243">
        <f t="shared" ca="1" si="744"/>
        <v>0</v>
      </c>
      <c r="CO396" s="48" t="str">
        <f t="shared" ca="1" si="745"/>
        <v/>
      </c>
      <c r="CU396" s="48">
        <f ca="1">IF(SUMIFS(AVERE,DEN_G,AC396,AVERE,"&gt;"&amp;0)+SUMIFS(DARE,DEN_G,AC396,DARE,"&gt;"&amp;0)&gt;0,MAX($CU$2:CU395)+1,0)</f>
        <v>0</v>
      </c>
      <c r="CV396" s="48" t="str">
        <f ca="1">IF(IFERROR(INDEX(PDC,MATCH(ROWS($CV$3:CV396),$CU$3:$CU$400,0),2),"")="CONTO DI RISULTATO ECONOMICO","",IFERROR(INDEX(PDC,MATCH(ROWS($CV$3:CV396),$CU$3:$CU$400,0),2),""))</f>
        <v/>
      </c>
      <c r="CW396" s="48">
        <f ca="1">IFERROR(IF(CV396&lt;&gt;"",MAX($CW$2:CW395)+1,0),0)</f>
        <v>0</v>
      </c>
      <c r="CX396" s="48">
        <f t="shared" ca="1" si="755"/>
        <v>31</v>
      </c>
      <c r="CY396" s="48" t="str">
        <f t="shared" ca="1" si="754"/>
        <v>MASTRO</v>
      </c>
      <c r="CZ396" s="48" t="e">
        <f t="shared" ca="1" si="757"/>
        <v>#N/A</v>
      </c>
      <c r="DA396" s="48" t="str">
        <f t="shared" ref="DA396:DA404" ca="1" si="761">IFERROR(INDEX(LIBRO_GIORNALE,CZ396,1),"")</f>
        <v/>
      </c>
      <c r="DB396" s="48" t="str">
        <f t="shared" ca="1" si="682"/>
        <v/>
      </c>
      <c r="DC396" s="48" t="str">
        <f t="shared" ca="1" si="758"/>
        <v/>
      </c>
      <c r="DD396" s="48" t="str">
        <f t="shared" ca="1" si="759"/>
        <v/>
      </c>
      <c r="DE396" s="48" t="str">
        <f t="shared" ca="1" si="760"/>
        <v/>
      </c>
      <c r="DF396" s="48">
        <f ca="1">IF(AND(CX396=$DF$1,CX396&lt;&gt;""),0,IF(AND(DB396&lt;&gt;"",OR(DB395&lt;&gt;"",DB397&lt;&gt;"")),MAX($DF$2:DF395)+1,0))</f>
        <v>0</v>
      </c>
      <c r="DH396" s="244" t="s">
        <v>267</v>
      </c>
      <c r="DI396" s="48" t="s">
        <v>265</v>
      </c>
      <c r="DJ396" s="48" t="s">
        <v>311</v>
      </c>
      <c r="DK396" s="48" t="s">
        <v>275</v>
      </c>
      <c r="DL396" s="48" t="s">
        <v>7</v>
      </c>
      <c r="DM396" s="48" t="s">
        <v>301</v>
      </c>
      <c r="DN396" s="48">
        <f ca="1">IF(DI396&lt;&gt;"",MAX($DN$2:DN395)+1,0)</f>
        <v>324</v>
      </c>
      <c r="DO396" s="48" t="s">
        <v>756</v>
      </c>
      <c r="DY396" s="48" t="str">
        <f t="shared" ca="1" si="735"/>
        <v/>
      </c>
      <c r="EL396" s="48">
        <f t="shared" ca="1" si="736"/>
        <v>0</v>
      </c>
      <c r="EM396" s="48">
        <f ca="1">IF(EL396&gt;=0,0,MAX($EM$2:EM395)+1)</f>
        <v>0</v>
      </c>
      <c r="EN396" s="48" t="str">
        <f t="shared" ca="1" si="746"/>
        <v/>
      </c>
      <c r="EO396" s="48" t="str">
        <f ca="1">IFERROR(INDEX($EM$3:$EN$400,MATCH(ROWS($EO$3:EO396),$EM$3:$EM$400,0),2),"")</f>
        <v/>
      </c>
      <c r="EP396" s="48">
        <f>ROW()</f>
        <v>396</v>
      </c>
      <c r="EQ396" s="48">
        <f t="shared" ca="1" si="737"/>
        <v>0</v>
      </c>
      <c r="ER396" s="48">
        <f ca="1">IF(ISNA(EQ396)=TRUE,MAX($ER$2:ER395)+1,0)</f>
        <v>0</v>
      </c>
      <c r="ES396" s="48" t="str">
        <f t="shared" ca="1" si="747"/>
        <v/>
      </c>
      <c r="ET396" s="48" t="str">
        <f ca="1">IFERROR(INDEX($ER$3:$ES$400,MATCH(ROWS($ET$3:ET396),$ER$3:$ER$400,0),2),"")</f>
        <v/>
      </c>
      <c r="EV396" s="48">
        <f ca="1">IFERROR(INDEX(LIBRO_GIORNALE!$O$11:$P$408,MATCH(ROWS($EV$2:EV395),LIBRO_GIORNALE!$P$11:$P$408,0),1),0)</f>
        <v>0</v>
      </c>
      <c r="EW396" s="48" t="str">
        <f t="shared" ca="1" si="716"/>
        <v>0</v>
      </c>
      <c r="EX396" s="48">
        <f t="shared" ca="1" si="748"/>
        <v>0</v>
      </c>
      <c r="EY396" s="48">
        <f ca="1">IF(EX396&gt;0,MAX($EY$2:EY395)+1,0)</f>
        <v>0</v>
      </c>
      <c r="EZ396" s="48">
        <f ca="1">IFERROR(INDEX($EX$3:$EX$400,MATCH(ROWS($EZ$3:EZ396),$EY$3:$EY$400,0),1),0)</f>
        <v>0</v>
      </c>
      <c r="FA396" s="48">
        <f ca="1">IF(EZ396&gt;0,0,MAX($FA$2:FA395)+1)</f>
        <v>394</v>
      </c>
      <c r="FB396" s="48">
        <f t="shared" ca="1" si="717"/>
        <v>0</v>
      </c>
      <c r="FC396" s="48">
        <f t="shared" ca="1" si="718"/>
        <v>394</v>
      </c>
      <c r="FD396" s="48">
        <f t="shared" ca="1" si="749"/>
        <v>394</v>
      </c>
      <c r="FE396" s="48">
        <f ca="1">IF(FD396=0,0,MAX($FE$2:FE395)+1)</f>
        <v>394</v>
      </c>
      <c r="FF396" s="48">
        <f ca="1">IFERROR(INDEX($FD$3:$FE$400,MATCH(ROWS($FF$3:FF396),$FE$3:$FE$400,0),1),"")</f>
        <v>394</v>
      </c>
      <c r="FG396" s="48">
        <f t="shared" si="696"/>
        <v>0</v>
      </c>
      <c r="FH396" s="48">
        <f t="shared" ca="1" si="750"/>
        <v>0</v>
      </c>
      <c r="FI396" s="48">
        <f ca="1">IF(FH396&lt;&gt;0,MAX($FI$2:FI395)+1,0)</f>
        <v>0</v>
      </c>
      <c r="FJ396" s="48" t="str">
        <f ca="1">IFERROR(INDEX($FH$3:$FI$400,MATCH(ROWS($FJ$3:FJ396),$FI$3:$FI$400,0),1),"")</f>
        <v/>
      </c>
      <c r="FK396" s="48">
        <f ca="1">IF(ABS(SUMIFS(DARE,DEN_G,"="&amp;FJ396,DATA,"&lt;="&amp;FINE_AC,DATA,"&gt;="&amp;INIZIO_A_PC)-SUMIFS(AVERE,DEN_G,"="&amp;FJ396,DATA,"&lt;="&amp;FINE_AC,DATA,"&gt;="&amp;INIZIO_A_PC))&gt;0,MAX($FK$2:FK395)+1,0)</f>
        <v>0</v>
      </c>
      <c r="FL396" s="48" t="str">
        <f ca="1">IF(AND(ROW()-2&lt;&gt;1,ROW()-2&lt;=$FK$1),CONCATENATE(" - ",IFERROR(INDEX($FJ$3:$FK$400,MATCH(ROWS($FL$3:FL396),$FK$3:$FK$400,0),1),"")),IFERROR(INDEX($FJ$3:$FK$400,MATCH(ROWS($FL$3:FL396),$FK$3:$FK$400,0),1),""))</f>
        <v/>
      </c>
      <c r="FM396" s="48">
        <f ca="1">IF(OR(B396="IVA ns/credito",B396="IVA NS/DEBITO",B396="IVA C/ACCONTO",B396="IMPOSTE C/ACCONTO",B396="CREDITI PER RITENUTE SUBITE",B396="CREDITI D'IMPOSTA"),MAX($FM$2:FM395)+1,0)</f>
        <v>0</v>
      </c>
      <c r="FN396" s="48" t="str">
        <f t="shared" ca="1" si="751"/>
        <v/>
      </c>
      <c r="FO396" s="48" t="str">
        <f ca="1">IFERROR(INDEX($FM$3:$FN$400,MATCH(ROWS($FO$3:FO396),$FM$3:$FM$400,0),2),"")</f>
        <v/>
      </c>
      <c r="FP396" s="48">
        <f ca="1">IF(ABS(SUMIFS(DARE,DEN_G,"="&amp;FO396,DATA,"&lt;="&amp;FINE_AC,DATA,"&gt;="&amp;INIZIO_A_PC)-SUMIFS(AVERE,DEN_G,"="&amp;FO396,DATA,"&lt;="&amp;FINE_AC,DATA,"&gt;="&amp;INIZIO_A_PC))&gt;0,MAX($FP$2:FP395)+1,0)</f>
        <v>0</v>
      </c>
      <c r="FQ396" s="48" t="str">
        <f ca="1">IF(AND(ROW()-2&lt;&gt;1,ROW()-2&lt;=$FP$1),CONCATENATE(" - ",IFERROR(INDEX($FO$3:$FP$400,MATCH(ROWS($FQ$3:FQ396),$FP$3:$FP$400,0),1),"")),IFERROR(INDEX($FO$3:$FP$400,MATCH(ROWS($FQ$3:FQ396),$FP$3:$FP$400,0),1),""))</f>
        <v/>
      </c>
    </row>
    <row r="397" spans="1:173" x14ac:dyDescent="0.3">
      <c r="A397" s="48" t="str">
        <f ca="1">IFERROR(IF($A$1=2,INDEX($DH$3:$DN$401,MATCH(ROWS(A$3:A397),$DN$3:$DN$401,0),COLUMN()),IF($A$1=1,INDEX($DQ$3:$DW$401,MATCH(ROWS(A$3:A397),$DW$3:$DW$401,0),COLUMN()),"")),"")</f>
        <v/>
      </c>
      <c r="B397" s="48" t="str">
        <f ca="1">IFERROR(IF($A$1=2,INDEX($DH$3:$DN$400,MATCH(ROWS(B$3:B397),$DN$3:$DN$400,0),COLUMN()),IF($A$1=1,INDEX($DQ$3:$DW$400,MATCH(ROWS(B$3:B397),$DW$3:$DW$400,0),COLUMN()),"")),"")</f>
        <v/>
      </c>
      <c r="D397" s="48" t="str">
        <f ca="1">IFERROR(IF($A$1=2,INDEX($DH$3:$DN$401,MATCH(ROWS(D$3:D397),$DN$3:$DN$401,0),COLUMN()),IF($A$1=1,INDEX($DQ$3:$DW$401,MATCH(ROWS(D$3:D397),$DW$3:$DW$401,0),COLUMN()),"")),"")</f>
        <v/>
      </c>
      <c r="E397" s="48" t="str">
        <f ca="1">IFERROR(IF($A$1=2,INDEX($DH$3:$DN$401,MATCH(ROWS(E$3:E397),$DN$3:$DN$401,0),COLUMN()),IF($A$1=1,INDEX($DQ$3:$DW$401,MATCH(ROWS(E$3:E397),$DW$3:$DW$401,0),COLUMN()),"")),"")</f>
        <v/>
      </c>
      <c r="F397" s="48" t="str">
        <f ca="1">IFERROR(IF($A$1=2,INDEX($DH$3:$DN$401,MATCH(ROWS(F$3:F397),$DN$3:$DN$401,0),COLUMN()),IF($A$1=1,INDEX($DQ$3:$DX$401,MATCH(ROWS(F$3:F397),$DW$3:$DW$401,0),COLUMN()),"")),"")</f>
        <v/>
      </c>
      <c r="G397" s="48" t="str">
        <f t="shared" ca="1" si="738"/>
        <v/>
      </c>
      <c r="H397" s="48" t="str">
        <f ca="1">IFERROR(IF($A$1=2,INDEX($DH$3:$DO$400,MATCH(ROWS(H$3:H397),$DN$3:$DN$400,0),COLUMN()),IF($A$1=1,INDEX($DQ$3:$DX$400,MATCH(ROWS(H$3:H397),$DW$3:$DW$400,0),COLUMN()),"")),"")</f>
        <v/>
      </c>
      <c r="M397" s="48">
        <f ca="1">IFERROR(IF(IF(MID($A397,3,3)=".00",MID(A397,1,2),"")&lt;&gt;"",MAX($M$2:M396)+1,0),"")</f>
        <v>0</v>
      </c>
      <c r="N397" s="48" t="str">
        <f t="shared" ca="1" si="739"/>
        <v/>
      </c>
      <c r="O397" s="48" t="str">
        <f ca="1">IF(IFERROR(INDEX($N$3:$O$300,MATCH(ROWS($O$3:O397),$M$3:$M$300,0),1),"")&lt;&gt;"",CONCATENATE(INDEX($N$3:$O$300,MATCH(ROWS($O$3:O397),$M$3:$M$300,0),1),".00"),"")</f>
        <v/>
      </c>
      <c r="P397" s="48" t="str">
        <f t="shared" ca="1" si="740"/>
        <v/>
      </c>
      <c r="Q397" s="48">
        <f ca="1">IF(M397&gt;=1,0,MAX($Q$2:Q396)+1)</f>
        <v>358</v>
      </c>
      <c r="U397" s="48" t="str">
        <f ca="1">IFERROR(INDEX(PDC,MATCH(ROWS(U$3:U397),$V$3:$V$400,0),2),"")</f>
        <v/>
      </c>
      <c r="V397" s="48">
        <f ca="1">IF(AND($T$1="VISUALIZZA TUTTI I CONTI",AA397&lt;&gt;""),MAX($V$2:V396)+1,IF(AND($U$2=2,AI397=$T$1),MAX($V$2:V396)+1,IF(AND($U$2=1,$T$1=AF397),MAX($V$2:V396)+1,0)))</f>
        <v>0</v>
      </c>
      <c r="AA397" s="48" t="str">
        <f t="shared" ca="1" si="741"/>
        <v/>
      </c>
      <c r="AB397" s="48" t="str">
        <f ca="1">IFERROR(INDEX($A$3:$G$400,MATCH(ROWS(AB$3:AB397),$Q$3:$Q$400,0),1),"")</f>
        <v/>
      </c>
      <c r="AC397" s="48" t="str">
        <f ca="1">IFERROR(INDEX($A$3:$G$400,MATCH(ROWS($AC$3:AC397),$Q$3:$Q$400,0),2),"")</f>
        <v/>
      </c>
      <c r="AD397" s="48" t="str">
        <f ca="1">IFERROR(INDEX($A$3:$G$400,MATCH(ROWS(AD$3:AD397),$Q$3:$Q$400,0),3),"")</f>
        <v/>
      </c>
      <c r="AE397" s="48" t="str">
        <f ca="1">IFERROR(INDEX($A$3:$G$400,MATCH(ROWS(AE$3:AE397),$Q$3:$Q$400,0),4),"")</f>
        <v/>
      </c>
      <c r="AF397" s="48" t="str">
        <f ca="1">IFERROR(INDEX($A$3:$G$400,MATCH(ROWS(AF$3:AF397),$Q$3:$Q$400,0),5),"")</f>
        <v/>
      </c>
      <c r="AG397" s="48" t="str">
        <f ca="1">IFERROR(INDEX($A$3:$G$400,MATCH(ROWS(AG$3:AG397),$Q$3:$Q$400,0),6),"")</f>
        <v/>
      </c>
      <c r="AH397" s="48" t="str">
        <f ca="1">IFERROR(INDEX($A$3:$G$400,MATCH(ROWS(AH$3:AH397),$Q$3:$Q$400,0),7),"")</f>
        <v/>
      </c>
      <c r="AI397" s="48" t="str">
        <f t="shared" ca="1" si="742"/>
        <v/>
      </c>
      <c r="AJ397" s="48" t="str">
        <f ca="1">IFERROR(INDEX($A$3:$H$400,MATCH(ROWS(AJ$3:AJ397),$Q$3:$Q$400,0),8),"")</f>
        <v/>
      </c>
      <c r="AZ397" s="48" t="str">
        <f t="shared" ref="AZ397:AZ399" ca="1" si="762">IF(BB397=0,"",ROW()-200)</f>
        <v/>
      </c>
      <c r="BA397" s="48">
        <f t="shared" ca="1" si="697"/>
        <v>0</v>
      </c>
      <c r="BB397" s="48">
        <f t="shared" ca="1" si="698"/>
        <v>0</v>
      </c>
      <c r="BC397" s="48">
        <f t="shared" ca="1" si="699"/>
        <v>0</v>
      </c>
      <c r="BD397" s="48">
        <f t="shared" ca="1" si="700"/>
        <v>0</v>
      </c>
      <c r="BE397" s="48">
        <f t="shared" ca="1" si="701"/>
        <v>0</v>
      </c>
      <c r="BF397" s="48">
        <f t="shared" si="711"/>
        <v>197</v>
      </c>
      <c r="BG397" s="48">
        <f ca="1">IF(IF(AND(OR(INDEX(PDC,MATCH($AC397,DEN_PDC,0),6)="SP DARE",INDEX(PDC,MATCH($AC397,DEN_PDC,0),6)="SP DARE/AVERE"),SUMIFS(DARE,DEN_G,$AC397)&gt;=SUMIFS(AVERE,DEN_G,$AC397)),SUMIFS(DARE,DEN_G,$AC397)-SUMIFS(AVERE,DEN_G,$AC397),0)&gt;0,MAX($BG$2:BG396)+1,0)</f>
        <v>0</v>
      </c>
      <c r="BH397" s="48">
        <f ca="1">IF(IF(AND(OR(INDEX(PDC,MATCH($AC397,DEN_PDC,0),6)="SP AVERE",INDEX(PDC,MATCH($AC397,DEN_PDC,0),6)="SP DARE/AVERE"),SUMIFS(AVERE,DEN_G,$AC397)&gt;=SUMIFS(DARE,DEN_G,$AC397)),SUMIFS(AVERE,DEN_G,$AC397)-SUMIFS(DARE,DEN_G,$AC397),0)&gt;0,MAX(BH$2:BH396)+1,0)</f>
        <v>0</v>
      </c>
      <c r="BI397" s="48">
        <f ca="1">IF(IF(AND(OR(INDEX(PDC,MATCH($AC397,DEN_PDC,0),6)="SE DARE",INDEX(PDC,MATCH($AC397,DEN_PDC,0),6)="SE DARE/AVERE"),SUMIFS(DARE,DEN_G,$AC397)&gt;=SUMIFS(AVERE,DEN_G,$AC397)),SUMIFS(DARE,DEN_G,$AC397)-SUMIFS(AVERE,DEN_G,$AC397),0)&gt;0,MAX(BI$2:BI396)+1,0)</f>
        <v>0</v>
      </c>
      <c r="BJ397" s="48">
        <f ca="1">IF(IF(AND(OR(INDEX(PDC,MATCH($AC397,DEN_PDC,0),6)="SE AVERE",INDEX(PDC,MATCH($AC397,DEN_PDC,0),6)="SE DARE/AVERE"),SUMIFS(AVERE,DEN_G,$AC397)&gt;=SUMIFS(DARE,DEN_G,$AC397)),SUMIFS(AVERE,DEN_G,$AC397)-SUMIFS(DARE,DEN_G,$AC397),0)&gt;0,MAX(BJ$2:BJ396)+1,0)</f>
        <v>0</v>
      </c>
      <c r="BK397" s="48" t="str">
        <f ca="1">IF(AND(AND($DY$2=0,$DY$1=0),$I$1=2,ROW()&gt;$BG$1+2,ROW()&lt;=$BG$1+4),"………………..",IF(AND(OR($DY$2&gt;0,$DY$1&gt;0),$I$1=2,ROW()&gt;$BG$1+2,ROW()&lt;=$BG$1+4),"………………..",IFERROR(INDEX($AC$3:$AC$398,MATCH(ROWS(BK$3:BK397),BG$3:BG$398,0),1),"")))</f>
        <v/>
      </c>
      <c r="BL397" s="48">
        <f t="shared" ca="1" si="726"/>
        <v>0</v>
      </c>
      <c r="BM397" s="48" t="str">
        <f ca="1">IF(AND(OR($DY$2=0,$DY$1=0),$I$1=2,ROW()&gt;$BH$1+2,ROW()&lt;=$BH$1+4),"………………..",IF(AND(OR($DY$2&gt;0,$DY$1&gt;0),$I$1=2,ROW()&gt;$BH$1+2,ROW()&lt;=$BH$1+4),"………………..",IFERROR(INDEX($AC$3:$AC$400,MATCH(ROWS(BM$3:BM397),BH$3:BH$400,0),1),"")))</f>
        <v/>
      </c>
      <c r="BN397" s="48">
        <f t="shared" ca="1" si="727"/>
        <v>0</v>
      </c>
      <c r="BO397" s="48" t="str">
        <f ca="1">IF(AND(OR($DY$2=0,$DY$1=0),$I$1=2,ROW()&gt;$BI$1+2,ROW()&lt;=$BI$1+4),"………………..",IF(AND(OR($DY$2&gt;0,$DY$1&gt;0),$I$1=2,ROW()&gt;$BI$1+2,ROW()&lt;=$BI$1+4),"………………..",IFERROR(INDEX($AC$3:$AC$400,MATCH(ROWS(BO$3:BO397),BI$3:BI$400,0),1),"")))</f>
        <v/>
      </c>
      <c r="BP397" s="48">
        <f t="shared" ca="1" si="728"/>
        <v>0</v>
      </c>
      <c r="BQ397" s="48" t="str">
        <f ca="1">IF(AND(OR($DY$2=0,$DY$1=0),$I$1=2,ROW()&gt;$BJ$1+2,ROW()&lt;=$BJ$1+4),"………………..",IF(AND(OR($DY$2&gt;0,$DY$1&gt;0),$I$1=2,ROW()&gt;$BJ$1+2,ROW()&lt;=$BJ$1+4),"………………..",IFERROR(INDEX($AC$3:$AC$400,MATCH(ROWS(BQ$3:BQ397),BJ$3:BJ$400,0),1),"")))</f>
        <v/>
      </c>
      <c r="BR397" s="48">
        <f t="shared" ca="1" si="729"/>
        <v>0</v>
      </c>
      <c r="BS397" s="48">
        <f ca="1">IF(IF(AND(OR(INDEX(PDC,MATCH($AC397,DEN_PDC,0),4)="D",INDEX(PDC,MATCH($AC397,DEN_PDC,0),4)="D/A"),SUMIFS(DARE,DEN_G,$AC397)&gt;=SUMIFS(AVERE,DEN_G,$AC397)),SUMIFS(DARE,DEN_G,$AC397),IF(AND(OR(INDEX(PDC,MATCH($AC397,DEN_PDC,0),4)="A",INDEX(PDC,MATCH($AC397,DEN_PDC,0),4)="D/A"),SUMIFS(AVERE,DEN_G,$AC397)&gt;=SUMIFS(DARE,DEN_G,$AC397)),SUMIFS(AVERE,DEN_G,$AC397),))&gt;0,MAX($BS$2:BS396)+1,0)</f>
        <v>0</v>
      </c>
      <c r="BT397" s="48" t="str">
        <f ca="1">IF($CO$1=0,"",IF(AND($I$1=2,ROW()&gt;$BR$1,ROW()&lt;=$BS$1)," …………….",IF(AND($E$1=1,$BX$1=1,$I$1=2,ROW()=$BQ$1),"TOTALI",IFERROR(INDEX(PDC,MATCH(ROWS(BT$3:BT397),BS$3:BS794,0),2),""))))</f>
        <v/>
      </c>
      <c r="BU397" s="48">
        <f t="shared" ca="1" si="730"/>
        <v>0</v>
      </c>
      <c r="BV397" s="48">
        <f t="shared" ca="1" si="731"/>
        <v>0</v>
      </c>
      <c r="BW397" s="48">
        <f t="shared" ca="1" si="732"/>
        <v>0</v>
      </c>
      <c r="BX397" s="48">
        <f t="shared" ca="1" si="733"/>
        <v>0</v>
      </c>
      <c r="BY397" s="48">
        <f ca="1">IF(OR(BW397&gt;0,BX397&gt;0),MAX($BY$2:BY396)+1,0)</f>
        <v>0</v>
      </c>
      <c r="BZ397" s="48" t="str">
        <f ca="1">IFERROR(INDEX($BT$3:$BY$400,MATCH(ROWS(BZ$3:BZ397),$BY$3:$BY$400,0),1),"")</f>
        <v/>
      </c>
      <c r="CA397" s="48" t="str">
        <f ca="1">IFERROR(INDEX($BT$3:$BY$400,MATCH(ROWS(CA$3:CA397),$BY$3:$BY$400,0),4),"")</f>
        <v/>
      </c>
      <c r="CB397" s="48" t="str">
        <f ca="1">IFERROR(INDEX($BT$3:$BY$400,MATCH(ROWS(CB$3:CB397),$BY$3:$BY$400,0),5),"")</f>
        <v/>
      </c>
      <c r="CC397" s="48" t="str">
        <f t="shared" ca="1" si="734"/>
        <v/>
      </c>
      <c r="CM397" s="242" t="str">
        <f t="shared" ca="1" si="743"/>
        <v/>
      </c>
      <c r="CN397" s="243">
        <f t="shared" ca="1" si="744"/>
        <v>0</v>
      </c>
      <c r="CO397" s="48" t="str">
        <f t="shared" ca="1" si="745"/>
        <v/>
      </c>
      <c r="CU397" s="48">
        <f ca="1">IF(SUMIFS(AVERE,DEN_G,AC397,AVERE,"&gt;"&amp;0)+SUMIFS(DARE,DEN_G,AC397,DARE,"&gt;"&amp;0)&gt;0,MAX($CU$2:CU396)+1,0)</f>
        <v>0</v>
      </c>
      <c r="CV397" s="48" t="str">
        <f ca="1">IF(IFERROR(INDEX(PDC,MATCH(ROWS($CV$3:CV397),$CU$3:$CU$400,0),2),"")="CONTO DI RISULTATO ECONOMICO","",IFERROR(INDEX(PDC,MATCH(ROWS($CV$3:CV397),$CU$3:$CU$400,0),2),""))</f>
        <v/>
      </c>
      <c r="CW397" s="48">
        <f ca="1">IFERROR(IF(CV397&lt;&gt;"",MAX($CW$2:CW396)+1,0),0)</f>
        <v>0</v>
      </c>
      <c r="CX397" s="48">
        <f t="shared" ca="1" si="755"/>
        <v>31</v>
      </c>
      <c r="CY397" s="48" t="str">
        <f t="shared" ca="1" si="754"/>
        <v>MASTRO</v>
      </c>
      <c r="CZ397" s="48" t="e">
        <f t="shared" ca="1" si="757"/>
        <v>#N/A</v>
      </c>
      <c r="DA397" s="48" t="str">
        <f t="shared" ca="1" si="761"/>
        <v/>
      </c>
      <c r="DB397" s="48" t="str">
        <f t="shared" ca="1" si="682"/>
        <v/>
      </c>
      <c r="DC397" s="48" t="str">
        <f t="shared" ca="1" si="758"/>
        <v/>
      </c>
      <c r="DD397" s="48" t="str">
        <f t="shared" ca="1" si="759"/>
        <v/>
      </c>
      <c r="DE397" s="48" t="str">
        <f t="shared" ca="1" si="760"/>
        <v/>
      </c>
      <c r="DF397" s="48">
        <f ca="1">IF(AND(CX397=$DF$1,CX397&lt;&gt;""),0,IF(AND(DB397&lt;&gt;"",OR(DB396&lt;&gt;"",DB398&lt;&gt;"")),MAX($DF$2:DF396)+1,0))</f>
        <v>0</v>
      </c>
      <c r="DH397" s="244" t="s">
        <v>957</v>
      </c>
      <c r="DI397" s="48" t="s">
        <v>467</v>
      </c>
      <c r="DJ397" s="48" t="s">
        <v>311</v>
      </c>
      <c r="DK397" s="48" t="s">
        <v>275</v>
      </c>
      <c r="DL397" s="48" t="s">
        <v>7</v>
      </c>
      <c r="DM397" s="48" t="s">
        <v>301</v>
      </c>
      <c r="DN397" s="48">
        <f ca="1">IF(DI397&lt;&gt;"",MAX($DN$2:DN396)+1,0)</f>
        <v>325</v>
      </c>
      <c r="DO397" s="48" t="s">
        <v>756</v>
      </c>
      <c r="DY397" s="48" t="str">
        <f t="shared" ca="1" si="735"/>
        <v/>
      </c>
      <c r="EK397" s="48" t="str">
        <f ca="1">IF(AND($I$1=2,EL397&lt;0),"UTILE D'ESERCIZIO","")</f>
        <v/>
      </c>
      <c r="EL397" s="48">
        <f ca="1">IF($I$1=1,0,SUMIFS(avere_grezzo,den_grezzo,"="&amp;"[UTILE D'ESERCIZIO",data_grezzo,"&lt;="&amp;FINE_AC,data_grezzo,"&gt;="&amp;INIZIO_A_PC)-SUMIFS(dare_grezzo,den_grezzo,"="&amp;"[UTILE D'ESERCIZIO",data_grezzo,"&lt;="&amp;FINE_AC,data_grezzo,"&gt;="&amp;INIZIO_A_PC))</f>
        <v>0</v>
      </c>
      <c r="EM397" s="48">
        <f ca="1">IF(EL397&gt;=0,0,MAX($EM$2:EM396)+1)</f>
        <v>0</v>
      </c>
      <c r="EN397" s="48" t="str">
        <f t="shared" ref="EN397:EN398" ca="1" si="763">IF(EL397&lt;0,EK397,"")</f>
        <v/>
      </c>
      <c r="EO397" s="48" t="str">
        <f ca="1">IFERROR(INDEX($EM$3:$EN$400,MATCH(ROWS($EO$3:EO397),$EM$3:$EM$400,0),2),"")</f>
        <v/>
      </c>
      <c r="EP397" s="48">
        <f>ROW()</f>
        <v>397</v>
      </c>
      <c r="EQ397" s="48">
        <f t="shared" ca="1" si="737"/>
        <v>0</v>
      </c>
      <c r="ER397" s="48">
        <f ca="1">IF(ISNA(EQ397)=TRUE,MAX($ER$2:ER396)+1,0)</f>
        <v>0</v>
      </c>
      <c r="ES397" s="48" t="str">
        <f t="shared" ca="1" si="747"/>
        <v/>
      </c>
      <c r="ET397" s="48" t="str">
        <f ca="1">IFERROR(INDEX($ER$3:$ES$400,MATCH(ROWS($ET$3:ET397),$ER$3:$ER$400,0),2),"")</f>
        <v/>
      </c>
      <c r="EV397" s="48">
        <f ca="1">IFERROR(INDEX(LIBRO_GIORNALE!$O$11:$P$408,MATCH(ROWS($EV$2:EV396),LIBRO_GIORNALE!$P$11:$P$408,0),1),0)</f>
        <v>0</v>
      </c>
      <c r="EW397" s="48" t="str">
        <f t="shared" ca="1" si="716"/>
        <v>0</v>
      </c>
      <c r="EX397" s="48">
        <f t="shared" ca="1" si="748"/>
        <v>0</v>
      </c>
      <c r="EY397" s="48">
        <f ca="1">IF(EX397&gt;0,MAX($EY$2:EY396)+1,0)</f>
        <v>0</v>
      </c>
      <c r="EZ397" s="48">
        <f ca="1">IFERROR(INDEX($EX$3:$EX$400,MATCH(ROWS($EZ$3:EZ397),$EY$3:$EY$400,0),1),0)</f>
        <v>0</v>
      </c>
      <c r="FA397" s="48">
        <f ca="1">IF(EZ397&gt;0,0,MAX($FA$2:FA396)+1)</f>
        <v>395</v>
      </c>
      <c r="FB397" s="48">
        <f t="shared" ca="1" si="717"/>
        <v>0</v>
      </c>
      <c r="FC397" s="48">
        <f t="shared" ca="1" si="718"/>
        <v>395</v>
      </c>
      <c r="FD397" s="48">
        <f t="shared" ca="1" si="749"/>
        <v>395</v>
      </c>
      <c r="FE397" s="48">
        <f ca="1">IF(FD397=0,0,MAX($FE$2:FE396)+1)</f>
        <v>395</v>
      </c>
      <c r="FF397" s="48">
        <f ca="1">IFERROR(INDEX($FD$3:$FE$400,MATCH(ROWS($FF$3:FF397),$FE$3:$FE$400,0),1),"")</f>
        <v>395</v>
      </c>
      <c r="FG397" s="48">
        <f t="shared" si="696"/>
        <v>0</v>
      </c>
      <c r="FH397" s="48">
        <f t="shared" ca="1" si="750"/>
        <v>0</v>
      </c>
      <c r="FI397" s="48">
        <f ca="1">IF(FH397&lt;&gt;0,MAX($FI$2:FI396)+1,0)</f>
        <v>0</v>
      </c>
      <c r="FJ397" s="48" t="str">
        <f ca="1">IFERROR(INDEX($FH$3:$FI$400,MATCH(ROWS($FJ$3:FJ397),$FI$3:$FI$400,0),1),"")</f>
        <v/>
      </c>
      <c r="FK397" s="48">
        <f ca="1">IF(ABS(SUMIFS(DARE,DEN_G,"="&amp;FJ397,DATA,"&lt;="&amp;FINE_AC,DATA,"&gt;="&amp;INIZIO_A_PC)-SUMIFS(AVERE,DEN_G,"="&amp;FJ397,DATA,"&lt;="&amp;FINE_AC,DATA,"&gt;="&amp;INIZIO_A_PC))&gt;0,MAX($FK$2:FK396)+1,0)</f>
        <v>0</v>
      </c>
      <c r="FL397" s="48" t="str">
        <f ca="1">IF(AND(ROW()-2&lt;&gt;1,ROW()-2&lt;=$FK$1),CONCATENATE(" - ",IFERROR(INDEX($FJ$3:$FK$400,MATCH(ROWS($FL$3:FL397),$FK$3:$FK$400,0),1),"")),IFERROR(INDEX($FJ$3:$FK$400,MATCH(ROWS($FL$3:FL397),$FK$3:$FK$400,0),1),""))</f>
        <v/>
      </c>
      <c r="FM397" s="48">
        <f ca="1">IF(OR(B397="IVA ns/credito",B397="IVA NS/DEBITO",B397="IVA C/ACCONTO",B397="IMPOSTE C/ACCONTO",B397="CREDITI PER RITENUTE SUBITE",B397="CREDITI D'IMPOSTA"),MAX($FM$2:FM396)+1,0)</f>
        <v>0</v>
      </c>
      <c r="FN397" s="48" t="str">
        <f t="shared" ca="1" si="751"/>
        <v/>
      </c>
      <c r="FO397" s="48" t="str">
        <f ca="1">IFERROR(INDEX($FM$3:$FN$400,MATCH(ROWS($FO$3:FO397),$FM$3:$FM$400,0),2),"")</f>
        <v/>
      </c>
      <c r="FP397" s="48">
        <f ca="1">IF(ABS(SUMIFS(DARE,DEN_G,"="&amp;FO397,DATA,"&lt;="&amp;FINE_AC,DATA,"&gt;="&amp;INIZIO_A_PC)-SUMIFS(AVERE,DEN_G,"="&amp;FO397,DATA,"&lt;="&amp;FINE_AC,DATA,"&gt;="&amp;INIZIO_A_PC))&gt;0,MAX($FP$2:FP396)+1,0)</f>
        <v>0</v>
      </c>
      <c r="FQ397" s="48" t="str">
        <f ca="1">IF(AND(ROW()-2&lt;&gt;1,ROW()-2&lt;=$FP$1),CONCATENATE(" - ",IFERROR(INDEX($FO$3:$FP$400,MATCH(ROWS($FQ$3:FQ397),$FP$3:$FP$400,0),1),"")),IFERROR(INDEX($FO$3:$FP$400,MATCH(ROWS($FQ$3:FQ397),$FP$3:$FP$400,0),1),""))</f>
        <v/>
      </c>
    </row>
    <row r="398" spans="1:173" x14ac:dyDescent="0.3">
      <c r="A398" s="48" t="str">
        <f ca="1">IFERROR(IF($A$1=2,INDEX($DH$3:$DN$401,MATCH(ROWS(A$3:A398),$DN$3:$DN$401,0),COLUMN()),IF($A$1=1,INDEX($DQ$3:$DW$401,MATCH(ROWS(A$3:A398),$DW$3:$DW$401,0),COLUMN()),"")),"")</f>
        <v/>
      </c>
      <c r="B398" s="48" t="str">
        <f ca="1">IFERROR(IF($A$1=2,INDEX($DH$3:$DN$400,MATCH(ROWS(B$3:B398),$DN$3:$DN$400,0),COLUMN()),IF($A$1=1,INDEX($DQ$3:$DW$400,MATCH(ROWS(B$3:B398),$DW$3:$DW$400,0),COLUMN()),"")),"")</f>
        <v/>
      </c>
      <c r="D398" s="48" t="str">
        <f ca="1">IFERROR(IF($A$1=2,INDEX($DH$3:$DN$401,MATCH(ROWS(D$3:D398),$DN$3:$DN$401,0),COLUMN()),IF($A$1=1,INDEX($DQ$3:$DW$401,MATCH(ROWS(D$3:D398),$DW$3:$DW$401,0),COLUMN()),"")),"")</f>
        <v/>
      </c>
      <c r="E398" s="48" t="str">
        <f ca="1">IFERROR(IF($A$1=2,INDEX($DH$3:$DN$401,MATCH(ROWS(E$3:E398),$DN$3:$DN$401,0),COLUMN()),IF($A$1=1,INDEX($DQ$3:$DW$401,MATCH(ROWS(E$3:E398),$DW$3:$DW$401,0),COLUMN()),"")),"")</f>
        <v/>
      </c>
      <c r="F398" s="48" t="str">
        <f ca="1">IFERROR(IF($A$1=2,INDEX($DH$3:$DN$401,MATCH(ROWS(F$3:F398),$DN$3:$DN$401,0),COLUMN()),IF($A$1=1,INDEX($DQ$3:$DX$401,MATCH(ROWS(F$3:F398),$DW$3:$DW$401,0),COLUMN()),"")),"")</f>
        <v/>
      </c>
      <c r="G398" s="48" t="str">
        <f t="shared" ca="1" si="738"/>
        <v/>
      </c>
      <c r="H398" s="48" t="str">
        <f ca="1">IFERROR(IF($A$1=2,INDEX($DH$3:$DO$400,MATCH(ROWS(H$3:H398),$DN$3:$DN$400,0),COLUMN()),IF($A$1=1,INDEX($DQ$3:$DX$400,MATCH(ROWS(H$3:H398),$DW$3:$DW$400,0),COLUMN()),"")),"")</f>
        <v/>
      </c>
      <c r="M398" s="48">
        <f ca="1">IFERROR(IF(IF(MID($A398,3,3)=".00",MID(A398,1,2),"")&lt;&gt;"",MAX($M$2:M397)+1,0),"")</f>
        <v>0</v>
      </c>
      <c r="N398" s="48" t="str">
        <f t="shared" ca="1" si="739"/>
        <v/>
      </c>
      <c r="O398" s="48" t="str">
        <f ca="1">IF(IFERROR(INDEX($N$3:$O$300,MATCH(ROWS($O$3:O398),$M$3:$M$300,0),1),"")&lt;&gt;"",CONCATENATE(INDEX($N$3:$O$300,MATCH(ROWS($O$3:O398),$M$3:$M$300,0),1),".00"),"")</f>
        <v/>
      </c>
      <c r="P398" s="48" t="str">
        <f t="shared" ca="1" si="740"/>
        <v/>
      </c>
      <c r="Q398" s="48">
        <f ca="1">IF(M398&gt;=1,0,MAX($Q$2:Q397)+1)</f>
        <v>359</v>
      </c>
      <c r="U398" s="48" t="str">
        <f ca="1">IFERROR(INDEX(PDC,MATCH(ROWS(U$3:U398),$V$3:$V$400,0),2),"")</f>
        <v/>
      </c>
      <c r="V398" s="48">
        <f ca="1">IF(AND($T$1="VISUALIZZA TUTTI I CONTI",AA398&lt;&gt;""),MAX($V$2:V397)+1,IF(AND($U$2=2,AI398=$T$1),MAX($V$2:V397)+1,IF(AND($U$2=1,$T$1=AF398),MAX($V$2:V397)+1,0)))</f>
        <v>0</v>
      </c>
      <c r="AA398" s="48" t="str">
        <f t="shared" ca="1" si="741"/>
        <v/>
      </c>
      <c r="AB398" s="48" t="str">
        <f ca="1">IFERROR(INDEX($A$3:$G$400,MATCH(ROWS(AB$3:AB398),$Q$3:$Q$400,0),1),"")</f>
        <v/>
      </c>
      <c r="AC398" s="48" t="str">
        <f ca="1">IFERROR(INDEX($A$3:$G$400,MATCH(ROWS($AC$3:AC398),$Q$3:$Q$400,0),2),"")</f>
        <v/>
      </c>
      <c r="AD398" s="48" t="str">
        <f ca="1">IFERROR(INDEX($A$3:$G$400,MATCH(ROWS(AD$3:AD398),$Q$3:$Q$400,0),3),"")</f>
        <v/>
      </c>
      <c r="AE398" s="48" t="str">
        <f ca="1">IFERROR(INDEX($A$3:$G$400,MATCH(ROWS(AE$3:AE398),$Q$3:$Q$400,0),4),"")</f>
        <v/>
      </c>
      <c r="AF398" s="48" t="str">
        <f ca="1">IFERROR(INDEX($A$3:$G$400,MATCH(ROWS(AF$3:AF398),$Q$3:$Q$400,0),5),"")</f>
        <v/>
      </c>
      <c r="AG398" s="48" t="str">
        <f ca="1">IFERROR(INDEX($A$3:$G$400,MATCH(ROWS(AG$3:AG398),$Q$3:$Q$400,0),6),"")</f>
        <v/>
      </c>
      <c r="AH398" s="48" t="str">
        <f ca="1">IFERROR(INDEX($A$3:$G$400,MATCH(ROWS(AH$3:AH398),$Q$3:$Q$400,0),7),"")</f>
        <v/>
      </c>
      <c r="AI398" s="48" t="str">
        <f t="shared" ca="1" si="742"/>
        <v/>
      </c>
      <c r="AJ398" s="48" t="str">
        <f ca="1">IFERROR(INDEX($A$3:$H$400,MATCH(ROWS(AJ$3:AJ398),$Q$3:$Q$400,0),8),"")</f>
        <v/>
      </c>
      <c r="AZ398" s="48" t="str">
        <f t="shared" ca="1" si="762"/>
        <v/>
      </c>
      <c r="BA398" s="48">
        <f t="shared" ca="1" si="697"/>
        <v>0</v>
      </c>
      <c r="BB398" s="48">
        <f t="shared" ca="1" si="698"/>
        <v>0</v>
      </c>
      <c r="BC398" s="48">
        <f t="shared" ca="1" si="699"/>
        <v>0</v>
      </c>
      <c r="BD398" s="48">
        <f t="shared" ca="1" si="700"/>
        <v>0</v>
      </c>
      <c r="BE398" s="48">
        <f t="shared" ca="1" si="701"/>
        <v>0</v>
      </c>
      <c r="BF398" s="48">
        <f t="shared" si="711"/>
        <v>198</v>
      </c>
      <c r="BG398" s="48">
        <f ca="1">IF(IF(AND(OR(INDEX(PDC,MATCH($AC398,DEN_PDC,0),6)="SP DARE",INDEX(PDC,MATCH($AC398,DEN_PDC,0),6)="SP DARE/AVERE"),SUMIFS(DARE,DEN_G,$AC398)&gt;=SUMIFS(AVERE,DEN_G,$AC398)),SUMIFS(DARE,DEN_G,$AC398)-SUMIFS(AVERE,DEN_G,$AC398),0)&gt;0,MAX($BG$2:BG397)+1,0)</f>
        <v>0</v>
      </c>
      <c r="BH398" s="48">
        <f ca="1">IF(IF(AND(OR(INDEX(PDC,MATCH($AC398,DEN_PDC,0),6)="SP AVERE",INDEX(PDC,MATCH($AC398,DEN_PDC,0),6)="SP DARE/AVERE"),SUMIFS(AVERE,DEN_G,$AC398)&gt;=SUMIFS(DARE,DEN_G,$AC398)),SUMIFS(AVERE,DEN_G,$AC398)-SUMIFS(DARE,DEN_G,$AC398),0)&gt;0,MAX(BH$2:BH397)+1,0)</f>
        <v>0</v>
      </c>
      <c r="BI398" s="48">
        <f ca="1">IF(IF(AND(OR(INDEX(PDC,MATCH($AC398,DEN_PDC,0),6)="SE DARE",INDEX(PDC,MATCH($AC398,DEN_PDC,0),6)="SE DARE/AVERE"),SUMIFS(DARE,DEN_G,$AC398)&gt;=SUMIFS(AVERE,DEN_G,$AC398)),SUMIFS(DARE,DEN_G,$AC398)-SUMIFS(AVERE,DEN_G,$AC398),0)&gt;0,MAX(BI$2:BI397)+1,0)</f>
        <v>0</v>
      </c>
      <c r="BJ398" s="48">
        <f ca="1">IF(IF(AND(OR(INDEX(PDC,MATCH($AC398,DEN_PDC,0),6)="SE AVERE",INDEX(PDC,MATCH($AC398,DEN_PDC,0),6)="SE DARE/AVERE"),SUMIFS(AVERE,DEN_G,$AC398)&gt;=SUMIFS(DARE,DEN_G,$AC398)),SUMIFS(AVERE,DEN_G,$AC398)-SUMIFS(DARE,DEN_G,$AC398),0)&gt;0,MAX(BJ$2:BJ397)+1,0)</f>
        <v>0</v>
      </c>
      <c r="BK398" s="48" t="str">
        <f ca="1">IF(AND(AND($DY$2=0,$DY$1=0),$I$1=2,ROW()&gt;$BG$1+2,ROW()&lt;=$BG$1+4),"………………..",IF(AND(OR($DY$2&gt;0,$DY$1&gt;0),$I$1=2,ROW()&gt;$BG$1+2,ROW()&lt;=$BG$1+4),"………………..",IFERROR(INDEX($AC$3:$AC$398,MATCH(ROWS(BK$3:BK398),BG$3:BG$398,0),1),"")))</f>
        <v/>
      </c>
      <c r="BL398" s="48">
        <f t="shared" ca="1" si="726"/>
        <v>0</v>
      </c>
      <c r="BM398" s="48" t="str">
        <f ca="1">IF(AND(OR($DY$2=0,$DY$1=0),$I$1=2,ROW()&gt;$BH$1+2,ROW()&lt;=$BH$1+4),"………………..",IF(AND(OR($DY$2&gt;0,$DY$1&gt;0),$I$1=2,ROW()&gt;$BH$1+2,ROW()&lt;=$BH$1+4),"………………..",IFERROR(INDEX($AC$3:$AC$400,MATCH(ROWS(BM$3:BM398),BH$3:BH$400,0),1),"")))</f>
        <v/>
      </c>
      <c r="BN398" s="48">
        <f t="shared" ca="1" si="727"/>
        <v>0</v>
      </c>
      <c r="BO398" s="48" t="str">
        <f ca="1">IF(AND(OR($DY$2=0,$DY$1=0),$I$1=2,ROW()&gt;$BI$1+2,ROW()&lt;=$BI$1+4),"………………..",IF(AND(OR($DY$2&gt;0,$DY$1&gt;0),$I$1=2,ROW()&gt;$BI$1+2,ROW()&lt;=$BI$1+4),"………………..",IFERROR(INDEX($AC$3:$AC$400,MATCH(ROWS(BO$3:BO398),BI$3:BI$400,0),1),"")))</f>
        <v/>
      </c>
      <c r="BP398" s="48">
        <f t="shared" ca="1" si="728"/>
        <v>0</v>
      </c>
      <c r="BQ398" s="48" t="str">
        <f ca="1">IF(AND(OR($DY$2=0,$DY$1=0),$I$1=2,ROW()&gt;$BJ$1+2,ROW()&lt;=$BJ$1+4),"………………..",IF(AND(OR($DY$2&gt;0,$DY$1&gt;0),$I$1=2,ROW()&gt;$BJ$1+2,ROW()&lt;=$BJ$1+4),"………………..",IFERROR(INDEX($AC$3:$AC$400,MATCH(ROWS(BQ$3:BQ398),BJ$3:BJ$400,0),1),"")))</f>
        <v/>
      </c>
      <c r="BR398" s="48">
        <f t="shared" ca="1" si="729"/>
        <v>0</v>
      </c>
      <c r="BS398" s="48">
        <f ca="1">IF(IF(AND(OR(INDEX(PDC,MATCH($AC398,DEN_PDC,0),4)="D",INDEX(PDC,MATCH($AC398,DEN_PDC,0),4)="D/A"),SUMIFS(DARE,DEN_G,$AC398)&gt;=SUMIFS(AVERE,DEN_G,$AC398)),SUMIFS(DARE,DEN_G,$AC398),IF(AND(OR(INDEX(PDC,MATCH($AC398,DEN_PDC,0),4)="A",INDEX(PDC,MATCH($AC398,DEN_PDC,0),4)="D/A"),SUMIFS(AVERE,DEN_G,$AC398)&gt;=SUMIFS(DARE,DEN_G,$AC398)),SUMIFS(AVERE,DEN_G,$AC398),))&gt;0,MAX($BS$2:BS397)+1,0)</f>
        <v>0</v>
      </c>
      <c r="BT398" s="48" t="str">
        <f ca="1">IF($CO$1=0,"",IF(AND($I$1=2,ROW()&gt;$BR$1,ROW()&lt;=$BS$1)," …………….",IF(AND($E$1=1,$BX$1=1,$I$1=2,ROW()=$BQ$1),"TOTALI",IFERROR(INDEX(PDC,MATCH(ROWS(BT$3:BT398),BS$3:BS795,0),2),""))))</f>
        <v/>
      </c>
      <c r="BU398" s="48">
        <f t="shared" ca="1" si="730"/>
        <v>0</v>
      </c>
      <c r="BV398" s="48">
        <f t="shared" ca="1" si="731"/>
        <v>0</v>
      </c>
      <c r="BW398" s="48">
        <f t="shared" ca="1" si="732"/>
        <v>0</v>
      </c>
      <c r="BX398" s="48">
        <f t="shared" ca="1" si="733"/>
        <v>0</v>
      </c>
      <c r="BY398" s="48">
        <f ca="1">IF(OR(BW398&gt;0,BX398&gt;0),MAX($BY$2:BY397)+1,0)</f>
        <v>0</v>
      </c>
      <c r="BZ398" s="48" t="str">
        <f ca="1">IFERROR(INDEX($BT$3:$BY$400,MATCH(ROWS(BZ$3:BZ398),$BY$3:$BY$400,0),1),"")</f>
        <v/>
      </c>
      <c r="CA398" s="48" t="str">
        <f ca="1">IFERROR(INDEX($BT$3:$BY$400,MATCH(ROWS(CA$3:CA398),$BY$3:$BY$400,0),4),"")</f>
        <v/>
      </c>
      <c r="CB398" s="48" t="str">
        <f ca="1">IFERROR(INDEX($BT$3:$BY$400,MATCH(ROWS(CB$3:CB398),$BY$3:$BY$400,0),5),"")</f>
        <v/>
      </c>
      <c r="CC398" s="48" t="str">
        <f t="shared" ca="1" si="734"/>
        <v/>
      </c>
      <c r="CM398" s="242" t="str">
        <f t="shared" ca="1" si="743"/>
        <v/>
      </c>
      <c r="CN398" s="243">
        <f t="shared" ca="1" si="744"/>
        <v>0</v>
      </c>
      <c r="CO398" s="48" t="str">
        <f t="shared" ca="1" si="745"/>
        <v/>
      </c>
      <c r="CU398" s="48">
        <f ca="1">IF(SUMIFS(AVERE,DEN_G,AC398,AVERE,"&gt;"&amp;0)+SUMIFS(DARE,DEN_G,AC398,DARE,"&gt;"&amp;0)&gt;0,MAX($CU$2:CU397)+1,0)</f>
        <v>0</v>
      </c>
      <c r="CV398" s="48" t="str">
        <f ca="1">IF(IFERROR(INDEX(PDC,MATCH(ROWS($CV$3:CV398),$CU$3:$CU$400,0),2),"")="CONTO DI RISULTATO ECONOMICO","",IFERROR(INDEX(PDC,MATCH(ROWS($CV$3:CV398),$CU$3:$CU$400,0),2),""))</f>
        <v/>
      </c>
      <c r="CW398" s="48">
        <f ca="1">IFERROR(IF(CV398&lt;&gt;"",MAX($CW$2:CW397)+1,0),0)</f>
        <v>0</v>
      </c>
      <c r="CX398" s="48">
        <f t="shared" ca="1" si="755"/>
        <v>31</v>
      </c>
      <c r="CY398" s="48" t="str">
        <f t="shared" ca="1" si="754"/>
        <v>MASTRO</v>
      </c>
      <c r="CZ398" s="48" t="e">
        <f t="shared" ca="1" si="757"/>
        <v>#N/A</v>
      </c>
      <c r="DA398" s="48" t="str">
        <f t="shared" ca="1" si="761"/>
        <v/>
      </c>
      <c r="DB398" s="48" t="str">
        <f t="shared" ca="1" si="682"/>
        <v/>
      </c>
      <c r="DC398" s="48" t="str">
        <f t="shared" ca="1" si="758"/>
        <v/>
      </c>
      <c r="DD398" s="48" t="str">
        <f t="shared" ca="1" si="759"/>
        <v/>
      </c>
      <c r="DE398" s="48" t="str">
        <f t="shared" ca="1" si="760"/>
        <v/>
      </c>
      <c r="DF398" s="48">
        <f ca="1">IF(AND(CX398=$DF$1,CX398&lt;&gt;""),0,IF(AND(DB398&lt;&gt;"",OR(DB397&lt;&gt;"",DB399&lt;&gt;"")),MAX($DF$2:DF397)+1,0))</f>
        <v>0</v>
      </c>
      <c r="DH398" s="244" t="s">
        <v>918</v>
      </c>
      <c r="DI398" s="48" t="s">
        <v>268</v>
      </c>
      <c r="DN398" s="48">
        <f ca="1">IF(DI398&lt;&gt;"",MAX($DN$2:DN397)+1,0)</f>
        <v>326</v>
      </c>
      <c r="DY398" s="48" t="str">
        <f t="shared" ca="1" si="735"/>
        <v/>
      </c>
      <c r="EK398" s="48" t="str">
        <f ca="1">IF(AND($I$1=2,EL398&lt;0),"PERDITA D'ESERCIZIO","")</f>
        <v/>
      </c>
      <c r="EL398" s="48">
        <f ca="1">IF($I$1=1,0,SUMIFS(dare_grezzo,den_grezzo,"="&amp;"PERDITA D'ESERCIZIO",data_grezzo,"&lt;="&amp;FINE_AC,data_grezzo,"&gt;="&amp;INIZIO_A_PC)+SUMIFS(dare_grezzo,den_grezzo,"="&amp;"[PERDITA D'ESERCIZIO",data_grezzo,"&lt;="&amp;FINE_AC,data_grezzo,"&gt;="&amp;INIZIO_A_PC)-SUMIFS(avere_grezzo,den_grezzo,"="&amp;"[PERDITA D'ESERCIZIO",data_grezzo,"&lt;="&amp;FINE_AC,data_grezzo,"&gt;="&amp;INIZIO_A_PC))</f>
        <v>0</v>
      </c>
      <c r="EM398" s="48">
        <f ca="1">IF(EL398&gt;=0,0,MAX($EM$2:EM397)+1)</f>
        <v>0</v>
      </c>
      <c r="EN398" s="48" t="str">
        <f t="shared" ca="1" si="763"/>
        <v/>
      </c>
      <c r="EO398" s="48" t="str">
        <f ca="1">IFERROR(INDEX($EM$3:$EN$400,MATCH(ROWS($EO$3:EO398),$EM$3:$EM$400,0),2),"")</f>
        <v/>
      </c>
      <c r="EP398" s="48">
        <f>ROW()</f>
        <v>398</v>
      </c>
      <c r="EQ398" s="48">
        <f t="shared" ca="1" si="737"/>
        <v>0</v>
      </c>
      <c r="ER398" s="48">
        <f ca="1">IF(ISNA(EQ398)=TRUE,MAX($ER$2:ER397)+1,0)</f>
        <v>0</v>
      </c>
      <c r="ES398" s="48" t="str">
        <f t="shared" ca="1" si="747"/>
        <v/>
      </c>
      <c r="ET398" s="48" t="str">
        <f ca="1">IFERROR(INDEX($ER$3:$ES$400,MATCH(ROWS($ET$3:ET398),$ER$3:$ER$400,0),2),"")</f>
        <v/>
      </c>
      <c r="EV398" s="48">
        <f ca="1">IFERROR(INDEX(LIBRO_GIORNALE!$O$11:$P$408,MATCH(ROWS($EV$2:EV397),LIBRO_GIORNALE!$P$11:$P$408,0),1),0)</f>
        <v>0</v>
      </c>
      <c r="EW398" s="48" t="str">
        <f t="shared" ca="1" si="716"/>
        <v>0</v>
      </c>
      <c r="EX398" s="48">
        <f t="shared" ca="1" si="748"/>
        <v>0</v>
      </c>
      <c r="EY398" s="48">
        <f ca="1">IF(EX398&gt;0,MAX($EY$2:EY397)+1,0)</f>
        <v>0</v>
      </c>
      <c r="EZ398" s="48">
        <f ca="1">IFERROR(INDEX($EX$3:$EX$400,MATCH(ROWS($EZ$3:EZ398),$EY$3:$EY$400,0),1),0)</f>
        <v>0</v>
      </c>
      <c r="FA398" s="48">
        <f ca="1">IF(EZ398&gt;0,0,MAX($FA$2:FA397)+1)</f>
        <v>396</v>
      </c>
      <c r="FB398" s="48">
        <f t="shared" ca="1" si="717"/>
        <v>0</v>
      </c>
      <c r="FC398" s="48">
        <f t="shared" ca="1" si="718"/>
        <v>396</v>
      </c>
      <c r="FD398" s="48">
        <f t="shared" ca="1" si="749"/>
        <v>396</v>
      </c>
      <c r="FE398" s="48">
        <f ca="1">IF(FD398=0,0,MAX($FE$2:FE397)+1)</f>
        <v>396</v>
      </c>
      <c r="FF398" s="48">
        <f ca="1">IFERROR(INDEX($FD$3:$FE$400,MATCH(ROWS($FF$3:FF398),$FE$3:$FE$400,0),1),"")</f>
        <v>396</v>
      </c>
      <c r="FG398" s="48">
        <f t="shared" si="696"/>
        <v>0</v>
      </c>
      <c r="FH398" s="48">
        <f t="shared" ca="1" si="750"/>
        <v>0</v>
      </c>
      <c r="FI398" s="48">
        <f ca="1">IF(FH398&lt;&gt;0,MAX($FI$2:FI397)+1,0)</f>
        <v>0</v>
      </c>
      <c r="FJ398" s="48" t="str">
        <f ca="1">IFERROR(INDEX($FH$3:$FI$400,MATCH(ROWS($FJ$3:FJ398),$FI$3:$FI$400,0),1),"")</f>
        <v/>
      </c>
      <c r="FK398" s="48">
        <f ca="1">IF(ABS(SUMIFS(DARE,DEN_G,"="&amp;FJ398,DATA,"&lt;="&amp;FINE_AC,DATA,"&gt;="&amp;INIZIO_A_PC)-SUMIFS(AVERE,DEN_G,"="&amp;FJ398,DATA,"&lt;="&amp;FINE_AC,DATA,"&gt;="&amp;INIZIO_A_PC))&gt;0,MAX($FK$2:FK397)+1,0)</f>
        <v>0</v>
      </c>
      <c r="FL398" s="48" t="str">
        <f ca="1">IF(AND(ROW()-2&lt;&gt;1,ROW()-2&lt;=$FK$1),CONCATENATE(" - ",IFERROR(INDEX($FJ$3:$FK$400,MATCH(ROWS($FL$3:FL398),$FK$3:$FK$400,0),1),"")),IFERROR(INDEX($FJ$3:$FK$400,MATCH(ROWS($FL$3:FL398),$FK$3:$FK$400,0),1),""))</f>
        <v/>
      </c>
      <c r="FM398" s="48">
        <f ca="1">IF(OR(B398="IVA ns/credito",B398="IVA NS/DEBITO",B398="IVA C/ACCONTO",B398="IMPOSTE C/ACCONTO",B398="CREDITI PER RITENUTE SUBITE",B398="CREDITI D'IMPOSTA"),MAX($FM$2:FM397)+1,0)</f>
        <v>0</v>
      </c>
      <c r="FN398" s="48" t="str">
        <f t="shared" ca="1" si="751"/>
        <v/>
      </c>
      <c r="FO398" s="48" t="str">
        <f ca="1">IFERROR(INDEX($FM$3:$FN$400,MATCH(ROWS($FO$3:FO398),$FM$3:$FM$400,0),2),"")</f>
        <v/>
      </c>
      <c r="FP398" s="48">
        <f ca="1">IF(ABS(SUMIFS(DARE,DEN_G,"="&amp;FO398,DATA,"&lt;="&amp;FINE_AC,DATA,"&gt;="&amp;INIZIO_A_PC)-SUMIFS(AVERE,DEN_G,"="&amp;FO398,DATA,"&lt;="&amp;FINE_AC,DATA,"&gt;="&amp;INIZIO_A_PC))&gt;0,MAX($FP$2:FP397)+1,0)</f>
        <v>0</v>
      </c>
      <c r="FQ398" s="48" t="str">
        <f ca="1">IF(AND(ROW()-2&lt;&gt;1,ROW()-2&lt;=$FP$1),CONCATENATE(" - ",IFERROR(INDEX($FO$3:$FP$400,MATCH(ROWS($FQ$3:FQ398),$FP$3:$FP$400,0),1),"")),IFERROR(INDEX($FO$3:$FP$400,MATCH(ROWS($FQ$3:FQ398),$FP$3:$FP$400,0),1),""))</f>
        <v/>
      </c>
    </row>
    <row r="399" spans="1:173" x14ac:dyDescent="0.3">
      <c r="A399" s="48" t="str">
        <f ca="1">IFERROR(IF($A$1=2,INDEX($DH$3:$DN$401,MATCH(ROWS(A$3:A399),$DN$3:$DN$401,0),COLUMN()),IF($A$1=1,INDEX($DQ$3:$DW$401,MATCH(ROWS(A$3:A399),$DW$3:$DW$401,0),COLUMN()),"")),"")</f>
        <v/>
      </c>
      <c r="B399" s="48" t="str">
        <f ca="1">IFERROR(IF($A$1=2,INDEX($DH$3:$DN$400,MATCH(ROWS(B$3:B399),$DN$3:$DN$400,0),COLUMN()),IF($A$1=1,INDEX($DQ$3:$DW$400,MATCH(ROWS(B$3:B399),$DW$3:$DW$400,0),COLUMN()),"")),"")</f>
        <v/>
      </c>
      <c r="D399" s="48" t="str">
        <f ca="1">IFERROR(IF($A$1=2,INDEX($DH$3:$DN$401,MATCH(ROWS(D$3:D399),$DN$3:$DN$401,0),COLUMN()),IF($A$1=1,INDEX($DQ$3:$DW$401,MATCH(ROWS(D$3:D399),$DW$3:$DW$401,0),COLUMN()),"")),"")</f>
        <v/>
      </c>
      <c r="E399" s="48" t="str">
        <f ca="1">IFERROR(IF($A$1=2,INDEX($DH$3:$DN$401,MATCH(ROWS(E$3:E399),$DN$3:$DN$401,0),COLUMN()),IF($A$1=1,INDEX($DQ$3:$DW$401,MATCH(ROWS(E$3:E399),$DW$3:$DW$401,0),COLUMN()),"")),"")</f>
        <v/>
      </c>
      <c r="F399" s="48" t="str">
        <f ca="1">IFERROR(IF($A$1=2,INDEX($DH$3:$DN$401,MATCH(ROWS(F$3:F399),$DN$3:$DN$401,0),COLUMN()),IF($A$1=1,INDEX($DQ$3:$DX$401,MATCH(ROWS(F$3:F399),$DW$3:$DW$401,0),COLUMN()),"")),"")</f>
        <v/>
      </c>
      <c r="G399" s="48" t="str">
        <f t="shared" ca="1" si="738"/>
        <v/>
      </c>
      <c r="H399" s="48" t="str">
        <f ca="1">IFERROR(IF($A$1=2,INDEX($DH$3:$DO$400,MATCH(ROWS(H$3:H399),$DN$3:$DN$400,0),COLUMN()),IF($A$1=1,INDEX($DQ$3:$DX$400,MATCH(ROWS(H$3:H399),$DW$3:$DW$400,0),COLUMN()),"")),"")</f>
        <v/>
      </c>
      <c r="M399" s="48">
        <f ca="1">IFERROR(IF(IF(MID($A399,3,3)=".00",MID(A399,1,2),"")&lt;&gt;"",MAX($M$2:M398)+1,0),"")</f>
        <v>0</v>
      </c>
      <c r="N399" s="48" t="str">
        <f t="shared" ca="1" si="739"/>
        <v/>
      </c>
      <c r="O399" s="48" t="str">
        <f ca="1">IF(IFERROR(INDEX($N$3:$O$300,MATCH(ROWS($O$3:O399),$M$3:$M$300,0),1),"")&lt;&gt;"",CONCATENATE(INDEX($N$3:$O$300,MATCH(ROWS($O$3:O399),$M$3:$M$300,0),1),".00"),"")</f>
        <v/>
      </c>
      <c r="P399" s="48" t="str">
        <f t="shared" ca="1" si="740"/>
        <v/>
      </c>
      <c r="Q399" s="48">
        <f ca="1">IF(M399&gt;=1,0,MAX($Q$2:Q398)+1)</f>
        <v>360</v>
      </c>
      <c r="U399" s="48" t="str">
        <f ca="1">IFERROR(INDEX(PDC,MATCH(ROWS(U$3:U399),$V$3:$V$400,0),2),"")</f>
        <v/>
      </c>
      <c r="V399" s="48">
        <f ca="1">IF(AND($T$1="VISUALIZZA TUTTI I CONTI",AA399&lt;&gt;""),MAX($V$2:V398)+1,IF(AND($U$2=2,AI399=$T$1),MAX($V$2:V398)+1,IF(AND($U$2=1,$T$1=AF399),MAX($V$2:V398)+1,0)))</f>
        <v>0</v>
      </c>
      <c r="AA399" s="48" t="str">
        <f t="shared" ca="1" si="741"/>
        <v/>
      </c>
      <c r="AB399" s="48" t="str">
        <f ca="1">IFERROR(INDEX($A$3:$G$400,MATCH(ROWS(AB$3:AB399),$Q$3:$Q$400,0),1),"")</f>
        <v/>
      </c>
      <c r="AC399" s="48" t="str">
        <f ca="1">IFERROR(INDEX($A$3:$G$400,MATCH(ROWS($AC$3:AC399),$Q$3:$Q$400,0),2),"")</f>
        <v/>
      </c>
      <c r="AD399" s="48" t="str">
        <f ca="1">IFERROR(INDEX($A$3:$G$400,MATCH(ROWS(AD$3:AD399),$Q$3:$Q$400,0),3),"")</f>
        <v/>
      </c>
      <c r="AE399" s="48" t="str">
        <f ca="1">IFERROR(INDEX($A$3:$G$400,MATCH(ROWS(AE$3:AE399),$Q$3:$Q$400,0),4),"")</f>
        <v/>
      </c>
      <c r="AF399" s="48" t="str">
        <f ca="1">IFERROR(INDEX($A$3:$G$400,MATCH(ROWS(AF$3:AF399),$Q$3:$Q$400,0),5),"")</f>
        <v/>
      </c>
      <c r="AG399" s="48" t="str">
        <f ca="1">IFERROR(INDEX($A$3:$G$400,MATCH(ROWS(AG$3:AG399),$Q$3:$Q$400,0),6),"")</f>
        <v/>
      </c>
      <c r="AH399" s="48" t="str">
        <f ca="1">IFERROR(INDEX($A$3:$G$400,MATCH(ROWS(AH$3:AH399),$Q$3:$Q$400,0),7),"")</f>
        <v/>
      </c>
      <c r="AI399" s="48" t="str">
        <f t="shared" ca="1" si="742"/>
        <v/>
      </c>
      <c r="AJ399" s="48" t="str">
        <f ca="1">IFERROR(INDEX($A$3:$H$400,MATCH(ROWS(AJ$3:AJ399),$Q$3:$Q$400,0),8),"")</f>
        <v/>
      </c>
      <c r="AZ399" s="48" t="str">
        <f t="shared" ca="1" si="762"/>
        <v/>
      </c>
      <c r="BA399" s="48">
        <f t="shared" ca="1" si="697"/>
        <v>0</v>
      </c>
      <c r="BB399" s="48">
        <f t="shared" ca="1" si="698"/>
        <v>0</v>
      </c>
      <c r="BC399" s="48">
        <f t="shared" ca="1" si="699"/>
        <v>0</v>
      </c>
      <c r="BD399" s="48">
        <f t="shared" ca="1" si="700"/>
        <v>0</v>
      </c>
      <c r="BE399" s="48">
        <f t="shared" ca="1" si="701"/>
        <v>0</v>
      </c>
      <c r="BF399" s="48">
        <f t="shared" si="711"/>
        <v>199</v>
      </c>
      <c r="BG399" s="48">
        <f ca="1">IF(IF(AND(OR(INDEX(PDC,MATCH($AC399,DEN_PDC,0),6)="SP DARE",INDEX(PDC,MATCH($AC399,DEN_PDC,0),6)="SP DARE/AVERE"),SUMIFS(DARE,DEN_G,$AC399)&gt;=SUMIFS(AVERE,DEN_G,$AC399)),SUMIFS(DARE,DEN_G,$AC399)-SUMIFS(AVERE,DEN_G,$AC399),0)&gt;0,MAX($BG$2:BG398)+1,0)</f>
        <v>0</v>
      </c>
      <c r="BH399" s="48">
        <f ca="1">IF(IF(AND(OR(INDEX(PDC,MATCH($AC399,DEN_PDC,0),6)="SP AVERE",INDEX(PDC,MATCH($AC399,DEN_PDC,0),6)="SP DARE/AVERE"),SUMIFS(AVERE,DEN_G,$AC399)&gt;=SUMIFS(DARE,DEN_G,$AC399)),SUMIFS(AVERE,DEN_G,$AC399)-SUMIFS(DARE,DEN_G,$AC399),0)&gt;0,MAX(BH$2:BH398)+1,0)</f>
        <v>0</v>
      </c>
      <c r="BI399" s="48">
        <f ca="1">IF(IF(AND(OR(INDEX(PDC,MATCH($AC399,DEN_PDC,0),6)="SE DARE",INDEX(PDC,MATCH($AC399,DEN_PDC,0),6)="SE DARE/AVERE"),SUMIFS(DARE,DEN_G,$AC399)&gt;=SUMIFS(AVERE,DEN_G,$AC399)),SUMIFS(DARE,DEN_G,$AC399)-SUMIFS(AVERE,DEN_G,$AC399),0)&gt;0,MAX(BI$2:BI398)+1,0)</f>
        <v>0</v>
      </c>
      <c r="BJ399" s="48">
        <f ca="1">IF(IF(AND(OR(INDEX(PDC,MATCH($AC399,DEN_PDC,0),6)="SE AVERE",INDEX(PDC,MATCH($AC399,DEN_PDC,0),6)="SE DARE/AVERE"),SUMIFS(AVERE,DEN_G,$AC399)&gt;=SUMIFS(DARE,DEN_G,$AC399)),SUMIFS(AVERE,DEN_G,$AC399)-SUMIFS(DARE,DEN_G,$AC399),0)&gt;0,MAX(BJ$2:BJ398)+1,0)</f>
        <v>0</v>
      </c>
      <c r="BK399" s="48" t="str">
        <f ca="1">IF(AND(AND($DY$2=0,$DY$1=0),$I$1=2,ROW()&gt;$BG$1+2,ROW()&lt;=$BG$1+4),"………………..",IF(AND(OR($DY$2&gt;0,$DY$1&gt;0),$I$1=2,ROW()&gt;$BG$1+2,ROW()&lt;=$BG$1+4),"………………..",IFERROR(INDEX($AC$3:$AC$398,MATCH(ROWS(BK$3:BK399),BG$3:BG$398,0),1),"")))</f>
        <v/>
      </c>
      <c r="BL399" s="48">
        <f t="shared" ca="1" si="726"/>
        <v>0</v>
      </c>
      <c r="BM399" s="48" t="str">
        <f ca="1">IF(AND(OR($DY$2=0,$DY$1=0),$I$1=2,ROW()&gt;$BH$1+2,ROW()&lt;=$BH$1+4),"………………..",IF(AND(OR($DY$2&gt;0,$DY$1&gt;0),$I$1=2,ROW()&gt;$BH$1+2,ROW()&lt;=$BH$1+4),"………………..",IFERROR(INDEX($AC$3:$AC$400,MATCH(ROWS(BM$3:BM399),BH$3:BH$400,0),1),"")))</f>
        <v/>
      </c>
      <c r="BN399" s="48">
        <f t="shared" ca="1" si="727"/>
        <v>0</v>
      </c>
      <c r="BO399" s="48" t="str">
        <f ca="1">IF(AND(OR($DY$2=0,$DY$1=0),$I$1=2,ROW()&gt;$BI$1+2,ROW()&lt;=$BI$1+4),"………………..",IF(AND(OR($DY$2&gt;0,$DY$1&gt;0),$I$1=2,ROW()&gt;$BI$1+2,ROW()&lt;=$BI$1+4),"………………..",IFERROR(INDEX($AC$3:$AC$400,MATCH(ROWS(BO$3:BO399),BI$3:BI$400,0),1),"")))</f>
        <v/>
      </c>
      <c r="BP399" s="48">
        <f t="shared" ca="1" si="728"/>
        <v>0</v>
      </c>
      <c r="BQ399" s="48" t="str">
        <f ca="1">IF(AND(OR($DY$2=0,$DY$1=0),$I$1=2,ROW()&gt;$BJ$1+2,ROW()&lt;=$BJ$1+4),"………………..",IF(AND(OR($DY$2&gt;0,$DY$1&gt;0),$I$1=2,ROW()&gt;$BJ$1+2,ROW()&lt;=$BJ$1+4),"………………..",IFERROR(INDEX($AC$3:$AC$400,MATCH(ROWS(BQ$3:BQ399),BJ$3:BJ$400,0),1),"")))</f>
        <v/>
      </c>
      <c r="BR399" s="48">
        <f t="shared" ca="1" si="729"/>
        <v>0</v>
      </c>
      <c r="BS399" s="48">
        <f ca="1">IF(IF(AND(OR(INDEX(PDC,MATCH($AC399,DEN_PDC,0),4)="D",INDEX(PDC,MATCH($AC399,DEN_PDC,0),4)="D/A"),SUMIFS(DARE,DEN_G,$AC399)&gt;=SUMIFS(AVERE,DEN_G,$AC399)),SUMIFS(DARE,DEN_G,$AC399),IF(AND(OR(INDEX(PDC,MATCH($AC399,DEN_PDC,0),4)="A",INDEX(PDC,MATCH($AC399,DEN_PDC,0),4)="D/A"),SUMIFS(AVERE,DEN_G,$AC399)&gt;=SUMIFS(DARE,DEN_G,$AC399)),SUMIFS(AVERE,DEN_G,$AC399),))&gt;0,MAX($BS$2:BS398)+1,0)</f>
        <v>0</v>
      </c>
      <c r="BZ399" s="48" t="str">
        <f ca="1">IFERROR(INDEX($BT$3:$BY$400,MATCH(ROWS(BZ$3:BZ399),$BY$3:$BY$400,0),1),"")</f>
        <v/>
      </c>
      <c r="CA399" s="48" t="str">
        <f ca="1">IFERROR(INDEX($BT$3:$BY$400,MATCH(ROWS(CA$3:CA399),$BY$3:$BY$400,0),4),"")</f>
        <v/>
      </c>
      <c r="CB399" s="48" t="str">
        <f ca="1">IFERROR(INDEX($BT$3:$BY$400,MATCH(ROWS(CB$3:CB399),$BY$3:$BY$400,0),5),"")</f>
        <v/>
      </c>
      <c r="CM399" s="242" t="str">
        <f t="shared" ca="1" si="743"/>
        <v/>
      </c>
      <c r="CN399" s="243">
        <f t="shared" ca="1" si="744"/>
        <v>0</v>
      </c>
      <c r="CO399" s="48" t="str">
        <f t="shared" ca="1" si="745"/>
        <v/>
      </c>
      <c r="CU399" s="48">
        <f ca="1">IF(SUMIFS(AVERE,DEN_G,AC399,AVERE,"&gt;"&amp;0)+SUMIFS(DARE,DEN_G,AC399,DARE,"&gt;"&amp;0)&gt;0,MAX($CU$2:CU398)+1,0)</f>
        <v>0</v>
      </c>
      <c r="CV399" s="48" t="str">
        <f ca="1">IF(IFERROR(INDEX(PDC,MATCH(ROWS($CV$3:CV399),$CU$3:$CU$400,0),2),"")="CONTO DI RISULTATO ECONOMICO","",IFERROR(INDEX(PDC,MATCH(ROWS($CV$3:CV399),$CU$3:$CU$400,0),2),""))</f>
        <v/>
      </c>
      <c r="CW399" s="48">
        <f ca="1">IFERROR(IF(CV399&lt;&gt;"",MAX($CW$2:CW398)+1,0),0)</f>
        <v>0</v>
      </c>
      <c r="CX399" s="48">
        <f t="shared" ca="1" si="755"/>
        <v>31</v>
      </c>
      <c r="CY399" s="48" t="str">
        <f t="shared" ca="1" si="754"/>
        <v>MASTRO</v>
      </c>
      <c r="CZ399" s="48" t="e">
        <f t="shared" ca="1" si="757"/>
        <v>#N/A</v>
      </c>
      <c r="DA399" s="48" t="str">
        <f t="shared" ca="1" si="761"/>
        <v/>
      </c>
      <c r="DB399" s="48" t="str">
        <f t="shared" ca="1" si="682"/>
        <v/>
      </c>
      <c r="DC399" s="48" t="str">
        <f t="shared" ca="1" si="758"/>
        <v/>
      </c>
      <c r="DD399" s="48" t="str">
        <f t="shared" ca="1" si="759"/>
        <v/>
      </c>
      <c r="DE399" s="48" t="str">
        <f t="shared" ca="1" si="760"/>
        <v/>
      </c>
      <c r="DF399" s="48">
        <f ca="1">IF(AND(CX399=$DF$1,CX399&lt;&gt;""),0,IF(AND(DB399&lt;&gt;"",OR(DB398&lt;&gt;"",DB400&lt;&gt;"")),MAX($DF$2:DF398)+1,0))</f>
        <v>0</v>
      </c>
      <c r="DH399" s="244" t="s">
        <v>919</v>
      </c>
      <c r="DI399" s="48" t="s">
        <v>269</v>
      </c>
      <c r="DJ399" s="48" t="s">
        <v>311</v>
      </c>
      <c r="DK399" s="48" t="s">
        <v>271</v>
      </c>
      <c r="DL399" s="48" t="s">
        <v>268</v>
      </c>
      <c r="DN399" s="48">
        <f ca="1">IF(DI399&lt;&gt;"",MAX($DN$2:DN398)+1,0)</f>
        <v>327</v>
      </c>
      <c r="DY399" s="48" t="str">
        <f t="shared" ca="1" si="735"/>
        <v/>
      </c>
      <c r="EK399" s="48" t="str">
        <f ca="1">EK402</f>
        <v/>
      </c>
      <c r="EL399" s="48">
        <f ca="1">EL402</f>
        <v>0</v>
      </c>
      <c r="EM399" s="48">
        <f ca="1">IF(EL399&gt;=0,0,MAX($EM$2:EM398)+1)</f>
        <v>0</v>
      </c>
      <c r="EN399" s="48" t="str">
        <f ca="1">IF(EL399&lt;0,EK399,"")</f>
        <v/>
      </c>
      <c r="EO399" s="48" t="str">
        <f ca="1">IFERROR(INDEX($EM$3:$EN$400,MATCH(ROWS($EO$3:EO399),$EM$3:$EM$400,0),2),"")</f>
        <v/>
      </c>
      <c r="EP399" s="48">
        <f>ROW()</f>
        <v>399</v>
      </c>
      <c r="EQ399" s="48">
        <f t="shared" ca="1" si="737"/>
        <v>0</v>
      </c>
      <c r="ER399" s="48">
        <f ca="1">IF(ISNA(EQ399)=TRUE,MAX($ER$2:ER398)+1,0)</f>
        <v>0</v>
      </c>
      <c r="ES399" s="48" t="str">
        <f t="shared" ca="1" si="747"/>
        <v/>
      </c>
      <c r="ET399" s="48" t="str">
        <f ca="1">IFERROR(INDEX($ER$3:$ES$400,MATCH(ROWS($ET$3:ET399),$ER$3:$ER$400,0),2),"")</f>
        <v/>
      </c>
      <c r="EV399" s="48">
        <f ca="1">IFERROR(INDEX(LIBRO_GIORNALE!$O$11:$P$408,MATCH(ROWS($EV$2:EV398),LIBRO_GIORNALE!$P$11:$P$408,0),1),0)</f>
        <v>0</v>
      </c>
      <c r="EW399" s="48" t="str">
        <f t="shared" ca="1" si="716"/>
        <v>0</v>
      </c>
      <c r="EX399" s="48">
        <f t="shared" ca="1" si="748"/>
        <v>0</v>
      </c>
      <c r="EY399" s="48">
        <f ca="1">IF(EX399&gt;0,MAX($EY$2:EY398)+1,0)</f>
        <v>0</v>
      </c>
      <c r="EZ399" s="48">
        <f ca="1">IFERROR(INDEX($EX$3:$EX$400,MATCH(ROWS($EZ$3:EZ399),$EY$3:$EY$400,0),1),0)</f>
        <v>0</v>
      </c>
      <c r="FA399" s="48">
        <f ca="1">IF(EZ399&gt;0,0,MAX($FA$2:FA398)+1)</f>
        <v>397</v>
      </c>
      <c r="FB399" s="48">
        <f t="shared" ca="1" si="717"/>
        <v>0</v>
      </c>
      <c r="FC399" s="48">
        <f t="shared" ca="1" si="718"/>
        <v>397</v>
      </c>
      <c r="FD399" s="48">
        <f t="shared" ca="1" si="749"/>
        <v>397</v>
      </c>
      <c r="FE399" s="48">
        <f ca="1">IF(FD399=0,0,MAX($FE$2:FE398)+1)</f>
        <v>397</v>
      </c>
      <c r="FF399" s="48">
        <f ca="1">IFERROR(INDEX($FD$3:$FE$400,MATCH(ROWS($FF$3:FF399),$FE$3:$FE$400,0),1),"")</f>
        <v>397</v>
      </c>
      <c r="FG399" s="48">
        <f t="shared" si="696"/>
        <v>0</v>
      </c>
      <c r="FH399" s="48">
        <f t="shared" ca="1" si="750"/>
        <v>0</v>
      </c>
      <c r="FI399" s="48">
        <f ca="1">IF(FH399&lt;&gt;0,MAX($FI$2:FI398)+1,0)</f>
        <v>0</v>
      </c>
      <c r="FJ399" s="48" t="str">
        <f ca="1">IFERROR(INDEX($FH$3:$FI$400,MATCH(ROWS($FJ$3:FJ399),$FI$3:$FI$400,0),1),"")</f>
        <v/>
      </c>
      <c r="FK399" s="48">
        <f ca="1">IF(ABS(SUMIFS(DARE,DEN_G,"="&amp;FJ399,DATA,"&lt;="&amp;FINE_AC,DATA,"&gt;="&amp;INIZIO_A_PC)-SUMIFS(AVERE,DEN_G,"="&amp;FJ399,DATA,"&lt;="&amp;FINE_AC,DATA,"&gt;="&amp;INIZIO_A_PC))&gt;0,MAX($FK$2:FK398)+1,0)</f>
        <v>0</v>
      </c>
      <c r="FL399" s="48" t="str">
        <f ca="1">IF(AND(ROW()-2&lt;&gt;1,ROW()-2&lt;=$FK$1),CONCATENATE(" - ",IFERROR(INDEX($FJ$3:$FK$400,MATCH(ROWS($FL$3:FL399),$FK$3:$FK$400,0),1),"")),IFERROR(INDEX($FJ$3:$FK$400,MATCH(ROWS($FL$3:FL399),$FK$3:$FK$400,0),1),""))</f>
        <v/>
      </c>
      <c r="FM399" s="48">
        <f ca="1">IF(OR(B399="IVA ns/credito",B399="IVA NS/DEBITO",B399="IVA C/ACCONTO",B399="IMPOSTE C/ACCONTO",B399="CREDITI PER RITENUTE SUBITE",B399="CREDITI D'IMPOSTA"),MAX($FM$2:FM398)+1,0)</f>
        <v>0</v>
      </c>
      <c r="FN399" s="48" t="str">
        <f t="shared" ca="1" si="751"/>
        <v/>
      </c>
      <c r="FO399" s="48" t="str">
        <f ca="1">IFERROR(INDEX($FM$3:$FN$400,MATCH(ROWS($FO$3:FO399),$FM$3:$FM$400,0),2),"")</f>
        <v/>
      </c>
      <c r="FP399" s="48">
        <f ca="1">IF(ABS(SUMIFS(DARE,DEN_G,"="&amp;FO399,DATA,"&lt;="&amp;FINE_AC,DATA,"&gt;="&amp;INIZIO_A_PC)-SUMIFS(AVERE,DEN_G,"="&amp;FO399,DATA,"&lt;="&amp;FINE_AC,DATA,"&gt;="&amp;INIZIO_A_PC))&gt;0,MAX($FP$2:FP398)+1,0)</f>
        <v>0</v>
      </c>
      <c r="FQ399" s="48" t="str">
        <f ca="1">IF(AND(ROW()-2&lt;&gt;1,ROW()-2&lt;=$FP$1),CONCATENATE(" - ",IFERROR(INDEX($FO$3:$FP$400,MATCH(ROWS($FQ$3:FQ399),$FP$3:$FP$400,0),1),"")),IFERROR(INDEX($FO$3:$FP$400,MATCH(ROWS($FQ$3:FQ399),$FP$3:$FP$400,0),1),""))</f>
        <v/>
      </c>
    </row>
    <row r="400" spans="1:173" x14ac:dyDescent="0.3">
      <c r="A400" s="48" t="str">
        <f ca="1">IFERROR(IF($A$1=2,INDEX($DH$3:$DN$401,MATCH(ROWS(A$3:A400),$DN$3:$DN$401,0),COLUMN()),IF($A$1=1,INDEX($DQ$3:$DW$401,MATCH(ROWS(A$3:A400),$DW$3:$DW$401,0),COLUMN()),"")),"")</f>
        <v/>
      </c>
      <c r="B400" s="48" t="str">
        <f ca="1">IFERROR(IF($A$1=2,INDEX($DH$3:$DN$400,MATCH(ROWS(B$3:B400),$DN$3:$DN$400,0),COLUMN()),IF($A$1=1,INDEX($DQ$3:$DW$400,MATCH(ROWS(B$3:B400),$DW$3:$DW$400,0),COLUMN()),"")),"")</f>
        <v/>
      </c>
      <c r="D400" s="48" t="str">
        <f ca="1">IFERROR(IF($A$1=2,INDEX($DH$3:$DN$401,MATCH(ROWS(D$3:D400),$DN$3:$DN$401,0),COLUMN()),IF($A$1=1,INDEX($DQ$3:$DW$401,MATCH(ROWS(D$3:D400),$DW$3:$DW$401,0),COLUMN()),"")),"")</f>
        <v/>
      </c>
      <c r="E400" s="48" t="str">
        <f ca="1">IFERROR(IF($A$1=2,INDEX($DH$3:$DN$401,MATCH(ROWS(E$3:E400),$DN$3:$DN$401,0),COLUMN()),IF($A$1=1,INDEX($DQ$3:$DW$401,MATCH(ROWS(E$3:E400),$DW$3:$DW$401,0),COLUMN()),"")),"")</f>
        <v/>
      </c>
      <c r="F400" s="48" t="str">
        <f ca="1">IFERROR(IF($A$1=2,INDEX($DH$3:$DN$401,MATCH(ROWS(F$3:F400),$DN$3:$DN$401,0),COLUMN()),IF($A$1=1,INDEX($DQ$3:$DX$401,MATCH(ROWS(F$3:F400),$DW$3:$DW$401,0),COLUMN()),"")),"")</f>
        <v/>
      </c>
      <c r="G400" s="48" t="str">
        <f t="shared" ca="1" si="738"/>
        <v/>
      </c>
      <c r="H400" s="48" t="str">
        <f ca="1">IFERROR(IF($A$1=2,INDEX($DH$3:$DO$400,MATCH(ROWS(H$3:H400),$DN$3:$DN$400,0),COLUMN()),IF($A$1=1,INDEX($DQ$3:$DX$400,MATCH(ROWS(H$3:H400),$DW$3:$DW$400,0),COLUMN()),"")),"")</f>
        <v/>
      </c>
      <c r="M400" s="48">
        <f ca="1">IFERROR(IF(IF(MID($A400,3,3)=".00",MID(A400,1,2),"")&lt;&gt;"",MAX($M$2:M399)+1,0),"")</f>
        <v>0</v>
      </c>
      <c r="N400" s="48" t="str">
        <f t="shared" ca="1" si="739"/>
        <v/>
      </c>
      <c r="O400" s="48" t="str">
        <f ca="1">IF(IFERROR(INDEX($N$3:$O$300,MATCH(ROWS($O$3:O400),$M$3:$M$300,0),1),"")&lt;&gt;"",CONCATENATE(INDEX($N$3:$O$300,MATCH(ROWS($O$3:O400),$M$3:$M$300,0),1),".00"),"")</f>
        <v/>
      </c>
      <c r="P400" s="48" t="str">
        <f t="shared" ca="1" si="740"/>
        <v/>
      </c>
      <c r="Q400" s="48">
        <f ca="1">IF(M400&gt;=1,0,MAX($Q$2:Q399)+1)</f>
        <v>361</v>
      </c>
      <c r="U400" s="48" t="str">
        <f ca="1">IFERROR(INDEX(PDC,MATCH(ROWS(U$3:U400),$V$3:$V$400,0),2),"")</f>
        <v/>
      </c>
      <c r="V400" s="48">
        <f ca="1">IF(AND($T$1="VISUALIZZA TUTTI I CONTI",AA400&lt;&gt;""),MAX($V$2:V399)+1,IF(AND($U$2=2,AI400=$T$1),MAX($V$2:V399)+1,IF(AND($U$2=1,$T$1=AF400),MAX($V$2:V399)+1,0)))</f>
        <v>0</v>
      </c>
      <c r="AA400" s="48" t="str">
        <f t="shared" ca="1" si="741"/>
        <v/>
      </c>
      <c r="AB400" s="48" t="str">
        <f ca="1">IFERROR(INDEX($A$3:$G$400,MATCH(ROWS(AB$3:AB400),$Q$3:$Q$400,0),1),"")</f>
        <v/>
      </c>
      <c r="AC400" s="48" t="str">
        <f ca="1">IFERROR(INDEX($A$3:$G$400,MATCH(ROWS($AC$3:AC400),$Q$3:$Q$400,0),2),"")</f>
        <v/>
      </c>
      <c r="AD400" s="48" t="str">
        <f ca="1">IFERROR(INDEX($A$3:$G$400,MATCH(ROWS(AD$3:AD400),$Q$3:$Q$400,0),3),"")</f>
        <v/>
      </c>
      <c r="AE400" s="48" t="str">
        <f ca="1">IFERROR(INDEX($A$3:$G$400,MATCH(ROWS(AE$3:AE400),$Q$3:$Q$400,0),4),"")</f>
        <v/>
      </c>
      <c r="AF400" s="48" t="str">
        <f ca="1">IFERROR(INDEX($A$3:$G$400,MATCH(ROWS(AF$3:AF400),$Q$3:$Q$400,0),5),"")</f>
        <v/>
      </c>
      <c r="AG400" s="48" t="str">
        <f ca="1">IFERROR(INDEX($A$3:$G$400,MATCH(ROWS(AG$3:AG400),$Q$3:$Q$400,0),6),"")</f>
        <v/>
      </c>
      <c r="AH400" s="48" t="str">
        <f ca="1">IFERROR(INDEX($A$3:$G$400,MATCH(ROWS(AH$3:AH400),$Q$3:$Q$400,0),7),"")</f>
        <v/>
      </c>
      <c r="AI400" s="48" t="str">
        <f t="shared" ca="1" si="742"/>
        <v/>
      </c>
      <c r="AJ400" s="48" t="str">
        <f ca="1">IFERROR(INDEX($A$3:$H$400,MATCH(ROWS(AJ$3:AJ400),$Q$3:$Q$400,0),8),"")</f>
        <v/>
      </c>
      <c r="AZ400" s="48" t="str">
        <f ca="1">IF(BB400=0,"",ROW()-200)</f>
        <v/>
      </c>
      <c r="BA400" s="48">
        <f t="shared" ca="1" si="697"/>
        <v>0</v>
      </c>
      <c r="BB400" s="48">
        <f t="shared" ca="1" si="698"/>
        <v>0</v>
      </c>
      <c r="BC400" s="48">
        <f t="shared" ca="1" si="699"/>
        <v>0</v>
      </c>
      <c r="BD400" s="48">
        <f t="shared" ca="1" si="700"/>
        <v>0</v>
      </c>
      <c r="BE400" s="48">
        <f t="shared" ca="1" si="701"/>
        <v>0</v>
      </c>
      <c r="BF400" s="48">
        <f t="shared" si="711"/>
        <v>200</v>
      </c>
      <c r="BG400" s="48">
        <f ca="1">IF(IF(AND(OR(INDEX(PDC,MATCH($AC400,DEN_PDC,0),6)="SP DARE",INDEX(PDC,MATCH($AC400,DEN_PDC,0),6)="SP DARE/AVERE"),SUMIFS(DARE,DEN_G,$AC400)&gt;=SUMIFS(AVERE,DEN_G,$AC400)),SUMIFS(DARE,DEN_G,$AC400)-SUMIFS(AVERE,DEN_G,$AC400),0)&gt;0,MAX($BG$2:BG399)+1,0)</f>
        <v>0</v>
      </c>
      <c r="BH400" s="48">
        <f ca="1">IF(IF(AND(OR(INDEX(PDC,MATCH($AC400,DEN_PDC,0),6)="SP AVERE",INDEX(PDC,MATCH($AC400,DEN_PDC,0),6)="SP DARE/AVERE"),SUMIFS(AVERE,DEN_G,$AC400)&gt;=SUMIFS(DARE,DEN_G,$AC400)),SUMIFS(AVERE,DEN_G,$AC400)-SUMIFS(DARE,DEN_G,$AC400),0)&gt;0,MAX(BH$2:BH399)+1,0)</f>
        <v>0</v>
      </c>
      <c r="BI400" s="48">
        <f ca="1">IF(IF(AND(OR(INDEX(PDC,MATCH($AC400,DEN_PDC,0),6)="SE DARE",INDEX(PDC,MATCH($AC400,DEN_PDC,0),6)="SE DARE/AVERE"),SUMIFS(DARE,DEN_G,$AC400)&gt;=SUMIFS(AVERE,DEN_G,$AC400)),SUMIFS(DARE,DEN_G,$AC400)-SUMIFS(AVERE,DEN_G,$AC400),0)&gt;0,MAX(BI$2:BI399)+1,0)</f>
        <v>0</v>
      </c>
      <c r="BJ400" s="48">
        <f ca="1">IF(IF(AND(OR(INDEX(PDC,MATCH($AC400,DEN_PDC,0),6)="SE AVERE",INDEX(PDC,MATCH($AC400,DEN_PDC,0),6)="SE DARE/AVERE"),SUMIFS(AVERE,DEN_G,$AC400)&gt;=SUMIFS(DARE,DEN_G,$AC400)),SUMIFS(AVERE,DEN_G,$AC400)-SUMIFS(DARE,DEN_G,$AC400),0)&gt;0,MAX(BJ$2:BJ399)+1,0)</f>
        <v>0</v>
      </c>
      <c r="BK400" s="48" t="str">
        <f ca="1">IF(AND(AND($DY$2=0,$DY$1=0),$I$1=2,ROW()&gt;$BG$1+2,ROW()&lt;=$BG$1+4),"………………..",IF(AND(OR($DY$2&gt;0,$DY$1&gt;0),$I$1=2,ROW()&gt;$BG$1+2,ROW()&lt;=$BG$1+4),"………………..",IFERROR(INDEX($AC$3:$AC$398,MATCH(ROWS(BK$3:BK400),BG$3:BG$398,0),1),"")))</f>
        <v/>
      </c>
      <c r="BL400" s="48">
        <f t="shared" ca="1" si="726"/>
        <v>0</v>
      </c>
      <c r="BM400" s="48" t="str">
        <f ca="1">IF(AND(OR($DY$2=0,$DY$1=0),$I$1=2,ROW()&gt;$BH$1+2,ROW()&lt;=$BH$1+4),"………………..",IF(AND(OR($DY$2&gt;0,$DY$1&gt;0),$I$1=2,ROW()&gt;$BH$1+2,ROW()&lt;=$BH$1+4),"………………..",IFERROR(INDEX($AC$3:$AC$400,MATCH(ROWS(BM$3:BM400),BH$3:BH$400,0),1),"")))</f>
        <v/>
      </c>
      <c r="BN400" s="48">
        <f t="shared" ca="1" si="727"/>
        <v>0</v>
      </c>
      <c r="BO400" s="48" t="str">
        <f ca="1">IF(AND(OR($DY$2=0,$DY$1=0),$I$1=2,ROW()&gt;$BI$1+2,ROW()&lt;=$BI$1+4),"………………..",IF(AND(OR($DY$2&gt;0,$DY$1&gt;0),$I$1=2,ROW()&gt;$BI$1+2,ROW()&lt;=$BI$1+4),"………………..",IFERROR(INDEX($AC$3:$AC$400,MATCH(ROWS(BO$3:BO400),BI$3:BI$400,0),1),"")))</f>
        <v/>
      </c>
      <c r="BP400" s="48">
        <f t="shared" ca="1" si="728"/>
        <v>0</v>
      </c>
      <c r="BQ400" s="48" t="str">
        <f ca="1">IF(AND(OR($DY$2=0,$DY$1=0),$I$1=2,ROW()&gt;$BJ$1+2,ROW()&lt;=$BJ$1+4),"………………..",IF(AND(OR($DY$2&gt;0,$DY$1&gt;0),$I$1=2,ROW()&gt;$BJ$1+2,ROW()&lt;=$BJ$1+4),"………………..",IFERROR(INDEX($AC$3:$AC$400,MATCH(ROWS(BQ$3:BQ400),BJ$3:BJ$400,0),1),"")))</f>
        <v/>
      </c>
      <c r="BR400" s="48">
        <f t="shared" ca="1" si="729"/>
        <v>0</v>
      </c>
      <c r="BT400" s="48" t="s">
        <v>762</v>
      </c>
      <c r="BU400" s="48">
        <f ca="1">IF($BW$1=1,BU401,IF($I$1=2,"",0))</f>
        <v>0</v>
      </c>
      <c r="BV400" s="48">
        <f ca="1">IF($BW$1=1,BV401,IF($I$1=2,"",0))</f>
        <v>0</v>
      </c>
      <c r="BW400" s="48">
        <f ca="1">IF($BW$1=1,BW401,IF($I$1=2,"",0))</f>
        <v>0</v>
      </c>
      <c r="BX400" s="48">
        <f ca="1">IF($BW$1=1,BX401,IF($I$1=2,"",0))</f>
        <v>0</v>
      </c>
      <c r="BY400" s="48">
        <f ca="1">IF($I$1=2,0,IF(AND($F$1=1,BA1&gt;0,OR(BW400&gt;0,BX400&gt;0)),MAX($BY$2:BY399)+1,0))</f>
        <v>0</v>
      </c>
      <c r="BZ400" s="48" t="str">
        <f ca="1">IFERROR(INDEX($BT$3:$BY$400,MATCH(ROWS(BZ$3:BZ400),$BY$3:$BY$400,0),1),"")</f>
        <v/>
      </c>
      <c r="CA400" s="48" t="str">
        <f ca="1">IFERROR(INDEX($BT$3:$BY$400,MATCH(ROWS(CA$3:CA400),$BY$3:$BY$400,0),4),"")</f>
        <v/>
      </c>
      <c r="CB400" s="48" t="str">
        <f ca="1">IFERROR(INDEX($BT$3:$BY$400,MATCH(ROWS(CB$3:CB400),$BY$3:$BY$400,0),5),"")</f>
        <v/>
      </c>
      <c r="CM400" s="242" t="str">
        <f t="shared" ca="1" si="743"/>
        <v/>
      </c>
      <c r="CN400" s="243">
        <f ca="1">IF(CM400="TOTALI",$BU$401,0)</f>
        <v>0</v>
      </c>
      <c r="CO400" s="48" t="str">
        <f t="shared" ca="1" si="745"/>
        <v/>
      </c>
      <c r="CU400" s="48">
        <f ca="1">IF(SUMIFS(AVERE,DEN_G,AC400,AVERE,"&gt;"&amp;0)+SUMIFS(DARE,DEN_G,AC400,DARE,"&gt;"&amp;0)&gt;0,MAX($CU$2:CU399)+1,0)</f>
        <v>0</v>
      </c>
      <c r="CV400" s="48" t="str">
        <f ca="1">IF(IFERROR(INDEX(PDC,MATCH(ROWS($CV$3:CV400),$CU$3:$CU$400,0),2),"")="CONTO DI RISULTATO ECONOMICO","",IFERROR(INDEX(PDC,MATCH(ROWS($CV$3:CV400),$CU$3:$CU$400,0),2),""))</f>
        <v/>
      </c>
      <c r="CW400" s="48">
        <f ca="1">IFERROR(IF(CV400&lt;&gt;"",MAX($CW$2:CW399)+1,0),0)</f>
        <v>0</v>
      </c>
      <c r="CX400" s="48">
        <f t="shared" ca="1" si="755"/>
        <v>31</v>
      </c>
      <c r="CY400" s="48" t="str">
        <f t="shared" ca="1" si="754"/>
        <v>MASTRO</v>
      </c>
      <c r="CZ400" s="48" t="e">
        <f t="shared" ca="1" si="757"/>
        <v>#N/A</v>
      </c>
      <c r="DA400" s="48" t="str">
        <f t="shared" ca="1" si="761"/>
        <v/>
      </c>
      <c r="DB400" s="48" t="str">
        <f t="shared" ca="1" si="682"/>
        <v/>
      </c>
      <c r="DC400" s="48" t="str">
        <f t="shared" ca="1" si="758"/>
        <v/>
      </c>
      <c r="DD400" s="48" t="str">
        <f t="shared" ca="1" si="759"/>
        <v/>
      </c>
      <c r="DE400" s="48" t="str">
        <f t="shared" ca="1" si="760"/>
        <v/>
      </c>
      <c r="DF400" s="48">
        <f ca="1">IF(AND(CX400=$DF$1,CX400&lt;&gt;""),0,IF(AND(DB400&lt;&gt;"",OR(DB399&lt;&gt;"",DB401&lt;&gt;"")),MAX($DF$2:DF399)+1,0))</f>
        <v>0</v>
      </c>
      <c r="DH400" s="244" t="s">
        <v>958</v>
      </c>
      <c r="DI400" s="48" t="s">
        <v>468</v>
      </c>
      <c r="DJ400" s="48" t="s">
        <v>311</v>
      </c>
      <c r="DK400" s="48" t="s">
        <v>271</v>
      </c>
      <c r="DL400" s="48" t="s">
        <v>268</v>
      </c>
      <c r="DN400" s="48">
        <f ca="1">IF(DI400&lt;&gt;"",MAX($DN$2:DN399)+1,0)</f>
        <v>328</v>
      </c>
      <c r="DY400" s="48" t="str">
        <f t="shared" ca="1" si="735"/>
        <v/>
      </c>
      <c r="EK400" s="48" t="str">
        <f ca="1">EK403</f>
        <v/>
      </c>
      <c r="EL400" s="48">
        <f ca="1">EL403</f>
        <v>0</v>
      </c>
      <c r="EM400" s="48">
        <f ca="1">IF(EL400&gt;=0,0,MAX($EM$2:EM399)+1)</f>
        <v>0</v>
      </c>
      <c r="EN400" s="48" t="str">
        <f ca="1">IF(EL400&lt;0,EK400,"")</f>
        <v/>
      </c>
      <c r="EO400" s="48" t="str">
        <f ca="1">IFERROR(INDEX($EM$3:$EN$400,MATCH(ROWS($EO$3:EO400),$EM$3:$EM$400,0),2),"")</f>
        <v/>
      </c>
      <c r="EP400" s="48">
        <f>ROW()</f>
        <v>400</v>
      </c>
      <c r="EQ400" s="48">
        <f t="shared" ca="1" si="737"/>
        <v>0</v>
      </c>
      <c r="ER400" s="48">
        <f ca="1">IF(ISNA(EQ400)=TRUE,MAX($ER$2:ER399)+1,0)</f>
        <v>0</v>
      </c>
      <c r="ES400" s="48" t="str">
        <f t="shared" ca="1" si="747"/>
        <v/>
      </c>
      <c r="ET400" s="48" t="str">
        <f ca="1">IFERROR(INDEX($ER$3:$ES$400,MATCH(ROWS($ET$3:ET400),$ER$3:$ER$400,0),2),"")</f>
        <v/>
      </c>
      <c r="EV400" s="48">
        <f ca="1">IFERROR(INDEX(LIBRO_GIORNALE!$O$11:$P$408,MATCH(ROWS($EV$2:EV399),LIBRO_GIORNALE!$P$11:$P$408,0),1),0)</f>
        <v>0</v>
      </c>
      <c r="EW400" s="48" t="str">
        <f ca="1">UPPER(IFERROR(INDEX($AZ$103:$BB$401,MATCH(EV400,$AZ$103:$AZ$401,0),3),0))</f>
        <v>0</v>
      </c>
      <c r="EX400" s="48">
        <f t="shared" ca="1" si="748"/>
        <v>0</v>
      </c>
      <c r="EY400" s="48">
        <f ca="1">IF(EX400&gt;0,MAX($EY$2:EY399)+1,0)</f>
        <v>0</v>
      </c>
      <c r="EZ400" s="48">
        <f ca="1">IFERROR(INDEX($EX$3:$EX$400,MATCH(ROWS($EZ$3:EZ400),$EY$3:$EY$400,0),1),0)</f>
        <v>0</v>
      </c>
      <c r="FA400" s="48">
        <f ca="1">IF(EZ400&gt;0,0,MAX($FA$2:FA399)+1)</f>
        <v>398</v>
      </c>
      <c r="FB400" s="48">
        <f t="shared" ca="1" si="717"/>
        <v>0</v>
      </c>
      <c r="FC400" s="48">
        <f t="shared" ca="1" si="718"/>
        <v>398</v>
      </c>
      <c r="FD400" s="48">
        <f t="shared" ca="1" si="749"/>
        <v>398</v>
      </c>
      <c r="FE400" s="48">
        <f ca="1">IF(FD400=0,0,MAX($FE$2:FE399)+1)</f>
        <v>398</v>
      </c>
      <c r="FF400" s="48">
        <f ca="1">IFERROR(INDEX($FD$3:$FE$400,MATCH(ROWS($FF$3:FF400),$FE$3:$FE$400,0),1),"")</f>
        <v>398</v>
      </c>
      <c r="FG400" s="48">
        <f t="shared" si="696"/>
        <v>0</v>
      </c>
      <c r="FH400" s="48">
        <f t="shared" ca="1" si="750"/>
        <v>0</v>
      </c>
      <c r="FI400" s="48">
        <f ca="1">IF(FH400&lt;&gt;0,MAX($FI$2:FI399)+1,0)</f>
        <v>0</v>
      </c>
      <c r="FJ400" s="48" t="str">
        <f ca="1">IFERROR(INDEX($FH$3:$FI$400,MATCH(ROWS($FJ$3:FJ400),$FI$3:$FI$400,0),1),"")</f>
        <v/>
      </c>
      <c r="FK400" s="48">
        <f ca="1">IF(ABS(SUMIFS(DARE,DEN_G,"="&amp;FJ400,DATA,"&lt;="&amp;FINE_AC,DATA,"&gt;="&amp;INIZIO_A_PC)-SUMIFS(AVERE,DEN_G,"="&amp;FJ400,DATA,"&lt;="&amp;FINE_AC,DATA,"&gt;="&amp;INIZIO_A_PC))&gt;0,MAX($FK$2:FK399)+1,0)</f>
        <v>0</v>
      </c>
      <c r="FL400" s="48" t="str">
        <f ca="1">IF(AND(ROW()-2&lt;&gt;1,ROW()-2&lt;=$FK$1),CONCATENATE(" - ",IFERROR(INDEX($FJ$3:$FK$400,MATCH(ROWS($FL$3:FL400),$FK$3:$FK$400,0),1),"")),IFERROR(INDEX($FJ$3:$FK$400,MATCH(ROWS($FL$3:FL400),$FK$3:$FK$400,0),1),""))</f>
        <v/>
      </c>
      <c r="FM400" s="48">
        <f ca="1">IF(OR(B400="IVA ns/credito",B400="IVA NS/DEBITO",B400="IVA C/ACCONTO",B400="IMPOSTE C/ACCONTO",B400="CREDITI PER RITENUTE SUBITE",B400="CREDITI D'IMPOSTA"),MAX($FM$2:FM399)+1,0)</f>
        <v>0</v>
      </c>
      <c r="FN400" s="48" t="str">
        <f t="shared" ca="1" si="751"/>
        <v/>
      </c>
      <c r="FO400" s="48" t="str">
        <f ca="1">IFERROR(INDEX($FM$3:$FN$400,MATCH(ROWS($FO$3:FO400),$FM$3:$FM$400,0),2),"")</f>
        <v/>
      </c>
      <c r="FP400" s="48">
        <f ca="1">IF(ABS(SUMIFS(DARE,DEN_G,"="&amp;FO400,DATA,"&lt;="&amp;FINE_AC,DATA,"&gt;="&amp;INIZIO_A_PC)-SUMIFS(AVERE,DEN_G,"="&amp;FO400,DATA,"&lt;="&amp;FINE_AC,DATA,"&gt;="&amp;INIZIO_A_PC))&gt;0,MAX($FP$2:FP399)+1,0)</f>
        <v>0</v>
      </c>
      <c r="FQ400" s="48" t="str">
        <f ca="1">IF(AND(ROW()-2&lt;&gt;1,ROW()-2&lt;=$FP$1),CONCATENATE(" - ",IFERROR(INDEX($FO$3:$FP$400,MATCH(ROWS($FQ$3:FQ400),$FP$3:$FP$400,0),1),"")),IFERROR(INDEX($FO$3:$FP$400,MATCH(ROWS($FQ$3:FQ400),$FP$3:$FP$400,0),1),""))</f>
        <v/>
      </c>
    </row>
    <row r="401" spans="1:153" x14ac:dyDescent="0.3">
      <c r="A401" s="48" t="str">
        <f ca="1">IFERROR(IF($A$1=2,INDEX($DH$3:$DN$401,MATCH(ROWS(A$3:A401),$DN$3:$DN$401,0),COLUMN()),IF($A$1=1,INDEX($DQ$3:$DW$401,MATCH(ROWS(A$3:A401),$DW$3:$DW$401,0),COLUMN()),"")),"")</f>
        <v/>
      </c>
      <c r="BU401" s="48">
        <f ca="1">SUM(BU3:BU399)</f>
        <v>0</v>
      </c>
      <c r="BV401" s="48">
        <f ca="1">SUM(BV3:BV399)</f>
        <v>0</v>
      </c>
      <c r="BW401" s="48">
        <f ca="1">SUM(BW3:BW399)</f>
        <v>0</v>
      </c>
      <c r="BX401" s="48">
        <f ca="1">SUM(BX3:BX399)</f>
        <v>0</v>
      </c>
      <c r="CX401" s="48">
        <f t="shared" ca="1" si="755"/>
        <v>31</v>
      </c>
      <c r="CY401" s="48" t="str">
        <f t="shared" ca="1" si="754"/>
        <v>MASTRO</v>
      </c>
      <c r="CZ401" s="48" t="e">
        <f t="shared" ca="1" si="757"/>
        <v>#N/A</v>
      </c>
      <c r="DA401" s="48" t="str">
        <f t="shared" ca="1" si="761"/>
        <v/>
      </c>
      <c r="DB401" s="48" t="str">
        <f t="shared" ca="1" si="682"/>
        <v/>
      </c>
      <c r="DC401" s="48" t="str">
        <f t="shared" ca="1" si="758"/>
        <v/>
      </c>
      <c r="DD401" s="48" t="str">
        <f t="shared" ca="1" si="759"/>
        <v/>
      </c>
      <c r="DE401" s="48" t="str">
        <f t="shared" ca="1" si="760"/>
        <v/>
      </c>
      <c r="DF401" s="48">
        <f ca="1">IF(AND(CX401=$DF$1,CX401&lt;&gt;""),0,IF(AND(DB401&lt;&gt;"",OR(DB400&lt;&gt;"",DB402&lt;&gt;"")),MAX($DF$2:DF400)+1,0))</f>
        <v>0</v>
      </c>
      <c r="DH401" s="244"/>
      <c r="ES401" s="48" t="str">
        <f t="shared" si="747"/>
        <v/>
      </c>
      <c r="ET401" s="48" t="str">
        <f ca="1">IFERROR(INDEX($ER$3:$ES$400,MATCH(ROWS($ET$3:ET401),$ER$3:$ER$400,0),2),"")</f>
        <v/>
      </c>
      <c r="EV401" s="48">
        <f ca="1">IFERROR(INDEX(LIBRO_GIORNALE!$O$11:$P$408,MATCH(ROWS($EV$2:EV400),LIBRO_GIORNALE!$P$11:$P$408,0),1),0)</f>
        <v>0</v>
      </c>
      <c r="EW401" s="48" t="str">
        <f t="shared" ca="1" si="716"/>
        <v>0</v>
      </c>
    </row>
    <row r="402" spans="1:153" x14ac:dyDescent="0.3">
      <c r="CX402" s="48">
        <f t="shared" ca="1" si="755"/>
        <v>31</v>
      </c>
      <c r="CY402" s="48" t="str">
        <f t="shared" ca="1" si="754"/>
        <v>MASTRO</v>
      </c>
      <c r="CZ402" s="48" t="e">
        <f t="shared" ca="1" si="757"/>
        <v>#N/A</v>
      </c>
      <c r="DA402" s="48" t="str">
        <f t="shared" ca="1" si="761"/>
        <v/>
      </c>
      <c r="DB402" s="48" t="str">
        <f t="shared" ca="1" si="682"/>
        <v/>
      </c>
      <c r="DC402" s="48" t="str">
        <f t="shared" ca="1" si="758"/>
        <v/>
      </c>
      <c r="DD402" s="48" t="str">
        <f t="shared" ca="1" si="759"/>
        <v/>
      </c>
      <c r="DE402" s="48" t="str">
        <f t="shared" ca="1" si="760"/>
        <v/>
      </c>
      <c r="DF402" s="48">
        <f ca="1">IF(AND(CX402=$DF$1,CX402&lt;&gt;""),0,IF(AND(DB402&lt;&gt;"",OR(DB401&lt;&gt;"",DB403&lt;&gt;"")),MAX($DF$2:DF401)+1,0))</f>
        <v>0</v>
      </c>
      <c r="EK402" s="48" t="str">
        <f ca="1">IF(EL402&lt;0,"PERDITA D'ESERCIZIO","")</f>
        <v/>
      </c>
      <c r="EL402" s="48">
        <f ca="1">IF($I$1=1,SUMIFS(DARE,DEN_G,"="&amp;"PERDITA D'ESERCIZIO",DATA,"&lt;="&amp;FINE_AC,DATA,"&gt;="&amp;INIZIO_A_PC)-SUMIFS(AVERE,DEN_G,"="&amp;"PERDITA D'ESERCIZIO",DATA,"&lt;="&amp;FINE_AC,DATA,"&gt;="&amp;INIZIO_A_PC),0)</f>
        <v>0</v>
      </c>
      <c r="ES402" s="48" t="str">
        <f t="shared" si="747"/>
        <v/>
      </c>
      <c r="ET402" s="48" t="str">
        <f ca="1">IFERROR(INDEX($ER$3:$ES$400,MATCH(ROWS($ET$3:ET402),$ER$3:$ER$400,0),2),"")</f>
        <v/>
      </c>
    </row>
    <row r="403" spans="1:153" x14ac:dyDescent="0.3">
      <c r="CX403" s="48">
        <f t="shared" ca="1" si="755"/>
        <v>31</v>
      </c>
      <c r="CY403" s="48" t="str">
        <f t="shared" ca="1" si="754"/>
        <v>MASTRO</v>
      </c>
      <c r="CZ403" s="48" t="e">
        <f t="shared" ca="1" si="757"/>
        <v>#N/A</v>
      </c>
      <c r="DA403" s="48" t="str">
        <f t="shared" ca="1" si="761"/>
        <v/>
      </c>
      <c r="DB403" s="48" t="str">
        <f t="shared" ca="1" si="682"/>
        <v/>
      </c>
      <c r="DC403" s="48" t="str">
        <f t="shared" ca="1" si="758"/>
        <v/>
      </c>
      <c r="DD403" s="48" t="str">
        <f t="shared" ca="1" si="759"/>
        <v/>
      </c>
      <c r="DE403" s="48" t="str">
        <f t="shared" ca="1" si="760"/>
        <v/>
      </c>
      <c r="DF403" s="48">
        <f ca="1">IF(AND(CX403=$DF$1,CX403&lt;&gt;""),0,IF(AND(DB403&lt;&gt;"",OR(DB402&lt;&gt;"",DB404&lt;&gt;"")),MAX($DF$2:DF402)+1,0))</f>
        <v>0</v>
      </c>
      <c r="EK403" s="48" t="str">
        <f ca="1">IF(EL403&lt;0,"UTILE D'ESERCIZIO","")</f>
        <v/>
      </c>
      <c r="EL403" s="48">
        <f ca="1">IF($I$1=1,SUMIFS(AVERE,DEN_G,"="&amp;"UTILE D'ESERCIZIO",DATA,"&lt;="&amp;FINE_AC,DATA,"&gt;="&amp;INIZIO_A_PC)-SUMIFS(DARE,DEN_G,"="&amp;"UTILE D'ESERCIZIO",DATA,"&lt;="&amp;FINE_AC,DATA,"&gt;="&amp;INIZIO_A_PC),0)</f>
        <v>0</v>
      </c>
      <c r="ES403" s="48" t="str">
        <f t="shared" si="747"/>
        <v/>
      </c>
      <c r="ET403" s="48" t="str">
        <f ca="1">IFERROR(INDEX($ER$3:$ES$400,MATCH(ROWS($ET$3:ET403),$ER$3:$ER$400,0),2),"")</f>
        <v/>
      </c>
    </row>
    <row r="404" spans="1:153" x14ac:dyDescent="0.3">
      <c r="CX404" s="48">
        <f t="shared" ca="1" si="755"/>
        <v>31</v>
      </c>
      <c r="CY404" s="48" t="str">
        <f t="shared" ca="1" si="754"/>
        <v>MASTRO</v>
      </c>
      <c r="CZ404" s="48" t="e">
        <f t="shared" ca="1" si="757"/>
        <v>#N/A</v>
      </c>
      <c r="DA404" s="48" t="str">
        <f t="shared" ca="1" si="761"/>
        <v/>
      </c>
      <c r="DB404" s="48" t="str">
        <f t="shared" ca="1" si="682"/>
        <v/>
      </c>
      <c r="DC404" s="48" t="str">
        <f t="shared" ca="1" si="758"/>
        <v/>
      </c>
      <c r="DD404" s="48" t="str">
        <f t="shared" ca="1" si="759"/>
        <v/>
      </c>
      <c r="DE404" s="48" t="str">
        <f t="shared" ca="1" si="760"/>
        <v/>
      </c>
      <c r="DF404" s="48">
        <f ca="1">IF(AND(CX404=$DF$1,CX404&lt;&gt;""),0,IF(AND(DB404&lt;&gt;"",OR(DB403&lt;&gt;"",DB405&lt;&gt;"")),MAX($DF$2:DF403)+1,0))</f>
        <v>0</v>
      </c>
      <c r="ES404" s="48" t="str">
        <f t="shared" si="747"/>
        <v/>
      </c>
      <c r="ET404" s="48" t="str">
        <f ca="1">IFERROR(INDEX($ER$3:$ES$400,MATCH(ROWS($ET$3:ET404),$ER$3:$ER$400,0),2),"")</f>
        <v/>
      </c>
    </row>
    <row r="405" spans="1:153" x14ac:dyDescent="0.3">
      <c r="CY405" s="48" t="s">
        <v>500</v>
      </c>
      <c r="DB405" s="48" t="str">
        <f t="shared" ref="DB405" ca="1" si="764">IF(CX404=$DF$1,"","MASTRO")</f>
        <v>MASTRO</v>
      </c>
      <c r="DF405" s="48">
        <f ca="1">IF(AND(CX405=$DF$1,CX405&lt;&gt;""),0,IF(AND(DB405&lt;&gt;"",OR(DB404&lt;&gt;"",DB406&lt;&gt;"")),MAX($DF$2:DF404)+1,0))</f>
        <v>0</v>
      </c>
      <c r="ES405" s="48" t="str">
        <f t="shared" si="747"/>
        <v/>
      </c>
      <c r="ET405" s="48" t="str">
        <f ca="1">IFERROR(INDEX($ER$3:$ES$400,MATCH(ROWS($ET$3:ET405),$ER$3:$ER$400,0),2),"")</f>
        <v/>
      </c>
    </row>
    <row r="406" spans="1:153" x14ac:dyDescent="0.3">
      <c r="CX406" s="48">
        <f ca="1">$FF$34</f>
        <v>32</v>
      </c>
      <c r="CY406" s="48" t="str">
        <f t="shared" ref="CY406:CY417" ca="1" si="765">IF(ISERROR(INDEX($CV$3:$CX$1302,MATCH(CX406,$CW$3:$CW$1302,0),1)),"MASTRO",INDEX($CV$3:$CX$1302,MATCH(CX406,$CW$3:$CW$1302,0),1))</f>
        <v>MASTRO</v>
      </c>
      <c r="DA406" s="48" t="str">
        <f>IF(CY405="MASTRO","Conto n.","")</f>
        <v>Conto n.</v>
      </c>
      <c r="DB406" s="48" t="str">
        <f ca="1">IF(CY406=0,"",INDEX(PDC,MATCH(DC406,DEN_PDC,0),1))</f>
        <v/>
      </c>
      <c r="DC406" s="48" t="str">
        <f ca="1">IF(OR(CY406=0,CY406="mastro"),"",CY406)</f>
        <v/>
      </c>
      <c r="DD406" s="48" t="str">
        <f ca="1">IF(AND($DA$2=TRUE,OR(INDEX(PDC,MATCH($DC406,DEN_PDC,0),4)="A",INDEX(PDC,MATCH($DC406,DEN_PDC,0),4)="D/A"),SUMIFS(AVERE,DEN_G,"="&amp;$DC406,DATA,"&lt;="&amp;FINE_AC,DATA,"&gt;="&amp;INIZIO_AC)&gt;SUMIFS(DARE,DEN_G,"="&amp;$DC406,DATA,"&lt;="&amp;FINE_AC,DATA,"&gt;="&amp;INIZIO_AC)),CONCATENATE("s ",FIXED(ABS(SUMIFS(AVERE,DEN_G,"="&amp;$DC406,DATA,"&lt;="&amp;FINE_AC,DATA,"&gt;="&amp;INIZIO_AC)-SUMIFS(DARE,DEN_G,"="&amp;$DC406,DATA,"&lt;="&amp;FINE_AC,DATA,"&gt;="&amp;INIZIO_AC)),2)),"")</f>
        <v/>
      </c>
      <c r="DE406" s="48" t="str">
        <f ca="1">IF(AND($DA$2=TRUE,OR(INDEX(PDC,MATCH($DC406,DEN_PDC,0),4)="D",INDEX(PDC,MATCH($DC406,DEN_PDC,0),4)="D/A"),SUMIFS(DARE,DEN_G,"="&amp;$DC406,DATA,"&lt;="&amp;FINE_AC,DATA,"&gt;="&amp;INIZIO_AC)&gt;SUMIFS(AVERE,DEN_G,"="&amp;$DC406,DATA,"&lt;="&amp;FINE_AC,DATA,"&gt;="&amp;INIZIO_AC)),CONCATENATE("s ",FIXED(ABS(SUMIFS(DARE,DEN_G,"="&amp;$DC406,DATA,"&lt;="&amp;FINE_AC,DATA,"&gt;="&amp;INIZIO_AC)-SUMIFS(AVERE,DEN_G,"="&amp;$DC406,DATA,"&lt;="&amp;FINE_AC,DATA,"&gt;="&amp;INIZIO_AC)),2)),"")</f>
        <v/>
      </c>
      <c r="DF406" s="48">
        <f ca="1">IF(AND(CX406=$DF$1,CX406&lt;&gt;""),0,IF(AND(DB406&lt;&gt;"",OR(DB405&lt;&gt;"",DB407&lt;&gt;"")),MAX($DF$2:DF405)+1,0))</f>
        <v>0</v>
      </c>
      <c r="ES406" s="48" t="str">
        <f t="shared" si="747"/>
        <v/>
      </c>
      <c r="ET406" s="48" t="str">
        <f ca="1">IFERROR(INDEX($ER$3:$ES$400,MATCH(ROWS($ET$3:ET406),$ER$3:$ER$400,0),2),"")</f>
        <v/>
      </c>
    </row>
    <row r="407" spans="1:153" x14ac:dyDescent="0.3">
      <c r="CX407" s="48">
        <f t="shared" ref="CX407:CX417" ca="1" si="766">$FF$34</f>
        <v>32</v>
      </c>
      <c r="CY407" s="48" t="str">
        <f t="shared" ca="1" si="765"/>
        <v>MASTRO</v>
      </c>
      <c r="DA407" s="48" t="str">
        <f ca="1">IF(DB406="","","Num. riga")</f>
        <v/>
      </c>
      <c r="DB407" s="48" t="str">
        <f t="shared" ref="DB407" ca="1" si="767">IF(DB406="","","Data")</f>
        <v/>
      </c>
      <c r="DC407" s="48" t="str">
        <f ca="1">IF(DB406="","","Operazioni")</f>
        <v/>
      </c>
      <c r="DD407" s="48" t="str">
        <f ca="1">IF(DB406="","","Dare        ")</f>
        <v/>
      </c>
      <c r="DE407" s="48" t="str">
        <f ca="1">IF(DB406="","","Avere        ")</f>
        <v/>
      </c>
      <c r="DF407" s="48">
        <f ca="1">IF(AND(CX407=$DF$1,CX407&lt;&gt;""),0,IF(AND(DB407&lt;&gt;"",OR(DB406&lt;&gt;"",DB408&lt;&gt;"")),MAX($DF$2:DF406)+1,0))</f>
        <v>0</v>
      </c>
      <c r="ES407" s="48" t="str">
        <f t="shared" si="747"/>
        <v/>
      </c>
      <c r="ET407" s="48" t="str">
        <f ca="1">IFERROR(INDEX($ER$3:$ES$400,MATCH(ROWS($ET$3:ET407),$ER$3:$ER$400,0),2),"")</f>
        <v/>
      </c>
    </row>
    <row r="408" spans="1:153" x14ac:dyDescent="0.3">
      <c r="CX408" s="48">
        <f t="shared" ca="1" si="766"/>
        <v>32</v>
      </c>
      <c r="CY408" s="48" t="str">
        <f t="shared" ca="1" si="765"/>
        <v>MASTRO</v>
      </c>
      <c r="CZ408" s="48" t="e">
        <f t="shared" ref="CZ408:CZ417" ca="1" si="768">SUM(MATCH($CY408,INDIRECT(ADDRESS(SUM(CZ407)+3,54)&amp;":"&amp;ADDRESS(400,54)),0),CZ407)</f>
        <v>#N/A</v>
      </c>
      <c r="DA408" s="48" t="str">
        <f ca="1">IFERROR(INDEX(LIBRO_GIORNALE,CZ408,1),"")</f>
        <v/>
      </c>
      <c r="DB408" s="48" t="str">
        <f t="shared" ref="DB408:DB469" ca="1" si="769">IF(RIGHT(TEXT(IFERROR(INDEX(LIBRO_GIORNALE,CZ408,2),""),"gg/mm/aa"),1)="a",TEXT(IFERROR(INDEX(LIBRO_GIORNALE,CZ408,2),""),"dd/mm/yy"),TEXT(IFERROR(INDEX(LIBRO_GIORNALE,CZ408,2),""),"gg/mm/aa"))</f>
        <v/>
      </c>
      <c r="DC408" s="48" t="str">
        <f t="shared" ref="DC408:DC417" ca="1" si="770">IF(IFERROR(INDEX(LIBRO_GIORNALE,CZ408,4),"")=0,"manca la descrizione dell'operazione",IFERROR(INDEX(LIBRO_GIORNALE,CZ408,4),""))</f>
        <v/>
      </c>
      <c r="DD408" s="48" t="str">
        <f t="shared" ref="DD408:DD417" ca="1" si="771">IFERROR(IF(INDEX(LIBRO_GIORNALE,CZ408,5)&gt;0,INDEX(LIBRO_GIORNALE,CZ408,5),""),"")</f>
        <v/>
      </c>
      <c r="DE408" s="48" t="str">
        <f t="shared" ref="DE408:DE417" ca="1" si="772">IFERROR(IF(INDEX(LIBRO_GIORNALE,CZ408,6)&gt;0,INDEX(LIBRO_GIORNALE,CZ408,6),""),"")</f>
        <v/>
      </c>
      <c r="DF408" s="48">
        <f ca="1">IF(AND(CX408=$DF$1,CX408&lt;&gt;""),0,IF(AND(DB408&lt;&gt;"",OR(DB407&lt;&gt;"",DB409&lt;&gt;"")),MAX($DF$2:DF407)+1,0))</f>
        <v>0</v>
      </c>
      <c r="ES408" s="48" t="str">
        <f t="shared" si="747"/>
        <v/>
      </c>
      <c r="ET408" s="48" t="str">
        <f ca="1">IFERROR(INDEX($ER$3:$ES$400,MATCH(ROWS($ET$3:ET408),$ER$3:$ER$400,0),2),"")</f>
        <v/>
      </c>
    </row>
    <row r="409" spans="1:153" x14ac:dyDescent="0.3">
      <c r="CX409" s="48">
        <f t="shared" ca="1" si="766"/>
        <v>32</v>
      </c>
      <c r="CY409" s="48" t="str">
        <f t="shared" ca="1" si="765"/>
        <v>MASTRO</v>
      </c>
      <c r="CZ409" s="48" t="e">
        <f t="shared" ca="1" si="768"/>
        <v>#N/A</v>
      </c>
      <c r="DA409" s="48" t="str">
        <f t="shared" ref="DA409:DA417" ca="1" si="773">IFERROR(INDEX(LIBRO_GIORNALE,CZ409,1),"")</f>
        <v/>
      </c>
      <c r="DB409" s="48" t="str">
        <f t="shared" ca="1" si="769"/>
        <v/>
      </c>
      <c r="DC409" s="48" t="str">
        <f t="shared" ca="1" si="770"/>
        <v/>
      </c>
      <c r="DD409" s="48" t="str">
        <f t="shared" ca="1" si="771"/>
        <v/>
      </c>
      <c r="DE409" s="48" t="str">
        <f t="shared" ca="1" si="772"/>
        <v/>
      </c>
      <c r="DF409" s="48">
        <f ca="1">IF(AND(CX409=$DF$1,CX409&lt;&gt;""),0,IF(AND(DB409&lt;&gt;"",OR(DB408&lt;&gt;"",DB410&lt;&gt;"")),MAX($DF$2:DF408)+1,0))</f>
        <v>0</v>
      </c>
      <c r="ES409" s="48" t="str">
        <f t="shared" si="747"/>
        <v/>
      </c>
      <c r="ET409" s="48" t="str">
        <f ca="1">IFERROR(INDEX($ER$3:$ES$400,MATCH(ROWS($ET$3:ET409),$ER$3:$ER$400,0),2),"")</f>
        <v/>
      </c>
    </row>
    <row r="410" spans="1:153" x14ac:dyDescent="0.3">
      <c r="CX410" s="48">
        <f t="shared" ca="1" si="766"/>
        <v>32</v>
      </c>
      <c r="CY410" s="48" t="str">
        <f t="shared" ca="1" si="765"/>
        <v>MASTRO</v>
      </c>
      <c r="CZ410" s="48" t="e">
        <f t="shared" ca="1" si="768"/>
        <v>#N/A</v>
      </c>
      <c r="DA410" s="48" t="str">
        <f t="shared" ca="1" si="773"/>
        <v/>
      </c>
      <c r="DB410" s="48" t="str">
        <f t="shared" ca="1" si="769"/>
        <v/>
      </c>
      <c r="DC410" s="48" t="str">
        <f t="shared" ca="1" si="770"/>
        <v/>
      </c>
      <c r="DD410" s="48" t="str">
        <f t="shared" ca="1" si="771"/>
        <v/>
      </c>
      <c r="DE410" s="48" t="str">
        <f t="shared" ca="1" si="772"/>
        <v/>
      </c>
      <c r="DF410" s="48">
        <f ca="1">IF(AND(CX410=$DF$1,CX410&lt;&gt;""),0,IF(AND(DB410&lt;&gt;"",OR(DB409&lt;&gt;"",DB411&lt;&gt;"")),MAX($DF$2:DF409)+1,0))</f>
        <v>0</v>
      </c>
      <c r="ES410" s="48" t="str">
        <f t="shared" si="747"/>
        <v/>
      </c>
      <c r="ET410" s="48" t="str">
        <f ca="1">IFERROR(INDEX($ER$3:$ES$400,MATCH(ROWS($ET$3:ET410),$ER$3:$ER$400,0),2),"")</f>
        <v/>
      </c>
    </row>
    <row r="411" spans="1:153" x14ac:dyDescent="0.3">
      <c r="CX411" s="48">
        <f t="shared" ca="1" si="766"/>
        <v>32</v>
      </c>
      <c r="CY411" s="48" t="str">
        <f t="shared" ca="1" si="765"/>
        <v>MASTRO</v>
      </c>
      <c r="CZ411" s="48" t="e">
        <f t="shared" ca="1" si="768"/>
        <v>#N/A</v>
      </c>
      <c r="DA411" s="48" t="str">
        <f t="shared" ca="1" si="773"/>
        <v/>
      </c>
      <c r="DB411" s="48" t="str">
        <f t="shared" ca="1" si="769"/>
        <v/>
      </c>
      <c r="DC411" s="48" t="str">
        <f t="shared" ca="1" si="770"/>
        <v/>
      </c>
      <c r="DD411" s="48" t="str">
        <f t="shared" ca="1" si="771"/>
        <v/>
      </c>
      <c r="DE411" s="48" t="str">
        <f t="shared" ca="1" si="772"/>
        <v/>
      </c>
      <c r="DF411" s="48">
        <f ca="1">IF(AND(CX411=$DF$1,CX411&lt;&gt;""),0,IF(AND(DB411&lt;&gt;"",OR(DB410&lt;&gt;"",DB412&lt;&gt;"")),MAX($DF$2:DF410)+1,0))</f>
        <v>0</v>
      </c>
      <c r="ES411" s="48" t="str">
        <f t="shared" si="747"/>
        <v/>
      </c>
      <c r="ET411" s="48" t="str">
        <f ca="1">IFERROR(INDEX($ER$3:$ES$400,MATCH(ROWS($ET$3:ET411),$ER$3:$ER$400,0),2),"")</f>
        <v/>
      </c>
    </row>
    <row r="412" spans="1:153" x14ac:dyDescent="0.3">
      <c r="CX412" s="48">
        <f t="shared" ca="1" si="766"/>
        <v>32</v>
      </c>
      <c r="CY412" s="48" t="str">
        <f t="shared" ca="1" si="765"/>
        <v>MASTRO</v>
      </c>
      <c r="CZ412" s="48" t="e">
        <f t="shared" ca="1" si="768"/>
        <v>#N/A</v>
      </c>
      <c r="DA412" s="48" t="str">
        <f t="shared" ca="1" si="773"/>
        <v/>
      </c>
      <c r="DB412" s="48" t="str">
        <f t="shared" ca="1" si="769"/>
        <v/>
      </c>
      <c r="DC412" s="48" t="str">
        <f t="shared" ca="1" si="770"/>
        <v/>
      </c>
      <c r="DD412" s="48" t="str">
        <f t="shared" ca="1" si="771"/>
        <v/>
      </c>
      <c r="DE412" s="48" t="str">
        <f t="shared" ca="1" si="772"/>
        <v/>
      </c>
      <c r="DF412" s="48">
        <f ca="1">IF(AND(CX412=$DF$1,CX412&lt;&gt;""),0,IF(AND(DB412&lt;&gt;"",OR(DB411&lt;&gt;"",DB413&lt;&gt;"")),MAX($DF$2:DF411)+1,0))</f>
        <v>0</v>
      </c>
      <c r="ES412" s="48" t="str">
        <f t="shared" si="747"/>
        <v/>
      </c>
      <c r="ET412" s="48" t="str">
        <f ca="1">IFERROR(INDEX($ER$3:$ES$400,MATCH(ROWS($ET$3:ET412),$ER$3:$ER$400,0),2),"")</f>
        <v/>
      </c>
    </row>
    <row r="413" spans="1:153" x14ac:dyDescent="0.3">
      <c r="CX413" s="48">
        <f t="shared" ca="1" si="766"/>
        <v>32</v>
      </c>
      <c r="CY413" s="48" t="str">
        <f t="shared" ca="1" si="765"/>
        <v>MASTRO</v>
      </c>
      <c r="CZ413" s="48" t="e">
        <f t="shared" ca="1" si="768"/>
        <v>#N/A</v>
      </c>
      <c r="DA413" s="48" t="str">
        <f t="shared" ca="1" si="773"/>
        <v/>
      </c>
      <c r="DB413" s="48" t="str">
        <f t="shared" ca="1" si="769"/>
        <v/>
      </c>
      <c r="DC413" s="48" t="str">
        <f t="shared" ca="1" si="770"/>
        <v/>
      </c>
      <c r="DD413" s="48" t="str">
        <f t="shared" ca="1" si="771"/>
        <v/>
      </c>
      <c r="DE413" s="48" t="str">
        <f t="shared" ca="1" si="772"/>
        <v/>
      </c>
      <c r="DF413" s="48">
        <f ca="1">IF(AND(CX413=$DF$1,CX413&lt;&gt;""),0,IF(AND(DB413&lt;&gt;"",OR(DB412&lt;&gt;"",DB414&lt;&gt;"")),MAX($DF$2:DF412)+1,0))</f>
        <v>0</v>
      </c>
      <c r="ES413" s="48" t="str">
        <f t="shared" si="747"/>
        <v/>
      </c>
      <c r="ET413" s="48" t="str">
        <f ca="1">IFERROR(INDEX($ER$3:$ES$400,MATCH(ROWS($ET$3:ET413),$ER$3:$ER$400,0),2),"")</f>
        <v/>
      </c>
    </row>
    <row r="414" spans="1:153" x14ac:dyDescent="0.3">
      <c r="CX414" s="48">
        <f t="shared" ca="1" si="766"/>
        <v>32</v>
      </c>
      <c r="CY414" s="48" t="str">
        <f t="shared" ca="1" si="765"/>
        <v>MASTRO</v>
      </c>
      <c r="CZ414" s="48" t="e">
        <f t="shared" ca="1" si="768"/>
        <v>#N/A</v>
      </c>
      <c r="DA414" s="48" t="str">
        <f t="shared" ca="1" si="773"/>
        <v/>
      </c>
      <c r="DB414" s="48" t="str">
        <f t="shared" ca="1" si="769"/>
        <v/>
      </c>
      <c r="DC414" s="48" t="str">
        <f t="shared" ca="1" si="770"/>
        <v/>
      </c>
      <c r="DD414" s="48" t="str">
        <f t="shared" ca="1" si="771"/>
        <v/>
      </c>
      <c r="DE414" s="48" t="str">
        <f t="shared" ca="1" si="772"/>
        <v/>
      </c>
      <c r="DF414" s="48">
        <f ca="1">IF(AND(CX414=$DF$1,CX414&lt;&gt;""),0,IF(AND(DB414&lt;&gt;"",OR(DB413&lt;&gt;"",DB415&lt;&gt;"")),MAX($DF$2:DF413)+1,0))</f>
        <v>0</v>
      </c>
      <c r="ES414" s="48" t="str">
        <f t="shared" si="747"/>
        <v/>
      </c>
      <c r="ET414" s="48" t="str">
        <f ca="1">IFERROR(INDEX($ER$3:$ES$400,MATCH(ROWS($ET$3:ET414),$ER$3:$ER$400,0),2),"")</f>
        <v/>
      </c>
    </row>
    <row r="415" spans="1:153" x14ac:dyDescent="0.3">
      <c r="CX415" s="48">
        <f t="shared" ca="1" si="766"/>
        <v>32</v>
      </c>
      <c r="CY415" s="48" t="str">
        <f t="shared" ca="1" si="765"/>
        <v>MASTRO</v>
      </c>
      <c r="CZ415" s="48" t="e">
        <f t="shared" ca="1" si="768"/>
        <v>#N/A</v>
      </c>
      <c r="DA415" s="48" t="str">
        <f t="shared" ca="1" si="773"/>
        <v/>
      </c>
      <c r="DB415" s="48" t="str">
        <f t="shared" ca="1" si="769"/>
        <v/>
      </c>
      <c r="DC415" s="48" t="str">
        <f t="shared" ca="1" si="770"/>
        <v/>
      </c>
      <c r="DD415" s="48" t="str">
        <f t="shared" ca="1" si="771"/>
        <v/>
      </c>
      <c r="DE415" s="48" t="str">
        <f t="shared" ca="1" si="772"/>
        <v/>
      </c>
      <c r="DF415" s="48">
        <f ca="1">IF(AND(CX415=$DF$1,CX415&lt;&gt;""),0,IF(AND(DB415&lt;&gt;"",OR(DB414&lt;&gt;"",DB416&lt;&gt;"")),MAX($DF$2:DF414)+1,0))</f>
        <v>0</v>
      </c>
      <c r="ES415" s="48" t="str">
        <f t="shared" si="747"/>
        <v/>
      </c>
      <c r="ET415" s="48" t="str">
        <f ca="1">IFERROR(INDEX($ER$3:$ES$400,MATCH(ROWS($ET$3:ET415),$ER$3:$ER$400,0),2),"")</f>
        <v/>
      </c>
    </row>
    <row r="416" spans="1:153" x14ac:dyDescent="0.3">
      <c r="CX416" s="48">
        <f t="shared" ca="1" si="766"/>
        <v>32</v>
      </c>
      <c r="CY416" s="48" t="str">
        <f t="shared" ca="1" si="765"/>
        <v>MASTRO</v>
      </c>
      <c r="CZ416" s="48" t="e">
        <f t="shared" ca="1" si="768"/>
        <v>#N/A</v>
      </c>
      <c r="DA416" s="48" t="str">
        <f t="shared" ca="1" si="773"/>
        <v/>
      </c>
      <c r="DB416" s="48" t="str">
        <f t="shared" ca="1" si="769"/>
        <v/>
      </c>
      <c r="DC416" s="48" t="str">
        <f t="shared" ca="1" si="770"/>
        <v/>
      </c>
      <c r="DD416" s="48" t="str">
        <f t="shared" ca="1" si="771"/>
        <v/>
      </c>
      <c r="DE416" s="48" t="str">
        <f t="shared" ca="1" si="772"/>
        <v/>
      </c>
      <c r="DF416" s="48">
        <f ca="1">IF(AND(CX416=$DF$1,CX416&lt;&gt;""),0,IF(AND(DB416&lt;&gt;"",OR(DB415&lt;&gt;"",DB417&lt;&gt;"")),MAX($DF$2:DF415)+1,0))</f>
        <v>0</v>
      </c>
      <c r="ES416" s="48" t="str">
        <f t="shared" si="747"/>
        <v/>
      </c>
      <c r="ET416" s="48" t="str">
        <f ca="1">IFERROR(INDEX($ER$3:$ES$400,MATCH(ROWS($ET$3:ET416),$ER$3:$ER$400,0),2),"")</f>
        <v/>
      </c>
    </row>
    <row r="417" spans="102:150" x14ac:dyDescent="0.3">
      <c r="CX417" s="48">
        <f t="shared" ca="1" si="766"/>
        <v>32</v>
      </c>
      <c r="CY417" s="48" t="str">
        <f t="shared" ca="1" si="765"/>
        <v>MASTRO</v>
      </c>
      <c r="CZ417" s="48" t="e">
        <f t="shared" ca="1" si="768"/>
        <v>#N/A</v>
      </c>
      <c r="DA417" s="48" t="str">
        <f t="shared" ca="1" si="773"/>
        <v/>
      </c>
      <c r="DB417" s="48" t="str">
        <f t="shared" ca="1" si="769"/>
        <v/>
      </c>
      <c r="DC417" s="48" t="str">
        <f t="shared" ca="1" si="770"/>
        <v/>
      </c>
      <c r="DD417" s="48" t="str">
        <f t="shared" ca="1" si="771"/>
        <v/>
      </c>
      <c r="DE417" s="48" t="str">
        <f t="shared" ca="1" si="772"/>
        <v/>
      </c>
      <c r="DF417" s="48">
        <f ca="1">IF(AND(CX417=$DF$1,CX417&lt;&gt;""),0,IF(AND(DB417&lt;&gt;"",OR(DB416&lt;&gt;"",DB418&lt;&gt;"")),MAX($DF$2:DF416)+1,0))</f>
        <v>0</v>
      </c>
      <c r="ES417" s="48" t="str">
        <f t="shared" si="747"/>
        <v/>
      </c>
      <c r="ET417" s="48" t="str">
        <f ca="1">IFERROR(INDEX($ER$3:$ES$400,MATCH(ROWS($ET$3:ET417),$ER$3:$ER$400,0),2),"")</f>
        <v/>
      </c>
    </row>
    <row r="418" spans="102:150" x14ac:dyDescent="0.3">
      <c r="CY418" s="48" t="s">
        <v>500</v>
      </c>
      <c r="DB418" s="48" t="str">
        <f t="shared" ref="DB418" ca="1" si="774">IF(CX417=$DF$1,"","MASTRO")</f>
        <v>MASTRO</v>
      </c>
      <c r="DF418" s="48">
        <f ca="1">IF(AND(CX418=$DF$1,CX418&lt;&gt;""),0,IF(AND(DB418&lt;&gt;"",OR(DB417&lt;&gt;"",DB419&lt;&gt;"")),MAX($DF$2:DF417)+1,0))</f>
        <v>0</v>
      </c>
      <c r="ES418" s="48" t="str">
        <f t="shared" si="747"/>
        <v/>
      </c>
      <c r="ET418" s="48" t="str">
        <f ca="1">IFERROR(INDEX($ER$3:$ES$400,MATCH(ROWS($ET$3:ET418),$ER$3:$ER$400,0),2),"")</f>
        <v/>
      </c>
    </row>
    <row r="419" spans="102:150" x14ac:dyDescent="0.3">
      <c r="CX419" s="48">
        <f ca="1">$FF$35</f>
        <v>33</v>
      </c>
      <c r="CY419" s="48" t="str">
        <f t="shared" ref="CY419:CY430" ca="1" si="775">IF(ISERROR(INDEX($CV$3:$CX$1302,MATCH(CX419,$CW$3:$CW$1302,0),1)),"MASTRO",INDEX($CV$3:$CX$1302,MATCH(CX419,$CW$3:$CW$1302,0),1))</f>
        <v>MASTRO</v>
      </c>
      <c r="DA419" s="48" t="str">
        <f>IF(CY418="MASTRO","Conto n.","")</f>
        <v>Conto n.</v>
      </c>
      <c r="DB419" s="48" t="str">
        <f ca="1">IF(CY419=0,"",INDEX(PDC,MATCH(DC419,DEN_PDC,0),1))</f>
        <v/>
      </c>
      <c r="DC419" s="48" t="str">
        <f ca="1">IF(OR(CY419=0,CY419="mastro"),"",CY419)</f>
        <v/>
      </c>
      <c r="DD419" s="48" t="str">
        <f ca="1">IF(AND($DA$2=TRUE,OR(INDEX(PDC,MATCH($DC419,DEN_PDC,0),4)="A",INDEX(PDC,MATCH($DC419,DEN_PDC,0),4)="D/A"),SUMIFS(AVERE,DEN_G,"="&amp;$DC419,DATA,"&lt;="&amp;FINE_AC,DATA,"&gt;="&amp;INIZIO_AC)&gt;SUMIFS(DARE,DEN_G,"="&amp;$DC419,DATA,"&lt;="&amp;FINE_AC,DATA,"&gt;="&amp;INIZIO_AC)),CONCATENATE("s ",FIXED(ABS(SUMIFS(AVERE,DEN_G,"="&amp;$DC419,DATA,"&lt;="&amp;FINE_AC,DATA,"&gt;="&amp;INIZIO_AC)-SUMIFS(DARE,DEN_G,"="&amp;$DC419,DATA,"&lt;="&amp;FINE_AC,DATA,"&gt;="&amp;INIZIO_AC)),2)),"")</f>
        <v/>
      </c>
      <c r="DE419" s="48" t="str">
        <f ca="1">IF(AND($DA$2=TRUE,OR(INDEX(PDC,MATCH($DC419,DEN_PDC,0),4)="D",INDEX(PDC,MATCH($DC419,DEN_PDC,0),4)="D/A"),SUMIFS(DARE,DEN_G,"="&amp;$DC419,DATA,"&lt;="&amp;FINE_AC,DATA,"&gt;="&amp;INIZIO_AC)&gt;SUMIFS(AVERE,DEN_G,"="&amp;$DC419,DATA,"&lt;="&amp;FINE_AC,DATA,"&gt;="&amp;INIZIO_AC)),CONCATENATE("s ",FIXED(ABS(SUMIFS(DARE,DEN_G,"="&amp;$DC419,DATA,"&lt;="&amp;FINE_AC,DATA,"&gt;="&amp;INIZIO_AC)-SUMIFS(AVERE,DEN_G,"="&amp;$DC419,DATA,"&lt;="&amp;FINE_AC,DATA,"&gt;="&amp;INIZIO_AC)),2)),"")</f>
        <v/>
      </c>
      <c r="DF419" s="48">
        <f ca="1">IF(AND(CX419=$DF$1,CX419&lt;&gt;""),0,IF(AND(DB419&lt;&gt;"",OR(DB418&lt;&gt;"",DB420&lt;&gt;"")),MAX($DF$2:DF418)+1,0))</f>
        <v>0</v>
      </c>
      <c r="ES419" s="48" t="str">
        <f t="shared" si="747"/>
        <v/>
      </c>
      <c r="ET419" s="48" t="str">
        <f ca="1">IFERROR(INDEX($ER$3:$ES$400,MATCH(ROWS($ET$3:ET419),$ER$3:$ER$400,0),2),"")</f>
        <v/>
      </c>
    </row>
    <row r="420" spans="102:150" x14ac:dyDescent="0.3">
      <c r="CX420" s="48">
        <f t="shared" ref="CX420:CX430" ca="1" si="776">$FF$35</f>
        <v>33</v>
      </c>
      <c r="CY420" s="48" t="str">
        <f t="shared" ca="1" si="775"/>
        <v>MASTRO</v>
      </c>
      <c r="DA420" s="48" t="str">
        <f ca="1">IF(DB419="","","Num. riga")</f>
        <v/>
      </c>
      <c r="DB420" s="48" t="str">
        <f t="shared" ref="DB420" ca="1" si="777">IF(DB419="","","Data")</f>
        <v/>
      </c>
      <c r="DC420" s="48" t="str">
        <f ca="1">IF(DB419="","","Operazioni")</f>
        <v/>
      </c>
      <c r="DD420" s="48" t="str">
        <f ca="1">IF(DB419="","","Dare        ")</f>
        <v/>
      </c>
      <c r="DE420" s="48" t="str">
        <f ca="1">IF(DB419="","","Avere        ")</f>
        <v/>
      </c>
      <c r="DF420" s="48">
        <f ca="1">IF(AND(CX420=$DF$1,CX420&lt;&gt;""),0,IF(AND(DB420&lt;&gt;"",OR(DB419&lt;&gt;"",DB421&lt;&gt;"")),MAX($DF$2:DF419)+1,0))</f>
        <v>0</v>
      </c>
      <c r="ES420" s="48" t="str">
        <f t="shared" si="747"/>
        <v/>
      </c>
      <c r="ET420" s="48" t="str">
        <f ca="1">IFERROR(INDEX($ER$3:$ES$400,MATCH(ROWS($ET$3:ET420),$ER$3:$ER$400,0),2),"")</f>
        <v/>
      </c>
    </row>
    <row r="421" spans="102:150" x14ac:dyDescent="0.3">
      <c r="CX421" s="48">
        <f t="shared" ca="1" si="776"/>
        <v>33</v>
      </c>
      <c r="CY421" s="48" t="str">
        <f t="shared" ca="1" si="775"/>
        <v>MASTRO</v>
      </c>
      <c r="CZ421" s="48" t="e">
        <f t="shared" ref="CZ421:CZ430" ca="1" si="778">SUM(MATCH($CY421,INDIRECT(ADDRESS(SUM(CZ420)+3,54)&amp;":"&amp;ADDRESS(400,54)),0),CZ420)</f>
        <v>#N/A</v>
      </c>
      <c r="DA421" s="48" t="str">
        <f ca="1">IFERROR(INDEX(LIBRO_GIORNALE,CZ421,1),"")</f>
        <v/>
      </c>
      <c r="DB421" s="48" t="str">
        <f t="shared" ca="1" si="769"/>
        <v/>
      </c>
      <c r="DC421" s="48" t="str">
        <f t="shared" ref="DC421:DC430" ca="1" si="779">IF(IFERROR(INDEX(LIBRO_GIORNALE,CZ421,4),"")=0,"manca la descrizione dell'operazione",IFERROR(INDEX(LIBRO_GIORNALE,CZ421,4),""))</f>
        <v/>
      </c>
      <c r="DD421" s="48" t="str">
        <f t="shared" ref="DD421:DD430" ca="1" si="780">IFERROR(IF(INDEX(LIBRO_GIORNALE,CZ421,5)&gt;0,INDEX(LIBRO_GIORNALE,CZ421,5),""),"")</f>
        <v/>
      </c>
      <c r="DE421" s="48" t="str">
        <f t="shared" ref="DE421:DE430" ca="1" si="781">IFERROR(IF(INDEX(LIBRO_GIORNALE,CZ421,6)&gt;0,INDEX(LIBRO_GIORNALE,CZ421,6),""),"")</f>
        <v/>
      </c>
      <c r="DF421" s="48">
        <f ca="1">IF(AND(CX421=$DF$1,CX421&lt;&gt;""),0,IF(AND(DB421&lt;&gt;"",OR(DB420&lt;&gt;"",DB422&lt;&gt;"")),MAX($DF$2:DF420)+1,0))</f>
        <v>0</v>
      </c>
      <c r="ES421" s="48" t="str">
        <f t="shared" si="747"/>
        <v/>
      </c>
      <c r="ET421" s="48" t="str">
        <f ca="1">IFERROR(INDEX($ER$3:$ES$400,MATCH(ROWS($ET$3:ET421),$ER$3:$ER$400,0),2),"")</f>
        <v/>
      </c>
    </row>
    <row r="422" spans="102:150" x14ac:dyDescent="0.3">
      <c r="CX422" s="48">
        <f t="shared" ca="1" si="776"/>
        <v>33</v>
      </c>
      <c r="CY422" s="48" t="str">
        <f t="shared" ca="1" si="775"/>
        <v>MASTRO</v>
      </c>
      <c r="CZ422" s="48" t="e">
        <f t="shared" ca="1" si="778"/>
        <v>#N/A</v>
      </c>
      <c r="DA422" s="48" t="str">
        <f t="shared" ref="DA422:DA430" ca="1" si="782">IFERROR(INDEX(LIBRO_GIORNALE,CZ422,1),"")</f>
        <v/>
      </c>
      <c r="DB422" s="48" t="str">
        <f t="shared" ca="1" si="769"/>
        <v/>
      </c>
      <c r="DC422" s="48" t="str">
        <f t="shared" ca="1" si="779"/>
        <v/>
      </c>
      <c r="DD422" s="48" t="str">
        <f t="shared" ca="1" si="780"/>
        <v/>
      </c>
      <c r="DE422" s="48" t="str">
        <f t="shared" ca="1" si="781"/>
        <v/>
      </c>
      <c r="DF422" s="48">
        <f ca="1">IF(AND(CX422=$DF$1,CX422&lt;&gt;""),0,IF(AND(DB422&lt;&gt;"",OR(DB421&lt;&gt;"",DB423&lt;&gt;"")),MAX($DF$2:DF421)+1,0))</f>
        <v>0</v>
      </c>
      <c r="ES422" s="48" t="str">
        <f t="shared" si="747"/>
        <v/>
      </c>
      <c r="ET422" s="48" t="str">
        <f ca="1">IFERROR(INDEX($ER$3:$ES$400,MATCH(ROWS($ET$3:ET422),$ER$3:$ER$400,0),2),"")</f>
        <v/>
      </c>
    </row>
    <row r="423" spans="102:150" x14ac:dyDescent="0.3">
      <c r="CX423" s="48">
        <f t="shared" ca="1" si="776"/>
        <v>33</v>
      </c>
      <c r="CY423" s="48" t="str">
        <f t="shared" ca="1" si="775"/>
        <v>MASTRO</v>
      </c>
      <c r="CZ423" s="48" t="e">
        <f t="shared" ca="1" si="778"/>
        <v>#N/A</v>
      </c>
      <c r="DA423" s="48" t="str">
        <f t="shared" ca="1" si="782"/>
        <v/>
      </c>
      <c r="DB423" s="48" t="str">
        <f t="shared" ca="1" si="769"/>
        <v/>
      </c>
      <c r="DC423" s="48" t="str">
        <f t="shared" ca="1" si="779"/>
        <v/>
      </c>
      <c r="DD423" s="48" t="str">
        <f t="shared" ca="1" si="780"/>
        <v/>
      </c>
      <c r="DE423" s="48" t="str">
        <f t="shared" ca="1" si="781"/>
        <v/>
      </c>
      <c r="DF423" s="48">
        <f ca="1">IF(AND(CX423=$DF$1,CX423&lt;&gt;""),0,IF(AND(DB423&lt;&gt;"",OR(DB422&lt;&gt;"",DB424&lt;&gt;"")),MAX($DF$2:DF422)+1,0))</f>
        <v>0</v>
      </c>
      <c r="ES423" s="48" t="str">
        <f t="shared" si="747"/>
        <v/>
      </c>
      <c r="ET423" s="48" t="str">
        <f ca="1">IFERROR(INDEX($ER$3:$ES$400,MATCH(ROWS($ET$3:ET423),$ER$3:$ER$400,0),2),"")</f>
        <v/>
      </c>
    </row>
    <row r="424" spans="102:150" x14ac:dyDescent="0.3">
      <c r="CX424" s="48">
        <f t="shared" ca="1" si="776"/>
        <v>33</v>
      </c>
      <c r="CY424" s="48" t="str">
        <f t="shared" ca="1" si="775"/>
        <v>MASTRO</v>
      </c>
      <c r="CZ424" s="48" t="e">
        <f t="shared" ca="1" si="778"/>
        <v>#N/A</v>
      </c>
      <c r="DA424" s="48" t="str">
        <f t="shared" ca="1" si="782"/>
        <v/>
      </c>
      <c r="DB424" s="48" t="str">
        <f t="shared" ca="1" si="769"/>
        <v/>
      </c>
      <c r="DC424" s="48" t="str">
        <f t="shared" ca="1" si="779"/>
        <v/>
      </c>
      <c r="DD424" s="48" t="str">
        <f t="shared" ca="1" si="780"/>
        <v/>
      </c>
      <c r="DE424" s="48" t="str">
        <f t="shared" ca="1" si="781"/>
        <v/>
      </c>
      <c r="DF424" s="48">
        <f ca="1">IF(AND(CX424=$DF$1,CX424&lt;&gt;""),0,IF(AND(DB424&lt;&gt;"",OR(DB423&lt;&gt;"",DB425&lt;&gt;"")),MAX($DF$2:DF423)+1,0))</f>
        <v>0</v>
      </c>
      <c r="ES424" s="48" t="str">
        <f t="shared" si="747"/>
        <v/>
      </c>
      <c r="ET424" s="48" t="str">
        <f ca="1">IFERROR(INDEX($ER$3:$ES$400,MATCH(ROWS($ET$3:ET424),$ER$3:$ER$400,0),2),"")</f>
        <v/>
      </c>
    </row>
    <row r="425" spans="102:150" x14ac:dyDescent="0.3">
      <c r="CX425" s="48">
        <f t="shared" ca="1" si="776"/>
        <v>33</v>
      </c>
      <c r="CY425" s="48" t="str">
        <f t="shared" ca="1" si="775"/>
        <v>MASTRO</v>
      </c>
      <c r="CZ425" s="48" t="e">
        <f t="shared" ca="1" si="778"/>
        <v>#N/A</v>
      </c>
      <c r="DA425" s="48" t="str">
        <f t="shared" ca="1" si="782"/>
        <v/>
      </c>
      <c r="DB425" s="48" t="str">
        <f t="shared" ca="1" si="769"/>
        <v/>
      </c>
      <c r="DC425" s="48" t="str">
        <f t="shared" ca="1" si="779"/>
        <v/>
      </c>
      <c r="DD425" s="48" t="str">
        <f t="shared" ca="1" si="780"/>
        <v/>
      </c>
      <c r="DE425" s="48" t="str">
        <f t="shared" ca="1" si="781"/>
        <v/>
      </c>
      <c r="DF425" s="48">
        <f ca="1">IF(AND(CX425=$DF$1,CX425&lt;&gt;""),0,IF(AND(DB425&lt;&gt;"",OR(DB424&lt;&gt;"",DB426&lt;&gt;"")),MAX($DF$2:DF424)+1,0))</f>
        <v>0</v>
      </c>
      <c r="ES425" s="48" t="str">
        <f t="shared" si="747"/>
        <v/>
      </c>
      <c r="ET425" s="48" t="str">
        <f ca="1">IFERROR(INDEX($ER$3:$ES$400,MATCH(ROWS($ET$3:ET425),$ER$3:$ER$400,0),2),"")</f>
        <v/>
      </c>
    </row>
    <row r="426" spans="102:150" x14ac:dyDescent="0.3">
      <c r="CX426" s="48">
        <f t="shared" ca="1" si="776"/>
        <v>33</v>
      </c>
      <c r="CY426" s="48" t="str">
        <f t="shared" ca="1" si="775"/>
        <v>MASTRO</v>
      </c>
      <c r="CZ426" s="48" t="e">
        <f t="shared" ca="1" si="778"/>
        <v>#N/A</v>
      </c>
      <c r="DA426" s="48" t="str">
        <f t="shared" ca="1" si="782"/>
        <v/>
      </c>
      <c r="DB426" s="48" t="str">
        <f t="shared" ca="1" si="769"/>
        <v/>
      </c>
      <c r="DC426" s="48" t="str">
        <f t="shared" ca="1" si="779"/>
        <v/>
      </c>
      <c r="DD426" s="48" t="str">
        <f t="shared" ca="1" si="780"/>
        <v/>
      </c>
      <c r="DE426" s="48" t="str">
        <f t="shared" ca="1" si="781"/>
        <v/>
      </c>
      <c r="DF426" s="48">
        <f ca="1">IF(AND(CX426=$DF$1,CX426&lt;&gt;""),0,IF(AND(DB426&lt;&gt;"",OR(DB425&lt;&gt;"",DB427&lt;&gt;"")),MAX($DF$2:DF425)+1,0))</f>
        <v>0</v>
      </c>
      <c r="ES426" s="48" t="str">
        <f t="shared" si="747"/>
        <v/>
      </c>
      <c r="ET426" s="48" t="str">
        <f ca="1">IFERROR(INDEX($ER$3:$ES$400,MATCH(ROWS($ET$3:ET426),$ER$3:$ER$400,0),2),"")</f>
        <v/>
      </c>
    </row>
    <row r="427" spans="102:150" x14ac:dyDescent="0.3">
      <c r="CX427" s="48">
        <f t="shared" ca="1" si="776"/>
        <v>33</v>
      </c>
      <c r="CY427" s="48" t="str">
        <f t="shared" ca="1" si="775"/>
        <v>MASTRO</v>
      </c>
      <c r="CZ427" s="48" t="e">
        <f t="shared" ca="1" si="778"/>
        <v>#N/A</v>
      </c>
      <c r="DA427" s="48" t="str">
        <f t="shared" ca="1" si="782"/>
        <v/>
      </c>
      <c r="DB427" s="48" t="str">
        <f t="shared" ca="1" si="769"/>
        <v/>
      </c>
      <c r="DC427" s="48" t="str">
        <f t="shared" ca="1" si="779"/>
        <v/>
      </c>
      <c r="DD427" s="48" t="str">
        <f t="shared" ca="1" si="780"/>
        <v/>
      </c>
      <c r="DE427" s="48" t="str">
        <f t="shared" ca="1" si="781"/>
        <v/>
      </c>
      <c r="DF427" s="48">
        <f ca="1">IF(AND(CX427=$DF$1,CX427&lt;&gt;""),0,IF(AND(DB427&lt;&gt;"",OR(DB426&lt;&gt;"",DB428&lt;&gt;"")),MAX($DF$2:DF426)+1,0))</f>
        <v>0</v>
      </c>
      <c r="ES427" s="48" t="str">
        <f t="shared" si="747"/>
        <v/>
      </c>
      <c r="ET427" s="48" t="str">
        <f ca="1">IFERROR(INDEX($ER$3:$ES$400,MATCH(ROWS($ET$3:ET427),$ER$3:$ER$400,0),2),"")</f>
        <v/>
      </c>
    </row>
    <row r="428" spans="102:150" x14ac:dyDescent="0.3">
      <c r="CX428" s="48">
        <f t="shared" ca="1" si="776"/>
        <v>33</v>
      </c>
      <c r="CY428" s="48" t="str">
        <f t="shared" ca="1" si="775"/>
        <v>MASTRO</v>
      </c>
      <c r="CZ428" s="48" t="e">
        <f t="shared" ca="1" si="778"/>
        <v>#N/A</v>
      </c>
      <c r="DA428" s="48" t="str">
        <f t="shared" ca="1" si="782"/>
        <v/>
      </c>
      <c r="DB428" s="48" t="str">
        <f t="shared" ca="1" si="769"/>
        <v/>
      </c>
      <c r="DC428" s="48" t="str">
        <f t="shared" ca="1" si="779"/>
        <v/>
      </c>
      <c r="DD428" s="48" t="str">
        <f t="shared" ca="1" si="780"/>
        <v/>
      </c>
      <c r="DE428" s="48" t="str">
        <f t="shared" ca="1" si="781"/>
        <v/>
      </c>
      <c r="DF428" s="48">
        <f ca="1">IF(AND(CX428=$DF$1,CX428&lt;&gt;""),0,IF(AND(DB428&lt;&gt;"",OR(DB427&lt;&gt;"",DB429&lt;&gt;"")),MAX($DF$2:DF427)+1,0))</f>
        <v>0</v>
      </c>
      <c r="ES428" s="48" t="str">
        <f t="shared" si="747"/>
        <v/>
      </c>
      <c r="ET428" s="48" t="str">
        <f ca="1">IFERROR(INDEX($ER$3:$ES$400,MATCH(ROWS($ET$3:ET428),$ER$3:$ER$400,0),2),"")</f>
        <v/>
      </c>
    </row>
    <row r="429" spans="102:150" x14ac:dyDescent="0.3">
      <c r="CX429" s="48">
        <f t="shared" ca="1" si="776"/>
        <v>33</v>
      </c>
      <c r="CY429" s="48" t="str">
        <f t="shared" ca="1" si="775"/>
        <v>MASTRO</v>
      </c>
      <c r="CZ429" s="48" t="e">
        <f t="shared" ca="1" si="778"/>
        <v>#N/A</v>
      </c>
      <c r="DA429" s="48" t="str">
        <f t="shared" ca="1" si="782"/>
        <v/>
      </c>
      <c r="DB429" s="48" t="str">
        <f t="shared" ca="1" si="769"/>
        <v/>
      </c>
      <c r="DC429" s="48" t="str">
        <f t="shared" ca="1" si="779"/>
        <v/>
      </c>
      <c r="DD429" s="48" t="str">
        <f t="shared" ca="1" si="780"/>
        <v/>
      </c>
      <c r="DE429" s="48" t="str">
        <f t="shared" ca="1" si="781"/>
        <v/>
      </c>
      <c r="DF429" s="48">
        <f ca="1">IF(AND(CX429=$DF$1,CX429&lt;&gt;""),0,IF(AND(DB429&lt;&gt;"",OR(DB428&lt;&gt;"",DB430&lt;&gt;"")),MAX($DF$2:DF428)+1,0))</f>
        <v>0</v>
      </c>
      <c r="ES429" s="48" t="str">
        <f t="shared" si="747"/>
        <v/>
      </c>
      <c r="ET429" s="48" t="str">
        <f ca="1">IFERROR(INDEX($ER$3:$ES$400,MATCH(ROWS($ET$3:ET429),$ER$3:$ER$400,0),2),"")</f>
        <v/>
      </c>
    </row>
    <row r="430" spans="102:150" x14ac:dyDescent="0.3">
      <c r="CX430" s="48">
        <f t="shared" ca="1" si="776"/>
        <v>33</v>
      </c>
      <c r="CY430" s="48" t="str">
        <f t="shared" ca="1" si="775"/>
        <v>MASTRO</v>
      </c>
      <c r="CZ430" s="48" t="e">
        <f t="shared" ca="1" si="778"/>
        <v>#N/A</v>
      </c>
      <c r="DA430" s="48" t="str">
        <f t="shared" ca="1" si="782"/>
        <v/>
      </c>
      <c r="DB430" s="48" t="str">
        <f t="shared" ca="1" si="769"/>
        <v/>
      </c>
      <c r="DC430" s="48" t="str">
        <f t="shared" ca="1" si="779"/>
        <v/>
      </c>
      <c r="DD430" s="48" t="str">
        <f t="shared" ca="1" si="780"/>
        <v/>
      </c>
      <c r="DE430" s="48" t="str">
        <f t="shared" ca="1" si="781"/>
        <v/>
      </c>
      <c r="DF430" s="48">
        <f ca="1">IF(AND(CX430=$DF$1,CX430&lt;&gt;""),0,IF(AND(DB430&lt;&gt;"",OR(DB429&lt;&gt;"",DB431&lt;&gt;"")),MAX($DF$2:DF429)+1,0))</f>
        <v>0</v>
      </c>
      <c r="ES430" s="48" t="str">
        <f t="shared" si="747"/>
        <v/>
      </c>
      <c r="ET430" s="48" t="str">
        <f ca="1">IFERROR(INDEX($ER$3:$ES$400,MATCH(ROWS($ET$3:ET430),$ER$3:$ER$400,0),2),"")</f>
        <v/>
      </c>
    </row>
    <row r="431" spans="102:150" x14ac:dyDescent="0.3">
      <c r="CY431" s="48" t="s">
        <v>500</v>
      </c>
      <c r="DB431" s="48" t="str">
        <f t="shared" ref="DB431" ca="1" si="783">IF(CX430=$DF$1,"","MASTRO")</f>
        <v>MASTRO</v>
      </c>
      <c r="DF431" s="48">
        <f ca="1">IF(AND(CX431=$DF$1,CX431&lt;&gt;""),0,IF(AND(DB431&lt;&gt;"",OR(DB430&lt;&gt;"",DB432&lt;&gt;"")),MAX($DF$2:DF430)+1,0))</f>
        <v>0</v>
      </c>
      <c r="ES431" s="48" t="str">
        <f t="shared" si="747"/>
        <v/>
      </c>
      <c r="ET431" s="48" t="str">
        <f ca="1">IFERROR(INDEX($ER$3:$ES$400,MATCH(ROWS($ET$3:ET431),$ER$3:$ER$400,0),2),"")</f>
        <v/>
      </c>
    </row>
    <row r="432" spans="102:150" x14ac:dyDescent="0.3">
      <c r="CX432" s="48">
        <f ca="1">$FF$36</f>
        <v>34</v>
      </c>
      <c r="CY432" s="48" t="str">
        <f t="shared" ref="CY432:CY443" ca="1" si="784">IF(ISERROR(INDEX($CV$3:$CX$1302,MATCH(CX432,$CW$3:$CW$1302,0),1)),"MASTRO",INDEX($CV$3:$CX$1302,MATCH(CX432,$CW$3:$CW$1302,0),1))</f>
        <v>MASTRO</v>
      </c>
      <c r="DA432" s="48" t="str">
        <f>IF(CY431="MASTRO","Conto n.","")</f>
        <v>Conto n.</v>
      </c>
      <c r="DB432" s="48" t="str">
        <f ca="1">IF(CY432=0,"",INDEX(PDC,MATCH(DC432,DEN_PDC,0),1))</f>
        <v/>
      </c>
      <c r="DC432" s="48" t="str">
        <f ca="1">IF(OR(CY432=0,CY432="mastro"),"",CY432)</f>
        <v/>
      </c>
      <c r="DD432" s="48" t="str">
        <f ca="1">IF(AND($DA$2=TRUE,OR(INDEX(PDC,MATCH($DC432,DEN_PDC,0),4)="A",INDEX(PDC,MATCH($DC432,DEN_PDC,0),4)="D/A"),SUMIFS(AVERE,DEN_G,"="&amp;$DC432,DATA,"&lt;="&amp;FINE_AC,DATA,"&gt;="&amp;INIZIO_AC)&gt;SUMIFS(DARE,DEN_G,"="&amp;$DC432,DATA,"&lt;="&amp;FINE_AC,DATA,"&gt;="&amp;INIZIO_AC)),CONCATENATE("s ",FIXED(ABS(SUMIFS(AVERE,DEN_G,"="&amp;$DC432,DATA,"&lt;="&amp;FINE_AC,DATA,"&gt;="&amp;INIZIO_AC)-SUMIFS(DARE,DEN_G,"="&amp;$DC432,DATA,"&lt;="&amp;FINE_AC,DATA,"&gt;="&amp;INIZIO_AC)),2)),"")</f>
        <v/>
      </c>
      <c r="DE432" s="48" t="str">
        <f ca="1">IF(AND($DA$2=TRUE,OR(INDEX(PDC,MATCH($DC432,DEN_PDC,0),4)="D",INDEX(PDC,MATCH($DC432,DEN_PDC,0),4)="D/A"),SUMIFS(DARE,DEN_G,"="&amp;$DC432,DATA,"&lt;="&amp;FINE_AC,DATA,"&gt;="&amp;INIZIO_AC)&gt;SUMIFS(AVERE,DEN_G,"="&amp;$DC432,DATA,"&lt;="&amp;FINE_AC,DATA,"&gt;="&amp;INIZIO_AC)),CONCATENATE("s ",FIXED(ABS(SUMIFS(DARE,DEN_G,"="&amp;$DC432,DATA,"&lt;="&amp;FINE_AC,DATA,"&gt;="&amp;INIZIO_AC)-SUMIFS(AVERE,DEN_G,"="&amp;$DC432,DATA,"&lt;="&amp;FINE_AC,DATA,"&gt;="&amp;INIZIO_AC)),2)),"")</f>
        <v/>
      </c>
      <c r="DF432" s="48">
        <f ca="1">IF(AND(CX432=$DF$1,CX432&lt;&gt;""),0,IF(AND(DB432&lt;&gt;"",OR(DB431&lt;&gt;"",DB433&lt;&gt;"")),MAX($DF$2:DF431)+1,0))</f>
        <v>0</v>
      </c>
      <c r="ES432" s="48" t="str">
        <f t="shared" si="747"/>
        <v/>
      </c>
      <c r="ET432" s="48" t="str">
        <f ca="1">IFERROR(INDEX($ER$3:$ES$400,MATCH(ROWS($ET$3:ET432),$ER$3:$ER$400,0),2),"")</f>
        <v/>
      </c>
    </row>
    <row r="433" spans="102:150" x14ac:dyDescent="0.3">
      <c r="CX433" s="48">
        <f t="shared" ref="CX433:CX443" ca="1" si="785">$FF$36</f>
        <v>34</v>
      </c>
      <c r="CY433" s="48" t="str">
        <f t="shared" ca="1" si="784"/>
        <v>MASTRO</v>
      </c>
      <c r="DA433" s="48" t="str">
        <f ca="1">IF(DB432="","","Num. riga")</f>
        <v/>
      </c>
      <c r="DB433" s="48" t="str">
        <f t="shared" ref="DB433" ca="1" si="786">IF(DB432="","","Data")</f>
        <v/>
      </c>
      <c r="DC433" s="48" t="str">
        <f ca="1">IF(DB432="","","Operazioni")</f>
        <v/>
      </c>
      <c r="DD433" s="48" t="str">
        <f ca="1">IF(DB432="","","Dare        ")</f>
        <v/>
      </c>
      <c r="DE433" s="48" t="str">
        <f ca="1">IF(DB432="","","Avere        ")</f>
        <v/>
      </c>
      <c r="DF433" s="48">
        <f ca="1">IF(AND(CX433=$DF$1,CX433&lt;&gt;""),0,IF(AND(DB433&lt;&gt;"",OR(DB432&lt;&gt;"",DB434&lt;&gt;"")),MAX($DF$2:DF432)+1,0))</f>
        <v>0</v>
      </c>
      <c r="ES433" s="48" t="str">
        <f t="shared" si="747"/>
        <v/>
      </c>
      <c r="ET433" s="48" t="str">
        <f ca="1">IFERROR(INDEX($ER$3:$ES$400,MATCH(ROWS($ET$3:ET433),$ER$3:$ER$400,0),2),"")</f>
        <v/>
      </c>
    </row>
    <row r="434" spans="102:150" x14ac:dyDescent="0.3">
      <c r="CX434" s="48">
        <f t="shared" ca="1" si="785"/>
        <v>34</v>
      </c>
      <c r="CY434" s="48" t="str">
        <f t="shared" ca="1" si="784"/>
        <v>MASTRO</v>
      </c>
      <c r="CZ434" s="48" t="e">
        <f t="shared" ref="CZ434:CZ443" ca="1" si="787">SUM(MATCH($CY434,INDIRECT(ADDRESS(SUM(CZ433)+3,54)&amp;":"&amp;ADDRESS(400,54)),0),CZ433)</f>
        <v>#N/A</v>
      </c>
      <c r="DA434" s="48" t="str">
        <f ca="1">IFERROR(INDEX(LIBRO_GIORNALE,CZ434,1),"")</f>
        <v/>
      </c>
      <c r="DB434" s="48" t="str">
        <f t="shared" ca="1" si="769"/>
        <v/>
      </c>
      <c r="DC434" s="48" t="str">
        <f t="shared" ref="DC434:DC443" ca="1" si="788">IF(IFERROR(INDEX(LIBRO_GIORNALE,CZ434,4),"")=0,"manca la descrizione dell'operazione",IFERROR(INDEX(LIBRO_GIORNALE,CZ434,4),""))</f>
        <v/>
      </c>
      <c r="DD434" s="48" t="str">
        <f t="shared" ref="DD434:DD443" ca="1" si="789">IFERROR(IF(INDEX(LIBRO_GIORNALE,CZ434,5)&gt;0,INDEX(LIBRO_GIORNALE,CZ434,5),""),"")</f>
        <v/>
      </c>
      <c r="DE434" s="48" t="str">
        <f t="shared" ref="DE434:DE443" ca="1" si="790">IFERROR(IF(INDEX(LIBRO_GIORNALE,CZ434,6)&gt;0,INDEX(LIBRO_GIORNALE,CZ434,6),""),"")</f>
        <v/>
      </c>
      <c r="DF434" s="48">
        <f ca="1">IF(AND(CX434=$DF$1,CX434&lt;&gt;""),0,IF(AND(DB434&lt;&gt;"",OR(DB433&lt;&gt;"",DB435&lt;&gt;"")),MAX($DF$2:DF433)+1,0))</f>
        <v>0</v>
      </c>
      <c r="ES434" s="48" t="str">
        <f t="shared" si="747"/>
        <v/>
      </c>
      <c r="ET434" s="48" t="str">
        <f ca="1">IFERROR(INDEX($ER$3:$ES$400,MATCH(ROWS($ET$3:ET434),$ER$3:$ER$400,0),2),"")</f>
        <v/>
      </c>
    </row>
    <row r="435" spans="102:150" x14ac:dyDescent="0.3">
      <c r="CX435" s="48">
        <f t="shared" ca="1" si="785"/>
        <v>34</v>
      </c>
      <c r="CY435" s="48" t="str">
        <f t="shared" ca="1" si="784"/>
        <v>MASTRO</v>
      </c>
      <c r="CZ435" s="48" t="e">
        <f t="shared" ca="1" si="787"/>
        <v>#N/A</v>
      </c>
      <c r="DA435" s="48" t="str">
        <f t="shared" ref="DA435:DA443" ca="1" si="791">IFERROR(INDEX(LIBRO_GIORNALE,CZ435,1),"")</f>
        <v/>
      </c>
      <c r="DB435" s="48" t="str">
        <f t="shared" ca="1" si="769"/>
        <v/>
      </c>
      <c r="DC435" s="48" t="str">
        <f t="shared" ca="1" si="788"/>
        <v/>
      </c>
      <c r="DD435" s="48" t="str">
        <f t="shared" ca="1" si="789"/>
        <v/>
      </c>
      <c r="DE435" s="48" t="str">
        <f t="shared" ca="1" si="790"/>
        <v/>
      </c>
      <c r="DF435" s="48">
        <f ca="1">IF(AND(CX435=$DF$1,CX435&lt;&gt;""),0,IF(AND(DB435&lt;&gt;"",OR(DB434&lt;&gt;"",DB436&lt;&gt;"")),MAX($DF$2:DF434)+1,0))</f>
        <v>0</v>
      </c>
      <c r="ES435" s="48" t="str">
        <f t="shared" si="747"/>
        <v/>
      </c>
      <c r="ET435" s="48" t="str">
        <f ca="1">IFERROR(INDEX($ER$3:$ES$400,MATCH(ROWS($ET$3:ET435),$ER$3:$ER$400,0),2),"")</f>
        <v/>
      </c>
    </row>
    <row r="436" spans="102:150" x14ac:dyDescent="0.3">
      <c r="CX436" s="48">
        <f t="shared" ca="1" si="785"/>
        <v>34</v>
      </c>
      <c r="CY436" s="48" t="str">
        <f t="shared" ca="1" si="784"/>
        <v>MASTRO</v>
      </c>
      <c r="CZ436" s="48" t="e">
        <f t="shared" ca="1" si="787"/>
        <v>#N/A</v>
      </c>
      <c r="DA436" s="48" t="str">
        <f t="shared" ca="1" si="791"/>
        <v/>
      </c>
      <c r="DB436" s="48" t="str">
        <f t="shared" ca="1" si="769"/>
        <v/>
      </c>
      <c r="DC436" s="48" t="str">
        <f t="shared" ca="1" si="788"/>
        <v/>
      </c>
      <c r="DD436" s="48" t="str">
        <f t="shared" ca="1" si="789"/>
        <v/>
      </c>
      <c r="DE436" s="48" t="str">
        <f t="shared" ca="1" si="790"/>
        <v/>
      </c>
      <c r="DF436" s="48">
        <f ca="1">IF(AND(CX436=$DF$1,CX436&lt;&gt;""),0,IF(AND(DB436&lt;&gt;"",OR(DB435&lt;&gt;"",DB437&lt;&gt;"")),MAX($DF$2:DF435)+1,0))</f>
        <v>0</v>
      </c>
      <c r="ES436" s="48" t="str">
        <f t="shared" si="747"/>
        <v/>
      </c>
      <c r="ET436" s="48" t="str">
        <f ca="1">IFERROR(INDEX($ER$3:$ES$400,MATCH(ROWS($ET$3:ET436),$ER$3:$ER$400,0),2),"")</f>
        <v/>
      </c>
    </row>
    <row r="437" spans="102:150" x14ac:dyDescent="0.3">
      <c r="CX437" s="48">
        <f t="shared" ca="1" si="785"/>
        <v>34</v>
      </c>
      <c r="CY437" s="48" t="str">
        <f t="shared" ca="1" si="784"/>
        <v>MASTRO</v>
      </c>
      <c r="CZ437" s="48" t="e">
        <f t="shared" ca="1" si="787"/>
        <v>#N/A</v>
      </c>
      <c r="DA437" s="48" t="str">
        <f t="shared" ca="1" si="791"/>
        <v/>
      </c>
      <c r="DB437" s="48" t="str">
        <f t="shared" ca="1" si="769"/>
        <v/>
      </c>
      <c r="DC437" s="48" t="str">
        <f t="shared" ca="1" si="788"/>
        <v/>
      </c>
      <c r="DD437" s="48" t="str">
        <f t="shared" ca="1" si="789"/>
        <v/>
      </c>
      <c r="DE437" s="48" t="str">
        <f t="shared" ca="1" si="790"/>
        <v/>
      </c>
      <c r="DF437" s="48">
        <f ca="1">IF(AND(CX437=$DF$1,CX437&lt;&gt;""),0,IF(AND(DB437&lt;&gt;"",OR(DB436&lt;&gt;"",DB438&lt;&gt;"")),MAX($DF$2:DF436)+1,0))</f>
        <v>0</v>
      </c>
      <c r="ES437" s="48" t="str">
        <f t="shared" si="747"/>
        <v/>
      </c>
      <c r="ET437" s="48" t="str">
        <f ca="1">IFERROR(INDEX($ER$3:$ES$400,MATCH(ROWS($ET$3:ET437),$ER$3:$ER$400,0),2),"")</f>
        <v/>
      </c>
    </row>
    <row r="438" spans="102:150" x14ac:dyDescent="0.3">
      <c r="CX438" s="48">
        <f t="shared" ca="1" si="785"/>
        <v>34</v>
      </c>
      <c r="CY438" s="48" t="str">
        <f t="shared" ca="1" si="784"/>
        <v>MASTRO</v>
      </c>
      <c r="CZ438" s="48" t="e">
        <f t="shared" ca="1" si="787"/>
        <v>#N/A</v>
      </c>
      <c r="DA438" s="48" t="str">
        <f t="shared" ca="1" si="791"/>
        <v/>
      </c>
      <c r="DB438" s="48" t="str">
        <f t="shared" ca="1" si="769"/>
        <v/>
      </c>
      <c r="DC438" s="48" t="str">
        <f t="shared" ca="1" si="788"/>
        <v/>
      </c>
      <c r="DD438" s="48" t="str">
        <f t="shared" ca="1" si="789"/>
        <v/>
      </c>
      <c r="DE438" s="48" t="str">
        <f t="shared" ca="1" si="790"/>
        <v/>
      </c>
      <c r="DF438" s="48">
        <f ca="1">IF(AND(CX438=$DF$1,CX438&lt;&gt;""),0,IF(AND(DB438&lt;&gt;"",OR(DB437&lt;&gt;"",DB439&lt;&gt;"")),MAX($DF$2:DF437)+1,0))</f>
        <v>0</v>
      </c>
      <c r="ES438" s="48" t="str">
        <f t="shared" si="747"/>
        <v/>
      </c>
      <c r="ET438" s="48" t="str">
        <f ca="1">IFERROR(INDEX($ER$3:$ES$400,MATCH(ROWS($ET$3:ET438),$ER$3:$ER$400,0),2),"")</f>
        <v/>
      </c>
    </row>
    <row r="439" spans="102:150" x14ac:dyDescent="0.3">
      <c r="CX439" s="48">
        <f t="shared" ca="1" si="785"/>
        <v>34</v>
      </c>
      <c r="CY439" s="48" t="str">
        <f t="shared" ca="1" si="784"/>
        <v>MASTRO</v>
      </c>
      <c r="CZ439" s="48" t="e">
        <f t="shared" ca="1" si="787"/>
        <v>#N/A</v>
      </c>
      <c r="DA439" s="48" t="str">
        <f t="shared" ca="1" si="791"/>
        <v/>
      </c>
      <c r="DB439" s="48" t="str">
        <f t="shared" ca="1" si="769"/>
        <v/>
      </c>
      <c r="DC439" s="48" t="str">
        <f t="shared" ca="1" si="788"/>
        <v/>
      </c>
      <c r="DD439" s="48" t="str">
        <f t="shared" ca="1" si="789"/>
        <v/>
      </c>
      <c r="DE439" s="48" t="str">
        <f t="shared" ca="1" si="790"/>
        <v/>
      </c>
      <c r="DF439" s="48">
        <f ca="1">IF(AND(CX439=$DF$1,CX439&lt;&gt;""),0,IF(AND(DB439&lt;&gt;"",OR(DB438&lt;&gt;"",DB440&lt;&gt;"")),MAX($DF$2:DF438)+1,0))</f>
        <v>0</v>
      </c>
      <c r="ES439" s="48" t="str">
        <f t="shared" si="747"/>
        <v/>
      </c>
      <c r="ET439" s="48" t="str">
        <f ca="1">IFERROR(INDEX($ER$3:$ES$400,MATCH(ROWS($ET$3:ET439),$ER$3:$ER$400,0),2),"")</f>
        <v/>
      </c>
    </row>
    <row r="440" spans="102:150" x14ac:dyDescent="0.3">
      <c r="CX440" s="48">
        <f t="shared" ca="1" si="785"/>
        <v>34</v>
      </c>
      <c r="CY440" s="48" t="str">
        <f t="shared" ca="1" si="784"/>
        <v>MASTRO</v>
      </c>
      <c r="CZ440" s="48" t="e">
        <f t="shared" ca="1" si="787"/>
        <v>#N/A</v>
      </c>
      <c r="DA440" s="48" t="str">
        <f t="shared" ca="1" si="791"/>
        <v/>
      </c>
      <c r="DB440" s="48" t="str">
        <f t="shared" ca="1" si="769"/>
        <v/>
      </c>
      <c r="DC440" s="48" t="str">
        <f t="shared" ca="1" si="788"/>
        <v/>
      </c>
      <c r="DD440" s="48" t="str">
        <f t="shared" ca="1" si="789"/>
        <v/>
      </c>
      <c r="DE440" s="48" t="str">
        <f t="shared" ca="1" si="790"/>
        <v/>
      </c>
      <c r="DF440" s="48">
        <f ca="1">IF(AND(CX440=$DF$1,CX440&lt;&gt;""),0,IF(AND(DB440&lt;&gt;"",OR(DB439&lt;&gt;"",DB441&lt;&gt;"")),MAX($DF$2:DF439)+1,0))</f>
        <v>0</v>
      </c>
      <c r="ES440" s="48" t="str">
        <f t="shared" si="747"/>
        <v/>
      </c>
      <c r="ET440" s="48" t="str">
        <f ca="1">IFERROR(INDEX($ER$3:$ES$400,MATCH(ROWS($ET$3:ET440),$ER$3:$ER$400,0),2),"")</f>
        <v/>
      </c>
    </row>
    <row r="441" spans="102:150" x14ac:dyDescent="0.3">
      <c r="CX441" s="48">
        <f t="shared" ca="1" si="785"/>
        <v>34</v>
      </c>
      <c r="CY441" s="48" t="str">
        <f t="shared" ca="1" si="784"/>
        <v>MASTRO</v>
      </c>
      <c r="CZ441" s="48" t="e">
        <f t="shared" ca="1" si="787"/>
        <v>#N/A</v>
      </c>
      <c r="DA441" s="48" t="str">
        <f t="shared" ca="1" si="791"/>
        <v/>
      </c>
      <c r="DB441" s="48" t="str">
        <f t="shared" ca="1" si="769"/>
        <v/>
      </c>
      <c r="DC441" s="48" t="str">
        <f t="shared" ca="1" si="788"/>
        <v/>
      </c>
      <c r="DD441" s="48" t="str">
        <f t="shared" ca="1" si="789"/>
        <v/>
      </c>
      <c r="DE441" s="48" t="str">
        <f t="shared" ca="1" si="790"/>
        <v/>
      </c>
      <c r="DF441" s="48">
        <f ca="1">IF(AND(CX441=$DF$1,CX441&lt;&gt;""),0,IF(AND(DB441&lt;&gt;"",OR(DB440&lt;&gt;"",DB442&lt;&gt;"")),MAX($DF$2:DF440)+1,0))</f>
        <v>0</v>
      </c>
      <c r="ES441" s="48" t="str">
        <f t="shared" si="747"/>
        <v/>
      </c>
      <c r="ET441" s="48" t="str">
        <f ca="1">IFERROR(INDEX($ER$3:$ES$400,MATCH(ROWS($ET$3:ET441),$ER$3:$ER$400,0),2),"")</f>
        <v/>
      </c>
    </row>
    <row r="442" spans="102:150" x14ac:dyDescent="0.3">
      <c r="CX442" s="48">
        <f t="shared" ca="1" si="785"/>
        <v>34</v>
      </c>
      <c r="CY442" s="48" t="str">
        <f t="shared" ca="1" si="784"/>
        <v>MASTRO</v>
      </c>
      <c r="CZ442" s="48" t="e">
        <f t="shared" ca="1" si="787"/>
        <v>#N/A</v>
      </c>
      <c r="DA442" s="48" t="str">
        <f t="shared" ca="1" si="791"/>
        <v/>
      </c>
      <c r="DB442" s="48" t="str">
        <f t="shared" ca="1" si="769"/>
        <v/>
      </c>
      <c r="DC442" s="48" t="str">
        <f t="shared" ca="1" si="788"/>
        <v/>
      </c>
      <c r="DD442" s="48" t="str">
        <f t="shared" ca="1" si="789"/>
        <v/>
      </c>
      <c r="DE442" s="48" t="str">
        <f t="shared" ca="1" si="790"/>
        <v/>
      </c>
      <c r="DF442" s="48">
        <f ca="1">IF(AND(CX442=$DF$1,CX442&lt;&gt;""),0,IF(AND(DB442&lt;&gt;"",OR(DB441&lt;&gt;"",DB443&lt;&gt;"")),MAX($DF$2:DF441)+1,0))</f>
        <v>0</v>
      </c>
      <c r="ES442" s="48" t="str">
        <f t="shared" si="747"/>
        <v/>
      </c>
      <c r="ET442" s="48" t="str">
        <f ca="1">IFERROR(INDEX($ER$3:$ES$400,MATCH(ROWS($ET$3:ET442),$ER$3:$ER$400,0),2),"")</f>
        <v/>
      </c>
    </row>
    <row r="443" spans="102:150" x14ac:dyDescent="0.3">
      <c r="CX443" s="48">
        <f t="shared" ca="1" si="785"/>
        <v>34</v>
      </c>
      <c r="CY443" s="48" t="str">
        <f t="shared" ca="1" si="784"/>
        <v>MASTRO</v>
      </c>
      <c r="CZ443" s="48" t="e">
        <f t="shared" ca="1" si="787"/>
        <v>#N/A</v>
      </c>
      <c r="DA443" s="48" t="str">
        <f t="shared" ca="1" si="791"/>
        <v/>
      </c>
      <c r="DB443" s="48" t="str">
        <f t="shared" ca="1" si="769"/>
        <v/>
      </c>
      <c r="DC443" s="48" t="str">
        <f t="shared" ca="1" si="788"/>
        <v/>
      </c>
      <c r="DD443" s="48" t="str">
        <f t="shared" ca="1" si="789"/>
        <v/>
      </c>
      <c r="DE443" s="48" t="str">
        <f t="shared" ca="1" si="790"/>
        <v/>
      </c>
      <c r="DF443" s="48">
        <f ca="1">IF(AND(CX443=$DF$1,CX443&lt;&gt;""),0,IF(AND(DB443&lt;&gt;"",OR(DB442&lt;&gt;"",DB444&lt;&gt;"")),MAX($DF$2:DF442)+1,0))</f>
        <v>0</v>
      </c>
      <c r="ES443" s="48" t="str">
        <f t="shared" si="747"/>
        <v/>
      </c>
      <c r="ET443" s="48" t="str">
        <f ca="1">IFERROR(INDEX($ER$3:$ES$400,MATCH(ROWS($ET$3:ET443),$ER$3:$ER$400,0),2),"")</f>
        <v/>
      </c>
    </row>
    <row r="444" spans="102:150" x14ac:dyDescent="0.3">
      <c r="CY444" s="48" t="s">
        <v>500</v>
      </c>
      <c r="DB444" s="48" t="str">
        <f t="shared" ref="DB444" ca="1" si="792">IF(CX443=$DF$1,"","MASTRO")</f>
        <v>MASTRO</v>
      </c>
      <c r="DF444" s="48">
        <f ca="1">IF(AND(CX444=$DF$1,CX444&lt;&gt;""),0,IF(AND(DB444&lt;&gt;"",OR(DB443&lt;&gt;"",DB445&lt;&gt;"")),MAX($DF$2:DF443)+1,0))</f>
        <v>0</v>
      </c>
      <c r="ES444" s="48" t="str">
        <f t="shared" si="747"/>
        <v/>
      </c>
      <c r="ET444" s="48" t="str">
        <f ca="1">IFERROR(INDEX($ER$3:$ES$400,MATCH(ROWS($ET$3:ET444),$ER$3:$ER$400,0),2),"")</f>
        <v/>
      </c>
    </row>
    <row r="445" spans="102:150" x14ac:dyDescent="0.3">
      <c r="CX445" s="48">
        <f ca="1">$FF$37</f>
        <v>35</v>
      </c>
      <c r="CY445" s="48" t="str">
        <f t="shared" ref="CY445:CY456" ca="1" si="793">IF(ISERROR(INDEX($CV$3:$CX$1302,MATCH(CX445,$CW$3:$CW$1302,0),1)),"MASTRO",INDEX($CV$3:$CX$1302,MATCH(CX445,$CW$3:$CW$1302,0),1))</f>
        <v>MASTRO</v>
      </c>
      <c r="DA445" s="48" t="str">
        <f>IF(CY444="MASTRO","Conto n.","")</f>
        <v>Conto n.</v>
      </c>
      <c r="DB445" s="48" t="str">
        <f ca="1">IF(CY445=0,"",INDEX(PDC,MATCH(DC445,DEN_PDC,0),1))</f>
        <v/>
      </c>
      <c r="DC445" s="48" t="str">
        <f ca="1">IF(OR(CY445=0,CY445="mastro"),"",CY445)</f>
        <v/>
      </c>
      <c r="DD445" s="48" t="str">
        <f ca="1">IF(AND($DA$2=TRUE,OR(INDEX(PDC,MATCH($DC445,DEN_PDC,0),4)="A",INDEX(PDC,MATCH($DC445,DEN_PDC,0),4)="D/A"),SUMIFS(AVERE,DEN_G,"="&amp;$DC445,DATA,"&lt;="&amp;FINE_AC,DATA,"&gt;="&amp;INIZIO_AC)&gt;SUMIFS(DARE,DEN_G,"="&amp;$DC445,DATA,"&lt;="&amp;FINE_AC,DATA,"&gt;="&amp;INIZIO_AC)),CONCATENATE("s ",FIXED(ABS(SUMIFS(AVERE,DEN_G,"="&amp;$DC445,DATA,"&lt;="&amp;FINE_AC,DATA,"&gt;="&amp;INIZIO_AC)-SUMIFS(DARE,DEN_G,"="&amp;$DC445,DATA,"&lt;="&amp;FINE_AC,DATA,"&gt;="&amp;INIZIO_AC)),2)),"")</f>
        <v/>
      </c>
      <c r="DE445" s="48" t="str">
        <f ca="1">IF(AND($DA$2=TRUE,OR(INDEX(PDC,MATCH($DC445,DEN_PDC,0),4)="D",INDEX(PDC,MATCH($DC445,DEN_PDC,0),4)="D/A"),SUMIFS(DARE,DEN_G,"="&amp;$DC445,DATA,"&lt;="&amp;FINE_AC,DATA,"&gt;="&amp;INIZIO_AC)&gt;SUMIFS(AVERE,DEN_G,"="&amp;$DC445,DATA,"&lt;="&amp;FINE_AC,DATA,"&gt;="&amp;INIZIO_AC)),CONCATENATE("s ",FIXED(ABS(SUMIFS(DARE,DEN_G,"="&amp;$DC445,DATA,"&lt;="&amp;FINE_AC,DATA,"&gt;="&amp;INIZIO_AC)-SUMIFS(AVERE,DEN_G,"="&amp;$DC445,DATA,"&lt;="&amp;FINE_AC,DATA,"&gt;="&amp;INIZIO_AC)),2)),"")</f>
        <v/>
      </c>
      <c r="DF445" s="48">
        <f ca="1">IF(AND(CX445=$DF$1,CX445&lt;&gt;""),0,IF(AND(DB445&lt;&gt;"",OR(DB444&lt;&gt;"",DB446&lt;&gt;"")),MAX($DF$2:DF444)+1,0))</f>
        <v>0</v>
      </c>
      <c r="ES445" s="48" t="str">
        <f t="shared" si="747"/>
        <v/>
      </c>
      <c r="ET445" s="48" t="str">
        <f ca="1">IFERROR(INDEX($ER$3:$ES$400,MATCH(ROWS($ET$3:ET445),$ER$3:$ER$400,0),2),"")</f>
        <v/>
      </c>
    </row>
    <row r="446" spans="102:150" x14ac:dyDescent="0.3">
      <c r="CX446" s="48">
        <f t="shared" ref="CX446:CX456" ca="1" si="794">$FF$37</f>
        <v>35</v>
      </c>
      <c r="CY446" s="48" t="str">
        <f t="shared" ca="1" si="793"/>
        <v>MASTRO</v>
      </c>
      <c r="DA446" s="48" t="str">
        <f ca="1">IF(DB445="","","Num. riga")</f>
        <v/>
      </c>
      <c r="DB446" s="48" t="str">
        <f t="shared" ref="DB446" ca="1" si="795">IF(DB445="","","Data")</f>
        <v/>
      </c>
      <c r="DC446" s="48" t="str">
        <f ca="1">IF(DB445="","","Operazioni")</f>
        <v/>
      </c>
      <c r="DD446" s="48" t="str">
        <f ca="1">IF(DB445="","","Dare        ")</f>
        <v/>
      </c>
      <c r="DE446" s="48" t="str">
        <f ca="1">IF(DB445="","","Avere        ")</f>
        <v/>
      </c>
      <c r="DF446" s="48">
        <f ca="1">IF(AND(CX446=$DF$1,CX446&lt;&gt;""),0,IF(AND(DB446&lt;&gt;"",OR(DB445&lt;&gt;"",DB447&lt;&gt;"")),MAX($DF$2:DF445)+1,0))</f>
        <v>0</v>
      </c>
      <c r="ES446" s="48" t="str">
        <f t="shared" si="747"/>
        <v/>
      </c>
      <c r="ET446" s="48" t="str">
        <f ca="1">IFERROR(INDEX($ER$3:$ES$400,MATCH(ROWS($ET$3:ET446),$ER$3:$ER$400,0),2),"")</f>
        <v/>
      </c>
    </row>
    <row r="447" spans="102:150" x14ac:dyDescent="0.3">
      <c r="CX447" s="48">
        <f t="shared" ca="1" si="794"/>
        <v>35</v>
      </c>
      <c r="CY447" s="48" t="str">
        <f t="shared" ca="1" si="793"/>
        <v>MASTRO</v>
      </c>
      <c r="CZ447" s="48" t="e">
        <f t="shared" ref="CZ447:CZ456" ca="1" si="796">SUM(MATCH($CY447,INDIRECT(ADDRESS(SUM(CZ446)+3,54)&amp;":"&amp;ADDRESS(400,54)),0),CZ446)</f>
        <v>#N/A</v>
      </c>
      <c r="DA447" s="48" t="str">
        <f ca="1">IFERROR(INDEX(LIBRO_GIORNALE,CZ447,1),"")</f>
        <v/>
      </c>
      <c r="DB447" s="48" t="str">
        <f t="shared" ca="1" si="769"/>
        <v/>
      </c>
      <c r="DC447" s="48" t="str">
        <f t="shared" ref="DC447:DC456" ca="1" si="797">IF(IFERROR(INDEX(LIBRO_GIORNALE,CZ447,4),"")=0,"manca la descrizione dell'operazione",IFERROR(INDEX(LIBRO_GIORNALE,CZ447,4),""))</f>
        <v/>
      </c>
      <c r="DD447" s="48" t="str">
        <f t="shared" ref="DD447:DD456" ca="1" si="798">IFERROR(IF(INDEX(LIBRO_GIORNALE,CZ447,5)&gt;0,INDEX(LIBRO_GIORNALE,CZ447,5),""),"")</f>
        <v/>
      </c>
      <c r="DE447" s="48" t="str">
        <f t="shared" ref="DE447:DE456" ca="1" si="799">IFERROR(IF(INDEX(LIBRO_GIORNALE,CZ447,6)&gt;0,INDEX(LIBRO_GIORNALE,CZ447,6),""),"")</f>
        <v/>
      </c>
      <c r="DF447" s="48">
        <f ca="1">IF(AND(CX447=$DF$1,CX447&lt;&gt;""),0,IF(AND(DB447&lt;&gt;"",OR(DB446&lt;&gt;"",DB448&lt;&gt;"")),MAX($DF$2:DF446)+1,0))</f>
        <v>0</v>
      </c>
      <c r="ES447" s="48" t="str">
        <f t="shared" si="747"/>
        <v/>
      </c>
      <c r="ET447" s="48" t="str">
        <f ca="1">IFERROR(INDEX($ER$3:$ES$400,MATCH(ROWS($ET$3:ET447),$ER$3:$ER$400,0),2),"")</f>
        <v/>
      </c>
    </row>
    <row r="448" spans="102:150" x14ac:dyDescent="0.3">
      <c r="CX448" s="48">
        <f t="shared" ca="1" si="794"/>
        <v>35</v>
      </c>
      <c r="CY448" s="48" t="str">
        <f t="shared" ca="1" si="793"/>
        <v>MASTRO</v>
      </c>
      <c r="CZ448" s="48" t="e">
        <f t="shared" ca="1" si="796"/>
        <v>#N/A</v>
      </c>
      <c r="DA448" s="48" t="str">
        <f t="shared" ref="DA448:DA456" ca="1" si="800">IFERROR(INDEX(LIBRO_GIORNALE,CZ448,1),"")</f>
        <v/>
      </c>
      <c r="DB448" s="48" t="str">
        <f t="shared" ca="1" si="769"/>
        <v/>
      </c>
      <c r="DC448" s="48" t="str">
        <f t="shared" ca="1" si="797"/>
        <v/>
      </c>
      <c r="DD448" s="48" t="str">
        <f t="shared" ca="1" si="798"/>
        <v/>
      </c>
      <c r="DE448" s="48" t="str">
        <f t="shared" ca="1" si="799"/>
        <v/>
      </c>
      <c r="DF448" s="48">
        <f ca="1">IF(AND(CX448=$DF$1,CX448&lt;&gt;""),0,IF(AND(DB448&lt;&gt;"",OR(DB447&lt;&gt;"",DB449&lt;&gt;"")),MAX($DF$2:DF447)+1,0))</f>
        <v>0</v>
      </c>
      <c r="ES448" s="48" t="str">
        <f t="shared" si="747"/>
        <v/>
      </c>
      <c r="ET448" s="48" t="str">
        <f ca="1">IFERROR(INDEX($ER$3:$ES$400,MATCH(ROWS($ET$3:ET448),$ER$3:$ER$400,0),2),"")</f>
        <v/>
      </c>
    </row>
    <row r="449" spans="102:150" x14ac:dyDescent="0.3">
      <c r="CX449" s="48">
        <f t="shared" ca="1" si="794"/>
        <v>35</v>
      </c>
      <c r="CY449" s="48" t="str">
        <f t="shared" ca="1" si="793"/>
        <v>MASTRO</v>
      </c>
      <c r="CZ449" s="48" t="e">
        <f t="shared" ca="1" si="796"/>
        <v>#N/A</v>
      </c>
      <c r="DA449" s="48" t="str">
        <f t="shared" ca="1" si="800"/>
        <v/>
      </c>
      <c r="DB449" s="48" t="str">
        <f t="shared" ca="1" si="769"/>
        <v/>
      </c>
      <c r="DC449" s="48" t="str">
        <f t="shared" ca="1" si="797"/>
        <v/>
      </c>
      <c r="DD449" s="48" t="str">
        <f t="shared" ca="1" si="798"/>
        <v/>
      </c>
      <c r="DE449" s="48" t="str">
        <f t="shared" ca="1" si="799"/>
        <v/>
      </c>
      <c r="DF449" s="48">
        <f ca="1">IF(AND(CX449=$DF$1,CX449&lt;&gt;""),0,IF(AND(DB449&lt;&gt;"",OR(DB448&lt;&gt;"",DB450&lt;&gt;"")),MAX($DF$2:DF448)+1,0))</f>
        <v>0</v>
      </c>
      <c r="ES449" s="48" t="str">
        <f t="shared" si="747"/>
        <v/>
      </c>
      <c r="ET449" s="48" t="str">
        <f ca="1">IFERROR(INDEX($ER$3:$ES$400,MATCH(ROWS($ET$3:ET449),$ER$3:$ER$400,0),2),"")</f>
        <v/>
      </c>
    </row>
    <row r="450" spans="102:150" x14ac:dyDescent="0.3">
      <c r="CX450" s="48">
        <f t="shared" ca="1" si="794"/>
        <v>35</v>
      </c>
      <c r="CY450" s="48" t="str">
        <f t="shared" ca="1" si="793"/>
        <v>MASTRO</v>
      </c>
      <c r="CZ450" s="48" t="e">
        <f t="shared" ca="1" si="796"/>
        <v>#N/A</v>
      </c>
      <c r="DA450" s="48" t="str">
        <f t="shared" ca="1" si="800"/>
        <v/>
      </c>
      <c r="DB450" s="48" t="str">
        <f t="shared" ca="1" si="769"/>
        <v/>
      </c>
      <c r="DC450" s="48" t="str">
        <f t="shared" ca="1" si="797"/>
        <v/>
      </c>
      <c r="DD450" s="48" t="str">
        <f t="shared" ca="1" si="798"/>
        <v/>
      </c>
      <c r="DE450" s="48" t="str">
        <f t="shared" ca="1" si="799"/>
        <v/>
      </c>
      <c r="DF450" s="48">
        <f ca="1">IF(AND(CX450=$DF$1,CX450&lt;&gt;""),0,IF(AND(DB450&lt;&gt;"",OR(DB449&lt;&gt;"",DB451&lt;&gt;"")),MAX($DF$2:DF449)+1,0))</f>
        <v>0</v>
      </c>
      <c r="ES450" s="48" t="str">
        <f t="shared" si="747"/>
        <v/>
      </c>
      <c r="ET450" s="48" t="str">
        <f ca="1">IFERROR(INDEX($ER$3:$ES$400,MATCH(ROWS($ET$3:ET450),$ER$3:$ER$400,0),2),"")</f>
        <v/>
      </c>
    </row>
    <row r="451" spans="102:150" x14ac:dyDescent="0.3">
      <c r="CX451" s="48">
        <f t="shared" ca="1" si="794"/>
        <v>35</v>
      </c>
      <c r="CY451" s="48" t="str">
        <f t="shared" ca="1" si="793"/>
        <v>MASTRO</v>
      </c>
      <c r="CZ451" s="48" t="e">
        <f t="shared" ca="1" si="796"/>
        <v>#N/A</v>
      </c>
      <c r="DA451" s="48" t="str">
        <f t="shared" ca="1" si="800"/>
        <v/>
      </c>
      <c r="DB451" s="48" t="str">
        <f t="shared" ca="1" si="769"/>
        <v/>
      </c>
      <c r="DC451" s="48" t="str">
        <f t="shared" ca="1" si="797"/>
        <v/>
      </c>
      <c r="DD451" s="48" t="str">
        <f t="shared" ca="1" si="798"/>
        <v/>
      </c>
      <c r="DE451" s="48" t="str">
        <f t="shared" ca="1" si="799"/>
        <v/>
      </c>
      <c r="DF451" s="48">
        <f ca="1">IF(AND(CX451=$DF$1,CX451&lt;&gt;""),0,IF(AND(DB451&lt;&gt;"",OR(DB450&lt;&gt;"",DB452&lt;&gt;"")),MAX($DF$2:DF450)+1,0))</f>
        <v>0</v>
      </c>
      <c r="ES451" s="48" t="str">
        <f t="shared" si="747"/>
        <v/>
      </c>
      <c r="ET451" s="48" t="str">
        <f ca="1">IFERROR(INDEX($ER$3:$ES$400,MATCH(ROWS($ET$3:ET451),$ER$3:$ER$400,0),2),"")</f>
        <v/>
      </c>
    </row>
    <row r="452" spans="102:150" x14ac:dyDescent="0.3">
      <c r="CX452" s="48">
        <f t="shared" ca="1" si="794"/>
        <v>35</v>
      </c>
      <c r="CY452" s="48" t="str">
        <f t="shared" ca="1" si="793"/>
        <v>MASTRO</v>
      </c>
      <c r="CZ452" s="48" t="e">
        <f t="shared" ca="1" si="796"/>
        <v>#N/A</v>
      </c>
      <c r="DA452" s="48" t="str">
        <f t="shared" ca="1" si="800"/>
        <v/>
      </c>
      <c r="DB452" s="48" t="str">
        <f t="shared" ca="1" si="769"/>
        <v/>
      </c>
      <c r="DC452" s="48" t="str">
        <f t="shared" ca="1" si="797"/>
        <v/>
      </c>
      <c r="DD452" s="48" t="str">
        <f t="shared" ca="1" si="798"/>
        <v/>
      </c>
      <c r="DE452" s="48" t="str">
        <f t="shared" ca="1" si="799"/>
        <v/>
      </c>
      <c r="DF452" s="48">
        <f ca="1">IF(AND(CX452=$DF$1,CX452&lt;&gt;""),0,IF(AND(DB452&lt;&gt;"",OR(DB451&lt;&gt;"",DB453&lt;&gt;"")),MAX($DF$2:DF451)+1,0))</f>
        <v>0</v>
      </c>
      <c r="ES452" s="48" t="str">
        <f t="shared" ref="ES452:ES499" si="801">IF(ER452&lt;&gt;0,AM452,"")</f>
        <v/>
      </c>
      <c r="ET452" s="48" t="str">
        <f ca="1">IFERROR(INDEX($ER$3:$ES$400,MATCH(ROWS($ET$3:ET452),$ER$3:$ER$400,0),2),"")</f>
        <v/>
      </c>
    </row>
    <row r="453" spans="102:150" x14ac:dyDescent="0.3">
      <c r="CX453" s="48">
        <f t="shared" ca="1" si="794"/>
        <v>35</v>
      </c>
      <c r="CY453" s="48" t="str">
        <f t="shared" ca="1" si="793"/>
        <v>MASTRO</v>
      </c>
      <c r="CZ453" s="48" t="e">
        <f t="shared" ca="1" si="796"/>
        <v>#N/A</v>
      </c>
      <c r="DA453" s="48" t="str">
        <f t="shared" ca="1" si="800"/>
        <v/>
      </c>
      <c r="DB453" s="48" t="str">
        <f t="shared" ca="1" si="769"/>
        <v/>
      </c>
      <c r="DC453" s="48" t="str">
        <f t="shared" ca="1" si="797"/>
        <v/>
      </c>
      <c r="DD453" s="48" t="str">
        <f t="shared" ca="1" si="798"/>
        <v/>
      </c>
      <c r="DE453" s="48" t="str">
        <f t="shared" ca="1" si="799"/>
        <v/>
      </c>
      <c r="DF453" s="48">
        <f ca="1">IF(AND(CX453=$DF$1,CX453&lt;&gt;""),0,IF(AND(DB453&lt;&gt;"",OR(DB452&lt;&gt;"",DB454&lt;&gt;"")),MAX($DF$2:DF452)+1,0))</f>
        <v>0</v>
      </c>
      <c r="ES453" s="48" t="str">
        <f t="shared" si="801"/>
        <v/>
      </c>
      <c r="ET453" s="48" t="str">
        <f ca="1">IFERROR(INDEX($ER$3:$ES$400,MATCH(ROWS($ET$3:ET453),$ER$3:$ER$400,0),2),"")</f>
        <v/>
      </c>
    </row>
    <row r="454" spans="102:150" x14ac:dyDescent="0.3">
      <c r="CX454" s="48">
        <f t="shared" ca="1" si="794"/>
        <v>35</v>
      </c>
      <c r="CY454" s="48" t="str">
        <f t="shared" ca="1" si="793"/>
        <v>MASTRO</v>
      </c>
      <c r="CZ454" s="48" t="e">
        <f t="shared" ca="1" si="796"/>
        <v>#N/A</v>
      </c>
      <c r="DA454" s="48" t="str">
        <f t="shared" ca="1" si="800"/>
        <v/>
      </c>
      <c r="DB454" s="48" t="str">
        <f t="shared" ca="1" si="769"/>
        <v/>
      </c>
      <c r="DC454" s="48" t="str">
        <f t="shared" ca="1" si="797"/>
        <v/>
      </c>
      <c r="DD454" s="48" t="str">
        <f t="shared" ca="1" si="798"/>
        <v/>
      </c>
      <c r="DE454" s="48" t="str">
        <f t="shared" ca="1" si="799"/>
        <v/>
      </c>
      <c r="DF454" s="48">
        <f ca="1">IF(AND(CX454=$DF$1,CX454&lt;&gt;""),0,IF(AND(DB454&lt;&gt;"",OR(DB453&lt;&gt;"",DB455&lt;&gt;"")),MAX($DF$2:DF453)+1,0))</f>
        <v>0</v>
      </c>
      <c r="ES454" s="48" t="str">
        <f t="shared" si="801"/>
        <v/>
      </c>
      <c r="ET454" s="48" t="str">
        <f ca="1">IFERROR(INDEX($ER$3:$ES$400,MATCH(ROWS($ET$3:ET454),$ER$3:$ER$400,0),2),"")</f>
        <v/>
      </c>
    </row>
    <row r="455" spans="102:150" x14ac:dyDescent="0.3">
      <c r="CX455" s="48">
        <f t="shared" ca="1" si="794"/>
        <v>35</v>
      </c>
      <c r="CY455" s="48" t="str">
        <f t="shared" ca="1" si="793"/>
        <v>MASTRO</v>
      </c>
      <c r="CZ455" s="48" t="e">
        <f t="shared" ca="1" si="796"/>
        <v>#N/A</v>
      </c>
      <c r="DA455" s="48" t="str">
        <f t="shared" ca="1" si="800"/>
        <v/>
      </c>
      <c r="DB455" s="48" t="str">
        <f t="shared" ca="1" si="769"/>
        <v/>
      </c>
      <c r="DC455" s="48" t="str">
        <f t="shared" ca="1" si="797"/>
        <v/>
      </c>
      <c r="DD455" s="48" t="str">
        <f t="shared" ca="1" si="798"/>
        <v/>
      </c>
      <c r="DE455" s="48" t="str">
        <f t="shared" ca="1" si="799"/>
        <v/>
      </c>
      <c r="DF455" s="48">
        <f ca="1">IF(AND(CX455=$DF$1,CX455&lt;&gt;""),0,IF(AND(DB455&lt;&gt;"",OR(DB454&lt;&gt;"",DB456&lt;&gt;"")),MAX($DF$2:DF454)+1,0))</f>
        <v>0</v>
      </c>
      <c r="ES455" s="48" t="str">
        <f t="shared" si="801"/>
        <v/>
      </c>
      <c r="ET455" s="48" t="str">
        <f ca="1">IFERROR(INDEX($ER$3:$ES$400,MATCH(ROWS($ET$3:ET455),$ER$3:$ER$400,0),2),"")</f>
        <v/>
      </c>
    </row>
    <row r="456" spans="102:150" x14ac:dyDescent="0.3">
      <c r="CX456" s="48">
        <f t="shared" ca="1" si="794"/>
        <v>35</v>
      </c>
      <c r="CY456" s="48" t="str">
        <f t="shared" ca="1" si="793"/>
        <v>MASTRO</v>
      </c>
      <c r="CZ456" s="48" t="e">
        <f t="shared" ca="1" si="796"/>
        <v>#N/A</v>
      </c>
      <c r="DA456" s="48" t="str">
        <f t="shared" ca="1" si="800"/>
        <v/>
      </c>
      <c r="DB456" s="48" t="str">
        <f t="shared" ca="1" si="769"/>
        <v/>
      </c>
      <c r="DC456" s="48" t="str">
        <f t="shared" ca="1" si="797"/>
        <v/>
      </c>
      <c r="DD456" s="48" t="str">
        <f t="shared" ca="1" si="798"/>
        <v/>
      </c>
      <c r="DE456" s="48" t="str">
        <f t="shared" ca="1" si="799"/>
        <v/>
      </c>
      <c r="DF456" s="48">
        <f ca="1">IF(AND(CX456=$DF$1,CX456&lt;&gt;""),0,IF(AND(DB456&lt;&gt;"",OR(DB455&lt;&gt;"",DB457&lt;&gt;"")),MAX($DF$2:DF455)+1,0))</f>
        <v>0</v>
      </c>
      <c r="ES456" s="48" t="str">
        <f t="shared" si="801"/>
        <v/>
      </c>
      <c r="ET456" s="48" t="str">
        <f ca="1">IFERROR(INDEX($ER$3:$ES$400,MATCH(ROWS($ET$3:ET456),$ER$3:$ER$400,0),2),"")</f>
        <v/>
      </c>
    </row>
    <row r="457" spans="102:150" x14ac:dyDescent="0.3">
      <c r="CY457" s="48" t="s">
        <v>500</v>
      </c>
      <c r="DB457" s="48" t="str">
        <f t="shared" ref="DB457" ca="1" si="802">IF(CX456=$DF$1,"","MASTRO")</f>
        <v>MASTRO</v>
      </c>
      <c r="DF457" s="48">
        <f ca="1">IF(AND(CX457=$DF$1,CX457&lt;&gt;""),0,IF(AND(DB457&lt;&gt;"",OR(DB456&lt;&gt;"",DB458&lt;&gt;"")),MAX($DF$2:DF456)+1,0))</f>
        <v>0</v>
      </c>
      <c r="ES457" s="48" t="str">
        <f t="shared" si="801"/>
        <v/>
      </c>
      <c r="ET457" s="48" t="str">
        <f ca="1">IFERROR(INDEX($ER$3:$ES$400,MATCH(ROWS($ET$3:ET457),$ER$3:$ER$400,0),2),"")</f>
        <v/>
      </c>
    </row>
    <row r="458" spans="102:150" x14ac:dyDescent="0.3">
      <c r="CX458" s="48">
        <f ca="1">$FF$38</f>
        <v>36</v>
      </c>
      <c r="CY458" s="48" t="str">
        <f t="shared" ref="CY458:CY469" ca="1" si="803">IF(ISERROR(INDEX($CV$3:$CX$1302,MATCH(CX458,$CW$3:$CW$1302,0),1)),"MASTRO",INDEX($CV$3:$CX$1302,MATCH(CX458,$CW$3:$CW$1302,0),1))</f>
        <v>MASTRO</v>
      </c>
      <c r="DA458" s="48" t="str">
        <f>IF(CY457="MASTRO","Conto n.","")</f>
        <v>Conto n.</v>
      </c>
      <c r="DB458" s="48" t="str">
        <f ca="1">IF(CY458=0,"",INDEX(PDC,MATCH(DC458,DEN_PDC,0),1))</f>
        <v/>
      </c>
      <c r="DC458" s="48" t="str">
        <f ca="1">IF(OR(CY458=0,CY458="mastro"),"",CY458)</f>
        <v/>
      </c>
      <c r="DD458" s="48" t="str">
        <f ca="1">IF(AND($DA$2=TRUE,OR(INDEX(PDC,MATCH($DC458,DEN_PDC,0),4)="A",INDEX(PDC,MATCH($DC458,DEN_PDC,0),4)="D/A"),SUMIFS(AVERE,DEN_G,"="&amp;$DC458,DATA,"&lt;="&amp;FINE_AC,DATA,"&gt;="&amp;INIZIO_AC)&gt;SUMIFS(DARE,DEN_G,"="&amp;$DC458,DATA,"&lt;="&amp;FINE_AC,DATA,"&gt;="&amp;INIZIO_AC)),CONCATENATE("s ",FIXED(ABS(SUMIFS(AVERE,DEN_G,"="&amp;$DC458,DATA,"&lt;="&amp;FINE_AC,DATA,"&gt;="&amp;INIZIO_AC)-SUMIFS(DARE,DEN_G,"="&amp;$DC458,DATA,"&lt;="&amp;FINE_AC,DATA,"&gt;="&amp;INIZIO_AC)),2)),"")</f>
        <v/>
      </c>
      <c r="DE458" s="48" t="str">
        <f ca="1">IF(AND($DA$2=TRUE,OR(INDEX(PDC,MATCH($DC458,DEN_PDC,0),4)="D",INDEX(PDC,MATCH($DC458,DEN_PDC,0),4)="D/A"),SUMIFS(DARE,DEN_G,"="&amp;$DC458,DATA,"&lt;="&amp;FINE_AC,DATA,"&gt;="&amp;INIZIO_AC)&gt;SUMIFS(AVERE,DEN_G,"="&amp;$DC458,DATA,"&lt;="&amp;FINE_AC,DATA,"&gt;="&amp;INIZIO_AC)),CONCATENATE("s ",FIXED(ABS(SUMIFS(DARE,DEN_G,"="&amp;$DC458,DATA,"&lt;="&amp;FINE_AC,DATA,"&gt;="&amp;INIZIO_AC)-SUMIFS(AVERE,DEN_G,"="&amp;$DC458,DATA,"&lt;="&amp;FINE_AC,DATA,"&gt;="&amp;INIZIO_AC)),2)),"")</f>
        <v/>
      </c>
      <c r="DF458" s="48">
        <f ca="1">IF(AND(CX458=$DF$1,CX458&lt;&gt;""),0,IF(AND(DB458&lt;&gt;"",OR(DB457&lt;&gt;"",DB459&lt;&gt;"")),MAX($DF$2:DF457)+1,0))</f>
        <v>0</v>
      </c>
      <c r="ES458" s="48" t="str">
        <f t="shared" si="801"/>
        <v/>
      </c>
      <c r="ET458" s="48" t="str">
        <f ca="1">IFERROR(INDEX($ER$3:$ES$400,MATCH(ROWS($ET$3:ET458),$ER$3:$ER$400,0),2),"")</f>
        <v/>
      </c>
    </row>
    <row r="459" spans="102:150" x14ac:dyDescent="0.3">
      <c r="CX459" s="48">
        <f t="shared" ref="CX459:CX469" ca="1" si="804">$FF$38</f>
        <v>36</v>
      </c>
      <c r="CY459" s="48" t="str">
        <f t="shared" ca="1" si="803"/>
        <v>MASTRO</v>
      </c>
      <c r="DA459" s="48" t="str">
        <f ca="1">IF(DB458="","","Num. riga")</f>
        <v/>
      </c>
      <c r="DB459" s="48" t="str">
        <f t="shared" ref="DB459" ca="1" si="805">IF(DB458="","","Data")</f>
        <v/>
      </c>
      <c r="DC459" s="48" t="str">
        <f ca="1">IF(DB458="","","Operazioni")</f>
        <v/>
      </c>
      <c r="DD459" s="48" t="str">
        <f ca="1">IF(DB458="","","Dare        ")</f>
        <v/>
      </c>
      <c r="DE459" s="48" t="str">
        <f ca="1">IF(DB458="","","Avere        ")</f>
        <v/>
      </c>
      <c r="DF459" s="48">
        <f ca="1">IF(AND(CX459=$DF$1,CX459&lt;&gt;""),0,IF(AND(DB459&lt;&gt;"",OR(DB458&lt;&gt;"",DB460&lt;&gt;"")),MAX($DF$2:DF458)+1,0))</f>
        <v>0</v>
      </c>
      <c r="ES459" s="48" t="str">
        <f t="shared" si="801"/>
        <v/>
      </c>
      <c r="ET459" s="48" t="str">
        <f ca="1">IFERROR(INDEX($ER$3:$ES$400,MATCH(ROWS($ET$3:ET459),$ER$3:$ER$400,0),2),"")</f>
        <v/>
      </c>
    </row>
    <row r="460" spans="102:150" x14ac:dyDescent="0.3">
      <c r="CX460" s="48">
        <f t="shared" ca="1" si="804"/>
        <v>36</v>
      </c>
      <c r="CY460" s="48" t="str">
        <f t="shared" ca="1" si="803"/>
        <v>MASTRO</v>
      </c>
      <c r="CZ460" s="48" t="e">
        <f t="shared" ref="CZ460:CZ469" ca="1" si="806">SUM(MATCH($CY460,INDIRECT(ADDRESS(SUM(CZ459)+3,54)&amp;":"&amp;ADDRESS(400,54)),0),CZ459)</f>
        <v>#N/A</v>
      </c>
      <c r="DA460" s="48" t="str">
        <f ca="1">IFERROR(INDEX(LIBRO_GIORNALE,CZ460,1),"")</f>
        <v/>
      </c>
      <c r="DB460" s="48" t="str">
        <f t="shared" ca="1" si="769"/>
        <v/>
      </c>
      <c r="DC460" s="48" t="str">
        <f t="shared" ref="DC460:DC469" ca="1" si="807">IF(IFERROR(INDEX(LIBRO_GIORNALE,CZ460,4),"")=0,"manca la descrizione dell'operazione",IFERROR(INDEX(LIBRO_GIORNALE,CZ460,4),""))</f>
        <v/>
      </c>
      <c r="DD460" s="48" t="str">
        <f t="shared" ref="DD460:DD469" ca="1" si="808">IFERROR(IF(INDEX(LIBRO_GIORNALE,CZ460,5)&gt;0,INDEX(LIBRO_GIORNALE,CZ460,5),""),"")</f>
        <v/>
      </c>
      <c r="DE460" s="48" t="str">
        <f t="shared" ref="DE460:DE469" ca="1" si="809">IFERROR(IF(INDEX(LIBRO_GIORNALE,CZ460,6)&gt;0,INDEX(LIBRO_GIORNALE,CZ460,6),""),"")</f>
        <v/>
      </c>
      <c r="DF460" s="48">
        <f ca="1">IF(AND(CX460=$DF$1,CX460&lt;&gt;""),0,IF(AND(DB460&lt;&gt;"",OR(DB459&lt;&gt;"",DB461&lt;&gt;"")),MAX($DF$2:DF459)+1,0))</f>
        <v>0</v>
      </c>
      <c r="ES460" s="48" t="str">
        <f t="shared" si="801"/>
        <v/>
      </c>
      <c r="ET460" s="48" t="str">
        <f ca="1">IFERROR(INDEX($ER$3:$ES$400,MATCH(ROWS($ET$3:ET460),$ER$3:$ER$400,0),2),"")</f>
        <v/>
      </c>
    </row>
    <row r="461" spans="102:150" x14ac:dyDescent="0.3">
      <c r="CX461" s="48">
        <f t="shared" ca="1" si="804"/>
        <v>36</v>
      </c>
      <c r="CY461" s="48" t="str">
        <f t="shared" ca="1" si="803"/>
        <v>MASTRO</v>
      </c>
      <c r="CZ461" s="48" t="e">
        <f t="shared" ca="1" si="806"/>
        <v>#N/A</v>
      </c>
      <c r="DA461" s="48" t="str">
        <f t="shared" ref="DA461:DA469" ca="1" si="810">IFERROR(INDEX(LIBRO_GIORNALE,CZ461,1),"")</f>
        <v/>
      </c>
      <c r="DB461" s="48" t="str">
        <f t="shared" ca="1" si="769"/>
        <v/>
      </c>
      <c r="DC461" s="48" t="str">
        <f t="shared" ca="1" si="807"/>
        <v/>
      </c>
      <c r="DD461" s="48" t="str">
        <f t="shared" ca="1" si="808"/>
        <v/>
      </c>
      <c r="DE461" s="48" t="str">
        <f t="shared" ca="1" si="809"/>
        <v/>
      </c>
      <c r="DF461" s="48">
        <f ca="1">IF(AND(CX461=$DF$1,CX461&lt;&gt;""),0,IF(AND(DB461&lt;&gt;"",OR(DB460&lt;&gt;"",DB462&lt;&gt;"")),MAX($DF$2:DF460)+1,0))</f>
        <v>0</v>
      </c>
      <c r="ES461" s="48" t="str">
        <f t="shared" si="801"/>
        <v/>
      </c>
      <c r="ET461" s="48" t="str">
        <f ca="1">IFERROR(INDEX($ER$3:$ES$400,MATCH(ROWS($ET$3:ET461),$ER$3:$ER$400,0),2),"")</f>
        <v/>
      </c>
    </row>
    <row r="462" spans="102:150" x14ac:dyDescent="0.3">
      <c r="CX462" s="48">
        <f t="shared" ca="1" si="804"/>
        <v>36</v>
      </c>
      <c r="CY462" s="48" t="str">
        <f t="shared" ca="1" si="803"/>
        <v>MASTRO</v>
      </c>
      <c r="CZ462" s="48" t="e">
        <f t="shared" ca="1" si="806"/>
        <v>#N/A</v>
      </c>
      <c r="DA462" s="48" t="str">
        <f t="shared" ca="1" si="810"/>
        <v/>
      </c>
      <c r="DB462" s="48" t="str">
        <f t="shared" ca="1" si="769"/>
        <v/>
      </c>
      <c r="DC462" s="48" t="str">
        <f t="shared" ca="1" si="807"/>
        <v/>
      </c>
      <c r="DD462" s="48" t="str">
        <f t="shared" ca="1" si="808"/>
        <v/>
      </c>
      <c r="DE462" s="48" t="str">
        <f t="shared" ca="1" si="809"/>
        <v/>
      </c>
      <c r="DF462" s="48">
        <f ca="1">IF(AND(CX462=$DF$1,CX462&lt;&gt;""),0,IF(AND(DB462&lt;&gt;"",OR(DB461&lt;&gt;"",DB463&lt;&gt;"")),MAX($DF$2:DF461)+1,0))</f>
        <v>0</v>
      </c>
      <c r="ES462" s="48" t="str">
        <f t="shared" si="801"/>
        <v/>
      </c>
      <c r="ET462" s="48" t="str">
        <f ca="1">IFERROR(INDEX($ER$3:$ES$400,MATCH(ROWS($ET$3:ET462),$ER$3:$ER$400,0),2),"")</f>
        <v/>
      </c>
    </row>
    <row r="463" spans="102:150" x14ac:dyDescent="0.3">
      <c r="CX463" s="48">
        <f t="shared" ca="1" si="804"/>
        <v>36</v>
      </c>
      <c r="CY463" s="48" t="str">
        <f t="shared" ca="1" si="803"/>
        <v>MASTRO</v>
      </c>
      <c r="CZ463" s="48" t="e">
        <f t="shared" ca="1" si="806"/>
        <v>#N/A</v>
      </c>
      <c r="DA463" s="48" t="str">
        <f t="shared" ca="1" si="810"/>
        <v/>
      </c>
      <c r="DB463" s="48" t="str">
        <f t="shared" ca="1" si="769"/>
        <v/>
      </c>
      <c r="DC463" s="48" t="str">
        <f t="shared" ca="1" si="807"/>
        <v/>
      </c>
      <c r="DD463" s="48" t="str">
        <f t="shared" ca="1" si="808"/>
        <v/>
      </c>
      <c r="DE463" s="48" t="str">
        <f t="shared" ca="1" si="809"/>
        <v/>
      </c>
      <c r="DF463" s="48">
        <f ca="1">IF(AND(CX463=$DF$1,CX463&lt;&gt;""),0,IF(AND(DB463&lt;&gt;"",OR(DB462&lt;&gt;"",DB464&lt;&gt;"")),MAX($DF$2:DF462)+1,0))</f>
        <v>0</v>
      </c>
      <c r="ES463" s="48" t="str">
        <f t="shared" si="801"/>
        <v/>
      </c>
      <c r="ET463" s="48" t="str">
        <f ca="1">IFERROR(INDEX($ER$3:$ES$400,MATCH(ROWS($ET$3:ET463),$ER$3:$ER$400,0),2),"")</f>
        <v/>
      </c>
    </row>
    <row r="464" spans="102:150" x14ac:dyDescent="0.3">
      <c r="CX464" s="48">
        <f t="shared" ca="1" si="804"/>
        <v>36</v>
      </c>
      <c r="CY464" s="48" t="str">
        <f t="shared" ca="1" si="803"/>
        <v>MASTRO</v>
      </c>
      <c r="CZ464" s="48" t="e">
        <f t="shared" ca="1" si="806"/>
        <v>#N/A</v>
      </c>
      <c r="DA464" s="48" t="str">
        <f t="shared" ca="1" si="810"/>
        <v/>
      </c>
      <c r="DB464" s="48" t="str">
        <f t="shared" ca="1" si="769"/>
        <v/>
      </c>
      <c r="DC464" s="48" t="str">
        <f t="shared" ca="1" si="807"/>
        <v/>
      </c>
      <c r="DD464" s="48" t="str">
        <f t="shared" ca="1" si="808"/>
        <v/>
      </c>
      <c r="DE464" s="48" t="str">
        <f t="shared" ca="1" si="809"/>
        <v/>
      </c>
      <c r="DF464" s="48">
        <f ca="1">IF(AND(CX464=$DF$1,CX464&lt;&gt;""),0,IF(AND(DB464&lt;&gt;"",OR(DB463&lt;&gt;"",DB465&lt;&gt;"")),MAX($DF$2:DF463)+1,0))</f>
        <v>0</v>
      </c>
      <c r="ES464" s="48" t="str">
        <f t="shared" si="801"/>
        <v/>
      </c>
      <c r="ET464" s="48" t="str">
        <f ca="1">IFERROR(INDEX($ER$3:$ES$400,MATCH(ROWS($ET$3:ET464),$ER$3:$ER$400,0),2),"")</f>
        <v/>
      </c>
    </row>
    <row r="465" spans="102:150" x14ac:dyDescent="0.3">
      <c r="CX465" s="48">
        <f t="shared" ca="1" si="804"/>
        <v>36</v>
      </c>
      <c r="CY465" s="48" t="str">
        <f t="shared" ca="1" si="803"/>
        <v>MASTRO</v>
      </c>
      <c r="CZ465" s="48" t="e">
        <f t="shared" ca="1" si="806"/>
        <v>#N/A</v>
      </c>
      <c r="DA465" s="48" t="str">
        <f t="shared" ca="1" si="810"/>
        <v/>
      </c>
      <c r="DB465" s="48" t="str">
        <f t="shared" ca="1" si="769"/>
        <v/>
      </c>
      <c r="DC465" s="48" t="str">
        <f t="shared" ca="1" si="807"/>
        <v/>
      </c>
      <c r="DD465" s="48" t="str">
        <f t="shared" ca="1" si="808"/>
        <v/>
      </c>
      <c r="DE465" s="48" t="str">
        <f t="shared" ca="1" si="809"/>
        <v/>
      </c>
      <c r="DF465" s="48">
        <f ca="1">IF(AND(CX465=$DF$1,CX465&lt;&gt;""),0,IF(AND(DB465&lt;&gt;"",OR(DB464&lt;&gt;"",DB466&lt;&gt;"")),MAX($DF$2:DF464)+1,0))</f>
        <v>0</v>
      </c>
      <c r="ES465" s="48" t="str">
        <f t="shared" si="801"/>
        <v/>
      </c>
      <c r="ET465" s="48" t="str">
        <f ca="1">IFERROR(INDEX($ER$3:$ES$400,MATCH(ROWS($ET$3:ET465),$ER$3:$ER$400,0),2),"")</f>
        <v/>
      </c>
    </row>
    <row r="466" spans="102:150" x14ac:dyDescent="0.3">
      <c r="CX466" s="48">
        <f t="shared" ca="1" si="804"/>
        <v>36</v>
      </c>
      <c r="CY466" s="48" t="str">
        <f t="shared" ca="1" si="803"/>
        <v>MASTRO</v>
      </c>
      <c r="CZ466" s="48" t="e">
        <f t="shared" ca="1" si="806"/>
        <v>#N/A</v>
      </c>
      <c r="DA466" s="48" t="str">
        <f t="shared" ca="1" si="810"/>
        <v/>
      </c>
      <c r="DB466" s="48" t="str">
        <f t="shared" ca="1" si="769"/>
        <v/>
      </c>
      <c r="DC466" s="48" t="str">
        <f t="shared" ca="1" si="807"/>
        <v/>
      </c>
      <c r="DD466" s="48" t="str">
        <f t="shared" ca="1" si="808"/>
        <v/>
      </c>
      <c r="DE466" s="48" t="str">
        <f t="shared" ca="1" si="809"/>
        <v/>
      </c>
      <c r="DF466" s="48">
        <f ca="1">IF(AND(CX466=$DF$1,CX466&lt;&gt;""),0,IF(AND(DB466&lt;&gt;"",OR(DB465&lt;&gt;"",DB467&lt;&gt;"")),MAX($DF$2:DF465)+1,0))</f>
        <v>0</v>
      </c>
      <c r="ES466" s="48" t="str">
        <f t="shared" si="801"/>
        <v/>
      </c>
      <c r="ET466" s="48" t="str">
        <f ca="1">IFERROR(INDEX($ER$3:$ES$400,MATCH(ROWS($ET$3:ET466),$ER$3:$ER$400,0),2),"")</f>
        <v/>
      </c>
    </row>
    <row r="467" spans="102:150" x14ac:dyDescent="0.3">
      <c r="CX467" s="48">
        <f t="shared" ca="1" si="804"/>
        <v>36</v>
      </c>
      <c r="CY467" s="48" t="str">
        <f t="shared" ca="1" si="803"/>
        <v>MASTRO</v>
      </c>
      <c r="CZ467" s="48" t="e">
        <f t="shared" ca="1" si="806"/>
        <v>#N/A</v>
      </c>
      <c r="DA467" s="48" t="str">
        <f t="shared" ca="1" si="810"/>
        <v/>
      </c>
      <c r="DB467" s="48" t="str">
        <f t="shared" ca="1" si="769"/>
        <v/>
      </c>
      <c r="DC467" s="48" t="str">
        <f t="shared" ca="1" si="807"/>
        <v/>
      </c>
      <c r="DD467" s="48" t="str">
        <f t="shared" ca="1" si="808"/>
        <v/>
      </c>
      <c r="DE467" s="48" t="str">
        <f t="shared" ca="1" si="809"/>
        <v/>
      </c>
      <c r="DF467" s="48">
        <f ca="1">IF(AND(CX467=$DF$1,CX467&lt;&gt;""),0,IF(AND(DB467&lt;&gt;"",OR(DB466&lt;&gt;"",DB468&lt;&gt;"")),MAX($DF$2:DF466)+1,0))</f>
        <v>0</v>
      </c>
      <c r="ES467" s="48" t="str">
        <f t="shared" si="801"/>
        <v/>
      </c>
      <c r="ET467" s="48" t="str">
        <f ca="1">IFERROR(INDEX($ER$3:$ES$400,MATCH(ROWS($ET$3:ET467),$ER$3:$ER$400,0),2),"")</f>
        <v/>
      </c>
    </row>
    <row r="468" spans="102:150" x14ac:dyDescent="0.3">
      <c r="CX468" s="48">
        <f t="shared" ca="1" si="804"/>
        <v>36</v>
      </c>
      <c r="CY468" s="48" t="str">
        <f t="shared" ca="1" si="803"/>
        <v>MASTRO</v>
      </c>
      <c r="CZ468" s="48" t="e">
        <f t="shared" ca="1" si="806"/>
        <v>#N/A</v>
      </c>
      <c r="DA468" s="48" t="str">
        <f t="shared" ca="1" si="810"/>
        <v/>
      </c>
      <c r="DB468" s="48" t="str">
        <f t="shared" ca="1" si="769"/>
        <v/>
      </c>
      <c r="DC468" s="48" t="str">
        <f t="shared" ca="1" si="807"/>
        <v/>
      </c>
      <c r="DD468" s="48" t="str">
        <f t="shared" ca="1" si="808"/>
        <v/>
      </c>
      <c r="DE468" s="48" t="str">
        <f t="shared" ca="1" si="809"/>
        <v/>
      </c>
      <c r="DF468" s="48">
        <f ca="1">IF(AND(CX468=$DF$1,CX468&lt;&gt;""),0,IF(AND(DB468&lt;&gt;"",OR(DB467&lt;&gt;"",DB469&lt;&gt;"")),MAX($DF$2:DF467)+1,0))</f>
        <v>0</v>
      </c>
      <c r="ES468" s="48" t="str">
        <f t="shared" si="801"/>
        <v/>
      </c>
      <c r="ET468" s="48" t="str">
        <f ca="1">IFERROR(INDEX($ER$3:$ES$400,MATCH(ROWS($ET$3:ET468),$ER$3:$ER$400,0),2),"")</f>
        <v/>
      </c>
    </row>
    <row r="469" spans="102:150" x14ac:dyDescent="0.3">
      <c r="CX469" s="48">
        <f t="shared" ca="1" si="804"/>
        <v>36</v>
      </c>
      <c r="CY469" s="48" t="str">
        <f t="shared" ca="1" si="803"/>
        <v>MASTRO</v>
      </c>
      <c r="CZ469" s="48" t="e">
        <f t="shared" ca="1" si="806"/>
        <v>#N/A</v>
      </c>
      <c r="DA469" s="48" t="str">
        <f t="shared" ca="1" si="810"/>
        <v/>
      </c>
      <c r="DB469" s="48" t="str">
        <f t="shared" ca="1" si="769"/>
        <v/>
      </c>
      <c r="DC469" s="48" t="str">
        <f t="shared" ca="1" si="807"/>
        <v/>
      </c>
      <c r="DD469" s="48" t="str">
        <f t="shared" ca="1" si="808"/>
        <v/>
      </c>
      <c r="DE469" s="48" t="str">
        <f t="shared" ca="1" si="809"/>
        <v/>
      </c>
      <c r="DF469" s="48">
        <f ca="1">IF(AND(CX469=$DF$1,CX469&lt;&gt;""),0,IF(AND(DB469&lt;&gt;"",OR(DB468&lt;&gt;"",DB470&lt;&gt;"")),MAX($DF$2:DF468)+1,0))</f>
        <v>0</v>
      </c>
      <c r="ES469" s="48" t="str">
        <f t="shared" si="801"/>
        <v/>
      </c>
      <c r="ET469" s="48" t="str">
        <f ca="1">IFERROR(INDEX($ER$3:$ES$400,MATCH(ROWS($ET$3:ET469),$ER$3:$ER$400,0),2),"")</f>
        <v/>
      </c>
    </row>
    <row r="470" spans="102:150" x14ac:dyDescent="0.3">
      <c r="CY470" s="48" t="s">
        <v>500</v>
      </c>
      <c r="DB470" s="48" t="str">
        <f t="shared" ref="DB470" ca="1" si="811">IF(CX469=$DF$1,"","MASTRO")</f>
        <v>MASTRO</v>
      </c>
      <c r="DF470" s="48">
        <f ca="1">IF(AND(CX470=$DF$1,CX470&lt;&gt;""),0,IF(AND(DB470&lt;&gt;"",OR(DB469&lt;&gt;"",DB471&lt;&gt;"")),MAX($DF$2:DF469)+1,0))</f>
        <v>0</v>
      </c>
      <c r="ES470" s="48" t="str">
        <f t="shared" si="801"/>
        <v/>
      </c>
      <c r="ET470" s="48" t="str">
        <f ca="1">IFERROR(INDEX($ER$3:$ES$400,MATCH(ROWS($ET$3:ET470),$ER$3:$ER$400,0),2),"")</f>
        <v/>
      </c>
    </row>
    <row r="471" spans="102:150" x14ac:dyDescent="0.3">
      <c r="CX471" s="48">
        <f ca="1">$FF$39</f>
        <v>37</v>
      </c>
      <c r="CY471" s="48" t="str">
        <f t="shared" ref="CY471:CY482" ca="1" si="812">IF(ISERROR(INDEX($CV$3:$CX$1302,MATCH(CX471,$CW$3:$CW$1302,0),1)),"MASTRO",INDEX($CV$3:$CX$1302,MATCH(CX471,$CW$3:$CW$1302,0),1))</f>
        <v>MASTRO</v>
      </c>
      <c r="DA471" s="48" t="str">
        <f>IF(CY470="MASTRO","Conto n.","")</f>
        <v>Conto n.</v>
      </c>
      <c r="DB471" s="48" t="str">
        <f ca="1">IF(CY471=0,"",INDEX(PDC,MATCH(DC471,DEN_PDC,0),1))</f>
        <v/>
      </c>
      <c r="DC471" s="48" t="str">
        <f ca="1">IF(OR(CY471=0,CY471="mastro"),"",CY471)</f>
        <v/>
      </c>
      <c r="DD471" s="48" t="str">
        <f ca="1">IF(AND($DA$2=TRUE,OR(INDEX(PDC,MATCH($DC471,DEN_PDC,0),4)="A",INDEX(PDC,MATCH($DC471,DEN_PDC,0),4)="D/A"),SUMIFS(AVERE,DEN_G,"="&amp;$DC471,DATA,"&lt;="&amp;FINE_AC,DATA,"&gt;="&amp;INIZIO_AC)&gt;SUMIFS(DARE,DEN_G,"="&amp;$DC471,DATA,"&lt;="&amp;FINE_AC,DATA,"&gt;="&amp;INIZIO_AC)),CONCATENATE("s ",FIXED(ABS(SUMIFS(AVERE,DEN_G,"="&amp;$DC471,DATA,"&lt;="&amp;FINE_AC,DATA,"&gt;="&amp;INIZIO_AC)-SUMIFS(DARE,DEN_G,"="&amp;$DC471,DATA,"&lt;="&amp;FINE_AC,DATA,"&gt;="&amp;INIZIO_AC)),2)),"")</f>
        <v/>
      </c>
      <c r="DE471" s="48" t="str">
        <f ca="1">IF(AND($DA$2=TRUE,OR(INDEX(PDC,MATCH($DC471,DEN_PDC,0),4)="D",INDEX(PDC,MATCH($DC471,DEN_PDC,0),4)="D/A"),SUMIFS(DARE,DEN_G,"="&amp;$DC471,DATA,"&lt;="&amp;FINE_AC,DATA,"&gt;="&amp;INIZIO_AC)&gt;SUMIFS(AVERE,DEN_G,"="&amp;$DC471,DATA,"&lt;="&amp;FINE_AC,DATA,"&gt;="&amp;INIZIO_AC)),CONCATENATE("s ",FIXED(ABS(SUMIFS(DARE,DEN_G,"="&amp;$DC471,DATA,"&lt;="&amp;FINE_AC,DATA,"&gt;="&amp;INIZIO_AC)-SUMIFS(AVERE,DEN_G,"="&amp;$DC471,DATA,"&lt;="&amp;FINE_AC,DATA,"&gt;="&amp;INIZIO_AC)),2)),"")</f>
        <v/>
      </c>
      <c r="DF471" s="48">
        <f ca="1">IF(AND(CX471=$DF$1,CX471&lt;&gt;""),0,IF(AND(DB471&lt;&gt;"",OR(DB470&lt;&gt;"",DB472&lt;&gt;"")),MAX($DF$2:DF470)+1,0))</f>
        <v>0</v>
      </c>
      <c r="ES471" s="48" t="str">
        <f t="shared" si="801"/>
        <v/>
      </c>
      <c r="ET471" s="48" t="str">
        <f ca="1">IFERROR(INDEX($ER$3:$ES$400,MATCH(ROWS($ET$3:ET471),$ER$3:$ER$400,0),2),"")</f>
        <v/>
      </c>
    </row>
    <row r="472" spans="102:150" x14ac:dyDescent="0.3">
      <c r="CX472" s="48">
        <f t="shared" ref="CX472:CX482" ca="1" si="813">$FF$39</f>
        <v>37</v>
      </c>
      <c r="CY472" s="48" t="str">
        <f t="shared" ca="1" si="812"/>
        <v>MASTRO</v>
      </c>
      <c r="DA472" s="48" t="str">
        <f ca="1">IF(DB471="","","Num. riga")</f>
        <v/>
      </c>
      <c r="DB472" s="48" t="str">
        <f t="shared" ref="DB472" ca="1" si="814">IF(DB471="","","Data")</f>
        <v/>
      </c>
      <c r="DC472" s="48" t="str">
        <f ca="1">IF(DB471="","","Operazioni")</f>
        <v/>
      </c>
      <c r="DD472" s="48" t="str">
        <f ca="1">IF(DB471="","","Dare        ")</f>
        <v/>
      </c>
      <c r="DE472" s="48" t="str">
        <f ca="1">IF(DB471="","","Avere        ")</f>
        <v/>
      </c>
      <c r="DF472" s="48">
        <f ca="1">IF(AND(CX472=$DF$1,CX472&lt;&gt;""),0,IF(AND(DB472&lt;&gt;"",OR(DB471&lt;&gt;"",DB473&lt;&gt;"")),MAX($DF$2:DF471)+1,0))</f>
        <v>0</v>
      </c>
      <c r="ES472" s="48" t="str">
        <f t="shared" si="801"/>
        <v/>
      </c>
      <c r="ET472" s="48" t="str">
        <f ca="1">IFERROR(INDEX($ER$3:$ES$400,MATCH(ROWS($ET$3:ET472),$ER$3:$ER$400,0),2),"")</f>
        <v/>
      </c>
    </row>
    <row r="473" spans="102:150" x14ac:dyDescent="0.3">
      <c r="CX473" s="48">
        <f t="shared" ca="1" si="813"/>
        <v>37</v>
      </c>
      <c r="CY473" s="48" t="str">
        <f t="shared" ca="1" si="812"/>
        <v>MASTRO</v>
      </c>
      <c r="CZ473" s="48" t="e">
        <f t="shared" ref="CZ473:CZ482" ca="1" si="815">SUM(MATCH($CY473,INDIRECT(ADDRESS(SUM(CZ472)+3,54)&amp;":"&amp;ADDRESS(400,54)),0),CZ472)</f>
        <v>#N/A</v>
      </c>
      <c r="DA473" s="48" t="str">
        <f ca="1">IFERROR(INDEX(LIBRO_GIORNALE,CZ473,1),"")</f>
        <v/>
      </c>
      <c r="DB473" s="48" t="str">
        <f t="shared" ref="DB473:DB534" ca="1" si="816">IF(RIGHT(TEXT(IFERROR(INDEX(LIBRO_GIORNALE,CZ473,2),""),"gg/mm/aa"),1)="a",TEXT(IFERROR(INDEX(LIBRO_GIORNALE,CZ473,2),""),"dd/mm/yy"),TEXT(IFERROR(INDEX(LIBRO_GIORNALE,CZ473,2),""),"gg/mm/aa"))</f>
        <v/>
      </c>
      <c r="DC473" s="48" t="str">
        <f t="shared" ref="DC473:DC482" ca="1" si="817">IF(IFERROR(INDEX(LIBRO_GIORNALE,CZ473,4),"")=0,"manca la descrizione dell'operazione",IFERROR(INDEX(LIBRO_GIORNALE,CZ473,4),""))</f>
        <v/>
      </c>
      <c r="DD473" s="48" t="str">
        <f t="shared" ref="DD473:DD482" ca="1" si="818">IFERROR(IF(INDEX(LIBRO_GIORNALE,CZ473,5)&gt;0,INDEX(LIBRO_GIORNALE,CZ473,5),""),"")</f>
        <v/>
      </c>
      <c r="DE473" s="48" t="str">
        <f t="shared" ref="DE473:DE482" ca="1" si="819">IFERROR(IF(INDEX(LIBRO_GIORNALE,CZ473,6)&gt;0,INDEX(LIBRO_GIORNALE,CZ473,6),""),"")</f>
        <v/>
      </c>
      <c r="DF473" s="48">
        <f ca="1">IF(AND(CX473=$DF$1,CX473&lt;&gt;""),0,IF(AND(DB473&lt;&gt;"",OR(DB472&lt;&gt;"",DB474&lt;&gt;"")),MAX($DF$2:DF472)+1,0))</f>
        <v>0</v>
      </c>
      <c r="ES473" s="48" t="str">
        <f t="shared" si="801"/>
        <v/>
      </c>
      <c r="ET473" s="48" t="str">
        <f ca="1">IFERROR(INDEX($ER$3:$ES$400,MATCH(ROWS($ET$3:ET473),$ER$3:$ER$400,0),2),"")</f>
        <v/>
      </c>
    </row>
    <row r="474" spans="102:150" x14ac:dyDescent="0.3">
      <c r="CX474" s="48">
        <f t="shared" ca="1" si="813"/>
        <v>37</v>
      </c>
      <c r="CY474" s="48" t="str">
        <f t="shared" ca="1" si="812"/>
        <v>MASTRO</v>
      </c>
      <c r="CZ474" s="48" t="e">
        <f t="shared" ca="1" si="815"/>
        <v>#N/A</v>
      </c>
      <c r="DA474" s="48" t="str">
        <f t="shared" ref="DA474:DA482" ca="1" si="820">IFERROR(INDEX(LIBRO_GIORNALE,CZ474,1),"")</f>
        <v/>
      </c>
      <c r="DB474" s="48" t="str">
        <f t="shared" ca="1" si="816"/>
        <v/>
      </c>
      <c r="DC474" s="48" t="str">
        <f t="shared" ca="1" si="817"/>
        <v/>
      </c>
      <c r="DD474" s="48" t="str">
        <f t="shared" ca="1" si="818"/>
        <v/>
      </c>
      <c r="DE474" s="48" t="str">
        <f t="shared" ca="1" si="819"/>
        <v/>
      </c>
      <c r="DF474" s="48">
        <f ca="1">IF(AND(CX474=$DF$1,CX474&lt;&gt;""),0,IF(AND(DB474&lt;&gt;"",OR(DB473&lt;&gt;"",DB475&lt;&gt;"")),MAX($DF$2:DF473)+1,0))</f>
        <v>0</v>
      </c>
      <c r="ES474" s="48" t="str">
        <f t="shared" si="801"/>
        <v/>
      </c>
      <c r="ET474" s="48" t="str">
        <f ca="1">IFERROR(INDEX($ER$3:$ES$400,MATCH(ROWS($ET$3:ET474),$ER$3:$ER$400,0),2),"")</f>
        <v/>
      </c>
    </row>
    <row r="475" spans="102:150" x14ac:dyDescent="0.3">
      <c r="CX475" s="48">
        <f t="shared" ca="1" si="813"/>
        <v>37</v>
      </c>
      <c r="CY475" s="48" t="str">
        <f t="shared" ca="1" si="812"/>
        <v>MASTRO</v>
      </c>
      <c r="CZ475" s="48" t="e">
        <f t="shared" ca="1" si="815"/>
        <v>#N/A</v>
      </c>
      <c r="DA475" s="48" t="str">
        <f t="shared" ca="1" si="820"/>
        <v/>
      </c>
      <c r="DB475" s="48" t="str">
        <f t="shared" ca="1" si="816"/>
        <v/>
      </c>
      <c r="DC475" s="48" t="str">
        <f t="shared" ca="1" si="817"/>
        <v/>
      </c>
      <c r="DD475" s="48" t="str">
        <f t="shared" ca="1" si="818"/>
        <v/>
      </c>
      <c r="DE475" s="48" t="str">
        <f t="shared" ca="1" si="819"/>
        <v/>
      </c>
      <c r="DF475" s="48">
        <f ca="1">IF(AND(CX475=$DF$1,CX475&lt;&gt;""),0,IF(AND(DB475&lt;&gt;"",OR(DB474&lt;&gt;"",DB476&lt;&gt;"")),MAX($DF$2:DF474)+1,0))</f>
        <v>0</v>
      </c>
      <c r="ES475" s="48" t="str">
        <f t="shared" si="801"/>
        <v/>
      </c>
      <c r="ET475" s="48" t="str">
        <f ca="1">IFERROR(INDEX($ER$3:$ES$400,MATCH(ROWS($ET$3:ET475),$ER$3:$ER$400,0),2),"")</f>
        <v/>
      </c>
    </row>
    <row r="476" spans="102:150" x14ac:dyDescent="0.3">
      <c r="CX476" s="48">
        <f t="shared" ca="1" si="813"/>
        <v>37</v>
      </c>
      <c r="CY476" s="48" t="str">
        <f t="shared" ca="1" si="812"/>
        <v>MASTRO</v>
      </c>
      <c r="CZ476" s="48" t="e">
        <f t="shared" ca="1" si="815"/>
        <v>#N/A</v>
      </c>
      <c r="DA476" s="48" t="str">
        <f t="shared" ca="1" si="820"/>
        <v/>
      </c>
      <c r="DB476" s="48" t="str">
        <f t="shared" ca="1" si="816"/>
        <v/>
      </c>
      <c r="DC476" s="48" t="str">
        <f t="shared" ca="1" si="817"/>
        <v/>
      </c>
      <c r="DD476" s="48" t="str">
        <f t="shared" ca="1" si="818"/>
        <v/>
      </c>
      <c r="DE476" s="48" t="str">
        <f t="shared" ca="1" si="819"/>
        <v/>
      </c>
      <c r="DF476" s="48">
        <f ca="1">IF(AND(CX476=$DF$1,CX476&lt;&gt;""),0,IF(AND(DB476&lt;&gt;"",OR(DB475&lt;&gt;"",DB477&lt;&gt;"")),MAX($DF$2:DF475)+1,0))</f>
        <v>0</v>
      </c>
      <c r="ES476" s="48" t="str">
        <f t="shared" si="801"/>
        <v/>
      </c>
      <c r="ET476" s="48" t="str">
        <f ca="1">IFERROR(INDEX($ER$3:$ES$400,MATCH(ROWS($ET$3:ET476),$ER$3:$ER$400,0),2),"")</f>
        <v/>
      </c>
    </row>
    <row r="477" spans="102:150" x14ac:dyDescent="0.3">
      <c r="CX477" s="48">
        <f t="shared" ca="1" si="813"/>
        <v>37</v>
      </c>
      <c r="CY477" s="48" t="str">
        <f t="shared" ca="1" si="812"/>
        <v>MASTRO</v>
      </c>
      <c r="CZ477" s="48" t="e">
        <f t="shared" ca="1" si="815"/>
        <v>#N/A</v>
      </c>
      <c r="DA477" s="48" t="str">
        <f t="shared" ca="1" si="820"/>
        <v/>
      </c>
      <c r="DB477" s="48" t="str">
        <f t="shared" ca="1" si="816"/>
        <v/>
      </c>
      <c r="DC477" s="48" t="str">
        <f t="shared" ca="1" si="817"/>
        <v/>
      </c>
      <c r="DD477" s="48" t="str">
        <f t="shared" ca="1" si="818"/>
        <v/>
      </c>
      <c r="DE477" s="48" t="str">
        <f t="shared" ca="1" si="819"/>
        <v/>
      </c>
      <c r="DF477" s="48">
        <f ca="1">IF(AND(CX477=$DF$1,CX477&lt;&gt;""),0,IF(AND(DB477&lt;&gt;"",OR(DB476&lt;&gt;"",DB478&lt;&gt;"")),MAX($DF$2:DF476)+1,0))</f>
        <v>0</v>
      </c>
      <c r="ES477" s="48" t="str">
        <f t="shared" si="801"/>
        <v/>
      </c>
      <c r="ET477" s="48" t="str">
        <f ca="1">IFERROR(INDEX($ER$3:$ES$400,MATCH(ROWS($ET$3:ET477),$ER$3:$ER$400,0),2),"")</f>
        <v/>
      </c>
    </row>
    <row r="478" spans="102:150" x14ac:dyDescent="0.3">
      <c r="CX478" s="48">
        <f t="shared" ca="1" si="813"/>
        <v>37</v>
      </c>
      <c r="CY478" s="48" t="str">
        <f t="shared" ca="1" si="812"/>
        <v>MASTRO</v>
      </c>
      <c r="CZ478" s="48" t="e">
        <f t="shared" ca="1" si="815"/>
        <v>#N/A</v>
      </c>
      <c r="DA478" s="48" t="str">
        <f t="shared" ca="1" si="820"/>
        <v/>
      </c>
      <c r="DB478" s="48" t="str">
        <f t="shared" ca="1" si="816"/>
        <v/>
      </c>
      <c r="DC478" s="48" t="str">
        <f t="shared" ca="1" si="817"/>
        <v/>
      </c>
      <c r="DD478" s="48" t="str">
        <f t="shared" ca="1" si="818"/>
        <v/>
      </c>
      <c r="DE478" s="48" t="str">
        <f t="shared" ca="1" si="819"/>
        <v/>
      </c>
      <c r="DF478" s="48">
        <f ca="1">IF(AND(CX478=$DF$1,CX478&lt;&gt;""),0,IF(AND(DB478&lt;&gt;"",OR(DB477&lt;&gt;"",DB479&lt;&gt;"")),MAX($DF$2:DF477)+1,0))</f>
        <v>0</v>
      </c>
      <c r="ES478" s="48" t="str">
        <f t="shared" si="801"/>
        <v/>
      </c>
      <c r="ET478" s="48" t="str">
        <f ca="1">IFERROR(INDEX($ER$3:$ES$400,MATCH(ROWS($ET$3:ET478),$ER$3:$ER$400,0),2),"")</f>
        <v/>
      </c>
    </row>
    <row r="479" spans="102:150" x14ac:dyDescent="0.3">
      <c r="CX479" s="48">
        <f t="shared" ca="1" si="813"/>
        <v>37</v>
      </c>
      <c r="CY479" s="48" t="str">
        <f t="shared" ca="1" si="812"/>
        <v>MASTRO</v>
      </c>
      <c r="CZ479" s="48" t="e">
        <f t="shared" ca="1" si="815"/>
        <v>#N/A</v>
      </c>
      <c r="DA479" s="48" t="str">
        <f t="shared" ca="1" si="820"/>
        <v/>
      </c>
      <c r="DB479" s="48" t="str">
        <f t="shared" ca="1" si="816"/>
        <v/>
      </c>
      <c r="DC479" s="48" t="str">
        <f t="shared" ca="1" si="817"/>
        <v/>
      </c>
      <c r="DD479" s="48" t="str">
        <f t="shared" ca="1" si="818"/>
        <v/>
      </c>
      <c r="DE479" s="48" t="str">
        <f t="shared" ca="1" si="819"/>
        <v/>
      </c>
      <c r="DF479" s="48">
        <f ca="1">IF(AND(CX479=$DF$1,CX479&lt;&gt;""),0,IF(AND(DB479&lt;&gt;"",OR(DB478&lt;&gt;"",DB480&lt;&gt;"")),MAX($DF$2:DF478)+1,0))</f>
        <v>0</v>
      </c>
      <c r="ES479" s="48" t="str">
        <f t="shared" si="801"/>
        <v/>
      </c>
      <c r="ET479" s="48" t="str">
        <f ca="1">IFERROR(INDEX($ER$3:$ES$400,MATCH(ROWS($ET$3:ET479),$ER$3:$ER$400,0),2),"")</f>
        <v/>
      </c>
    </row>
    <row r="480" spans="102:150" x14ac:dyDescent="0.3">
      <c r="CX480" s="48">
        <f t="shared" ca="1" si="813"/>
        <v>37</v>
      </c>
      <c r="CY480" s="48" t="str">
        <f t="shared" ca="1" si="812"/>
        <v>MASTRO</v>
      </c>
      <c r="CZ480" s="48" t="e">
        <f t="shared" ca="1" si="815"/>
        <v>#N/A</v>
      </c>
      <c r="DA480" s="48" t="str">
        <f t="shared" ca="1" si="820"/>
        <v/>
      </c>
      <c r="DB480" s="48" t="str">
        <f t="shared" ca="1" si="816"/>
        <v/>
      </c>
      <c r="DC480" s="48" t="str">
        <f t="shared" ca="1" si="817"/>
        <v/>
      </c>
      <c r="DD480" s="48" t="str">
        <f t="shared" ca="1" si="818"/>
        <v/>
      </c>
      <c r="DE480" s="48" t="str">
        <f t="shared" ca="1" si="819"/>
        <v/>
      </c>
      <c r="DF480" s="48">
        <f ca="1">IF(AND(CX480=$DF$1,CX480&lt;&gt;""),0,IF(AND(DB480&lt;&gt;"",OR(DB479&lt;&gt;"",DB481&lt;&gt;"")),MAX($DF$2:DF479)+1,0))</f>
        <v>0</v>
      </c>
      <c r="ES480" s="48" t="str">
        <f t="shared" si="801"/>
        <v/>
      </c>
      <c r="ET480" s="48" t="str">
        <f ca="1">IFERROR(INDEX($ER$3:$ES$400,MATCH(ROWS($ET$3:ET480),$ER$3:$ER$400,0),2),"")</f>
        <v/>
      </c>
    </row>
    <row r="481" spans="102:150" x14ac:dyDescent="0.3">
      <c r="CX481" s="48">
        <f t="shared" ca="1" si="813"/>
        <v>37</v>
      </c>
      <c r="CY481" s="48" t="str">
        <f t="shared" ca="1" si="812"/>
        <v>MASTRO</v>
      </c>
      <c r="CZ481" s="48" t="e">
        <f t="shared" ca="1" si="815"/>
        <v>#N/A</v>
      </c>
      <c r="DA481" s="48" t="str">
        <f t="shared" ca="1" si="820"/>
        <v/>
      </c>
      <c r="DB481" s="48" t="str">
        <f t="shared" ca="1" si="816"/>
        <v/>
      </c>
      <c r="DC481" s="48" t="str">
        <f t="shared" ca="1" si="817"/>
        <v/>
      </c>
      <c r="DD481" s="48" t="str">
        <f t="shared" ca="1" si="818"/>
        <v/>
      </c>
      <c r="DE481" s="48" t="str">
        <f t="shared" ca="1" si="819"/>
        <v/>
      </c>
      <c r="DF481" s="48">
        <f ca="1">IF(AND(CX481=$DF$1,CX481&lt;&gt;""),0,IF(AND(DB481&lt;&gt;"",OR(DB480&lt;&gt;"",DB482&lt;&gt;"")),MAX($DF$2:DF480)+1,0))</f>
        <v>0</v>
      </c>
      <c r="ES481" s="48" t="str">
        <f t="shared" si="801"/>
        <v/>
      </c>
      <c r="ET481" s="48" t="str">
        <f ca="1">IFERROR(INDEX($ER$3:$ES$400,MATCH(ROWS($ET$3:ET481),$ER$3:$ER$400,0),2),"")</f>
        <v/>
      </c>
    </row>
    <row r="482" spans="102:150" x14ac:dyDescent="0.3">
      <c r="CX482" s="48">
        <f t="shared" ca="1" si="813"/>
        <v>37</v>
      </c>
      <c r="CY482" s="48" t="str">
        <f t="shared" ca="1" si="812"/>
        <v>MASTRO</v>
      </c>
      <c r="CZ482" s="48" t="e">
        <f t="shared" ca="1" si="815"/>
        <v>#N/A</v>
      </c>
      <c r="DA482" s="48" t="str">
        <f t="shared" ca="1" si="820"/>
        <v/>
      </c>
      <c r="DB482" s="48" t="str">
        <f t="shared" ca="1" si="816"/>
        <v/>
      </c>
      <c r="DC482" s="48" t="str">
        <f t="shared" ca="1" si="817"/>
        <v/>
      </c>
      <c r="DD482" s="48" t="str">
        <f t="shared" ca="1" si="818"/>
        <v/>
      </c>
      <c r="DE482" s="48" t="str">
        <f t="shared" ca="1" si="819"/>
        <v/>
      </c>
      <c r="DF482" s="48">
        <f ca="1">IF(AND(CX482=$DF$1,CX482&lt;&gt;""),0,IF(AND(DB482&lt;&gt;"",OR(DB481&lt;&gt;"",DB483&lt;&gt;"")),MAX($DF$2:DF481)+1,0))</f>
        <v>0</v>
      </c>
      <c r="ES482" s="48" t="str">
        <f t="shared" si="801"/>
        <v/>
      </c>
      <c r="ET482" s="48" t="str">
        <f ca="1">IFERROR(INDEX($ER$3:$ES$400,MATCH(ROWS($ET$3:ET482),$ER$3:$ER$400,0),2),"")</f>
        <v/>
      </c>
    </row>
    <row r="483" spans="102:150" x14ac:dyDescent="0.3">
      <c r="CY483" s="48" t="s">
        <v>500</v>
      </c>
      <c r="DB483" s="48" t="str">
        <f t="shared" ref="DB483" ca="1" si="821">IF(CX482=$DF$1,"","MASTRO")</f>
        <v>MASTRO</v>
      </c>
      <c r="DF483" s="48">
        <f ca="1">IF(AND(CX483=$DF$1,CX483&lt;&gt;""),0,IF(AND(DB483&lt;&gt;"",OR(DB482&lt;&gt;"",DB484&lt;&gt;"")),MAX($DF$2:DF482)+1,0))</f>
        <v>0</v>
      </c>
      <c r="ES483" s="48" t="str">
        <f t="shared" si="801"/>
        <v/>
      </c>
      <c r="ET483" s="48" t="str">
        <f ca="1">IFERROR(INDEX($ER$3:$ES$400,MATCH(ROWS($ET$3:ET483),$ER$3:$ER$400,0),2),"")</f>
        <v/>
      </c>
    </row>
    <row r="484" spans="102:150" x14ac:dyDescent="0.3">
      <c r="CX484" s="48">
        <f ca="1">$FF$40</f>
        <v>38</v>
      </c>
      <c r="CY484" s="48" t="str">
        <f t="shared" ref="CY484:CY495" ca="1" si="822">IF(ISERROR(INDEX($CV$3:$CX$1302,MATCH(CX484,$CW$3:$CW$1302,0),1)),"MASTRO",INDEX($CV$3:$CX$1302,MATCH(CX484,$CW$3:$CW$1302,0),1))</f>
        <v>MASTRO</v>
      </c>
      <c r="DA484" s="48" t="str">
        <f>IF(CY483="MASTRO","Conto n.","")</f>
        <v>Conto n.</v>
      </c>
      <c r="DB484" s="48" t="str">
        <f ca="1">IF(CY484=0,"",INDEX(PDC,MATCH(DC484,DEN_PDC,0),1))</f>
        <v/>
      </c>
      <c r="DC484" s="48" t="str">
        <f ca="1">IF(OR(CY484=0,CY484="mastro"),"",CY484)</f>
        <v/>
      </c>
      <c r="DD484" s="48" t="str">
        <f ca="1">IF(AND($DA$2=TRUE,OR(INDEX(PDC,MATCH($DC484,DEN_PDC,0),4)="A",INDEX(PDC,MATCH($DC484,DEN_PDC,0),4)="D/A"),SUMIFS(AVERE,DEN_G,"="&amp;$DC484,DATA,"&lt;="&amp;FINE_AC,DATA,"&gt;="&amp;INIZIO_AC)&gt;SUMIFS(DARE,DEN_G,"="&amp;$DC484,DATA,"&lt;="&amp;FINE_AC,DATA,"&gt;="&amp;INIZIO_AC)),CONCATENATE("s ",FIXED(ABS(SUMIFS(AVERE,DEN_G,"="&amp;$DC484,DATA,"&lt;="&amp;FINE_AC,DATA,"&gt;="&amp;INIZIO_AC)-SUMIFS(DARE,DEN_G,"="&amp;$DC484,DATA,"&lt;="&amp;FINE_AC,DATA,"&gt;="&amp;INIZIO_AC)),2)),"")</f>
        <v/>
      </c>
      <c r="DE484" s="48" t="str">
        <f ca="1">IF(AND($DA$2=TRUE,OR(INDEX(PDC,MATCH($DC484,DEN_PDC,0),4)="D",INDEX(PDC,MATCH($DC484,DEN_PDC,0),4)="D/A"),SUMIFS(DARE,DEN_G,"="&amp;$DC484,DATA,"&lt;="&amp;FINE_AC,DATA,"&gt;="&amp;INIZIO_AC)&gt;SUMIFS(AVERE,DEN_G,"="&amp;$DC484,DATA,"&lt;="&amp;FINE_AC,DATA,"&gt;="&amp;INIZIO_AC)),CONCATENATE("s ",FIXED(ABS(SUMIFS(DARE,DEN_G,"="&amp;$DC484,DATA,"&lt;="&amp;FINE_AC,DATA,"&gt;="&amp;INIZIO_AC)-SUMIFS(AVERE,DEN_G,"="&amp;$DC484,DATA,"&lt;="&amp;FINE_AC,DATA,"&gt;="&amp;INIZIO_AC)),2)),"")</f>
        <v/>
      </c>
      <c r="DF484" s="48">
        <f ca="1">IF(AND(CX484=$DF$1,CX484&lt;&gt;""),0,IF(AND(DB484&lt;&gt;"",OR(DB483&lt;&gt;"",DB485&lt;&gt;"")),MAX($DF$2:DF483)+1,0))</f>
        <v>0</v>
      </c>
      <c r="ES484" s="48" t="str">
        <f t="shared" si="801"/>
        <v/>
      </c>
      <c r="ET484" s="48" t="str">
        <f ca="1">IFERROR(INDEX($ER$3:$ES$400,MATCH(ROWS($ET$3:ET484),$ER$3:$ER$400,0),2),"")</f>
        <v/>
      </c>
    </row>
    <row r="485" spans="102:150" x14ac:dyDescent="0.3">
      <c r="CX485" s="48">
        <f t="shared" ref="CX485:CX495" ca="1" si="823">$FF$40</f>
        <v>38</v>
      </c>
      <c r="CY485" s="48" t="str">
        <f t="shared" ca="1" si="822"/>
        <v>MASTRO</v>
      </c>
      <c r="DA485" s="48" t="str">
        <f ca="1">IF(DB484="","","Num. riga")</f>
        <v/>
      </c>
      <c r="DB485" s="48" t="str">
        <f t="shared" ref="DB485" ca="1" si="824">IF(DB484="","","Data")</f>
        <v/>
      </c>
      <c r="DC485" s="48" t="str">
        <f ca="1">IF(DB484="","","Operazioni")</f>
        <v/>
      </c>
      <c r="DD485" s="48" t="str">
        <f ca="1">IF(DB484="","","Dare        ")</f>
        <v/>
      </c>
      <c r="DE485" s="48" t="str">
        <f ca="1">IF(DB484="","","Avere        ")</f>
        <v/>
      </c>
      <c r="DF485" s="48">
        <f ca="1">IF(AND(CX485=$DF$1,CX485&lt;&gt;""),0,IF(AND(DB485&lt;&gt;"",OR(DB484&lt;&gt;"",DB486&lt;&gt;"")),MAX($DF$2:DF484)+1,0))</f>
        <v>0</v>
      </c>
      <c r="ES485" s="48" t="str">
        <f t="shared" si="801"/>
        <v/>
      </c>
      <c r="ET485" s="48" t="str">
        <f ca="1">IFERROR(INDEX($ER$3:$ES$400,MATCH(ROWS($ET$3:ET485),$ER$3:$ER$400,0),2),"")</f>
        <v/>
      </c>
    </row>
    <row r="486" spans="102:150" x14ac:dyDescent="0.3">
      <c r="CX486" s="48">
        <f t="shared" ca="1" si="823"/>
        <v>38</v>
      </c>
      <c r="CY486" s="48" t="str">
        <f t="shared" ca="1" si="822"/>
        <v>MASTRO</v>
      </c>
      <c r="CZ486" s="48" t="e">
        <f t="shared" ref="CZ486:CZ495" ca="1" si="825">SUM(MATCH($CY486,INDIRECT(ADDRESS(SUM(CZ485)+3,54)&amp;":"&amp;ADDRESS(400,54)),0),CZ485)</f>
        <v>#N/A</v>
      </c>
      <c r="DA486" s="48" t="str">
        <f ca="1">IFERROR(INDEX(LIBRO_GIORNALE,CZ486,1),"")</f>
        <v/>
      </c>
      <c r="DB486" s="48" t="str">
        <f t="shared" ca="1" si="816"/>
        <v/>
      </c>
      <c r="DC486" s="48" t="str">
        <f t="shared" ref="DC486:DC495" ca="1" si="826">IF(IFERROR(INDEX(LIBRO_GIORNALE,CZ486,4),"")=0,"manca la descrizione dell'operazione",IFERROR(INDEX(LIBRO_GIORNALE,CZ486,4),""))</f>
        <v/>
      </c>
      <c r="DD486" s="48" t="str">
        <f t="shared" ref="DD486:DD495" ca="1" si="827">IFERROR(IF(INDEX(LIBRO_GIORNALE,CZ486,5)&gt;0,INDEX(LIBRO_GIORNALE,CZ486,5),""),"")</f>
        <v/>
      </c>
      <c r="DE486" s="48" t="str">
        <f t="shared" ref="DE486:DE495" ca="1" si="828">IFERROR(IF(INDEX(LIBRO_GIORNALE,CZ486,6)&gt;0,INDEX(LIBRO_GIORNALE,CZ486,6),""),"")</f>
        <v/>
      </c>
      <c r="DF486" s="48">
        <f ca="1">IF(AND(CX486=$DF$1,CX486&lt;&gt;""),0,IF(AND(DB486&lt;&gt;"",OR(DB485&lt;&gt;"",DB487&lt;&gt;"")),MAX($DF$2:DF485)+1,0))</f>
        <v>0</v>
      </c>
      <c r="ES486" s="48" t="str">
        <f t="shared" si="801"/>
        <v/>
      </c>
      <c r="ET486" s="48" t="str">
        <f ca="1">IFERROR(INDEX($ER$3:$ES$400,MATCH(ROWS($ET$3:ET486),$ER$3:$ER$400,0),2),"")</f>
        <v/>
      </c>
    </row>
    <row r="487" spans="102:150" x14ac:dyDescent="0.3">
      <c r="CX487" s="48">
        <f t="shared" ca="1" si="823"/>
        <v>38</v>
      </c>
      <c r="CY487" s="48" t="str">
        <f t="shared" ca="1" si="822"/>
        <v>MASTRO</v>
      </c>
      <c r="CZ487" s="48" t="e">
        <f t="shared" ca="1" si="825"/>
        <v>#N/A</v>
      </c>
      <c r="DA487" s="48" t="str">
        <f t="shared" ref="DA487:DA495" ca="1" si="829">IFERROR(INDEX(LIBRO_GIORNALE,CZ487,1),"")</f>
        <v/>
      </c>
      <c r="DB487" s="48" t="str">
        <f t="shared" ca="1" si="816"/>
        <v/>
      </c>
      <c r="DC487" s="48" t="str">
        <f t="shared" ca="1" si="826"/>
        <v/>
      </c>
      <c r="DD487" s="48" t="str">
        <f t="shared" ca="1" si="827"/>
        <v/>
      </c>
      <c r="DE487" s="48" t="str">
        <f t="shared" ca="1" si="828"/>
        <v/>
      </c>
      <c r="DF487" s="48">
        <f ca="1">IF(AND(CX487=$DF$1,CX487&lt;&gt;""),0,IF(AND(DB487&lt;&gt;"",OR(DB486&lt;&gt;"",DB488&lt;&gt;"")),MAX($DF$2:DF486)+1,0))</f>
        <v>0</v>
      </c>
      <c r="ES487" s="48" t="str">
        <f t="shared" si="801"/>
        <v/>
      </c>
      <c r="ET487" s="48" t="str">
        <f ca="1">IFERROR(INDEX($ER$3:$ES$400,MATCH(ROWS($ET$3:ET487),$ER$3:$ER$400,0),2),"")</f>
        <v/>
      </c>
    </row>
    <row r="488" spans="102:150" x14ac:dyDescent="0.3">
      <c r="CX488" s="48">
        <f t="shared" ca="1" si="823"/>
        <v>38</v>
      </c>
      <c r="CY488" s="48" t="str">
        <f t="shared" ca="1" si="822"/>
        <v>MASTRO</v>
      </c>
      <c r="CZ488" s="48" t="e">
        <f t="shared" ca="1" si="825"/>
        <v>#N/A</v>
      </c>
      <c r="DA488" s="48" t="str">
        <f t="shared" ca="1" si="829"/>
        <v/>
      </c>
      <c r="DB488" s="48" t="str">
        <f t="shared" ca="1" si="816"/>
        <v/>
      </c>
      <c r="DC488" s="48" t="str">
        <f t="shared" ca="1" si="826"/>
        <v/>
      </c>
      <c r="DD488" s="48" t="str">
        <f t="shared" ca="1" si="827"/>
        <v/>
      </c>
      <c r="DE488" s="48" t="str">
        <f t="shared" ca="1" si="828"/>
        <v/>
      </c>
      <c r="DF488" s="48">
        <f ca="1">IF(AND(CX488=$DF$1,CX488&lt;&gt;""),0,IF(AND(DB488&lt;&gt;"",OR(DB487&lt;&gt;"",DB489&lt;&gt;"")),MAX($DF$2:DF487)+1,0))</f>
        <v>0</v>
      </c>
      <c r="ES488" s="48" t="str">
        <f t="shared" si="801"/>
        <v/>
      </c>
      <c r="ET488" s="48" t="str">
        <f ca="1">IFERROR(INDEX($ER$3:$ES$400,MATCH(ROWS($ET$3:ET488),$ER$3:$ER$400,0),2),"")</f>
        <v/>
      </c>
    </row>
    <row r="489" spans="102:150" x14ac:dyDescent="0.3">
      <c r="CX489" s="48">
        <f t="shared" ca="1" si="823"/>
        <v>38</v>
      </c>
      <c r="CY489" s="48" t="str">
        <f t="shared" ca="1" si="822"/>
        <v>MASTRO</v>
      </c>
      <c r="CZ489" s="48" t="e">
        <f t="shared" ca="1" si="825"/>
        <v>#N/A</v>
      </c>
      <c r="DA489" s="48" t="str">
        <f t="shared" ca="1" si="829"/>
        <v/>
      </c>
      <c r="DB489" s="48" t="str">
        <f t="shared" ca="1" si="816"/>
        <v/>
      </c>
      <c r="DC489" s="48" t="str">
        <f t="shared" ca="1" si="826"/>
        <v/>
      </c>
      <c r="DD489" s="48" t="str">
        <f t="shared" ca="1" si="827"/>
        <v/>
      </c>
      <c r="DE489" s="48" t="str">
        <f t="shared" ca="1" si="828"/>
        <v/>
      </c>
      <c r="DF489" s="48">
        <f ca="1">IF(AND(CX489=$DF$1,CX489&lt;&gt;""),0,IF(AND(DB489&lt;&gt;"",OR(DB488&lt;&gt;"",DB490&lt;&gt;"")),MAX($DF$2:DF488)+1,0))</f>
        <v>0</v>
      </c>
      <c r="ES489" s="48" t="str">
        <f t="shared" si="801"/>
        <v/>
      </c>
      <c r="ET489" s="48" t="str">
        <f ca="1">IFERROR(INDEX($ER$3:$ES$400,MATCH(ROWS($ET$3:ET489),$ER$3:$ER$400,0),2),"")</f>
        <v/>
      </c>
    </row>
    <row r="490" spans="102:150" x14ac:dyDescent="0.3">
      <c r="CX490" s="48">
        <f t="shared" ca="1" si="823"/>
        <v>38</v>
      </c>
      <c r="CY490" s="48" t="str">
        <f t="shared" ca="1" si="822"/>
        <v>MASTRO</v>
      </c>
      <c r="CZ490" s="48" t="e">
        <f t="shared" ca="1" si="825"/>
        <v>#N/A</v>
      </c>
      <c r="DA490" s="48" t="str">
        <f t="shared" ca="1" si="829"/>
        <v/>
      </c>
      <c r="DB490" s="48" t="str">
        <f t="shared" ca="1" si="816"/>
        <v/>
      </c>
      <c r="DC490" s="48" t="str">
        <f t="shared" ca="1" si="826"/>
        <v/>
      </c>
      <c r="DD490" s="48" t="str">
        <f t="shared" ca="1" si="827"/>
        <v/>
      </c>
      <c r="DE490" s="48" t="str">
        <f t="shared" ca="1" si="828"/>
        <v/>
      </c>
      <c r="DF490" s="48">
        <f ca="1">IF(AND(CX490=$DF$1,CX490&lt;&gt;""),0,IF(AND(DB490&lt;&gt;"",OR(DB489&lt;&gt;"",DB491&lt;&gt;"")),MAX($DF$2:DF489)+1,0))</f>
        <v>0</v>
      </c>
      <c r="ES490" s="48" t="str">
        <f t="shared" si="801"/>
        <v/>
      </c>
      <c r="ET490" s="48" t="str">
        <f ca="1">IFERROR(INDEX($ER$3:$ES$400,MATCH(ROWS($ET$3:ET490),$ER$3:$ER$400,0),2),"")</f>
        <v/>
      </c>
    </row>
    <row r="491" spans="102:150" x14ac:dyDescent="0.3">
      <c r="CX491" s="48">
        <f t="shared" ca="1" si="823"/>
        <v>38</v>
      </c>
      <c r="CY491" s="48" t="str">
        <f t="shared" ca="1" si="822"/>
        <v>MASTRO</v>
      </c>
      <c r="CZ491" s="48" t="e">
        <f t="shared" ca="1" si="825"/>
        <v>#N/A</v>
      </c>
      <c r="DA491" s="48" t="str">
        <f t="shared" ca="1" si="829"/>
        <v/>
      </c>
      <c r="DB491" s="48" t="str">
        <f t="shared" ca="1" si="816"/>
        <v/>
      </c>
      <c r="DC491" s="48" t="str">
        <f t="shared" ca="1" si="826"/>
        <v/>
      </c>
      <c r="DD491" s="48" t="str">
        <f t="shared" ca="1" si="827"/>
        <v/>
      </c>
      <c r="DE491" s="48" t="str">
        <f t="shared" ca="1" si="828"/>
        <v/>
      </c>
      <c r="DF491" s="48">
        <f ca="1">IF(AND(CX491=$DF$1,CX491&lt;&gt;""),0,IF(AND(DB491&lt;&gt;"",OR(DB490&lt;&gt;"",DB492&lt;&gt;"")),MAX($DF$2:DF490)+1,0))</f>
        <v>0</v>
      </c>
      <c r="ES491" s="48" t="str">
        <f t="shared" si="801"/>
        <v/>
      </c>
      <c r="ET491" s="48" t="str">
        <f ca="1">IFERROR(INDEX($ER$3:$ES$400,MATCH(ROWS($ET$3:ET491),$ER$3:$ER$400,0),2),"")</f>
        <v/>
      </c>
    </row>
    <row r="492" spans="102:150" x14ac:dyDescent="0.3">
      <c r="CX492" s="48">
        <f t="shared" ca="1" si="823"/>
        <v>38</v>
      </c>
      <c r="CY492" s="48" t="str">
        <f t="shared" ca="1" si="822"/>
        <v>MASTRO</v>
      </c>
      <c r="CZ492" s="48" t="e">
        <f t="shared" ca="1" si="825"/>
        <v>#N/A</v>
      </c>
      <c r="DA492" s="48" t="str">
        <f t="shared" ca="1" si="829"/>
        <v/>
      </c>
      <c r="DB492" s="48" t="str">
        <f t="shared" ca="1" si="816"/>
        <v/>
      </c>
      <c r="DC492" s="48" t="str">
        <f t="shared" ca="1" si="826"/>
        <v/>
      </c>
      <c r="DD492" s="48" t="str">
        <f t="shared" ca="1" si="827"/>
        <v/>
      </c>
      <c r="DE492" s="48" t="str">
        <f t="shared" ca="1" si="828"/>
        <v/>
      </c>
      <c r="DF492" s="48">
        <f ca="1">IF(AND(CX492=$DF$1,CX492&lt;&gt;""),0,IF(AND(DB492&lt;&gt;"",OR(DB491&lt;&gt;"",DB493&lt;&gt;"")),MAX($DF$2:DF491)+1,0))</f>
        <v>0</v>
      </c>
      <c r="ES492" s="48" t="str">
        <f t="shared" si="801"/>
        <v/>
      </c>
      <c r="ET492" s="48" t="str">
        <f ca="1">IFERROR(INDEX($ER$3:$ES$400,MATCH(ROWS($ET$3:ET492),$ER$3:$ER$400,0),2),"")</f>
        <v/>
      </c>
    </row>
    <row r="493" spans="102:150" x14ac:dyDescent="0.3">
      <c r="CX493" s="48">
        <f t="shared" ca="1" si="823"/>
        <v>38</v>
      </c>
      <c r="CY493" s="48" t="str">
        <f t="shared" ca="1" si="822"/>
        <v>MASTRO</v>
      </c>
      <c r="CZ493" s="48" t="e">
        <f t="shared" ca="1" si="825"/>
        <v>#N/A</v>
      </c>
      <c r="DA493" s="48" t="str">
        <f t="shared" ca="1" si="829"/>
        <v/>
      </c>
      <c r="DB493" s="48" t="str">
        <f t="shared" ca="1" si="816"/>
        <v/>
      </c>
      <c r="DC493" s="48" t="str">
        <f t="shared" ca="1" si="826"/>
        <v/>
      </c>
      <c r="DD493" s="48" t="str">
        <f t="shared" ca="1" si="827"/>
        <v/>
      </c>
      <c r="DE493" s="48" t="str">
        <f t="shared" ca="1" si="828"/>
        <v/>
      </c>
      <c r="DF493" s="48">
        <f ca="1">IF(AND(CX493=$DF$1,CX493&lt;&gt;""),0,IF(AND(DB493&lt;&gt;"",OR(DB492&lt;&gt;"",DB494&lt;&gt;"")),MAX($DF$2:DF492)+1,0))</f>
        <v>0</v>
      </c>
      <c r="ES493" s="48" t="str">
        <f t="shared" si="801"/>
        <v/>
      </c>
      <c r="ET493" s="48" t="str">
        <f ca="1">IFERROR(INDEX($ER$3:$ES$400,MATCH(ROWS($ET$3:ET493),$ER$3:$ER$400,0),2),"")</f>
        <v/>
      </c>
    </row>
    <row r="494" spans="102:150" x14ac:dyDescent="0.3">
      <c r="CX494" s="48">
        <f t="shared" ca="1" si="823"/>
        <v>38</v>
      </c>
      <c r="CY494" s="48" t="str">
        <f t="shared" ca="1" si="822"/>
        <v>MASTRO</v>
      </c>
      <c r="CZ494" s="48" t="e">
        <f t="shared" ca="1" si="825"/>
        <v>#N/A</v>
      </c>
      <c r="DA494" s="48" t="str">
        <f t="shared" ca="1" si="829"/>
        <v/>
      </c>
      <c r="DB494" s="48" t="str">
        <f t="shared" ca="1" si="816"/>
        <v/>
      </c>
      <c r="DC494" s="48" t="str">
        <f t="shared" ca="1" si="826"/>
        <v/>
      </c>
      <c r="DD494" s="48" t="str">
        <f t="shared" ca="1" si="827"/>
        <v/>
      </c>
      <c r="DE494" s="48" t="str">
        <f t="shared" ca="1" si="828"/>
        <v/>
      </c>
      <c r="DF494" s="48">
        <f ca="1">IF(AND(CX494=$DF$1,CX494&lt;&gt;""),0,IF(AND(DB494&lt;&gt;"",OR(DB493&lt;&gt;"",DB495&lt;&gt;"")),MAX($DF$2:DF493)+1,0))</f>
        <v>0</v>
      </c>
      <c r="ES494" s="48" t="str">
        <f t="shared" si="801"/>
        <v/>
      </c>
      <c r="ET494" s="48" t="str">
        <f ca="1">IFERROR(INDEX($ER$3:$ES$400,MATCH(ROWS($ET$3:ET494),$ER$3:$ER$400,0),2),"")</f>
        <v/>
      </c>
    </row>
    <row r="495" spans="102:150" x14ac:dyDescent="0.3">
      <c r="CX495" s="48">
        <f t="shared" ca="1" si="823"/>
        <v>38</v>
      </c>
      <c r="CY495" s="48" t="str">
        <f t="shared" ca="1" si="822"/>
        <v>MASTRO</v>
      </c>
      <c r="CZ495" s="48" t="e">
        <f t="shared" ca="1" si="825"/>
        <v>#N/A</v>
      </c>
      <c r="DA495" s="48" t="str">
        <f t="shared" ca="1" si="829"/>
        <v/>
      </c>
      <c r="DB495" s="48" t="str">
        <f t="shared" ca="1" si="816"/>
        <v/>
      </c>
      <c r="DC495" s="48" t="str">
        <f t="shared" ca="1" si="826"/>
        <v/>
      </c>
      <c r="DD495" s="48" t="str">
        <f t="shared" ca="1" si="827"/>
        <v/>
      </c>
      <c r="DE495" s="48" t="str">
        <f t="shared" ca="1" si="828"/>
        <v/>
      </c>
      <c r="DF495" s="48">
        <f ca="1">IF(AND(CX495=$DF$1,CX495&lt;&gt;""),0,IF(AND(DB495&lt;&gt;"",OR(DB494&lt;&gt;"",DB496&lt;&gt;"")),MAX($DF$2:DF494)+1,0))</f>
        <v>0</v>
      </c>
      <c r="ES495" s="48" t="str">
        <f t="shared" si="801"/>
        <v/>
      </c>
      <c r="ET495" s="48" t="str">
        <f ca="1">IFERROR(INDEX($ER$3:$ES$400,MATCH(ROWS($ET$3:ET495),$ER$3:$ER$400,0),2),"")</f>
        <v/>
      </c>
    </row>
    <row r="496" spans="102:150" x14ac:dyDescent="0.3">
      <c r="CY496" s="48" t="s">
        <v>500</v>
      </c>
      <c r="DB496" s="48" t="str">
        <f t="shared" ref="DB496" ca="1" si="830">IF(CX495=$DF$1,"","MASTRO")</f>
        <v>MASTRO</v>
      </c>
      <c r="DF496" s="48">
        <f ca="1">IF(AND(CX496=$DF$1,CX496&lt;&gt;""),0,IF(AND(DB496&lt;&gt;"",OR(DB495&lt;&gt;"",DB497&lt;&gt;"")),MAX($DF$2:DF495)+1,0))</f>
        <v>0</v>
      </c>
      <c r="ES496" s="48" t="str">
        <f t="shared" si="801"/>
        <v/>
      </c>
      <c r="ET496" s="48" t="str">
        <f ca="1">IFERROR(INDEX($ER$3:$ES$400,MATCH(ROWS($ET$3:ET496),$ER$3:$ER$400,0),2),"")</f>
        <v/>
      </c>
    </row>
    <row r="497" spans="35:150" x14ac:dyDescent="0.3">
      <c r="CX497" s="48">
        <f ca="1">$FF$41</f>
        <v>39</v>
      </c>
      <c r="CY497" s="48" t="str">
        <f t="shared" ref="CY497:CY508" ca="1" si="831">IF(ISERROR(INDEX($CV$3:$CX$1302,MATCH(CX497,$CW$3:$CW$1302,0),1)),"MASTRO",INDEX($CV$3:$CX$1302,MATCH(CX497,$CW$3:$CW$1302,0),1))</f>
        <v>MASTRO</v>
      </c>
      <c r="DA497" s="48" t="str">
        <f>IF(CY496="MASTRO","Conto n.","")</f>
        <v>Conto n.</v>
      </c>
      <c r="DB497" s="48" t="str">
        <f ca="1">IF(CY497=0,"",INDEX(PDC,MATCH(DC497,DEN_PDC,0),1))</f>
        <v/>
      </c>
      <c r="DC497" s="48" t="str">
        <f ca="1">IF(OR(CY497=0,CY497="mastro"),"",CY497)</f>
        <v/>
      </c>
      <c r="DD497" s="48" t="str">
        <f ca="1">IF(AND($DA$2=TRUE,OR(INDEX(PDC,MATCH($DC497,DEN_PDC,0),4)="A",INDEX(PDC,MATCH($DC497,DEN_PDC,0),4)="D/A"),SUMIFS(AVERE,DEN_G,"="&amp;$DC497,DATA,"&lt;="&amp;FINE_AC,DATA,"&gt;="&amp;INIZIO_AC)&gt;SUMIFS(DARE,DEN_G,"="&amp;$DC497,DATA,"&lt;="&amp;FINE_AC,DATA,"&gt;="&amp;INIZIO_AC)),CONCATENATE("s ",FIXED(ABS(SUMIFS(AVERE,DEN_G,"="&amp;$DC497,DATA,"&lt;="&amp;FINE_AC,DATA,"&gt;="&amp;INIZIO_AC)-SUMIFS(DARE,DEN_G,"="&amp;$DC497,DATA,"&lt;="&amp;FINE_AC,DATA,"&gt;="&amp;INIZIO_AC)),2)),"")</f>
        <v/>
      </c>
      <c r="DE497" s="48" t="str">
        <f ca="1">IF(AND($DA$2=TRUE,OR(INDEX(PDC,MATCH($DC497,DEN_PDC,0),4)="D",INDEX(PDC,MATCH($DC497,DEN_PDC,0),4)="D/A"),SUMIFS(DARE,DEN_G,"="&amp;$DC497,DATA,"&lt;="&amp;FINE_AC,DATA,"&gt;="&amp;INIZIO_AC)&gt;SUMIFS(AVERE,DEN_G,"="&amp;$DC497,DATA,"&lt;="&amp;FINE_AC,DATA,"&gt;="&amp;INIZIO_AC)),CONCATENATE("s ",FIXED(ABS(SUMIFS(DARE,DEN_G,"="&amp;$DC497,DATA,"&lt;="&amp;FINE_AC,DATA,"&gt;="&amp;INIZIO_AC)-SUMIFS(AVERE,DEN_G,"="&amp;$DC497,DATA,"&lt;="&amp;FINE_AC,DATA,"&gt;="&amp;INIZIO_AC)),2)),"")</f>
        <v/>
      </c>
      <c r="DF497" s="48">
        <f ca="1">IF(AND(CX497=$DF$1,CX497&lt;&gt;""),0,IF(AND(DB497&lt;&gt;"",OR(DB496&lt;&gt;"",DB498&lt;&gt;"")),MAX($DF$2:DF496)+1,0))</f>
        <v>0</v>
      </c>
      <c r="ES497" s="48" t="str">
        <f t="shared" si="801"/>
        <v/>
      </c>
      <c r="ET497" s="48" t="str">
        <f ca="1">IFERROR(INDEX($ER$3:$ES$400,MATCH(ROWS($ET$3:ET497),$ER$3:$ER$400,0),2),"")</f>
        <v/>
      </c>
    </row>
    <row r="498" spans="35:150" x14ac:dyDescent="0.3">
      <c r="CX498" s="48">
        <f t="shared" ref="CX498:CX508" ca="1" si="832">$FF$41</f>
        <v>39</v>
      </c>
      <c r="CY498" s="48" t="str">
        <f t="shared" ca="1" si="831"/>
        <v>MASTRO</v>
      </c>
      <c r="DA498" s="48" t="str">
        <f ca="1">IF(DB497="","","Num. riga")</f>
        <v/>
      </c>
      <c r="DB498" s="48" t="str">
        <f t="shared" ref="DB498" ca="1" si="833">IF(DB497="","","Data")</f>
        <v/>
      </c>
      <c r="DC498" s="48" t="str">
        <f ca="1">IF(DB497="","","Operazioni")</f>
        <v/>
      </c>
      <c r="DD498" s="48" t="str">
        <f ca="1">IF(DB497="","","Dare        ")</f>
        <v/>
      </c>
      <c r="DE498" s="48" t="str">
        <f ca="1">IF(DB497="","","Avere        ")</f>
        <v/>
      </c>
      <c r="DF498" s="48">
        <f ca="1">IF(AND(CX498=$DF$1,CX498&lt;&gt;""),0,IF(AND(DB498&lt;&gt;"",OR(DB497&lt;&gt;"",DB499&lt;&gt;"")),MAX($DF$2:DF497)+1,0))</f>
        <v>0</v>
      </c>
      <c r="ES498" s="48" t="str">
        <f t="shared" si="801"/>
        <v/>
      </c>
      <c r="ET498" s="48" t="str">
        <f ca="1">IFERROR(INDEX($ER$3:$ES$400,MATCH(ROWS($ET$3:ET498),$ER$3:$ER$400,0),2),"")</f>
        <v/>
      </c>
    </row>
    <row r="499" spans="35:150" x14ac:dyDescent="0.3">
      <c r="CX499" s="48">
        <f t="shared" ca="1" si="832"/>
        <v>39</v>
      </c>
      <c r="CY499" s="48" t="str">
        <f t="shared" ca="1" si="831"/>
        <v>MASTRO</v>
      </c>
      <c r="CZ499" s="48" t="e">
        <f t="shared" ref="CZ499:CZ508" ca="1" si="834">SUM(MATCH($CY499,INDIRECT(ADDRESS(SUM(CZ498)+3,54)&amp;":"&amp;ADDRESS(400,54)),0),CZ498)</f>
        <v>#N/A</v>
      </c>
      <c r="DA499" s="48" t="str">
        <f ca="1">IFERROR(INDEX(LIBRO_GIORNALE,CZ499,1),"")</f>
        <v/>
      </c>
      <c r="DB499" s="48" t="str">
        <f t="shared" ca="1" si="816"/>
        <v/>
      </c>
      <c r="DC499" s="48" t="str">
        <f t="shared" ref="DC499:DC508" ca="1" si="835">IF(IFERROR(INDEX(LIBRO_GIORNALE,CZ499,4),"")=0,"manca la descrizione dell'operazione",IFERROR(INDEX(LIBRO_GIORNALE,CZ499,4),""))</f>
        <v/>
      </c>
      <c r="DD499" s="48" t="str">
        <f t="shared" ref="DD499:DD508" ca="1" si="836">IFERROR(IF(INDEX(LIBRO_GIORNALE,CZ499,5)&gt;0,INDEX(LIBRO_GIORNALE,CZ499,5),""),"")</f>
        <v/>
      </c>
      <c r="DE499" s="48" t="str">
        <f t="shared" ref="DE499:DE508" ca="1" si="837">IFERROR(IF(INDEX(LIBRO_GIORNALE,CZ499,6)&gt;0,INDEX(LIBRO_GIORNALE,CZ499,6),""),"")</f>
        <v/>
      </c>
      <c r="DF499" s="48">
        <f ca="1">IF(AND(CX499=$DF$1,CX499&lt;&gt;""),0,IF(AND(DB499&lt;&gt;"",OR(DB498&lt;&gt;"",DB500&lt;&gt;"")),MAX($DF$2:DF498)+1,0))</f>
        <v>0</v>
      </c>
      <c r="ES499" s="48" t="str">
        <f t="shared" si="801"/>
        <v/>
      </c>
      <c r="ET499" s="48" t="str">
        <f ca="1">IFERROR(INDEX($ER$3:$ES$400,MATCH(ROWS($ET$3:ET499),$ER$3:$ER$400,0),2),"")</f>
        <v/>
      </c>
    </row>
    <row r="500" spans="35:150" x14ac:dyDescent="0.3">
      <c r="CX500" s="48">
        <f t="shared" ca="1" si="832"/>
        <v>39</v>
      </c>
      <c r="CY500" s="48" t="str">
        <f t="shared" ca="1" si="831"/>
        <v>MASTRO</v>
      </c>
      <c r="CZ500" s="48" t="e">
        <f t="shared" ca="1" si="834"/>
        <v>#N/A</v>
      </c>
      <c r="DA500" s="48" t="str">
        <f t="shared" ref="DA500:DA508" ca="1" si="838">IFERROR(INDEX(LIBRO_GIORNALE,CZ500,1),"")</f>
        <v/>
      </c>
      <c r="DB500" s="48" t="str">
        <f t="shared" ca="1" si="816"/>
        <v/>
      </c>
      <c r="DC500" s="48" t="str">
        <f t="shared" ca="1" si="835"/>
        <v/>
      </c>
      <c r="DD500" s="48" t="str">
        <f t="shared" ca="1" si="836"/>
        <v/>
      </c>
      <c r="DE500" s="48" t="str">
        <f t="shared" ca="1" si="837"/>
        <v/>
      </c>
      <c r="DF500" s="48">
        <f ca="1">IF(AND(CX500=$DF$1,CX500&lt;&gt;""),0,IF(AND(DB500&lt;&gt;"",OR(DB499&lt;&gt;"",DB501&lt;&gt;"")),MAX($DF$2:DF499)+1,0))</f>
        <v>0</v>
      </c>
      <c r="ES500" s="48" t="str">
        <f ca="1">IF(ER400&lt;&gt;0,AM400,"")</f>
        <v/>
      </c>
      <c r="ET500" s="48" t="str">
        <f ca="1">IFERROR(INDEX($ER$3:$ES$400,MATCH(ROWS($ET$3:ET400),$ER$3:$ER$400,0),2),"")</f>
        <v/>
      </c>
    </row>
    <row r="501" spans="35:150" x14ac:dyDescent="0.3">
      <c r="CX501" s="48">
        <f t="shared" ca="1" si="832"/>
        <v>39</v>
      </c>
      <c r="CY501" s="48" t="str">
        <f t="shared" ca="1" si="831"/>
        <v>MASTRO</v>
      </c>
      <c r="CZ501" s="48" t="e">
        <f t="shared" ca="1" si="834"/>
        <v>#N/A</v>
      </c>
      <c r="DA501" s="48" t="str">
        <f t="shared" ca="1" si="838"/>
        <v/>
      </c>
      <c r="DB501" s="48" t="str">
        <f t="shared" ca="1" si="816"/>
        <v/>
      </c>
      <c r="DC501" s="48" t="str">
        <f t="shared" ca="1" si="835"/>
        <v/>
      </c>
      <c r="DD501" s="48" t="str">
        <f t="shared" ca="1" si="836"/>
        <v/>
      </c>
      <c r="DE501" s="48" t="str">
        <f t="shared" ca="1" si="837"/>
        <v/>
      </c>
      <c r="DF501" s="48">
        <f ca="1">IF(AND(CX501=$DF$1,CX501&lt;&gt;""),0,IF(AND(DB501&lt;&gt;"",OR(DB500&lt;&gt;"",DB502&lt;&gt;"")),MAX($DF$2:DF500)+1,0))</f>
        <v>0</v>
      </c>
    </row>
    <row r="502" spans="35:150" x14ac:dyDescent="0.3">
      <c r="CX502" s="48">
        <f t="shared" ca="1" si="832"/>
        <v>39</v>
      </c>
      <c r="CY502" s="48" t="str">
        <f t="shared" ca="1" si="831"/>
        <v>MASTRO</v>
      </c>
      <c r="CZ502" s="48" t="e">
        <f t="shared" ca="1" si="834"/>
        <v>#N/A</v>
      </c>
      <c r="DA502" s="48" t="str">
        <f t="shared" ca="1" si="838"/>
        <v/>
      </c>
      <c r="DB502" s="48" t="str">
        <f t="shared" ca="1" si="816"/>
        <v/>
      </c>
      <c r="DC502" s="48" t="str">
        <f t="shared" ca="1" si="835"/>
        <v/>
      </c>
      <c r="DD502" s="48" t="str">
        <f t="shared" ca="1" si="836"/>
        <v/>
      </c>
      <c r="DE502" s="48" t="str">
        <f t="shared" ca="1" si="837"/>
        <v/>
      </c>
      <c r="DF502" s="48">
        <f ca="1">IF(AND(CX502=$DF$1,CX502&lt;&gt;""),0,IF(AND(DB502&lt;&gt;"",OR(DB501&lt;&gt;"",DB503&lt;&gt;"")),MAX($DF$2:DF501)+1,0))</f>
        <v>0</v>
      </c>
    </row>
    <row r="503" spans="35:150" x14ac:dyDescent="0.3">
      <c r="AI503" s="232"/>
      <c r="AJ503" s="232"/>
      <c r="CX503" s="48">
        <f t="shared" ca="1" si="832"/>
        <v>39</v>
      </c>
      <c r="CY503" s="48" t="str">
        <f t="shared" ca="1" si="831"/>
        <v>MASTRO</v>
      </c>
      <c r="CZ503" s="48" t="e">
        <f t="shared" ca="1" si="834"/>
        <v>#N/A</v>
      </c>
      <c r="DA503" s="48" t="str">
        <f t="shared" ca="1" si="838"/>
        <v/>
      </c>
      <c r="DB503" s="48" t="str">
        <f t="shared" ca="1" si="816"/>
        <v/>
      </c>
      <c r="DC503" s="48" t="str">
        <f t="shared" ca="1" si="835"/>
        <v/>
      </c>
      <c r="DD503" s="48" t="str">
        <f t="shared" ca="1" si="836"/>
        <v/>
      </c>
      <c r="DE503" s="48" t="str">
        <f t="shared" ca="1" si="837"/>
        <v/>
      </c>
      <c r="DF503" s="48">
        <f ca="1">IF(AND(CX503=$DF$1,CX503&lt;&gt;""),0,IF(AND(DB503&lt;&gt;"",OR(DB502&lt;&gt;"",DB504&lt;&gt;"")),MAX($DF$2:DF502)+1,0))</f>
        <v>0</v>
      </c>
    </row>
    <row r="504" spans="35:150" x14ac:dyDescent="0.3">
      <c r="AI504" s="232"/>
      <c r="AJ504" s="232"/>
      <c r="CX504" s="48">
        <f t="shared" ca="1" si="832"/>
        <v>39</v>
      </c>
      <c r="CY504" s="48" t="str">
        <f t="shared" ca="1" si="831"/>
        <v>MASTRO</v>
      </c>
      <c r="CZ504" s="48" t="e">
        <f t="shared" ca="1" si="834"/>
        <v>#N/A</v>
      </c>
      <c r="DA504" s="48" t="str">
        <f t="shared" ca="1" si="838"/>
        <v/>
      </c>
      <c r="DB504" s="48" t="str">
        <f t="shared" ca="1" si="816"/>
        <v/>
      </c>
      <c r="DC504" s="48" t="str">
        <f t="shared" ca="1" si="835"/>
        <v/>
      </c>
      <c r="DD504" s="48" t="str">
        <f t="shared" ca="1" si="836"/>
        <v/>
      </c>
      <c r="DE504" s="48" t="str">
        <f t="shared" ca="1" si="837"/>
        <v/>
      </c>
      <c r="DF504" s="48">
        <f ca="1">IF(AND(CX504=$DF$1,CX504&lt;&gt;""),0,IF(AND(DB504&lt;&gt;"",OR(DB503&lt;&gt;"",DB505&lt;&gt;"")),MAX($DF$2:DF503)+1,0))</f>
        <v>0</v>
      </c>
    </row>
    <row r="505" spans="35:150" x14ac:dyDescent="0.3">
      <c r="AI505" s="232"/>
      <c r="AJ505" s="232"/>
      <c r="CX505" s="48">
        <f t="shared" ca="1" si="832"/>
        <v>39</v>
      </c>
      <c r="CY505" s="48" t="str">
        <f t="shared" ca="1" si="831"/>
        <v>MASTRO</v>
      </c>
      <c r="CZ505" s="48" t="e">
        <f t="shared" ca="1" si="834"/>
        <v>#N/A</v>
      </c>
      <c r="DA505" s="48" t="str">
        <f t="shared" ca="1" si="838"/>
        <v/>
      </c>
      <c r="DB505" s="48" t="str">
        <f t="shared" ca="1" si="816"/>
        <v/>
      </c>
      <c r="DC505" s="48" t="str">
        <f t="shared" ca="1" si="835"/>
        <v/>
      </c>
      <c r="DD505" s="48" t="str">
        <f t="shared" ca="1" si="836"/>
        <v/>
      </c>
      <c r="DE505" s="48" t="str">
        <f t="shared" ca="1" si="837"/>
        <v/>
      </c>
      <c r="DF505" s="48">
        <f ca="1">IF(AND(CX505=$DF$1,CX505&lt;&gt;""),0,IF(AND(DB505&lt;&gt;"",OR(DB504&lt;&gt;"",DB506&lt;&gt;"")),MAX($DF$2:DF504)+1,0))</f>
        <v>0</v>
      </c>
    </row>
    <row r="506" spans="35:150" x14ac:dyDescent="0.3">
      <c r="AI506" s="232"/>
      <c r="AJ506" s="232"/>
      <c r="CX506" s="48">
        <f t="shared" ca="1" si="832"/>
        <v>39</v>
      </c>
      <c r="CY506" s="48" t="str">
        <f t="shared" ca="1" si="831"/>
        <v>MASTRO</v>
      </c>
      <c r="CZ506" s="48" t="e">
        <f t="shared" ca="1" si="834"/>
        <v>#N/A</v>
      </c>
      <c r="DA506" s="48" t="str">
        <f t="shared" ca="1" si="838"/>
        <v/>
      </c>
      <c r="DB506" s="48" t="str">
        <f t="shared" ca="1" si="816"/>
        <v/>
      </c>
      <c r="DC506" s="48" t="str">
        <f t="shared" ca="1" si="835"/>
        <v/>
      </c>
      <c r="DD506" s="48" t="str">
        <f t="shared" ca="1" si="836"/>
        <v/>
      </c>
      <c r="DE506" s="48" t="str">
        <f t="shared" ca="1" si="837"/>
        <v/>
      </c>
      <c r="DF506" s="48">
        <f ca="1">IF(AND(CX506=$DF$1,CX506&lt;&gt;""),0,IF(AND(DB506&lt;&gt;"",OR(DB505&lt;&gt;"",DB507&lt;&gt;"")),MAX($DF$2:DF505)+1,0))</f>
        <v>0</v>
      </c>
    </row>
    <row r="507" spans="35:150" x14ac:dyDescent="0.3">
      <c r="AI507" s="232"/>
      <c r="AJ507" s="232"/>
      <c r="CX507" s="48">
        <f t="shared" ca="1" si="832"/>
        <v>39</v>
      </c>
      <c r="CY507" s="48" t="str">
        <f t="shared" ca="1" si="831"/>
        <v>MASTRO</v>
      </c>
      <c r="CZ507" s="48" t="e">
        <f t="shared" ca="1" si="834"/>
        <v>#N/A</v>
      </c>
      <c r="DA507" s="48" t="str">
        <f t="shared" ca="1" si="838"/>
        <v/>
      </c>
      <c r="DB507" s="48" t="str">
        <f t="shared" ca="1" si="816"/>
        <v/>
      </c>
      <c r="DC507" s="48" t="str">
        <f t="shared" ca="1" si="835"/>
        <v/>
      </c>
      <c r="DD507" s="48" t="str">
        <f t="shared" ca="1" si="836"/>
        <v/>
      </c>
      <c r="DE507" s="48" t="str">
        <f t="shared" ca="1" si="837"/>
        <v/>
      </c>
      <c r="DF507" s="48">
        <f ca="1">IF(AND(CX507=$DF$1,CX507&lt;&gt;""),0,IF(AND(DB507&lt;&gt;"",OR(DB506&lt;&gt;"",DB508&lt;&gt;"")),MAX($DF$2:DF506)+1,0))</f>
        <v>0</v>
      </c>
    </row>
    <row r="508" spans="35:150" x14ac:dyDescent="0.3">
      <c r="CX508" s="48">
        <f t="shared" ca="1" si="832"/>
        <v>39</v>
      </c>
      <c r="CY508" s="48" t="str">
        <f t="shared" ca="1" si="831"/>
        <v>MASTRO</v>
      </c>
      <c r="CZ508" s="48" t="e">
        <f t="shared" ca="1" si="834"/>
        <v>#N/A</v>
      </c>
      <c r="DA508" s="48" t="str">
        <f t="shared" ca="1" si="838"/>
        <v/>
      </c>
      <c r="DB508" s="48" t="str">
        <f t="shared" ca="1" si="816"/>
        <v/>
      </c>
      <c r="DC508" s="48" t="str">
        <f t="shared" ca="1" si="835"/>
        <v/>
      </c>
      <c r="DD508" s="48" t="str">
        <f t="shared" ca="1" si="836"/>
        <v/>
      </c>
      <c r="DE508" s="48" t="str">
        <f t="shared" ca="1" si="837"/>
        <v/>
      </c>
      <c r="DF508" s="48">
        <f ca="1">IF(AND(CX508=$DF$1,CX508&lt;&gt;""),0,IF(AND(DB508&lt;&gt;"",OR(DB507&lt;&gt;"",DB509&lt;&gt;"")),MAX($DF$2:DF507)+1,0))</f>
        <v>0</v>
      </c>
    </row>
    <row r="509" spans="35:150" x14ac:dyDescent="0.3">
      <c r="CY509" s="48" t="s">
        <v>500</v>
      </c>
      <c r="DB509" s="48" t="str">
        <f t="shared" ref="DB509" ca="1" si="839">IF(CX508=$DF$1,"","MASTRO")</f>
        <v>MASTRO</v>
      </c>
      <c r="DF509" s="48">
        <f ca="1">IF(AND(CX509=$DF$1,CX509&lt;&gt;""),0,IF(AND(DB509&lt;&gt;"",OR(DB508&lt;&gt;"",DB510&lt;&gt;"")),MAX($DF$2:DF508)+1,0))</f>
        <v>0</v>
      </c>
    </row>
    <row r="510" spans="35:150" x14ac:dyDescent="0.3">
      <c r="CX510" s="48">
        <f ca="1">$FF$42</f>
        <v>40</v>
      </c>
      <c r="CY510" s="48" t="str">
        <f t="shared" ref="CY510:CY521" ca="1" si="840">IF(ISERROR(INDEX($CV$3:$CX$1302,MATCH(CX510,$CW$3:$CW$1302,0),1)),"MASTRO",INDEX($CV$3:$CX$1302,MATCH(CX510,$CW$3:$CW$1302,0),1))</f>
        <v>MASTRO</v>
      </c>
      <c r="DA510" s="48" t="str">
        <f>IF(CY509="MASTRO","Conto n.","")</f>
        <v>Conto n.</v>
      </c>
      <c r="DB510" s="48" t="str">
        <f ca="1">IF(CY510=0,"",INDEX(PDC,MATCH(DC510,DEN_PDC,0),1))</f>
        <v/>
      </c>
      <c r="DC510" s="48" t="str">
        <f ca="1">IF(OR(CY510=0,CY510="mastro"),"",CY510)</f>
        <v/>
      </c>
      <c r="DD510" s="48" t="str">
        <f ca="1">IF(AND($DA$2=TRUE,OR(INDEX(PDC,MATCH($DC510,DEN_PDC,0),4)="A",INDEX(PDC,MATCH($DC510,DEN_PDC,0),4)="D/A"),SUMIFS(AVERE,DEN_G,"="&amp;$DC510,DATA,"&lt;="&amp;FINE_AC,DATA,"&gt;="&amp;INIZIO_AC)&gt;SUMIFS(DARE,DEN_G,"="&amp;$DC510,DATA,"&lt;="&amp;FINE_AC,DATA,"&gt;="&amp;INIZIO_AC)),CONCATENATE("s ",FIXED(ABS(SUMIFS(AVERE,DEN_G,"="&amp;$DC510,DATA,"&lt;="&amp;FINE_AC,DATA,"&gt;="&amp;INIZIO_AC)-SUMIFS(DARE,DEN_G,"="&amp;$DC510,DATA,"&lt;="&amp;FINE_AC,DATA,"&gt;="&amp;INIZIO_AC)),2)),"")</f>
        <v/>
      </c>
      <c r="DE510" s="48" t="str">
        <f ca="1">IF(AND($DA$2=TRUE,OR(INDEX(PDC,MATCH($DC510,DEN_PDC,0),4)="D",INDEX(PDC,MATCH($DC510,DEN_PDC,0),4)="D/A"),SUMIFS(DARE,DEN_G,"="&amp;$DC510,DATA,"&lt;="&amp;FINE_AC,DATA,"&gt;="&amp;INIZIO_AC)&gt;SUMIFS(AVERE,DEN_G,"="&amp;$DC510,DATA,"&lt;="&amp;FINE_AC,DATA,"&gt;="&amp;INIZIO_AC)),CONCATENATE("s ",FIXED(ABS(SUMIFS(DARE,DEN_G,"="&amp;$DC510,DATA,"&lt;="&amp;FINE_AC,DATA,"&gt;="&amp;INIZIO_AC)-SUMIFS(AVERE,DEN_G,"="&amp;$DC510,DATA,"&lt;="&amp;FINE_AC,DATA,"&gt;="&amp;INIZIO_AC)),2)),"")</f>
        <v/>
      </c>
      <c r="DF510" s="48">
        <f ca="1">IF(AND(CX510=$DF$1,CX510&lt;&gt;""),0,IF(AND(DB510&lt;&gt;"",OR(DB509&lt;&gt;"",DB511&lt;&gt;"")),MAX($DF$2:DF509)+1,0))</f>
        <v>0</v>
      </c>
    </row>
    <row r="511" spans="35:150" x14ac:dyDescent="0.3">
      <c r="CX511" s="48">
        <f t="shared" ref="CX511:CX521" ca="1" si="841">$FF$42</f>
        <v>40</v>
      </c>
      <c r="CY511" s="48" t="str">
        <f t="shared" ca="1" si="840"/>
        <v>MASTRO</v>
      </c>
      <c r="DA511" s="48" t="str">
        <f ca="1">IF(DB510="","","Num. riga")</f>
        <v/>
      </c>
      <c r="DB511" s="48" t="str">
        <f t="shared" ref="DB511" ca="1" si="842">IF(DB510="","","Data")</f>
        <v/>
      </c>
      <c r="DC511" s="48" t="str">
        <f ca="1">IF(DB510="","","Operazioni")</f>
        <v/>
      </c>
      <c r="DD511" s="48" t="str">
        <f ca="1">IF(DB510="","","Dare        ")</f>
        <v/>
      </c>
      <c r="DE511" s="48" t="str">
        <f ca="1">IF(DB510="","","Avere        ")</f>
        <v/>
      </c>
      <c r="DF511" s="48">
        <f ca="1">IF(AND(CX511=$DF$1,CX511&lt;&gt;""),0,IF(AND(DB511&lt;&gt;"",OR(DB510&lt;&gt;"",DB512&lt;&gt;"")),MAX($DF$2:DF510)+1,0))</f>
        <v>0</v>
      </c>
    </row>
    <row r="512" spans="35:150" x14ac:dyDescent="0.3">
      <c r="CX512" s="48">
        <f t="shared" ca="1" si="841"/>
        <v>40</v>
      </c>
      <c r="CY512" s="48" t="str">
        <f t="shared" ca="1" si="840"/>
        <v>MASTRO</v>
      </c>
      <c r="CZ512" s="48" t="e">
        <f t="shared" ref="CZ512:CZ521" ca="1" si="843">SUM(MATCH($CY512,INDIRECT(ADDRESS(SUM(CZ511)+3,54)&amp;":"&amp;ADDRESS(400,54)),0),CZ511)</f>
        <v>#N/A</v>
      </c>
      <c r="DA512" s="48" t="str">
        <f ca="1">IFERROR(INDEX(LIBRO_GIORNALE,CZ512,1),"")</f>
        <v/>
      </c>
      <c r="DB512" s="48" t="str">
        <f t="shared" ca="1" si="816"/>
        <v/>
      </c>
      <c r="DC512" s="48" t="str">
        <f t="shared" ref="DC512:DC521" ca="1" si="844">IF(IFERROR(INDEX(LIBRO_GIORNALE,CZ512,4),"")=0,"manca la descrizione dell'operazione",IFERROR(INDEX(LIBRO_GIORNALE,CZ512,4),""))</f>
        <v/>
      </c>
      <c r="DD512" s="48" t="str">
        <f t="shared" ref="DD512:DD521" ca="1" si="845">IFERROR(IF(INDEX(LIBRO_GIORNALE,CZ512,5)&gt;0,INDEX(LIBRO_GIORNALE,CZ512,5),""),"")</f>
        <v/>
      </c>
      <c r="DE512" s="48" t="str">
        <f t="shared" ref="DE512:DE521" ca="1" si="846">IFERROR(IF(INDEX(LIBRO_GIORNALE,CZ512,6)&gt;0,INDEX(LIBRO_GIORNALE,CZ512,6),""),"")</f>
        <v/>
      </c>
      <c r="DF512" s="48">
        <f ca="1">IF(AND(CX512=$DF$1,CX512&lt;&gt;""),0,IF(AND(DB512&lt;&gt;"",OR(DB511&lt;&gt;"",DB513&lt;&gt;"")),MAX($DF$2:DF511)+1,0))</f>
        <v>0</v>
      </c>
    </row>
    <row r="513" spans="102:110" x14ac:dyDescent="0.3">
      <c r="CX513" s="48">
        <f t="shared" ca="1" si="841"/>
        <v>40</v>
      </c>
      <c r="CY513" s="48" t="str">
        <f t="shared" ca="1" si="840"/>
        <v>MASTRO</v>
      </c>
      <c r="CZ513" s="48" t="e">
        <f t="shared" ca="1" si="843"/>
        <v>#N/A</v>
      </c>
      <c r="DA513" s="48" t="str">
        <f t="shared" ref="DA513:DA521" ca="1" si="847">IFERROR(INDEX(LIBRO_GIORNALE,CZ513,1),"")</f>
        <v/>
      </c>
      <c r="DB513" s="48" t="str">
        <f t="shared" ca="1" si="816"/>
        <v/>
      </c>
      <c r="DC513" s="48" t="str">
        <f t="shared" ca="1" si="844"/>
        <v/>
      </c>
      <c r="DD513" s="48" t="str">
        <f t="shared" ca="1" si="845"/>
        <v/>
      </c>
      <c r="DE513" s="48" t="str">
        <f t="shared" ca="1" si="846"/>
        <v/>
      </c>
      <c r="DF513" s="48">
        <f ca="1">IF(AND(CX513=$DF$1,CX513&lt;&gt;""),0,IF(AND(DB513&lt;&gt;"",OR(DB512&lt;&gt;"",DB514&lt;&gt;"")),MAX($DF$2:DF512)+1,0))</f>
        <v>0</v>
      </c>
    </row>
    <row r="514" spans="102:110" x14ac:dyDescent="0.3">
      <c r="CX514" s="48">
        <f t="shared" ca="1" si="841"/>
        <v>40</v>
      </c>
      <c r="CY514" s="48" t="str">
        <f t="shared" ca="1" si="840"/>
        <v>MASTRO</v>
      </c>
      <c r="CZ514" s="48" t="e">
        <f t="shared" ca="1" si="843"/>
        <v>#N/A</v>
      </c>
      <c r="DA514" s="48" t="str">
        <f t="shared" ca="1" si="847"/>
        <v/>
      </c>
      <c r="DB514" s="48" t="str">
        <f t="shared" ca="1" si="816"/>
        <v/>
      </c>
      <c r="DC514" s="48" t="str">
        <f t="shared" ca="1" si="844"/>
        <v/>
      </c>
      <c r="DD514" s="48" t="str">
        <f t="shared" ca="1" si="845"/>
        <v/>
      </c>
      <c r="DE514" s="48" t="str">
        <f t="shared" ca="1" si="846"/>
        <v/>
      </c>
      <c r="DF514" s="48">
        <f ca="1">IF(AND(CX514=$DF$1,CX514&lt;&gt;""),0,IF(AND(DB514&lt;&gt;"",OR(DB513&lt;&gt;"",DB515&lt;&gt;"")),MAX($DF$2:DF513)+1,0))</f>
        <v>0</v>
      </c>
    </row>
    <row r="515" spans="102:110" x14ac:dyDescent="0.3">
      <c r="CX515" s="48">
        <f t="shared" ca="1" si="841"/>
        <v>40</v>
      </c>
      <c r="CY515" s="48" t="str">
        <f t="shared" ca="1" si="840"/>
        <v>MASTRO</v>
      </c>
      <c r="CZ515" s="48" t="e">
        <f t="shared" ca="1" si="843"/>
        <v>#N/A</v>
      </c>
      <c r="DA515" s="48" t="str">
        <f t="shared" ca="1" si="847"/>
        <v/>
      </c>
      <c r="DB515" s="48" t="str">
        <f t="shared" ca="1" si="816"/>
        <v/>
      </c>
      <c r="DC515" s="48" t="str">
        <f t="shared" ca="1" si="844"/>
        <v/>
      </c>
      <c r="DD515" s="48" t="str">
        <f t="shared" ca="1" si="845"/>
        <v/>
      </c>
      <c r="DE515" s="48" t="str">
        <f t="shared" ca="1" si="846"/>
        <v/>
      </c>
      <c r="DF515" s="48">
        <f ca="1">IF(AND(CX515=$DF$1,CX515&lt;&gt;""),0,IF(AND(DB515&lt;&gt;"",OR(DB514&lt;&gt;"",DB516&lt;&gt;"")),MAX($DF$2:DF514)+1,0))</f>
        <v>0</v>
      </c>
    </row>
    <row r="516" spans="102:110" x14ac:dyDescent="0.3">
      <c r="CX516" s="48">
        <f t="shared" ca="1" si="841"/>
        <v>40</v>
      </c>
      <c r="CY516" s="48" t="str">
        <f t="shared" ca="1" si="840"/>
        <v>MASTRO</v>
      </c>
      <c r="CZ516" s="48" t="e">
        <f t="shared" ca="1" si="843"/>
        <v>#N/A</v>
      </c>
      <c r="DA516" s="48" t="str">
        <f t="shared" ca="1" si="847"/>
        <v/>
      </c>
      <c r="DB516" s="48" t="str">
        <f t="shared" ca="1" si="816"/>
        <v/>
      </c>
      <c r="DC516" s="48" t="str">
        <f t="shared" ca="1" si="844"/>
        <v/>
      </c>
      <c r="DD516" s="48" t="str">
        <f t="shared" ca="1" si="845"/>
        <v/>
      </c>
      <c r="DE516" s="48" t="str">
        <f t="shared" ca="1" si="846"/>
        <v/>
      </c>
      <c r="DF516" s="48">
        <f ca="1">IF(AND(CX516=$DF$1,CX516&lt;&gt;""),0,IF(AND(DB516&lt;&gt;"",OR(DB515&lt;&gt;"",DB517&lt;&gt;"")),MAX($DF$2:DF515)+1,0))</f>
        <v>0</v>
      </c>
    </row>
    <row r="517" spans="102:110" x14ac:dyDescent="0.3">
      <c r="CX517" s="48">
        <f t="shared" ca="1" si="841"/>
        <v>40</v>
      </c>
      <c r="CY517" s="48" t="str">
        <f t="shared" ca="1" si="840"/>
        <v>MASTRO</v>
      </c>
      <c r="CZ517" s="48" t="e">
        <f t="shared" ca="1" si="843"/>
        <v>#N/A</v>
      </c>
      <c r="DA517" s="48" t="str">
        <f t="shared" ca="1" si="847"/>
        <v/>
      </c>
      <c r="DB517" s="48" t="str">
        <f t="shared" ca="1" si="816"/>
        <v/>
      </c>
      <c r="DC517" s="48" t="str">
        <f t="shared" ca="1" si="844"/>
        <v/>
      </c>
      <c r="DD517" s="48" t="str">
        <f t="shared" ca="1" si="845"/>
        <v/>
      </c>
      <c r="DE517" s="48" t="str">
        <f t="shared" ca="1" si="846"/>
        <v/>
      </c>
      <c r="DF517" s="48">
        <f ca="1">IF(AND(CX517=$DF$1,CX517&lt;&gt;""),0,IF(AND(DB517&lt;&gt;"",OR(DB516&lt;&gt;"",DB518&lt;&gt;"")),MAX($DF$2:DF516)+1,0))</f>
        <v>0</v>
      </c>
    </row>
    <row r="518" spans="102:110" x14ac:dyDescent="0.3">
      <c r="CX518" s="48">
        <f t="shared" ca="1" si="841"/>
        <v>40</v>
      </c>
      <c r="CY518" s="48" t="str">
        <f t="shared" ca="1" si="840"/>
        <v>MASTRO</v>
      </c>
      <c r="CZ518" s="48" t="e">
        <f t="shared" ca="1" si="843"/>
        <v>#N/A</v>
      </c>
      <c r="DA518" s="48" t="str">
        <f t="shared" ca="1" si="847"/>
        <v/>
      </c>
      <c r="DB518" s="48" t="str">
        <f t="shared" ca="1" si="816"/>
        <v/>
      </c>
      <c r="DC518" s="48" t="str">
        <f t="shared" ca="1" si="844"/>
        <v/>
      </c>
      <c r="DD518" s="48" t="str">
        <f t="shared" ca="1" si="845"/>
        <v/>
      </c>
      <c r="DE518" s="48" t="str">
        <f t="shared" ca="1" si="846"/>
        <v/>
      </c>
      <c r="DF518" s="48">
        <f ca="1">IF(AND(CX518=$DF$1,CX518&lt;&gt;""),0,IF(AND(DB518&lt;&gt;"",OR(DB517&lt;&gt;"",DB519&lt;&gt;"")),MAX($DF$2:DF517)+1,0))</f>
        <v>0</v>
      </c>
    </row>
    <row r="519" spans="102:110" x14ac:dyDescent="0.3">
      <c r="CX519" s="48">
        <f t="shared" ca="1" si="841"/>
        <v>40</v>
      </c>
      <c r="CY519" s="48" t="str">
        <f t="shared" ca="1" si="840"/>
        <v>MASTRO</v>
      </c>
      <c r="CZ519" s="48" t="e">
        <f t="shared" ca="1" si="843"/>
        <v>#N/A</v>
      </c>
      <c r="DA519" s="48" t="str">
        <f t="shared" ca="1" si="847"/>
        <v/>
      </c>
      <c r="DB519" s="48" t="str">
        <f t="shared" ca="1" si="816"/>
        <v/>
      </c>
      <c r="DC519" s="48" t="str">
        <f t="shared" ca="1" si="844"/>
        <v/>
      </c>
      <c r="DD519" s="48" t="str">
        <f t="shared" ca="1" si="845"/>
        <v/>
      </c>
      <c r="DE519" s="48" t="str">
        <f t="shared" ca="1" si="846"/>
        <v/>
      </c>
      <c r="DF519" s="48">
        <f ca="1">IF(AND(CX519=$DF$1,CX519&lt;&gt;""),0,IF(AND(DB519&lt;&gt;"",OR(DB518&lt;&gt;"",DB520&lt;&gt;"")),MAX($DF$2:DF518)+1,0))</f>
        <v>0</v>
      </c>
    </row>
    <row r="520" spans="102:110" x14ac:dyDescent="0.3">
      <c r="CX520" s="48">
        <f t="shared" ca="1" si="841"/>
        <v>40</v>
      </c>
      <c r="CY520" s="48" t="str">
        <f t="shared" ca="1" si="840"/>
        <v>MASTRO</v>
      </c>
      <c r="CZ520" s="48" t="e">
        <f t="shared" ca="1" si="843"/>
        <v>#N/A</v>
      </c>
      <c r="DA520" s="48" t="str">
        <f t="shared" ca="1" si="847"/>
        <v/>
      </c>
      <c r="DB520" s="48" t="str">
        <f t="shared" ca="1" si="816"/>
        <v/>
      </c>
      <c r="DC520" s="48" t="str">
        <f t="shared" ca="1" si="844"/>
        <v/>
      </c>
      <c r="DD520" s="48" t="str">
        <f t="shared" ca="1" si="845"/>
        <v/>
      </c>
      <c r="DE520" s="48" t="str">
        <f t="shared" ca="1" si="846"/>
        <v/>
      </c>
      <c r="DF520" s="48">
        <f ca="1">IF(AND(CX520=$DF$1,CX520&lt;&gt;""),0,IF(AND(DB520&lt;&gt;"",OR(DB519&lt;&gt;"",DB521&lt;&gt;"")),MAX($DF$2:DF519)+1,0))</f>
        <v>0</v>
      </c>
    </row>
    <row r="521" spans="102:110" x14ac:dyDescent="0.3">
      <c r="CX521" s="48">
        <f t="shared" ca="1" si="841"/>
        <v>40</v>
      </c>
      <c r="CY521" s="48" t="str">
        <f t="shared" ca="1" si="840"/>
        <v>MASTRO</v>
      </c>
      <c r="CZ521" s="48" t="e">
        <f t="shared" ca="1" si="843"/>
        <v>#N/A</v>
      </c>
      <c r="DA521" s="48" t="str">
        <f t="shared" ca="1" si="847"/>
        <v/>
      </c>
      <c r="DB521" s="48" t="str">
        <f t="shared" ca="1" si="816"/>
        <v/>
      </c>
      <c r="DC521" s="48" t="str">
        <f t="shared" ca="1" si="844"/>
        <v/>
      </c>
      <c r="DD521" s="48" t="str">
        <f t="shared" ca="1" si="845"/>
        <v/>
      </c>
      <c r="DE521" s="48" t="str">
        <f t="shared" ca="1" si="846"/>
        <v/>
      </c>
      <c r="DF521" s="48">
        <f ca="1">IF(AND(CX521=$DF$1,CX521&lt;&gt;""),0,IF(AND(DB521&lt;&gt;"",OR(DB520&lt;&gt;"",DB522&lt;&gt;"")),MAX($DF$2:DF520)+1,0))</f>
        <v>0</v>
      </c>
    </row>
    <row r="522" spans="102:110" x14ac:dyDescent="0.3">
      <c r="CY522" s="48" t="s">
        <v>500</v>
      </c>
      <c r="DB522" s="48" t="str">
        <f t="shared" ref="DB522" ca="1" si="848">IF(CX521=$DF$1,"","MASTRO")</f>
        <v>MASTRO</v>
      </c>
      <c r="DF522" s="48">
        <f ca="1">IF(AND(CX522=$DF$1,CX522&lt;&gt;""),0,IF(AND(DB522&lt;&gt;"",OR(DB521&lt;&gt;"",DB523&lt;&gt;"")),MAX($DF$2:DF521)+1,0))</f>
        <v>0</v>
      </c>
    </row>
    <row r="523" spans="102:110" x14ac:dyDescent="0.3">
      <c r="CX523" s="48">
        <f ca="1">$FF$43</f>
        <v>41</v>
      </c>
      <c r="CY523" s="48" t="str">
        <f t="shared" ref="CY523:CY534" ca="1" si="849">IF(ISERROR(INDEX($CV$3:$CX$1302,MATCH(CX523,$CW$3:$CW$1302,0),1)),"MASTRO",INDEX($CV$3:$CX$1302,MATCH(CX523,$CW$3:$CW$1302,0),1))</f>
        <v>MASTRO</v>
      </c>
      <c r="DA523" s="48" t="str">
        <f>IF(CY522="MASTRO","Conto n.","")</f>
        <v>Conto n.</v>
      </c>
      <c r="DB523" s="48" t="str">
        <f ca="1">IF(CY523=0,"",INDEX(PDC,MATCH(DC523,DEN_PDC,0),1))</f>
        <v/>
      </c>
      <c r="DC523" s="48" t="str">
        <f ca="1">IF(OR(CY523=0,CY523="mastro"),"",CY523)</f>
        <v/>
      </c>
      <c r="DD523" s="48" t="str">
        <f ca="1">IF(AND($DA$2=TRUE,OR(INDEX(PDC,MATCH($DC523,DEN_PDC,0),4)="A",INDEX(PDC,MATCH($DC523,DEN_PDC,0),4)="D/A"),SUMIFS(AVERE,DEN_G,"="&amp;$DC523,DATA,"&lt;="&amp;FINE_AC,DATA,"&gt;="&amp;INIZIO_AC)&gt;SUMIFS(DARE,DEN_G,"="&amp;$DC523,DATA,"&lt;="&amp;FINE_AC,DATA,"&gt;="&amp;INIZIO_AC)),CONCATENATE("s ",FIXED(ABS(SUMIFS(AVERE,DEN_G,"="&amp;$DC523,DATA,"&lt;="&amp;FINE_AC,DATA,"&gt;="&amp;INIZIO_AC)-SUMIFS(DARE,DEN_G,"="&amp;$DC523,DATA,"&lt;="&amp;FINE_AC,DATA,"&gt;="&amp;INIZIO_AC)),2)),"")</f>
        <v/>
      </c>
      <c r="DE523" s="48" t="str">
        <f ca="1">IF(AND($DA$2=TRUE,OR(INDEX(PDC,MATCH($DC523,DEN_PDC,0),4)="D",INDEX(PDC,MATCH($DC523,DEN_PDC,0),4)="D/A"),SUMIFS(DARE,DEN_G,"="&amp;$DC523,DATA,"&lt;="&amp;FINE_AC,DATA,"&gt;="&amp;INIZIO_AC)&gt;SUMIFS(AVERE,DEN_G,"="&amp;$DC523,DATA,"&lt;="&amp;FINE_AC,DATA,"&gt;="&amp;INIZIO_AC)),CONCATENATE("s ",FIXED(ABS(SUMIFS(DARE,DEN_G,"="&amp;$DC523,DATA,"&lt;="&amp;FINE_AC,DATA,"&gt;="&amp;INIZIO_AC)-SUMIFS(AVERE,DEN_G,"="&amp;$DC523,DATA,"&lt;="&amp;FINE_AC,DATA,"&gt;="&amp;INIZIO_AC)),2)),"")</f>
        <v/>
      </c>
      <c r="DF523" s="48">
        <f ca="1">IF(AND(CX523=$DF$1,CX523&lt;&gt;""),0,IF(AND(DB523&lt;&gt;"",OR(DB522&lt;&gt;"",DB524&lt;&gt;"")),MAX($DF$2:DF522)+1,0))</f>
        <v>0</v>
      </c>
    </row>
    <row r="524" spans="102:110" x14ac:dyDescent="0.3">
      <c r="CX524" s="48">
        <f t="shared" ref="CX524:CX534" ca="1" si="850">$FF$43</f>
        <v>41</v>
      </c>
      <c r="CY524" s="48" t="str">
        <f t="shared" ca="1" si="849"/>
        <v>MASTRO</v>
      </c>
      <c r="DA524" s="48" t="str">
        <f ca="1">IF(DB523="","","Num. riga")</f>
        <v/>
      </c>
      <c r="DB524" s="48" t="str">
        <f t="shared" ref="DB524" ca="1" si="851">IF(DB523="","","Data")</f>
        <v/>
      </c>
      <c r="DC524" s="48" t="str">
        <f ca="1">IF(DB523="","","Operazioni")</f>
        <v/>
      </c>
      <c r="DD524" s="48" t="str">
        <f ca="1">IF(DB523="","","Dare        ")</f>
        <v/>
      </c>
      <c r="DE524" s="48" t="str">
        <f ca="1">IF(DB523="","","Avere        ")</f>
        <v/>
      </c>
      <c r="DF524" s="48">
        <f ca="1">IF(AND(CX524=$DF$1,CX524&lt;&gt;""),0,IF(AND(DB524&lt;&gt;"",OR(DB523&lt;&gt;"",DB525&lt;&gt;"")),MAX($DF$2:DF523)+1,0))</f>
        <v>0</v>
      </c>
    </row>
    <row r="525" spans="102:110" x14ac:dyDescent="0.3">
      <c r="CX525" s="48">
        <f t="shared" ca="1" si="850"/>
        <v>41</v>
      </c>
      <c r="CY525" s="48" t="str">
        <f t="shared" ca="1" si="849"/>
        <v>MASTRO</v>
      </c>
      <c r="CZ525" s="48" t="e">
        <f t="shared" ref="CZ525:CZ534" ca="1" si="852">SUM(MATCH($CY525,INDIRECT(ADDRESS(SUM(CZ524)+3,54)&amp;":"&amp;ADDRESS(400,54)),0),CZ524)</f>
        <v>#N/A</v>
      </c>
      <c r="DA525" s="48" t="str">
        <f ca="1">IFERROR(INDEX(LIBRO_GIORNALE,CZ525,1),"")</f>
        <v/>
      </c>
      <c r="DB525" s="48" t="str">
        <f t="shared" ca="1" si="816"/>
        <v/>
      </c>
      <c r="DC525" s="48" t="str">
        <f t="shared" ref="DC525:DC534" ca="1" si="853">IF(IFERROR(INDEX(LIBRO_GIORNALE,CZ525,4),"")=0,"manca la descrizione dell'operazione",IFERROR(INDEX(LIBRO_GIORNALE,CZ525,4),""))</f>
        <v/>
      </c>
      <c r="DD525" s="48" t="str">
        <f t="shared" ref="DD525:DD534" ca="1" si="854">IFERROR(IF(INDEX(LIBRO_GIORNALE,CZ525,5)&gt;0,INDEX(LIBRO_GIORNALE,CZ525,5),""),"")</f>
        <v/>
      </c>
      <c r="DE525" s="48" t="str">
        <f t="shared" ref="DE525:DE534" ca="1" si="855">IFERROR(IF(INDEX(LIBRO_GIORNALE,CZ525,6)&gt;0,INDEX(LIBRO_GIORNALE,CZ525,6),""),"")</f>
        <v/>
      </c>
      <c r="DF525" s="48">
        <f ca="1">IF(AND(CX525=$DF$1,CX525&lt;&gt;""),0,IF(AND(DB525&lt;&gt;"",OR(DB524&lt;&gt;"",DB526&lt;&gt;"")),MAX($DF$2:DF524)+1,0))</f>
        <v>0</v>
      </c>
    </row>
    <row r="526" spans="102:110" x14ac:dyDescent="0.3">
      <c r="CX526" s="48">
        <f t="shared" ca="1" si="850"/>
        <v>41</v>
      </c>
      <c r="CY526" s="48" t="str">
        <f t="shared" ca="1" si="849"/>
        <v>MASTRO</v>
      </c>
      <c r="CZ526" s="48" t="e">
        <f t="shared" ca="1" si="852"/>
        <v>#N/A</v>
      </c>
      <c r="DA526" s="48" t="str">
        <f t="shared" ref="DA526:DA534" ca="1" si="856">IFERROR(INDEX(LIBRO_GIORNALE,CZ526,1),"")</f>
        <v/>
      </c>
      <c r="DB526" s="48" t="str">
        <f t="shared" ca="1" si="816"/>
        <v/>
      </c>
      <c r="DC526" s="48" t="str">
        <f t="shared" ca="1" si="853"/>
        <v/>
      </c>
      <c r="DD526" s="48" t="str">
        <f t="shared" ca="1" si="854"/>
        <v/>
      </c>
      <c r="DE526" s="48" t="str">
        <f t="shared" ca="1" si="855"/>
        <v/>
      </c>
      <c r="DF526" s="48">
        <f ca="1">IF(AND(CX526=$DF$1,CX526&lt;&gt;""),0,IF(AND(DB526&lt;&gt;"",OR(DB525&lt;&gt;"",DB527&lt;&gt;"")),MAX($DF$2:DF525)+1,0))</f>
        <v>0</v>
      </c>
    </row>
    <row r="527" spans="102:110" x14ac:dyDescent="0.3">
      <c r="CX527" s="48">
        <f t="shared" ca="1" si="850"/>
        <v>41</v>
      </c>
      <c r="CY527" s="48" t="str">
        <f t="shared" ca="1" si="849"/>
        <v>MASTRO</v>
      </c>
      <c r="CZ527" s="48" t="e">
        <f t="shared" ca="1" si="852"/>
        <v>#N/A</v>
      </c>
      <c r="DA527" s="48" t="str">
        <f t="shared" ca="1" si="856"/>
        <v/>
      </c>
      <c r="DB527" s="48" t="str">
        <f t="shared" ca="1" si="816"/>
        <v/>
      </c>
      <c r="DC527" s="48" t="str">
        <f t="shared" ca="1" si="853"/>
        <v/>
      </c>
      <c r="DD527" s="48" t="str">
        <f t="shared" ca="1" si="854"/>
        <v/>
      </c>
      <c r="DE527" s="48" t="str">
        <f t="shared" ca="1" si="855"/>
        <v/>
      </c>
      <c r="DF527" s="48">
        <f ca="1">IF(AND(CX527=$DF$1,CX527&lt;&gt;""),0,IF(AND(DB527&lt;&gt;"",OR(DB526&lt;&gt;"",DB528&lt;&gt;"")),MAX($DF$2:DF526)+1,0))</f>
        <v>0</v>
      </c>
    </row>
    <row r="528" spans="102:110" x14ac:dyDescent="0.3">
      <c r="CX528" s="48">
        <f t="shared" ca="1" si="850"/>
        <v>41</v>
      </c>
      <c r="CY528" s="48" t="str">
        <f t="shared" ca="1" si="849"/>
        <v>MASTRO</v>
      </c>
      <c r="CZ528" s="48" t="e">
        <f t="shared" ca="1" si="852"/>
        <v>#N/A</v>
      </c>
      <c r="DA528" s="48" t="str">
        <f t="shared" ca="1" si="856"/>
        <v/>
      </c>
      <c r="DB528" s="48" t="str">
        <f t="shared" ca="1" si="816"/>
        <v/>
      </c>
      <c r="DC528" s="48" t="str">
        <f t="shared" ca="1" si="853"/>
        <v/>
      </c>
      <c r="DD528" s="48" t="str">
        <f t="shared" ca="1" si="854"/>
        <v/>
      </c>
      <c r="DE528" s="48" t="str">
        <f t="shared" ca="1" si="855"/>
        <v/>
      </c>
      <c r="DF528" s="48">
        <f ca="1">IF(AND(CX528=$DF$1,CX528&lt;&gt;""),0,IF(AND(DB528&lt;&gt;"",OR(DB527&lt;&gt;"",DB529&lt;&gt;"")),MAX($DF$2:DF527)+1,0))</f>
        <v>0</v>
      </c>
    </row>
    <row r="529" spans="102:110" x14ac:dyDescent="0.3">
      <c r="CX529" s="48">
        <f t="shared" ca="1" si="850"/>
        <v>41</v>
      </c>
      <c r="CY529" s="48" t="str">
        <f t="shared" ca="1" si="849"/>
        <v>MASTRO</v>
      </c>
      <c r="CZ529" s="48" t="e">
        <f t="shared" ca="1" si="852"/>
        <v>#N/A</v>
      </c>
      <c r="DA529" s="48" t="str">
        <f t="shared" ca="1" si="856"/>
        <v/>
      </c>
      <c r="DB529" s="48" t="str">
        <f t="shared" ca="1" si="816"/>
        <v/>
      </c>
      <c r="DC529" s="48" t="str">
        <f t="shared" ca="1" si="853"/>
        <v/>
      </c>
      <c r="DD529" s="48" t="str">
        <f t="shared" ca="1" si="854"/>
        <v/>
      </c>
      <c r="DE529" s="48" t="str">
        <f t="shared" ca="1" si="855"/>
        <v/>
      </c>
      <c r="DF529" s="48">
        <f ca="1">IF(AND(CX529=$DF$1,CX529&lt;&gt;""),0,IF(AND(DB529&lt;&gt;"",OR(DB528&lt;&gt;"",DB530&lt;&gt;"")),MAX($DF$2:DF528)+1,0))</f>
        <v>0</v>
      </c>
    </row>
    <row r="530" spans="102:110" x14ac:dyDescent="0.3">
      <c r="CX530" s="48">
        <f t="shared" ca="1" si="850"/>
        <v>41</v>
      </c>
      <c r="CY530" s="48" t="str">
        <f t="shared" ca="1" si="849"/>
        <v>MASTRO</v>
      </c>
      <c r="CZ530" s="48" t="e">
        <f t="shared" ca="1" si="852"/>
        <v>#N/A</v>
      </c>
      <c r="DA530" s="48" t="str">
        <f t="shared" ca="1" si="856"/>
        <v/>
      </c>
      <c r="DB530" s="48" t="str">
        <f t="shared" ca="1" si="816"/>
        <v/>
      </c>
      <c r="DC530" s="48" t="str">
        <f t="shared" ca="1" si="853"/>
        <v/>
      </c>
      <c r="DD530" s="48" t="str">
        <f t="shared" ca="1" si="854"/>
        <v/>
      </c>
      <c r="DE530" s="48" t="str">
        <f t="shared" ca="1" si="855"/>
        <v/>
      </c>
      <c r="DF530" s="48">
        <f ca="1">IF(AND(CX530=$DF$1,CX530&lt;&gt;""),0,IF(AND(DB530&lt;&gt;"",OR(DB529&lt;&gt;"",DB531&lt;&gt;"")),MAX($DF$2:DF529)+1,0))</f>
        <v>0</v>
      </c>
    </row>
    <row r="531" spans="102:110" x14ac:dyDescent="0.3">
      <c r="CX531" s="48">
        <f t="shared" ca="1" si="850"/>
        <v>41</v>
      </c>
      <c r="CY531" s="48" t="str">
        <f t="shared" ca="1" si="849"/>
        <v>MASTRO</v>
      </c>
      <c r="CZ531" s="48" t="e">
        <f t="shared" ca="1" si="852"/>
        <v>#N/A</v>
      </c>
      <c r="DA531" s="48" t="str">
        <f t="shared" ca="1" si="856"/>
        <v/>
      </c>
      <c r="DB531" s="48" t="str">
        <f t="shared" ca="1" si="816"/>
        <v/>
      </c>
      <c r="DC531" s="48" t="str">
        <f t="shared" ca="1" si="853"/>
        <v/>
      </c>
      <c r="DD531" s="48" t="str">
        <f t="shared" ca="1" si="854"/>
        <v/>
      </c>
      <c r="DE531" s="48" t="str">
        <f t="shared" ca="1" si="855"/>
        <v/>
      </c>
      <c r="DF531" s="48">
        <f ca="1">IF(AND(CX531=$DF$1,CX531&lt;&gt;""),0,IF(AND(DB531&lt;&gt;"",OR(DB530&lt;&gt;"",DB532&lt;&gt;"")),MAX($DF$2:DF530)+1,0))</f>
        <v>0</v>
      </c>
    </row>
    <row r="532" spans="102:110" x14ac:dyDescent="0.3">
      <c r="CX532" s="48">
        <f t="shared" ca="1" si="850"/>
        <v>41</v>
      </c>
      <c r="CY532" s="48" t="str">
        <f t="shared" ca="1" si="849"/>
        <v>MASTRO</v>
      </c>
      <c r="CZ532" s="48" t="e">
        <f t="shared" ca="1" si="852"/>
        <v>#N/A</v>
      </c>
      <c r="DA532" s="48" t="str">
        <f t="shared" ca="1" si="856"/>
        <v/>
      </c>
      <c r="DB532" s="48" t="str">
        <f t="shared" ca="1" si="816"/>
        <v/>
      </c>
      <c r="DC532" s="48" t="str">
        <f t="shared" ca="1" si="853"/>
        <v/>
      </c>
      <c r="DD532" s="48" t="str">
        <f t="shared" ca="1" si="854"/>
        <v/>
      </c>
      <c r="DE532" s="48" t="str">
        <f t="shared" ca="1" si="855"/>
        <v/>
      </c>
      <c r="DF532" s="48">
        <f ca="1">IF(AND(CX532=$DF$1,CX532&lt;&gt;""),0,IF(AND(DB532&lt;&gt;"",OR(DB531&lt;&gt;"",DB533&lt;&gt;"")),MAX($DF$2:DF531)+1,0))</f>
        <v>0</v>
      </c>
    </row>
    <row r="533" spans="102:110" x14ac:dyDescent="0.3">
      <c r="CX533" s="48">
        <f t="shared" ca="1" si="850"/>
        <v>41</v>
      </c>
      <c r="CY533" s="48" t="str">
        <f t="shared" ca="1" si="849"/>
        <v>MASTRO</v>
      </c>
      <c r="CZ533" s="48" t="e">
        <f t="shared" ca="1" si="852"/>
        <v>#N/A</v>
      </c>
      <c r="DA533" s="48" t="str">
        <f t="shared" ca="1" si="856"/>
        <v/>
      </c>
      <c r="DB533" s="48" t="str">
        <f t="shared" ca="1" si="816"/>
        <v/>
      </c>
      <c r="DC533" s="48" t="str">
        <f t="shared" ca="1" si="853"/>
        <v/>
      </c>
      <c r="DD533" s="48" t="str">
        <f t="shared" ca="1" si="854"/>
        <v/>
      </c>
      <c r="DE533" s="48" t="str">
        <f t="shared" ca="1" si="855"/>
        <v/>
      </c>
      <c r="DF533" s="48">
        <f ca="1">IF(AND(CX533=$DF$1,CX533&lt;&gt;""),0,IF(AND(DB533&lt;&gt;"",OR(DB532&lt;&gt;"",DB534&lt;&gt;"")),MAX($DF$2:DF532)+1,0))</f>
        <v>0</v>
      </c>
    </row>
    <row r="534" spans="102:110" x14ac:dyDescent="0.3">
      <c r="CX534" s="48">
        <f t="shared" ca="1" si="850"/>
        <v>41</v>
      </c>
      <c r="CY534" s="48" t="str">
        <f t="shared" ca="1" si="849"/>
        <v>MASTRO</v>
      </c>
      <c r="CZ534" s="48" t="e">
        <f t="shared" ca="1" si="852"/>
        <v>#N/A</v>
      </c>
      <c r="DA534" s="48" t="str">
        <f t="shared" ca="1" si="856"/>
        <v/>
      </c>
      <c r="DB534" s="48" t="str">
        <f t="shared" ca="1" si="816"/>
        <v/>
      </c>
      <c r="DC534" s="48" t="str">
        <f t="shared" ca="1" si="853"/>
        <v/>
      </c>
      <c r="DD534" s="48" t="str">
        <f t="shared" ca="1" si="854"/>
        <v/>
      </c>
      <c r="DE534" s="48" t="str">
        <f t="shared" ca="1" si="855"/>
        <v/>
      </c>
      <c r="DF534" s="48">
        <f ca="1">IF(AND(CX534=$DF$1,CX534&lt;&gt;""),0,IF(AND(DB534&lt;&gt;"",OR(DB533&lt;&gt;"",DB535&lt;&gt;"")),MAX($DF$2:DF533)+1,0))</f>
        <v>0</v>
      </c>
    </row>
    <row r="535" spans="102:110" x14ac:dyDescent="0.3">
      <c r="CY535" s="48" t="s">
        <v>500</v>
      </c>
      <c r="DB535" s="48" t="str">
        <f t="shared" ref="DB535" ca="1" si="857">IF(CX534=$DF$1,"","MASTRO")</f>
        <v>MASTRO</v>
      </c>
      <c r="DF535" s="48">
        <f ca="1">IF(AND(CX535=$DF$1,CX535&lt;&gt;""),0,IF(AND(DB535&lt;&gt;"",OR(DB534&lt;&gt;"",DB536&lt;&gt;"")),MAX($DF$2:DF534)+1,0))</f>
        <v>0</v>
      </c>
    </row>
    <row r="536" spans="102:110" x14ac:dyDescent="0.3">
      <c r="CX536" s="48">
        <f ca="1">$FF$44</f>
        <v>42</v>
      </c>
      <c r="CY536" s="48" t="str">
        <f t="shared" ref="CY536:CY547" ca="1" si="858">IF(ISERROR(INDEX($CV$3:$CX$1302,MATCH(CX536,$CW$3:$CW$1302,0),1)),"MASTRO",INDEX($CV$3:$CX$1302,MATCH(CX536,$CW$3:$CW$1302,0),1))</f>
        <v>MASTRO</v>
      </c>
      <c r="DA536" s="48" t="str">
        <f>IF(CY535="MASTRO","Conto n.","")</f>
        <v>Conto n.</v>
      </c>
      <c r="DB536" s="48" t="str">
        <f ca="1">IF(CY536=0,"",INDEX(PDC,MATCH(DC536,DEN_PDC,0),1))</f>
        <v/>
      </c>
      <c r="DC536" s="48" t="str">
        <f ca="1">IF(OR(CY536=0,CY536="mastro"),"",CY536)</f>
        <v/>
      </c>
      <c r="DD536" s="48" t="str">
        <f ca="1">IF(AND($DA$2=TRUE,OR(INDEX(PDC,MATCH($DC536,DEN_PDC,0),4)="A",INDEX(PDC,MATCH($DC536,DEN_PDC,0),4)="D/A"),SUMIFS(AVERE,DEN_G,"="&amp;$DC536,DATA,"&lt;="&amp;FINE_AC,DATA,"&gt;="&amp;INIZIO_AC)&gt;SUMIFS(DARE,DEN_G,"="&amp;$DC536,DATA,"&lt;="&amp;FINE_AC,DATA,"&gt;="&amp;INIZIO_AC)),CONCATENATE("s ",FIXED(ABS(SUMIFS(AVERE,DEN_G,"="&amp;$DC536,DATA,"&lt;="&amp;FINE_AC,DATA,"&gt;="&amp;INIZIO_AC)-SUMIFS(DARE,DEN_G,"="&amp;$DC536,DATA,"&lt;="&amp;FINE_AC,DATA,"&gt;="&amp;INIZIO_AC)),2)),"")</f>
        <v/>
      </c>
      <c r="DE536" s="48" t="str">
        <f ca="1">IF(AND($DA$2=TRUE,OR(INDEX(PDC,MATCH($DC536,DEN_PDC,0),4)="D",INDEX(PDC,MATCH($DC536,DEN_PDC,0),4)="D/A"),SUMIFS(DARE,DEN_G,"="&amp;$DC536,DATA,"&lt;="&amp;FINE_AC,DATA,"&gt;="&amp;INIZIO_AC)&gt;SUMIFS(AVERE,DEN_G,"="&amp;$DC536,DATA,"&lt;="&amp;FINE_AC,DATA,"&gt;="&amp;INIZIO_AC)),CONCATENATE("s ",FIXED(ABS(SUMIFS(DARE,DEN_G,"="&amp;$DC536,DATA,"&lt;="&amp;FINE_AC,DATA,"&gt;="&amp;INIZIO_AC)-SUMIFS(AVERE,DEN_G,"="&amp;$DC536,DATA,"&lt;="&amp;FINE_AC,DATA,"&gt;="&amp;INIZIO_AC)),2)),"")</f>
        <v/>
      </c>
      <c r="DF536" s="48">
        <f ca="1">IF(AND(CX536=$DF$1,CX536&lt;&gt;""),0,IF(AND(DB536&lt;&gt;"",OR(DB535&lt;&gt;"",DB537&lt;&gt;"")),MAX($DF$2:DF535)+1,0))</f>
        <v>0</v>
      </c>
    </row>
    <row r="537" spans="102:110" x14ac:dyDescent="0.3">
      <c r="CX537" s="48">
        <f t="shared" ref="CX537:CX547" ca="1" si="859">$FF$44</f>
        <v>42</v>
      </c>
      <c r="CY537" s="48" t="str">
        <f t="shared" ca="1" si="858"/>
        <v>MASTRO</v>
      </c>
      <c r="DA537" s="48" t="str">
        <f ca="1">IF(DB536="","","Num. riga")</f>
        <v/>
      </c>
      <c r="DB537" s="48" t="str">
        <f t="shared" ref="DB537" ca="1" si="860">IF(DB536="","","Data")</f>
        <v/>
      </c>
      <c r="DC537" s="48" t="str">
        <f ca="1">IF(DB536="","","Operazioni")</f>
        <v/>
      </c>
      <c r="DD537" s="48" t="str">
        <f ca="1">IF(DB536="","","Dare        ")</f>
        <v/>
      </c>
      <c r="DE537" s="48" t="str">
        <f ca="1">IF(DB536="","","Avere        ")</f>
        <v/>
      </c>
      <c r="DF537" s="48">
        <f ca="1">IF(AND(CX537=$DF$1,CX537&lt;&gt;""),0,IF(AND(DB537&lt;&gt;"",OR(DB536&lt;&gt;"",DB538&lt;&gt;"")),MAX($DF$2:DF536)+1,0))</f>
        <v>0</v>
      </c>
    </row>
    <row r="538" spans="102:110" x14ac:dyDescent="0.3">
      <c r="CX538" s="48">
        <f t="shared" ca="1" si="859"/>
        <v>42</v>
      </c>
      <c r="CY538" s="48" t="str">
        <f t="shared" ca="1" si="858"/>
        <v>MASTRO</v>
      </c>
      <c r="CZ538" s="48" t="e">
        <f t="shared" ref="CZ538:CZ547" ca="1" si="861">SUM(MATCH($CY538,INDIRECT(ADDRESS(SUM(CZ537)+3,54)&amp;":"&amp;ADDRESS(400,54)),0),CZ537)</f>
        <v>#N/A</v>
      </c>
      <c r="DA538" s="48" t="str">
        <f ca="1">IFERROR(INDEX(LIBRO_GIORNALE,CZ538,1),"")</f>
        <v/>
      </c>
      <c r="DB538" s="48" t="str">
        <f t="shared" ref="DB538:DB599" ca="1" si="862">IF(RIGHT(TEXT(IFERROR(INDEX(LIBRO_GIORNALE,CZ538,2),""),"gg/mm/aa"),1)="a",TEXT(IFERROR(INDEX(LIBRO_GIORNALE,CZ538,2),""),"dd/mm/yy"),TEXT(IFERROR(INDEX(LIBRO_GIORNALE,CZ538,2),""),"gg/mm/aa"))</f>
        <v/>
      </c>
      <c r="DC538" s="48" t="str">
        <f t="shared" ref="DC538:DC547" ca="1" si="863">IF(IFERROR(INDEX(LIBRO_GIORNALE,CZ538,4),"")=0,"manca la descrizione dell'operazione",IFERROR(INDEX(LIBRO_GIORNALE,CZ538,4),""))</f>
        <v/>
      </c>
      <c r="DD538" s="48" t="str">
        <f t="shared" ref="DD538:DD547" ca="1" si="864">IFERROR(IF(INDEX(LIBRO_GIORNALE,CZ538,5)&gt;0,INDEX(LIBRO_GIORNALE,CZ538,5),""),"")</f>
        <v/>
      </c>
      <c r="DE538" s="48" t="str">
        <f t="shared" ref="DE538:DE547" ca="1" si="865">IFERROR(IF(INDEX(LIBRO_GIORNALE,CZ538,6)&gt;0,INDEX(LIBRO_GIORNALE,CZ538,6),""),"")</f>
        <v/>
      </c>
      <c r="DF538" s="48">
        <f ca="1">IF(AND(CX538=$DF$1,CX538&lt;&gt;""),0,IF(AND(DB538&lt;&gt;"",OR(DB537&lt;&gt;"",DB539&lt;&gt;"")),MAX($DF$2:DF537)+1,0))</f>
        <v>0</v>
      </c>
    </row>
    <row r="539" spans="102:110" x14ac:dyDescent="0.3">
      <c r="CX539" s="48">
        <f t="shared" ca="1" si="859"/>
        <v>42</v>
      </c>
      <c r="CY539" s="48" t="str">
        <f t="shared" ca="1" si="858"/>
        <v>MASTRO</v>
      </c>
      <c r="CZ539" s="48" t="e">
        <f t="shared" ca="1" si="861"/>
        <v>#N/A</v>
      </c>
      <c r="DA539" s="48" t="str">
        <f t="shared" ref="DA539:DA547" ca="1" si="866">IFERROR(INDEX(LIBRO_GIORNALE,CZ539,1),"")</f>
        <v/>
      </c>
      <c r="DB539" s="48" t="str">
        <f t="shared" ca="1" si="862"/>
        <v/>
      </c>
      <c r="DC539" s="48" t="str">
        <f t="shared" ca="1" si="863"/>
        <v/>
      </c>
      <c r="DD539" s="48" t="str">
        <f t="shared" ca="1" si="864"/>
        <v/>
      </c>
      <c r="DE539" s="48" t="str">
        <f t="shared" ca="1" si="865"/>
        <v/>
      </c>
      <c r="DF539" s="48">
        <f ca="1">IF(AND(CX539=$DF$1,CX539&lt;&gt;""),0,IF(AND(DB539&lt;&gt;"",OR(DB538&lt;&gt;"",DB540&lt;&gt;"")),MAX($DF$2:DF538)+1,0))</f>
        <v>0</v>
      </c>
    </row>
    <row r="540" spans="102:110" x14ac:dyDescent="0.3">
      <c r="CX540" s="48">
        <f t="shared" ca="1" si="859"/>
        <v>42</v>
      </c>
      <c r="CY540" s="48" t="str">
        <f t="shared" ca="1" si="858"/>
        <v>MASTRO</v>
      </c>
      <c r="CZ540" s="48" t="e">
        <f t="shared" ca="1" si="861"/>
        <v>#N/A</v>
      </c>
      <c r="DA540" s="48" t="str">
        <f t="shared" ca="1" si="866"/>
        <v/>
      </c>
      <c r="DB540" s="48" t="str">
        <f t="shared" ca="1" si="862"/>
        <v/>
      </c>
      <c r="DC540" s="48" t="str">
        <f t="shared" ca="1" si="863"/>
        <v/>
      </c>
      <c r="DD540" s="48" t="str">
        <f t="shared" ca="1" si="864"/>
        <v/>
      </c>
      <c r="DE540" s="48" t="str">
        <f t="shared" ca="1" si="865"/>
        <v/>
      </c>
      <c r="DF540" s="48">
        <f ca="1">IF(AND(CX540=$DF$1,CX540&lt;&gt;""),0,IF(AND(DB540&lt;&gt;"",OR(DB539&lt;&gt;"",DB541&lt;&gt;"")),MAX($DF$2:DF539)+1,0))</f>
        <v>0</v>
      </c>
    </row>
    <row r="541" spans="102:110" x14ac:dyDescent="0.3">
      <c r="CX541" s="48">
        <f t="shared" ca="1" si="859"/>
        <v>42</v>
      </c>
      <c r="CY541" s="48" t="str">
        <f t="shared" ca="1" si="858"/>
        <v>MASTRO</v>
      </c>
      <c r="CZ541" s="48" t="e">
        <f t="shared" ca="1" si="861"/>
        <v>#N/A</v>
      </c>
      <c r="DA541" s="48" t="str">
        <f t="shared" ca="1" si="866"/>
        <v/>
      </c>
      <c r="DB541" s="48" t="str">
        <f t="shared" ca="1" si="862"/>
        <v/>
      </c>
      <c r="DC541" s="48" t="str">
        <f t="shared" ca="1" si="863"/>
        <v/>
      </c>
      <c r="DD541" s="48" t="str">
        <f t="shared" ca="1" si="864"/>
        <v/>
      </c>
      <c r="DE541" s="48" t="str">
        <f t="shared" ca="1" si="865"/>
        <v/>
      </c>
      <c r="DF541" s="48">
        <f ca="1">IF(AND(CX541=$DF$1,CX541&lt;&gt;""),0,IF(AND(DB541&lt;&gt;"",OR(DB540&lt;&gt;"",DB542&lt;&gt;"")),MAX($DF$2:DF540)+1,0))</f>
        <v>0</v>
      </c>
    </row>
    <row r="542" spans="102:110" x14ac:dyDescent="0.3">
      <c r="CX542" s="48">
        <f t="shared" ca="1" si="859"/>
        <v>42</v>
      </c>
      <c r="CY542" s="48" t="str">
        <f t="shared" ca="1" si="858"/>
        <v>MASTRO</v>
      </c>
      <c r="CZ542" s="48" t="e">
        <f t="shared" ca="1" si="861"/>
        <v>#N/A</v>
      </c>
      <c r="DA542" s="48" t="str">
        <f t="shared" ca="1" si="866"/>
        <v/>
      </c>
      <c r="DB542" s="48" t="str">
        <f t="shared" ca="1" si="862"/>
        <v/>
      </c>
      <c r="DC542" s="48" t="str">
        <f t="shared" ca="1" si="863"/>
        <v/>
      </c>
      <c r="DD542" s="48" t="str">
        <f t="shared" ca="1" si="864"/>
        <v/>
      </c>
      <c r="DE542" s="48" t="str">
        <f t="shared" ca="1" si="865"/>
        <v/>
      </c>
      <c r="DF542" s="48">
        <f ca="1">IF(AND(CX542=$DF$1,CX542&lt;&gt;""),0,IF(AND(DB542&lt;&gt;"",OR(DB541&lt;&gt;"",DB543&lt;&gt;"")),MAX($DF$2:DF541)+1,0))</f>
        <v>0</v>
      </c>
    </row>
    <row r="543" spans="102:110" x14ac:dyDescent="0.3">
      <c r="CX543" s="48">
        <f t="shared" ca="1" si="859"/>
        <v>42</v>
      </c>
      <c r="CY543" s="48" t="str">
        <f t="shared" ca="1" si="858"/>
        <v>MASTRO</v>
      </c>
      <c r="CZ543" s="48" t="e">
        <f t="shared" ca="1" si="861"/>
        <v>#N/A</v>
      </c>
      <c r="DA543" s="48" t="str">
        <f t="shared" ca="1" si="866"/>
        <v/>
      </c>
      <c r="DB543" s="48" t="str">
        <f t="shared" ca="1" si="862"/>
        <v/>
      </c>
      <c r="DC543" s="48" t="str">
        <f t="shared" ca="1" si="863"/>
        <v/>
      </c>
      <c r="DD543" s="48" t="str">
        <f t="shared" ca="1" si="864"/>
        <v/>
      </c>
      <c r="DE543" s="48" t="str">
        <f t="shared" ca="1" si="865"/>
        <v/>
      </c>
      <c r="DF543" s="48">
        <f ca="1">IF(AND(CX543=$DF$1,CX543&lt;&gt;""),0,IF(AND(DB543&lt;&gt;"",OR(DB542&lt;&gt;"",DB544&lt;&gt;"")),MAX($DF$2:DF542)+1,0))</f>
        <v>0</v>
      </c>
    </row>
    <row r="544" spans="102:110" x14ac:dyDescent="0.3">
      <c r="CX544" s="48">
        <f t="shared" ca="1" si="859"/>
        <v>42</v>
      </c>
      <c r="CY544" s="48" t="str">
        <f t="shared" ca="1" si="858"/>
        <v>MASTRO</v>
      </c>
      <c r="CZ544" s="48" t="e">
        <f t="shared" ca="1" si="861"/>
        <v>#N/A</v>
      </c>
      <c r="DA544" s="48" t="str">
        <f t="shared" ca="1" si="866"/>
        <v/>
      </c>
      <c r="DB544" s="48" t="str">
        <f t="shared" ca="1" si="862"/>
        <v/>
      </c>
      <c r="DC544" s="48" t="str">
        <f t="shared" ca="1" si="863"/>
        <v/>
      </c>
      <c r="DD544" s="48" t="str">
        <f t="shared" ca="1" si="864"/>
        <v/>
      </c>
      <c r="DE544" s="48" t="str">
        <f t="shared" ca="1" si="865"/>
        <v/>
      </c>
      <c r="DF544" s="48">
        <f ca="1">IF(AND(CX544=$DF$1,CX544&lt;&gt;""),0,IF(AND(DB544&lt;&gt;"",OR(DB543&lt;&gt;"",DB545&lt;&gt;"")),MAX($DF$2:DF543)+1,0))</f>
        <v>0</v>
      </c>
    </row>
    <row r="545" spans="102:110" x14ac:dyDescent="0.3">
      <c r="CX545" s="48">
        <f t="shared" ca="1" si="859"/>
        <v>42</v>
      </c>
      <c r="CY545" s="48" t="str">
        <f t="shared" ca="1" si="858"/>
        <v>MASTRO</v>
      </c>
      <c r="CZ545" s="48" t="e">
        <f t="shared" ca="1" si="861"/>
        <v>#N/A</v>
      </c>
      <c r="DA545" s="48" t="str">
        <f t="shared" ca="1" si="866"/>
        <v/>
      </c>
      <c r="DB545" s="48" t="str">
        <f t="shared" ca="1" si="862"/>
        <v/>
      </c>
      <c r="DC545" s="48" t="str">
        <f t="shared" ca="1" si="863"/>
        <v/>
      </c>
      <c r="DD545" s="48" t="str">
        <f t="shared" ca="1" si="864"/>
        <v/>
      </c>
      <c r="DE545" s="48" t="str">
        <f t="shared" ca="1" si="865"/>
        <v/>
      </c>
      <c r="DF545" s="48">
        <f ca="1">IF(AND(CX545=$DF$1,CX545&lt;&gt;""),0,IF(AND(DB545&lt;&gt;"",OR(DB544&lt;&gt;"",DB546&lt;&gt;"")),MAX($DF$2:DF544)+1,0))</f>
        <v>0</v>
      </c>
    </row>
    <row r="546" spans="102:110" x14ac:dyDescent="0.3">
      <c r="CX546" s="48">
        <f t="shared" ca="1" si="859"/>
        <v>42</v>
      </c>
      <c r="CY546" s="48" t="str">
        <f t="shared" ca="1" si="858"/>
        <v>MASTRO</v>
      </c>
      <c r="CZ546" s="48" t="e">
        <f t="shared" ca="1" si="861"/>
        <v>#N/A</v>
      </c>
      <c r="DA546" s="48" t="str">
        <f t="shared" ca="1" si="866"/>
        <v/>
      </c>
      <c r="DB546" s="48" t="str">
        <f t="shared" ca="1" si="862"/>
        <v/>
      </c>
      <c r="DC546" s="48" t="str">
        <f t="shared" ca="1" si="863"/>
        <v/>
      </c>
      <c r="DD546" s="48" t="str">
        <f t="shared" ca="1" si="864"/>
        <v/>
      </c>
      <c r="DE546" s="48" t="str">
        <f t="shared" ca="1" si="865"/>
        <v/>
      </c>
      <c r="DF546" s="48">
        <f ca="1">IF(AND(CX546=$DF$1,CX546&lt;&gt;""),0,IF(AND(DB546&lt;&gt;"",OR(DB545&lt;&gt;"",DB547&lt;&gt;"")),MAX($DF$2:DF545)+1,0))</f>
        <v>0</v>
      </c>
    </row>
    <row r="547" spans="102:110" x14ac:dyDescent="0.3">
      <c r="CX547" s="48">
        <f t="shared" ca="1" si="859"/>
        <v>42</v>
      </c>
      <c r="CY547" s="48" t="str">
        <f t="shared" ca="1" si="858"/>
        <v>MASTRO</v>
      </c>
      <c r="CZ547" s="48" t="e">
        <f t="shared" ca="1" si="861"/>
        <v>#N/A</v>
      </c>
      <c r="DA547" s="48" t="str">
        <f t="shared" ca="1" si="866"/>
        <v/>
      </c>
      <c r="DB547" s="48" t="str">
        <f t="shared" ca="1" si="862"/>
        <v/>
      </c>
      <c r="DC547" s="48" t="str">
        <f t="shared" ca="1" si="863"/>
        <v/>
      </c>
      <c r="DD547" s="48" t="str">
        <f t="shared" ca="1" si="864"/>
        <v/>
      </c>
      <c r="DE547" s="48" t="str">
        <f t="shared" ca="1" si="865"/>
        <v/>
      </c>
      <c r="DF547" s="48">
        <f ca="1">IF(AND(CX547=$DF$1,CX547&lt;&gt;""),0,IF(AND(DB547&lt;&gt;"",OR(DB546&lt;&gt;"",DB548&lt;&gt;"")),MAX($DF$2:DF546)+1,0))</f>
        <v>0</v>
      </c>
    </row>
    <row r="548" spans="102:110" x14ac:dyDescent="0.3">
      <c r="CY548" s="48" t="s">
        <v>500</v>
      </c>
      <c r="DB548" s="48" t="str">
        <f t="shared" ref="DB548" ca="1" si="867">IF(CX547=$DF$1,"","MASTRO")</f>
        <v>MASTRO</v>
      </c>
      <c r="DF548" s="48">
        <f ca="1">IF(AND(CX548=$DF$1,CX548&lt;&gt;""),0,IF(AND(DB548&lt;&gt;"",OR(DB547&lt;&gt;"",DB549&lt;&gt;"")),MAX($DF$2:DF547)+1,0))</f>
        <v>0</v>
      </c>
    </row>
    <row r="549" spans="102:110" x14ac:dyDescent="0.3">
      <c r="CX549" s="48">
        <f ca="1">$FF$45</f>
        <v>43</v>
      </c>
      <c r="CY549" s="48" t="str">
        <f t="shared" ref="CY549:CY560" ca="1" si="868">IF(ISERROR(INDEX($CV$3:$CX$1302,MATCH(CX549,$CW$3:$CW$1302,0),1)),"MASTRO",INDEX($CV$3:$CX$1302,MATCH(CX549,$CW$3:$CW$1302,0),1))</f>
        <v>MASTRO</v>
      </c>
      <c r="DA549" s="48" t="str">
        <f>IF(CY548="MASTRO","Conto n.","")</f>
        <v>Conto n.</v>
      </c>
      <c r="DB549" s="48" t="str">
        <f ca="1">IF(CY549=0,"",INDEX(PDC,MATCH(DC549,DEN_PDC,0),1))</f>
        <v/>
      </c>
      <c r="DC549" s="48" t="str">
        <f ca="1">IF(OR(CY549=0,CY549="mastro"),"",CY549)</f>
        <v/>
      </c>
      <c r="DD549" s="48" t="str">
        <f ca="1">IF(AND($DA$2=TRUE,OR(INDEX(PDC,MATCH($DC549,DEN_PDC,0),4)="A",INDEX(PDC,MATCH($DC549,DEN_PDC,0),4)="D/A"),SUMIFS(AVERE,DEN_G,"="&amp;$DC549,DATA,"&lt;="&amp;FINE_AC,DATA,"&gt;="&amp;INIZIO_AC)&gt;SUMIFS(DARE,DEN_G,"="&amp;$DC549,DATA,"&lt;="&amp;FINE_AC,DATA,"&gt;="&amp;INIZIO_AC)),CONCATENATE("s ",FIXED(ABS(SUMIFS(AVERE,DEN_G,"="&amp;$DC549,DATA,"&lt;="&amp;FINE_AC,DATA,"&gt;="&amp;INIZIO_AC)-SUMIFS(DARE,DEN_G,"="&amp;$DC549,DATA,"&lt;="&amp;FINE_AC,DATA,"&gt;="&amp;INIZIO_AC)),2)),"")</f>
        <v/>
      </c>
      <c r="DE549" s="48" t="str">
        <f ca="1">IF(AND($DA$2=TRUE,OR(INDEX(PDC,MATCH($DC549,DEN_PDC,0),4)="D",INDEX(PDC,MATCH($DC549,DEN_PDC,0),4)="D/A"),SUMIFS(DARE,DEN_G,"="&amp;$DC549,DATA,"&lt;="&amp;FINE_AC,DATA,"&gt;="&amp;INIZIO_AC)&gt;SUMIFS(AVERE,DEN_G,"="&amp;$DC549,DATA,"&lt;="&amp;FINE_AC,DATA,"&gt;="&amp;INIZIO_AC)),CONCATENATE("s ",FIXED(ABS(SUMIFS(DARE,DEN_G,"="&amp;$DC549,DATA,"&lt;="&amp;FINE_AC,DATA,"&gt;="&amp;INIZIO_AC)-SUMIFS(AVERE,DEN_G,"="&amp;$DC549,DATA,"&lt;="&amp;FINE_AC,DATA,"&gt;="&amp;INIZIO_AC)),2)),"")</f>
        <v/>
      </c>
      <c r="DF549" s="48">
        <f ca="1">IF(AND(CX549=$DF$1,CX549&lt;&gt;""),0,IF(AND(DB549&lt;&gt;"",OR(DB548&lt;&gt;"",DB550&lt;&gt;"")),MAX($DF$2:DF548)+1,0))</f>
        <v>0</v>
      </c>
    </row>
    <row r="550" spans="102:110" x14ac:dyDescent="0.3">
      <c r="CX550" s="48">
        <f t="shared" ref="CX550:CX560" ca="1" si="869">$FF$45</f>
        <v>43</v>
      </c>
      <c r="CY550" s="48" t="str">
        <f t="shared" ca="1" si="868"/>
        <v>MASTRO</v>
      </c>
      <c r="DA550" s="48" t="str">
        <f ca="1">IF(DB549="","","Num. riga")</f>
        <v/>
      </c>
      <c r="DB550" s="48" t="str">
        <f t="shared" ref="DB550" ca="1" si="870">IF(DB549="","","Data")</f>
        <v/>
      </c>
      <c r="DC550" s="48" t="str">
        <f ca="1">IF(DB549="","","Operazioni")</f>
        <v/>
      </c>
      <c r="DD550" s="48" t="str">
        <f ca="1">IF(DB549="","","Dare        ")</f>
        <v/>
      </c>
      <c r="DE550" s="48" t="str">
        <f ca="1">IF(DB549="","","Avere        ")</f>
        <v/>
      </c>
      <c r="DF550" s="48">
        <f ca="1">IF(AND(CX550=$DF$1,CX550&lt;&gt;""),0,IF(AND(DB550&lt;&gt;"",OR(DB549&lt;&gt;"",DB551&lt;&gt;"")),MAX($DF$2:DF549)+1,0))</f>
        <v>0</v>
      </c>
    </row>
    <row r="551" spans="102:110" x14ac:dyDescent="0.3">
      <c r="CX551" s="48">
        <f t="shared" ca="1" si="869"/>
        <v>43</v>
      </c>
      <c r="CY551" s="48" t="str">
        <f t="shared" ca="1" si="868"/>
        <v>MASTRO</v>
      </c>
      <c r="CZ551" s="48" t="e">
        <f t="shared" ref="CZ551:CZ560" ca="1" si="871">SUM(MATCH($CY551,INDIRECT(ADDRESS(SUM(CZ550)+3,54)&amp;":"&amp;ADDRESS(400,54)),0),CZ550)</f>
        <v>#N/A</v>
      </c>
      <c r="DA551" s="48" t="str">
        <f ca="1">IFERROR(INDEX(LIBRO_GIORNALE,CZ551,1),"")</f>
        <v/>
      </c>
      <c r="DB551" s="48" t="str">
        <f t="shared" ca="1" si="862"/>
        <v/>
      </c>
      <c r="DC551" s="48" t="str">
        <f t="shared" ref="DC551:DC560" ca="1" si="872">IF(IFERROR(INDEX(LIBRO_GIORNALE,CZ551,4),"")=0,"manca la descrizione dell'operazione",IFERROR(INDEX(LIBRO_GIORNALE,CZ551,4),""))</f>
        <v/>
      </c>
      <c r="DD551" s="48" t="str">
        <f t="shared" ref="DD551:DD560" ca="1" si="873">IFERROR(IF(INDEX(LIBRO_GIORNALE,CZ551,5)&gt;0,INDEX(LIBRO_GIORNALE,CZ551,5),""),"")</f>
        <v/>
      </c>
      <c r="DE551" s="48" t="str">
        <f t="shared" ref="DE551:DE560" ca="1" si="874">IFERROR(IF(INDEX(LIBRO_GIORNALE,CZ551,6)&gt;0,INDEX(LIBRO_GIORNALE,CZ551,6),""),"")</f>
        <v/>
      </c>
      <c r="DF551" s="48">
        <f ca="1">IF(AND(CX551=$DF$1,CX551&lt;&gt;""),0,IF(AND(DB551&lt;&gt;"",OR(DB550&lt;&gt;"",DB552&lt;&gt;"")),MAX($DF$2:DF550)+1,0))</f>
        <v>0</v>
      </c>
    </row>
    <row r="552" spans="102:110" x14ac:dyDescent="0.3">
      <c r="CX552" s="48">
        <f t="shared" ca="1" si="869"/>
        <v>43</v>
      </c>
      <c r="CY552" s="48" t="str">
        <f t="shared" ca="1" si="868"/>
        <v>MASTRO</v>
      </c>
      <c r="CZ552" s="48" t="e">
        <f t="shared" ca="1" si="871"/>
        <v>#N/A</v>
      </c>
      <c r="DA552" s="48" t="str">
        <f t="shared" ref="DA552:DA560" ca="1" si="875">IFERROR(INDEX(LIBRO_GIORNALE,CZ552,1),"")</f>
        <v/>
      </c>
      <c r="DB552" s="48" t="str">
        <f t="shared" ca="1" si="862"/>
        <v/>
      </c>
      <c r="DC552" s="48" t="str">
        <f t="shared" ca="1" si="872"/>
        <v/>
      </c>
      <c r="DD552" s="48" t="str">
        <f t="shared" ca="1" si="873"/>
        <v/>
      </c>
      <c r="DE552" s="48" t="str">
        <f t="shared" ca="1" si="874"/>
        <v/>
      </c>
      <c r="DF552" s="48">
        <f ca="1">IF(AND(CX552=$DF$1,CX552&lt;&gt;""),0,IF(AND(DB552&lt;&gt;"",OR(DB551&lt;&gt;"",DB553&lt;&gt;"")),MAX($DF$2:DF551)+1,0))</f>
        <v>0</v>
      </c>
    </row>
    <row r="553" spans="102:110" x14ac:dyDescent="0.3">
      <c r="CX553" s="48">
        <f t="shared" ca="1" si="869"/>
        <v>43</v>
      </c>
      <c r="CY553" s="48" t="str">
        <f t="shared" ca="1" si="868"/>
        <v>MASTRO</v>
      </c>
      <c r="CZ553" s="48" t="e">
        <f t="shared" ca="1" si="871"/>
        <v>#N/A</v>
      </c>
      <c r="DA553" s="48" t="str">
        <f t="shared" ca="1" si="875"/>
        <v/>
      </c>
      <c r="DB553" s="48" t="str">
        <f t="shared" ca="1" si="862"/>
        <v/>
      </c>
      <c r="DC553" s="48" t="str">
        <f t="shared" ca="1" si="872"/>
        <v/>
      </c>
      <c r="DD553" s="48" t="str">
        <f t="shared" ca="1" si="873"/>
        <v/>
      </c>
      <c r="DE553" s="48" t="str">
        <f t="shared" ca="1" si="874"/>
        <v/>
      </c>
      <c r="DF553" s="48">
        <f ca="1">IF(AND(CX553=$DF$1,CX553&lt;&gt;""),0,IF(AND(DB553&lt;&gt;"",OR(DB552&lt;&gt;"",DB554&lt;&gt;"")),MAX($DF$2:DF552)+1,0))</f>
        <v>0</v>
      </c>
    </row>
    <row r="554" spans="102:110" x14ac:dyDescent="0.3">
      <c r="CX554" s="48">
        <f t="shared" ca="1" si="869"/>
        <v>43</v>
      </c>
      <c r="CY554" s="48" t="str">
        <f t="shared" ca="1" si="868"/>
        <v>MASTRO</v>
      </c>
      <c r="CZ554" s="48" t="e">
        <f t="shared" ca="1" si="871"/>
        <v>#N/A</v>
      </c>
      <c r="DA554" s="48" t="str">
        <f t="shared" ca="1" si="875"/>
        <v/>
      </c>
      <c r="DB554" s="48" t="str">
        <f t="shared" ca="1" si="862"/>
        <v/>
      </c>
      <c r="DC554" s="48" t="str">
        <f t="shared" ca="1" si="872"/>
        <v/>
      </c>
      <c r="DD554" s="48" t="str">
        <f t="shared" ca="1" si="873"/>
        <v/>
      </c>
      <c r="DE554" s="48" t="str">
        <f t="shared" ca="1" si="874"/>
        <v/>
      </c>
      <c r="DF554" s="48">
        <f ca="1">IF(AND(CX554=$DF$1,CX554&lt;&gt;""),0,IF(AND(DB554&lt;&gt;"",OR(DB553&lt;&gt;"",DB555&lt;&gt;"")),MAX($DF$2:DF553)+1,0))</f>
        <v>0</v>
      </c>
    </row>
    <row r="555" spans="102:110" x14ac:dyDescent="0.3">
      <c r="CX555" s="48">
        <f t="shared" ca="1" si="869"/>
        <v>43</v>
      </c>
      <c r="CY555" s="48" t="str">
        <f t="shared" ca="1" si="868"/>
        <v>MASTRO</v>
      </c>
      <c r="CZ555" s="48" t="e">
        <f t="shared" ca="1" si="871"/>
        <v>#N/A</v>
      </c>
      <c r="DA555" s="48" t="str">
        <f t="shared" ca="1" si="875"/>
        <v/>
      </c>
      <c r="DB555" s="48" t="str">
        <f t="shared" ca="1" si="862"/>
        <v/>
      </c>
      <c r="DC555" s="48" t="str">
        <f t="shared" ca="1" si="872"/>
        <v/>
      </c>
      <c r="DD555" s="48" t="str">
        <f t="shared" ca="1" si="873"/>
        <v/>
      </c>
      <c r="DE555" s="48" t="str">
        <f t="shared" ca="1" si="874"/>
        <v/>
      </c>
      <c r="DF555" s="48">
        <f ca="1">IF(AND(CX555=$DF$1,CX555&lt;&gt;""),0,IF(AND(DB555&lt;&gt;"",OR(DB554&lt;&gt;"",DB556&lt;&gt;"")),MAX($DF$2:DF554)+1,0))</f>
        <v>0</v>
      </c>
    </row>
    <row r="556" spans="102:110" x14ac:dyDescent="0.3">
      <c r="CX556" s="48">
        <f t="shared" ca="1" si="869"/>
        <v>43</v>
      </c>
      <c r="CY556" s="48" t="str">
        <f t="shared" ca="1" si="868"/>
        <v>MASTRO</v>
      </c>
      <c r="CZ556" s="48" t="e">
        <f t="shared" ca="1" si="871"/>
        <v>#N/A</v>
      </c>
      <c r="DA556" s="48" t="str">
        <f t="shared" ca="1" si="875"/>
        <v/>
      </c>
      <c r="DB556" s="48" t="str">
        <f t="shared" ca="1" si="862"/>
        <v/>
      </c>
      <c r="DC556" s="48" t="str">
        <f t="shared" ca="1" si="872"/>
        <v/>
      </c>
      <c r="DD556" s="48" t="str">
        <f t="shared" ca="1" si="873"/>
        <v/>
      </c>
      <c r="DE556" s="48" t="str">
        <f t="shared" ca="1" si="874"/>
        <v/>
      </c>
      <c r="DF556" s="48">
        <f ca="1">IF(AND(CX556=$DF$1,CX556&lt;&gt;""),0,IF(AND(DB556&lt;&gt;"",OR(DB555&lt;&gt;"",DB557&lt;&gt;"")),MAX($DF$2:DF555)+1,0))</f>
        <v>0</v>
      </c>
    </row>
    <row r="557" spans="102:110" x14ac:dyDescent="0.3">
      <c r="CX557" s="48">
        <f t="shared" ca="1" si="869"/>
        <v>43</v>
      </c>
      <c r="CY557" s="48" t="str">
        <f t="shared" ca="1" si="868"/>
        <v>MASTRO</v>
      </c>
      <c r="CZ557" s="48" t="e">
        <f t="shared" ca="1" si="871"/>
        <v>#N/A</v>
      </c>
      <c r="DA557" s="48" t="str">
        <f t="shared" ca="1" si="875"/>
        <v/>
      </c>
      <c r="DB557" s="48" t="str">
        <f t="shared" ca="1" si="862"/>
        <v/>
      </c>
      <c r="DC557" s="48" t="str">
        <f t="shared" ca="1" si="872"/>
        <v/>
      </c>
      <c r="DD557" s="48" t="str">
        <f t="shared" ca="1" si="873"/>
        <v/>
      </c>
      <c r="DE557" s="48" t="str">
        <f t="shared" ca="1" si="874"/>
        <v/>
      </c>
      <c r="DF557" s="48">
        <f ca="1">IF(AND(CX557=$DF$1,CX557&lt;&gt;""),0,IF(AND(DB557&lt;&gt;"",OR(DB556&lt;&gt;"",DB558&lt;&gt;"")),MAX($DF$2:DF556)+1,0))</f>
        <v>0</v>
      </c>
    </row>
    <row r="558" spans="102:110" x14ac:dyDescent="0.3">
      <c r="CX558" s="48">
        <f t="shared" ca="1" si="869"/>
        <v>43</v>
      </c>
      <c r="CY558" s="48" t="str">
        <f t="shared" ca="1" si="868"/>
        <v>MASTRO</v>
      </c>
      <c r="CZ558" s="48" t="e">
        <f t="shared" ca="1" si="871"/>
        <v>#N/A</v>
      </c>
      <c r="DA558" s="48" t="str">
        <f t="shared" ca="1" si="875"/>
        <v/>
      </c>
      <c r="DB558" s="48" t="str">
        <f t="shared" ca="1" si="862"/>
        <v/>
      </c>
      <c r="DC558" s="48" t="str">
        <f t="shared" ca="1" si="872"/>
        <v/>
      </c>
      <c r="DD558" s="48" t="str">
        <f t="shared" ca="1" si="873"/>
        <v/>
      </c>
      <c r="DE558" s="48" t="str">
        <f t="shared" ca="1" si="874"/>
        <v/>
      </c>
      <c r="DF558" s="48">
        <f ca="1">IF(AND(CX558=$DF$1,CX558&lt;&gt;""),0,IF(AND(DB558&lt;&gt;"",OR(DB557&lt;&gt;"",DB559&lt;&gt;"")),MAX($DF$2:DF557)+1,0))</f>
        <v>0</v>
      </c>
    </row>
    <row r="559" spans="102:110" x14ac:dyDescent="0.3">
      <c r="CX559" s="48">
        <f t="shared" ca="1" si="869"/>
        <v>43</v>
      </c>
      <c r="CY559" s="48" t="str">
        <f t="shared" ca="1" si="868"/>
        <v>MASTRO</v>
      </c>
      <c r="CZ559" s="48" t="e">
        <f t="shared" ca="1" si="871"/>
        <v>#N/A</v>
      </c>
      <c r="DA559" s="48" t="str">
        <f t="shared" ca="1" si="875"/>
        <v/>
      </c>
      <c r="DB559" s="48" t="str">
        <f t="shared" ca="1" si="862"/>
        <v/>
      </c>
      <c r="DC559" s="48" t="str">
        <f t="shared" ca="1" si="872"/>
        <v/>
      </c>
      <c r="DD559" s="48" t="str">
        <f t="shared" ca="1" si="873"/>
        <v/>
      </c>
      <c r="DE559" s="48" t="str">
        <f t="shared" ca="1" si="874"/>
        <v/>
      </c>
      <c r="DF559" s="48">
        <f ca="1">IF(AND(CX559=$DF$1,CX559&lt;&gt;""),0,IF(AND(DB559&lt;&gt;"",OR(DB558&lt;&gt;"",DB560&lt;&gt;"")),MAX($DF$2:DF558)+1,0))</f>
        <v>0</v>
      </c>
    </row>
    <row r="560" spans="102:110" x14ac:dyDescent="0.3">
      <c r="CX560" s="48">
        <f t="shared" ca="1" si="869"/>
        <v>43</v>
      </c>
      <c r="CY560" s="48" t="str">
        <f t="shared" ca="1" si="868"/>
        <v>MASTRO</v>
      </c>
      <c r="CZ560" s="48" t="e">
        <f t="shared" ca="1" si="871"/>
        <v>#N/A</v>
      </c>
      <c r="DA560" s="48" t="str">
        <f t="shared" ca="1" si="875"/>
        <v/>
      </c>
      <c r="DB560" s="48" t="str">
        <f t="shared" ca="1" si="862"/>
        <v/>
      </c>
      <c r="DC560" s="48" t="str">
        <f t="shared" ca="1" si="872"/>
        <v/>
      </c>
      <c r="DD560" s="48" t="str">
        <f t="shared" ca="1" si="873"/>
        <v/>
      </c>
      <c r="DE560" s="48" t="str">
        <f t="shared" ca="1" si="874"/>
        <v/>
      </c>
      <c r="DF560" s="48">
        <f ca="1">IF(AND(CX560=$DF$1,CX560&lt;&gt;""),0,IF(AND(DB560&lt;&gt;"",OR(DB559&lt;&gt;"",DB561&lt;&gt;"")),MAX($DF$2:DF559)+1,0))</f>
        <v>0</v>
      </c>
    </row>
    <row r="561" spans="102:110" x14ac:dyDescent="0.3">
      <c r="CY561" s="48" t="s">
        <v>500</v>
      </c>
      <c r="DB561" s="48" t="str">
        <f t="shared" ref="DB561" ca="1" si="876">IF(CX560=$DF$1,"","MASTRO")</f>
        <v>MASTRO</v>
      </c>
      <c r="DF561" s="48">
        <f ca="1">IF(AND(CX561=$DF$1,CX561&lt;&gt;""),0,IF(AND(DB561&lt;&gt;"",OR(DB560&lt;&gt;"",DB562&lt;&gt;"")),MAX($DF$2:DF560)+1,0))</f>
        <v>0</v>
      </c>
    </row>
    <row r="562" spans="102:110" x14ac:dyDescent="0.3">
      <c r="CX562" s="48">
        <f ca="1">$FF$46</f>
        <v>44</v>
      </c>
      <c r="CY562" s="48" t="str">
        <f t="shared" ref="CY562:CY573" ca="1" si="877">IF(ISERROR(INDEX($CV$3:$CX$1302,MATCH(CX562,$CW$3:$CW$1302,0),1)),"MASTRO",INDEX($CV$3:$CX$1302,MATCH(CX562,$CW$3:$CW$1302,0),1))</f>
        <v>MASTRO</v>
      </c>
      <c r="DA562" s="48" t="str">
        <f>IF(CY561="MASTRO","Conto n.","")</f>
        <v>Conto n.</v>
      </c>
      <c r="DB562" s="48" t="str">
        <f ca="1">IF(CY562=0,"",INDEX(PDC,MATCH(DC562,DEN_PDC,0),1))</f>
        <v/>
      </c>
      <c r="DC562" s="48" t="str">
        <f ca="1">IF(OR(CY562=0,CY562="mastro"),"",CY562)</f>
        <v/>
      </c>
      <c r="DD562" s="48" t="str">
        <f ca="1">IF(AND($DA$2=TRUE,OR(INDEX(PDC,MATCH($DC562,DEN_PDC,0),4)="A",INDEX(PDC,MATCH($DC562,DEN_PDC,0),4)="D/A"),SUMIFS(AVERE,DEN_G,"="&amp;$DC562,DATA,"&lt;="&amp;FINE_AC,DATA,"&gt;="&amp;INIZIO_AC)&gt;SUMIFS(DARE,DEN_G,"="&amp;$DC562,DATA,"&lt;="&amp;FINE_AC,DATA,"&gt;="&amp;INIZIO_AC)),CONCATENATE("s ",FIXED(ABS(SUMIFS(AVERE,DEN_G,"="&amp;$DC562,DATA,"&lt;="&amp;FINE_AC,DATA,"&gt;="&amp;INIZIO_AC)-SUMIFS(DARE,DEN_G,"="&amp;$DC562,DATA,"&lt;="&amp;FINE_AC,DATA,"&gt;="&amp;INIZIO_AC)),2)),"")</f>
        <v/>
      </c>
      <c r="DE562" s="48" t="str">
        <f ca="1">IF(AND($DA$2=TRUE,OR(INDEX(PDC,MATCH($DC562,DEN_PDC,0),4)="D",INDEX(PDC,MATCH($DC562,DEN_PDC,0),4)="D/A"),SUMIFS(DARE,DEN_G,"="&amp;$DC562,DATA,"&lt;="&amp;FINE_AC,DATA,"&gt;="&amp;INIZIO_AC)&gt;SUMIFS(AVERE,DEN_G,"="&amp;$DC562,DATA,"&lt;="&amp;FINE_AC,DATA,"&gt;="&amp;INIZIO_AC)),CONCATENATE("s ",FIXED(ABS(SUMIFS(DARE,DEN_G,"="&amp;$DC562,DATA,"&lt;="&amp;FINE_AC,DATA,"&gt;="&amp;INIZIO_AC)-SUMIFS(AVERE,DEN_G,"="&amp;$DC562,DATA,"&lt;="&amp;FINE_AC,DATA,"&gt;="&amp;INIZIO_AC)),2)),"")</f>
        <v/>
      </c>
      <c r="DF562" s="48">
        <f ca="1">IF(AND(CX562=$DF$1,CX562&lt;&gt;""),0,IF(AND(DB562&lt;&gt;"",OR(DB561&lt;&gt;"",DB563&lt;&gt;"")),MAX($DF$2:DF561)+1,0))</f>
        <v>0</v>
      </c>
    </row>
    <row r="563" spans="102:110" x14ac:dyDescent="0.3">
      <c r="CX563" s="48">
        <f t="shared" ref="CX563:CX573" ca="1" si="878">$FF$46</f>
        <v>44</v>
      </c>
      <c r="CY563" s="48" t="str">
        <f t="shared" ca="1" si="877"/>
        <v>MASTRO</v>
      </c>
      <c r="DA563" s="48" t="str">
        <f ca="1">IF(DB562="","","Num. riga")</f>
        <v/>
      </c>
      <c r="DB563" s="48" t="str">
        <f t="shared" ref="DB563" ca="1" si="879">IF(DB562="","","Data")</f>
        <v/>
      </c>
      <c r="DC563" s="48" t="str">
        <f ca="1">IF(DB562="","","Operazioni")</f>
        <v/>
      </c>
      <c r="DD563" s="48" t="str">
        <f ca="1">IF(DB562="","","Dare        ")</f>
        <v/>
      </c>
      <c r="DE563" s="48" t="str">
        <f ca="1">IF(DB562="","","Avere        ")</f>
        <v/>
      </c>
      <c r="DF563" s="48">
        <f ca="1">IF(AND(CX563=$DF$1,CX563&lt;&gt;""),0,IF(AND(DB563&lt;&gt;"",OR(DB562&lt;&gt;"",DB564&lt;&gt;"")),MAX($DF$2:DF562)+1,0))</f>
        <v>0</v>
      </c>
    </row>
    <row r="564" spans="102:110" x14ac:dyDescent="0.3">
      <c r="CX564" s="48">
        <f t="shared" ca="1" si="878"/>
        <v>44</v>
      </c>
      <c r="CY564" s="48" t="str">
        <f t="shared" ca="1" si="877"/>
        <v>MASTRO</v>
      </c>
      <c r="CZ564" s="48" t="e">
        <f t="shared" ref="CZ564:CZ573" ca="1" si="880">SUM(MATCH($CY564,INDIRECT(ADDRESS(SUM(CZ563)+3,54)&amp;":"&amp;ADDRESS(400,54)),0),CZ563)</f>
        <v>#N/A</v>
      </c>
      <c r="DA564" s="48" t="str">
        <f ca="1">IFERROR(INDEX(LIBRO_GIORNALE,CZ564,1),"")</f>
        <v/>
      </c>
      <c r="DB564" s="48" t="str">
        <f t="shared" ca="1" si="862"/>
        <v/>
      </c>
      <c r="DC564" s="48" t="str">
        <f t="shared" ref="DC564:DC573" ca="1" si="881">IF(IFERROR(INDEX(LIBRO_GIORNALE,CZ564,4),"")=0,"manca la descrizione dell'operazione",IFERROR(INDEX(LIBRO_GIORNALE,CZ564,4),""))</f>
        <v/>
      </c>
      <c r="DD564" s="48" t="str">
        <f t="shared" ref="DD564:DD573" ca="1" si="882">IFERROR(IF(INDEX(LIBRO_GIORNALE,CZ564,5)&gt;0,INDEX(LIBRO_GIORNALE,CZ564,5),""),"")</f>
        <v/>
      </c>
      <c r="DE564" s="48" t="str">
        <f t="shared" ref="DE564:DE573" ca="1" si="883">IFERROR(IF(INDEX(LIBRO_GIORNALE,CZ564,6)&gt;0,INDEX(LIBRO_GIORNALE,CZ564,6),""),"")</f>
        <v/>
      </c>
      <c r="DF564" s="48">
        <f ca="1">IF(AND(CX564=$DF$1,CX564&lt;&gt;""),0,IF(AND(DB564&lt;&gt;"",OR(DB563&lt;&gt;"",DB565&lt;&gt;"")),MAX($DF$2:DF563)+1,0))</f>
        <v>0</v>
      </c>
    </row>
    <row r="565" spans="102:110" x14ac:dyDescent="0.3">
      <c r="CX565" s="48">
        <f t="shared" ca="1" si="878"/>
        <v>44</v>
      </c>
      <c r="CY565" s="48" t="str">
        <f t="shared" ca="1" si="877"/>
        <v>MASTRO</v>
      </c>
      <c r="CZ565" s="48" t="e">
        <f t="shared" ca="1" si="880"/>
        <v>#N/A</v>
      </c>
      <c r="DA565" s="48" t="str">
        <f t="shared" ref="DA565:DA573" ca="1" si="884">IFERROR(INDEX(LIBRO_GIORNALE,CZ565,1),"")</f>
        <v/>
      </c>
      <c r="DB565" s="48" t="str">
        <f t="shared" ca="1" si="862"/>
        <v/>
      </c>
      <c r="DC565" s="48" t="str">
        <f t="shared" ca="1" si="881"/>
        <v/>
      </c>
      <c r="DD565" s="48" t="str">
        <f t="shared" ca="1" si="882"/>
        <v/>
      </c>
      <c r="DE565" s="48" t="str">
        <f t="shared" ca="1" si="883"/>
        <v/>
      </c>
      <c r="DF565" s="48">
        <f ca="1">IF(AND(CX565=$DF$1,CX565&lt;&gt;""),0,IF(AND(DB565&lt;&gt;"",OR(DB564&lt;&gt;"",DB566&lt;&gt;"")),MAX($DF$2:DF564)+1,0))</f>
        <v>0</v>
      </c>
    </row>
    <row r="566" spans="102:110" x14ac:dyDescent="0.3">
      <c r="CX566" s="48">
        <f t="shared" ca="1" si="878"/>
        <v>44</v>
      </c>
      <c r="CY566" s="48" t="str">
        <f t="shared" ca="1" si="877"/>
        <v>MASTRO</v>
      </c>
      <c r="CZ566" s="48" t="e">
        <f t="shared" ca="1" si="880"/>
        <v>#N/A</v>
      </c>
      <c r="DA566" s="48" t="str">
        <f t="shared" ca="1" si="884"/>
        <v/>
      </c>
      <c r="DB566" s="48" t="str">
        <f t="shared" ca="1" si="862"/>
        <v/>
      </c>
      <c r="DC566" s="48" t="str">
        <f t="shared" ca="1" si="881"/>
        <v/>
      </c>
      <c r="DD566" s="48" t="str">
        <f t="shared" ca="1" si="882"/>
        <v/>
      </c>
      <c r="DE566" s="48" t="str">
        <f t="shared" ca="1" si="883"/>
        <v/>
      </c>
      <c r="DF566" s="48">
        <f ca="1">IF(AND(CX566=$DF$1,CX566&lt;&gt;""),0,IF(AND(DB566&lt;&gt;"",OR(DB565&lt;&gt;"",DB567&lt;&gt;"")),MAX($DF$2:DF565)+1,0))</f>
        <v>0</v>
      </c>
    </row>
    <row r="567" spans="102:110" x14ac:dyDescent="0.3">
      <c r="CX567" s="48">
        <f t="shared" ca="1" si="878"/>
        <v>44</v>
      </c>
      <c r="CY567" s="48" t="str">
        <f t="shared" ca="1" si="877"/>
        <v>MASTRO</v>
      </c>
      <c r="CZ567" s="48" t="e">
        <f t="shared" ca="1" si="880"/>
        <v>#N/A</v>
      </c>
      <c r="DA567" s="48" t="str">
        <f t="shared" ca="1" si="884"/>
        <v/>
      </c>
      <c r="DB567" s="48" t="str">
        <f t="shared" ca="1" si="862"/>
        <v/>
      </c>
      <c r="DC567" s="48" t="str">
        <f t="shared" ca="1" si="881"/>
        <v/>
      </c>
      <c r="DD567" s="48" t="str">
        <f t="shared" ca="1" si="882"/>
        <v/>
      </c>
      <c r="DE567" s="48" t="str">
        <f t="shared" ca="1" si="883"/>
        <v/>
      </c>
      <c r="DF567" s="48">
        <f ca="1">IF(AND(CX567=$DF$1,CX567&lt;&gt;""),0,IF(AND(DB567&lt;&gt;"",OR(DB566&lt;&gt;"",DB568&lt;&gt;"")),MAX($DF$2:DF566)+1,0))</f>
        <v>0</v>
      </c>
    </row>
    <row r="568" spans="102:110" x14ac:dyDescent="0.3">
      <c r="CX568" s="48">
        <f t="shared" ca="1" si="878"/>
        <v>44</v>
      </c>
      <c r="CY568" s="48" t="str">
        <f t="shared" ca="1" si="877"/>
        <v>MASTRO</v>
      </c>
      <c r="CZ568" s="48" t="e">
        <f t="shared" ca="1" si="880"/>
        <v>#N/A</v>
      </c>
      <c r="DA568" s="48" t="str">
        <f t="shared" ca="1" si="884"/>
        <v/>
      </c>
      <c r="DB568" s="48" t="str">
        <f t="shared" ca="1" si="862"/>
        <v/>
      </c>
      <c r="DC568" s="48" t="str">
        <f t="shared" ca="1" si="881"/>
        <v/>
      </c>
      <c r="DD568" s="48" t="str">
        <f t="shared" ca="1" si="882"/>
        <v/>
      </c>
      <c r="DE568" s="48" t="str">
        <f t="shared" ca="1" si="883"/>
        <v/>
      </c>
      <c r="DF568" s="48">
        <f ca="1">IF(AND(CX568=$DF$1,CX568&lt;&gt;""),0,IF(AND(DB568&lt;&gt;"",OR(DB567&lt;&gt;"",DB569&lt;&gt;"")),MAX($DF$2:DF567)+1,0))</f>
        <v>0</v>
      </c>
    </row>
    <row r="569" spans="102:110" x14ac:dyDescent="0.3">
      <c r="CX569" s="48">
        <f t="shared" ca="1" si="878"/>
        <v>44</v>
      </c>
      <c r="CY569" s="48" t="str">
        <f t="shared" ca="1" si="877"/>
        <v>MASTRO</v>
      </c>
      <c r="CZ569" s="48" t="e">
        <f t="shared" ca="1" si="880"/>
        <v>#N/A</v>
      </c>
      <c r="DA569" s="48" t="str">
        <f t="shared" ca="1" si="884"/>
        <v/>
      </c>
      <c r="DB569" s="48" t="str">
        <f t="shared" ca="1" si="862"/>
        <v/>
      </c>
      <c r="DC569" s="48" t="str">
        <f t="shared" ca="1" si="881"/>
        <v/>
      </c>
      <c r="DD569" s="48" t="str">
        <f t="shared" ca="1" si="882"/>
        <v/>
      </c>
      <c r="DE569" s="48" t="str">
        <f t="shared" ca="1" si="883"/>
        <v/>
      </c>
      <c r="DF569" s="48">
        <f ca="1">IF(AND(CX569=$DF$1,CX569&lt;&gt;""),0,IF(AND(DB569&lt;&gt;"",OR(DB568&lt;&gt;"",DB570&lt;&gt;"")),MAX($DF$2:DF568)+1,0))</f>
        <v>0</v>
      </c>
    </row>
    <row r="570" spans="102:110" x14ac:dyDescent="0.3">
      <c r="CX570" s="48">
        <f t="shared" ca="1" si="878"/>
        <v>44</v>
      </c>
      <c r="CY570" s="48" t="str">
        <f t="shared" ca="1" si="877"/>
        <v>MASTRO</v>
      </c>
      <c r="CZ570" s="48" t="e">
        <f t="shared" ca="1" si="880"/>
        <v>#N/A</v>
      </c>
      <c r="DA570" s="48" t="str">
        <f t="shared" ca="1" si="884"/>
        <v/>
      </c>
      <c r="DB570" s="48" t="str">
        <f t="shared" ca="1" si="862"/>
        <v/>
      </c>
      <c r="DC570" s="48" t="str">
        <f t="shared" ca="1" si="881"/>
        <v/>
      </c>
      <c r="DD570" s="48" t="str">
        <f t="shared" ca="1" si="882"/>
        <v/>
      </c>
      <c r="DE570" s="48" t="str">
        <f t="shared" ca="1" si="883"/>
        <v/>
      </c>
      <c r="DF570" s="48">
        <f ca="1">IF(AND(CX570=$DF$1,CX570&lt;&gt;""),0,IF(AND(DB570&lt;&gt;"",OR(DB569&lt;&gt;"",DB571&lt;&gt;"")),MAX($DF$2:DF569)+1,0))</f>
        <v>0</v>
      </c>
    </row>
    <row r="571" spans="102:110" x14ac:dyDescent="0.3">
      <c r="CX571" s="48">
        <f t="shared" ca="1" si="878"/>
        <v>44</v>
      </c>
      <c r="CY571" s="48" t="str">
        <f t="shared" ca="1" si="877"/>
        <v>MASTRO</v>
      </c>
      <c r="CZ571" s="48" t="e">
        <f t="shared" ca="1" si="880"/>
        <v>#N/A</v>
      </c>
      <c r="DA571" s="48" t="str">
        <f t="shared" ca="1" si="884"/>
        <v/>
      </c>
      <c r="DB571" s="48" t="str">
        <f t="shared" ca="1" si="862"/>
        <v/>
      </c>
      <c r="DC571" s="48" t="str">
        <f t="shared" ca="1" si="881"/>
        <v/>
      </c>
      <c r="DD571" s="48" t="str">
        <f t="shared" ca="1" si="882"/>
        <v/>
      </c>
      <c r="DE571" s="48" t="str">
        <f t="shared" ca="1" si="883"/>
        <v/>
      </c>
      <c r="DF571" s="48">
        <f ca="1">IF(AND(CX571=$DF$1,CX571&lt;&gt;""),0,IF(AND(DB571&lt;&gt;"",OR(DB570&lt;&gt;"",DB572&lt;&gt;"")),MAX($DF$2:DF570)+1,0))</f>
        <v>0</v>
      </c>
    </row>
    <row r="572" spans="102:110" x14ac:dyDescent="0.3">
      <c r="CX572" s="48">
        <f t="shared" ca="1" si="878"/>
        <v>44</v>
      </c>
      <c r="CY572" s="48" t="str">
        <f t="shared" ca="1" si="877"/>
        <v>MASTRO</v>
      </c>
      <c r="CZ572" s="48" t="e">
        <f t="shared" ca="1" si="880"/>
        <v>#N/A</v>
      </c>
      <c r="DA572" s="48" t="str">
        <f t="shared" ca="1" si="884"/>
        <v/>
      </c>
      <c r="DB572" s="48" t="str">
        <f t="shared" ca="1" si="862"/>
        <v/>
      </c>
      <c r="DC572" s="48" t="str">
        <f t="shared" ca="1" si="881"/>
        <v/>
      </c>
      <c r="DD572" s="48" t="str">
        <f t="shared" ca="1" si="882"/>
        <v/>
      </c>
      <c r="DE572" s="48" t="str">
        <f t="shared" ca="1" si="883"/>
        <v/>
      </c>
      <c r="DF572" s="48">
        <f ca="1">IF(AND(CX572=$DF$1,CX572&lt;&gt;""),0,IF(AND(DB572&lt;&gt;"",OR(DB571&lt;&gt;"",DB573&lt;&gt;"")),MAX($DF$2:DF571)+1,0))</f>
        <v>0</v>
      </c>
    </row>
    <row r="573" spans="102:110" x14ac:dyDescent="0.3">
      <c r="CX573" s="48">
        <f t="shared" ca="1" si="878"/>
        <v>44</v>
      </c>
      <c r="CY573" s="48" t="str">
        <f t="shared" ca="1" si="877"/>
        <v>MASTRO</v>
      </c>
      <c r="CZ573" s="48" t="e">
        <f t="shared" ca="1" si="880"/>
        <v>#N/A</v>
      </c>
      <c r="DA573" s="48" t="str">
        <f t="shared" ca="1" si="884"/>
        <v/>
      </c>
      <c r="DB573" s="48" t="str">
        <f t="shared" ca="1" si="862"/>
        <v/>
      </c>
      <c r="DC573" s="48" t="str">
        <f t="shared" ca="1" si="881"/>
        <v/>
      </c>
      <c r="DD573" s="48" t="str">
        <f t="shared" ca="1" si="882"/>
        <v/>
      </c>
      <c r="DE573" s="48" t="str">
        <f t="shared" ca="1" si="883"/>
        <v/>
      </c>
      <c r="DF573" s="48">
        <f ca="1">IF(AND(CX573=$DF$1,CX573&lt;&gt;""),0,IF(AND(DB573&lt;&gt;"",OR(DB572&lt;&gt;"",DB574&lt;&gt;"")),MAX($DF$2:DF572)+1,0))</f>
        <v>0</v>
      </c>
    </row>
    <row r="574" spans="102:110" x14ac:dyDescent="0.3">
      <c r="CY574" s="48" t="s">
        <v>500</v>
      </c>
      <c r="DB574" s="48" t="str">
        <f t="shared" ref="DB574" ca="1" si="885">IF(CX573=$DF$1,"","MASTRO")</f>
        <v>MASTRO</v>
      </c>
      <c r="DF574" s="48">
        <f ca="1">IF(AND(CX574=$DF$1,CX574&lt;&gt;""),0,IF(AND(DB574&lt;&gt;"",OR(DB573&lt;&gt;"",DB575&lt;&gt;"")),MAX($DF$2:DF573)+1,0))</f>
        <v>0</v>
      </c>
    </row>
    <row r="575" spans="102:110" x14ac:dyDescent="0.3">
      <c r="CX575" s="48">
        <f ca="1">$FF$47</f>
        <v>45</v>
      </c>
      <c r="CY575" s="48" t="str">
        <f t="shared" ref="CY575:CY586" ca="1" si="886">IF(ISERROR(INDEX($CV$3:$CX$1302,MATCH(CX575,$CW$3:$CW$1302,0),1)),"MASTRO",INDEX($CV$3:$CX$1302,MATCH(CX575,$CW$3:$CW$1302,0),1))</f>
        <v>MASTRO</v>
      </c>
      <c r="DA575" s="48" t="str">
        <f>IF(CY574="MASTRO","Conto n.","")</f>
        <v>Conto n.</v>
      </c>
      <c r="DB575" s="48" t="str">
        <f ca="1">IF(CY575=0,"",INDEX(PDC,MATCH(DC575,DEN_PDC,0),1))</f>
        <v/>
      </c>
      <c r="DC575" s="48" t="str">
        <f ca="1">IF(OR(CY575=0,CY575="mastro"),"",CY575)</f>
        <v/>
      </c>
      <c r="DD575" s="48" t="str">
        <f ca="1">IF(AND($DA$2=TRUE,OR(INDEX(PDC,MATCH($DC575,DEN_PDC,0),4)="A",INDEX(PDC,MATCH($DC575,DEN_PDC,0),4)="D/A"),SUMIFS(AVERE,DEN_G,"="&amp;$DC575,DATA,"&lt;="&amp;FINE_AC,DATA,"&gt;="&amp;INIZIO_AC)&gt;SUMIFS(DARE,DEN_G,"="&amp;$DC575,DATA,"&lt;="&amp;FINE_AC,DATA,"&gt;="&amp;INIZIO_AC)),CONCATENATE("s ",FIXED(ABS(SUMIFS(AVERE,DEN_G,"="&amp;$DC575,DATA,"&lt;="&amp;FINE_AC,DATA,"&gt;="&amp;INIZIO_AC)-SUMIFS(DARE,DEN_G,"="&amp;$DC575,DATA,"&lt;="&amp;FINE_AC,DATA,"&gt;="&amp;INIZIO_AC)),2)),"")</f>
        <v/>
      </c>
      <c r="DE575" s="48" t="str">
        <f ca="1">IF(AND($DA$2=TRUE,OR(INDEX(PDC,MATCH($DC575,DEN_PDC,0),4)="D",INDEX(PDC,MATCH($DC575,DEN_PDC,0),4)="D/A"),SUMIFS(DARE,DEN_G,"="&amp;$DC575,DATA,"&lt;="&amp;FINE_AC,DATA,"&gt;="&amp;INIZIO_AC)&gt;SUMIFS(AVERE,DEN_G,"="&amp;$DC575,DATA,"&lt;="&amp;FINE_AC,DATA,"&gt;="&amp;INIZIO_AC)),CONCATENATE("s ",FIXED(ABS(SUMIFS(DARE,DEN_G,"="&amp;$DC575,DATA,"&lt;="&amp;FINE_AC,DATA,"&gt;="&amp;INIZIO_AC)-SUMIFS(AVERE,DEN_G,"="&amp;$DC575,DATA,"&lt;="&amp;FINE_AC,DATA,"&gt;="&amp;INIZIO_AC)),2)),"")</f>
        <v/>
      </c>
      <c r="DF575" s="48">
        <f ca="1">IF(AND(CX575=$DF$1,CX575&lt;&gt;""),0,IF(AND(DB575&lt;&gt;"",OR(DB574&lt;&gt;"",DB576&lt;&gt;"")),MAX($DF$2:DF574)+1,0))</f>
        <v>0</v>
      </c>
    </row>
    <row r="576" spans="102:110" x14ac:dyDescent="0.3">
      <c r="CX576" s="48">
        <f t="shared" ref="CX576:CX586" ca="1" si="887">$FF$47</f>
        <v>45</v>
      </c>
      <c r="CY576" s="48" t="str">
        <f t="shared" ca="1" si="886"/>
        <v>MASTRO</v>
      </c>
      <c r="DA576" s="48" t="str">
        <f ca="1">IF(DB575="","","Num. riga")</f>
        <v/>
      </c>
      <c r="DB576" s="48" t="str">
        <f t="shared" ref="DB576" ca="1" si="888">IF(DB575="","","Data")</f>
        <v/>
      </c>
      <c r="DC576" s="48" t="str">
        <f ca="1">IF(DB575="","","Operazioni")</f>
        <v/>
      </c>
      <c r="DD576" s="48" t="str">
        <f ca="1">IF(DB575="","","Dare        ")</f>
        <v/>
      </c>
      <c r="DE576" s="48" t="str">
        <f ca="1">IF(DB575="","","Avere        ")</f>
        <v/>
      </c>
      <c r="DF576" s="48">
        <f ca="1">IF(AND(CX576=$DF$1,CX576&lt;&gt;""),0,IF(AND(DB576&lt;&gt;"",OR(DB575&lt;&gt;"",DB577&lt;&gt;"")),MAX($DF$2:DF575)+1,0))</f>
        <v>0</v>
      </c>
    </row>
    <row r="577" spans="102:110" x14ac:dyDescent="0.3">
      <c r="CX577" s="48">
        <f t="shared" ca="1" si="887"/>
        <v>45</v>
      </c>
      <c r="CY577" s="48" t="str">
        <f t="shared" ca="1" si="886"/>
        <v>MASTRO</v>
      </c>
      <c r="CZ577" s="48" t="e">
        <f t="shared" ref="CZ577:CZ586" ca="1" si="889">SUM(MATCH($CY577,INDIRECT(ADDRESS(SUM(CZ576)+3,54)&amp;":"&amp;ADDRESS(400,54)),0),CZ576)</f>
        <v>#N/A</v>
      </c>
      <c r="DA577" s="48" t="str">
        <f ca="1">IFERROR(INDEX(LIBRO_GIORNALE,CZ577,1),"")</f>
        <v/>
      </c>
      <c r="DB577" s="48" t="str">
        <f t="shared" ca="1" si="862"/>
        <v/>
      </c>
      <c r="DC577" s="48" t="str">
        <f t="shared" ref="DC577:DC586" ca="1" si="890">IF(IFERROR(INDEX(LIBRO_GIORNALE,CZ577,4),"")=0,"manca la descrizione dell'operazione",IFERROR(INDEX(LIBRO_GIORNALE,CZ577,4),""))</f>
        <v/>
      </c>
      <c r="DD577" s="48" t="str">
        <f t="shared" ref="DD577:DD586" ca="1" si="891">IFERROR(IF(INDEX(LIBRO_GIORNALE,CZ577,5)&gt;0,INDEX(LIBRO_GIORNALE,CZ577,5),""),"")</f>
        <v/>
      </c>
      <c r="DE577" s="48" t="str">
        <f t="shared" ref="DE577:DE586" ca="1" si="892">IFERROR(IF(INDEX(LIBRO_GIORNALE,CZ577,6)&gt;0,INDEX(LIBRO_GIORNALE,CZ577,6),""),"")</f>
        <v/>
      </c>
      <c r="DF577" s="48">
        <f ca="1">IF(AND(CX577=$DF$1,CX577&lt;&gt;""),0,IF(AND(DB577&lt;&gt;"",OR(DB576&lt;&gt;"",DB578&lt;&gt;"")),MAX($DF$2:DF576)+1,0))</f>
        <v>0</v>
      </c>
    </row>
    <row r="578" spans="102:110" x14ac:dyDescent="0.3">
      <c r="CX578" s="48">
        <f t="shared" ca="1" si="887"/>
        <v>45</v>
      </c>
      <c r="CY578" s="48" t="str">
        <f t="shared" ca="1" si="886"/>
        <v>MASTRO</v>
      </c>
      <c r="CZ578" s="48" t="e">
        <f t="shared" ca="1" si="889"/>
        <v>#N/A</v>
      </c>
      <c r="DA578" s="48" t="str">
        <f t="shared" ref="DA578:DA586" ca="1" si="893">IFERROR(INDEX(LIBRO_GIORNALE,CZ578,1),"")</f>
        <v/>
      </c>
      <c r="DB578" s="48" t="str">
        <f t="shared" ca="1" si="862"/>
        <v/>
      </c>
      <c r="DC578" s="48" t="str">
        <f t="shared" ca="1" si="890"/>
        <v/>
      </c>
      <c r="DD578" s="48" t="str">
        <f t="shared" ca="1" si="891"/>
        <v/>
      </c>
      <c r="DE578" s="48" t="str">
        <f t="shared" ca="1" si="892"/>
        <v/>
      </c>
      <c r="DF578" s="48">
        <f ca="1">IF(AND(CX578=$DF$1,CX578&lt;&gt;""),0,IF(AND(DB578&lt;&gt;"",OR(DB577&lt;&gt;"",DB579&lt;&gt;"")),MAX($DF$2:DF577)+1,0))</f>
        <v>0</v>
      </c>
    </row>
    <row r="579" spans="102:110" x14ac:dyDescent="0.3">
      <c r="CX579" s="48">
        <f t="shared" ca="1" si="887"/>
        <v>45</v>
      </c>
      <c r="CY579" s="48" t="str">
        <f t="shared" ca="1" si="886"/>
        <v>MASTRO</v>
      </c>
      <c r="CZ579" s="48" t="e">
        <f t="shared" ca="1" si="889"/>
        <v>#N/A</v>
      </c>
      <c r="DA579" s="48" t="str">
        <f t="shared" ca="1" si="893"/>
        <v/>
      </c>
      <c r="DB579" s="48" t="str">
        <f t="shared" ca="1" si="862"/>
        <v/>
      </c>
      <c r="DC579" s="48" t="str">
        <f t="shared" ca="1" si="890"/>
        <v/>
      </c>
      <c r="DD579" s="48" t="str">
        <f t="shared" ca="1" si="891"/>
        <v/>
      </c>
      <c r="DE579" s="48" t="str">
        <f t="shared" ca="1" si="892"/>
        <v/>
      </c>
      <c r="DF579" s="48">
        <f ca="1">IF(AND(CX579=$DF$1,CX579&lt;&gt;""),0,IF(AND(DB579&lt;&gt;"",OR(DB578&lt;&gt;"",DB580&lt;&gt;"")),MAX($DF$2:DF578)+1,0))</f>
        <v>0</v>
      </c>
    </row>
    <row r="580" spans="102:110" x14ac:dyDescent="0.3">
      <c r="CX580" s="48">
        <f t="shared" ca="1" si="887"/>
        <v>45</v>
      </c>
      <c r="CY580" s="48" t="str">
        <f t="shared" ca="1" si="886"/>
        <v>MASTRO</v>
      </c>
      <c r="CZ580" s="48" t="e">
        <f t="shared" ca="1" si="889"/>
        <v>#N/A</v>
      </c>
      <c r="DA580" s="48" t="str">
        <f t="shared" ca="1" si="893"/>
        <v/>
      </c>
      <c r="DB580" s="48" t="str">
        <f t="shared" ca="1" si="862"/>
        <v/>
      </c>
      <c r="DC580" s="48" t="str">
        <f t="shared" ca="1" si="890"/>
        <v/>
      </c>
      <c r="DD580" s="48" t="str">
        <f t="shared" ca="1" si="891"/>
        <v/>
      </c>
      <c r="DE580" s="48" t="str">
        <f t="shared" ca="1" si="892"/>
        <v/>
      </c>
      <c r="DF580" s="48">
        <f ca="1">IF(AND(CX580=$DF$1,CX580&lt;&gt;""),0,IF(AND(DB580&lt;&gt;"",OR(DB579&lt;&gt;"",DB581&lt;&gt;"")),MAX($DF$2:DF579)+1,0))</f>
        <v>0</v>
      </c>
    </row>
    <row r="581" spans="102:110" x14ac:dyDescent="0.3">
      <c r="CX581" s="48">
        <f t="shared" ca="1" si="887"/>
        <v>45</v>
      </c>
      <c r="CY581" s="48" t="str">
        <f t="shared" ca="1" si="886"/>
        <v>MASTRO</v>
      </c>
      <c r="CZ581" s="48" t="e">
        <f t="shared" ca="1" si="889"/>
        <v>#N/A</v>
      </c>
      <c r="DA581" s="48" t="str">
        <f t="shared" ca="1" si="893"/>
        <v/>
      </c>
      <c r="DB581" s="48" t="str">
        <f t="shared" ca="1" si="862"/>
        <v/>
      </c>
      <c r="DC581" s="48" t="str">
        <f t="shared" ca="1" si="890"/>
        <v/>
      </c>
      <c r="DD581" s="48" t="str">
        <f t="shared" ca="1" si="891"/>
        <v/>
      </c>
      <c r="DE581" s="48" t="str">
        <f t="shared" ca="1" si="892"/>
        <v/>
      </c>
      <c r="DF581" s="48">
        <f ca="1">IF(AND(CX581=$DF$1,CX581&lt;&gt;""),0,IF(AND(DB581&lt;&gt;"",OR(DB580&lt;&gt;"",DB582&lt;&gt;"")),MAX($DF$2:DF580)+1,0))</f>
        <v>0</v>
      </c>
    </row>
    <row r="582" spans="102:110" x14ac:dyDescent="0.3">
      <c r="CX582" s="48">
        <f t="shared" ca="1" si="887"/>
        <v>45</v>
      </c>
      <c r="CY582" s="48" t="str">
        <f t="shared" ca="1" si="886"/>
        <v>MASTRO</v>
      </c>
      <c r="CZ582" s="48" t="e">
        <f t="shared" ca="1" si="889"/>
        <v>#N/A</v>
      </c>
      <c r="DA582" s="48" t="str">
        <f t="shared" ca="1" si="893"/>
        <v/>
      </c>
      <c r="DB582" s="48" t="str">
        <f t="shared" ca="1" si="862"/>
        <v/>
      </c>
      <c r="DC582" s="48" t="str">
        <f t="shared" ca="1" si="890"/>
        <v/>
      </c>
      <c r="DD582" s="48" t="str">
        <f t="shared" ca="1" si="891"/>
        <v/>
      </c>
      <c r="DE582" s="48" t="str">
        <f t="shared" ca="1" si="892"/>
        <v/>
      </c>
      <c r="DF582" s="48">
        <f ca="1">IF(AND(CX582=$DF$1,CX582&lt;&gt;""),0,IF(AND(DB582&lt;&gt;"",OR(DB581&lt;&gt;"",DB583&lt;&gt;"")),MAX($DF$2:DF581)+1,0))</f>
        <v>0</v>
      </c>
    </row>
    <row r="583" spans="102:110" x14ac:dyDescent="0.3">
      <c r="CX583" s="48">
        <f t="shared" ca="1" si="887"/>
        <v>45</v>
      </c>
      <c r="CY583" s="48" t="str">
        <f t="shared" ca="1" si="886"/>
        <v>MASTRO</v>
      </c>
      <c r="CZ583" s="48" t="e">
        <f t="shared" ca="1" si="889"/>
        <v>#N/A</v>
      </c>
      <c r="DA583" s="48" t="str">
        <f t="shared" ca="1" si="893"/>
        <v/>
      </c>
      <c r="DB583" s="48" t="str">
        <f t="shared" ca="1" si="862"/>
        <v/>
      </c>
      <c r="DC583" s="48" t="str">
        <f t="shared" ca="1" si="890"/>
        <v/>
      </c>
      <c r="DD583" s="48" t="str">
        <f t="shared" ca="1" si="891"/>
        <v/>
      </c>
      <c r="DE583" s="48" t="str">
        <f t="shared" ca="1" si="892"/>
        <v/>
      </c>
      <c r="DF583" s="48">
        <f ca="1">IF(AND(CX583=$DF$1,CX583&lt;&gt;""),0,IF(AND(DB583&lt;&gt;"",OR(DB582&lt;&gt;"",DB584&lt;&gt;"")),MAX($DF$2:DF582)+1,0))</f>
        <v>0</v>
      </c>
    </row>
    <row r="584" spans="102:110" x14ac:dyDescent="0.3">
      <c r="CX584" s="48">
        <f t="shared" ca="1" si="887"/>
        <v>45</v>
      </c>
      <c r="CY584" s="48" t="str">
        <f t="shared" ca="1" si="886"/>
        <v>MASTRO</v>
      </c>
      <c r="CZ584" s="48" t="e">
        <f t="shared" ca="1" si="889"/>
        <v>#N/A</v>
      </c>
      <c r="DA584" s="48" t="str">
        <f t="shared" ca="1" si="893"/>
        <v/>
      </c>
      <c r="DB584" s="48" t="str">
        <f t="shared" ca="1" si="862"/>
        <v/>
      </c>
      <c r="DC584" s="48" t="str">
        <f t="shared" ca="1" si="890"/>
        <v/>
      </c>
      <c r="DD584" s="48" t="str">
        <f t="shared" ca="1" si="891"/>
        <v/>
      </c>
      <c r="DE584" s="48" t="str">
        <f t="shared" ca="1" si="892"/>
        <v/>
      </c>
      <c r="DF584" s="48">
        <f ca="1">IF(AND(CX584=$DF$1,CX584&lt;&gt;""),0,IF(AND(DB584&lt;&gt;"",OR(DB583&lt;&gt;"",DB585&lt;&gt;"")),MAX($DF$2:DF583)+1,0))</f>
        <v>0</v>
      </c>
    </row>
    <row r="585" spans="102:110" x14ac:dyDescent="0.3">
      <c r="CX585" s="48">
        <f t="shared" ca="1" si="887"/>
        <v>45</v>
      </c>
      <c r="CY585" s="48" t="str">
        <f t="shared" ca="1" si="886"/>
        <v>MASTRO</v>
      </c>
      <c r="CZ585" s="48" t="e">
        <f t="shared" ca="1" si="889"/>
        <v>#N/A</v>
      </c>
      <c r="DA585" s="48" t="str">
        <f t="shared" ca="1" si="893"/>
        <v/>
      </c>
      <c r="DB585" s="48" t="str">
        <f t="shared" ca="1" si="862"/>
        <v/>
      </c>
      <c r="DC585" s="48" t="str">
        <f t="shared" ca="1" si="890"/>
        <v/>
      </c>
      <c r="DD585" s="48" t="str">
        <f t="shared" ca="1" si="891"/>
        <v/>
      </c>
      <c r="DE585" s="48" t="str">
        <f t="shared" ca="1" si="892"/>
        <v/>
      </c>
      <c r="DF585" s="48">
        <f ca="1">IF(AND(CX585=$DF$1,CX585&lt;&gt;""),0,IF(AND(DB585&lt;&gt;"",OR(DB584&lt;&gt;"",DB586&lt;&gt;"")),MAX($DF$2:DF584)+1,0))</f>
        <v>0</v>
      </c>
    </row>
    <row r="586" spans="102:110" x14ac:dyDescent="0.3">
      <c r="CX586" s="48">
        <f t="shared" ca="1" si="887"/>
        <v>45</v>
      </c>
      <c r="CY586" s="48" t="str">
        <f t="shared" ca="1" si="886"/>
        <v>MASTRO</v>
      </c>
      <c r="CZ586" s="48" t="e">
        <f t="shared" ca="1" si="889"/>
        <v>#N/A</v>
      </c>
      <c r="DA586" s="48" t="str">
        <f t="shared" ca="1" si="893"/>
        <v/>
      </c>
      <c r="DB586" s="48" t="str">
        <f t="shared" ca="1" si="862"/>
        <v/>
      </c>
      <c r="DC586" s="48" t="str">
        <f t="shared" ca="1" si="890"/>
        <v/>
      </c>
      <c r="DD586" s="48" t="str">
        <f t="shared" ca="1" si="891"/>
        <v/>
      </c>
      <c r="DE586" s="48" t="str">
        <f t="shared" ca="1" si="892"/>
        <v/>
      </c>
      <c r="DF586" s="48">
        <f ca="1">IF(AND(CX586=$DF$1,CX586&lt;&gt;""),0,IF(AND(DB586&lt;&gt;"",OR(DB585&lt;&gt;"",DB587&lt;&gt;"")),MAX($DF$2:DF585)+1,0))</f>
        <v>0</v>
      </c>
    </row>
    <row r="587" spans="102:110" x14ac:dyDescent="0.3">
      <c r="CY587" s="48" t="s">
        <v>500</v>
      </c>
      <c r="DB587" s="48" t="str">
        <f t="shared" ref="DB587" ca="1" si="894">IF(CX586=$DF$1,"","MASTRO")</f>
        <v>MASTRO</v>
      </c>
      <c r="DF587" s="48">
        <f ca="1">IF(AND(CX587=$DF$1,CX587&lt;&gt;""),0,IF(AND(DB587&lt;&gt;"",OR(DB586&lt;&gt;"",DB588&lt;&gt;"")),MAX($DF$2:DF586)+1,0))</f>
        <v>0</v>
      </c>
    </row>
    <row r="588" spans="102:110" x14ac:dyDescent="0.3">
      <c r="CX588" s="48">
        <f ca="1">$FF$48</f>
        <v>46</v>
      </c>
      <c r="CY588" s="48" t="str">
        <f t="shared" ref="CY588:CY599" ca="1" si="895">IF(ISERROR(INDEX($CV$3:$CX$1302,MATCH(CX588,$CW$3:$CW$1302,0),1)),"MASTRO",INDEX($CV$3:$CX$1302,MATCH(CX588,$CW$3:$CW$1302,0),1))</f>
        <v>MASTRO</v>
      </c>
      <c r="DA588" s="48" t="str">
        <f>IF(CY587="MASTRO","Conto n.","")</f>
        <v>Conto n.</v>
      </c>
      <c r="DB588" s="48" t="str">
        <f ca="1">IF(CY588=0,"",INDEX(PDC,MATCH(DC588,DEN_PDC,0),1))</f>
        <v/>
      </c>
      <c r="DC588" s="48" t="str">
        <f ca="1">IF(OR(CY588=0,CY588="mastro"),"",CY588)</f>
        <v/>
      </c>
      <c r="DD588" s="48" t="str">
        <f ca="1">IF(AND($DA$2=TRUE,OR(INDEX(PDC,MATCH($DC588,DEN_PDC,0),4)="A",INDEX(PDC,MATCH($DC588,DEN_PDC,0),4)="D/A"),SUMIFS(AVERE,DEN_G,"="&amp;$DC588,DATA,"&lt;="&amp;FINE_AC,DATA,"&gt;="&amp;INIZIO_AC)&gt;SUMIFS(DARE,DEN_G,"="&amp;$DC588,DATA,"&lt;="&amp;FINE_AC,DATA,"&gt;="&amp;INIZIO_AC)),CONCATENATE("s ",FIXED(ABS(SUMIFS(AVERE,DEN_G,"="&amp;$DC588,DATA,"&lt;="&amp;FINE_AC,DATA,"&gt;="&amp;INIZIO_AC)-SUMIFS(DARE,DEN_G,"="&amp;$DC588,DATA,"&lt;="&amp;FINE_AC,DATA,"&gt;="&amp;INIZIO_AC)),2)),"")</f>
        <v/>
      </c>
      <c r="DE588" s="48" t="str">
        <f ca="1">IF(AND($DA$2=TRUE,OR(INDEX(PDC,MATCH($DC588,DEN_PDC,0),4)="D",INDEX(PDC,MATCH($DC588,DEN_PDC,0),4)="D/A"),SUMIFS(DARE,DEN_G,"="&amp;$DC588,DATA,"&lt;="&amp;FINE_AC,DATA,"&gt;="&amp;INIZIO_AC)&gt;SUMIFS(AVERE,DEN_G,"="&amp;$DC588,DATA,"&lt;="&amp;FINE_AC,DATA,"&gt;="&amp;INIZIO_AC)),CONCATENATE("s ",FIXED(ABS(SUMIFS(DARE,DEN_G,"="&amp;$DC588,DATA,"&lt;="&amp;FINE_AC,DATA,"&gt;="&amp;INIZIO_AC)-SUMIFS(AVERE,DEN_G,"="&amp;$DC588,DATA,"&lt;="&amp;FINE_AC,DATA,"&gt;="&amp;INIZIO_AC)),2)),"")</f>
        <v/>
      </c>
      <c r="DF588" s="48">
        <f ca="1">IF(AND(CX588=$DF$1,CX588&lt;&gt;""),0,IF(AND(DB588&lt;&gt;"",OR(DB587&lt;&gt;"",DB589&lt;&gt;"")),MAX($DF$2:DF587)+1,0))</f>
        <v>0</v>
      </c>
    </row>
    <row r="589" spans="102:110" x14ac:dyDescent="0.3">
      <c r="CX589" s="48">
        <f t="shared" ref="CX589:CX599" ca="1" si="896">$FF$48</f>
        <v>46</v>
      </c>
      <c r="CY589" s="48" t="str">
        <f t="shared" ca="1" si="895"/>
        <v>MASTRO</v>
      </c>
      <c r="DA589" s="48" t="str">
        <f ca="1">IF(DB588="","","Num. riga")</f>
        <v/>
      </c>
      <c r="DB589" s="48" t="str">
        <f t="shared" ref="DB589" ca="1" si="897">IF(DB588="","","Data")</f>
        <v/>
      </c>
      <c r="DC589" s="48" t="str">
        <f ca="1">IF(DB588="","","Operazioni")</f>
        <v/>
      </c>
      <c r="DD589" s="48" t="str">
        <f ca="1">IF(DB588="","","Dare        ")</f>
        <v/>
      </c>
      <c r="DE589" s="48" t="str">
        <f ca="1">IF(DB588="","","Avere        ")</f>
        <v/>
      </c>
      <c r="DF589" s="48">
        <f ca="1">IF(AND(CX589=$DF$1,CX589&lt;&gt;""),0,IF(AND(DB589&lt;&gt;"",OR(DB588&lt;&gt;"",DB590&lt;&gt;"")),MAX($DF$2:DF588)+1,0))</f>
        <v>0</v>
      </c>
    </row>
    <row r="590" spans="102:110" x14ac:dyDescent="0.3">
      <c r="CX590" s="48">
        <f t="shared" ca="1" si="896"/>
        <v>46</v>
      </c>
      <c r="CY590" s="48" t="str">
        <f t="shared" ca="1" si="895"/>
        <v>MASTRO</v>
      </c>
      <c r="CZ590" s="48" t="e">
        <f t="shared" ref="CZ590:CZ599" ca="1" si="898">SUM(MATCH($CY590,INDIRECT(ADDRESS(SUM(CZ589)+3,54)&amp;":"&amp;ADDRESS(400,54)),0),CZ589)</f>
        <v>#N/A</v>
      </c>
      <c r="DA590" s="48" t="str">
        <f ca="1">IFERROR(INDEX(LIBRO_GIORNALE,CZ590,1),"")</f>
        <v/>
      </c>
      <c r="DB590" s="48" t="str">
        <f t="shared" ca="1" si="862"/>
        <v/>
      </c>
      <c r="DC590" s="48" t="str">
        <f t="shared" ref="DC590:DC599" ca="1" si="899">IF(IFERROR(INDEX(LIBRO_GIORNALE,CZ590,4),"")=0,"manca la descrizione dell'operazione",IFERROR(INDEX(LIBRO_GIORNALE,CZ590,4),""))</f>
        <v/>
      </c>
      <c r="DD590" s="48" t="str">
        <f t="shared" ref="DD590:DD599" ca="1" si="900">IFERROR(IF(INDEX(LIBRO_GIORNALE,CZ590,5)&gt;0,INDEX(LIBRO_GIORNALE,CZ590,5),""),"")</f>
        <v/>
      </c>
      <c r="DE590" s="48" t="str">
        <f t="shared" ref="DE590:DE599" ca="1" si="901">IFERROR(IF(INDEX(LIBRO_GIORNALE,CZ590,6)&gt;0,INDEX(LIBRO_GIORNALE,CZ590,6),""),"")</f>
        <v/>
      </c>
      <c r="DF590" s="48">
        <f ca="1">IF(AND(CX590=$DF$1,CX590&lt;&gt;""),0,IF(AND(DB590&lt;&gt;"",OR(DB589&lt;&gt;"",DB591&lt;&gt;"")),MAX($DF$2:DF589)+1,0))</f>
        <v>0</v>
      </c>
    </row>
    <row r="591" spans="102:110" x14ac:dyDescent="0.3">
      <c r="CX591" s="48">
        <f t="shared" ca="1" si="896"/>
        <v>46</v>
      </c>
      <c r="CY591" s="48" t="str">
        <f t="shared" ca="1" si="895"/>
        <v>MASTRO</v>
      </c>
      <c r="CZ591" s="48" t="e">
        <f t="shared" ca="1" si="898"/>
        <v>#N/A</v>
      </c>
      <c r="DA591" s="48" t="str">
        <f t="shared" ref="DA591:DA599" ca="1" si="902">IFERROR(INDEX(LIBRO_GIORNALE,CZ591,1),"")</f>
        <v/>
      </c>
      <c r="DB591" s="48" t="str">
        <f t="shared" ca="1" si="862"/>
        <v/>
      </c>
      <c r="DC591" s="48" t="str">
        <f t="shared" ca="1" si="899"/>
        <v/>
      </c>
      <c r="DD591" s="48" t="str">
        <f t="shared" ca="1" si="900"/>
        <v/>
      </c>
      <c r="DE591" s="48" t="str">
        <f t="shared" ca="1" si="901"/>
        <v/>
      </c>
      <c r="DF591" s="48">
        <f ca="1">IF(AND(CX591=$DF$1,CX591&lt;&gt;""),0,IF(AND(DB591&lt;&gt;"",OR(DB590&lt;&gt;"",DB592&lt;&gt;"")),MAX($DF$2:DF590)+1,0))</f>
        <v>0</v>
      </c>
    </row>
    <row r="592" spans="102:110" x14ac:dyDescent="0.3">
      <c r="CX592" s="48">
        <f t="shared" ca="1" si="896"/>
        <v>46</v>
      </c>
      <c r="CY592" s="48" t="str">
        <f t="shared" ca="1" si="895"/>
        <v>MASTRO</v>
      </c>
      <c r="CZ592" s="48" t="e">
        <f t="shared" ca="1" si="898"/>
        <v>#N/A</v>
      </c>
      <c r="DA592" s="48" t="str">
        <f t="shared" ca="1" si="902"/>
        <v/>
      </c>
      <c r="DB592" s="48" t="str">
        <f t="shared" ca="1" si="862"/>
        <v/>
      </c>
      <c r="DC592" s="48" t="str">
        <f t="shared" ca="1" si="899"/>
        <v/>
      </c>
      <c r="DD592" s="48" t="str">
        <f t="shared" ca="1" si="900"/>
        <v/>
      </c>
      <c r="DE592" s="48" t="str">
        <f t="shared" ca="1" si="901"/>
        <v/>
      </c>
      <c r="DF592" s="48">
        <f ca="1">IF(AND(CX592=$DF$1,CX592&lt;&gt;""),0,IF(AND(DB592&lt;&gt;"",OR(DB591&lt;&gt;"",DB593&lt;&gt;"")),MAX($DF$2:DF591)+1,0))</f>
        <v>0</v>
      </c>
    </row>
    <row r="593" spans="102:110" x14ac:dyDescent="0.3">
      <c r="CX593" s="48">
        <f t="shared" ca="1" si="896"/>
        <v>46</v>
      </c>
      <c r="CY593" s="48" t="str">
        <f t="shared" ca="1" si="895"/>
        <v>MASTRO</v>
      </c>
      <c r="CZ593" s="48" t="e">
        <f t="shared" ca="1" si="898"/>
        <v>#N/A</v>
      </c>
      <c r="DA593" s="48" t="str">
        <f t="shared" ca="1" si="902"/>
        <v/>
      </c>
      <c r="DB593" s="48" t="str">
        <f t="shared" ca="1" si="862"/>
        <v/>
      </c>
      <c r="DC593" s="48" t="str">
        <f t="shared" ca="1" si="899"/>
        <v/>
      </c>
      <c r="DD593" s="48" t="str">
        <f t="shared" ca="1" si="900"/>
        <v/>
      </c>
      <c r="DE593" s="48" t="str">
        <f t="shared" ca="1" si="901"/>
        <v/>
      </c>
      <c r="DF593" s="48">
        <f ca="1">IF(AND(CX593=$DF$1,CX593&lt;&gt;""),0,IF(AND(DB593&lt;&gt;"",OR(DB592&lt;&gt;"",DB594&lt;&gt;"")),MAX($DF$2:DF592)+1,0))</f>
        <v>0</v>
      </c>
    </row>
    <row r="594" spans="102:110" x14ac:dyDescent="0.3">
      <c r="CX594" s="48">
        <f t="shared" ca="1" si="896"/>
        <v>46</v>
      </c>
      <c r="CY594" s="48" t="str">
        <f t="shared" ca="1" si="895"/>
        <v>MASTRO</v>
      </c>
      <c r="CZ594" s="48" t="e">
        <f t="shared" ca="1" si="898"/>
        <v>#N/A</v>
      </c>
      <c r="DA594" s="48" t="str">
        <f t="shared" ca="1" si="902"/>
        <v/>
      </c>
      <c r="DB594" s="48" t="str">
        <f t="shared" ca="1" si="862"/>
        <v/>
      </c>
      <c r="DC594" s="48" t="str">
        <f t="shared" ca="1" si="899"/>
        <v/>
      </c>
      <c r="DD594" s="48" t="str">
        <f t="shared" ca="1" si="900"/>
        <v/>
      </c>
      <c r="DE594" s="48" t="str">
        <f t="shared" ca="1" si="901"/>
        <v/>
      </c>
      <c r="DF594" s="48">
        <f ca="1">IF(AND(CX594=$DF$1,CX594&lt;&gt;""),0,IF(AND(DB594&lt;&gt;"",OR(DB593&lt;&gt;"",DB595&lt;&gt;"")),MAX($DF$2:DF593)+1,0))</f>
        <v>0</v>
      </c>
    </row>
    <row r="595" spans="102:110" x14ac:dyDescent="0.3">
      <c r="CX595" s="48">
        <f t="shared" ca="1" si="896"/>
        <v>46</v>
      </c>
      <c r="CY595" s="48" t="str">
        <f t="shared" ca="1" si="895"/>
        <v>MASTRO</v>
      </c>
      <c r="CZ595" s="48" t="e">
        <f t="shared" ca="1" si="898"/>
        <v>#N/A</v>
      </c>
      <c r="DA595" s="48" t="str">
        <f t="shared" ca="1" si="902"/>
        <v/>
      </c>
      <c r="DB595" s="48" t="str">
        <f t="shared" ca="1" si="862"/>
        <v/>
      </c>
      <c r="DC595" s="48" t="str">
        <f t="shared" ca="1" si="899"/>
        <v/>
      </c>
      <c r="DD595" s="48" t="str">
        <f t="shared" ca="1" si="900"/>
        <v/>
      </c>
      <c r="DE595" s="48" t="str">
        <f t="shared" ca="1" si="901"/>
        <v/>
      </c>
      <c r="DF595" s="48">
        <f ca="1">IF(AND(CX595=$DF$1,CX595&lt;&gt;""),0,IF(AND(DB595&lt;&gt;"",OR(DB594&lt;&gt;"",DB596&lt;&gt;"")),MAX($DF$2:DF594)+1,0))</f>
        <v>0</v>
      </c>
    </row>
    <row r="596" spans="102:110" x14ac:dyDescent="0.3">
      <c r="CX596" s="48">
        <f t="shared" ca="1" si="896"/>
        <v>46</v>
      </c>
      <c r="CY596" s="48" t="str">
        <f t="shared" ca="1" si="895"/>
        <v>MASTRO</v>
      </c>
      <c r="CZ596" s="48" t="e">
        <f t="shared" ca="1" si="898"/>
        <v>#N/A</v>
      </c>
      <c r="DA596" s="48" t="str">
        <f t="shared" ca="1" si="902"/>
        <v/>
      </c>
      <c r="DB596" s="48" t="str">
        <f t="shared" ca="1" si="862"/>
        <v/>
      </c>
      <c r="DC596" s="48" t="str">
        <f t="shared" ca="1" si="899"/>
        <v/>
      </c>
      <c r="DD596" s="48" t="str">
        <f t="shared" ca="1" si="900"/>
        <v/>
      </c>
      <c r="DE596" s="48" t="str">
        <f t="shared" ca="1" si="901"/>
        <v/>
      </c>
      <c r="DF596" s="48">
        <f ca="1">IF(AND(CX596=$DF$1,CX596&lt;&gt;""),0,IF(AND(DB596&lt;&gt;"",OR(DB595&lt;&gt;"",DB597&lt;&gt;"")),MAX($DF$2:DF595)+1,0))</f>
        <v>0</v>
      </c>
    </row>
    <row r="597" spans="102:110" x14ac:dyDescent="0.3">
      <c r="CX597" s="48">
        <f t="shared" ca="1" si="896"/>
        <v>46</v>
      </c>
      <c r="CY597" s="48" t="str">
        <f t="shared" ca="1" si="895"/>
        <v>MASTRO</v>
      </c>
      <c r="CZ597" s="48" t="e">
        <f t="shared" ca="1" si="898"/>
        <v>#N/A</v>
      </c>
      <c r="DA597" s="48" t="str">
        <f t="shared" ca="1" si="902"/>
        <v/>
      </c>
      <c r="DB597" s="48" t="str">
        <f t="shared" ca="1" si="862"/>
        <v/>
      </c>
      <c r="DC597" s="48" t="str">
        <f t="shared" ca="1" si="899"/>
        <v/>
      </c>
      <c r="DD597" s="48" t="str">
        <f t="shared" ca="1" si="900"/>
        <v/>
      </c>
      <c r="DE597" s="48" t="str">
        <f t="shared" ca="1" si="901"/>
        <v/>
      </c>
      <c r="DF597" s="48">
        <f ca="1">IF(AND(CX597=$DF$1,CX597&lt;&gt;""),0,IF(AND(DB597&lt;&gt;"",OR(DB596&lt;&gt;"",DB598&lt;&gt;"")),MAX($DF$2:DF596)+1,0))</f>
        <v>0</v>
      </c>
    </row>
    <row r="598" spans="102:110" x14ac:dyDescent="0.3">
      <c r="CX598" s="48">
        <f t="shared" ca="1" si="896"/>
        <v>46</v>
      </c>
      <c r="CY598" s="48" t="str">
        <f t="shared" ca="1" si="895"/>
        <v>MASTRO</v>
      </c>
      <c r="CZ598" s="48" t="e">
        <f t="shared" ca="1" si="898"/>
        <v>#N/A</v>
      </c>
      <c r="DA598" s="48" t="str">
        <f t="shared" ca="1" si="902"/>
        <v/>
      </c>
      <c r="DB598" s="48" t="str">
        <f t="shared" ca="1" si="862"/>
        <v/>
      </c>
      <c r="DC598" s="48" t="str">
        <f t="shared" ca="1" si="899"/>
        <v/>
      </c>
      <c r="DD598" s="48" t="str">
        <f t="shared" ca="1" si="900"/>
        <v/>
      </c>
      <c r="DE598" s="48" t="str">
        <f t="shared" ca="1" si="901"/>
        <v/>
      </c>
      <c r="DF598" s="48">
        <f ca="1">IF(AND(CX598=$DF$1,CX598&lt;&gt;""),0,IF(AND(DB598&lt;&gt;"",OR(DB597&lt;&gt;"",DB599&lt;&gt;"")),MAX($DF$2:DF597)+1,0))</f>
        <v>0</v>
      </c>
    </row>
    <row r="599" spans="102:110" x14ac:dyDescent="0.3">
      <c r="CX599" s="48">
        <f t="shared" ca="1" si="896"/>
        <v>46</v>
      </c>
      <c r="CY599" s="48" t="str">
        <f t="shared" ca="1" si="895"/>
        <v>MASTRO</v>
      </c>
      <c r="CZ599" s="48" t="e">
        <f t="shared" ca="1" si="898"/>
        <v>#N/A</v>
      </c>
      <c r="DA599" s="48" t="str">
        <f t="shared" ca="1" si="902"/>
        <v/>
      </c>
      <c r="DB599" s="48" t="str">
        <f t="shared" ca="1" si="862"/>
        <v/>
      </c>
      <c r="DC599" s="48" t="str">
        <f t="shared" ca="1" si="899"/>
        <v/>
      </c>
      <c r="DD599" s="48" t="str">
        <f t="shared" ca="1" si="900"/>
        <v/>
      </c>
      <c r="DE599" s="48" t="str">
        <f t="shared" ca="1" si="901"/>
        <v/>
      </c>
      <c r="DF599" s="48">
        <f ca="1">IF(AND(CX599=$DF$1,CX599&lt;&gt;""),0,IF(AND(DB599&lt;&gt;"",OR(DB598&lt;&gt;"",DB600&lt;&gt;"")),MAX($DF$2:DF598)+1,0))</f>
        <v>0</v>
      </c>
    </row>
    <row r="600" spans="102:110" x14ac:dyDescent="0.3">
      <c r="CY600" s="48" t="s">
        <v>500</v>
      </c>
      <c r="DB600" s="48" t="str">
        <f t="shared" ref="DB600" ca="1" si="903">IF(CX599=$DF$1,"","MASTRO")</f>
        <v>MASTRO</v>
      </c>
      <c r="DF600" s="48">
        <f ca="1">IF(AND(CX600=$DF$1,CX600&lt;&gt;""),0,IF(AND(DB600&lt;&gt;"",OR(DB599&lt;&gt;"",DB601&lt;&gt;"")),MAX($DF$2:DF599)+1,0))</f>
        <v>0</v>
      </c>
    </row>
    <row r="601" spans="102:110" x14ac:dyDescent="0.3">
      <c r="CX601" s="48">
        <f ca="1">$FF$49</f>
        <v>47</v>
      </c>
      <c r="CY601" s="48" t="str">
        <f t="shared" ref="CY601:CY612" ca="1" si="904">IF(ISERROR(INDEX($CV$3:$CX$1302,MATCH(CX601,$CW$3:$CW$1302,0),1)),"MASTRO",INDEX($CV$3:$CX$1302,MATCH(CX601,$CW$3:$CW$1302,0),1))</f>
        <v>MASTRO</v>
      </c>
      <c r="DA601" s="48" t="str">
        <f>IF(CY600="MASTRO","Conto n.","")</f>
        <v>Conto n.</v>
      </c>
      <c r="DB601" s="48" t="str">
        <f ca="1">IF(CY601=0,"",INDEX(PDC,MATCH(DC601,DEN_PDC,0),1))</f>
        <v/>
      </c>
      <c r="DC601" s="48" t="str">
        <f ca="1">IF(OR(CY601=0,CY601="mastro"),"",CY601)</f>
        <v/>
      </c>
      <c r="DD601" s="48" t="str">
        <f ca="1">IF(AND($DA$2=TRUE,OR(INDEX(PDC,MATCH($DC601,DEN_PDC,0),4)="A",INDEX(PDC,MATCH($DC601,DEN_PDC,0),4)="D/A"),SUMIFS(AVERE,DEN_G,"="&amp;$DC601,DATA,"&lt;="&amp;FINE_AC,DATA,"&gt;="&amp;INIZIO_AC)&gt;SUMIFS(DARE,DEN_G,"="&amp;$DC601,DATA,"&lt;="&amp;FINE_AC,DATA,"&gt;="&amp;INIZIO_AC)),CONCATENATE("s ",FIXED(ABS(SUMIFS(AVERE,DEN_G,"="&amp;$DC601,DATA,"&lt;="&amp;FINE_AC,DATA,"&gt;="&amp;INIZIO_AC)-SUMIFS(DARE,DEN_G,"="&amp;$DC601,DATA,"&lt;="&amp;FINE_AC,DATA,"&gt;="&amp;INIZIO_AC)),2)),"")</f>
        <v/>
      </c>
      <c r="DE601" s="48" t="str">
        <f ca="1">IF(AND($DA$2=TRUE,OR(INDEX(PDC,MATCH($DC601,DEN_PDC,0),4)="D",INDEX(PDC,MATCH($DC601,DEN_PDC,0),4)="D/A"),SUMIFS(DARE,DEN_G,"="&amp;$DC601,DATA,"&lt;="&amp;FINE_AC,DATA,"&gt;="&amp;INIZIO_AC)&gt;SUMIFS(AVERE,DEN_G,"="&amp;$DC601,DATA,"&lt;="&amp;FINE_AC,DATA,"&gt;="&amp;INIZIO_AC)),CONCATENATE("s ",FIXED(ABS(SUMIFS(DARE,DEN_G,"="&amp;$DC601,DATA,"&lt;="&amp;FINE_AC,DATA,"&gt;="&amp;INIZIO_AC)-SUMIFS(AVERE,DEN_G,"="&amp;$DC601,DATA,"&lt;="&amp;FINE_AC,DATA,"&gt;="&amp;INIZIO_AC)),2)),"")</f>
        <v/>
      </c>
      <c r="DF601" s="48">
        <f ca="1">IF(AND(CX601=$DF$1,CX601&lt;&gt;""),0,IF(AND(DB601&lt;&gt;"",OR(DB600&lt;&gt;"",DB602&lt;&gt;"")),MAX($DF$2:DF600)+1,0))</f>
        <v>0</v>
      </c>
    </row>
    <row r="602" spans="102:110" x14ac:dyDescent="0.3">
      <c r="CX602" s="48">
        <f t="shared" ref="CX602:CX612" ca="1" si="905">$FF$49</f>
        <v>47</v>
      </c>
      <c r="CY602" s="48" t="str">
        <f t="shared" ca="1" si="904"/>
        <v>MASTRO</v>
      </c>
      <c r="DA602" s="48" t="str">
        <f ca="1">IF(DB601="","","Num. riga")</f>
        <v/>
      </c>
      <c r="DB602" s="48" t="str">
        <f t="shared" ref="DB602" ca="1" si="906">IF(DB601="","","Data")</f>
        <v/>
      </c>
      <c r="DC602" s="48" t="str">
        <f ca="1">IF(DB601="","","Operazioni")</f>
        <v/>
      </c>
      <c r="DD602" s="48" t="str">
        <f ca="1">IF(DB601="","","Dare        ")</f>
        <v/>
      </c>
      <c r="DE602" s="48" t="str">
        <f ca="1">IF(DB601="","","Avere        ")</f>
        <v/>
      </c>
      <c r="DF602" s="48">
        <f ca="1">IF(AND(CX602=$DF$1,CX602&lt;&gt;""),0,IF(AND(DB602&lt;&gt;"",OR(DB601&lt;&gt;"",DB603&lt;&gt;"")),MAX($DF$2:DF601)+1,0))</f>
        <v>0</v>
      </c>
    </row>
    <row r="603" spans="102:110" x14ac:dyDescent="0.3">
      <c r="CX603" s="48">
        <f t="shared" ca="1" si="905"/>
        <v>47</v>
      </c>
      <c r="CY603" s="48" t="str">
        <f t="shared" ca="1" si="904"/>
        <v>MASTRO</v>
      </c>
      <c r="CZ603" s="48" t="e">
        <f t="shared" ref="CZ603:CZ612" ca="1" si="907">SUM(MATCH($CY603,INDIRECT(ADDRESS(SUM(CZ602)+3,54)&amp;":"&amp;ADDRESS(400,54)),0),CZ602)</f>
        <v>#N/A</v>
      </c>
      <c r="DA603" s="48" t="str">
        <f ca="1">IFERROR(INDEX(LIBRO_GIORNALE,CZ603,1),"")</f>
        <v/>
      </c>
      <c r="DB603" s="48" t="str">
        <f t="shared" ref="DB603:DB664" ca="1" si="908">IF(RIGHT(TEXT(IFERROR(INDEX(LIBRO_GIORNALE,CZ603,2),""),"gg/mm/aa"),1)="a",TEXT(IFERROR(INDEX(LIBRO_GIORNALE,CZ603,2),""),"dd/mm/yy"),TEXT(IFERROR(INDEX(LIBRO_GIORNALE,CZ603,2),""),"gg/mm/aa"))</f>
        <v/>
      </c>
      <c r="DC603" s="48" t="str">
        <f t="shared" ref="DC603:DC612" ca="1" si="909">IF(IFERROR(INDEX(LIBRO_GIORNALE,CZ603,4),"")=0,"manca la descrizione dell'operazione",IFERROR(INDEX(LIBRO_GIORNALE,CZ603,4),""))</f>
        <v/>
      </c>
      <c r="DD603" s="48" t="str">
        <f t="shared" ref="DD603:DD612" ca="1" si="910">IFERROR(IF(INDEX(LIBRO_GIORNALE,CZ603,5)&gt;0,INDEX(LIBRO_GIORNALE,CZ603,5),""),"")</f>
        <v/>
      </c>
      <c r="DE603" s="48" t="str">
        <f t="shared" ref="DE603:DE612" ca="1" si="911">IFERROR(IF(INDEX(LIBRO_GIORNALE,CZ603,6)&gt;0,INDEX(LIBRO_GIORNALE,CZ603,6),""),"")</f>
        <v/>
      </c>
      <c r="DF603" s="48">
        <f ca="1">IF(AND(CX603=$DF$1,CX603&lt;&gt;""),0,IF(AND(DB603&lt;&gt;"",OR(DB602&lt;&gt;"",DB604&lt;&gt;"")),MAX($DF$2:DF602)+1,0))</f>
        <v>0</v>
      </c>
    </row>
    <row r="604" spans="102:110" x14ac:dyDescent="0.3">
      <c r="CX604" s="48">
        <f t="shared" ca="1" si="905"/>
        <v>47</v>
      </c>
      <c r="CY604" s="48" t="str">
        <f t="shared" ca="1" si="904"/>
        <v>MASTRO</v>
      </c>
      <c r="CZ604" s="48" t="e">
        <f t="shared" ca="1" si="907"/>
        <v>#N/A</v>
      </c>
      <c r="DA604" s="48" t="str">
        <f t="shared" ref="DA604:DA612" ca="1" si="912">IFERROR(INDEX(LIBRO_GIORNALE,CZ604,1),"")</f>
        <v/>
      </c>
      <c r="DB604" s="48" t="str">
        <f t="shared" ca="1" si="908"/>
        <v/>
      </c>
      <c r="DC604" s="48" t="str">
        <f t="shared" ca="1" si="909"/>
        <v/>
      </c>
      <c r="DD604" s="48" t="str">
        <f t="shared" ca="1" si="910"/>
        <v/>
      </c>
      <c r="DE604" s="48" t="str">
        <f t="shared" ca="1" si="911"/>
        <v/>
      </c>
      <c r="DF604" s="48">
        <f ca="1">IF(AND(CX604=$DF$1,CX604&lt;&gt;""),0,IF(AND(DB604&lt;&gt;"",OR(DB603&lt;&gt;"",DB605&lt;&gt;"")),MAX($DF$2:DF603)+1,0))</f>
        <v>0</v>
      </c>
    </row>
    <row r="605" spans="102:110" x14ac:dyDescent="0.3">
      <c r="CX605" s="48">
        <f t="shared" ca="1" si="905"/>
        <v>47</v>
      </c>
      <c r="CY605" s="48" t="str">
        <f t="shared" ca="1" si="904"/>
        <v>MASTRO</v>
      </c>
      <c r="CZ605" s="48" t="e">
        <f t="shared" ca="1" si="907"/>
        <v>#N/A</v>
      </c>
      <c r="DA605" s="48" t="str">
        <f t="shared" ca="1" si="912"/>
        <v/>
      </c>
      <c r="DB605" s="48" t="str">
        <f t="shared" ca="1" si="908"/>
        <v/>
      </c>
      <c r="DC605" s="48" t="str">
        <f t="shared" ca="1" si="909"/>
        <v/>
      </c>
      <c r="DD605" s="48" t="str">
        <f t="shared" ca="1" si="910"/>
        <v/>
      </c>
      <c r="DE605" s="48" t="str">
        <f t="shared" ca="1" si="911"/>
        <v/>
      </c>
      <c r="DF605" s="48">
        <f ca="1">IF(AND(CX605=$DF$1,CX605&lt;&gt;""),0,IF(AND(DB605&lt;&gt;"",OR(DB604&lt;&gt;"",DB606&lt;&gt;"")),MAX($DF$2:DF604)+1,0))</f>
        <v>0</v>
      </c>
    </row>
    <row r="606" spans="102:110" x14ac:dyDescent="0.3">
      <c r="CX606" s="48">
        <f t="shared" ca="1" si="905"/>
        <v>47</v>
      </c>
      <c r="CY606" s="48" t="str">
        <f t="shared" ca="1" si="904"/>
        <v>MASTRO</v>
      </c>
      <c r="CZ606" s="48" t="e">
        <f t="shared" ca="1" si="907"/>
        <v>#N/A</v>
      </c>
      <c r="DA606" s="48" t="str">
        <f t="shared" ca="1" si="912"/>
        <v/>
      </c>
      <c r="DB606" s="48" t="str">
        <f t="shared" ca="1" si="908"/>
        <v/>
      </c>
      <c r="DC606" s="48" t="str">
        <f t="shared" ca="1" si="909"/>
        <v/>
      </c>
      <c r="DD606" s="48" t="str">
        <f t="shared" ca="1" si="910"/>
        <v/>
      </c>
      <c r="DE606" s="48" t="str">
        <f t="shared" ca="1" si="911"/>
        <v/>
      </c>
      <c r="DF606" s="48">
        <f ca="1">IF(AND(CX606=$DF$1,CX606&lt;&gt;""),0,IF(AND(DB606&lt;&gt;"",OR(DB605&lt;&gt;"",DB607&lt;&gt;"")),MAX($DF$2:DF605)+1,0))</f>
        <v>0</v>
      </c>
    </row>
    <row r="607" spans="102:110" x14ac:dyDescent="0.3">
      <c r="CX607" s="48">
        <f t="shared" ca="1" si="905"/>
        <v>47</v>
      </c>
      <c r="CY607" s="48" t="str">
        <f t="shared" ca="1" si="904"/>
        <v>MASTRO</v>
      </c>
      <c r="CZ607" s="48" t="e">
        <f t="shared" ca="1" si="907"/>
        <v>#N/A</v>
      </c>
      <c r="DA607" s="48" t="str">
        <f t="shared" ca="1" si="912"/>
        <v/>
      </c>
      <c r="DB607" s="48" t="str">
        <f t="shared" ca="1" si="908"/>
        <v/>
      </c>
      <c r="DC607" s="48" t="str">
        <f t="shared" ca="1" si="909"/>
        <v/>
      </c>
      <c r="DD607" s="48" t="str">
        <f t="shared" ca="1" si="910"/>
        <v/>
      </c>
      <c r="DE607" s="48" t="str">
        <f t="shared" ca="1" si="911"/>
        <v/>
      </c>
      <c r="DF607" s="48">
        <f ca="1">IF(AND(CX607=$DF$1,CX607&lt;&gt;""),0,IF(AND(DB607&lt;&gt;"",OR(DB606&lt;&gt;"",DB608&lt;&gt;"")),MAX($DF$2:DF606)+1,0))</f>
        <v>0</v>
      </c>
    </row>
    <row r="608" spans="102:110" x14ac:dyDescent="0.3">
      <c r="CX608" s="48">
        <f t="shared" ca="1" si="905"/>
        <v>47</v>
      </c>
      <c r="CY608" s="48" t="str">
        <f t="shared" ca="1" si="904"/>
        <v>MASTRO</v>
      </c>
      <c r="CZ608" s="48" t="e">
        <f t="shared" ca="1" si="907"/>
        <v>#N/A</v>
      </c>
      <c r="DA608" s="48" t="str">
        <f t="shared" ca="1" si="912"/>
        <v/>
      </c>
      <c r="DB608" s="48" t="str">
        <f t="shared" ca="1" si="908"/>
        <v/>
      </c>
      <c r="DC608" s="48" t="str">
        <f t="shared" ca="1" si="909"/>
        <v/>
      </c>
      <c r="DD608" s="48" t="str">
        <f t="shared" ca="1" si="910"/>
        <v/>
      </c>
      <c r="DE608" s="48" t="str">
        <f t="shared" ca="1" si="911"/>
        <v/>
      </c>
      <c r="DF608" s="48">
        <f ca="1">IF(AND(CX608=$DF$1,CX608&lt;&gt;""),0,IF(AND(DB608&lt;&gt;"",OR(DB607&lt;&gt;"",DB609&lt;&gt;"")),MAX($DF$2:DF607)+1,0))</f>
        <v>0</v>
      </c>
    </row>
    <row r="609" spans="102:110" x14ac:dyDescent="0.3">
      <c r="CX609" s="48">
        <f t="shared" ca="1" si="905"/>
        <v>47</v>
      </c>
      <c r="CY609" s="48" t="str">
        <f t="shared" ca="1" si="904"/>
        <v>MASTRO</v>
      </c>
      <c r="CZ609" s="48" t="e">
        <f t="shared" ca="1" si="907"/>
        <v>#N/A</v>
      </c>
      <c r="DA609" s="48" t="str">
        <f t="shared" ca="1" si="912"/>
        <v/>
      </c>
      <c r="DB609" s="48" t="str">
        <f t="shared" ca="1" si="908"/>
        <v/>
      </c>
      <c r="DC609" s="48" t="str">
        <f t="shared" ca="1" si="909"/>
        <v/>
      </c>
      <c r="DD609" s="48" t="str">
        <f t="shared" ca="1" si="910"/>
        <v/>
      </c>
      <c r="DE609" s="48" t="str">
        <f t="shared" ca="1" si="911"/>
        <v/>
      </c>
      <c r="DF609" s="48">
        <f ca="1">IF(AND(CX609=$DF$1,CX609&lt;&gt;""),0,IF(AND(DB609&lt;&gt;"",OR(DB608&lt;&gt;"",DB610&lt;&gt;"")),MAX($DF$2:DF608)+1,0))</f>
        <v>0</v>
      </c>
    </row>
    <row r="610" spans="102:110" x14ac:dyDescent="0.3">
      <c r="CX610" s="48">
        <f t="shared" ca="1" si="905"/>
        <v>47</v>
      </c>
      <c r="CY610" s="48" t="str">
        <f t="shared" ca="1" si="904"/>
        <v>MASTRO</v>
      </c>
      <c r="CZ610" s="48" t="e">
        <f t="shared" ca="1" si="907"/>
        <v>#N/A</v>
      </c>
      <c r="DA610" s="48" t="str">
        <f t="shared" ca="1" si="912"/>
        <v/>
      </c>
      <c r="DB610" s="48" t="str">
        <f t="shared" ca="1" si="908"/>
        <v/>
      </c>
      <c r="DC610" s="48" t="str">
        <f t="shared" ca="1" si="909"/>
        <v/>
      </c>
      <c r="DD610" s="48" t="str">
        <f t="shared" ca="1" si="910"/>
        <v/>
      </c>
      <c r="DE610" s="48" t="str">
        <f t="shared" ca="1" si="911"/>
        <v/>
      </c>
      <c r="DF610" s="48">
        <f ca="1">IF(AND(CX610=$DF$1,CX610&lt;&gt;""),0,IF(AND(DB610&lt;&gt;"",OR(DB609&lt;&gt;"",DB611&lt;&gt;"")),MAX($DF$2:DF609)+1,0))</f>
        <v>0</v>
      </c>
    </row>
    <row r="611" spans="102:110" x14ac:dyDescent="0.3">
      <c r="CX611" s="48">
        <f t="shared" ca="1" si="905"/>
        <v>47</v>
      </c>
      <c r="CY611" s="48" t="str">
        <f t="shared" ca="1" si="904"/>
        <v>MASTRO</v>
      </c>
      <c r="CZ611" s="48" t="e">
        <f t="shared" ca="1" si="907"/>
        <v>#N/A</v>
      </c>
      <c r="DA611" s="48" t="str">
        <f t="shared" ca="1" si="912"/>
        <v/>
      </c>
      <c r="DB611" s="48" t="str">
        <f t="shared" ca="1" si="908"/>
        <v/>
      </c>
      <c r="DC611" s="48" t="str">
        <f t="shared" ca="1" si="909"/>
        <v/>
      </c>
      <c r="DD611" s="48" t="str">
        <f t="shared" ca="1" si="910"/>
        <v/>
      </c>
      <c r="DE611" s="48" t="str">
        <f t="shared" ca="1" si="911"/>
        <v/>
      </c>
      <c r="DF611" s="48">
        <f ca="1">IF(AND(CX611=$DF$1,CX611&lt;&gt;""),0,IF(AND(DB611&lt;&gt;"",OR(DB610&lt;&gt;"",DB612&lt;&gt;"")),MAX($DF$2:DF610)+1,0))</f>
        <v>0</v>
      </c>
    </row>
    <row r="612" spans="102:110" x14ac:dyDescent="0.3">
      <c r="CX612" s="48">
        <f t="shared" ca="1" si="905"/>
        <v>47</v>
      </c>
      <c r="CY612" s="48" t="str">
        <f t="shared" ca="1" si="904"/>
        <v>MASTRO</v>
      </c>
      <c r="CZ612" s="48" t="e">
        <f t="shared" ca="1" si="907"/>
        <v>#N/A</v>
      </c>
      <c r="DA612" s="48" t="str">
        <f t="shared" ca="1" si="912"/>
        <v/>
      </c>
      <c r="DB612" s="48" t="str">
        <f t="shared" ca="1" si="908"/>
        <v/>
      </c>
      <c r="DC612" s="48" t="str">
        <f t="shared" ca="1" si="909"/>
        <v/>
      </c>
      <c r="DD612" s="48" t="str">
        <f t="shared" ca="1" si="910"/>
        <v/>
      </c>
      <c r="DE612" s="48" t="str">
        <f t="shared" ca="1" si="911"/>
        <v/>
      </c>
      <c r="DF612" s="48">
        <f ca="1">IF(AND(CX612=$DF$1,CX612&lt;&gt;""),0,IF(AND(DB612&lt;&gt;"",OR(DB611&lt;&gt;"",DB613&lt;&gt;"")),MAX($DF$2:DF611)+1,0))</f>
        <v>0</v>
      </c>
    </row>
    <row r="613" spans="102:110" x14ac:dyDescent="0.3">
      <c r="CY613" s="48" t="s">
        <v>500</v>
      </c>
      <c r="DB613" s="48" t="str">
        <f t="shared" ref="DB613" ca="1" si="913">IF(CX612=$DF$1,"","MASTRO")</f>
        <v>MASTRO</v>
      </c>
      <c r="DF613" s="48">
        <f ca="1">IF(AND(CX613=$DF$1,CX613&lt;&gt;""),0,IF(AND(DB613&lt;&gt;"",OR(DB612&lt;&gt;"",DB614&lt;&gt;"")),MAX($DF$2:DF612)+1,0))</f>
        <v>0</v>
      </c>
    </row>
    <row r="614" spans="102:110" x14ac:dyDescent="0.3">
      <c r="CX614" s="48">
        <f ca="1">$FF$50</f>
        <v>48</v>
      </c>
      <c r="CY614" s="48" t="str">
        <f t="shared" ref="CY614:CY625" ca="1" si="914">IF(ISERROR(INDEX($CV$3:$CX$1302,MATCH(CX614,$CW$3:$CW$1302,0),1)),"MASTRO",INDEX($CV$3:$CX$1302,MATCH(CX614,$CW$3:$CW$1302,0),1))</f>
        <v>MASTRO</v>
      </c>
      <c r="DA614" s="48" t="str">
        <f>IF(CY613="MASTRO","Conto n.","")</f>
        <v>Conto n.</v>
      </c>
      <c r="DB614" s="48" t="str">
        <f ca="1">IF(CY614=0,"",INDEX(PDC,MATCH(DC614,DEN_PDC,0),1))</f>
        <v/>
      </c>
      <c r="DC614" s="48" t="str">
        <f ca="1">IF(OR(CY614=0,CY614="mastro"),"",CY614)</f>
        <v/>
      </c>
      <c r="DD614" s="48" t="str">
        <f ca="1">IF(AND($DA$2=TRUE,OR(INDEX(PDC,MATCH($DC614,DEN_PDC,0),4)="A",INDEX(PDC,MATCH($DC614,DEN_PDC,0),4)="D/A"),SUMIFS(AVERE,DEN_G,"="&amp;$DC614,DATA,"&lt;="&amp;FINE_AC,DATA,"&gt;="&amp;INIZIO_AC)&gt;SUMIFS(DARE,DEN_G,"="&amp;$DC614,DATA,"&lt;="&amp;FINE_AC,DATA,"&gt;="&amp;INIZIO_AC)),CONCATENATE("s ",FIXED(ABS(SUMIFS(AVERE,DEN_G,"="&amp;$DC614,DATA,"&lt;="&amp;FINE_AC,DATA,"&gt;="&amp;INIZIO_AC)-SUMIFS(DARE,DEN_G,"="&amp;$DC614,DATA,"&lt;="&amp;FINE_AC,DATA,"&gt;="&amp;INIZIO_AC)),2)),"")</f>
        <v/>
      </c>
      <c r="DE614" s="48" t="str">
        <f ca="1">IF(AND($DA$2=TRUE,OR(INDEX(PDC,MATCH($DC614,DEN_PDC,0),4)="D",INDEX(PDC,MATCH($DC614,DEN_PDC,0),4)="D/A"),SUMIFS(DARE,DEN_G,"="&amp;$DC614,DATA,"&lt;="&amp;FINE_AC,DATA,"&gt;="&amp;INIZIO_AC)&gt;SUMIFS(AVERE,DEN_G,"="&amp;$DC614,DATA,"&lt;="&amp;FINE_AC,DATA,"&gt;="&amp;INIZIO_AC)),CONCATENATE("s ",FIXED(ABS(SUMIFS(DARE,DEN_G,"="&amp;$DC614,DATA,"&lt;="&amp;FINE_AC,DATA,"&gt;="&amp;INIZIO_AC)-SUMIFS(AVERE,DEN_G,"="&amp;$DC614,DATA,"&lt;="&amp;FINE_AC,DATA,"&gt;="&amp;INIZIO_AC)),2)),"")</f>
        <v/>
      </c>
      <c r="DF614" s="48">
        <f ca="1">IF(AND(CX614=$DF$1,CX614&lt;&gt;""),0,IF(AND(DB614&lt;&gt;"",OR(DB613&lt;&gt;"",DB615&lt;&gt;"")),MAX($DF$2:DF613)+1,0))</f>
        <v>0</v>
      </c>
    </row>
    <row r="615" spans="102:110" x14ac:dyDescent="0.3">
      <c r="CX615" s="48">
        <f t="shared" ref="CX615:CX625" ca="1" si="915">$FF$50</f>
        <v>48</v>
      </c>
      <c r="CY615" s="48" t="str">
        <f t="shared" ca="1" si="914"/>
        <v>MASTRO</v>
      </c>
      <c r="DA615" s="48" t="str">
        <f ca="1">IF(DB614="","","Num. riga")</f>
        <v/>
      </c>
      <c r="DB615" s="48" t="str">
        <f t="shared" ref="DB615" ca="1" si="916">IF(DB614="","","Data")</f>
        <v/>
      </c>
      <c r="DC615" s="48" t="str">
        <f ca="1">IF(DB614="","","Operazioni")</f>
        <v/>
      </c>
      <c r="DD615" s="48" t="str">
        <f ca="1">IF(DB614="","","Dare        ")</f>
        <v/>
      </c>
      <c r="DE615" s="48" t="str">
        <f ca="1">IF(DB614="","","Avere        ")</f>
        <v/>
      </c>
      <c r="DF615" s="48">
        <f ca="1">IF(AND(CX615=$DF$1,CX615&lt;&gt;""),0,IF(AND(DB615&lt;&gt;"",OR(DB614&lt;&gt;"",DB616&lt;&gt;"")),MAX($DF$2:DF614)+1,0))</f>
        <v>0</v>
      </c>
    </row>
    <row r="616" spans="102:110" x14ac:dyDescent="0.3">
      <c r="CX616" s="48">
        <f t="shared" ca="1" si="915"/>
        <v>48</v>
      </c>
      <c r="CY616" s="48" t="str">
        <f t="shared" ca="1" si="914"/>
        <v>MASTRO</v>
      </c>
      <c r="CZ616" s="48" t="e">
        <f t="shared" ref="CZ616:CZ625" ca="1" si="917">SUM(MATCH($CY616,INDIRECT(ADDRESS(SUM(CZ615)+3,54)&amp;":"&amp;ADDRESS(400,54)),0),CZ615)</f>
        <v>#N/A</v>
      </c>
      <c r="DA616" s="48" t="str">
        <f ca="1">IFERROR(INDEX(LIBRO_GIORNALE,CZ616,1),"")</f>
        <v/>
      </c>
      <c r="DB616" s="48" t="str">
        <f t="shared" ca="1" si="908"/>
        <v/>
      </c>
      <c r="DC616" s="48" t="str">
        <f t="shared" ref="DC616:DC625" ca="1" si="918">IF(IFERROR(INDEX(LIBRO_GIORNALE,CZ616,4),"")=0,"manca la descrizione dell'operazione",IFERROR(INDEX(LIBRO_GIORNALE,CZ616,4),""))</f>
        <v/>
      </c>
      <c r="DD616" s="48" t="str">
        <f t="shared" ref="DD616:DD625" ca="1" si="919">IFERROR(IF(INDEX(LIBRO_GIORNALE,CZ616,5)&gt;0,INDEX(LIBRO_GIORNALE,CZ616,5),""),"")</f>
        <v/>
      </c>
      <c r="DE616" s="48" t="str">
        <f t="shared" ref="DE616:DE625" ca="1" si="920">IFERROR(IF(INDEX(LIBRO_GIORNALE,CZ616,6)&gt;0,INDEX(LIBRO_GIORNALE,CZ616,6),""),"")</f>
        <v/>
      </c>
      <c r="DF616" s="48">
        <f ca="1">IF(AND(CX616=$DF$1,CX616&lt;&gt;""),0,IF(AND(DB616&lt;&gt;"",OR(DB615&lt;&gt;"",DB617&lt;&gt;"")),MAX($DF$2:DF615)+1,0))</f>
        <v>0</v>
      </c>
    </row>
    <row r="617" spans="102:110" x14ac:dyDescent="0.3">
      <c r="CX617" s="48">
        <f t="shared" ca="1" si="915"/>
        <v>48</v>
      </c>
      <c r="CY617" s="48" t="str">
        <f t="shared" ca="1" si="914"/>
        <v>MASTRO</v>
      </c>
      <c r="CZ617" s="48" t="e">
        <f t="shared" ca="1" si="917"/>
        <v>#N/A</v>
      </c>
      <c r="DA617" s="48" t="str">
        <f t="shared" ref="DA617:DA625" ca="1" si="921">IFERROR(INDEX(LIBRO_GIORNALE,CZ617,1),"")</f>
        <v/>
      </c>
      <c r="DB617" s="48" t="str">
        <f t="shared" ca="1" si="908"/>
        <v/>
      </c>
      <c r="DC617" s="48" t="str">
        <f t="shared" ca="1" si="918"/>
        <v/>
      </c>
      <c r="DD617" s="48" t="str">
        <f t="shared" ca="1" si="919"/>
        <v/>
      </c>
      <c r="DE617" s="48" t="str">
        <f t="shared" ca="1" si="920"/>
        <v/>
      </c>
      <c r="DF617" s="48">
        <f ca="1">IF(AND(CX617=$DF$1,CX617&lt;&gt;""),0,IF(AND(DB617&lt;&gt;"",OR(DB616&lt;&gt;"",DB618&lt;&gt;"")),MAX($DF$2:DF616)+1,0))</f>
        <v>0</v>
      </c>
    </row>
    <row r="618" spans="102:110" x14ac:dyDescent="0.3">
      <c r="CX618" s="48">
        <f t="shared" ca="1" si="915"/>
        <v>48</v>
      </c>
      <c r="CY618" s="48" t="str">
        <f t="shared" ca="1" si="914"/>
        <v>MASTRO</v>
      </c>
      <c r="CZ618" s="48" t="e">
        <f t="shared" ca="1" si="917"/>
        <v>#N/A</v>
      </c>
      <c r="DA618" s="48" t="str">
        <f t="shared" ca="1" si="921"/>
        <v/>
      </c>
      <c r="DB618" s="48" t="str">
        <f t="shared" ca="1" si="908"/>
        <v/>
      </c>
      <c r="DC618" s="48" t="str">
        <f t="shared" ca="1" si="918"/>
        <v/>
      </c>
      <c r="DD618" s="48" t="str">
        <f t="shared" ca="1" si="919"/>
        <v/>
      </c>
      <c r="DE618" s="48" t="str">
        <f t="shared" ca="1" si="920"/>
        <v/>
      </c>
      <c r="DF618" s="48">
        <f ca="1">IF(AND(CX618=$DF$1,CX618&lt;&gt;""),0,IF(AND(DB618&lt;&gt;"",OR(DB617&lt;&gt;"",DB619&lt;&gt;"")),MAX($DF$2:DF617)+1,0))</f>
        <v>0</v>
      </c>
    </row>
    <row r="619" spans="102:110" x14ac:dyDescent="0.3">
      <c r="CX619" s="48">
        <f t="shared" ca="1" si="915"/>
        <v>48</v>
      </c>
      <c r="CY619" s="48" t="str">
        <f t="shared" ca="1" si="914"/>
        <v>MASTRO</v>
      </c>
      <c r="CZ619" s="48" t="e">
        <f t="shared" ca="1" si="917"/>
        <v>#N/A</v>
      </c>
      <c r="DA619" s="48" t="str">
        <f t="shared" ca="1" si="921"/>
        <v/>
      </c>
      <c r="DB619" s="48" t="str">
        <f t="shared" ca="1" si="908"/>
        <v/>
      </c>
      <c r="DC619" s="48" t="str">
        <f t="shared" ca="1" si="918"/>
        <v/>
      </c>
      <c r="DD619" s="48" t="str">
        <f t="shared" ca="1" si="919"/>
        <v/>
      </c>
      <c r="DE619" s="48" t="str">
        <f t="shared" ca="1" si="920"/>
        <v/>
      </c>
      <c r="DF619" s="48">
        <f ca="1">IF(AND(CX619=$DF$1,CX619&lt;&gt;""),0,IF(AND(DB619&lt;&gt;"",OR(DB618&lt;&gt;"",DB620&lt;&gt;"")),MAX($DF$2:DF618)+1,0))</f>
        <v>0</v>
      </c>
    </row>
    <row r="620" spans="102:110" x14ac:dyDescent="0.3">
      <c r="CX620" s="48">
        <f t="shared" ca="1" si="915"/>
        <v>48</v>
      </c>
      <c r="CY620" s="48" t="str">
        <f t="shared" ca="1" si="914"/>
        <v>MASTRO</v>
      </c>
      <c r="CZ620" s="48" t="e">
        <f t="shared" ca="1" si="917"/>
        <v>#N/A</v>
      </c>
      <c r="DA620" s="48" t="str">
        <f t="shared" ca="1" si="921"/>
        <v/>
      </c>
      <c r="DB620" s="48" t="str">
        <f t="shared" ca="1" si="908"/>
        <v/>
      </c>
      <c r="DC620" s="48" t="str">
        <f t="shared" ca="1" si="918"/>
        <v/>
      </c>
      <c r="DD620" s="48" t="str">
        <f t="shared" ca="1" si="919"/>
        <v/>
      </c>
      <c r="DE620" s="48" t="str">
        <f t="shared" ca="1" si="920"/>
        <v/>
      </c>
      <c r="DF620" s="48">
        <f ca="1">IF(AND(CX620=$DF$1,CX620&lt;&gt;""),0,IF(AND(DB620&lt;&gt;"",OR(DB619&lt;&gt;"",DB621&lt;&gt;"")),MAX($DF$2:DF619)+1,0))</f>
        <v>0</v>
      </c>
    </row>
    <row r="621" spans="102:110" x14ac:dyDescent="0.3">
      <c r="CX621" s="48">
        <f t="shared" ca="1" si="915"/>
        <v>48</v>
      </c>
      <c r="CY621" s="48" t="str">
        <f t="shared" ca="1" si="914"/>
        <v>MASTRO</v>
      </c>
      <c r="CZ621" s="48" t="e">
        <f t="shared" ca="1" si="917"/>
        <v>#N/A</v>
      </c>
      <c r="DA621" s="48" t="str">
        <f t="shared" ca="1" si="921"/>
        <v/>
      </c>
      <c r="DB621" s="48" t="str">
        <f t="shared" ca="1" si="908"/>
        <v/>
      </c>
      <c r="DC621" s="48" t="str">
        <f t="shared" ca="1" si="918"/>
        <v/>
      </c>
      <c r="DD621" s="48" t="str">
        <f t="shared" ca="1" si="919"/>
        <v/>
      </c>
      <c r="DE621" s="48" t="str">
        <f t="shared" ca="1" si="920"/>
        <v/>
      </c>
      <c r="DF621" s="48">
        <f ca="1">IF(AND(CX621=$DF$1,CX621&lt;&gt;""),0,IF(AND(DB621&lt;&gt;"",OR(DB620&lt;&gt;"",DB622&lt;&gt;"")),MAX($DF$2:DF620)+1,0))</f>
        <v>0</v>
      </c>
    </row>
    <row r="622" spans="102:110" x14ac:dyDescent="0.3">
      <c r="CX622" s="48">
        <f t="shared" ca="1" si="915"/>
        <v>48</v>
      </c>
      <c r="CY622" s="48" t="str">
        <f t="shared" ca="1" si="914"/>
        <v>MASTRO</v>
      </c>
      <c r="CZ622" s="48" t="e">
        <f t="shared" ca="1" si="917"/>
        <v>#N/A</v>
      </c>
      <c r="DA622" s="48" t="str">
        <f t="shared" ca="1" si="921"/>
        <v/>
      </c>
      <c r="DB622" s="48" t="str">
        <f t="shared" ca="1" si="908"/>
        <v/>
      </c>
      <c r="DC622" s="48" t="str">
        <f t="shared" ca="1" si="918"/>
        <v/>
      </c>
      <c r="DD622" s="48" t="str">
        <f t="shared" ca="1" si="919"/>
        <v/>
      </c>
      <c r="DE622" s="48" t="str">
        <f t="shared" ca="1" si="920"/>
        <v/>
      </c>
      <c r="DF622" s="48">
        <f ca="1">IF(AND(CX622=$DF$1,CX622&lt;&gt;""),0,IF(AND(DB622&lt;&gt;"",OR(DB621&lt;&gt;"",DB623&lt;&gt;"")),MAX($DF$2:DF621)+1,0))</f>
        <v>0</v>
      </c>
    </row>
    <row r="623" spans="102:110" x14ac:dyDescent="0.3">
      <c r="CX623" s="48">
        <f t="shared" ca="1" si="915"/>
        <v>48</v>
      </c>
      <c r="CY623" s="48" t="str">
        <f t="shared" ca="1" si="914"/>
        <v>MASTRO</v>
      </c>
      <c r="CZ623" s="48" t="e">
        <f t="shared" ca="1" si="917"/>
        <v>#N/A</v>
      </c>
      <c r="DA623" s="48" t="str">
        <f t="shared" ca="1" si="921"/>
        <v/>
      </c>
      <c r="DB623" s="48" t="str">
        <f t="shared" ca="1" si="908"/>
        <v/>
      </c>
      <c r="DC623" s="48" t="str">
        <f t="shared" ca="1" si="918"/>
        <v/>
      </c>
      <c r="DD623" s="48" t="str">
        <f t="shared" ca="1" si="919"/>
        <v/>
      </c>
      <c r="DE623" s="48" t="str">
        <f t="shared" ca="1" si="920"/>
        <v/>
      </c>
      <c r="DF623" s="48">
        <f ca="1">IF(AND(CX623=$DF$1,CX623&lt;&gt;""),0,IF(AND(DB623&lt;&gt;"",OR(DB622&lt;&gt;"",DB624&lt;&gt;"")),MAX($DF$2:DF622)+1,0))</f>
        <v>0</v>
      </c>
    </row>
    <row r="624" spans="102:110" x14ac:dyDescent="0.3">
      <c r="CX624" s="48">
        <f t="shared" ca="1" si="915"/>
        <v>48</v>
      </c>
      <c r="CY624" s="48" t="str">
        <f t="shared" ca="1" si="914"/>
        <v>MASTRO</v>
      </c>
      <c r="CZ624" s="48" t="e">
        <f t="shared" ca="1" si="917"/>
        <v>#N/A</v>
      </c>
      <c r="DA624" s="48" t="str">
        <f t="shared" ca="1" si="921"/>
        <v/>
      </c>
      <c r="DB624" s="48" t="str">
        <f t="shared" ca="1" si="908"/>
        <v/>
      </c>
      <c r="DC624" s="48" t="str">
        <f t="shared" ca="1" si="918"/>
        <v/>
      </c>
      <c r="DD624" s="48" t="str">
        <f t="shared" ca="1" si="919"/>
        <v/>
      </c>
      <c r="DE624" s="48" t="str">
        <f t="shared" ca="1" si="920"/>
        <v/>
      </c>
      <c r="DF624" s="48">
        <f ca="1">IF(AND(CX624=$DF$1,CX624&lt;&gt;""),0,IF(AND(DB624&lt;&gt;"",OR(DB623&lt;&gt;"",DB625&lt;&gt;"")),MAX($DF$2:DF623)+1,0))</f>
        <v>0</v>
      </c>
    </row>
    <row r="625" spans="102:110" x14ac:dyDescent="0.3">
      <c r="CX625" s="48">
        <f t="shared" ca="1" si="915"/>
        <v>48</v>
      </c>
      <c r="CY625" s="48" t="str">
        <f t="shared" ca="1" si="914"/>
        <v>MASTRO</v>
      </c>
      <c r="CZ625" s="48" t="e">
        <f t="shared" ca="1" si="917"/>
        <v>#N/A</v>
      </c>
      <c r="DA625" s="48" t="str">
        <f t="shared" ca="1" si="921"/>
        <v/>
      </c>
      <c r="DB625" s="48" t="str">
        <f t="shared" ca="1" si="908"/>
        <v/>
      </c>
      <c r="DC625" s="48" t="str">
        <f t="shared" ca="1" si="918"/>
        <v/>
      </c>
      <c r="DD625" s="48" t="str">
        <f t="shared" ca="1" si="919"/>
        <v/>
      </c>
      <c r="DE625" s="48" t="str">
        <f t="shared" ca="1" si="920"/>
        <v/>
      </c>
      <c r="DF625" s="48">
        <f ca="1">IF(AND(CX625=$DF$1,CX625&lt;&gt;""),0,IF(AND(DB625&lt;&gt;"",OR(DB624&lt;&gt;"",DB626&lt;&gt;"")),MAX($DF$2:DF624)+1,0))</f>
        <v>0</v>
      </c>
    </row>
    <row r="626" spans="102:110" x14ac:dyDescent="0.3">
      <c r="CY626" s="48" t="s">
        <v>500</v>
      </c>
      <c r="DB626" s="48" t="str">
        <f t="shared" ref="DB626" ca="1" si="922">IF(CX625=$DF$1,"","MASTRO")</f>
        <v>MASTRO</v>
      </c>
      <c r="DF626" s="48">
        <f ca="1">IF(AND(CX626=$DF$1,CX626&lt;&gt;""),0,IF(AND(DB626&lt;&gt;"",OR(DB625&lt;&gt;"",DB627&lt;&gt;"")),MAX($DF$2:DF625)+1,0))</f>
        <v>0</v>
      </c>
    </row>
    <row r="627" spans="102:110" x14ac:dyDescent="0.3">
      <c r="CX627" s="48">
        <f ca="1">$FF$51</f>
        <v>49</v>
      </c>
      <c r="CY627" s="48" t="str">
        <f t="shared" ref="CY627:CY638" ca="1" si="923">IF(ISERROR(INDEX($CV$3:$CX$1302,MATCH(CX627,$CW$3:$CW$1302,0),1)),"MASTRO",INDEX($CV$3:$CX$1302,MATCH(CX627,$CW$3:$CW$1302,0),1))</f>
        <v>MASTRO</v>
      </c>
      <c r="DA627" s="48" t="str">
        <f>IF(CY626="MASTRO","Conto n.","")</f>
        <v>Conto n.</v>
      </c>
      <c r="DB627" s="48" t="str">
        <f ca="1">IF(CY627=0,"",INDEX(PDC,MATCH(DC627,DEN_PDC,0),1))</f>
        <v/>
      </c>
      <c r="DC627" s="48" t="str">
        <f ca="1">IF(OR(CY627=0,CY627="mastro"),"",CY627)</f>
        <v/>
      </c>
      <c r="DD627" s="48" t="str">
        <f ca="1">IF(AND($DA$2=TRUE,OR(INDEX(PDC,MATCH($DC627,DEN_PDC,0),4)="A",INDEX(PDC,MATCH($DC627,DEN_PDC,0),4)="D/A"),SUMIFS(AVERE,DEN_G,"="&amp;$DC627,DATA,"&lt;="&amp;FINE_AC,DATA,"&gt;="&amp;INIZIO_AC)&gt;SUMIFS(DARE,DEN_G,"="&amp;$DC627,DATA,"&lt;="&amp;FINE_AC,DATA,"&gt;="&amp;INIZIO_AC)),CONCATENATE("s ",FIXED(ABS(SUMIFS(AVERE,DEN_G,"="&amp;$DC627,DATA,"&lt;="&amp;FINE_AC,DATA,"&gt;="&amp;INIZIO_AC)-SUMIFS(DARE,DEN_G,"="&amp;$DC627,DATA,"&lt;="&amp;FINE_AC,DATA,"&gt;="&amp;INIZIO_AC)),2)),"")</f>
        <v/>
      </c>
      <c r="DE627" s="48" t="str">
        <f ca="1">IF(AND($DA$2=TRUE,OR(INDEX(PDC,MATCH($DC627,DEN_PDC,0),4)="D",INDEX(PDC,MATCH($DC627,DEN_PDC,0),4)="D/A"),SUMIFS(DARE,DEN_G,"="&amp;$DC627,DATA,"&lt;="&amp;FINE_AC,DATA,"&gt;="&amp;INIZIO_AC)&gt;SUMIFS(AVERE,DEN_G,"="&amp;$DC627,DATA,"&lt;="&amp;FINE_AC,DATA,"&gt;="&amp;INIZIO_AC)),CONCATENATE("s ",FIXED(ABS(SUMIFS(DARE,DEN_G,"="&amp;$DC627,DATA,"&lt;="&amp;FINE_AC,DATA,"&gt;="&amp;INIZIO_AC)-SUMIFS(AVERE,DEN_G,"="&amp;$DC627,DATA,"&lt;="&amp;FINE_AC,DATA,"&gt;="&amp;INIZIO_AC)),2)),"")</f>
        <v/>
      </c>
      <c r="DF627" s="48">
        <f ca="1">IF(AND(CX627=$DF$1,CX627&lt;&gt;""),0,IF(AND(DB627&lt;&gt;"",OR(DB626&lt;&gt;"",DB628&lt;&gt;"")),MAX($DF$2:DF626)+1,0))</f>
        <v>0</v>
      </c>
    </row>
    <row r="628" spans="102:110" x14ac:dyDescent="0.3">
      <c r="CX628" s="48">
        <f t="shared" ref="CX628:CX638" ca="1" si="924">$FF$51</f>
        <v>49</v>
      </c>
      <c r="CY628" s="48" t="str">
        <f t="shared" ca="1" si="923"/>
        <v>MASTRO</v>
      </c>
      <c r="DA628" s="48" t="str">
        <f ca="1">IF(DB627="","","Num. riga")</f>
        <v/>
      </c>
      <c r="DB628" s="48" t="str">
        <f t="shared" ref="DB628" ca="1" si="925">IF(DB627="","","Data")</f>
        <v/>
      </c>
      <c r="DC628" s="48" t="str">
        <f ca="1">IF(DB627="","","Operazioni")</f>
        <v/>
      </c>
      <c r="DD628" s="48" t="str">
        <f ca="1">IF(DB627="","","Dare        ")</f>
        <v/>
      </c>
      <c r="DE628" s="48" t="str">
        <f ca="1">IF(DB627="","","Avere        ")</f>
        <v/>
      </c>
      <c r="DF628" s="48">
        <f ca="1">IF(AND(CX628=$DF$1,CX628&lt;&gt;""),0,IF(AND(DB628&lt;&gt;"",OR(DB627&lt;&gt;"",DB629&lt;&gt;"")),MAX($DF$2:DF627)+1,0))</f>
        <v>0</v>
      </c>
    </row>
    <row r="629" spans="102:110" x14ac:dyDescent="0.3">
      <c r="CX629" s="48">
        <f t="shared" ca="1" si="924"/>
        <v>49</v>
      </c>
      <c r="CY629" s="48" t="str">
        <f t="shared" ca="1" si="923"/>
        <v>MASTRO</v>
      </c>
      <c r="CZ629" s="48" t="e">
        <f t="shared" ref="CZ629:CZ638" ca="1" si="926">SUM(MATCH($CY629,INDIRECT(ADDRESS(SUM(CZ628)+3,54)&amp;":"&amp;ADDRESS(400,54)),0),CZ628)</f>
        <v>#N/A</v>
      </c>
      <c r="DA629" s="48" t="str">
        <f ca="1">IFERROR(INDEX(LIBRO_GIORNALE,CZ629,1),"")</f>
        <v/>
      </c>
      <c r="DB629" s="48" t="str">
        <f t="shared" ca="1" si="908"/>
        <v/>
      </c>
      <c r="DC629" s="48" t="str">
        <f t="shared" ref="DC629:DC638" ca="1" si="927">IF(IFERROR(INDEX(LIBRO_GIORNALE,CZ629,4),"")=0,"manca la descrizione dell'operazione",IFERROR(INDEX(LIBRO_GIORNALE,CZ629,4),""))</f>
        <v/>
      </c>
      <c r="DD629" s="48" t="str">
        <f t="shared" ref="DD629:DD638" ca="1" si="928">IFERROR(IF(INDEX(LIBRO_GIORNALE,CZ629,5)&gt;0,INDEX(LIBRO_GIORNALE,CZ629,5),""),"")</f>
        <v/>
      </c>
      <c r="DE629" s="48" t="str">
        <f t="shared" ref="DE629:DE638" ca="1" si="929">IFERROR(IF(INDEX(LIBRO_GIORNALE,CZ629,6)&gt;0,INDEX(LIBRO_GIORNALE,CZ629,6),""),"")</f>
        <v/>
      </c>
      <c r="DF629" s="48">
        <f ca="1">IF(AND(CX629=$DF$1,CX629&lt;&gt;""),0,IF(AND(DB629&lt;&gt;"",OR(DB628&lt;&gt;"",DB630&lt;&gt;"")),MAX($DF$2:DF628)+1,0))</f>
        <v>0</v>
      </c>
    </row>
    <row r="630" spans="102:110" x14ac:dyDescent="0.3">
      <c r="CX630" s="48">
        <f t="shared" ca="1" si="924"/>
        <v>49</v>
      </c>
      <c r="CY630" s="48" t="str">
        <f t="shared" ca="1" si="923"/>
        <v>MASTRO</v>
      </c>
      <c r="CZ630" s="48" t="e">
        <f t="shared" ca="1" si="926"/>
        <v>#N/A</v>
      </c>
      <c r="DA630" s="48" t="str">
        <f t="shared" ref="DA630:DA638" ca="1" si="930">IFERROR(INDEX(LIBRO_GIORNALE,CZ630,1),"")</f>
        <v/>
      </c>
      <c r="DB630" s="48" t="str">
        <f t="shared" ca="1" si="908"/>
        <v/>
      </c>
      <c r="DC630" s="48" t="str">
        <f t="shared" ca="1" si="927"/>
        <v/>
      </c>
      <c r="DD630" s="48" t="str">
        <f t="shared" ca="1" si="928"/>
        <v/>
      </c>
      <c r="DE630" s="48" t="str">
        <f t="shared" ca="1" si="929"/>
        <v/>
      </c>
      <c r="DF630" s="48">
        <f ca="1">IF(AND(CX630=$DF$1,CX630&lt;&gt;""),0,IF(AND(DB630&lt;&gt;"",OR(DB629&lt;&gt;"",DB631&lt;&gt;"")),MAX($DF$2:DF629)+1,0))</f>
        <v>0</v>
      </c>
    </row>
    <row r="631" spans="102:110" x14ac:dyDescent="0.3">
      <c r="CX631" s="48">
        <f t="shared" ca="1" si="924"/>
        <v>49</v>
      </c>
      <c r="CY631" s="48" t="str">
        <f t="shared" ca="1" si="923"/>
        <v>MASTRO</v>
      </c>
      <c r="CZ631" s="48" t="e">
        <f t="shared" ca="1" si="926"/>
        <v>#N/A</v>
      </c>
      <c r="DA631" s="48" t="str">
        <f t="shared" ca="1" si="930"/>
        <v/>
      </c>
      <c r="DB631" s="48" t="str">
        <f t="shared" ca="1" si="908"/>
        <v/>
      </c>
      <c r="DC631" s="48" t="str">
        <f t="shared" ca="1" si="927"/>
        <v/>
      </c>
      <c r="DD631" s="48" t="str">
        <f t="shared" ca="1" si="928"/>
        <v/>
      </c>
      <c r="DE631" s="48" t="str">
        <f t="shared" ca="1" si="929"/>
        <v/>
      </c>
      <c r="DF631" s="48">
        <f ca="1">IF(AND(CX631=$DF$1,CX631&lt;&gt;""),0,IF(AND(DB631&lt;&gt;"",OR(DB630&lt;&gt;"",DB632&lt;&gt;"")),MAX($DF$2:DF630)+1,0))</f>
        <v>0</v>
      </c>
    </row>
    <row r="632" spans="102:110" x14ac:dyDescent="0.3">
      <c r="CX632" s="48">
        <f t="shared" ca="1" si="924"/>
        <v>49</v>
      </c>
      <c r="CY632" s="48" t="str">
        <f t="shared" ca="1" si="923"/>
        <v>MASTRO</v>
      </c>
      <c r="CZ632" s="48" t="e">
        <f t="shared" ca="1" si="926"/>
        <v>#N/A</v>
      </c>
      <c r="DA632" s="48" t="str">
        <f t="shared" ca="1" si="930"/>
        <v/>
      </c>
      <c r="DB632" s="48" t="str">
        <f t="shared" ca="1" si="908"/>
        <v/>
      </c>
      <c r="DC632" s="48" t="str">
        <f t="shared" ca="1" si="927"/>
        <v/>
      </c>
      <c r="DD632" s="48" t="str">
        <f t="shared" ca="1" si="928"/>
        <v/>
      </c>
      <c r="DE632" s="48" t="str">
        <f t="shared" ca="1" si="929"/>
        <v/>
      </c>
      <c r="DF632" s="48">
        <f ca="1">IF(AND(CX632=$DF$1,CX632&lt;&gt;""),0,IF(AND(DB632&lt;&gt;"",OR(DB631&lt;&gt;"",DB633&lt;&gt;"")),MAX($DF$2:DF631)+1,0))</f>
        <v>0</v>
      </c>
    </row>
    <row r="633" spans="102:110" x14ac:dyDescent="0.3">
      <c r="CX633" s="48">
        <f t="shared" ca="1" si="924"/>
        <v>49</v>
      </c>
      <c r="CY633" s="48" t="str">
        <f t="shared" ca="1" si="923"/>
        <v>MASTRO</v>
      </c>
      <c r="CZ633" s="48" t="e">
        <f t="shared" ca="1" si="926"/>
        <v>#N/A</v>
      </c>
      <c r="DA633" s="48" t="str">
        <f t="shared" ca="1" si="930"/>
        <v/>
      </c>
      <c r="DB633" s="48" t="str">
        <f t="shared" ca="1" si="908"/>
        <v/>
      </c>
      <c r="DC633" s="48" t="str">
        <f t="shared" ca="1" si="927"/>
        <v/>
      </c>
      <c r="DD633" s="48" t="str">
        <f t="shared" ca="1" si="928"/>
        <v/>
      </c>
      <c r="DE633" s="48" t="str">
        <f t="shared" ca="1" si="929"/>
        <v/>
      </c>
      <c r="DF633" s="48">
        <f ca="1">IF(AND(CX633=$DF$1,CX633&lt;&gt;""),0,IF(AND(DB633&lt;&gt;"",OR(DB632&lt;&gt;"",DB634&lt;&gt;"")),MAX($DF$2:DF632)+1,0))</f>
        <v>0</v>
      </c>
    </row>
    <row r="634" spans="102:110" x14ac:dyDescent="0.3">
      <c r="CX634" s="48">
        <f t="shared" ca="1" si="924"/>
        <v>49</v>
      </c>
      <c r="CY634" s="48" t="str">
        <f t="shared" ca="1" si="923"/>
        <v>MASTRO</v>
      </c>
      <c r="CZ634" s="48" t="e">
        <f t="shared" ca="1" si="926"/>
        <v>#N/A</v>
      </c>
      <c r="DA634" s="48" t="str">
        <f t="shared" ca="1" si="930"/>
        <v/>
      </c>
      <c r="DB634" s="48" t="str">
        <f t="shared" ca="1" si="908"/>
        <v/>
      </c>
      <c r="DC634" s="48" t="str">
        <f t="shared" ca="1" si="927"/>
        <v/>
      </c>
      <c r="DD634" s="48" t="str">
        <f t="shared" ca="1" si="928"/>
        <v/>
      </c>
      <c r="DE634" s="48" t="str">
        <f t="shared" ca="1" si="929"/>
        <v/>
      </c>
      <c r="DF634" s="48">
        <f ca="1">IF(AND(CX634=$DF$1,CX634&lt;&gt;""),0,IF(AND(DB634&lt;&gt;"",OR(DB633&lt;&gt;"",DB635&lt;&gt;"")),MAX($DF$2:DF633)+1,0))</f>
        <v>0</v>
      </c>
    </row>
    <row r="635" spans="102:110" x14ac:dyDescent="0.3">
      <c r="CX635" s="48">
        <f t="shared" ca="1" si="924"/>
        <v>49</v>
      </c>
      <c r="CY635" s="48" t="str">
        <f t="shared" ca="1" si="923"/>
        <v>MASTRO</v>
      </c>
      <c r="CZ635" s="48" t="e">
        <f t="shared" ca="1" si="926"/>
        <v>#N/A</v>
      </c>
      <c r="DA635" s="48" t="str">
        <f t="shared" ca="1" si="930"/>
        <v/>
      </c>
      <c r="DB635" s="48" t="str">
        <f t="shared" ca="1" si="908"/>
        <v/>
      </c>
      <c r="DC635" s="48" t="str">
        <f t="shared" ca="1" si="927"/>
        <v/>
      </c>
      <c r="DD635" s="48" t="str">
        <f t="shared" ca="1" si="928"/>
        <v/>
      </c>
      <c r="DE635" s="48" t="str">
        <f t="shared" ca="1" si="929"/>
        <v/>
      </c>
      <c r="DF635" s="48">
        <f ca="1">IF(AND(CX635=$DF$1,CX635&lt;&gt;""),0,IF(AND(DB635&lt;&gt;"",OR(DB634&lt;&gt;"",DB636&lt;&gt;"")),MAX($DF$2:DF634)+1,0))</f>
        <v>0</v>
      </c>
    </row>
    <row r="636" spans="102:110" x14ac:dyDescent="0.3">
      <c r="CX636" s="48">
        <f t="shared" ca="1" si="924"/>
        <v>49</v>
      </c>
      <c r="CY636" s="48" t="str">
        <f t="shared" ca="1" si="923"/>
        <v>MASTRO</v>
      </c>
      <c r="CZ636" s="48" t="e">
        <f t="shared" ca="1" si="926"/>
        <v>#N/A</v>
      </c>
      <c r="DA636" s="48" t="str">
        <f t="shared" ca="1" si="930"/>
        <v/>
      </c>
      <c r="DB636" s="48" t="str">
        <f t="shared" ca="1" si="908"/>
        <v/>
      </c>
      <c r="DC636" s="48" t="str">
        <f t="shared" ca="1" si="927"/>
        <v/>
      </c>
      <c r="DD636" s="48" t="str">
        <f t="shared" ca="1" si="928"/>
        <v/>
      </c>
      <c r="DE636" s="48" t="str">
        <f t="shared" ca="1" si="929"/>
        <v/>
      </c>
      <c r="DF636" s="48">
        <f ca="1">IF(AND(CX636=$DF$1,CX636&lt;&gt;""),0,IF(AND(DB636&lt;&gt;"",OR(DB635&lt;&gt;"",DB637&lt;&gt;"")),MAX($DF$2:DF635)+1,0))</f>
        <v>0</v>
      </c>
    </row>
    <row r="637" spans="102:110" x14ac:dyDescent="0.3">
      <c r="CX637" s="48">
        <f t="shared" ca="1" si="924"/>
        <v>49</v>
      </c>
      <c r="CY637" s="48" t="str">
        <f t="shared" ca="1" si="923"/>
        <v>MASTRO</v>
      </c>
      <c r="CZ637" s="48" t="e">
        <f t="shared" ca="1" si="926"/>
        <v>#N/A</v>
      </c>
      <c r="DA637" s="48" t="str">
        <f t="shared" ca="1" si="930"/>
        <v/>
      </c>
      <c r="DB637" s="48" t="str">
        <f t="shared" ca="1" si="908"/>
        <v/>
      </c>
      <c r="DC637" s="48" t="str">
        <f t="shared" ca="1" si="927"/>
        <v/>
      </c>
      <c r="DD637" s="48" t="str">
        <f t="shared" ca="1" si="928"/>
        <v/>
      </c>
      <c r="DE637" s="48" t="str">
        <f t="shared" ca="1" si="929"/>
        <v/>
      </c>
      <c r="DF637" s="48">
        <f ca="1">IF(AND(CX637=$DF$1,CX637&lt;&gt;""),0,IF(AND(DB637&lt;&gt;"",OR(DB636&lt;&gt;"",DB638&lt;&gt;"")),MAX($DF$2:DF636)+1,0))</f>
        <v>0</v>
      </c>
    </row>
    <row r="638" spans="102:110" x14ac:dyDescent="0.3">
      <c r="CX638" s="48">
        <f t="shared" ca="1" si="924"/>
        <v>49</v>
      </c>
      <c r="CY638" s="48" t="str">
        <f t="shared" ca="1" si="923"/>
        <v>MASTRO</v>
      </c>
      <c r="CZ638" s="48" t="e">
        <f t="shared" ca="1" si="926"/>
        <v>#N/A</v>
      </c>
      <c r="DA638" s="48" t="str">
        <f t="shared" ca="1" si="930"/>
        <v/>
      </c>
      <c r="DB638" s="48" t="str">
        <f t="shared" ca="1" si="908"/>
        <v/>
      </c>
      <c r="DC638" s="48" t="str">
        <f t="shared" ca="1" si="927"/>
        <v/>
      </c>
      <c r="DD638" s="48" t="str">
        <f t="shared" ca="1" si="928"/>
        <v/>
      </c>
      <c r="DE638" s="48" t="str">
        <f t="shared" ca="1" si="929"/>
        <v/>
      </c>
      <c r="DF638" s="48">
        <f ca="1">IF(AND(CX638=$DF$1,CX638&lt;&gt;""),0,IF(AND(DB638&lt;&gt;"",OR(DB637&lt;&gt;"",DB639&lt;&gt;"")),MAX($DF$2:DF637)+1,0))</f>
        <v>0</v>
      </c>
    </row>
    <row r="639" spans="102:110" x14ac:dyDescent="0.3">
      <c r="CY639" s="48" t="s">
        <v>500</v>
      </c>
      <c r="DB639" s="48" t="str">
        <f t="shared" ref="DB639" ca="1" si="931">IF(CX638=$DF$1,"","MASTRO")</f>
        <v>MASTRO</v>
      </c>
      <c r="DF639" s="48">
        <f ca="1">IF(AND(CX639=$DF$1,CX639&lt;&gt;""),0,IF(AND(DB639&lt;&gt;"",OR(DB638&lt;&gt;"",DB640&lt;&gt;"")),MAX($DF$2:DF638)+1,0))</f>
        <v>0</v>
      </c>
    </row>
    <row r="640" spans="102:110" x14ac:dyDescent="0.3">
      <c r="CX640" s="48">
        <f ca="1">$FF$52</f>
        <v>50</v>
      </c>
      <c r="CY640" s="48" t="str">
        <f t="shared" ref="CY640:CY651" ca="1" si="932">IF(ISERROR(INDEX($CV$3:$CX$1302,MATCH(CX640,$CW$3:$CW$1302,0),1)),"MASTRO",INDEX($CV$3:$CX$1302,MATCH(CX640,$CW$3:$CW$1302,0),1))</f>
        <v>MASTRO</v>
      </c>
      <c r="DA640" s="48" t="str">
        <f>IF(CY639="MASTRO","Conto n.","")</f>
        <v>Conto n.</v>
      </c>
      <c r="DB640" s="48" t="str">
        <f ca="1">IF(CY640=0,"",INDEX(PDC,MATCH(DC640,DEN_PDC,0),1))</f>
        <v/>
      </c>
      <c r="DC640" s="48" t="str">
        <f ca="1">IF(OR(CY640=0,CY640="mastro"),"",CY640)</f>
        <v/>
      </c>
      <c r="DD640" s="48" t="str">
        <f ca="1">IF(AND($DA$2=TRUE,OR(INDEX(PDC,MATCH($DC640,DEN_PDC,0),4)="A",INDEX(PDC,MATCH($DC640,DEN_PDC,0),4)="D/A"),SUMIFS(AVERE,DEN_G,"="&amp;$DC640,DATA,"&lt;="&amp;FINE_AC,DATA,"&gt;="&amp;INIZIO_AC)&gt;SUMIFS(DARE,DEN_G,"="&amp;$DC640,DATA,"&lt;="&amp;FINE_AC,DATA,"&gt;="&amp;INIZIO_AC)),CONCATENATE("s ",FIXED(ABS(SUMIFS(AVERE,DEN_G,"="&amp;$DC640,DATA,"&lt;="&amp;FINE_AC,DATA,"&gt;="&amp;INIZIO_AC)-SUMIFS(DARE,DEN_G,"="&amp;$DC640,DATA,"&lt;="&amp;FINE_AC,DATA,"&gt;="&amp;INIZIO_AC)),2)),"")</f>
        <v/>
      </c>
      <c r="DE640" s="48" t="str">
        <f ca="1">IF(AND($DA$2=TRUE,OR(INDEX(PDC,MATCH($DC640,DEN_PDC,0),4)="D",INDEX(PDC,MATCH($DC640,DEN_PDC,0),4)="D/A"),SUMIFS(DARE,DEN_G,"="&amp;$DC640,DATA,"&lt;="&amp;FINE_AC,DATA,"&gt;="&amp;INIZIO_AC)&gt;SUMIFS(AVERE,DEN_G,"="&amp;$DC640,DATA,"&lt;="&amp;FINE_AC,DATA,"&gt;="&amp;INIZIO_AC)),CONCATENATE("s ",FIXED(ABS(SUMIFS(DARE,DEN_G,"="&amp;$DC640,DATA,"&lt;="&amp;FINE_AC,DATA,"&gt;="&amp;INIZIO_AC)-SUMIFS(AVERE,DEN_G,"="&amp;$DC640,DATA,"&lt;="&amp;FINE_AC,DATA,"&gt;="&amp;INIZIO_AC)),2)),"")</f>
        <v/>
      </c>
      <c r="DF640" s="48">
        <f ca="1">IF(AND(CX640=$DF$1,CX640&lt;&gt;""),0,IF(AND(DB640&lt;&gt;"",OR(DB639&lt;&gt;"",DB641&lt;&gt;"")),MAX($DF$2:DF639)+1,0))</f>
        <v>0</v>
      </c>
    </row>
    <row r="641" spans="102:110" x14ac:dyDescent="0.3">
      <c r="CX641" s="48">
        <f t="shared" ref="CX641:CX651" ca="1" si="933">$FF$52</f>
        <v>50</v>
      </c>
      <c r="CY641" s="48" t="str">
        <f t="shared" ca="1" si="932"/>
        <v>MASTRO</v>
      </c>
      <c r="DA641" s="48" t="str">
        <f ca="1">IF(DB640="","","Num. riga")</f>
        <v/>
      </c>
      <c r="DB641" s="48" t="str">
        <f t="shared" ref="DB641" ca="1" si="934">IF(DB640="","","Data")</f>
        <v/>
      </c>
      <c r="DC641" s="48" t="str">
        <f ca="1">IF(DB640="","","Operazioni")</f>
        <v/>
      </c>
      <c r="DD641" s="48" t="str">
        <f ca="1">IF(DB640="","","Dare        ")</f>
        <v/>
      </c>
      <c r="DE641" s="48" t="str">
        <f ca="1">IF(DB640="","","Avere        ")</f>
        <v/>
      </c>
      <c r="DF641" s="48">
        <f ca="1">IF(AND(CX641=$DF$1,CX641&lt;&gt;""),0,IF(AND(DB641&lt;&gt;"",OR(DB640&lt;&gt;"",DB642&lt;&gt;"")),MAX($DF$2:DF640)+1,0))</f>
        <v>0</v>
      </c>
    </row>
    <row r="642" spans="102:110" x14ac:dyDescent="0.3">
      <c r="CX642" s="48">
        <f t="shared" ca="1" si="933"/>
        <v>50</v>
      </c>
      <c r="CY642" s="48" t="str">
        <f t="shared" ca="1" si="932"/>
        <v>MASTRO</v>
      </c>
      <c r="CZ642" s="48" t="e">
        <f t="shared" ref="CZ642:CZ651" ca="1" si="935">SUM(MATCH($CY642,INDIRECT(ADDRESS(SUM(CZ641)+3,54)&amp;":"&amp;ADDRESS(400,54)),0),CZ641)</f>
        <v>#N/A</v>
      </c>
      <c r="DA642" s="48" t="str">
        <f ca="1">IFERROR(INDEX(LIBRO_GIORNALE,CZ642,1),"")</f>
        <v/>
      </c>
      <c r="DB642" s="48" t="str">
        <f t="shared" ca="1" si="908"/>
        <v/>
      </c>
      <c r="DC642" s="48" t="str">
        <f t="shared" ref="DC642:DC651" ca="1" si="936">IF(IFERROR(INDEX(LIBRO_GIORNALE,CZ642,4),"")=0,"manca la descrizione dell'operazione",IFERROR(INDEX(LIBRO_GIORNALE,CZ642,4),""))</f>
        <v/>
      </c>
      <c r="DD642" s="48" t="str">
        <f t="shared" ref="DD642:DD651" ca="1" si="937">IFERROR(IF(INDEX(LIBRO_GIORNALE,CZ642,5)&gt;0,INDEX(LIBRO_GIORNALE,CZ642,5),""),"")</f>
        <v/>
      </c>
      <c r="DE642" s="48" t="str">
        <f t="shared" ref="DE642:DE651" ca="1" si="938">IFERROR(IF(INDEX(LIBRO_GIORNALE,CZ642,6)&gt;0,INDEX(LIBRO_GIORNALE,CZ642,6),""),"")</f>
        <v/>
      </c>
      <c r="DF642" s="48">
        <f ca="1">IF(AND(CX642=$DF$1,CX642&lt;&gt;""),0,IF(AND(DB642&lt;&gt;"",OR(DB641&lt;&gt;"",DB643&lt;&gt;"")),MAX($DF$2:DF641)+1,0))</f>
        <v>0</v>
      </c>
    </row>
    <row r="643" spans="102:110" x14ac:dyDescent="0.3">
      <c r="CX643" s="48">
        <f t="shared" ca="1" si="933"/>
        <v>50</v>
      </c>
      <c r="CY643" s="48" t="str">
        <f t="shared" ca="1" si="932"/>
        <v>MASTRO</v>
      </c>
      <c r="CZ643" s="48" t="e">
        <f t="shared" ca="1" si="935"/>
        <v>#N/A</v>
      </c>
      <c r="DA643" s="48" t="str">
        <f t="shared" ref="DA643:DA651" ca="1" si="939">IFERROR(INDEX(LIBRO_GIORNALE,CZ643,1),"")</f>
        <v/>
      </c>
      <c r="DB643" s="48" t="str">
        <f t="shared" ca="1" si="908"/>
        <v/>
      </c>
      <c r="DC643" s="48" t="str">
        <f t="shared" ca="1" si="936"/>
        <v/>
      </c>
      <c r="DD643" s="48" t="str">
        <f t="shared" ca="1" si="937"/>
        <v/>
      </c>
      <c r="DE643" s="48" t="str">
        <f t="shared" ca="1" si="938"/>
        <v/>
      </c>
      <c r="DF643" s="48">
        <f ca="1">IF(AND(CX643=$DF$1,CX643&lt;&gt;""),0,IF(AND(DB643&lt;&gt;"",OR(DB642&lt;&gt;"",DB644&lt;&gt;"")),MAX($DF$2:DF642)+1,0))</f>
        <v>0</v>
      </c>
    </row>
    <row r="644" spans="102:110" x14ac:dyDescent="0.3">
      <c r="CX644" s="48">
        <f t="shared" ca="1" si="933"/>
        <v>50</v>
      </c>
      <c r="CY644" s="48" t="str">
        <f t="shared" ca="1" si="932"/>
        <v>MASTRO</v>
      </c>
      <c r="CZ644" s="48" t="e">
        <f t="shared" ca="1" si="935"/>
        <v>#N/A</v>
      </c>
      <c r="DA644" s="48" t="str">
        <f t="shared" ca="1" si="939"/>
        <v/>
      </c>
      <c r="DB644" s="48" t="str">
        <f t="shared" ca="1" si="908"/>
        <v/>
      </c>
      <c r="DC644" s="48" t="str">
        <f t="shared" ca="1" si="936"/>
        <v/>
      </c>
      <c r="DD644" s="48" t="str">
        <f t="shared" ca="1" si="937"/>
        <v/>
      </c>
      <c r="DE644" s="48" t="str">
        <f t="shared" ca="1" si="938"/>
        <v/>
      </c>
      <c r="DF644" s="48">
        <f ca="1">IF(AND(CX644=$DF$1,CX644&lt;&gt;""),0,IF(AND(DB644&lt;&gt;"",OR(DB643&lt;&gt;"",DB645&lt;&gt;"")),MAX($DF$2:DF643)+1,0))</f>
        <v>0</v>
      </c>
    </row>
    <row r="645" spans="102:110" x14ac:dyDescent="0.3">
      <c r="CX645" s="48">
        <f t="shared" ca="1" si="933"/>
        <v>50</v>
      </c>
      <c r="CY645" s="48" t="str">
        <f t="shared" ca="1" si="932"/>
        <v>MASTRO</v>
      </c>
      <c r="CZ645" s="48" t="e">
        <f t="shared" ca="1" si="935"/>
        <v>#N/A</v>
      </c>
      <c r="DA645" s="48" t="str">
        <f t="shared" ca="1" si="939"/>
        <v/>
      </c>
      <c r="DB645" s="48" t="str">
        <f t="shared" ca="1" si="908"/>
        <v/>
      </c>
      <c r="DC645" s="48" t="str">
        <f t="shared" ca="1" si="936"/>
        <v/>
      </c>
      <c r="DD645" s="48" t="str">
        <f t="shared" ca="1" si="937"/>
        <v/>
      </c>
      <c r="DE645" s="48" t="str">
        <f t="shared" ca="1" si="938"/>
        <v/>
      </c>
      <c r="DF645" s="48">
        <f ca="1">IF(AND(CX645=$DF$1,CX645&lt;&gt;""),0,IF(AND(DB645&lt;&gt;"",OR(DB644&lt;&gt;"",DB646&lt;&gt;"")),MAX($DF$2:DF644)+1,0))</f>
        <v>0</v>
      </c>
    </row>
    <row r="646" spans="102:110" x14ac:dyDescent="0.3">
      <c r="CX646" s="48">
        <f t="shared" ca="1" si="933"/>
        <v>50</v>
      </c>
      <c r="CY646" s="48" t="str">
        <f t="shared" ca="1" si="932"/>
        <v>MASTRO</v>
      </c>
      <c r="CZ646" s="48" t="e">
        <f t="shared" ca="1" si="935"/>
        <v>#N/A</v>
      </c>
      <c r="DA646" s="48" t="str">
        <f t="shared" ca="1" si="939"/>
        <v/>
      </c>
      <c r="DB646" s="48" t="str">
        <f t="shared" ca="1" si="908"/>
        <v/>
      </c>
      <c r="DC646" s="48" t="str">
        <f t="shared" ca="1" si="936"/>
        <v/>
      </c>
      <c r="DD646" s="48" t="str">
        <f t="shared" ca="1" si="937"/>
        <v/>
      </c>
      <c r="DE646" s="48" t="str">
        <f t="shared" ca="1" si="938"/>
        <v/>
      </c>
      <c r="DF646" s="48">
        <f ca="1">IF(AND(CX646=$DF$1,CX646&lt;&gt;""),0,IF(AND(DB646&lt;&gt;"",OR(DB645&lt;&gt;"",DB647&lt;&gt;"")),MAX($DF$2:DF645)+1,0))</f>
        <v>0</v>
      </c>
    </row>
    <row r="647" spans="102:110" x14ac:dyDescent="0.3">
      <c r="CX647" s="48">
        <f t="shared" ca="1" si="933"/>
        <v>50</v>
      </c>
      <c r="CY647" s="48" t="str">
        <f t="shared" ca="1" si="932"/>
        <v>MASTRO</v>
      </c>
      <c r="CZ647" s="48" t="e">
        <f t="shared" ca="1" si="935"/>
        <v>#N/A</v>
      </c>
      <c r="DA647" s="48" t="str">
        <f t="shared" ca="1" si="939"/>
        <v/>
      </c>
      <c r="DB647" s="48" t="str">
        <f t="shared" ca="1" si="908"/>
        <v/>
      </c>
      <c r="DC647" s="48" t="str">
        <f t="shared" ca="1" si="936"/>
        <v/>
      </c>
      <c r="DD647" s="48" t="str">
        <f t="shared" ca="1" si="937"/>
        <v/>
      </c>
      <c r="DE647" s="48" t="str">
        <f t="shared" ca="1" si="938"/>
        <v/>
      </c>
      <c r="DF647" s="48">
        <f ca="1">IF(AND(CX647=$DF$1,CX647&lt;&gt;""),0,IF(AND(DB647&lt;&gt;"",OR(DB646&lt;&gt;"",DB648&lt;&gt;"")),MAX($DF$2:DF646)+1,0))</f>
        <v>0</v>
      </c>
    </row>
    <row r="648" spans="102:110" x14ac:dyDescent="0.3">
      <c r="CX648" s="48">
        <f t="shared" ca="1" si="933"/>
        <v>50</v>
      </c>
      <c r="CY648" s="48" t="str">
        <f t="shared" ca="1" si="932"/>
        <v>MASTRO</v>
      </c>
      <c r="CZ648" s="48" t="e">
        <f t="shared" ca="1" si="935"/>
        <v>#N/A</v>
      </c>
      <c r="DA648" s="48" t="str">
        <f t="shared" ca="1" si="939"/>
        <v/>
      </c>
      <c r="DB648" s="48" t="str">
        <f t="shared" ca="1" si="908"/>
        <v/>
      </c>
      <c r="DC648" s="48" t="str">
        <f t="shared" ca="1" si="936"/>
        <v/>
      </c>
      <c r="DD648" s="48" t="str">
        <f t="shared" ca="1" si="937"/>
        <v/>
      </c>
      <c r="DE648" s="48" t="str">
        <f t="shared" ca="1" si="938"/>
        <v/>
      </c>
      <c r="DF648" s="48">
        <f ca="1">IF(AND(CX648=$DF$1,CX648&lt;&gt;""),0,IF(AND(DB648&lt;&gt;"",OR(DB647&lt;&gt;"",DB649&lt;&gt;"")),MAX($DF$2:DF647)+1,0))</f>
        <v>0</v>
      </c>
    </row>
    <row r="649" spans="102:110" x14ac:dyDescent="0.3">
      <c r="CX649" s="48">
        <f t="shared" ca="1" si="933"/>
        <v>50</v>
      </c>
      <c r="CY649" s="48" t="str">
        <f t="shared" ca="1" si="932"/>
        <v>MASTRO</v>
      </c>
      <c r="CZ649" s="48" t="e">
        <f t="shared" ca="1" si="935"/>
        <v>#N/A</v>
      </c>
      <c r="DA649" s="48" t="str">
        <f t="shared" ca="1" si="939"/>
        <v/>
      </c>
      <c r="DB649" s="48" t="str">
        <f t="shared" ca="1" si="908"/>
        <v/>
      </c>
      <c r="DC649" s="48" t="str">
        <f t="shared" ca="1" si="936"/>
        <v/>
      </c>
      <c r="DD649" s="48" t="str">
        <f t="shared" ca="1" si="937"/>
        <v/>
      </c>
      <c r="DE649" s="48" t="str">
        <f t="shared" ca="1" si="938"/>
        <v/>
      </c>
      <c r="DF649" s="48">
        <f ca="1">IF(AND(CX649=$DF$1,CX649&lt;&gt;""),0,IF(AND(DB649&lt;&gt;"",OR(DB648&lt;&gt;"",DB650&lt;&gt;"")),MAX($DF$2:DF648)+1,0))</f>
        <v>0</v>
      </c>
    </row>
    <row r="650" spans="102:110" x14ac:dyDescent="0.3">
      <c r="CX650" s="48">
        <f t="shared" ca="1" si="933"/>
        <v>50</v>
      </c>
      <c r="CY650" s="48" t="str">
        <f t="shared" ca="1" si="932"/>
        <v>MASTRO</v>
      </c>
      <c r="CZ650" s="48" t="e">
        <f t="shared" ca="1" si="935"/>
        <v>#N/A</v>
      </c>
      <c r="DA650" s="48" t="str">
        <f t="shared" ca="1" si="939"/>
        <v/>
      </c>
      <c r="DB650" s="48" t="str">
        <f t="shared" ca="1" si="908"/>
        <v/>
      </c>
      <c r="DC650" s="48" t="str">
        <f t="shared" ca="1" si="936"/>
        <v/>
      </c>
      <c r="DD650" s="48" t="str">
        <f t="shared" ca="1" si="937"/>
        <v/>
      </c>
      <c r="DE650" s="48" t="str">
        <f t="shared" ca="1" si="938"/>
        <v/>
      </c>
      <c r="DF650" s="48">
        <f ca="1">IF(AND(CX650=$DF$1,CX650&lt;&gt;""),0,IF(AND(DB650&lt;&gt;"",OR(DB649&lt;&gt;"",DB651&lt;&gt;"")),MAX($DF$2:DF649)+1,0))</f>
        <v>0</v>
      </c>
    </row>
    <row r="651" spans="102:110" x14ac:dyDescent="0.3">
      <c r="CX651" s="48">
        <f t="shared" ca="1" si="933"/>
        <v>50</v>
      </c>
      <c r="CY651" s="48" t="str">
        <f t="shared" ca="1" si="932"/>
        <v>MASTRO</v>
      </c>
      <c r="CZ651" s="48" t="e">
        <f t="shared" ca="1" si="935"/>
        <v>#N/A</v>
      </c>
      <c r="DA651" s="48" t="str">
        <f t="shared" ca="1" si="939"/>
        <v/>
      </c>
      <c r="DB651" s="48" t="str">
        <f t="shared" ca="1" si="908"/>
        <v/>
      </c>
      <c r="DC651" s="48" t="str">
        <f t="shared" ca="1" si="936"/>
        <v/>
      </c>
      <c r="DD651" s="48" t="str">
        <f t="shared" ca="1" si="937"/>
        <v/>
      </c>
      <c r="DE651" s="48" t="str">
        <f t="shared" ca="1" si="938"/>
        <v/>
      </c>
      <c r="DF651" s="48">
        <f ca="1">IF(AND(CX651=$DF$1,CX651&lt;&gt;""),0,IF(AND(DB651&lt;&gt;"",OR(DB650&lt;&gt;"",DB652&lt;&gt;"")),MAX($DF$2:DF650)+1,0))</f>
        <v>0</v>
      </c>
    </row>
    <row r="652" spans="102:110" x14ac:dyDescent="0.3">
      <c r="CY652" s="48" t="s">
        <v>500</v>
      </c>
      <c r="DB652" s="48" t="str">
        <f t="shared" ref="DB652" ca="1" si="940">IF(CX651=$DF$1,"","MASTRO")</f>
        <v>MASTRO</v>
      </c>
      <c r="DF652" s="48">
        <f ca="1">IF(AND(CX652=$DF$1,CX652&lt;&gt;""),0,IF(AND(DB652&lt;&gt;"",OR(DB651&lt;&gt;"",DB653&lt;&gt;"")),MAX($DF$2:DF651)+1,0))</f>
        <v>0</v>
      </c>
    </row>
    <row r="653" spans="102:110" x14ac:dyDescent="0.3">
      <c r="CX653" s="48">
        <f ca="1">$FF$53</f>
        <v>51</v>
      </c>
      <c r="CY653" s="48" t="str">
        <f t="shared" ref="CY653:CY664" ca="1" si="941">IF(ISERROR(INDEX($CV$3:$CX$1302,MATCH(CX653,$CW$3:$CW$1302,0),1)),"MASTRO",INDEX($CV$3:$CX$1302,MATCH(CX653,$CW$3:$CW$1302,0),1))</f>
        <v>MASTRO</v>
      </c>
      <c r="DA653" s="48" t="str">
        <f>IF(CY652="MASTRO","Conto n.","")</f>
        <v>Conto n.</v>
      </c>
      <c r="DB653" s="48" t="str">
        <f ca="1">IF(CY653=0,"",INDEX(PDC,MATCH(DC653,DEN_PDC,0),1))</f>
        <v/>
      </c>
      <c r="DC653" s="48" t="str">
        <f ca="1">IF(OR(CY653=0,CY653="mastro"),"",CY653)</f>
        <v/>
      </c>
      <c r="DD653" s="48" t="str">
        <f ca="1">IF(AND($DA$2=TRUE,OR(INDEX(PDC,MATCH($DC653,DEN_PDC,0),4)="A",INDEX(PDC,MATCH($DC653,DEN_PDC,0),4)="D/A"),SUMIFS(AVERE,DEN_G,"="&amp;$DC653,DATA,"&lt;="&amp;FINE_AC,DATA,"&gt;="&amp;INIZIO_AC)&gt;SUMIFS(DARE,DEN_G,"="&amp;$DC653,DATA,"&lt;="&amp;FINE_AC,DATA,"&gt;="&amp;INIZIO_AC)),CONCATENATE("s ",FIXED(ABS(SUMIFS(AVERE,DEN_G,"="&amp;$DC653,DATA,"&lt;="&amp;FINE_AC,DATA,"&gt;="&amp;INIZIO_AC)-SUMIFS(DARE,DEN_G,"="&amp;$DC653,DATA,"&lt;="&amp;FINE_AC,DATA,"&gt;="&amp;INIZIO_AC)),2)),"")</f>
        <v/>
      </c>
      <c r="DE653" s="48" t="str">
        <f ca="1">IF(AND($DA$2=TRUE,OR(INDEX(PDC,MATCH($DC653,DEN_PDC,0),4)="D",INDEX(PDC,MATCH($DC653,DEN_PDC,0),4)="D/A"),SUMIFS(DARE,DEN_G,"="&amp;$DC653,DATA,"&lt;="&amp;FINE_AC,DATA,"&gt;="&amp;INIZIO_AC)&gt;SUMIFS(AVERE,DEN_G,"="&amp;$DC653,DATA,"&lt;="&amp;FINE_AC,DATA,"&gt;="&amp;INIZIO_AC)),CONCATENATE("s ",FIXED(ABS(SUMIFS(DARE,DEN_G,"="&amp;$DC653,DATA,"&lt;="&amp;FINE_AC,DATA,"&gt;="&amp;INIZIO_AC)-SUMIFS(AVERE,DEN_G,"="&amp;$DC653,DATA,"&lt;="&amp;FINE_AC,DATA,"&gt;="&amp;INIZIO_AC)),2)),"")</f>
        <v/>
      </c>
      <c r="DF653" s="48">
        <f ca="1">IF(AND(CX653=$DF$1,CX653&lt;&gt;""),0,IF(AND(DB653&lt;&gt;"",OR(DB652&lt;&gt;"",DB654&lt;&gt;"")),MAX($DF$2:DF652)+1,0))</f>
        <v>0</v>
      </c>
    </row>
    <row r="654" spans="102:110" x14ac:dyDescent="0.3">
      <c r="CX654" s="48">
        <f t="shared" ref="CX654:CX664" ca="1" si="942">$FF$53</f>
        <v>51</v>
      </c>
      <c r="CY654" s="48" t="str">
        <f t="shared" ca="1" si="941"/>
        <v>MASTRO</v>
      </c>
      <c r="DA654" s="48" t="str">
        <f ca="1">IF(DB653="","","Num. riga")</f>
        <v/>
      </c>
      <c r="DB654" s="48" t="str">
        <f t="shared" ref="DB654" ca="1" si="943">IF(DB653="","","Data")</f>
        <v/>
      </c>
      <c r="DC654" s="48" t="str">
        <f ca="1">IF(DB653="","","Operazioni")</f>
        <v/>
      </c>
      <c r="DD654" s="48" t="str">
        <f ca="1">IF(DB653="","","Dare        ")</f>
        <v/>
      </c>
      <c r="DE654" s="48" t="str">
        <f ca="1">IF(DB653="","","Avere        ")</f>
        <v/>
      </c>
      <c r="DF654" s="48">
        <f ca="1">IF(AND(CX654=$DF$1,CX654&lt;&gt;""),0,IF(AND(DB654&lt;&gt;"",OR(DB653&lt;&gt;"",DB655&lt;&gt;"")),MAX($DF$2:DF653)+1,0))</f>
        <v>0</v>
      </c>
    </row>
    <row r="655" spans="102:110" x14ac:dyDescent="0.3">
      <c r="CX655" s="48">
        <f t="shared" ca="1" si="942"/>
        <v>51</v>
      </c>
      <c r="CY655" s="48" t="str">
        <f t="shared" ca="1" si="941"/>
        <v>MASTRO</v>
      </c>
      <c r="CZ655" s="48" t="e">
        <f t="shared" ref="CZ655:CZ664" ca="1" si="944">SUM(MATCH($CY655,INDIRECT(ADDRESS(SUM(CZ654)+3,54)&amp;":"&amp;ADDRESS(400,54)),0),CZ654)</f>
        <v>#N/A</v>
      </c>
      <c r="DA655" s="48" t="str">
        <f ca="1">IFERROR(INDEX(LIBRO_GIORNALE,CZ655,1),"")</f>
        <v/>
      </c>
      <c r="DB655" s="48" t="str">
        <f t="shared" ca="1" si="908"/>
        <v/>
      </c>
      <c r="DC655" s="48" t="str">
        <f t="shared" ref="DC655:DC664" ca="1" si="945">IF(IFERROR(INDEX(LIBRO_GIORNALE,CZ655,4),"")=0,"manca la descrizione dell'operazione",IFERROR(INDEX(LIBRO_GIORNALE,CZ655,4),""))</f>
        <v/>
      </c>
      <c r="DD655" s="48" t="str">
        <f t="shared" ref="DD655:DD664" ca="1" si="946">IFERROR(IF(INDEX(LIBRO_GIORNALE,CZ655,5)&gt;0,INDEX(LIBRO_GIORNALE,CZ655,5),""),"")</f>
        <v/>
      </c>
      <c r="DE655" s="48" t="str">
        <f t="shared" ref="DE655:DE664" ca="1" si="947">IFERROR(IF(INDEX(LIBRO_GIORNALE,CZ655,6)&gt;0,INDEX(LIBRO_GIORNALE,CZ655,6),""),"")</f>
        <v/>
      </c>
      <c r="DF655" s="48">
        <f ca="1">IF(AND(CX655=$DF$1,CX655&lt;&gt;""),0,IF(AND(DB655&lt;&gt;"",OR(DB654&lt;&gt;"",DB656&lt;&gt;"")),MAX($DF$2:DF654)+1,0))</f>
        <v>0</v>
      </c>
    </row>
    <row r="656" spans="102:110" x14ac:dyDescent="0.3">
      <c r="CX656" s="48">
        <f t="shared" ca="1" si="942"/>
        <v>51</v>
      </c>
      <c r="CY656" s="48" t="str">
        <f t="shared" ca="1" si="941"/>
        <v>MASTRO</v>
      </c>
      <c r="CZ656" s="48" t="e">
        <f t="shared" ca="1" si="944"/>
        <v>#N/A</v>
      </c>
      <c r="DA656" s="48" t="str">
        <f t="shared" ref="DA656:DA664" ca="1" si="948">IFERROR(INDEX(LIBRO_GIORNALE,CZ656,1),"")</f>
        <v/>
      </c>
      <c r="DB656" s="48" t="str">
        <f t="shared" ca="1" si="908"/>
        <v/>
      </c>
      <c r="DC656" s="48" t="str">
        <f t="shared" ca="1" si="945"/>
        <v/>
      </c>
      <c r="DD656" s="48" t="str">
        <f t="shared" ca="1" si="946"/>
        <v/>
      </c>
      <c r="DE656" s="48" t="str">
        <f t="shared" ca="1" si="947"/>
        <v/>
      </c>
      <c r="DF656" s="48">
        <f ca="1">IF(AND(CX656=$DF$1,CX656&lt;&gt;""),0,IF(AND(DB656&lt;&gt;"",OR(DB655&lt;&gt;"",DB657&lt;&gt;"")),MAX($DF$2:DF655)+1,0))</f>
        <v>0</v>
      </c>
    </row>
    <row r="657" spans="102:110" x14ac:dyDescent="0.3">
      <c r="CX657" s="48">
        <f t="shared" ca="1" si="942"/>
        <v>51</v>
      </c>
      <c r="CY657" s="48" t="str">
        <f t="shared" ca="1" si="941"/>
        <v>MASTRO</v>
      </c>
      <c r="CZ657" s="48" t="e">
        <f t="shared" ca="1" si="944"/>
        <v>#N/A</v>
      </c>
      <c r="DA657" s="48" t="str">
        <f t="shared" ca="1" si="948"/>
        <v/>
      </c>
      <c r="DB657" s="48" t="str">
        <f t="shared" ca="1" si="908"/>
        <v/>
      </c>
      <c r="DC657" s="48" t="str">
        <f t="shared" ca="1" si="945"/>
        <v/>
      </c>
      <c r="DD657" s="48" t="str">
        <f t="shared" ca="1" si="946"/>
        <v/>
      </c>
      <c r="DE657" s="48" t="str">
        <f t="shared" ca="1" si="947"/>
        <v/>
      </c>
      <c r="DF657" s="48">
        <f ca="1">IF(AND(CX657=$DF$1,CX657&lt;&gt;""),0,IF(AND(DB657&lt;&gt;"",OR(DB656&lt;&gt;"",DB658&lt;&gt;"")),MAX($DF$2:DF656)+1,0))</f>
        <v>0</v>
      </c>
    </row>
    <row r="658" spans="102:110" x14ac:dyDescent="0.3">
      <c r="CX658" s="48">
        <f t="shared" ca="1" si="942"/>
        <v>51</v>
      </c>
      <c r="CY658" s="48" t="str">
        <f t="shared" ca="1" si="941"/>
        <v>MASTRO</v>
      </c>
      <c r="CZ658" s="48" t="e">
        <f t="shared" ca="1" si="944"/>
        <v>#N/A</v>
      </c>
      <c r="DA658" s="48" t="str">
        <f t="shared" ca="1" si="948"/>
        <v/>
      </c>
      <c r="DB658" s="48" t="str">
        <f t="shared" ca="1" si="908"/>
        <v/>
      </c>
      <c r="DC658" s="48" t="str">
        <f t="shared" ca="1" si="945"/>
        <v/>
      </c>
      <c r="DD658" s="48" t="str">
        <f t="shared" ca="1" si="946"/>
        <v/>
      </c>
      <c r="DE658" s="48" t="str">
        <f t="shared" ca="1" si="947"/>
        <v/>
      </c>
      <c r="DF658" s="48">
        <f ca="1">IF(AND(CX658=$DF$1,CX658&lt;&gt;""),0,IF(AND(DB658&lt;&gt;"",OR(DB657&lt;&gt;"",DB659&lt;&gt;"")),MAX($DF$2:DF657)+1,0))</f>
        <v>0</v>
      </c>
    </row>
    <row r="659" spans="102:110" x14ac:dyDescent="0.3">
      <c r="CX659" s="48">
        <f t="shared" ca="1" si="942"/>
        <v>51</v>
      </c>
      <c r="CY659" s="48" t="str">
        <f t="shared" ca="1" si="941"/>
        <v>MASTRO</v>
      </c>
      <c r="CZ659" s="48" t="e">
        <f t="shared" ca="1" si="944"/>
        <v>#N/A</v>
      </c>
      <c r="DA659" s="48" t="str">
        <f t="shared" ca="1" si="948"/>
        <v/>
      </c>
      <c r="DB659" s="48" t="str">
        <f t="shared" ca="1" si="908"/>
        <v/>
      </c>
      <c r="DC659" s="48" t="str">
        <f t="shared" ca="1" si="945"/>
        <v/>
      </c>
      <c r="DD659" s="48" t="str">
        <f t="shared" ca="1" si="946"/>
        <v/>
      </c>
      <c r="DE659" s="48" t="str">
        <f t="shared" ca="1" si="947"/>
        <v/>
      </c>
      <c r="DF659" s="48">
        <f ca="1">IF(AND(CX659=$DF$1,CX659&lt;&gt;""),0,IF(AND(DB659&lt;&gt;"",OR(DB658&lt;&gt;"",DB660&lt;&gt;"")),MAX($DF$2:DF658)+1,0))</f>
        <v>0</v>
      </c>
    </row>
    <row r="660" spans="102:110" x14ac:dyDescent="0.3">
      <c r="CX660" s="48">
        <f t="shared" ca="1" si="942"/>
        <v>51</v>
      </c>
      <c r="CY660" s="48" t="str">
        <f t="shared" ca="1" si="941"/>
        <v>MASTRO</v>
      </c>
      <c r="CZ660" s="48" t="e">
        <f t="shared" ca="1" si="944"/>
        <v>#N/A</v>
      </c>
      <c r="DA660" s="48" t="str">
        <f t="shared" ca="1" si="948"/>
        <v/>
      </c>
      <c r="DB660" s="48" t="str">
        <f t="shared" ca="1" si="908"/>
        <v/>
      </c>
      <c r="DC660" s="48" t="str">
        <f t="shared" ca="1" si="945"/>
        <v/>
      </c>
      <c r="DD660" s="48" t="str">
        <f t="shared" ca="1" si="946"/>
        <v/>
      </c>
      <c r="DE660" s="48" t="str">
        <f t="shared" ca="1" si="947"/>
        <v/>
      </c>
      <c r="DF660" s="48">
        <f ca="1">IF(AND(CX660=$DF$1,CX660&lt;&gt;""),0,IF(AND(DB660&lt;&gt;"",OR(DB659&lt;&gt;"",DB661&lt;&gt;"")),MAX($DF$2:DF659)+1,0))</f>
        <v>0</v>
      </c>
    </row>
    <row r="661" spans="102:110" x14ac:dyDescent="0.3">
      <c r="CX661" s="48">
        <f t="shared" ca="1" si="942"/>
        <v>51</v>
      </c>
      <c r="CY661" s="48" t="str">
        <f t="shared" ca="1" si="941"/>
        <v>MASTRO</v>
      </c>
      <c r="CZ661" s="48" t="e">
        <f t="shared" ca="1" si="944"/>
        <v>#N/A</v>
      </c>
      <c r="DA661" s="48" t="str">
        <f t="shared" ca="1" si="948"/>
        <v/>
      </c>
      <c r="DB661" s="48" t="str">
        <f t="shared" ca="1" si="908"/>
        <v/>
      </c>
      <c r="DC661" s="48" t="str">
        <f t="shared" ca="1" si="945"/>
        <v/>
      </c>
      <c r="DD661" s="48" t="str">
        <f t="shared" ca="1" si="946"/>
        <v/>
      </c>
      <c r="DE661" s="48" t="str">
        <f t="shared" ca="1" si="947"/>
        <v/>
      </c>
      <c r="DF661" s="48">
        <f ca="1">IF(AND(CX661=$DF$1,CX661&lt;&gt;""),0,IF(AND(DB661&lt;&gt;"",OR(DB660&lt;&gt;"",DB662&lt;&gt;"")),MAX($DF$2:DF660)+1,0))</f>
        <v>0</v>
      </c>
    </row>
    <row r="662" spans="102:110" x14ac:dyDescent="0.3">
      <c r="CX662" s="48">
        <f t="shared" ca="1" si="942"/>
        <v>51</v>
      </c>
      <c r="CY662" s="48" t="str">
        <f t="shared" ca="1" si="941"/>
        <v>MASTRO</v>
      </c>
      <c r="CZ662" s="48" t="e">
        <f t="shared" ca="1" si="944"/>
        <v>#N/A</v>
      </c>
      <c r="DA662" s="48" t="str">
        <f t="shared" ca="1" si="948"/>
        <v/>
      </c>
      <c r="DB662" s="48" t="str">
        <f t="shared" ca="1" si="908"/>
        <v/>
      </c>
      <c r="DC662" s="48" t="str">
        <f t="shared" ca="1" si="945"/>
        <v/>
      </c>
      <c r="DD662" s="48" t="str">
        <f t="shared" ca="1" si="946"/>
        <v/>
      </c>
      <c r="DE662" s="48" t="str">
        <f t="shared" ca="1" si="947"/>
        <v/>
      </c>
      <c r="DF662" s="48">
        <f ca="1">IF(AND(CX662=$DF$1,CX662&lt;&gt;""),0,IF(AND(DB662&lt;&gt;"",OR(DB661&lt;&gt;"",DB663&lt;&gt;"")),MAX($DF$2:DF661)+1,0))</f>
        <v>0</v>
      </c>
    </row>
    <row r="663" spans="102:110" x14ac:dyDescent="0.3">
      <c r="CX663" s="48">
        <f t="shared" ca="1" si="942"/>
        <v>51</v>
      </c>
      <c r="CY663" s="48" t="str">
        <f t="shared" ca="1" si="941"/>
        <v>MASTRO</v>
      </c>
      <c r="CZ663" s="48" t="e">
        <f t="shared" ca="1" si="944"/>
        <v>#N/A</v>
      </c>
      <c r="DA663" s="48" t="str">
        <f t="shared" ca="1" si="948"/>
        <v/>
      </c>
      <c r="DB663" s="48" t="str">
        <f t="shared" ca="1" si="908"/>
        <v/>
      </c>
      <c r="DC663" s="48" t="str">
        <f t="shared" ca="1" si="945"/>
        <v/>
      </c>
      <c r="DD663" s="48" t="str">
        <f t="shared" ca="1" si="946"/>
        <v/>
      </c>
      <c r="DE663" s="48" t="str">
        <f t="shared" ca="1" si="947"/>
        <v/>
      </c>
      <c r="DF663" s="48">
        <f ca="1">IF(AND(CX663=$DF$1,CX663&lt;&gt;""),0,IF(AND(DB663&lt;&gt;"",OR(DB662&lt;&gt;"",DB664&lt;&gt;"")),MAX($DF$2:DF662)+1,0))</f>
        <v>0</v>
      </c>
    </row>
    <row r="664" spans="102:110" x14ac:dyDescent="0.3">
      <c r="CX664" s="48">
        <f t="shared" ca="1" si="942"/>
        <v>51</v>
      </c>
      <c r="CY664" s="48" t="str">
        <f t="shared" ca="1" si="941"/>
        <v>MASTRO</v>
      </c>
      <c r="CZ664" s="48" t="e">
        <f t="shared" ca="1" si="944"/>
        <v>#N/A</v>
      </c>
      <c r="DA664" s="48" t="str">
        <f t="shared" ca="1" si="948"/>
        <v/>
      </c>
      <c r="DB664" s="48" t="str">
        <f t="shared" ca="1" si="908"/>
        <v/>
      </c>
      <c r="DC664" s="48" t="str">
        <f t="shared" ca="1" si="945"/>
        <v/>
      </c>
      <c r="DD664" s="48" t="str">
        <f t="shared" ca="1" si="946"/>
        <v/>
      </c>
      <c r="DE664" s="48" t="str">
        <f t="shared" ca="1" si="947"/>
        <v/>
      </c>
      <c r="DF664" s="48">
        <f ca="1">IF(AND(CX664=$DF$1,CX664&lt;&gt;""),0,IF(AND(DB664&lt;&gt;"",OR(DB663&lt;&gt;"",DB665&lt;&gt;"")),MAX($DF$2:DF663)+1,0))</f>
        <v>0</v>
      </c>
    </row>
    <row r="665" spans="102:110" x14ac:dyDescent="0.3">
      <c r="CY665" s="48" t="s">
        <v>500</v>
      </c>
      <c r="DB665" s="48" t="str">
        <f t="shared" ref="DB665" ca="1" si="949">IF(CX664=$DF$1,"","MASTRO")</f>
        <v>MASTRO</v>
      </c>
      <c r="DF665" s="48">
        <f ca="1">IF(AND(CX665=$DF$1,CX665&lt;&gt;""),0,IF(AND(DB665&lt;&gt;"",OR(DB664&lt;&gt;"",DB666&lt;&gt;"")),MAX($DF$2:DF664)+1,0))</f>
        <v>0</v>
      </c>
    </row>
    <row r="666" spans="102:110" x14ac:dyDescent="0.3">
      <c r="CX666" s="48">
        <f ca="1">$FF$54</f>
        <v>52</v>
      </c>
      <c r="CY666" s="48" t="str">
        <f t="shared" ref="CY666:CY677" ca="1" si="950">IF(ISERROR(INDEX($CV$3:$CX$1302,MATCH(CX666,$CW$3:$CW$1302,0),1)),"MASTRO",INDEX($CV$3:$CX$1302,MATCH(CX666,$CW$3:$CW$1302,0),1))</f>
        <v>MASTRO</v>
      </c>
      <c r="DA666" s="48" t="str">
        <f>IF(CY665="MASTRO","Conto n.","")</f>
        <v>Conto n.</v>
      </c>
      <c r="DB666" s="48" t="str">
        <f ca="1">IF(CY666=0,"",INDEX(PDC,MATCH(DC666,DEN_PDC,0),1))</f>
        <v/>
      </c>
      <c r="DC666" s="48" t="str">
        <f ca="1">IF(OR(CY666=0,CY666="mastro"),"",CY666)</f>
        <v/>
      </c>
      <c r="DD666" s="48" t="str">
        <f ca="1">IF(AND($DA$2=TRUE,OR(INDEX(PDC,MATCH($DC666,DEN_PDC,0),4)="A",INDEX(PDC,MATCH($DC666,DEN_PDC,0),4)="D/A"),SUMIFS(AVERE,DEN_G,"="&amp;$DC666,DATA,"&lt;="&amp;FINE_AC,DATA,"&gt;="&amp;INIZIO_AC)&gt;SUMIFS(DARE,DEN_G,"="&amp;$DC666,DATA,"&lt;="&amp;FINE_AC,DATA,"&gt;="&amp;INIZIO_AC)),CONCATENATE("s ",FIXED(ABS(SUMIFS(AVERE,DEN_G,"="&amp;$DC666,DATA,"&lt;="&amp;FINE_AC,DATA,"&gt;="&amp;INIZIO_AC)-SUMIFS(DARE,DEN_G,"="&amp;$DC666,DATA,"&lt;="&amp;FINE_AC,DATA,"&gt;="&amp;INIZIO_AC)),2)),"")</f>
        <v/>
      </c>
      <c r="DE666" s="48" t="str">
        <f ca="1">IF(AND($DA$2=TRUE,OR(INDEX(PDC,MATCH($DC666,DEN_PDC,0),4)="D",INDEX(PDC,MATCH($DC666,DEN_PDC,0),4)="D/A"),SUMIFS(DARE,DEN_G,"="&amp;$DC666,DATA,"&lt;="&amp;FINE_AC,DATA,"&gt;="&amp;INIZIO_AC)&gt;SUMIFS(AVERE,DEN_G,"="&amp;$DC666,DATA,"&lt;="&amp;FINE_AC,DATA,"&gt;="&amp;INIZIO_AC)),CONCATENATE("s ",FIXED(ABS(SUMIFS(DARE,DEN_G,"="&amp;$DC666,DATA,"&lt;="&amp;FINE_AC,DATA,"&gt;="&amp;INIZIO_AC)-SUMIFS(AVERE,DEN_G,"="&amp;$DC666,DATA,"&lt;="&amp;FINE_AC,DATA,"&gt;="&amp;INIZIO_AC)),2)),"")</f>
        <v/>
      </c>
      <c r="DF666" s="48">
        <f ca="1">IF(AND(CX666=$DF$1,CX666&lt;&gt;""),0,IF(AND(DB666&lt;&gt;"",OR(DB665&lt;&gt;"",DB667&lt;&gt;"")),MAX($DF$2:DF665)+1,0))</f>
        <v>0</v>
      </c>
    </row>
    <row r="667" spans="102:110" x14ac:dyDescent="0.3">
      <c r="CX667" s="48">
        <f t="shared" ref="CX667:CX677" ca="1" si="951">$FF$54</f>
        <v>52</v>
      </c>
      <c r="CY667" s="48" t="str">
        <f t="shared" ca="1" si="950"/>
        <v>MASTRO</v>
      </c>
      <c r="DA667" s="48" t="str">
        <f ca="1">IF(DB666="","","Num. riga")</f>
        <v/>
      </c>
      <c r="DB667" s="48" t="str">
        <f t="shared" ref="DB667" ca="1" si="952">IF(DB666="","","Data")</f>
        <v/>
      </c>
      <c r="DC667" s="48" t="str">
        <f ca="1">IF(DB666="","","Operazioni")</f>
        <v/>
      </c>
      <c r="DD667" s="48" t="str">
        <f ca="1">IF(DB666="","","Dare        ")</f>
        <v/>
      </c>
      <c r="DE667" s="48" t="str">
        <f ca="1">IF(DB666="","","Avere        ")</f>
        <v/>
      </c>
      <c r="DF667" s="48">
        <f ca="1">IF(AND(CX667=$DF$1,CX667&lt;&gt;""),0,IF(AND(DB667&lt;&gt;"",OR(DB666&lt;&gt;"",DB668&lt;&gt;"")),MAX($DF$2:DF666)+1,0))</f>
        <v>0</v>
      </c>
    </row>
    <row r="668" spans="102:110" x14ac:dyDescent="0.3">
      <c r="CX668" s="48">
        <f t="shared" ca="1" si="951"/>
        <v>52</v>
      </c>
      <c r="CY668" s="48" t="str">
        <f t="shared" ca="1" si="950"/>
        <v>MASTRO</v>
      </c>
      <c r="CZ668" s="48" t="e">
        <f t="shared" ref="CZ668:CZ677" ca="1" si="953">SUM(MATCH($CY668,INDIRECT(ADDRESS(SUM(CZ667)+3,54)&amp;":"&amp;ADDRESS(400,54)),0),CZ667)</f>
        <v>#N/A</v>
      </c>
      <c r="DA668" s="48" t="str">
        <f ca="1">IFERROR(INDEX(LIBRO_GIORNALE,CZ668,1),"")</f>
        <v/>
      </c>
      <c r="DB668" s="48" t="str">
        <f t="shared" ref="DB668:DB729" ca="1" si="954">IF(RIGHT(TEXT(IFERROR(INDEX(LIBRO_GIORNALE,CZ668,2),""),"gg/mm/aa"),1)="a",TEXT(IFERROR(INDEX(LIBRO_GIORNALE,CZ668,2),""),"dd/mm/yy"),TEXT(IFERROR(INDEX(LIBRO_GIORNALE,CZ668,2),""),"gg/mm/aa"))</f>
        <v/>
      </c>
      <c r="DC668" s="48" t="str">
        <f t="shared" ref="DC668:DC677" ca="1" si="955">IF(IFERROR(INDEX(LIBRO_GIORNALE,CZ668,4),"")=0,"manca la descrizione dell'operazione",IFERROR(INDEX(LIBRO_GIORNALE,CZ668,4),""))</f>
        <v/>
      </c>
      <c r="DD668" s="48" t="str">
        <f t="shared" ref="DD668:DD677" ca="1" si="956">IFERROR(IF(INDEX(LIBRO_GIORNALE,CZ668,5)&gt;0,INDEX(LIBRO_GIORNALE,CZ668,5),""),"")</f>
        <v/>
      </c>
      <c r="DE668" s="48" t="str">
        <f t="shared" ref="DE668:DE677" ca="1" si="957">IFERROR(IF(INDEX(LIBRO_GIORNALE,CZ668,6)&gt;0,INDEX(LIBRO_GIORNALE,CZ668,6),""),"")</f>
        <v/>
      </c>
      <c r="DF668" s="48">
        <f ca="1">IF(AND(CX668=$DF$1,CX668&lt;&gt;""),0,IF(AND(DB668&lt;&gt;"",OR(DB667&lt;&gt;"",DB669&lt;&gt;"")),MAX($DF$2:DF667)+1,0))</f>
        <v>0</v>
      </c>
    </row>
    <row r="669" spans="102:110" x14ac:dyDescent="0.3">
      <c r="CX669" s="48">
        <f t="shared" ca="1" si="951"/>
        <v>52</v>
      </c>
      <c r="CY669" s="48" t="str">
        <f t="shared" ca="1" si="950"/>
        <v>MASTRO</v>
      </c>
      <c r="CZ669" s="48" t="e">
        <f t="shared" ca="1" si="953"/>
        <v>#N/A</v>
      </c>
      <c r="DA669" s="48" t="str">
        <f t="shared" ref="DA669:DA677" ca="1" si="958">IFERROR(INDEX(LIBRO_GIORNALE,CZ669,1),"")</f>
        <v/>
      </c>
      <c r="DB669" s="48" t="str">
        <f t="shared" ca="1" si="954"/>
        <v/>
      </c>
      <c r="DC669" s="48" t="str">
        <f t="shared" ca="1" si="955"/>
        <v/>
      </c>
      <c r="DD669" s="48" t="str">
        <f t="shared" ca="1" si="956"/>
        <v/>
      </c>
      <c r="DE669" s="48" t="str">
        <f t="shared" ca="1" si="957"/>
        <v/>
      </c>
      <c r="DF669" s="48">
        <f ca="1">IF(AND(CX669=$DF$1,CX669&lt;&gt;""),0,IF(AND(DB669&lt;&gt;"",OR(DB668&lt;&gt;"",DB670&lt;&gt;"")),MAX($DF$2:DF668)+1,0))</f>
        <v>0</v>
      </c>
    </row>
    <row r="670" spans="102:110" x14ac:dyDescent="0.3">
      <c r="CX670" s="48">
        <f t="shared" ca="1" si="951"/>
        <v>52</v>
      </c>
      <c r="CY670" s="48" t="str">
        <f t="shared" ca="1" si="950"/>
        <v>MASTRO</v>
      </c>
      <c r="CZ670" s="48" t="e">
        <f t="shared" ca="1" si="953"/>
        <v>#N/A</v>
      </c>
      <c r="DA670" s="48" t="str">
        <f t="shared" ca="1" si="958"/>
        <v/>
      </c>
      <c r="DB670" s="48" t="str">
        <f t="shared" ca="1" si="954"/>
        <v/>
      </c>
      <c r="DC670" s="48" t="str">
        <f t="shared" ca="1" si="955"/>
        <v/>
      </c>
      <c r="DD670" s="48" t="str">
        <f t="shared" ca="1" si="956"/>
        <v/>
      </c>
      <c r="DE670" s="48" t="str">
        <f t="shared" ca="1" si="957"/>
        <v/>
      </c>
      <c r="DF670" s="48">
        <f ca="1">IF(AND(CX670=$DF$1,CX670&lt;&gt;""),0,IF(AND(DB670&lt;&gt;"",OR(DB669&lt;&gt;"",DB671&lt;&gt;"")),MAX($DF$2:DF669)+1,0))</f>
        <v>0</v>
      </c>
    </row>
    <row r="671" spans="102:110" x14ac:dyDescent="0.3">
      <c r="CX671" s="48">
        <f t="shared" ca="1" si="951"/>
        <v>52</v>
      </c>
      <c r="CY671" s="48" t="str">
        <f t="shared" ca="1" si="950"/>
        <v>MASTRO</v>
      </c>
      <c r="CZ671" s="48" t="e">
        <f t="shared" ca="1" si="953"/>
        <v>#N/A</v>
      </c>
      <c r="DA671" s="48" t="str">
        <f t="shared" ca="1" si="958"/>
        <v/>
      </c>
      <c r="DB671" s="48" t="str">
        <f t="shared" ca="1" si="954"/>
        <v/>
      </c>
      <c r="DC671" s="48" t="str">
        <f t="shared" ca="1" si="955"/>
        <v/>
      </c>
      <c r="DD671" s="48" t="str">
        <f t="shared" ca="1" si="956"/>
        <v/>
      </c>
      <c r="DE671" s="48" t="str">
        <f t="shared" ca="1" si="957"/>
        <v/>
      </c>
      <c r="DF671" s="48">
        <f ca="1">IF(AND(CX671=$DF$1,CX671&lt;&gt;""),0,IF(AND(DB671&lt;&gt;"",OR(DB670&lt;&gt;"",DB672&lt;&gt;"")),MAX($DF$2:DF670)+1,0))</f>
        <v>0</v>
      </c>
    </row>
    <row r="672" spans="102:110" x14ac:dyDescent="0.3">
      <c r="CX672" s="48">
        <f t="shared" ca="1" si="951"/>
        <v>52</v>
      </c>
      <c r="CY672" s="48" t="str">
        <f t="shared" ca="1" si="950"/>
        <v>MASTRO</v>
      </c>
      <c r="CZ672" s="48" t="e">
        <f t="shared" ca="1" si="953"/>
        <v>#N/A</v>
      </c>
      <c r="DA672" s="48" t="str">
        <f t="shared" ca="1" si="958"/>
        <v/>
      </c>
      <c r="DB672" s="48" t="str">
        <f t="shared" ca="1" si="954"/>
        <v/>
      </c>
      <c r="DC672" s="48" t="str">
        <f t="shared" ca="1" si="955"/>
        <v/>
      </c>
      <c r="DD672" s="48" t="str">
        <f t="shared" ca="1" si="956"/>
        <v/>
      </c>
      <c r="DE672" s="48" t="str">
        <f t="shared" ca="1" si="957"/>
        <v/>
      </c>
      <c r="DF672" s="48">
        <f ca="1">IF(AND(CX672=$DF$1,CX672&lt;&gt;""),0,IF(AND(DB672&lt;&gt;"",OR(DB671&lt;&gt;"",DB673&lt;&gt;"")),MAX($DF$2:DF671)+1,0))</f>
        <v>0</v>
      </c>
    </row>
    <row r="673" spans="102:110" x14ac:dyDescent="0.3">
      <c r="CX673" s="48">
        <f t="shared" ca="1" si="951"/>
        <v>52</v>
      </c>
      <c r="CY673" s="48" t="str">
        <f t="shared" ca="1" si="950"/>
        <v>MASTRO</v>
      </c>
      <c r="CZ673" s="48" t="e">
        <f t="shared" ca="1" si="953"/>
        <v>#N/A</v>
      </c>
      <c r="DA673" s="48" t="str">
        <f t="shared" ca="1" si="958"/>
        <v/>
      </c>
      <c r="DB673" s="48" t="str">
        <f t="shared" ca="1" si="954"/>
        <v/>
      </c>
      <c r="DC673" s="48" t="str">
        <f t="shared" ca="1" si="955"/>
        <v/>
      </c>
      <c r="DD673" s="48" t="str">
        <f t="shared" ca="1" si="956"/>
        <v/>
      </c>
      <c r="DE673" s="48" t="str">
        <f t="shared" ca="1" si="957"/>
        <v/>
      </c>
      <c r="DF673" s="48">
        <f ca="1">IF(AND(CX673=$DF$1,CX673&lt;&gt;""),0,IF(AND(DB673&lt;&gt;"",OR(DB672&lt;&gt;"",DB674&lt;&gt;"")),MAX($DF$2:DF672)+1,0))</f>
        <v>0</v>
      </c>
    </row>
    <row r="674" spans="102:110" x14ac:dyDescent="0.3">
      <c r="CX674" s="48">
        <f t="shared" ca="1" si="951"/>
        <v>52</v>
      </c>
      <c r="CY674" s="48" t="str">
        <f t="shared" ca="1" si="950"/>
        <v>MASTRO</v>
      </c>
      <c r="CZ674" s="48" t="e">
        <f t="shared" ca="1" si="953"/>
        <v>#N/A</v>
      </c>
      <c r="DA674" s="48" t="str">
        <f t="shared" ca="1" si="958"/>
        <v/>
      </c>
      <c r="DB674" s="48" t="str">
        <f t="shared" ca="1" si="954"/>
        <v/>
      </c>
      <c r="DC674" s="48" t="str">
        <f t="shared" ca="1" si="955"/>
        <v/>
      </c>
      <c r="DD674" s="48" t="str">
        <f t="shared" ca="1" si="956"/>
        <v/>
      </c>
      <c r="DE674" s="48" t="str">
        <f t="shared" ca="1" si="957"/>
        <v/>
      </c>
      <c r="DF674" s="48">
        <f ca="1">IF(AND(CX674=$DF$1,CX674&lt;&gt;""),0,IF(AND(DB674&lt;&gt;"",OR(DB673&lt;&gt;"",DB675&lt;&gt;"")),MAX($DF$2:DF673)+1,0))</f>
        <v>0</v>
      </c>
    </row>
    <row r="675" spans="102:110" x14ac:dyDescent="0.3">
      <c r="CX675" s="48">
        <f t="shared" ca="1" si="951"/>
        <v>52</v>
      </c>
      <c r="CY675" s="48" t="str">
        <f t="shared" ca="1" si="950"/>
        <v>MASTRO</v>
      </c>
      <c r="CZ675" s="48" t="e">
        <f t="shared" ca="1" si="953"/>
        <v>#N/A</v>
      </c>
      <c r="DA675" s="48" t="str">
        <f t="shared" ca="1" si="958"/>
        <v/>
      </c>
      <c r="DB675" s="48" t="str">
        <f t="shared" ca="1" si="954"/>
        <v/>
      </c>
      <c r="DC675" s="48" t="str">
        <f t="shared" ca="1" si="955"/>
        <v/>
      </c>
      <c r="DD675" s="48" t="str">
        <f t="shared" ca="1" si="956"/>
        <v/>
      </c>
      <c r="DE675" s="48" t="str">
        <f t="shared" ca="1" si="957"/>
        <v/>
      </c>
      <c r="DF675" s="48">
        <f ca="1">IF(AND(CX675=$DF$1,CX675&lt;&gt;""),0,IF(AND(DB675&lt;&gt;"",OR(DB674&lt;&gt;"",DB676&lt;&gt;"")),MAX($DF$2:DF674)+1,0))</f>
        <v>0</v>
      </c>
    </row>
    <row r="676" spans="102:110" x14ac:dyDescent="0.3">
      <c r="CX676" s="48">
        <f t="shared" ca="1" si="951"/>
        <v>52</v>
      </c>
      <c r="CY676" s="48" t="str">
        <f t="shared" ca="1" si="950"/>
        <v>MASTRO</v>
      </c>
      <c r="CZ676" s="48" t="e">
        <f t="shared" ca="1" si="953"/>
        <v>#N/A</v>
      </c>
      <c r="DA676" s="48" t="str">
        <f t="shared" ca="1" si="958"/>
        <v/>
      </c>
      <c r="DB676" s="48" t="str">
        <f t="shared" ca="1" si="954"/>
        <v/>
      </c>
      <c r="DC676" s="48" t="str">
        <f t="shared" ca="1" si="955"/>
        <v/>
      </c>
      <c r="DD676" s="48" t="str">
        <f t="shared" ca="1" si="956"/>
        <v/>
      </c>
      <c r="DE676" s="48" t="str">
        <f t="shared" ca="1" si="957"/>
        <v/>
      </c>
      <c r="DF676" s="48">
        <f ca="1">IF(AND(CX676=$DF$1,CX676&lt;&gt;""),0,IF(AND(DB676&lt;&gt;"",OR(DB675&lt;&gt;"",DB677&lt;&gt;"")),MAX($DF$2:DF675)+1,0))</f>
        <v>0</v>
      </c>
    </row>
    <row r="677" spans="102:110" x14ac:dyDescent="0.3">
      <c r="CX677" s="48">
        <f t="shared" ca="1" si="951"/>
        <v>52</v>
      </c>
      <c r="CY677" s="48" t="str">
        <f t="shared" ca="1" si="950"/>
        <v>MASTRO</v>
      </c>
      <c r="CZ677" s="48" t="e">
        <f t="shared" ca="1" si="953"/>
        <v>#N/A</v>
      </c>
      <c r="DA677" s="48" t="str">
        <f t="shared" ca="1" si="958"/>
        <v/>
      </c>
      <c r="DB677" s="48" t="str">
        <f t="shared" ca="1" si="954"/>
        <v/>
      </c>
      <c r="DC677" s="48" t="str">
        <f t="shared" ca="1" si="955"/>
        <v/>
      </c>
      <c r="DD677" s="48" t="str">
        <f t="shared" ca="1" si="956"/>
        <v/>
      </c>
      <c r="DE677" s="48" t="str">
        <f t="shared" ca="1" si="957"/>
        <v/>
      </c>
      <c r="DF677" s="48">
        <f ca="1">IF(AND(CX677=$DF$1,CX677&lt;&gt;""),0,IF(AND(DB677&lt;&gt;"",OR(DB676&lt;&gt;"",DB678&lt;&gt;"")),MAX($DF$2:DF676)+1,0))</f>
        <v>0</v>
      </c>
    </row>
    <row r="678" spans="102:110" x14ac:dyDescent="0.3">
      <c r="CY678" s="48" t="s">
        <v>500</v>
      </c>
      <c r="DB678" s="48" t="str">
        <f t="shared" ref="DB678" ca="1" si="959">IF(CX677=$DF$1,"","MASTRO")</f>
        <v>MASTRO</v>
      </c>
      <c r="DF678" s="48">
        <f ca="1">IF(AND(CX678=$DF$1,CX678&lt;&gt;""),0,IF(AND(DB678&lt;&gt;"",OR(DB677&lt;&gt;"",DB679&lt;&gt;"")),MAX($DF$2:DF677)+1,0))</f>
        <v>0</v>
      </c>
    </row>
    <row r="679" spans="102:110" x14ac:dyDescent="0.3">
      <c r="CX679" s="48">
        <f ca="1">$FF$55</f>
        <v>53</v>
      </c>
      <c r="CY679" s="48" t="str">
        <f t="shared" ref="CY679:CY690" ca="1" si="960">IF(ISERROR(INDEX($CV$3:$CX$1302,MATCH(CX679,$CW$3:$CW$1302,0),1)),"MASTRO",INDEX($CV$3:$CX$1302,MATCH(CX679,$CW$3:$CW$1302,0),1))</f>
        <v>MASTRO</v>
      </c>
      <c r="DA679" s="48" t="str">
        <f>IF(CY678="MASTRO","Conto n.","")</f>
        <v>Conto n.</v>
      </c>
      <c r="DB679" s="48" t="str">
        <f ca="1">IF(CY679=0,"",INDEX(PDC,MATCH(DC679,DEN_PDC,0),1))</f>
        <v/>
      </c>
      <c r="DC679" s="48" t="str">
        <f ca="1">IF(OR(CY679=0,CY679="mastro"),"",CY679)</f>
        <v/>
      </c>
      <c r="DD679" s="48" t="str">
        <f ca="1">IF(AND($DA$2=TRUE,OR(INDEX(PDC,MATCH($DC679,DEN_PDC,0),4)="A",INDEX(PDC,MATCH($DC679,DEN_PDC,0),4)="D/A"),SUMIFS(AVERE,DEN_G,"="&amp;$DC679,DATA,"&lt;="&amp;FINE_AC,DATA,"&gt;="&amp;INIZIO_AC)&gt;SUMIFS(DARE,DEN_G,"="&amp;$DC679,DATA,"&lt;="&amp;FINE_AC,DATA,"&gt;="&amp;INIZIO_AC)),CONCATENATE("s ",FIXED(ABS(SUMIFS(AVERE,DEN_G,"="&amp;$DC679,DATA,"&lt;="&amp;FINE_AC,DATA,"&gt;="&amp;INIZIO_AC)-SUMIFS(DARE,DEN_G,"="&amp;$DC679,DATA,"&lt;="&amp;FINE_AC,DATA,"&gt;="&amp;INIZIO_AC)),2)),"")</f>
        <v/>
      </c>
      <c r="DE679" s="48" t="str">
        <f ca="1">IF(AND($DA$2=TRUE,OR(INDEX(PDC,MATCH($DC679,DEN_PDC,0),4)="D",INDEX(PDC,MATCH($DC679,DEN_PDC,0),4)="D/A"),SUMIFS(DARE,DEN_G,"="&amp;$DC679,DATA,"&lt;="&amp;FINE_AC,DATA,"&gt;="&amp;INIZIO_AC)&gt;SUMIFS(AVERE,DEN_G,"="&amp;$DC679,DATA,"&lt;="&amp;FINE_AC,DATA,"&gt;="&amp;INIZIO_AC)),CONCATENATE("s ",FIXED(ABS(SUMIFS(DARE,DEN_G,"="&amp;$DC679,DATA,"&lt;="&amp;FINE_AC,DATA,"&gt;="&amp;INIZIO_AC)-SUMIFS(AVERE,DEN_G,"="&amp;$DC679,DATA,"&lt;="&amp;FINE_AC,DATA,"&gt;="&amp;INIZIO_AC)),2)),"")</f>
        <v/>
      </c>
      <c r="DF679" s="48">
        <f ca="1">IF(AND(CX679=$DF$1,CX679&lt;&gt;""),0,IF(AND(DB679&lt;&gt;"",OR(DB678&lt;&gt;"",DB680&lt;&gt;"")),MAX($DF$2:DF678)+1,0))</f>
        <v>0</v>
      </c>
    </row>
    <row r="680" spans="102:110" x14ac:dyDescent="0.3">
      <c r="CX680" s="48">
        <f t="shared" ref="CX680:CX690" ca="1" si="961">$FF$55</f>
        <v>53</v>
      </c>
      <c r="CY680" s="48" t="str">
        <f t="shared" ca="1" si="960"/>
        <v>MASTRO</v>
      </c>
      <c r="DA680" s="48" t="str">
        <f ca="1">IF(DB679="","","Num. riga")</f>
        <v/>
      </c>
      <c r="DB680" s="48" t="str">
        <f t="shared" ref="DB680" ca="1" si="962">IF(DB679="","","Data")</f>
        <v/>
      </c>
      <c r="DC680" s="48" t="str">
        <f ca="1">IF(DB679="","","Operazioni")</f>
        <v/>
      </c>
      <c r="DD680" s="48" t="str">
        <f ca="1">IF(DB679="","","Dare        ")</f>
        <v/>
      </c>
      <c r="DE680" s="48" t="str">
        <f ca="1">IF(DB679="","","Avere        ")</f>
        <v/>
      </c>
      <c r="DF680" s="48">
        <f ca="1">IF(AND(CX680=$DF$1,CX680&lt;&gt;""),0,IF(AND(DB680&lt;&gt;"",OR(DB679&lt;&gt;"",DB681&lt;&gt;"")),MAX($DF$2:DF679)+1,0))</f>
        <v>0</v>
      </c>
    </row>
    <row r="681" spans="102:110" x14ac:dyDescent="0.3">
      <c r="CX681" s="48">
        <f t="shared" ca="1" si="961"/>
        <v>53</v>
      </c>
      <c r="CY681" s="48" t="str">
        <f t="shared" ca="1" si="960"/>
        <v>MASTRO</v>
      </c>
      <c r="CZ681" s="48" t="e">
        <f t="shared" ref="CZ681:CZ690" ca="1" si="963">SUM(MATCH($CY681,INDIRECT(ADDRESS(SUM(CZ680)+3,54)&amp;":"&amp;ADDRESS(400,54)),0),CZ680)</f>
        <v>#N/A</v>
      </c>
      <c r="DA681" s="48" t="str">
        <f ca="1">IFERROR(INDEX(LIBRO_GIORNALE,CZ681,1),"")</f>
        <v/>
      </c>
      <c r="DB681" s="48" t="str">
        <f t="shared" ca="1" si="954"/>
        <v/>
      </c>
      <c r="DC681" s="48" t="str">
        <f t="shared" ref="DC681:DC690" ca="1" si="964">IF(IFERROR(INDEX(LIBRO_GIORNALE,CZ681,4),"")=0,"manca la descrizione dell'operazione",IFERROR(INDEX(LIBRO_GIORNALE,CZ681,4),""))</f>
        <v/>
      </c>
      <c r="DD681" s="48" t="str">
        <f t="shared" ref="DD681:DD690" ca="1" si="965">IFERROR(IF(INDEX(LIBRO_GIORNALE,CZ681,5)&gt;0,INDEX(LIBRO_GIORNALE,CZ681,5),""),"")</f>
        <v/>
      </c>
      <c r="DE681" s="48" t="str">
        <f t="shared" ref="DE681:DE690" ca="1" si="966">IFERROR(IF(INDEX(LIBRO_GIORNALE,CZ681,6)&gt;0,INDEX(LIBRO_GIORNALE,CZ681,6),""),"")</f>
        <v/>
      </c>
      <c r="DF681" s="48">
        <f ca="1">IF(AND(CX681=$DF$1,CX681&lt;&gt;""),0,IF(AND(DB681&lt;&gt;"",OR(DB680&lt;&gt;"",DB682&lt;&gt;"")),MAX($DF$2:DF680)+1,0))</f>
        <v>0</v>
      </c>
    </row>
    <row r="682" spans="102:110" x14ac:dyDescent="0.3">
      <c r="CX682" s="48">
        <f t="shared" ca="1" si="961"/>
        <v>53</v>
      </c>
      <c r="CY682" s="48" t="str">
        <f t="shared" ca="1" si="960"/>
        <v>MASTRO</v>
      </c>
      <c r="CZ682" s="48" t="e">
        <f t="shared" ca="1" si="963"/>
        <v>#N/A</v>
      </c>
      <c r="DA682" s="48" t="str">
        <f t="shared" ref="DA682:DA690" ca="1" si="967">IFERROR(INDEX(LIBRO_GIORNALE,CZ682,1),"")</f>
        <v/>
      </c>
      <c r="DB682" s="48" t="str">
        <f t="shared" ca="1" si="954"/>
        <v/>
      </c>
      <c r="DC682" s="48" t="str">
        <f t="shared" ca="1" si="964"/>
        <v/>
      </c>
      <c r="DD682" s="48" t="str">
        <f t="shared" ca="1" si="965"/>
        <v/>
      </c>
      <c r="DE682" s="48" t="str">
        <f t="shared" ca="1" si="966"/>
        <v/>
      </c>
      <c r="DF682" s="48">
        <f ca="1">IF(AND(CX682=$DF$1,CX682&lt;&gt;""),0,IF(AND(DB682&lt;&gt;"",OR(DB681&lt;&gt;"",DB683&lt;&gt;"")),MAX($DF$2:DF681)+1,0))</f>
        <v>0</v>
      </c>
    </row>
    <row r="683" spans="102:110" x14ac:dyDescent="0.3">
      <c r="CX683" s="48">
        <f t="shared" ca="1" si="961"/>
        <v>53</v>
      </c>
      <c r="CY683" s="48" t="str">
        <f t="shared" ca="1" si="960"/>
        <v>MASTRO</v>
      </c>
      <c r="CZ683" s="48" t="e">
        <f t="shared" ca="1" si="963"/>
        <v>#N/A</v>
      </c>
      <c r="DA683" s="48" t="str">
        <f t="shared" ca="1" si="967"/>
        <v/>
      </c>
      <c r="DB683" s="48" t="str">
        <f t="shared" ca="1" si="954"/>
        <v/>
      </c>
      <c r="DC683" s="48" t="str">
        <f t="shared" ca="1" si="964"/>
        <v/>
      </c>
      <c r="DD683" s="48" t="str">
        <f t="shared" ca="1" si="965"/>
        <v/>
      </c>
      <c r="DE683" s="48" t="str">
        <f t="shared" ca="1" si="966"/>
        <v/>
      </c>
      <c r="DF683" s="48">
        <f ca="1">IF(AND(CX683=$DF$1,CX683&lt;&gt;""),0,IF(AND(DB683&lt;&gt;"",OR(DB682&lt;&gt;"",DB684&lt;&gt;"")),MAX($DF$2:DF682)+1,0))</f>
        <v>0</v>
      </c>
    </row>
    <row r="684" spans="102:110" x14ac:dyDescent="0.3">
      <c r="CX684" s="48">
        <f t="shared" ca="1" si="961"/>
        <v>53</v>
      </c>
      <c r="CY684" s="48" t="str">
        <f t="shared" ca="1" si="960"/>
        <v>MASTRO</v>
      </c>
      <c r="CZ684" s="48" t="e">
        <f t="shared" ca="1" si="963"/>
        <v>#N/A</v>
      </c>
      <c r="DA684" s="48" t="str">
        <f t="shared" ca="1" si="967"/>
        <v/>
      </c>
      <c r="DB684" s="48" t="str">
        <f t="shared" ca="1" si="954"/>
        <v/>
      </c>
      <c r="DC684" s="48" t="str">
        <f t="shared" ca="1" si="964"/>
        <v/>
      </c>
      <c r="DD684" s="48" t="str">
        <f t="shared" ca="1" si="965"/>
        <v/>
      </c>
      <c r="DE684" s="48" t="str">
        <f t="shared" ca="1" si="966"/>
        <v/>
      </c>
      <c r="DF684" s="48">
        <f ca="1">IF(AND(CX684=$DF$1,CX684&lt;&gt;""),0,IF(AND(DB684&lt;&gt;"",OR(DB683&lt;&gt;"",DB685&lt;&gt;"")),MAX($DF$2:DF683)+1,0))</f>
        <v>0</v>
      </c>
    </row>
    <row r="685" spans="102:110" x14ac:dyDescent="0.3">
      <c r="CX685" s="48">
        <f t="shared" ca="1" si="961"/>
        <v>53</v>
      </c>
      <c r="CY685" s="48" t="str">
        <f t="shared" ca="1" si="960"/>
        <v>MASTRO</v>
      </c>
      <c r="CZ685" s="48" t="e">
        <f t="shared" ca="1" si="963"/>
        <v>#N/A</v>
      </c>
      <c r="DA685" s="48" t="str">
        <f t="shared" ca="1" si="967"/>
        <v/>
      </c>
      <c r="DB685" s="48" t="str">
        <f t="shared" ca="1" si="954"/>
        <v/>
      </c>
      <c r="DC685" s="48" t="str">
        <f t="shared" ca="1" si="964"/>
        <v/>
      </c>
      <c r="DD685" s="48" t="str">
        <f t="shared" ca="1" si="965"/>
        <v/>
      </c>
      <c r="DE685" s="48" t="str">
        <f t="shared" ca="1" si="966"/>
        <v/>
      </c>
      <c r="DF685" s="48">
        <f ca="1">IF(AND(CX685=$DF$1,CX685&lt;&gt;""),0,IF(AND(DB685&lt;&gt;"",OR(DB684&lt;&gt;"",DB686&lt;&gt;"")),MAX($DF$2:DF684)+1,0))</f>
        <v>0</v>
      </c>
    </row>
    <row r="686" spans="102:110" x14ac:dyDescent="0.3">
      <c r="CX686" s="48">
        <f t="shared" ca="1" si="961"/>
        <v>53</v>
      </c>
      <c r="CY686" s="48" t="str">
        <f t="shared" ca="1" si="960"/>
        <v>MASTRO</v>
      </c>
      <c r="CZ686" s="48" t="e">
        <f t="shared" ca="1" si="963"/>
        <v>#N/A</v>
      </c>
      <c r="DA686" s="48" t="str">
        <f t="shared" ca="1" si="967"/>
        <v/>
      </c>
      <c r="DB686" s="48" t="str">
        <f t="shared" ca="1" si="954"/>
        <v/>
      </c>
      <c r="DC686" s="48" t="str">
        <f t="shared" ca="1" si="964"/>
        <v/>
      </c>
      <c r="DD686" s="48" t="str">
        <f t="shared" ca="1" si="965"/>
        <v/>
      </c>
      <c r="DE686" s="48" t="str">
        <f t="shared" ca="1" si="966"/>
        <v/>
      </c>
      <c r="DF686" s="48">
        <f ca="1">IF(AND(CX686=$DF$1,CX686&lt;&gt;""),0,IF(AND(DB686&lt;&gt;"",OR(DB685&lt;&gt;"",DB687&lt;&gt;"")),MAX($DF$2:DF685)+1,0))</f>
        <v>0</v>
      </c>
    </row>
    <row r="687" spans="102:110" x14ac:dyDescent="0.3">
      <c r="CX687" s="48">
        <f t="shared" ca="1" si="961"/>
        <v>53</v>
      </c>
      <c r="CY687" s="48" t="str">
        <f t="shared" ca="1" si="960"/>
        <v>MASTRO</v>
      </c>
      <c r="CZ687" s="48" t="e">
        <f t="shared" ca="1" si="963"/>
        <v>#N/A</v>
      </c>
      <c r="DA687" s="48" t="str">
        <f t="shared" ca="1" si="967"/>
        <v/>
      </c>
      <c r="DB687" s="48" t="str">
        <f t="shared" ca="1" si="954"/>
        <v/>
      </c>
      <c r="DC687" s="48" t="str">
        <f t="shared" ca="1" si="964"/>
        <v/>
      </c>
      <c r="DD687" s="48" t="str">
        <f t="shared" ca="1" si="965"/>
        <v/>
      </c>
      <c r="DE687" s="48" t="str">
        <f t="shared" ca="1" si="966"/>
        <v/>
      </c>
      <c r="DF687" s="48">
        <f ca="1">IF(AND(CX687=$DF$1,CX687&lt;&gt;""),0,IF(AND(DB687&lt;&gt;"",OR(DB686&lt;&gt;"",DB688&lt;&gt;"")),MAX($DF$2:DF686)+1,0))</f>
        <v>0</v>
      </c>
    </row>
    <row r="688" spans="102:110" x14ac:dyDescent="0.3">
      <c r="CX688" s="48">
        <f t="shared" ca="1" si="961"/>
        <v>53</v>
      </c>
      <c r="CY688" s="48" t="str">
        <f t="shared" ca="1" si="960"/>
        <v>MASTRO</v>
      </c>
      <c r="CZ688" s="48" t="e">
        <f t="shared" ca="1" si="963"/>
        <v>#N/A</v>
      </c>
      <c r="DA688" s="48" t="str">
        <f t="shared" ca="1" si="967"/>
        <v/>
      </c>
      <c r="DB688" s="48" t="str">
        <f t="shared" ca="1" si="954"/>
        <v/>
      </c>
      <c r="DC688" s="48" t="str">
        <f t="shared" ca="1" si="964"/>
        <v/>
      </c>
      <c r="DD688" s="48" t="str">
        <f t="shared" ca="1" si="965"/>
        <v/>
      </c>
      <c r="DE688" s="48" t="str">
        <f t="shared" ca="1" si="966"/>
        <v/>
      </c>
      <c r="DF688" s="48">
        <f ca="1">IF(AND(CX688=$DF$1,CX688&lt;&gt;""),0,IF(AND(DB688&lt;&gt;"",OR(DB687&lt;&gt;"",DB689&lt;&gt;"")),MAX($DF$2:DF687)+1,0))</f>
        <v>0</v>
      </c>
    </row>
    <row r="689" spans="102:110" x14ac:dyDescent="0.3">
      <c r="CX689" s="48">
        <f t="shared" ca="1" si="961"/>
        <v>53</v>
      </c>
      <c r="CY689" s="48" t="str">
        <f t="shared" ca="1" si="960"/>
        <v>MASTRO</v>
      </c>
      <c r="CZ689" s="48" t="e">
        <f t="shared" ca="1" si="963"/>
        <v>#N/A</v>
      </c>
      <c r="DA689" s="48" t="str">
        <f t="shared" ca="1" si="967"/>
        <v/>
      </c>
      <c r="DB689" s="48" t="str">
        <f t="shared" ca="1" si="954"/>
        <v/>
      </c>
      <c r="DC689" s="48" t="str">
        <f t="shared" ca="1" si="964"/>
        <v/>
      </c>
      <c r="DD689" s="48" t="str">
        <f t="shared" ca="1" si="965"/>
        <v/>
      </c>
      <c r="DE689" s="48" t="str">
        <f t="shared" ca="1" si="966"/>
        <v/>
      </c>
      <c r="DF689" s="48">
        <f ca="1">IF(AND(CX689=$DF$1,CX689&lt;&gt;""),0,IF(AND(DB689&lt;&gt;"",OR(DB688&lt;&gt;"",DB690&lt;&gt;"")),MAX($DF$2:DF688)+1,0))</f>
        <v>0</v>
      </c>
    </row>
    <row r="690" spans="102:110" x14ac:dyDescent="0.3">
      <c r="CX690" s="48">
        <f t="shared" ca="1" si="961"/>
        <v>53</v>
      </c>
      <c r="CY690" s="48" t="str">
        <f t="shared" ca="1" si="960"/>
        <v>MASTRO</v>
      </c>
      <c r="CZ690" s="48" t="e">
        <f t="shared" ca="1" si="963"/>
        <v>#N/A</v>
      </c>
      <c r="DA690" s="48" t="str">
        <f t="shared" ca="1" si="967"/>
        <v/>
      </c>
      <c r="DB690" s="48" t="str">
        <f t="shared" ca="1" si="954"/>
        <v/>
      </c>
      <c r="DC690" s="48" t="str">
        <f t="shared" ca="1" si="964"/>
        <v/>
      </c>
      <c r="DD690" s="48" t="str">
        <f t="shared" ca="1" si="965"/>
        <v/>
      </c>
      <c r="DE690" s="48" t="str">
        <f t="shared" ca="1" si="966"/>
        <v/>
      </c>
      <c r="DF690" s="48">
        <f ca="1">IF(AND(CX690=$DF$1,CX690&lt;&gt;""),0,IF(AND(DB690&lt;&gt;"",OR(DB689&lt;&gt;"",DB691&lt;&gt;"")),MAX($DF$2:DF689)+1,0))</f>
        <v>0</v>
      </c>
    </row>
    <row r="691" spans="102:110" x14ac:dyDescent="0.3">
      <c r="CY691" s="48" t="s">
        <v>500</v>
      </c>
      <c r="DB691" s="48" t="str">
        <f t="shared" ref="DB691" ca="1" si="968">IF(CX690=$DF$1,"","MASTRO")</f>
        <v>MASTRO</v>
      </c>
      <c r="DF691" s="48">
        <f ca="1">IF(AND(CX691=$DF$1,CX691&lt;&gt;""),0,IF(AND(DB691&lt;&gt;"",OR(DB690&lt;&gt;"",DB692&lt;&gt;"")),MAX($DF$2:DF690)+1,0))</f>
        <v>0</v>
      </c>
    </row>
    <row r="692" spans="102:110" x14ac:dyDescent="0.3">
      <c r="CX692" s="48">
        <f ca="1">$FF$56</f>
        <v>54</v>
      </c>
      <c r="CY692" s="48" t="str">
        <f t="shared" ref="CY692:CY703" ca="1" si="969">IF(ISERROR(INDEX($CV$3:$CX$1302,MATCH(CX692,$CW$3:$CW$1302,0),1)),"MASTRO",INDEX($CV$3:$CX$1302,MATCH(CX692,$CW$3:$CW$1302,0),1))</f>
        <v>MASTRO</v>
      </c>
      <c r="DA692" s="48" t="str">
        <f>IF(CY691="MASTRO","Conto n.","")</f>
        <v>Conto n.</v>
      </c>
      <c r="DB692" s="48" t="str">
        <f ca="1">IF(CY692=0,"",INDEX(PDC,MATCH(DC692,DEN_PDC,0),1))</f>
        <v/>
      </c>
      <c r="DC692" s="48" t="str">
        <f ca="1">IF(OR(CY692=0,CY692="mastro"),"",CY692)</f>
        <v/>
      </c>
      <c r="DD692" s="48" t="str">
        <f ca="1">IF(AND($DA$2=TRUE,OR(INDEX(PDC,MATCH($DC692,DEN_PDC,0),4)="A",INDEX(PDC,MATCH($DC692,DEN_PDC,0),4)="D/A"),SUMIFS(AVERE,DEN_G,"="&amp;$DC692,DATA,"&lt;="&amp;FINE_AC,DATA,"&gt;="&amp;INIZIO_AC)&gt;SUMIFS(DARE,DEN_G,"="&amp;$DC692,DATA,"&lt;="&amp;FINE_AC,DATA,"&gt;="&amp;INIZIO_AC)),CONCATENATE("s ",FIXED(ABS(SUMIFS(AVERE,DEN_G,"="&amp;$DC692,DATA,"&lt;="&amp;FINE_AC,DATA,"&gt;="&amp;INIZIO_AC)-SUMIFS(DARE,DEN_G,"="&amp;$DC692,DATA,"&lt;="&amp;FINE_AC,DATA,"&gt;="&amp;INIZIO_AC)),2)),"")</f>
        <v/>
      </c>
      <c r="DE692" s="48" t="str">
        <f ca="1">IF(AND($DA$2=TRUE,OR(INDEX(PDC,MATCH($DC692,DEN_PDC,0),4)="D",INDEX(PDC,MATCH($DC692,DEN_PDC,0),4)="D/A"),SUMIFS(DARE,DEN_G,"="&amp;$DC692,DATA,"&lt;="&amp;FINE_AC,DATA,"&gt;="&amp;INIZIO_AC)&gt;SUMIFS(AVERE,DEN_G,"="&amp;$DC692,DATA,"&lt;="&amp;FINE_AC,DATA,"&gt;="&amp;INIZIO_AC)),CONCATENATE("s ",FIXED(ABS(SUMIFS(DARE,DEN_G,"="&amp;$DC692,DATA,"&lt;="&amp;FINE_AC,DATA,"&gt;="&amp;INIZIO_AC)-SUMIFS(AVERE,DEN_G,"="&amp;$DC692,DATA,"&lt;="&amp;FINE_AC,DATA,"&gt;="&amp;INIZIO_AC)),2)),"")</f>
        <v/>
      </c>
      <c r="DF692" s="48">
        <f ca="1">IF(AND(CX692=$DF$1,CX692&lt;&gt;""),0,IF(AND(DB692&lt;&gt;"",OR(DB691&lt;&gt;"",DB693&lt;&gt;"")),MAX($DF$2:DF691)+1,0))</f>
        <v>0</v>
      </c>
    </row>
    <row r="693" spans="102:110" x14ac:dyDescent="0.3">
      <c r="CX693" s="48">
        <f t="shared" ref="CX693:CX703" ca="1" si="970">$FF$56</f>
        <v>54</v>
      </c>
      <c r="CY693" s="48" t="str">
        <f t="shared" ca="1" si="969"/>
        <v>MASTRO</v>
      </c>
      <c r="DA693" s="48" t="str">
        <f ca="1">IF(DB692="","","Num. riga")</f>
        <v/>
      </c>
      <c r="DB693" s="48" t="str">
        <f t="shared" ref="DB693" ca="1" si="971">IF(DB692="","","Data")</f>
        <v/>
      </c>
      <c r="DC693" s="48" t="str">
        <f ca="1">IF(DB692="","","Operazioni")</f>
        <v/>
      </c>
      <c r="DD693" s="48" t="str">
        <f ca="1">IF(DB692="","","Dare        ")</f>
        <v/>
      </c>
      <c r="DE693" s="48" t="str">
        <f ca="1">IF(DB692="","","Avere        ")</f>
        <v/>
      </c>
      <c r="DF693" s="48">
        <f ca="1">IF(AND(CX693=$DF$1,CX693&lt;&gt;""),0,IF(AND(DB693&lt;&gt;"",OR(DB692&lt;&gt;"",DB694&lt;&gt;"")),MAX($DF$2:DF692)+1,0))</f>
        <v>0</v>
      </c>
    </row>
    <row r="694" spans="102:110" x14ac:dyDescent="0.3">
      <c r="CX694" s="48">
        <f t="shared" ca="1" si="970"/>
        <v>54</v>
      </c>
      <c r="CY694" s="48" t="str">
        <f t="shared" ca="1" si="969"/>
        <v>MASTRO</v>
      </c>
      <c r="CZ694" s="48" t="e">
        <f t="shared" ref="CZ694:CZ703" ca="1" si="972">SUM(MATCH($CY694,INDIRECT(ADDRESS(SUM(CZ693)+3,54)&amp;":"&amp;ADDRESS(400,54)),0),CZ693)</f>
        <v>#N/A</v>
      </c>
      <c r="DA694" s="48" t="str">
        <f ca="1">IFERROR(INDEX(LIBRO_GIORNALE,CZ694,1),"")</f>
        <v/>
      </c>
      <c r="DB694" s="48" t="str">
        <f t="shared" ca="1" si="954"/>
        <v/>
      </c>
      <c r="DC694" s="48" t="str">
        <f t="shared" ref="DC694:DC703" ca="1" si="973">IF(IFERROR(INDEX(LIBRO_GIORNALE,CZ694,4),"")=0,"manca la descrizione dell'operazione",IFERROR(INDEX(LIBRO_GIORNALE,CZ694,4),""))</f>
        <v/>
      </c>
      <c r="DD694" s="48" t="str">
        <f t="shared" ref="DD694:DD703" ca="1" si="974">IFERROR(IF(INDEX(LIBRO_GIORNALE,CZ694,5)&gt;0,INDEX(LIBRO_GIORNALE,CZ694,5),""),"")</f>
        <v/>
      </c>
      <c r="DE694" s="48" t="str">
        <f t="shared" ref="DE694:DE703" ca="1" si="975">IFERROR(IF(INDEX(LIBRO_GIORNALE,CZ694,6)&gt;0,INDEX(LIBRO_GIORNALE,CZ694,6),""),"")</f>
        <v/>
      </c>
      <c r="DF694" s="48">
        <f ca="1">IF(AND(CX694=$DF$1,CX694&lt;&gt;""),0,IF(AND(DB694&lt;&gt;"",OR(DB693&lt;&gt;"",DB695&lt;&gt;"")),MAX($DF$2:DF693)+1,0))</f>
        <v>0</v>
      </c>
    </row>
    <row r="695" spans="102:110" x14ac:dyDescent="0.3">
      <c r="CX695" s="48">
        <f t="shared" ca="1" si="970"/>
        <v>54</v>
      </c>
      <c r="CY695" s="48" t="str">
        <f t="shared" ca="1" si="969"/>
        <v>MASTRO</v>
      </c>
      <c r="CZ695" s="48" t="e">
        <f t="shared" ca="1" si="972"/>
        <v>#N/A</v>
      </c>
      <c r="DA695" s="48" t="str">
        <f t="shared" ref="DA695:DA703" ca="1" si="976">IFERROR(INDEX(LIBRO_GIORNALE,CZ695,1),"")</f>
        <v/>
      </c>
      <c r="DB695" s="48" t="str">
        <f t="shared" ca="1" si="954"/>
        <v/>
      </c>
      <c r="DC695" s="48" t="str">
        <f t="shared" ca="1" si="973"/>
        <v/>
      </c>
      <c r="DD695" s="48" t="str">
        <f t="shared" ca="1" si="974"/>
        <v/>
      </c>
      <c r="DE695" s="48" t="str">
        <f t="shared" ca="1" si="975"/>
        <v/>
      </c>
      <c r="DF695" s="48">
        <f ca="1">IF(AND(CX695=$DF$1,CX695&lt;&gt;""),0,IF(AND(DB695&lt;&gt;"",OR(DB694&lt;&gt;"",DB696&lt;&gt;"")),MAX($DF$2:DF694)+1,0))</f>
        <v>0</v>
      </c>
    </row>
    <row r="696" spans="102:110" x14ac:dyDescent="0.3">
      <c r="CX696" s="48">
        <f t="shared" ca="1" si="970"/>
        <v>54</v>
      </c>
      <c r="CY696" s="48" t="str">
        <f t="shared" ca="1" si="969"/>
        <v>MASTRO</v>
      </c>
      <c r="CZ696" s="48" t="e">
        <f t="shared" ca="1" si="972"/>
        <v>#N/A</v>
      </c>
      <c r="DA696" s="48" t="str">
        <f t="shared" ca="1" si="976"/>
        <v/>
      </c>
      <c r="DB696" s="48" t="str">
        <f t="shared" ca="1" si="954"/>
        <v/>
      </c>
      <c r="DC696" s="48" t="str">
        <f t="shared" ca="1" si="973"/>
        <v/>
      </c>
      <c r="DD696" s="48" t="str">
        <f t="shared" ca="1" si="974"/>
        <v/>
      </c>
      <c r="DE696" s="48" t="str">
        <f t="shared" ca="1" si="975"/>
        <v/>
      </c>
      <c r="DF696" s="48">
        <f ca="1">IF(AND(CX696=$DF$1,CX696&lt;&gt;""),0,IF(AND(DB696&lt;&gt;"",OR(DB695&lt;&gt;"",DB697&lt;&gt;"")),MAX($DF$2:DF695)+1,0))</f>
        <v>0</v>
      </c>
    </row>
    <row r="697" spans="102:110" x14ac:dyDescent="0.3">
      <c r="CX697" s="48">
        <f t="shared" ca="1" si="970"/>
        <v>54</v>
      </c>
      <c r="CY697" s="48" t="str">
        <f t="shared" ca="1" si="969"/>
        <v>MASTRO</v>
      </c>
      <c r="CZ697" s="48" t="e">
        <f t="shared" ca="1" si="972"/>
        <v>#N/A</v>
      </c>
      <c r="DA697" s="48" t="str">
        <f t="shared" ca="1" si="976"/>
        <v/>
      </c>
      <c r="DB697" s="48" t="str">
        <f t="shared" ca="1" si="954"/>
        <v/>
      </c>
      <c r="DC697" s="48" t="str">
        <f t="shared" ca="1" si="973"/>
        <v/>
      </c>
      <c r="DD697" s="48" t="str">
        <f t="shared" ca="1" si="974"/>
        <v/>
      </c>
      <c r="DE697" s="48" t="str">
        <f t="shared" ca="1" si="975"/>
        <v/>
      </c>
      <c r="DF697" s="48">
        <f ca="1">IF(AND(CX697=$DF$1,CX697&lt;&gt;""),0,IF(AND(DB697&lt;&gt;"",OR(DB696&lt;&gt;"",DB698&lt;&gt;"")),MAX($DF$2:DF696)+1,0))</f>
        <v>0</v>
      </c>
    </row>
    <row r="698" spans="102:110" x14ac:dyDescent="0.3">
      <c r="CX698" s="48">
        <f t="shared" ca="1" si="970"/>
        <v>54</v>
      </c>
      <c r="CY698" s="48" t="str">
        <f t="shared" ca="1" si="969"/>
        <v>MASTRO</v>
      </c>
      <c r="CZ698" s="48" t="e">
        <f t="shared" ca="1" si="972"/>
        <v>#N/A</v>
      </c>
      <c r="DA698" s="48" t="str">
        <f t="shared" ca="1" si="976"/>
        <v/>
      </c>
      <c r="DB698" s="48" t="str">
        <f t="shared" ca="1" si="954"/>
        <v/>
      </c>
      <c r="DC698" s="48" t="str">
        <f t="shared" ca="1" si="973"/>
        <v/>
      </c>
      <c r="DD698" s="48" t="str">
        <f t="shared" ca="1" si="974"/>
        <v/>
      </c>
      <c r="DE698" s="48" t="str">
        <f t="shared" ca="1" si="975"/>
        <v/>
      </c>
      <c r="DF698" s="48">
        <f ca="1">IF(AND(CX698=$DF$1,CX698&lt;&gt;""),0,IF(AND(DB698&lt;&gt;"",OR(DB697&lt;&gt;"",DB699&lt;&gt;"")),MAX($DF$2:DF697)+1,0))</f>
        <v>0</v>
      </c>
    </row>
    <row r="699" spans="102:110" x14ac:dyDescent="0.3">
      <c r="CX699" s="48">
        <f t="shared" ca="1" si="970"/>
        <v>54</v>
      </c>
      <c r="CY699" s="48" t="str">
        <f t="shared" ca="1" si="969"/>
        <v>MASTRO</v>
      </c>
      <c r="CZ699" s="48" t="e">
        <f t="shared" ca="1" si="972"/>
        <v>#N/A</v>
      </c>
      <c r="DA699" s="48" t="str">
        <f t="shared" ca="1" si="976"/>
        <v/>
      </c>
      <c r="DB699" s="48" t="str">
        <f t="shared" ca="1" si="954"/>
        <v/>
      </c>
      <c r="DC699" s="48" t="str">
        <f t="shared" ca="1" si="973"/>
        <v/>
      </c>
      <c r="DD699" s="48" t="str">
        <f t="shared" ca="1" si="974"/>
        <v/>
      </c>
      <c r="DE699" s="48" t="str">
        <f t="shared" ca="1" si="975"/>
        <v/>
      </c>
      <c r="DF699" s="48">
        <f ca="1">IF(AND(CX699=$DF$1,CX699&lt;&gt;""),0,IF(AND(DB699&lt;&gt;"",OR(DB698&lt;&gt;"",DB700&lt;&gt;"")),MAX($DF$2:DF698)+1,0))</f>
        <v>0</v>
      </c>
    </row>
    <row r="700" spans="102:110" x14ac:dyDescent="0.3">
      <c r="CX700" s="48">
        <f t="shared" ca="1" si="970"/>
        <v>54</v>
      </c>
      <c r="CY700" s="48" t="str">
        <f t="shared" ca="1" si="969"/>
        <v>MASTRO</v>
      </c>
      <c r="CZ700" s="48" t="e">
        <f t="shared" ca="1" si="972"/>
        <v>#N/A</v>
      </c>
      <c r="DA700" s="48" t="str">
        <f t="shared" ca="1" si="976"/>
        <v/>
      </c>
      <c r="DB700" s="48" t="str">
        <f t="shared" ca="1" si="954"/>
        <v/>
      </c>
      <c r="DC700" s="48" t="str">
        <f t="shared" ca="1" si="973"/>
        <v/>
      </c>
      <c r="DD700" s="48" t="str">
        <f t="shared" ca="1" si="974"/>
        <v/>
      </c>
      <c r="DE700" s="48" t="str">
        <f t="shared" ca="1" si="975"/>
        <v/>
      </c>
      <c r="DF700" s="48">
        <f ca="1">IF(AND(CX700=$DF$1,CX700&lt;&gt;""),0,IF(AND(DB700&lt;&gt;"",OR(DB699&lt;&gt;"",DB701&lt;&gt;"")),MAX($DF$2:DF699)+1,0))</f>
        <v>0</v>
      </c>
    </row>
    <row r="701" spans="102:110" x14ac:dyDescent="0.3">
      <c r="CX701" s="48">
        <f t="shared" ca="1" si="970"/>
        <v>54</v>
      </c>
      <c r="CY701" s="48" t="str">
        <f t="shared" ca="1" si="969"/>
        <v>MASTRO</v>
      </c>
      <c r="CZ701" s="48" t="e">
        <f t="shared" ca="1" si="972"/>
        <v>#N/A</v>
      </c>
      <c r="DA701" s="48" t="str">
        <f t="shared" ca="1" si="976"/>
        <v/>
      </c>
      <c r="DB701" s="48" t="str">
        <f t="shared" ca="1" si="954"/>
        <v/>
      </c>
      <c r="DC701" s="48" t="str">
        <f t="shared" ca="1" si="973"/>
        <v/>
      </c>
      <c r="DD701" s="48" t="str">
        <f t="shared" ca="1" si="974"/>
        <v/>
      </c>
      <c r="DE701" s="48" t="str">
        <f t="shared" ca="1" si="975"/>
        <v/>
      </c>
      <c r="DF701" s="48">
        <f ca="1">IF(AND(CX701=$DF$1,CX701&lt;&gt;""),0,IF(AND(DB701&lt;&gt;"",OR(DB700&lt;&gt;"",DB702&lt;&gt;"")),MAX($DF$2:DF700)+1,0))</f>
        <v>0</v>
      </c>
    </row>
    <row r="702" spans="102:110" x14ac:dyDescent="0.3">
      <c r="CX702" s="48">
        <f t="shared" ca="1" si="970"/>
        <v>54</v>
      </c>
      <c r="CY702" s="48" t="str">
        <f t="shared" ca="1" si="969"/>
        <v>MASTRO</v>
      </c>
      <c r="CZ702" s="48" t="e">
        <f t="shared" ca="1" si="972"/>
        <v>#N/A</v>
      </c>
      <c r="DA702" s="48" t="str">
        <f t="shared" ca="1" si="976"/>
        <v/>
      </c>
      <c r="DB702" s="48" t="str">
        <f t="shared" ca="1" si="954"/>
        <v/>
      </c>
      <c r="DC702" s="48" t="str">
        <f t="shared" ca="1" si="973"/>
        <v/>
      </c>
      <c r="DD702" s="48" t="str">
        <f t="shared" ca="1" si="974"/>
        <v/>
      </c>
      <c r="DE702" s="48" t="str">
        <f t="shared" ca="1" si="975"/>
        <v/>
      </c>
      <c r="DF702" s="48">
        <f ca="1">IF(AND(CX702=$DF$1,CX702&lt;&gt;""),0,IF(AND(DB702&lt;&gt;"",OR(DB701&lt;&gt;"",DB703&lt;&gt;"")),MAX($DF$2:DF701)+1,0))</f>
        <v>0</v>
      </c>
    </row>
    <row r="703" spans="102:110" x14ac:dyDescent="0.3">
      <c r="CX703" s="48">
        <f t="shared" ca="1" si="970"/>
        <v>54</v>
      </c>
      <c r="CY703" s="48" t="str">
        <f t="shared" ca="1" si="969"/>
        <v>MASTRO</v>
      </c>
      <c r="CZ703" s="48" t="e">
        <f t="shared" ca="1" si="972"/>
        <v>#N/A</v>
      </c>
      <c r="DA703" s="48" t="str">
        <f t="shared" ca="1" si="976"/>
        <v/>
      </c>
      <c r="DB703" s="48" t="str">
        <f t="shared" ca="1" si="954"/>
        <v/>
      </c>
      <c r="DC703" s="48" t="str">
        <f t="shared" ca="1" si="973"/>
        <v/>
      </c>
      <c r="DD703" s="48" t="str">
        <f t="shared" ca="1" si="974"/>
        <v/>
      </c>
      <c r="DE703" s="48" t="str">
        <f t="shared" ca="1" si="975"/>
        <v/>
      </c>
      <c r="DF703" s="48">
        <f ca="1">IF(AND(CX703=$DF$1,CX703&lt;&gt;""),0,IF(AND(DB703&lt;&gt;"",OR(DB702&lt;&gt;"",DB704&lt;&gt;"")),MAX($DF$2:DF702)+1,0))</f>
        <v>0</v>
      </c>
    </row>
    <row r="704" spans="102:110" x14ac:dyDescent="0.3">
      <c r="CY704" s="48" t="s">
        <v>500</v>
      </c>
      <c r="DB704" s="48" t="str">
        <f t="shared" ref="DB704" ca="1" si="977">IF(CX703=$DF$1,"","MASTRO")</f>
        <v>MASTRO</v>
      </c>
      <c r="DF704" s="48">
        <f ca="1">IF(AND(CX704=$DF$1,CX704&lt;&gt;""),0,IF(AND(DB704&lt;&gt;"",OR(DB703&lt;&gt;"",DB705&lt;&gt;"")),MAX($DF$2:DF703)+1,0))</f>
        <v>0</v>
      </c>
    </row>
    <row r="705" spans="102:110" x14ac:dyDescent="0.3">
      <c r="CX705" s="48">
        <f ca="1">$FF$57</f>
        <v>55</v>
      </c>
      <c r="CY705" s="48" t="str">
        <f t="shared" ref="CY705:CY716" ca="1" si="978">IF(ISERROR(INDEX($CV$3:$CX$1302,MATCH(CX705,$CW$3:$CW$1302,0),1)),"MASTRO",INDEX($CV$3:$CX$1302,MATCH(CX705,$CW$3:$CW$1302,0),1))</f>
        <v>MASTRO</v>
      </c>
      <c r="DA705" s="48" t="str">
        <f>IF(CY704="MASTRO","Conto n.","")</f>
        <v>Conto n.</v>
      </c>
      <c r="DB705" s="48" t="str">
        <f ca="1">IF(CY705=0,"",INDEX(PDC,MATCH(DC705,DEN_PDC,0),1))</f>
        <v/>
      </c>
      <c r="DC705" s="48" t="str">
        <f ca="1">IF(OR(CY705=0,CY705="mastro"),"",CY705)</f>
        <v/>
      </c>
      <c r="DD705" s="48" t="str">
        <f ca="1">IF(AND($DA$2=TRUE,OR(INDEX(PDC,MATCH($DC705,DEN_PDC,0),4)="A",INDEX(PDC,MATCH($DC705,DEN_PDC,0),4)="D/A"),SUMIFS(AVERE,DEN_G,"="&amp;$DC705,DATA,"&lt;="&amp;FINE_AC,DATA,"&gt;="&amp;INIZIO_AC)&gt;SUMIFS(DARE,DEN_G,"="&amp;$DC705,DATA,"&lt;="&amp;FINE_AC,DATA,"&gt;="&amp;INIZIO_AC)),CONCATENATE("s ",FIXED(ABS(SUMIFS(AVERE,DEN_G,"="&amp;$DC705,DATA,"&lt;="&amp;FINE_AC,DATA,"&gt;="&amp;INIZIO_AC)-SUMIFS(DARE,DEN_G,"="&amp;$DC705,DATA,"&lt;="&amp;FINE_AC,DATA,"&gt;="&amp;INIZIO_AC)),2)),"")</f>
        <v/>
      </c>
      <c r="DE705" s="48" t="str">
        <f ca="1">IF(AND($DA$2=TRUE,OR(INDEX(PDC,MATCH($DC705,DEN_PDC,0),4)="D",INDEX(PDC,MATCH($DC705,DEN_PDC,0),4)="D/A"),SUMIFS(DARE,DEN_G,"="&amp;$DC705,DATA,"&lt;="&amp;FINE_AC,DATA,"&gt;="&amp;INIZIO_AC)&gt;SUMIFS(AVERE,DEN_G,"="&amp;$DC705,DATA,"&lt;="&amp;FINE_AC,DATA,"&gt;="&amp;INIZIO_AC)),CONCATENATE("s ",FIXED(ABS(SUMIFS(DARE,DEN_G,"="&amp;$DC705,DATA,"&lt;="&amp;FINE_AC,DATA,"&gt;="&amp;INIZIO_AC)-SUMIFS(AVERE,DEN_G,"="&amp;$DC705,DATA,"&lt;="&amp;FINE_AC,DATA,"&gt;="&amp;INIZIO_AC)),2)),"")</f>
        <v/>
      </c>
      <c r="DF705" s="48">
        <f ca="1">IF(AND(CX705=$DF$1,CX705&lt;&gt;""),0,IF(AND(DB705&lt;&gt;"",OR(DB704&lt;&gt;"",DB706&lt;&gt;"")),MAX($DF$2:DF704)+1,0))</f>
        <v>0</v>
      </c>
    </row>
    <row r="706" spans="102:110" x14ac:dyDescent="0.3">
      <c r="CX706" s="48">
        <f t="shared" ref="CX706:CX716" ca="1" si="979">$FF$57</f>
        <v>55</v>
      </c>
      <c r="CY706" s="48" t="str">
        <f t="shared" ca="1" si="978"/>
        <v>MASTRO</v>
      </c>
      <c r="DA706" s="48" t="str">
        <f ca="1">IF(DB705="","","Num. riga")</f>
        <v/>
      </c>
      <c r="DB706" s="48" t="str">
        <f t="shared" ref="DB706" ca="1" si="980">IF(DB705="","","Data")</f>
        <v/>
      </c>
      <c r="DC706" s="48" t="str">
        <f ca="1">IF(DB705="","","Operazioni")</f>
        <v/>
      </c>
      <c r="DD706" s="48" t="str">
        <f ca="1">IF(DB705="","","Dare        ")</f>
        <v/>
      </c>
      <c r="DE706" s="48" t="str">
        <f ca="1">IF(DB705="","","Avere        ")</f>
        <v/>
      </c>
      <c r="DF706" s="48">
        <f ca="1">IF(AND(CX706=$DF$1,CX706&lt;&gt;""),0,IF(AND(DB706&lt;&gt;"",OR(DB705&lt;&gt;"",DB707&lt;&gt;"")),MAX($DF$2:DF705)+1,0))</f>
        <v>0</v>
      </c>
    </row>
    <row r="707" spans="102:110" x14ac:dyDescent="0.3">
      <c r="CX707" s="48">
        <f t="shared" ca="1" si="979"/>
        <v>55</v>
      </c>
      <c r="CY707" s="48" t="str">
        <f t="shared" ca="1" si="978"/>
        <v>MASTRO</v>
      </c>
      <c r="CZ707" s="48" t="e">
        <f t="shared" ref="CZ707:CZ716" ca="1" si="981">SUM(MATCH($CY707,INDIRECT(ADDRESS(SUM(CZ706)+3,54)&amp;":"&amp;ADDRESS(400,54)),0),CZ706)</f>
        <v>#N/A</v>
      </c>
      <c r="DA707" s="48" t="str">
        <f ca="1">IFERROR(INDEX(LIBRO_GIORNALE,CZ707,1),"")</f>
        <v/>
      </c>
      <c r="DB707" s="48" t="str">
        <f t="shared" ca="1" si="954"/>
        <v/>
      </c>
      <c r="DC707" s="48" t="str">
        <f t="shared" ref="DC707:DC716" ca="1" si="982">IF(IFERROR(INDEX(LIBRO_GIORNALE,CZ707,4),"")=0,"manca la descrizione dell'operazione",IFERROR(INDEX(LIBRO_GIORNALE,CZ707,4),""))</f>
        <v/>
      </c>
      <c r="DD707" s="48" t="str">
        <f t="shared" ref="DD707:DD716" ca="1" si="983">IFERROR(IF(INDEX(LIBRO_GIORNALE,CZ707,5)&gt;0,INDEX(LIBRO_GIORNALE,CZ707,5),""),"")</f>
        <v/>
      </c>
      <c r="DE707" s="48" t="str">
        <f t="shared" ref="DE707:DE716" ca="1" si="984">IFERROR(IF(INDEX(LIBRO_GIORNALE,CZ707,6)&gt;0,INDEX(LIBRO_GIORNALE,CZ707,6),""),"")</f>
        <v/>
      </c>
      <c r="DF707" s="48">
        <f ca="1">IF(AND(CX707=$DF$1,CX707&lt;&gt;""),0,IF(AND(DB707&lt;&gt;"",OR(DB706&lt;&gt;"",DB708&lt;&gt;"")),MAX($DF$2:DF706)+1,0))</f>
        <v>0</v>
      </c>
    </row>
    <row r="708" spans="102:110" x14ac:dyDescent="0.3">
      <c r="CX708" s="48">
        <f t="shared" ca="1" si="979"/>
        <v>55</v>
      </c>
      <c r="CY708" s="48" t="str">
        <f t="shared" ca="1" si="978"/>
        <v>MASTRO</v>
      </c>
      <c r="CZ708" s="48" t="e">
        <f t="shared" ca="1" si="981"/>
        <v>#N/A</v>
      </c>
      <c r="DA708" s="48" t="str">
        <f t="shared" ref="DA708:DA716" ca="1" si="985">IFERROR(INDEX(LIBRO_GIORNALE,CZ708,1),"")</f>
        <v/>
      </c>
      <c r="DB708" s="48" t="str">
        <f t="shared" ca="1" si="954"/>
        <v/>
      </c>
      <c r="DC708" s="48" t="str">
        <f t="shared" ca="1" si="982"/>
        <v/>
      </c>
      <c r="DD708" s="48" t="str">
        <f t="shared" ca="1" si="983"/>
        <v/>
      </c>
      <c r="DE708" s="48" t="str">
        <f t="shared" ca="1" si="984"/>
        <v/>
      </c>
      <c r="DF708" s="48">
        <f ca="1">IF(AND(CX708=$DF$1,CX708&lt;&gt;""),0,IF(AND(DB708&lt;&gt;"",OR(DB707&lt;&gt;"",DB709&lt;&gt;"")),MAX($DF$2:DF707)+1,0))</f>
        <v>0</v>
      </c>
    </row>
    <row r="709" spans="102:110" x14ac:dyDescent="0.3">
      <c r="CX709" s="48">
        <f t="shared" ca="1" si="979"/>
        <v>55</v>
      </c>
      <c r="CY709" s="48" t="str">
        <f t="shared" ca="1" si="978"/>
        <v>MASTRO</v>
      </c>
      <c r="CZ709" s="48" t="e">
        <f t="shared" ca="1" si="981"/>
        <v>#N/A</v>
      </c>
      <c r="DA709" s="48" t="str">
        <f t="shared" ca="1" si="985"/>
        <v/>
      </c>
      <c r="DB709" s="48" t="str">
        <f t="shared" ca="1" si="954"/>
        <v/>
      </c>
      <c r="DC709" s="48" t="str">
        <f t="shared" ca="1" si="982"/>
        <v/>
      </c>
      <c r="DD709" s="48" t="str">
        <f t="shared" ca="1" si="983"/>
        <v/>
      </c>
      <c r="DE709" s="48" t="str">
        <f t="shared" ca="1" si="984"/>
        <v/>
      </c>
      <c r="DF709" s="48">
        <f ca="1">IF(AND(CX709=$DF$1,CX709&lt;&gt;""),0,IF(AND(DB709&lt;&gt;"",OR(DB708&lt;&gt;"",DB710&lt;&gt;"")),MAX($DF$2:DF708)+1,0))</f>
        <v>0</v>
      </c>
    </row>
    <row r="710" spans="102:110" x14ac:dyDescent="0.3">
      <c r="CX710" s="48">
        <f t="shared" ca="1" si="979"/>
        <v>55</v>
      </c>
      <c r="CY710" s="48" t="str">
        <f t="shared" ca="1" si="978"/>
        <v>MASTRO</v>
      </c>
      <c r="CZ710" s="48" t="e">
        <f t="shared" ca="1" si="981"/>
        <v>#N/A</v>
      </c>
      <c r="DA710" s="48" t="str">
        <f t="shared" ca="1" si="985"/>
        <v/>
      </c>
      <c r="DB710" s="48" t="str">
        <f t="shared" ca="1" si="954"/>
        <v/>
      </c>
      <c r="DC710" s="48" t="str">
        <f t="shared" ca="1" si="982"/>
        <v/>
      </c>
      <c r="DD710" s="48" t="str">
        <f t="shared" ca="1" si="983"/>
        <v/>
      </c>
      <c r="DE710" s="48" t="str">
        <f t="shared" ca="1" si="984"/>
        <v/>
      </c>
      <c r="DF710" s="48">
        <f ca="1">IF(AND(CX710=$DF$1,CX710&lt;&gt;""),0,IF(AND(DB710&lt;&gt;"",OR(DB709&lt;&gt;"",DB711&lt;&gt;"")),MAX($DF$2:DF709)+1,0))</f>
        <v>0</v>
      </c>
    </row>
    <row r="711" spans="102:110" x14ac:dyDescent="0.3">
      <c r="CX711" s="48">
        <f t="shared" ca="1" si="979"/>
        <v>55</v>
      </c>
      <c r="CY711" s="48" t="str">
        <f t="shared" ca="1" si="978"/>
        <v>MASTRO</v>
      </c>
      <c r="CZ711" s="48" t="e">
        <f t="shared" ca="1" si="981"/>
        <v>#N/A</v>
      </c>
      <c r="DA711" s="48" t="str">
        <f t="shared" ca="1" si="985"/>
        <v/>
      </c>
      <c r="DB711" s="48" t="str">
        <f t="shared" ca="1" si="954"/>
        <v/>
      </c>
      <c r="DC711" s="48" t="str">
        <f t="shared" ca="1" si="982"/>
        <v/>
      </c>
      <c r="DD711" s="48" t="str">
        <f t="shared" ca="1" si="983"/>
        <v/>
      </c>
      <c r="DE711" s="48" t="str">
        <f t="shared" ca="1" si="984"/>
        <v/>
      </c>
      <c r="DF711" s="48">
        <f ca="1">IF(AND(CX711=$DF$1,CX711&lt;&gt;""),0,IF(AND(DB711&lt;&gt;"",OR(DB710&lt;&gt;"",DB712&lt;&gt;"")),MAX($DF$2:DF710)+1,0))</f>
        <v>0</v>
      </c>
    </row>
    <row r="712" spans="102:110" x14ac:dyDescent="0.3">
      <c r="CX712" s="48">
        <f t="shared" ca="1" si="979"/>
        <v>55</v>
      </c>
      <c r="CY712" s="48" t="str">
        <f t="shared" ca="1" si="978"/>
        <v>MASTRO</v>
      </c>
      <c r="CZ712" s="48" t="e">
        <f t="shared" ca="1" si="981"/>
        <v>#N/A</v>
      </c>
      <c r="DA712" s="48" t="str">
        <f t="shared" ca="1" si="985"/>
        <v/>
      </c>
      <c r="DB712" s="48" t="str">
        <f t="shared" ca="1" si="954"/>
        <v/>
      </c>
      <c r="DC712" s="48" t="str">
        <f t="shared" ca="1" si="982"/>
        <v/>
      </c>
      <c r="DD712" s="48" t="str">
        <f t="shared" ca="1" si="983"/>
        <v/>
      </c>
      <c r="DE712" s="48" t="str">
        <f t="shared" ca="1" si="984"/>
        <v/>
      </c>
      <c r="DF712" s="48">
        <f ca="1">IF(AND(CX712=$DF$1,CX712&lt;&gt;""),0,IF(AND(DB712&lt;&gt;"",OR(DB711&lt;&gt;"",DB713&lt;&gt;"")),MAX($DF$2:DF711)+1,0))</f>
        <v>0</v>
      </c>
    </row>
    <row r="713" spans="102:110" x14ac:dyDescent="0.3">
      <c r="CX713" s="48">
        <f t="shared" ca="1" si="979"/>
        <v>55</v>
      </c>
      <c r="CY713" s="48" t="str">
        <f t="shared" ca="1" si="978"/>
        <v>MASTRO</v>
      </c>
      <c r="CZ713" s="48" t="e">
        <f t="shared" ca="1" si="981"/>
        <v>#N/A</v>
      </c>
      <c r="DA713" s="48" t="str">
        <f t="shared" ca="1" si="985"/>
        <v/>
      </c>
      <c r="DB713" s="48" t="str">
        <f t="shared" ca="1" si="954"/>
        <v/>
      </c>
      <c r="DC713" s="48" t="str">
        <f t="shared" ca="1" si="982"/>
        <v/>
      </c>
      <c r="DD713" s="48" t="str">
        <f t="shared" ca="1" si="983"/>
        <v/>
      </c>
      <c r="DE713" s="48" t="str">
        <f t="shared" ca="1" si="984"/>
        <v/>
      </c>
      <c r="DF713" s="48">
        <f ca="1">IF(AND(CX713=$DF$1,CX713&lt;&gt;""),0,IF(AND(DB713&lt;&gt;"",OR(DB712&lt;&gt;"",DB714&lt;&gt;"")),MAX($DF$2:DF712)+1,0))</f>
        <v>0</v>
      </c>
    </row>
    <row r="714" spans="102:110" x14ac:dyDescent="0.3">
      <c r="CX714" s="48">
        <f t="shared" ca="1" si="979"/>
        <v>55</v>
      </c>
      <c r="CY714" s="48" t="str">
        <f t="shared" ca="1" si="978"/>
        <v>MASTRO</v>
      </c>
      <c r="CZ714" s="48" t="e">
        <f t="shared" ca="1" si="981"/>
        <v>#N/A</v>
      </c>
      <c r="DA714" s="48" t="str">
        <f t="shared" ca="1" si="985"/>
        <v/>
      </c>
      <c r="DB714" s="48" t="str">
        <f t="shared" ca="1" si="954"/>
        <v/>
      </c>
      <c r="DC714" s="48" t="str">
        <f t="shared" ca="1" si="982"/>
        <v/>
      </c>
      <c r="DD714" s="48" t="str">
        <f t="shared" ca="1" si="983"/>
        <v/>
      </c>
      <c r="DE714" s="48" t="str">
        <f t="shared" ca="1" si="984"/>
        <v/>
      </c>
      <c r="DF714" s="48">
        <f ca="1">IF(AND(CX714=$DF$1,CX714&lt;&gt;""),0,IF(AND(DB714&lt;&gt;"",OR(DB713&lt;&gt;"",DB715&lt;&gt;"")),MAX($DF$2:DF713)+1,0))</f>
        <v>0</v>
      </c>
    </row>
    <row r="715" spans="102:110" x14ac:dyDescent="0.3">
      <c r="CX715" s="48">
        <f t="shared" ca="1" si="979"/>
        <v>55</v>
      </c>
      <c r="CY715" s="48" t="str">
        <f t="shared" ca="1" si="978"/>
        <v>MASTRO</v>
      </c>
      <c r="CZ715" s="48" t="e">
        <f t="shared" ca="1" si="981"/>
        <v>#N/A</v>
      </c>
      <c r="DA715" s="48" t="str">
        <f t="shared" ca="1" si="985"/>
        <v/>
      </c>
      <c r="DB715" s="48" t="str">
        <f t="shared" ca="1" si="954"/>
        <v/>
      </c>
      <c r="DC715" s="48" t="str">
        <f t="shared" ca="1" si="982"/>
        <v/>
      </c>
      <c r="DD715" s="48" t="str">
        <f t="shared" ca="1" si="983"/>
        <v/>
      </c>
      <c r="DE715" s="48" t="str">
        <f t="shared" ca="1" si="984"/>
        <v/>
      </c>
      <c r="DF715" s="48">
        <f ca="1">IF(AND(CX715=$DF$1,CX715&lt;&gt;""),0,IF(AND(DB715&lt;&gt;"",OR(DB714&lt;&gt;"",DB716&lt;&gt;"")),MAX($DF$2:DF714)+1,0))</f>
        <v>0</v>
      </c>
    </row>
    <row r="716" spans="102:110" x14ac:dyDescent="0.3">
      <c r="CX716" s="48">
        <f t="shared" ca="1" si="979"/>
        <v>55</v>
      </c>
      <c r="CY716" s="48" t="str">
        <f t="shared" ca="1" si="978"/>
        <v>MASTRO</v>
      </c>
      <c r="CZ716" s="48" t="e">
        <f t="shared" ca="1" si="981"/>
        <v>#N/A</v>
      </c>
      <c r="DA716" s="48" t="str">
        <f t="shared" ca="1" si="985"/>
        <v/>
      </c>
      <c r="DB716" s="48" t="str">
        <f t="shared" ca="1" si="954"/>
        <v/>
      </c>
      <c r="DC716" s="48" t="str">
        <f t="shared" ca="1" si="982"/>
        <v/>
      </c>
      <c r="DD716" s="48" t="str">
        <f t="shared" ca="1" si="983"/>
        <v/>
      </c>
      <c r="DE716" s="48" t="str">
        <f t="shared" ca="1" si="984"/>
        <v/>
      </c>
      <c r="DF716" s="48">
        <f ca="1">IF(AND(CX716=$DF$1,CX716&lt;&gt;""),0,IF(AND(DB716&lt;&gt;"",OR(DB715&lt;&gt;"",DB717&lt;&gt;"")),MAX($DF$2:DF715)+1,0))</f>
        <v>0</v>
      </c>
    </row>
    <row r="717" spans="102:110" x14ac:dyDescent="0.3">
      <c r="CY717" s="48" t="s">
        <v>500</v>
      </c>
      <c r="DB717" s="48" t="str">
        <f t="shared" ref="DB717" ca="1" si="986">IF(CX716=$DF$1,"","MASTRO")</f>
        <v>MASTRO</v>
      </c>
      <c r="DF717" s="48">
        <f ca="1">IF(AND(CX717=$DF$1,CX717&lt;&gt;""),0,IF(AND(DB717&lt;&gt;"",OR(DB716&lt;&gt;"",DB718&lt;&gt;"")),MAX($DF$2:DF716)+1,0))</f>
        <v>0</v>
      </c>
    </row>
    <row r="718" spans="102:110" x14ac:dyDescent="0.3">
      <c r="CX718" s="48">
        <f ca="1">$FF$58</f>
        <v>56</v>
      </c>
      <c r="CY718" s="48" t="str">
        <f t="shared" ref="CY718:CY729" ca="1" si="987">IF(ISERROR(INDEX($CV$3:$CX$1302,MATCH(CX718,$CW$3:$CW$1302,0),1)),"MASTRO",INDEX($CV$3:$CX$1302,MATCH(CX718,$CW$3:$CW$1302,0),1))</f>
        <v>MASTRO</v>
      </c>
      <c r="DA718" s="48" t="str">
        <f>IF(CY717="MASTRO","Conto n.","")</f>
        <v>Conto n.</v>
      </c>
      <c r="DB718" s="48" t="str">
        <f ca="1">IF(CY718=0,"",INDEX(PDC,MATCH(DC718,DEN_PDC,0),1))</f>
        <v/>
      </c>
      <c r="DC718" s="48" t="str">
        <f ca="1">IF(OR(CY718=0,CY718="mastro"),"",CY718)</f>
        <v/>
      </c>
      <c r="DD718" s="48" t="str">
        <f ca="1">IF(AND($DA$2=TRUE,OR(INDEX(PDC,MATCH($DC718,DEN_PDC,0),4)="A",INDEX(PDC,MATCH($DC718,DEN_PDC,0),4)="D/A"),SUMIFS(AVERE,DEN_G,"="&amp;$DC718,DATA,"&lt;="&amp;FINE_AC,DATA,"&gt;="&amp;INIZIO_AC)&gt;SUMIFS(DARE,DEN_G,"="&amp;$DC718,DATA,"&lt;="&amp;FINE_AC,DATA,"&gt;="&amp;INIZIO_AC)),CONCATENATE("s ",FIXED(ABS(SUMIFS(AVERE,DEN_G,"="&amp;$DC718,DATA,"&lt;="&amp;FINE_AC,DATA,"&gt;="&amp;INIZIO_AC)-SUMIFS(DARE,DEN_G,"="&amp;$DC718,DATA,"&lt;="&amp;FINE_AC,DATA,"&gt;="&amp;INIZIO_AC)),2)),"")</f>
        <v/>
      </c>
      <c r="DE718" s="48" t="str">
        <f ca="1">IF(AND($DA$2=TRUE,OR(INDEX(PDC,MATCH($DC718,DEN_PDC,0),4)="D",INDEX(PDC,MATCH($DC718,DEN_PDC,0),4)="D/A"),SUMIFS(DARE,DEN_G,"="&amp;$DC718,DATA,"&lt;="&amp;FINE_AC,DATA,"&gt;="&amp;INIZIO_AC)&gt;SUMIFS(AVERE,DEN_G,"="&amp;$DC718,DATA,"&lt;="&amp;FINE_AC,DATA,"&gt;="&amp;INIZIO_AC)),CONCATENATE("s ",FIXED(ABS(SUMIFS(DARE,DEN_G,"="&amp;$DC718,DATA,"&lt;="&amp;FINE_AC,DATA,"&gt;="&amp;INIZIO_AC)-SUMIFS(AVERE,DEN_G,"="&amp;$DC718,DATA,"&lt;="&amp;FINE_AC,DATA,"&gt;="&amp;INIZIO_AC)),2)),"")</f>
        <v/>
      </c>
      <c r="DF718" s="48">
        <f ca="1">IF(AND(CX718=$DF$1,CX718&lt;&gt;""),0,IF(AND(DB718&lt;&gt;"",OR(DB717&lt;&gt;"",DB719&lt;&gt;"")),MAX($DF$2:DF717)+1,0))</f>
        <v>0</v>
      </c>
    </row>
    <row r="719" spans="102:110" x14ac:dyDescent="0.3">
      <c r="CX719" s="48">
        <f t="shared" ref="CX719:CX729" ca="1" si="988">$FF$58</f>
        <v>56</v>
      </c>
      <c r="CY719" s="48" t="str">
        <f t="shared" ca="1" si="987"/>
        <v>MASTRO</v>
      </c>
      <c r="DA719" s="48" t="str">
        <f ca="1">IF(DB718="","","Num. riga")</f>
        <v/>
      </c>
      <c r="DB719" s="48" t="str">
        <f t="shared" ref="DB719" ca="1" si="989">IF(DB718="","","Data")</f>
        <v/>
      </c>
      <c r="DC719" s="48" t="str">
        <f ca="1">IF(DB718="","","Operazioni")</f>
        <v/>
      </c>
      <c r="DD719" s="48" t="str">
        <f ca="1">IF(DB718="","","Dare        ")</f>
        <v/>
      </c>
      <c r="DE719" s="48" t="str">
        <f ca="1">IF(DB718="","","Avere        ")</f>
        <v/>
      </c>
      <c r="DF719" s="48">
        <f ca="1">IF(AND(CX719=$DF$1,CX719&lt;&gt;""),0,IF(AND(DB719&lt;&gt;"",OR(DB718&lt;&gt;"",DB720&lt;&gt;"")),MAX($DF$2:DF718)+1,0))</f>
        <v>0</v>
      </c>
    </row>
    <row r="720" spans="102:110" x14ac:dyDescent="0.3">
      <c r="CX720" s="48">
        <f t="shared" ca="1" si="988"/>
        <v>56</v>
      </c>
      <c r="CY720" s="48" t="str">
        <f t="shared" ca="1" si="987"/>
        <v>MASTRO</v>
      </c>
      <c r="CZ720" s="48" t="e">
        <f t="shared" ref="CZ720:CZ729" ca="1" si="990">SUM(MATCH($CY720,INDIRECT(ADDRESS(SUM(CZ719)+3,54)&amp;":"&amp;ADDRESS(400,54)),0),CZ719)</f>
        <v>#N/A</v>
      </c>
      <c r="DA720" s="48" t="str">
        <f ca="1">IFERROR(INDEX(LIBRO_GIORNALE,CZ720,1),"")</f>
        <v/>
      </c>
      <c r="DB720" s="48" t="str">
        <f t="shared" ca="1" si="954"/>
        <v/>
      </c>
      <c r="DC720" s="48" t="str">
        <f t="shared" ref="DC720:DC729" ca="1" si="991">IF(IFERROR(INDEX(LIBRO_GIORNALE,CZ720,4),"")=0,"manca la descrizione dell'operazione",IFERROR(INDEX(LIBRO_GIORNALE,CZ720,4),""))</f>
        <v/>
      </c>
      <c r="DD720" s="48" t="str">
        <f t="shared" ref="DD720:DD729" ca="1" si="992">IFERROR(IF(INDEX(LIBRO_GIORNALE,CZ720,5)&gt;0,INDEX(LIBRO_GIORNALE,CZ720,5),""),"")</f>
        <v/>
      </c>
      <c r="DE720" s="48" t="str">
        <f t="shared" ref="DE720:DE729" ca="1" si="993">IFERROR(IF(INDEX(LIBRO_GIORNALE,CZ720,6)&gt;0,INDEX(LIBRO_GIORNALE,CZ720,6),""),"")</f>
        <v/>
      </c>
      <c r="DF720" s="48">
        <f ca="1">IF(AND(CX720=$DF$1,CX720&lt;&gt;""),0,IF(AND(DB720&lt;&gt;"",OR(DB719&lt;&gt;"",DB721&lt;&gt;"")),MAX($DF$2:DF719)+1,0))</f>
        <v>0</v>
      </c>
    </row>
    <row r="721" spans="102:110" x14ac:dyDescent="0.3">
      <c r="CX721" s="48">
        <f t="shared" ca="1" si="988"/>
        <v>56</v>
      </c>
      <c r="CY721" s="48" t="str">
        <f t="shared" ca="1" si="987"/>
        <v>MASTRO</v>
      </c>
      <c r="CZ721" s="48" t="e">
        <f t="shared" ca="1" si="990"/>
        <v>#N/A</v>
      </c>
      <c r="DA721" s="48" t="str">
        <f t="shared" ref="DA721:DA729" ca="1" si="994">IFERROR(INDEX(LIBRO_GIORNALE,CZ721,1),"")</f>
        <v/>
      </c>
      <c r="DB721" s="48" t="str">
        <f t="shared" ca="1" si="954"/>
        <v/>
      </c>
      <c r="DC721" s="48" t="str">
        <f t="shared" ca="1" si="991"/>
        <v/>
      </c>
      <c r="DD721" s="48" t="str">
        <f t="shared" ca="1" si="992"/>
        <v/>
      </c>
      <c r="DE721" s="48" t="str">
        <f t="shared" ca="1" si="993"/>
        <v/>
      </c>
      <c r="DF721" s="48">
        <f ca="1">IF(AND(CX721=$DF$1,CX721&lt;&gt;""),0,IF(AND(DB721&lt;&gt;"",OR(DB720&lt;&gt;"",DB722&lt;&gt;"")),MAX($DF$2:DF720)+1,0))</f>
        <v>0</v>
      </c>
    </row>
    <row r="722" spans="102:110" x14ac:dyDescent="0.3">
      <c r="CX722" s="48">
        <f t="shared" ca="1" si="988"/>
        <v>56</v>
      </c>
      <c r="CY722" s="48" t="str">
        <f t="shared" ca="1" si="987"/>
        <v>MASTRO</v>
      </c>
      <c r="CZ722" s="48" t="e">
        <f t="shared" ca="1" si="990"/>
        <v>#N/A</v>
      </c>
      <c r="DA722" s="48" t="str">
        <f t="shared" ca="1" si="994"/>
        <v/>
      </c>
      <c r="DB722" s="48" t="str">
        <f t="shared" ca="1" si="954"/>
        <v/>
      </c>
      <c r="DC722" s="48" t="str">
        <f t="shared" ca="1" si="991"/>
        <v/>
      </c>
      <c r="DD722" s="48" t="str">
        <f t="shared" ca="1" si="992"/>
        <v/>
      </c>
      <c r="DE722" s="48" t="str">
        <f t="shared" ca="1" si="993"/>
        <v/>
      </c>
      <c r="DF722" s="48">
        <f ca="1">IF(AND(CX722=$DF$1,CX722&lt;&gt;""),0,IF(AND(DB722&lt;&gt;"",OR(DB721&lt;&gt;"",DB723&lt;&gt;"")),MAX($DF$2:DF721)+1,0))</f>
        <v>0</v>
      </c>
    </row>
    <row r="723" spans="102:110" x14ac:dyDescent="0.3">
      <c r="CX723" s="48">
        <f t="shared" ca="1" si="988"/>
        <v>56</v>
      </c>
      <c r="CY723" s="48" t="str">
        <f t="shared" ca="1" si="987"/>
        <v>MASTRO</v>
      </c>
      <c r="CZ723" s="48" t="e">
        <f t="shared" ca="1" si="990"/>
        <v>#N/A</v>
      </c>
      <c r="DA723" s="48" t="str">
        <f t="shared" ca="1" si="994"/>
        <v/>
      </c>
      <c r="DB723" s="48" t="str">
        <f t="shared" ca="1" si="954"/>
        <v/>
      </c>
      <c r="DC723" s="48" t="str">
        <f t="shared" ca="1" si="991"/>
        <v/>
      </c>
      <c r="DD723" s="48" t="str">
        <f t="shared" ca="1" si="992"/>
        <v/>
      </c>
      <c r="DE723" s="48" t="str">
        <f t="shared" ca="1" si="993"/>
        <v/>
      </c>
      <c r="DF723" s="48">
        <f ca="1">IF(AND(CX723=$DF$1,CX723&lt;&gt;""),0,IF(AND(DB723&lt;&gt;"",OR(DB722&lt;&gt;"",DB724&lt;&gt;"")),MAX($DF$2:DF722)+1,0))</f>
        <v>0</v>
      </c>
    </row>
    <row r="724" spans="102:110" x14ac:dyDescent="0.3">
      <c r="CX724" s="48">
        <f t="shared" ca="1" si="988"/>
        <v>56</v>
      </c>
      <c r="CY724" s="48" t="str">
        <f t="shared" ca="1" si="987"/>
        <v>MASTRO</v>
      </c>
      <c r="CZ724" s="48" t="e">
        <f t="shared" ca="1" si="990"/>
        <v>#N/A</v>
      </c>
      <c r="DA724" s="48" t="str">
        <f t="shared" ca="1" si="994"/>
        <v/>
      </c>
      <c r="DB724" s="48" t="str">
        <f t="shared" ca="1" si="954"/>
        <v/>
      </c>
      <c r="DC724" s="48" t="str">
        <f t="shared" ca="1" si="991"/>
        <v/>
      </c>
      <c r="DD724" s="48" t="str">
        <f t="shared" ca="1" si="992"/>
        <v/>
      </c>
      <c r="DE724" s="48" t="str">
        <f t="shared" ca="1" si="993"/>
        <v/>
      </c>
      <c r="DF724" s="48">
        <f ca="1">IF(AND(CX724=$DF$1,CX724&lt;&gt;""),0,IF(AND(DB724&lt;&gt;"",OR(DB723&lt;&gt;"",DB725&lt;&gt;"")),MAX($DF$2:DF723)+1,0))</f>
        <v>0</v>
      </c>
    </row>
    <row r="725" spans="102:110" x14ac:dyDescent="0.3">
      <c r="CX725" s="48">
        <f t="shared" ca="1" si="988"/>
        <v>56</v>
      </c>
      <c r="CY725" s="48" t="str">
        <f t="shared" ca="1" si="987"/>
        <v>MASTRO</v>
      </c>
      <c r="CZ725" s="48" t="e">
        <f t="shared" ca="1" si="990"/>
        <v>#N/A</v>
      </c>
      <c r="DA725" s="48" t="str">
        <f t="shared" ca="1" si="994"/>
        <v/>
      </c>
      <c r="DB725" s="48" t="str">
        <f t="shared" ca="1" si="954"/>
        <v/>
      </c>
      <c r="DC725" s="48" t="str">
        <f t="shared" ca="1" si="991"/>
        <v/>
      </c>
      <c r="DD725" s="48" t="str">
        <f t="shared" ca="1" si="992"/>
        <v/>
      </c>
      <c r="DE725" s="48" t="str">
        <f t="shared" ca="1" si="993"/>
        <v/>
      </c>
      <c r="DF725" s="48">
        <f ca="1">IF(AND(CX725=$DF$1,CX725&lt;&gt;""),0,IF(AND(DB725&lt;&gt;"",OR(DB724&lt;&gt;"",DB726&lt;&gt;"")),MAX($DF$2:DF724)+1,0))</f>
        <v>0</v>
      </c>
    </row>
    <row r="726" spans="102:110" x14ac:dyDescent="0.3">
      <c r="CX726" s="48">
        <f t="shared" ca="1" si="988"/>
        <v>56</v>
      </c>
      <c r="CY726" s="48" t="str">
        <f t="shared" ca="1" si="987"/>
        <v>MASTRO</v>
      </c>
      <c r="CZ726" s="48" t="e">
        <f t="shared" ca="1" si="990"/>
        <v>#N/A</v>
      </c>
      <c r="DA726" s="48" t="str">
        <f t="shared" ca="1" si="994"/>
        <v/>
      </c>
      <c r="DB726" s="48" t="str">
        <f t="shared" ca="1" si="954"/>
        <v/>
      </c>
      <c r="DC726" s="48" t="str">
        <f t="shared" ca="1" si="991"/>
        <v/>
      </c>
      <c r="DD726" s="48" t="str">
        <f t="shared" ca="1" si="992"/>
        <v/>
      </c>
      <c r="DE726" s="48" t="str">
        <f t="shared" ca="1" si="993"/>
        <v/>
      </c>
      <c r="DF726" s="48">
        <f ca="1">IF(AND(CX726=$DF$1,CX726&lt;&gt;""),0,IF(AND(DB726&lt;&gt;"",OR(DB725&lt;&gt;"",DB727&lt;&gt;"")),MAX($DF$2:DF725)+1,0))</f>
        <v>0</v>
      </c>
    </row>
    <row r="727" spans="102:110" x14ac:dyDescent="0.3">
      <c r="CX727" s="48">
        <f t="shared" ca="1" si="988"/>
        <v>56</v>
      </c>
      <c r="CY727" s="48" t="str">
        <f t="shared" ca="1" si="987"/>
        <v>MASTRO</v>
      </c>
      <c r="CZ727" s="48" t="e">
        <f t="shared" ca="1" si="990"/>
        <v>#N/A</v>
      </c>
      <c r="DA727" s="48" t="str">
        <f t="shared" ca="1" si="994"/>
        <v/>
      </c>
      <c r="DB727" s="48" t="str">
        <f t="shared" ca="1" si="954"/>
        <v/>
      </c>
      <c r="DC727" s="48" t="str">
        <f t="shared" ca="1" si="991"/>
        <v/>
      </c>
      <c r="DD727" s="48" t="str">
        <f t="shared" ca="1" si="992"/>
        <v/>
      </c>
      <c r="DE727" s="48" t="str">
        <f t="shared" ca="1" si="993"/>
        <v/>
      </c>
      <c r="DF727" s="48">
        <f ca="1">IF(AND(CX727=$DF$1,CX727&lt;&gt;""),0,IF(AND(DB727&lt;&gt;"",OR(DB726&lt;&gt;"",DB728&lt;&gt;"")),MAX($DF$2:DF726)+1,0))</f>
        <v>0</v>
      </c>
    </row>
    <row r="728" spans="102:110" x14ac:dyDescent="0.3">
      <c r="CX728" s="48">
        <f t="shared" ca="1" si="988"/>
        <v>56</v>
      </c>
      <c r="CY728" s="48" t="str">
        <f t="shared" ca="1" si="987"/>
        <v>MASTRO</v>
      </c>
      <c r="CZ728" s="48" t="e">
        <f t="shared" ca="1" si="990"/>
        <v>#N/A</v>
      </c>
      <c r="DA728" s="48" t="str">
        <f t="shared" ca="1" si="994"/>
        <v/>
      </c>
      <c r="DB728" s="48" t="str">
        <f t="shared" ca="1" si="954"/>
        <v/>
      </c>
      <c r="DC728" s="48" t="str">
        <f t="shared" ca="1" si="991"/>
        <v/>
      </c>
      <c r="DD728" s="48" t="str">
        <f t="shared" ca="1" si="992"/>
        <v/>
      </c>
      <c r="DE728" s="48" t="str">
        <f t="shared" ca="1" si="993"/>
        <v/>
      </c>
      <c r="DF728" s="48">
        <f ca="1">IF(AND(CX728=$DF$1,CX728&lt;&gt;""),0,IF(AND(DB728&lt;&gt;"",OR(DB727&lt;&gt;"",DB729&lt;&gt;"")),MAX($DF$2:DF727)+1,0))</f>
        <v>0</v>
      </c>
    </row>
    <row r="729" spans="102:110" x14ac:dyDescent="0.3">
      <c r="CX729" s="48">
        <f t="shared" ca="1" si="988"/>
        <v>56</v>
      </c>
      <c r="CY729" s="48" t="str">
        <f t="shared" ca="1" si="987"/>
        <v>MASTRO</v>
      </c>
      <c r="CZ729" s="48" t="e">
        <f t="shared" ca="1" si="990"/>
        <v>#N/A</v>
      </c>
      <c r="DA729" s="48" t="str">
        <f t="shared" ca="1" si="994"/>
        <v/>
      </c>
      <c r="DB729" s="48" t="str">
        <f t="shared" ca="1" si="954"/>
        <v/>
      </c>
      <c r="DC729" s="48" t="str">
        <f t="shared" ca="1" si="991"/>
        <v/>
      </c>
      <c r="DD729" s="48" t="str">
        <f t="shared" ca="1" si="992"/>
        <v/>
      </c>
      <c r="DE729" s="48" t="str">
        <f t="shared" ca="1" si="993"/>
        <v/>
      </c>
      <c r="DF729" s="48">
        <f ca="1">IF(AND(CX729=$DF$1,CX729&lt;&gt;""),0,IF(AND(DB729&lt;&gt;"",OR(DB728&lt;&gt;"",DB730&lt;&gt;"")),MAX($DF$2:DF728)+1,0))</f>
        <v>0</v>
      </c>
    </row>
    <row r="730" spans="102:110" x14ac:dyDescent="0.3">
      <c r="CY730" s="48" t="s">
        <v>500</v>
      </c>
      <c r="DB730" s="48" t="str">
        <f t="shared" ref="DB730" ca="1" si="995">IF(CX729=$DF$1,"","MASTRO")</f>
        <v>MASTRO</v>
      </c>
      <c r="DF730" s="48">
        <f ca="1">IF(AND(CX730=$DF$1,CX730&lt;&gt;""),0,IF(AND(DB730&lt;&gt;"",OR(DB729&lt;&gt;"",DB731&lt;&gt;"")),MAX($DF$2:DF729)+1,0))</f>
        <v>0</v>
      </c>
    </row>
    <row r="731" spans="102:110" x14ac:dyDescent="0.3">
      <c r="CX731" s="48">
        <f ca="1">$FF$59</f>
        <v>57</v>
      </c>
      <c r="CY731" s="48" t="str">
        <f t="shared" ref="CY731:CY742" ca="1" si="996">IF(ISERROR(INDEX($CV$3:$CX$1302,MATCH(CX731,$CW$3:$CW$1302,0),1)),"MASTRO",INDEX($CV$3:$CX$1302,MATCH(CX731,$CW$3:$CW$1302,0),1))</f>
        <v>MASTRO</v>
      </c>
      <c r="DA731" s="48" t="str">
        <f>IF(CY730="MASTRO","Conto n.","")</f>
        <v>Conto n.</v>
      </c>
      <c r="DB731" s="48" t="str">
        <f ca="1">IF(CY731=0,"",INDEX(PDC,MATCH(DC731,DEN_PDC,0),1))</f>
        <v/>
      </c>
      <c r="DC731" s="48" t="str">
        <f ca="1">IF(OR(CY731=0,CY731="mastro"),"",CY731)</f>
        <v/>
      </c>
      <c r="DD731" s="48" t="str">
        <f ca="1">IF(AND($DA$2=TRUE,OR(INDEX(PDC,MATCH($DC731,DEN_PDC,0),4)="A",INDEX(PDC,MATCH($DC731,DEN_PDC,0),4)="D/A"),SUMIFS(AVERE,DEN_G,"="&amp;$DC731,DATA,"&lt;="&amp;FINE_AC,DATA,"&gt;="&amp;INIZIO_AC)&gt;SUMIFS(DARE,DEN_G,"="&amp;$DC731,DATA,"&lt;="&amp;FINE_AC,DATA,"&gt;="&amp;INIZIO_AC)),CONCATENATE("s ",FIXED(ABS(SUMIFS(AVERE,DEN_G,"="&amp;$DC731,DATA,"&lt;="&amp;FINE_AC,DATA,"&gt;="&amp;INIZIO_AC)-SUMIFS(DARE,DEN_G,"="&amp;$DC731,DATA,"&lt;="&amp;FINE_AC,DATA,"&gt;="&amp;INIZIO_AC)),2)),"")</f>
        <v/>
      </c>
      <c r="DE731" s="48" t="str">
        <f ca="1">IF(AND($DA$2=TRUE,OR(INDEX(PDC,MATCH($DC731,DEN_PDC,0),4)="D",INDEX(PDC,MATCH($DC731,DEN_PDC,0),4)="D/A"),SUMIFS(DARE,DEN_G,"="&amp;$DC731,DATA,"&lt;="&amp;FINE_AC,DATA,"&gt;="&amp;INIZIO_AC)&gt;SUMIFS(AVERE,DEN_G,"="&amp;$DC731,DATA,"&lt;="&amp;FINE_AC,DATA,"&gt;="&amp;INIZIO_AC)),CONCATENATE("s ",FIXED(ABS(SUMIFS(DARE,DEN_G,"="&amp;$DC731,DATA,"&lt;="&amp;FINE_AC,DATA,"&gt;="&amp;INIZIO_AC)-SUMIFS(AVERE,DEN_G,"="&amp;$DC731,DATA,"&lt;="&amp;FINE_AC,DATA,"&gt;="&amp;INIZIO_AC)),2)),"")</f>
        <v/>
      </c>
      <c r="DF731" s="48">
        <f ca="1">IF(AND(CX731=$DF$1,CX731&lt;&gt;""),0,IF(AND(DB731&lt;&gt;"",OR(DB730&lt;&gt;"",DB732&lt;&gt;"")),MAX($DF$2:DF730)+1,0))</f>
        <v>0</v>
      </c>
    </row>
    <row r="732" spans="102:110" x14ac:dyDescent="0.3">
      <c r="CX732" s="48">
        <f t="shared" ref="CX732:CX742" ca="1" si="997">$FF$59</f>
        <v>57</v>
      </c>
      <c r="CY732" s="48" t="str">
        <f t="shared" ca="1" si="996"/>
        <v>MASTRO</v>
      </c>
      <c r="DA732" s="48" t="str">
        <f ca="1">IF(DB731="","","Num. riga")</f>
        <v/>
      </c>
      <c r="DB732" s="48" t="str">
        <f t="shared" ref="DB732" ca="1" si="998">IF(DB731="","","Data")</f>
        <v/>
      </c>
      <c r="DC732" s="48" t="str">
        <f ca="1">IF(DB731="","","Operazioni")</f>
        <v/>
      </c>
      <c r="DD732" s="48" t="str">
        <f ca="1">IF(DB731="","","Dare        ")</f>
        <v/>
      </c>
      <c r="DE732" s="48" t="str">
        <f ca="1">IF(DB731="","","Avere        ")</f>
        <v/>
      </c>
      <c r="DF732" s="48">
        <f ca="1">IF(AND(CX732=$DF$1,CX732&lt;&gt;""),0,IF(AND(DB732&lt;&gt;"",OR(DB731&lt;&gt;"",DB733&lt;&gt;"")),MAX($DF$2:DF731)+1,0))</f>
        <v>0</v>
      </c>
    </row>
    <row r="733" spans="102:110" x14ac:dyDescent="0.3">
      <c r="CX733" s="48">
        <f t="shared" ca="1" si="997"/>
        <v>57</v>
      </c>
      <c r="CY733" s="48" t="str">
        <f t="shared" ca="1" si="996"/>
        <v>MASTRO</v>
      </c>
      <c r="CZ733" s="48" t="e">
        <f t="shared" ref="CZ733:CZ742" ca="1" si="999">SUM(MATCH($CY733,INDIRECT(ADDRESS(SUM(CZ732)+3,54)&amp;":"&amp;ADDRESS(400,54)),0),CZ732)</f>
        <v>#N/A</v>
      </c>
      <c r="DA733" s="48" t="str">
        <f ca="1">IFERROR(INDEX(LIBRO_GIORNALE,CZ733,1),"")</f>
        <v/>
      </c>
      <c r="DB733" s="48" t="str">
        <f t="shared" ref="DB733:DB794" ca="1" si="1000">IF(RIGHT(TEXT(IFERROR(INDEX(LIBRO_GIORNALE,CZ733,2),""),"gg/mm/aa"),1)="a",TEXT(IFERROR(INDEX(LIBRO_GIORNALE,CZ733,2),""),"dd/mm/yy"),TEXT(IFERROR(INDEX(LIBRO_GIORNALE,CZ733,2),""),"gg/mm/aa"))</f>
        <v/>
      </c>
      <c r="DC733" s="48" t="str">
        <f t="shared" ref="DC733:DC742" ca="1" si="1001">IF(IFERROR(INDEX(LIBRO_GIORNALE,CZ733,4),"")=0,"manca la descrizione dell'operazione",IFERROR(INDEX(LIBRO_GIORNALE,CZ733,4),""))</f>
        <v/>
      </c>
      <c r="DD733" s="48" t="str">
        <f t="shared" ref="DD733:DD742" ca="1" si="1002">IFERROR(IF(INDEX(LIBRO_GIORNALE,CZ733,5)&gt;0,INDEX(LIBRO_GIORNALE,CZ733,5),""),"")</f>
        <v/>
      </c>
      <c r="DE733" s="48" t="str">
        <f t="shared" ref="DE733:DE742" ca="1" si="1003">IFERROR(IF(INDEX(LIBRO_GIORNALE,CZ733,6)&gt;0,INDEX(LIBRO_GIORNALE,CZ733,6),""),"")</f>
        <v/>
      </c>
      <c r="DF733" s="48">
        <f ca="1">IF(AND(CX733=$DF$1,CX733&lt;&gt;""),0,IF(AND(DB733&lt;&gt;"",OR(DB732&lt;&gt;"",DB734&lt;&gt;"")),MAX($DF$2:DF732)+1,0))</f>
        <v>0</v>
      </c>
    </row>
    <row r="734" spans="102:110" x14ac:dyDescent="0.3">
      <c r="CX734" s="48">
        <f t="shared" ca="1" si="997"/>
        <v>57</v>
      </c>
      <c r="CY734" s="48" t="str">
        <f t="shared" ca="1" si="996"/>
        <v>MASTRO</v>
      </c>
      <c r="CZ734" s="48" t="e">
        <f t="shared" ca="1" si="999"/>
        <v>#N/A</v>
      </c>
      <c r="DA734" s="48" t="str">
        <f t="shared" ref="DA734:DA742" ca="1" si="1004">IFERROR(INDEX(LIBRO_GIORNALE,CZ734,1),"")</f>
        <v/>
      </c>
      <c r="DB734" s="48" t="str">
        <f t="shared" ca="1" si="1000"/>
        <v/>
      </c>
      <c r="DC734" s="48" t="str">
        <f t="shared" ca="1" si="1001"/>
        <v/>
      </c>
      <c r="DD734" s="48" t="str">
        <f t="shared" ca="1" si="1002"/>
        <v/>
      </c>
      <c r="DE734" s="48" t="str">
        <f t="shared" ca="1" si="1003"/>
        <v/>
      </c>
      <c r="DF734" s="48">
        <f ca="1">IF(AND(CX734=$DF$1,CX734&lt;&gt;""),0,IF(AND(DB734&lt;&gt;"",OR(DB733&lt;&gt;"",DB735&lt;&gt;"")),MAX($DF$2:DF733)+1,0))</f>
        <v>0</v>
      </c>
    </row>
    <row r="735" spans="102:110" x14ac:dyDescent="0.3">
      <c r="CX735" s="48">
        <f t="shared" ca="1" si="997"/>
        <v>57</v>
      </c>
      <c r="CY735" s="48" t="str">
        <f t="shared" ca="1" si="996"/>
        <v>MASTRO</v>
      </c>
      <c r="CZ735" s="48" t="e">
        <f t="shared" ca="1" si="999"/>
        <v>#N/A</v>
      </c>
      <c r="DA735" s="48" t="str">
        <f t="shared" ca="1" si="1004"/>
        <v/>
      </c>
      <c r="DB735" s="48" t="str">
        <f t="shared" ca="1" si="1000"/>
        <v/>
      </c>
      <c r="DC735" s="48" t="str">
        <f t="shared" ca="1" si="1001"/>
        <v/>
      </c>
      <c r="DD735" s="48" t="str">
        <f t="shared" ca="1" si="1002"/>
        <v/>
      </c>
      <c r="DE735" s="48" t="str">
        <f t="shared" ca="1" si="1003"/>
        <v/>
      </c>
      <c r="DF735" s="48">
        <f ca="1">IF(AND(CX735=$DF$1,CX735&lt;&gt;""),0,IF(AND(DB735&lt;&gt;"",OR(DB734&lt;&gt;"",DB736&lt;&gt;"")),MAX($DF$2:DF734)+1,0))</f>
        <v>0</v>
      </c>
    </row>
    <row r="736" spans="102:110" x14ac:dyDescent="0.3">
      <c r="CX736" s="48">
        <f t="shared" ca="1" si="997"/>
        <v>57</v>
      </c>
      <c r="CY736" s="48" t="str">
        <f t="shared" ca="1" si="996"/>
        <v>MASTRO</v>
      </c>
      <c r="CZ736" s="48" t="e">
        <f t="shared" ca="1" si="999"/>
        <v>#N/A</v>
      </c>
      <c r="DA736" s="48" t="str">
        <f t="shared" ca="1" si="1004"/>
        <v/>
      </c>
      <c r="DB736" s="48" t="str">
        <f t="shared" ca="1" si="1000"/>
        <v/>
      </c>
      <c r="DC736" s="48" t="str">
        <f t="shared" ca="1" si="1001"/>
        <v/>
      </c>
      <c r="DD736" s="48" t="str">
        <f t="shared" ca="1" si="1002"/>
        <v/>
      </c>
      <c r="DE736" s="48" t="str">
        <f t="shared" ca="1" si="1003"/>
        <v/>
      </c>
      <c r="DF736" s="48">
        <f ca="1">IF(AND(CX736=$DF$1,CX736&lt;&gt;""),0,IF(AND(DB736&lt;&gt;"",OR(DB735&lt;&gt;"",DB737&lt;&gt;"")),MAX($DF$2:DF735)+1,0))</f>
        <v>0</v>
      </c>
    </row>
    <row r="737" spans="102:110" x14ac:dyDescent="0.3">
      <c r="CX737" s="48">
        <f t="shared" ca="1" si="997"/>
        <v>57</v>
      </c>
      <c r="CY737" s="48" t="str">
        <f t="shared" ca="1" si="996"/>
        <v>MASTRO</v>
      </c>
      <c r="CZ737" s="48" t="e">
        <f t="shared" ca="1" si="999"/>
        <v>#N/A</v>
      </c>
      <c r="DA737" s="48" t="str">
        <f t="shared" ca="1" si="1004"/>
        <v/>
      </c>
      <c r="DB737" s="48" t="str">
        <f t="shared" ca="1" si="1000"/>
        <v/>
      </c>
      <c r="DC737" s="48" t="str">
        <f t="shared" ca="1" si="1001"/>
        <v/>
      </c>
      <c r="DD737" s="48" t="str">
        <f t="shared" ca="1" si="1002"/>
        <v/>
      </c>
      <c r="DE737" s="48" t="str">
        <f t="shared" ca="1" si="1003"/>
        <v/>
      </c>
      <c r="DF737" s="48">
        <f ca="1">IF(AND(CX737=$DF$1,CX737&lt;&gt;""),0,IF(AND(DB737&lt;&gt;"",OR(DB736&lt;&gt;"",DB738&lt;&gt;"")),MAX($DF$2:DF736)+1,0))</f>
        <v>0</v>
      </c>
    </row>
    <row r="738" spans="102:110" x14ac:dyDescent="0.3">
      <c r="CX738" s="48">
        <f t="shared" ca="1" si="997"/>
        <v>57</v>
      </c>
      <c r="CY738" s="48" t="str">
        <f t="shared" ca="1" si="996"/>
        <v>MASTRO</v>
      </c>
      <c r="CZ738" s="48" t="e">
        <f t="shared" ca="1" si="999"/>
        <v>#N/A</v>
      </c>
      <c r="DA738" s="48" t="str">
        <f t="shared" ca="1" si="1004"/>
        <v/>
      </c>
      <c r="DB738" s="48" t="str">
        <f t="shared" ca="1" si="1000"/>
        <v/>
      </c>
      <c r="DC738" s="48" t="str">
        <f t="shared" ca="1" si="1001"/>
        <v/>
      </c>
      <c r="DD738" s="48" t="str">
        <f t="shared" ca="1" si="1002"/>
        <v/>
      </c>
      <c r="DE738" s="48" t="str">
        <f t="shared" ca="1" si="1003"/>
        <v/>
      </c>
      <c r="DF738" s="48">
        <f ca="1">IF(AND(CX738=$DF$1,CX738&lt;&gt;""),0,IF(AND(DB738&lt;&gt;"",OR(DB737&lt;&gt;"",DB739&lt;&gt;"")),MAX($DF$2:DF737)+1,0))</f>
        <v>0</v>
      </c>
    </row>
    <row r="739" spans="102:110" x14ac:dyDescent="0.3">
      <c r="CX739" s="48">
        <f t="shared" ca="1" si="997"/>
        <v>57</v>
      </c>
      <c r="CY739" s="48" t="str">
        <f t="shared" ca="1" si="996"/>
        <v>MASTRO</v>
      </c>
      <c r="CZ739" s="48" t="e">
        <f t="shared" ca="1" si="999"/>
        <v>#N/A</v>
      </c>
      <c r="DA739" s="48" t="str">
        <f t="shared" ca="1" si="1004"/>
        <v/>
      </c>
      <c r="DB739" s="48" t="str">
        <f t="shared" ca="1" si="1000"/>
        <v/>
      </c>
      <c r="DC739" s="48" t="str">
        <f t="shared" ca="1" si="1001"/>
        <v/>
      </c>
      <c r="DD739" s="48" t="str">
        <f t="shared" ca="1" si="1002"/>
        <v/>
      </c>
      <c r="DE739" s="48" t="str">
        <f t="shared" ca="1" si="1003"/>
        <v/>
      </c>
      <c r="DF739" s="48">
        <f ca="1">IF(AND(CX739=$DF$1,CX739&lt;&gt;""),0,IF(AND(DB739&lt;&gt;"",OR(DB738&lt;&gt;"",DB740&lt;&gt;"")),MAX($DF$2:DF738)+1,0))</f>
        <v>0</v>
      </c>
    </row>
    <row r="740" spans="102:110" x14ac:dyDescent="0.3">
      <c r="CX740" s="48">
        <f t="shared" ca="1" si="997"/>
        <v>57</v>
      </c>
      <c r="CY740" s="48" t="str">
        <f t="shared" ca="1" si="996"/>
        <v>MASTRO</v>
      </c>
      <c r="CZ740" s="48" t="e">
        <f t="shared" ca="1" si="999"/>
        <v>#N/A</v>
      </c>
      <c r="DA740" s="48" t="str">
        <f t="shared" ca="1" si="1004"/>
        <v/>
      </c>
      <c r="DB740" s="48" t="str">
        <f t="shared" ca="1" si="1000"/>
        <v/>
      </c>
      <c r="DC740" s="48" t="str">
        <f t="shared" ca="1" si="1001"/>
        <v/>
      </c>
      <c r="DD740" s="48" t="str">
        <f t="shared" ca="1" si="1002"/>
        <v/>
      </c>
      <c r="DE740" s="48" t="str">
        <f t="shared" ca="1" si="1003"/>
        <v/>
      </c>
      <c r="DF740" s="48">
        <f ca="1">IF(AND(CX740=$DF$1,CX740&lt;&gt;""),0,IF(AND(DB740&lt;&gt;"",OR(DB739&lt;&gt;"",DB741&lt;&gt;"")),MAX($DF$2:DF739)+1,0))</f>
        <v>0</v>
      </c>
    </row>
    <row r="741" spans="102:110" x14ac:dyDescent="0.3">
      <c r="CX741" s="48">
        <f t="shared" ca="1" si="997"/>
        <v>57</v>
      </c>
      <c r="CY741" s="48" t="str">
        <f t="shared" ca="1" si="996"/>
        <v>MASTRO</v>
      </c>
      <c r="CZ741" s="48" t="e">
        <f t="shared" ca="1" si="999"/>
        <v>#N/A</v>
      </c>
      <c r="DA741" s="48" t="str">
        <f t="shared" ca="1" si="1004"/>
        <v/>
      </c>
      <c r="DB741" s="48" t="str">
        <f t="shared" ca="1" si="1000"/>
        <v/>
      </c>
      <c r="DC741" s="48" t="str">
        <f t="shared" ca="1" si="1001"/>
        <v/>
      </c>
      <c r="DD741" s="48" t="str">
        <f t="shared" ca="1" si="1002"/>
        <v/>
      </c>
      <c r="DE741" s="48" t="str">
        <f t="shared" ca="1" si="1003"/>
        <v/>
      </c>
      <c r="DF741" s="48">
        <f ca="1">IF(AND(CX741=$DF$1,CX741&lt;&gt;""),0,IF(AND(DB741&lt;&gt;"",OR(DB740&lt;&gt;"",DB742&lt;&gt;"")),MAX($DF$2:DF740)+1,0))</f>
        <v>0</v>
      </c>
    </row>
    <row r="742" spans="102:110" x14ac:dyDescent="0.3">
      <c r="CX742" s="48">
        <f t="shared" ca="1" si="997"/>
        <v>57</v>
      </c>
      <c r="CY742" s="48" t="str">
        <f t="shared" ca="1" si="996"/>
        <v>MASTRO</v>
      </c>
      <c r="CZ742" s="48" t="e">
        <f t="shared" ca="1" si="999"/>
        <v>#N/A</v>
      </c>
      <c r="DA742" s="48" t="str">
        <f t="shared" ca="1" si="1004"/>
        <v/>
      </c>
      <c r="DB742" s="48" t="str">
        <f t="shared" ca="1" si="1000"/>
        <v/>
      </c>
      <c r="DC742" s="48" t="str">
        <f t="shared" ca="1" si="1001"/>
        <v/>
      </c>
      <c r="DD742" s="48" t="str">
        <f t="shared" ca="1" si="1002"/>
        <v/>
      </c>
      <c r="DE742" s="48" t="str">
        <f t="shared" ca="1" si="1003"/>
        <v/>
      </c>
      <c r="DF742" s="48">
        <f ca="1">IF(AND(CX742=$DF$1,CX742&lt;&gt;""),0,IF(AND(DB742&lt;&gt;"",OR(DB741&lt;&gt;"",DB743&lt;&gt;"")),MAX($DF$2:DF741)+1,0))</f>
        <v>0</v>
      </c>
    </row>
    <row r="743" spans="102:110" x14ac:dyDescent="0.3">
      <c r="CY743" s="48" t="s">
        <v>500</v>
      </c>
      <c r="DB743" s="48" t="str">
        <f t="shared" ref="DB743" ca="1" si="1005">IF(CX742=$DF$1,"","MASTRO")</f>
        <v>MASTRO</v>
      </c>
      <c r="DF743" s="48">
        <f ca="1">IF(AND(CX743=$DF$1,CX743&lt;&gt;""),0,IF(AND(DB743&lt;&gt;"",OR(DB742&lt;&gt;"",DB744&lt;&gt;"")),MAX($DF$2:DF742)+1,0))</f>
        <v>0</v>
      </c>
    </row>
    <row r="744" spans="102:110" x14ac:dyDescent="0.3">
      <c r="CX744" s="48">
        <f ca="1">$FF$60</f>
        <v>58</v>
      </c>
      <c r="CY744" s="48" t="str">
        <f t="shared" ref="CY744:CY755" ca="1" si="1006">IF(ISERROR(INDEX($CV$3:$CX$1302,MATCH(CX744,$CW$3:$CW$1302,0),1)),"MASTRO",INDEX($CV$3:$CX$1302,MATCH(CX744,$CW$3:$CW$1302,0),1))</f>
        <v>MASTRO</v>
      </c>
      <c r="DA744" s="48" t="str">
        <f>IF(CY743="MASTRO","Conto n.","")</f>
        <v>Conto n.</v>
      </c>
      <c r="DB744" s="48" t="str">
        <f ca="1">IF(CY744=0,"",INDEX(PDC,MATCH(DC744,DEN_PDC,0),1))</f>
        <v/>
      </c>
      <c r="DC744" s="48" t="str">
        <f ca="1">IF(OR(CY744=0,CY744="mastro"),"",CY744)</f>
        <v/>
      </c>
      <c r="DD744" s="48" t="str">
        <f ca="1">IF(AND($DA$2=TRUE,OR(INDEX(PDC,MATCH($DC744,DEN_PDC,0),4)="A",INDEX(PDC,MATCH($DC744,DEN_PDC,0),4)="D/A"),SUMIFS(AVERE,DEN_G,"="&amp;$DC744,DATA,"&lt;="&amp;FINE_AC,DATA,"&gt;="&amp;INIZIO_AC)&gt;SUMIFS(DARE,DEN_G,"="&amp;$DC744,DATA,"&lt;="&amp;FINE_AC,DATA,"&gt;="&amp;INIZIO_AC)),CONCATENATE("s ",FIXED(ABS(SUMIFS(AVERE,DEN_G,"="&amp;$DC744,DATA,"&lt;="&amp;FINE_AC,DATA,"&gt;="&amp;INIZIO_AC)-SUMIFS(DARE,DEN_G,"="&amp;$DC744,DATA,"&lt;="&amp;FINE_AC,DATA,"&gt;="&amp;INIZIO_AC)),2)),"")</f>
        <v/>
      </c>
      <c r="DE744" s="48" t="str">
        <f ca="1">IF(AND($DA$2=TRUE,OR(INDEX(PDC,MATCH($DC744,DEN_PDC,0),4)="D",INDEX(PDC,MATCH($DC744,DEN_PDC,0),4)="D/A"),SUMIFS(DARE,DEN_G,"="&amp;$DC744,DATA,"&lt;="&amp;FINE_AC,DATA,"&gt;="&amp;INIZIO_AC)&gt;SUMIFS(AVERE,DEN_G,"="&amp;$DC744,DATA,"&lt;="&amp;FINE_AC,DATA,"&gt;="&amp;INIZIO_AC)),CONCATENATE("s ",FIXED(ABS(SUMIFS(DARE,DEN_G,"="&amp;$DC744,DATA,"&lt;="&amp;FINE_AC,DATA,"&gt;="&amp;INIZIO_AC)-SUMIFS(AVERE,DEN_G,"="&amp;$DC744,DATA,"&lt;="&amp;FINE_AC,DATA,"&gt;="&amp;INIZIO_AC)),2)),"")</f>
        <v/>
      </c>
      <c r="DF744" s="48">
        <f ca="1">IF(AND(CX744=$DF$1,CX744&lt;&gt;""),0,IF(AND(DB744&lt;&gt;"",OR(DB743&lt;&gt;"",DB745&lt;&gt;"")),MAX($DF$2:DF743)+1,0))</f>
        <v>0</v>
      </c>
    </row>
    <row r="745" spans="102:110" x14ac:dyDescent="0.3">
      <c r="CX745" s="48">
        <f t="shared" ref="CX745:CX755" ca="1" si="1007">$FF$60</f>
        <v>58</v>
      </c>
      <c r="CY745" s="48" t="str">
        <f t="shared" ca="1" si="1006"/>
        <v>MASTRO</v>
      </c>
      <c r="DA745" s="48" t="str">
        <f ca="1">IF(DB744="","","Num. riga")</f>
        <v/>
      </c>
      <c r="DB745" s="48" t="str">
        <f t="shared" ref="DB745" ca="1" si="1008">IF(DB744="","","Data")</f>
        <v/>
      </c>
      <c r="DC745" s="48" t="str">
        <f ca="1">IF(DB744="","","Operazioni")</f>
        <v/>
      </c>
      <c r="DD745" s="48" t="str">
        <f ca="1">IF(DB744="","","Dare        ")</f>
        <v/>
      </c>
      <c r="DE745" s="48" t="str">
        <f ca="1">IF(DB744="","","Avere        ")</f>
        <v/>
      </c>
      <c r="DF745" s="48">
        <f ca="1">IF(AND(CX745=$DF$1,CX745&lt;&gt;""),0,IF(AND(DB745&lt;&gt;"",OR(DB744&lt;&gt;"",DB746&lt;&gt;"")),MAX($DF$2:DF744)+1,0))</f>
        <v>0</v>
      </c>
    </row>
    <row r="746" spans="102:110" x14ac:dyDescent="0.3">
      <c r="CX746" s="48">
        <f t="shared" ca="1" si="1007"/>
        <v>58</v>
      </c>
      <c r="CY746" s="48" t="str">
        <f t="shared" ca="1" si="1006"/>
        <v>MASTRO</v>
      </c>
      <c r="CZ746" s="48" t="e">
        <f t="shared" ref="CZ746:CZ755" ca="1" si="1009">SUM(MATCH($CY746,INDIRECT(ADDRESS(SUM(CZ745)+3,54)&amp;":"&amp;ADDRESS(400,54)),0),CZ745)</f>
        <v>#N/A</v>
      </c>
      <c r="DA746" s="48" t="str">
        <f ca="1">IFERROR(INDEX(LIBRO_GIORNALE,CZ746,1),"")</f>
        <v/>
      </c>
      <c r="DB746" s="48" t="str">
        <f t="shared" ca="1" si="1000"/>
        <v/>
      </c>
      <c r="DC746" s="48" t="str">
        <f t="shared" ref="DC746:DC755" ca="1" si="1010">IF(IFERROR(INDEX(LIBRO_GIORNALE,CZ746,4),"")=0,"manca la descrizione dell'operazione",IFERROR(INDEX(LIBRO_GIORNALE,CZ746,4),""))</f>
        <v/>
      </c>
      <c r="DD746" s="48" t="str">
        <f t="shared" ref="DD746:DD755" ca="1" si="1011">IFERROR(IF(INDEX(LIBRO_GIORNALE,CZ746,5)&gt;0,INDEX(LIBRO_GIORNALE,CZ746,5),""),"")</f>
        <v/>
      </c>
      <c r="DE746" s="48" t="str">
        <f t="shared" ref="DE746:DE755" ca="1" si="1012">IFERROR(IF(INDEX(LIBRO_GIORNALE,CZ746,6)&gt;0,INDEX(LIBRO_GIORNALE,CZ746,6),""),"")</f>
        <v/>
      </c>
      <c r="DF746" s="48">
        <f ca="1">IF(AND(CX746=$DF$1,CX746&lt;&gt;""),0,IF(AND(DB746&lt;&gt;"",OR(DB745&lt;&gt;"",DB747&lt;&gt;"")),MAX($DF$2:DF745)+1,0))</f>
        <v>0</v>
      </c>
    </row>
    <row r="747" spans="102:110" x14ac:dyDescent="0.3">
      <c r="CX747" s="48">
        <f t="shared" ca="1" si="1007"/>
        <v>58</v>
      </c>
      <c r="CY747" s="48" t="str">
        <f t="shared" ca="1" si="1006"/>
        <v>MASTRO</v>
      </c>
      <c r="CZ747" s="48" t="e">
        <f t="shared" ca="1" si="1009"/>
        <v>#N/A</v>
      </c>
      <c r="DA747" s="48" t="str">
        <f t="shared" ref="DA747:DA755" ca="1" si="1013">IFERROR(INDEX(LIBRO_GIORNALE,CZ747,1),"")</f>
        <v/>
      </c>
      <c r="DB747" s="48" t="str">
        <f t="shared" ca="1" si="1000"/>
        <v/>
      </c>
      <c r="DC747" s="48" t="str">
        <f t="shared" ca="1" si="1010"/>
        <v/>
      </c>
      <c r="DD747" s="48" t="str">
        <f t="shared" ca="1" si="1011"/>
        <v/>
      </c>
      <c r="DE747" s="48" t="str">
        <f t="shared" ca="1" si="1012"/>
        <v/>
      </c>
      <c r="DF747" s="48">
        <f ca="1">IF(AND(CX747=$DF$1,CX747&lt;&gt;""),0,IF(AND(DB747&lt;&gt;"",OR(DB746&lt;&gt;"",DB748&lt;&gt;"")),MAX($DF$2:DF746)+1,0))</f>
        <v>0</v>
      </c>
    </row>
    <row r="748" spans="102:110" x14ac:dyDescent="0.3">
      <c r="CX748" s="48">
        <f t="shared" ca="1" si="1007"/>
        <v>58</v>
      </c>
      <c r="CY748" s="48" t="str">
        <f t="shared" ca="1" si="1006"/>
        <v>MASTRO</v>
      </c>
      <c r="CZ748" s="48" t="e">
        <f t="shared" ca="1" si="1009"/>
        <v>#N/A</v>
      </c>
      <c r="DA748" s="48" t="str">
        <f t="shared" ca="1" si="1013"/>
        <v/>
      </c>
      <c r="DB748" s="48" t="str">
        <f t="shared" ca="1" si="1000"/>
        <v/>
      </c>
      <c r="DC748" s="48" t="str">
        <f t="shared" ca="1" si="1010"/>
        <v/>
      </c>
      <c r="DD748" s="48" t="str">
        <f t="shared" ca="1" si="1011"/>
        <v/>
      </c>
      <c r="DE748" s="48" t="str">
        <f t="shared" ca="1" si="1012"/>
        <v/>
      </c>
      <c r="DF748" s="48">
        <f ca="1">IF(AND(CX748=$DF$1,CX748&lt;&gt;""),0,IF(AND(DB748&lt;&gt;"",OR(DB747&lt;&gt;"",DB749&lt;&gt;"")),MAX($DF$2:DF747)+1,0))</f>
        <v>0</v>
      </c>
    </row>
    <row r="749" spans="102:110" x14ac:dyDescent="0.3">
      <c r="CX749" s="48">
        <f t="shared" ca="1" si="1007"/>
        <v>58</v>
      </c>
      <c r="CY749" s="48" t="str">
        <f t="shared" ca="1" si="1006"/>
        <v>MASTRO</v>
      </c>
      <c r="CZ749" s="48" t="e">
        <f t="shared" ca="1" si="1009"/>
        <v>#N/A</v>
      </c>
      <c r="DA749" s="48" t="str">
        <f t="shared" ca="1" si="1013"/>
        <v/>
      </c>
      <c r="DB749" s="48" t="str">
        <f t="shared" ca="1" si="1000"/>
        <v/>
      </c>
      <c r="DC749" s="48" t="str">
        <f t="shared" ca="1" si="1010"/>
        <v/>
      </c>
      <c r="DD749" s="48" t="str">
        <f t="shared" ca="1" si="1011"/>
        <v/>
      </c>
      <c r="DE749" s="48" t="str">
        <f t="shared" ca="1" si="1012"/>
        <v/>
      </c>
      <c r="DF749" s="48">
        <f ca="1">IF(AND(CX749=$DF$1,CX749&lt;&gt;""),0,IF(AND(DB749&lt;&gt;"",OR(DB748&lt;&gt;"",DB750&lt;&gt;"")),MAX($DF$2:DF748)+1,0))</f>
        <v>0</v>
      </c>
    </row>
    <row r="750" spans="102:110" x14ac:dyDescent="0.3">
      <c r="CX750" s="48">
        <f t="shared" ca="1" si="1007"/>
        <v>58</v>
      </c>
      <c r="CY750" s="48" t="str">
        <f t="shared" ca="1" si="1006"/>
        <v>MASTRO</v>
      </c>
      <c r="CZ750" s="48" t="e">
        <f t="shared" ca="1" si="1009"/>
        <v>#N/A</v>
      </c>
      <c r="DA750" s="48" t="str">
        <f t="shared" ca="1" si="1013"/>
        <v/>
      </c>
      <c r="DB750" s="48" t="str">
        <f t="shared" ca="1" si="1000"/>
        <v/>
      </c>
      <c r="DC750" s="48" t="str">
        <f t="shared" ca="1" si="1010"/>
        <v/>
      </c>
      <c r="DD750" s="48" t="str">
        <f t="shared" ca="1" si="1011"/>
        <v/>
      </c>
      <c r="DE750" s="48" t="str">
        <f t="shared" ca="1" si="1012"/>
        <v/>
      </c>
      <c r="DF750" s="48">
        <f ca="1">IF(AND(CX750=$DF$1,CX750&lt;&gt;""),0,IF(AND(DB750&lt;&gt;"",OR(DB749&lt;&gt;"",DB751&lt;&gt;"")),MAX($DF$2:DF749)+1,0))</f>
        <v>0</v>
      </c>
    </row>
    <row r="751" spans="102:110" x14ac:dyDescent="0.3">
      <c r="CX751" s="48">
        <f t="shared" ca="1" si="1007"/>
        <v>58</v>
      </c>
      <c r="CY751" s="48" t="str">
        <f t="shared" ca="1" si="1006"/>
        <v>MASTRO</v>
      </c>
      <c r="CZ751" s="48" t="e">
        <f t="shared" ca="1" si="1009"/>
        <v>#N/A</v>
      </c>
      <c r="DA751" s="48" t="str">
        <f t="shared" ca="1" si="1013"/>
        <v/>
      </c>
      <c r="DB751" s="48" t="str">
        <f t="shared" ca="1" si="1000"/>
        <v/>
      </c>
      <c r="DC751" s="48" t="str">
        <f t="shared" ca="1" si="1010"/>
        <v/>
      </c>
      <c r="DD751" s="48" t="str">
        <f t="shared" ca="1" si="1011"/>
        <v/>
      </c>
      <c r="DE751" s="48" t="str">
        <f t="shared" ca="1" si="1012"/>
        <v/>
      </c>
      <c r="DF751" s="48">
        <f ca="1">IF(AND(CX751=$DF$1,CX751&lt;&gt;""),0,IF(AND(DB751&lt;&gt;"",OR(DB750&lt;&gt;"",DB752&lt;&gt;"")),MAX($DF$2:DF750)+1,0))</f>
        <v>0</v>
      </c>
    </row>
    <row r="752" spans="102:110" x14ac:dyDescent="0.3">
      <c r="CX752" s="48">
        <f t="shared" ca="1" si="1007"/>
        <v>58</v>
      </c>
      <c r="CY752" s="48" t="str">
        <f t="shared" ca="1" si="1006"/>
        <v>MASTRO</v>
      </c>
      <c r="CZ752" s="48" t="e">
        <f t="shared" ca="1" si="1009"/>
        <v>#N/A</v>
      </c>
      <c r="DA752" s="48" t="str">
        <f t="shared" ca="1" si="1013"/>
        <v/>
      </c>
      <c r="DB752" s="48" t="str">
        <f t="shared" ca="1" si="1000"/>
        <v/>
      </c>
      <c r="DC752" s="48" t="str">
        <f t="shared" ca="1" si="1010"/>
        <v/>
      </c>
      <c r="DD752" s="48" t="str">
        <f t="shared" ca="1" si="1011"/>
        <v/>
      </c>
      <c r="DE752" s="48" t="str">
        <f t="shared" ca="1" si="1012"/>
        <v/>
      </c>
      <c r="DF752" s="48">
        <f ca="1">IF(AND(CX752=$DF$1,CX752&lt;&gt;""),0,IF(AND(DB752&lt;&gt;"",OR(DB751&lt;&gt;"",DB753&lt;&gt;"")),MAX($DF$2:DF751)+1,0))</f>
        <v>0</v>
      </c>
    </row>
    <row r="753" spans="102:110" x14ac:dyDescent="0.3">
      <c r="CX753" s="48">
        <f t="shared" ca="1" si="1007"/>
        <v>58</v>
      </c>
      <c r="CY753" s="48" t="str">
        <f t="shared" ca="1" si="1006"/>
        <v>MASTRO</v>
      </c>
      <c r="CZ753" s="48" t="e">
        <f t="shared" ca="1" si="1009"/>
        <v>#N/A</v>
      </c>
      <c r="DA753" s="48" t="str">
        <f t="shared" ca="1" si="1013"/>
        <v/>
      </c>
      <c r="DB753" s="48" t="str">
        <f t="shared" ca="1" si="1000"/>
        <v/>
      </c>
      <c r="DC753" s="48" t="str">
        <f t="shared" ca="1" si="1010"/>
        <v/>
      </c>
      <c r="DD753" s="48" t="str">
        <f t="shared" ca="1" si="1011"/>
        <v/>
      </c>
      <c r="DE753" s="48" t="str">
        <f t="shared" ca="1" si="1012"/>
        <v/>
      </c>
      <c r="DF753" s="48">
        <f ca="1">IF(AND(CX753=$DF$1,CX753&lt;&gt;""),0,IF(AND(DB753&lt;&gt;"",OR(DB752&lt;&gt;"",DB754&lt;&gt;"")),MAX($DF$2:DF752)+1,0))</f>
        <v>0</v>
      </c>
    </row>
    <row r="754" spans="102:110" x14ac:dyDescent="0.3">
      <c r="CX754" s="48">
        <f t="shared" ca="1" si="1007"/>
        <v>58</v>
      </c>
      <c r="CY754" s="48" t="str">
        <f t="shared" ca="1" si="1006"/>
        <v>MASTRO</v>
      </c>
      <c r="CZ754" s="48" t="e">
        <f t="shared" ca="1" si="1009"/>
        <v>#N/A</v>
      </c>
      <c r="DA754" s="48" t="str">
        <f t="shared" ca="1" si="1013"/>
        <v/>
      </c>
      <c r="DB754" s="48" t="str">
        <f t="shared" ca="1" si="1000"/>
        <v/>
      </c>
      <c r="DC754" s="48" t="str">
        <f t="shared" ca="1" si="1010"/>
        <v/>
      </c>
      <c r="DD754" s="48" t="str">
        <f t="shared" ca="1" si="1011"/>
        <v/>
      </c>
      <c r="DE754" s="48" t="str">
        <f t="shared" ca="1" si="1012"/>
        <v/>
      </c>
      <c r="DF754" s="48">
        <f ca="1">IF(AND(CX754=$DF$1,CX754&lt;&gt;""),0,IF(AND(DB754&lt;&gt;"",OR(DB753&lt;&gt;"",DB755&lt;&gt;"")),MAX($DF$2:DF753)+1,0))</f>
        <v>0</v>
      </c>
    </row>
    <row r="755" spans="102:110" x14ac:dyDescent="0.3">
      <c r="CX755" s="48">
        <f t="shared" ca="1" si="1007"/>
        <v>58</v>
      </c>
      <c r="CY755" s="48" t="str">
        <f t="shared" ca="1" si="1006"/>
        <v>MASTRO</v>
      </c>
      <c r="CZ755" s="48" t="e">
        <f t="shared" ca="1" si="1009"/>
        <v>#N/A</v>
      </c>
      <c r="DA755" s="48" t="str">
        <f t="shared" ca="1" si="1013"/>
        <v/>
      </c>
      <c r="DB755" s="48" t="str">
        <f t="shared" ca="1" si="1000"/>
        <v/>
      </c>
      <c r="DC755" s="48" t="str">
        <f t="shared" ca="1" si="1010"/>
        <v/>
      </c>
      <c r="DD755" s="48" t="str">
        <f t="shared" ca="1" si="1011"/>
        <v/>
      </c>
      <c r="DE755" s="48" t="str">
        <f t="shared" ca="1" si="1012"/>
        <v/>
      </c>
      <c r="DF755" s="48">
        <f ca="1">IF(AND(CX755=$DF$1,CX755&lt;&gt;""),0,IF(AND(DB755&lt;&gt;"",OR(DB754&lt;&gt;"",DB756&lt;&gt;"")),MAX($DF$2:DF754)+1,0))</f>
        <v>0</v>
      </c>
    </row>
    <row r="756" spans="102:110" x14ac:dyDescent="0.3">
      <c r="CY756" s="48" t="s">
        <v>500</v>
      </c>
      <c r="DB756" s="48" t="str">
        <f t="shared" ref="DB756" ca="1" si="1014">IF(CX755=$DF$1,"","MASTRO")</f>
        <v>MASTRO</v>
      </c>
      <c r="DF756" s="48">
        <f ca="1">IF(AND(CX756=$DF$1,CX756&lt;&gt;""),0,IF(AND(DB756&lt;&gt;"",OR(DB755&lt;&gt;"",DB757&lt;&gt;"")),MAX($DF$2:DF755)+1,0))</f>
        <v>0</v>
      </c>
    </row>
    <row r="757" spans="102:110" x14ac:dyDescent="0.3">
      <c r="CX757" s="48">
        <f ca="1">$FF$61</f>
        <v>59</v>
      </c>
      <c r="CY757" s="48" t="str">
        <f t="shared" ref="CY757:CY768" ca="1" si="1015">IF(ISERROR(INDEX($CV$3:$CX$1302,MATCH(CX757,$CW$3:$CW$1302,0),1)),"MASTRO",INDEX($CV$3:$CX$1302,MATCH(CX757,$CW$3:$CW$1302,0),1))</f>
        <v>MASTRO</v>
      </c>
      <c r="DA757" s="48" t="str">
        <f>IF(CY756="MASTRO","Conto n.","")</f>
        <v>Conto n.</v>
      </c>
      <c r="DB757" s="48" t="str">
        <f ca="1">IF(CY757=0,"",INDEX(PDC,MATCH(DC757,DEN_PDC,0),1))</f>
        <v/>
      </c>
      <c r="DC757" s="48" t="str">
        <f ca="1">IF(OR(CY757=0,CY757="mastro"),"",CY757)</f>
        <v/>
      </c>
      <c r="DD757" s="48" t="str">
        <f ca="1">IF(AND($DA$2=TRUE,OR(INDEX(PDC,MATCH($DC757,DEN_PDC,0),4)="A",INDEX(PDC,MATCH($DC757,DEN_PDC,0),4)="D/A"),SUMIFS(AVERE,DEN_G,"="&amp;$DC757,DATA,"&lt;="&amp;FINE_AC,DATA,"&gt;="&amp;INIZIO_AC)&gt;SUMIFS(DARE,DEN_G,"="&amp;$DC757,DATA,"&lt;="&amp;FINE_AC,DATA,"&gt;="&amp;INIZIO_AC)),CONCATENATE("s ",FIXED(ABS(SUMIFS(AVERE,DEN_G,"="&amp;$DC757,DATA,"&lt;="&amp;FINE_AC,DATA,"&gt;="&amp;INIZIO_AC)-SUMIFS(DARE,DEN_G,"="&amp;$DC757,DATA,"&lt;="&amp;FINE_AC,DATA,"&gt;="&amp;INIZIO_AC)),2)),"")</f>
        <v/>
      </c>
      <c r="DE757" s="48" t="str">
        <f ca="1">IF(AND($DA$2=TRUE,OR(INDEX(PDC,MATCH($DC757,DEN_PDC,0),4)="D",INDEX(PDC,MATCH($DC757,DEN_PDC,0),4)="D/A"),SUMIFS(DARE,DEN_G,"="&amp;$DC757,DATA,"&lt;="&amp;FINE_AC,DATA,"&gt;="&amp;INIZIO_AC)&gt;SUMIFS(AVERE,DEN_G,"="&amp;$DC757,DATA,"&lt;="&amp;FINE_AC,DATA,"&gt;="&amp;INIZIO_AC)),CONCATENATE("s ",FIXED(ABS(SUMIFS(DARE,DEN_G,"="&amp;$DC757,DATA,"&lt;="&amp;FINE_AC,DATA,"&gt;="&amp;INIZIO_AC)-SUMIFS(AVERE,DEN_G,"="&amp;$DC757,DATA,"&lt;="&amp;FINE_AC,DATA,"&gt;="&amp;INIZIO_AC)),2)),"")</f>
        <v/>
      </c>
      <c r="DF757" s="48">
        <f ca="1">IF(AND(CX757=$DF$1,CX757&lt;&gt;""),0,IF(AND(DB757&lt;&gt;"",OR(DB756&lt;&gt;"",DB758&lt;&gt;"")),MAX($DF$2:DF756)+1,0))</f>
        <v>0</v>
      </c>
    </row>
    <row r="758" spans="102:110" x14ac:dyDescent="0.3">
      <c r="CX758" s="48">
        <f t="shared" ref="CX758:CX768" ca="1" si="1016">$FF$61</f>
        <v>59</v>
      </c>
      <c r="CY758" s="48" t="str">
        <f t="shared" ca="1" si="1015"/>
        <v>MASTRO</v>
      </c>
      <c r="DA758" s="48" t="str">
        <f ca="1">IF(DB757="","","Num. riga")</f>
        <v/>
      </c>
      <c r="DB758" s="48" t="str">
        <f t="shared" ref="DB758" ca="1" si="1017">IF(DB757="","","Data")</f>
        <v/>
      </c>
      <c r="DC758" s="48" t="str">
        <f ca="1">IF(DB757="","","Operazioni")</f>
        <v/>
      </c>
      <c r="DD758" s="48" t="str">
        <f ca="1">IF(DB757="","","Dare        ")</f>
        <v/>
      </c>
      <c r="DE758" s="48" t="str">
        <f ca="1">IF(DB757="","","Avere        ")</f>
        <v/>
      </c>
      <c r="DF758" s="48">
        <f ca="1">IF(AND(CX758=$DF$1,CX758&lt;&gt;""),0,IF(AND(DB758&lt;&gt;"",OR(DB757&lt;&gt;"",DB759&lt;&gt;"")),MAX($DF$2:DF757)+1,0))</f>
        <v>0</v>
      </c>
    </row>
    <row r="759" spans="102:110" x14ac:dyDescent="0.3">
      <c r="CX759" s="48">
        <f t="shared" ca="1" si="1016"/>
        <v>59</v>
      </c>
      <c r="CY759" s="48" t="str">
        <f t="shared" ca="1" si="1015"/>
        <v>MASTRO</v>
      </c>
      <c r="CZ759" s="48" t="e">
        <f t="shared" ref="CZ759:CZ768" ca="1" si="1018">SUM(MATCH($CY759,INDIRECT(ADDRESS(SUM(CZ758)+3,54)&amp;":"&amp;ADDRESS(400,54)),0),CZ758)</f>
        <v>#N/A</v>
      </c>
      <c r="DA759" s="48" t="str">
        <f ca="1">IFERROR(INDEX(LIBRO_GIORNALE,CZ759,1),"")</f>
        <v/>
      </c>
      <c r="DB759" s="48" t="str">
        <f t="shared" ca="1" si="1000"/>
        <v/>
      </c>
      <c r="DC759" s="48" t="str">
        <f t="shared" ref="DC759:DC768" ca="1" si="1019">IF(IFERROR(INDEX(LIBRO_GIORNALE,CZ759,4),"")=0,"manca la descrizione dell'operazione",IFERROR(INDEX(LIBRO_GIORNALE,CZ759,4),""))</f>
        <v/>
      </c>
      <c r="DD759" s="48" t="str">
        <f t="shared" ref="DD759:DD768" ca="1" si="1020">IFERROR(IF(INDEX(LIBRO_GIORNALE,CZ759,5)&gt;0,INDEX(LIBRO_GIORNALE,CZ759,5),""),"")</f>
        <v/>
      </c>
      <c r="DE759" s="48" t="str">
        <f t="shared" ref="DE759:DE768" ca="1" si="1021">IFERROR(IF(INDEX(LIBRO_GIORNALE,CZ759,6)&gt;0,INDEX(LIBRO_GIORNALE,CZ759,6),""),"")</f>
        <v/>
      </c>
      <c r="DF759" s="48">
        <f ca="1">IF(AND(CX759=$DF$1,CX759&lt;&gt;""),0,IF(AND(DB759&lt;&gt;"",OR(DB758&lt;&gt;"",DB760&lt;&gt;"")),MAX($DF$2:DF758)+1,0))</f>
        <v>0</v>
      </c>
    </row>
    <row r="760" spans="102:110" x14ac:dyDescent="0.3">
      <c r="CX760" s="48">
        <f t="shared" ca="1" si="1016"/>
        <v>59</v>
      </c>
      <c r="CY760" s="48" t="str">
        <f t="shared" ca="1" si="1015"/>
        <v>MASTRO</v>
      </c>
      <c r="CZ760" s="48" t="e">
        <f t="shared" ca="1" si="1018"/>
        <v>#N/A</v>
      </c>
      <c r="DA760" s="48" t="str">
        <f t="shared" ref="DA760:DA768" ca="1" si="1022">IFERROR(INDEX(LIBRO_GIORNALE,CZ760,1),"")</f>
        <v/>
      </c>
      <c r="DB760" s="48" t="str">
        <f t="shared" ca="1" si="1000"/>
        <v/>
      </c>
      <c r="DC760" s="48" t="str">
        <f t="shared" ca="1" si="1019"/>
        <v/>
      </c>
      <c r="DD760" s="48" t="str">
        <f t="shared" ca="1" si="1020"/>
        <v/>
      </c>
      <c r="DE760" s="48" t="str">
        <f t="shared" ca="1" si="1021"/>
        <v/>
      </c>
      <c r="DF760" s="48">
        <f ca="1">IF(AND(CX760=$DF$1,CX760&lt;&gt;""),0,IF(AND(DB760&lt;&gt;"",OR(DB759&lt;&gt;"",DB761&lt;&gt;"")),MAX($DF$2:DF759)+1,0))</f>
        <v>0</v>
      </c>
    </row>
    <row r="761" spans="102:110" x14ac:dyDescent="0.3">
      <c r="CX761" s="48">
        <f t="shared" ca="1" si="1016"/>
        <v>59</v>
      </c>
      <c r="CY761" s="48" t="str">
        <f t="shared" ca="1" si="1015"/>
        <v>MASTRO</v>
      </c>
      <c r="CZ761" s="48" t="e">
        <f t="shared" ca="1" si="1018"/>
        <v>#N/A</v>
      </c>
      <c r="DA761" s="48" t="str">
        <f t="shared" ca="1" si="1022"/>
        <v/>
      </c>
      <c r="DB761" s="48" t="str">
        <f t="shared" ca="1" si="1000"/>
        <v/>
      </c>
      <c r="DC761" s="48" t="str">
        <f t="shared" ca="1" si="1019"/>
        <v/>
      </c>
      <c r="DD761" s="48" t="str">
        <f t="shared" ca="1" si="1020"/>
        <v/>
      </c>
      <c r="DE761" s="48" t="str">
        <f t="shared" ca="1" si="1021"/>
        <v/>
      </c>
      <c r="DF761" s="48">
        <f ca="1">IF(AND(CX761=$DF$1,CX761&lt;&gt;""),0,IF(AND(DB761&lt;&gt;"",OR(DB760&lt;&gt;"",DB762&lt;&gt;"")),MAX($DF$2:DF760)+1,0))</f>
        <v>0</v>
      </c>
    </row>
    <row r="762" spans="102:110" x14ac:dyDescent="0.3">
      <c r="CX762" s="48">
        <f t="shared" ca="1" si="1016"/>
        <v>59</v>
      </c>
      <c r="CY762" s="48" t="str">
        <f t="shared" ca="1" si="1015"/>
        <v>MASTRO</v>
      </c>
      <c r="CZ762" s="48" t="e">
        <f t="shared" ca="1" si="1018"/>
        <v>#N/A</v>
      </c>
      <c r="DA762" s="48" t="str">
        <f t="shared" ca="1" si="1022"/>
        <v/>
      </c>
      <c r="DB762" s="48" t="str">
        <f t="shared" ca="1" si="1000"/>
        <v/>
      </c>
      <c r="DC762" s="48" t="str">
        <f t="shared" ca="1" si="1019"/>
        <v/>
      </c>
      <c r="DD762" s="48" t="str">
        <f t="shared" ca="1" si="1020"/>
        <v/>
      </c>
      <c r="DE762" s="48" t="str">
        <f t="shared" ca="1" si="1021"/>
        <v/>
      </c>
      <c r="DF762" s="48">
        <f ca="1">IF(AND(CX762=$DF$1,CX762&lt;&gt;""),0,IF(AND(DB762&lt;&gt;"",OR(DB761&lt;&gt;"",DB763&lt;&gt;"")),MAX($DF$2:DF761)+1,0))</f>
        <v>0</v>
      </c>
    </row>
    <row r="763" spans="102:110" x14ac:dyDescent="0.3">
      <c r="CX763" s="48">
        <f t="shared" ca="1" si="1016"/>
        <v>59</v>
      </c>
      <c r="CY763" s="48" t="str">
        <f t="shared" ca="1" si="1015"/>
        <v>MASTRO</v>
      </c>
      <c r="CZ763" s="48" t="e">
        <f t="shared" ca="1" si="1018"/>
        <v>#N/A</v>
      </c>
      <c r="DA763" s="48" t="str">
        <f t="shared" ca="1" si="1022"/>
        <v/>
      </c>
      <c r="DB763" s="48" t="str">
        <f t="shared" ca="1" si="1000"/>
        <v/>
      </c>
      <c r="DC763" s="48" t="str">
        <f t="shared" ca="1" si="1019"/>
        <v/>
      </c>
      <c r="DD763" s="48" t="str">
        <f t="shared" ca="1" si="1020"/>
        <v/>
      </c>
      <c r="DE763" s="48" t="str">
        <f t="shared" ca="1" si="1021"/>
        <v/>
      </c>
      <c r="DF763" s="48">
        <f ca="1">IF(AND(CX763=$DF$1,CX763&lt;&gt;""),0,IF(AND(DB763&lt;&gt;"",OR(DB762&lt;&gt;"",DB764&lt;&gt;"")),MAX($DF$2:DF762)+1,0))</f>
        <v>0</v>
      </c>
    </row>
    <row r="764" spans="102:110" x14ac:dyDescent="0.3">
      <c r="CX764" s="48">
        <f t="shared" ca="1" si="1016"/>
        <v>59</v>
      </c>
      <c r="CY764" s="48" t="str">
        <f t="shared" ca="1" si="1015"/>
        <v>MASTRO</v>
      </c>
      <c r="CZ764" s="48" t="e">
        <f t="shared" ca="1" si="1018"/>
        <v>#N/A</v>
      </c>
      <c r="DA764" s="48" t="str">
        <f t="shared" ca="1" si="1022"/>
        <v/>
      </c>
      <c r="DB764" s="48" t="str">
        <f t="shared" ca="1" si="1000"/>
        <v/>
      </c>
      <c r="DC764" s="48" t="str">
        <f t="shared" ca="1" si="1019"/>
        <v/>
      </c>
      <c r="DD764" s="48" t="str">
        <f t="shared" ca="1" si="1020"/>
        <v/>
      </c>
      <c r="DE764" s="48" t="str">
        <f t="shared" ca="1" si="1021"/>
        <v/>
      </c>
      <c r="DF764" s="48">
        <f ca="1">IF(AND(CX764=$DF$1,CX764&lt;&gt;""),0,IF(AND(DB764&lt;&gt;"",OR(DB763&lt;&gt;"",DB765&lt;&gt;"")),MAX($DF$2:DF763)+1,0))</f>
        <v>0</v>
      </c>
    </row>
    <row r="765" spans="102:110" x14ac:dyDescent="0.3">
      <c r="CX765" s="48">
        <f t="shared" ca="1" si="1016"/>
        <v>59</v>
      </c>
      <c r="CY765" s="48" t="str">
        <f t="shared" ca="1" si="1015"/>
        <v>MASTRO</v>
      </c>
      <c r="CZ765" s="48" t="e">
        <f t="shared" ca="1" si="1018"/>
        <v>#N/A</v>
      </c>
      <c r="DA765" s="48" t="str">
        <f t="shared" ca="1" si="1022"/>
        <v/>
      </c>
      <c r="DB765" s="48" t="str">
        <f t="shared" ca="1" si="1000"/>
        <v/>
      </c>
      <c r="DC765" s="48" t="str">
        <f t="shared" ca="1" si="1019"/>
        <v/>
      </c>
      <c r="DD765" s="48" t="str">
        <f t="shared" ca="1" si="1020"/>
        <v/>
      </c>
      <c r="DE765" s="48" t="str">
        <f t="shared" ca="1" si="1021"/>
        <v/>
      </c>
      <c r="DF765" s="48">
        <f ca="1">IF(AND(CX765=$DF$1,CX765&lt;&gt;""),0,IF(AND(DB765&lt;&gt;"",OR(DB764&lt;&gt;"",DB766&lt;&gt;"")),MAX($DF$2:DF764)+1,0))</f>
        <v>0</v>
      </c>
    </row>
    <row r="766" spans="102:110" x14ac:dyDescent="0.3">
      <c r="CX766" s="48">
        <f t="shared" ca="1" si="1016"/>
        <v>59</v>
      </c>
      <c r="CY766" s="48" t="str">
        <f t="shared" ca="1" si="1015"/>
        <v>MASTRO</v>
      </c>
      <c r="CZ766" s="48" t="e">
        <f t="shared" ca="1" si="1018"/>
        <v>#N/A</v>
      </c>
      <c r="DA766" s="48" t="str">
        <f t="shared" ca="1" si="1022"/>
        <v/>
      </c>
      <c r="DB766" s="48" t="str">
        <f t="shared" ca="1" si="1000"/>
        <v/>
      </c>
      <c r="DC766" s="48" t="str">
        <f t="shared" ca="1" si="1019"/>
        <v/>
      </c>
      <c r="DD766" s="48" t="str">
        <f t="shared" ca="1" si="1020"/>
        <v/>
      </c>
      <c r="DE766" s="48" t="str">
        <f t="shared" ca="1" si="1021"/>
        <v/>
      </c>
      <c r="DF766" s="48">
        <f ca="1">IF(AND(CX766=$DF$1,CX766&lt;&gt;""),0,IF(AND(DB766&lt;&gt;"",OR(DB765&lt;&gt;"",DB767&lt;&gt;"")),MAX($DF$2:DF765)+1,0))</f>
        <v>0</v>
      </c>
    </row>
    <row r="767" spans="102:110" x14ac:dyDescent="0.3">
      <c r="CX767" s="48">
        <f t="shared" ca="1" si="1016"/>
        <v>59</v>
      </c>
      <c r="CY767" s="48" t="str">
        <f t="shared" ca="1" si="1015"/>
        <v>MASTRO</v>
      </c>
      <c r="CZ767" s="48" t="e">
        <f t="shared" ca="1" si="1018"/>
        <v>#N/A</v>
      </c>
      <c r="DA767" s="48" t="str">
        <f t="shared" ca="1" si="1022"/>
        <v/>
      </c>
      <c r="DB767" s="48" t="str">
        <f t="shared" ca="1" si="1000"/>
        <v/>
      </c>
      <c r="DC767" s="48" t="str">
        <f t="shared" ca="1" si="1019"/>
        <v/>
      </c>
      <c r="DD767" s="48" t="str">
        <f t="shared" ca="1" si="1020"/>
        <v/>
      </c>
      <c r="DE767" s="48" t="str">
        <f t="shared" ca="1" si="1021"/>
        <v/>
      </c>
      <c r="DF767" s="48">
        <f ca="1">IF(AND(CX767=$DF$1,CX767&lt;&gt;""),0,IF(AND(DB767&lt;&gt;"",OR(DB766&lt;&gt;"",DB768&lt;&gt;"")),MAX($DF$2:DF766)+1,0))</f>
        <v>0</v>
      </c>
    </row>
    <row r="768" spans="102:110" x14ac:dyDescent="0.3">
      <c r="CX768" s="48">
        <f t="shared" ca="1" si="1016"/>
        <v>59</v>
      </c>
      <c r="CY768" s="48" t="str">
        <f t="shared" ca="1" si="1015"/>
        <v>MASTRO</v>
      </c>
      <c r="CZ768" s="48" t="e">
        <f t="shared" ca="1" si="1018"/>
        <v>#N/A</v>
      </c>
      <c r="DA768" s="48" t="str">
        <f t="shared" ca="1" si="1022"/>
        <v/>
      </c>
      <c r="DB768" s="48" t="str">
        <f t="shared" ca="1" si="1000"/>
        <v/>
      </c>
      <c r="DC768" s="48" t="str">
        <f t="shared" ca="1" si="1019"/>
        <v/>
      </c>
      <c r="DD768" s="48" t="str">
        <f t="shared" ca="1" si="1020"/>
        <v/>
      </c>
      <c r="DE768" s="48" t="str">
        <f t="shared" ca="1" si="1021"/>
        <v/>
      </c>
      <c r="DF768" s="48">
        <f ca="1">IF(AND(CX768=$DF$1,CX768&lt;&gt;""),0,IF(AND(DB768&lt;&gt;"",OR(DB767&lt;&gt;"",DB769&lt;&gt;"")),MAX($DF$2:DF767)+1,0))</f>
        <v>0</v>
      </c>
    </row>
    <row r="769" spans="102:110" x14ac:dyDescent="0.3">
      <c r="CY769" s="48" t="s">
        <v>500</v>
      </c>
      <c r="DB769" s="48" t="str">
        <f t="shared" ref="DB769" ca="1" si="1023">IF(CX768=$DF$1,"","MASTRO")</f>
        <v>MASTRO</v>
      </c>
      <c r="DF769" s="48">
        <f ca="1">IF(AND(CX769=$DF$1,CX769&lt;&gt;""),0,IF(AND(DB769&lt;&gt;"",OR(DB768&lt;&gt;"",DB770&lt;&gt;"")),MAX($DF$2:DF768)+1,0))</f>
        <v>0</v>
      </c>
    </row>
    <row r="770" spans="102:110" x14ac:dyDescent="0.3">
      <c r="CX770" s="48">
        <f ca="1">$FF$62</f>
        <v>60</v>
      </c>
      <c r="CY770" s="48" t="str">
        <f t="shared" ref="CY770:CY781" ca="1" si="1024">IF(ISERROR(INDEX($CV$3:$CX$1302,MATCH(CX770,$CW$3:$CW$1302,0),1)),"MASTRO",INDEX($CV$3:$CX$1302,MATCH(CX770,$CW$3:$CW$1302,0),1))</f>
        <v>MASTRO</v>
      </c>
      <c r="DA770" s="48" t="str">
        <f>IF(CY769="MASTRO","Conto n.","")</f>
        <v>Conto n.</v>
      </c>
      <c r="DB770" s="48" t="str">
        <f ca="1">IF(CY770=0,"",INDEX(PDC,MATCH(DC770,DEN_PDC,0),1))</f>
        <v/>
      </c>
      <c r="DC770" s="48" t="str">
        <f ca="1">IF(OR(CY770=0,CY770="mastro"),"",CY770)</f>
        <v/>
      </c>
      <c r="DD770" s="48" t="str">
        <f ca="1">IF(AND($DA$2=TRUE,OR(INDEX(PDC,MATCH($DC770,DEN_PDC,0),4)="A",INDEX(PDC,MATCH($DC770,DEN_PDC,0),4)="D/A"),SUMIFS(AVERE,DEN_G,"="&amp;$DC770,DATA,"&lt;="&amp;FINE_AC,DATA,"&gt;="&amp;INIZIO_AC)&gt;SUMIFS(DARE,DEN_G,"="&amp;$DC770,DATA,"&lt;="&amp;FINE_AC,DATA,"&gt;="&amp;INIZIO_AC)),CONCATENATE("s ",FIXED(ABS(SUMIFS(AVERE,DEN_G,"="&amp;$DC770,DATA,"&lt;="&amp;FINE_AC,DATA,"&gt;="&amp;INIZIO_AC)-SUMIFS(DARE,DEN_G,"="&amp;$DC770,DATA,"&lt;="&amp;FINE_AC,DATA,"&gt;="&amp;INIZIO_AC)),2)),"")</f>
        <v/>
      </c>
      <c r="DE770" s="48" t="str">
        <f ca="1">IF(AND($DA$2=TRUE,OR(INDEX(PDC,MATCH($DC770,DEN_PDC,0),4)="D",INDEX(PDC,MATCH($DC770,DEN_PDC,0),4)="D/A"),SUMIFS(DARE,DEN_G,"="&amp;$DC770,DATA,"&lt;="&amp;FINE_AC,DATA,"&gt;="&amp;INIZIO_AC)&gt;SUMIFS(AVERE,DEN_G,"="&amp;$DC770,DATA,"&lt;="&amp;FINE_AC,DATA,"&gt;="&amp;INIZIO_AC)),CONCATENATE("s ",FIXED(ABS(SUMIFS(DARE,DEN_G,"="&amp;$DC770,DATA,"&lt;="&amp;FINE_AC,DATA,"&gt;="&amp;INIZIO_AC)-SUMIFS(AVERE,DEN_G,"="&amp;$DC770,DATA,"&lt;="&amp;FINE_AC,DATA,"&gt;="&amp;INIZIO_AC)),2)),"")</f>
        <v/>
      </c>
      <c r="DF770" s="48">
        <f ca="1">IF(AND(CX770=$DF$1,CX770&lt;&gt;""),0,IF(AND(DB770&lt;&gt;"",OR(DB769&lt;&gt;"",DB771&lt;&gt;"")),MAX($DF$2:DF769)+1,0))</f>
        <v>0</v>
      </c>
    </row>
    <row r="771" spans="102:110" x14ac:dyDescent="0.3">
      <c r="CX771" s="48">
        <f t="shared" ref="CX771:CX781" ca="1" si="1025">$FF$62</f>
        <v>60</v>
      </c>
      <c r="CY771" s="48" t="str">
        <f t="shared" ca="1" si="1024"/>
        <v>MASTRO</v>
      </c>
      <c r="DA771" s="48" t="str">
        <f ca="1">IF(DB770="","","Num. riga")</f>
        <v/>
      </c>
      <c r="DB771" s="48" t="str">
        <f t="shared" ref="DB771" ca="1" si="1026">IF(DB770="","","Data")</f>
        <v/>
      </c>
      <c r="DC771" s="48" t="str">
        <f ca="1">IF(DB770="","","Operazioni")</f>
        <v/>
      </c>
      <c r="DD771" s="48" t="str">
        <f ca="1">IF(DB770="","","Dare        ")</f>
        <v/>
      </c>
      <c r="DE771" s="48" t="str">
        <f ca="1">IF(DB770="","","Avere        ")</f>
        <v/>
      </c>
      <c r="DF771" s="48">
        <f ca="1">IF(AND(CX771=$DF$1,CX771&lt;&gt;""),0,IF(AND(DB771&lt;&gt;"",OR(DB770&lt;&gt;"",DB772&lt;&gt;"")),MAX($DF$2:DF770)+1,0))</f>
        <v>0</v>
      </c>
    </row>
    <row r="772" spans="102:110" x14ac:dyDescent="0.3">
      <c r="CX772" s="48">
        <f t="shared" ca="1" si="1025"/>
        <v>60</v>
      </c>
      <c r="CY772" s="48" t="str">
        <f t="shared" ca="1" si="1024"/>
        <v>MASTRO</v>
      </c>
      <c r="CZ772" s="48" t="e">
        <f t="shared" ref="CZ772:CZ781" ca="1" si="1027">SUM(MATCH($CY772,INDIRECT(ADDRESS(SUM(CZ771)+3,54)&amp;":"&amp;ADDRESS(400,54)),0),CZ771)</f>
        <v>#N/A</v>
      </c>
      <c r="DA772" s="48" t="str">
        <f ca="1">IFERROR(INDEX(LIBRO_GIORNALE,CZ772,1),"")</f>
        <v/>
      </c>
      <c r="DB772" s="48" t="str">
        <f t="shared" ca="1" si="1000"/>
        <v/>
      </c>
      <c r="DC772" s="48" t="str">
        <f t="shared" ref="DC772:DC781" ca="1" si="1028">IF(IFERROR(INDEX(LIBRO_GIORNALE,CZ772,4),"")=0,"manca la descrizione dell'operazione",IFERROR(INDEX(LIBRO_GIORNALE,CZ772,4),""))</f>
        <v/>
      </c>
      <c r="DD772" s="48" t="str">
        <f t="shared" ref="DD772:DD781" ca="1" si="1029">IFERROR(IF(INDEX(LIBRO_GIORNALE,CZ772,5)&gt;0,INDEX(LIBRO_GIORNALE,CZ772,5),""),"")</f>
        <v/>
      </c>
      <c r="DE772" s="48" t="str">
        <f t="shared" ref="DE772:DE781" ca="1" si="1030">IFERROR(IF(INDEX(LIBRO_GIORNALE,CZ772,6)&gt;0,INDEX(LIBRO_GIORNALE,CZ772,6),""),"")</f>
        <v/>
      </c>
      <c r="DF772" s="48">
        <f ca="1">IF(AND(CX772=$DF$1,CX772&lt;&gt;""),0,IF(AND(DB772&lt;&gt;"",OR(DB771&lt;&gt;"",DB773&lt;&gt;"")),MAX($DF$2:DF771)+1,0))</f>
        <v>0</v>
      </c>
    </row>
    <row r="773" spans="102:110" x14ac:dyDescent="0.3">
      <c r="CX773" s="48">
        <f t="shared" ca="1" si="1025"/>
        <v>60</v>
      </c>
      <c r="CY773" s="48" t="str">
        <f t="shared" ca="1" si="1024"/>
        <v>MASTRO</v>
      </c>
      <c r="CZ773" s="48" t="e">
        <f t="shared" ca="1" si="1027"/>
        <v>#N/A</v>
      </c>
      <c r="DA773" s="48" t="str">
        <f t="shared" ref="DA773:DA781" ca="1" si="1031">IFERROR(INDEX(LIBRO_GIORNALE,CZ773,1),"")</f>
        <v/>
      </c>
      <c r="DB773" s="48" t="str">
        <f t="shared" ca="1" si="1000"/>
        <v/>
      </c>
      <c r="DC773" s="48" t="str">
        <f t="shared" ca="1" si="1028"/>
        <v/>
      </c>
      <c r="DD773" s="48" t="str">
        <f t="shared" ca="1" si="1029"/>
        <v/>
      </c>
      <c r="DE773" s="48" t="str">
        <f t="shared" ca="1" si="1030"/>
        <v/>
      </c>
      <c r="DF773" s="48">
        <f ca="1">IF(AND(CX773=$DF$1,CX773&lt;&gt;""),0,IF(AND(DB773&lt;&gt;"",OR(DB772&lt;&gt;"",DB774&lt;&gt;"")),MAX($DF$2:DF772)+1,0))</f>
        <v>0</v>
      </c>
    </row>
    <row r="774" spans="102:110" x14ac:dyDescent="0.3">
      <c r="CX774" s="48">
        <f t="shared" ca="1" si="1025"/>
        <v>60</v>
      </c>
      <c r="CY774" s="48" t="str">
        <f t="shared" ca="1" si="1024"/>
        <v>MASTRO</v>
      </c>
      <c r="CZ774" s="48" t="e">
        <f t="shared" ca="1" si="1027"/>
        <v>#N/A</v>
      </c>
      <c r="DA774" s="48" t="str">
        <f t="shared" ca="1" si="1031"/>
        <v/>
      </c>
      <c r="DB774" s="48" t="str">
        <f t="shared" ca="1" si="1000"/>
        <v/>
      </c>
      <c r="DC774" s="48" t="str">
        <f t="shared" ca="1" si="1028"/>
        <v/>
      </c>
      <c r="DD774" s="48" t="str">
        <f t="shared" ca="1" si="1029"/>
        <v/>
      </c>
      <c r="DE774" s="48" t="str">
        <f t="shared" ca="1" si="1030"/>
        <v/>
      </c>
      <c r="DF774" s="48">
        <f ca="1">IF(AND(CX774=$DF$1,CX774&lt;&gt;""),0,IF(AND(DB774&lt;&gt;"",OR(DB773&lt;&gt;"",DB775&lt;&gt;"")),MAX($DF$2:DF773)+1,0))</f>
        <v>0</v>
      </c>
    </row>
    <row r="775" spans="102:110" x14ac:dyDescent="0.3">
      <c r="CX775" s="48">
        <f t="shared" ca="1" si="1025"/>
        <v>60</v>
      </c>
      <c r="CY775" s="48" t="str">
        <f t="shared" ca="1" si="1024"/>
        <v>MASTRO</v>
      </c>
      <c r="CZ775" s="48" t="e">
        <f t="shared" ca="1" si="1027"/>
        <v>#N/A</v>
      </c>
      <c r="DA775" s="48" t="str">
        <f t="shared" ca="1" si="1031"/>
        <v/>
      </c>
      <c r="DB775" s="48" t="str">
        <f t="shared" ca="1" si="1000"/>
        <v/>
      </c>
      <c r="DC775" s="48" t="str">
        <f t="shared" ca="1" si="1028"/>
        <v/>
      </c>
      <c r="DD775" s="48" t="str">
        <f t="shared" ca="1" si="1029"/>
        <v/>
      </c>
      <c r="DE775" s="48" t="str">
        <f t="shared" ca="1" si="1030"/>
        <v/>
      </c>
      <c r="DF775" s="48">
        <f ca="1">IF(AND(CX775=$DF$1,CX775&lt;&gt;""),0,IF(AND(DB775&lt;&gt;"",OR(DB774&lt;&gt;"",DB776&lt;&gt;"")),MAX($DF$2:DF774)+1,0))</f>
        <v>0</v>
      </c>
    </row>
    <row r="776" spans="102:110" x14ac:dyDescent="0.3">
      <c r="CX776" s="48">
        <f t="shared" ca="1" si="1025"/>
        <v>60</v>
      </c>
      <c r="CY776" s="48" t="str">
        <f t="shared" ca="1" si="1024"/>
        <v>MASTRO</v>
      </c>
      <c r="CZ776" s="48" t="e">
        <f t="shared" ca="1" si="1027"/>
        <v>#N/A</v>
      </c>
      <c r="DA776" s="48" t="str">
        <f t="shared" ca="1" si="1031"/>
        <v/>
      </c>
      <c r="DB776" s="48" t="str">
        <f t="shared" ca="1" si="1000"/>
        <v/>
      </c>
      <c r="DC776" s="48" t="str">
        <f t="shared" ca="1" si="1028"/>
        <v/>
      </c>
      <c r="DD776" s="48" t="str">
        <f t="shared" ca="1" si="1029"/>
        <v/>
      </c>
      <c r="DE776" s="48" t="str">
        <f t="shared" ca="1" si="1030"/>
        <v/>
      </c>
      <c r="DF776" s="48">
        <f ca="1">IF(AND(CX776=$DF$1,CX776&lt;&gt;""),0,IF(AND(DB776&lt;&gt;"",OR(DB775&lt;&gt;"",DB777&lt;&gt;"")),MAX($DF$2:DF775)+1,0))</f>
        <v>0</v>
      </c>
    </row>
    <row r="777" spans="102:110" x14ac:dyDescent="0.3">
      <c r="CX777" s="48">
        <f t="shared" ca="1" si="1025"/>
        <v>60</v>
      </c>
      <c r="CY777" s="48" t="str">
        <f t="shared" ca="1" si="1024"/>
        <v>MASTRO</v>
      </c>
      <c r="CZ777" s="48" t="e">
        <f t="shared" ca="1" si="1027"/>
        <v>#N/A</v>
      </c>
      <c r="DA777" s="48" t="str">
        <f t="shared" ca="1" si="1031"/>
        <v/>
      </c>
      <c r="DB777" s="48" t="str">
        <f t="shared" ca="1" si="1000"/>
        <v/>
      </c>
      <c r="DC777" s="48" t="str">
        <f t="shared" ca="1" si="1028"/>
        <v/>
      </c>
      <c r="DD777" s="48" t="str">
        <f t="shared" ca="1" si="1029"/>
        <v/>
      </c>
      <c r="DE777" s="48" t="str">
        <f t="shared" ca="1" si="1030"/>
        <v/>
      </c>
      <c r="DF777" s="48">
        <f ca="1">IF(AND(CX777=$DF$1,CX777&lt;&gt;""),0,IF(AND(DB777&lt;&gt;"",OR(DB776&lt;&gt;"",DB778&lt;&gt;"")),MAX($DF$2:DF776)+1,0))</f>
        <v>0</v>
      </c>
    </row>
    <row r="778" spans="102:110" x14ac:dyDescent="0.3">
      <c r="CX778" s="48">
        <f t="shared" ca="1" si="1025"/>
        <v>60</v>
      </c>
      <c r="CY778" s="48" t="str">
        <f t="shared" ca="1" si="1024"/>
        <v>MASTRO</v>
      </c>
      <c r="CZ778" s="48" t="e">
        <f t="shared" ca="1" si="1027"/>
        <v>#N/A</v>
      </c>
      <c r="DA778" s="48" t="str">
        <f t="shared" ca="1" si="1031"/>
        <v/>
      </c>
      <c r="DB778" s="48" t="str">
        <f t="shared" ca="1" si="1000"/>
        <v/>
      </c>
      <c r="DC778" s="48" t="str">
        <f t="shared" ca="1" si="1028"/>
        <v/>
      </c>
      <c r="DD778" s="48" t="str">
        <f t="shared" ca="1" si="1029"/>
        <v/>
      </c>
      <c r="DE778" s="48" t="str">
        <f t="shared" ca="1" si="1030"/>
        <v/>
      </c>
      <c r="DF778" s="48">
        <f ca="1">IF(AND(CX778=$DF$1,CX778&lt;&gt;""),0,IF(AND(DB778&lt;&gt;"",OR(DB777&lt;&gt;"",DB779&lt;&gt;"")),MAX($DF$2:DF777)+1,0))</f>
        <v>0</v>
      </c>
    </row>
    <row r="779" spans="102:110" x14ac:dyDescent="0.3">
      <c r="CX779" s="48">
        <f t="shared" ca="1" si="1025"/>
        <v>60</v>
      </c>
      <c r="CY779" s="48" t="str">
        <f t="shared" ca="1" si="1024"/>
        <v>MASTRO</v>
      </c>
      <c r="CZ779" s="48" t="e">
        <f t="shared" ca="1" si="1027"/>
        <v>#N/A</v>
      </c>
      <c r="DA779" s="48" t="str">
        <f t="shared" ca="1" si="1031"/>
        <v/>
      </c>
      <c r="DB779" s="48" t="str">
        <f t="shared" ca="1" si="1000"/>
        <v/>
      </c>
      <c r="DC779" s="48" t="str">
        <f t="shared" ca="1" si="1028"/>
        <v/>
      </c>
      <c r="DD779" s="48" t="str">
        <f t="shared" ca="1" si="1029"/>
        <v/>
      </c>
      <c r="DE779" s="48" t="str">
        <f t="shared" ca="1" si="1030"/>
        <v/>
      </c>
      <c r="DF779" s="48">
        <f ca="1">IF(AND(CX779=$DF$1,CX779&lt;&gt;""),0,IF(AND(DB779&lt;&gt;"",OR(DB778&lt;&gt;"",DB780&lt;&gt;"")),MAX($DF$2:DF778)+1,0))</f>
        <v>0</v>
      </c>
    </row>
    <row r="780" spans="102:110" x14ac:dyDescent="0.3">
      <c r="CX780" s="48">
        <f t="shared" ca="1" si="1025"/>
        <v>60</v>
      </c>
      <c r="CY780" s="48" t="str">
        <f t="shared" ca="1" si="1024"/>
        <v>MASTRO</v>
      </c>
      <c r="CZ780" s="48" t="e">
        <f t="shared" ca="1" si="1027"/>
        <v>#N/A</v>
      </c>
      <c r="DA780" s="48" t="str">
        <f t="shared" ca="1" si="1031"/>
        <v/>
      </c>
      <c r="DB780" s="48" t="str">
        <f t="shared" ca="1" si="1000"/>
        <v/>
      </c>
      <c r="DC780" s="48" t="str">
        <f t="shared" ca="1" si="1028"/>
        <v/>
      </c>
      <c r="DD780" s="48" t="str">
        <f t="shared" ca="1" si="1029"/>
        <v/>
      </c>
      <c r="DE780" s="48" t="str">
        <f t="shared" ca="1" si="1030"/>
        <v/>
      </c>
      <c r="DF780" s="48">
        <f ca="1">IF(AND(CX780=$DF$1,CX780&lt;&gt;""),0,IF(AND(DB780&lt;&gt;"",OR(DB779&lt;&gt;"",DB781&lt;&gt;"")),MAX($DF$2:DF779)+1,0))</f>
        <v>0</v>
      </c>
    </row>
    <row r="781" spans="102:110" x14ac:dyDescent="0.3">
      <c r="CX781" s="48">
        <f t="shared" ca="1" si="1025"/>
        <v>60</v>
      </c>
      <c r="CY781" s="48" t="str">
        <f t="shared" ca="1" si="1024"/>
        <v>MASTRO</v>
      </c>
      <c r="CZ781" s="48" t="e">
        <f t="shared" ca="1" si="1027"/>
        <v>#N/A</v>
      </c>
      <c r="DA781" s="48" t="str">
        <f t="shared" ca="1" si="1031"/>
        <v/>
      </c>
      <c r="DB781" s="48" t="str">
        <f t="shared" ca="1" si="1000"/>
        <v/>
      </c>
      <c r="DC781" s="48" t="str">
        <f t="shared" ca="1" si="1028"/>
        <v/>
      </c>
      <c r="DD781" s="48" t="str">
        <f t="shared" ca="1" si="1029"/>
        <v/>
      </c>
      <c r="DE781" s="48" t="str">
        <f t="shared" ca="1" si="1030"/>
        <v/>
      </c>
      <c r="DF781" s="48">
        <f ca="1">IF(AND(CX781=$DF$1,CX781&lt;&gt;""),0,IF(AND(DB781&lt;&gt;"",OR(DB780&lt;&gt;"",DB782&lt;&gt;"")),MAX($DF$2:DF780)+1,0))</f>
        <v>0</v>
      </c>
    </row>
    <row r="782" spans="102:110" x14ac:dyDescent="0.3">
      <c r="CY782" s="48" t="s">
        <v>500</v>
      </c>
      <c r="DB782" s="48" t="str">
        <f t="shared" ref="DB782" ca="1" si="1032">IF(CX781=$DF$1,"","MASTRO")</f>
        <v>MASTRO</v>
      </c>
      <c r="DF782" s="48">
        <f ca="1">IF(AND(CX782=$DF$1,CX782&lt;&gt;""),0,IF(AND(DB782&lt;&gt;"",OR(DB781&lt;&gt;"",DB783&lt;&gt;"")),MAX($DF$2:DF781)+1,0))</f>
        <v>0</v>
      </c>
    </row>
    <row r="783" spans="102:110" x14ac:dyDescent="0.3">
      <c r="CX783" s="48">
        <f ca="1">$FF$63</f>
        <v>61</v>
      </c>
      <c r="CY783" s="48" t="str">
        <f t="shared" ref="CY783:CY794" ca="1" si="1033">IF(ISERROR(INDEX($CV$3:$CX$1302,MATCH(CX783,$CW$3:$CW$1302,0),1)),"MASTRO",INDEX($CV$3:$CX$1302,MATCH(CX783,$CW$3:$CW$1302,0),1))</f>
        <v>MASTRO</v>
      </c>
      <c r="DA783" s="48" t="str">
        <f>IF(CY782="MASTRO","Conto n.","")</f>
        <v>Conto n.</v>
      </c>
      <c r="DB783" s="48" t="str">
        <f ca="1">IF(CY783=0,"",INDEX(PDC,MATCH(DC783,DEN_PDC,0),1))</f>
        <v/>
      </c>
      <c r="DC783" s="48" t="str">
        <f ca="1">IF(OR(CY783=0,CY783="mastro"),"",CY783)</f>
        <v/>
      </c>
      <c r="DD783" s="48" t="str">
        <f ca="1">IF(AND($DA$2=TRUE,OR(INDEX(PDC,MATCH($DC783,DEN_PDC,0),4)="A",INDEX(PDC,MATCH($DC783,DEN_PDC,0),4)="D/A"),SUMIFS(AVERE,DEN_G,"="&amp;$DC783,DATA,"&lt;="&amp;FINE_AC,DATA,"&gt;="&amp;INIZIO_AC)&gt;SUMIFS(DARE,DEN_G,"="&amp;$DC783,DATA,"&lt;="&amp;FINE_AC,DATA,"&gt;="&amp;INIZIO_AC)),CONCATENATE("s ",FIXED(ABS(SUMIFS(AVERE,DEN_G,"="&amp;$DC783,DATA,"&lt;="&amp;FINE_AC,DATA,"&gt;="&amp;INIZIO_AC)-SUMIFS(DARE,DEN_G,"="&amp;$DC783,DATA,"&lt;="&amp;FINE_AC,DATA,"&gt;="&amp;INIZIO_AC)),2)),"")</f>
        <v/>
      </c>
      <c r="DE783" s="48" t="str">
        <f ca="1">IF(AND($DA$2=TRUE,OR(INDEX(PDC,MATCH($DC783,DEN_PDC,0),4)="D",INDEX(PDC,MATCH($DC783,DEN_PDC,0),4)="D/A"),SUMIFS(DARE,DEN_G,"="&amp;$DC783,DATA,"&lt;="&amp;FINE_AC,DATA,"&gt;="&amp;INIZIO_AC)&gt;SUMIFS(AVERE,DEN_G,"="&amp;$DC783,DATA,"&lt;="&amp;FINE_AC,DATA,"&gt;="&amp;INIZIO_AC)),CONCATENATE("s ",FIXED(ABS(SUMIFS(DARE,DEN_G,"="&amp;$DC783,DATA,"&lt;="&amp;FINE_AC,DATA,"&gt;="&amp;INIZIO_AC)-SUMIFS(AVERE,DEN_G,"="&amp;$DC783,DATA,"&lt;="&amp;FINE_AC,DATA,"&gt;="&amp;INIZIO_AC)),2)),"")</f>
        <v/>
      </c>
      <c r="DF783" s="48">
        <f ca="1">IF(AND(CX783=$DF$1,CX783&lt;&gt;""),0,IF(AND(DB783&lt;&gt;"",OR(DB782&lt;&gt;"",DB784&lt;&gt;"")),MAX($DF$2:DF782)+1,0))</f>
        <v>0</v>
      </c>
    </row>
    <row r="784" spans="102:110" x14ac:dyDescent="0.3">
      <c r="CX784" s="48">
        <f t="shared" ref="CX784:CX794" ca="1" si="1034">$FF$63</f>
        <v>61</v>
      </c>
      <c r="CY784" s="48" t="str">
        <f t="shared" ca="1" si="1033"/>
        <v>MASTRO</v>
      </c>
      <c r="DA784" s="48" t="str">
        <f ca="1">IF(DB783="","","Num. riga")</f>
        <v/>
      </c>
      <c r="DB784" s="48" t="str">
        <f t="shared" ref="DB784" ca="1" si="1035">IF(DB783="","","Data")</f>
        <v/>
      </c>
      <c r="DC784" s="48" t="str">
        <f ca="1">IF(DB783="","","Operazioni")</f>
        <v/>
      </c>
      <c r="DD784" s="48" t="str">
        <f ca="1">IF(DB783="","","Dare        ")</f>
        <v/>
      </c>
      <c r="DE784" s="48" t="str">
        <f ca="1">IF(DB783="","","Avere        ")</f>
        <v/>
      </c>
      <c r="DF784" s="48">
        <f ca="1">IF(AND(CX784=$DF$1,CX784&lt;&gt;""),0,IF(AND(DB784&lt;&gt;"",OR(DB783&lt;&gt;"",DB785&lt;&gt;"")),MAX($DF$2:DF783)+1,0))</f>
        <v>0</v>
      </c>
    </row>
    <row r="785" spans="102:110" x14ac:dyDescent="0.3">
      <c r="CX785" s="48">
        <f t="shared" ca="1" si="1034"/>
        <v>61</v>
      </c>
      <c r="CY785" s="48" t="str">
        <f t="shared" ca="1" si="1033"/>
        <v>MASTRO</v>
      </c>
      <c r="CZ785" s="48" t="e">
        <f t="shared" ref="CZ785:CZ794" ca="1" si="1036">SUM(MATCH($CY785,INDIRECT(ADDRESS(SUM(CZ784)+3,54)&amp;":"&amp;ADDRESS(400,54)),0),CZ784)</f>
        <v>#N/A</v>
      </c>
      <c r="DA785" s="48" t="str">
        <f ca="1">IFERROR(INDEX(LIBRO_GIORNALE,CZ785,1),"")</f>
        <v/>
      </c>
      <c r="DB785" s="48" t="str">
        <f t="shared" ca="1" si="1000"/>
        <v/>
      </c>
      <c r="DC785" s="48" t="str">
        <f t="shared" ref="DC785:DC794" ca="1" si="1037">IF(IFERROR(INDEX(LIBRO_GIORNALE,CZ785,4),"")=0,"manca la descrizione dell'operazione",IFERROR(INDEX(LIBRO_GIORNALE,CZ785,4),""))</f>
        <v/>
      </c>
      <c r="DD785" s="48" t="str">
        <f t="shared" ref="DD785:DD794" ca="1" si="1038">IFERROR(IF(INDEX(LIBRO_GIORNALE,CZ785,5)&gt;0,INDEX(LIBRO_GIORNALE,CZ785,5),""),"")</f>
        <v/>
      </c>
      <c r="DE785" s="48" t="str">
        <f t="shared" ref="DE785:DE794" ca="1" si="1039">IFERROR(IF(INDEX(LIBRO_GIORNALE,CZ785,6)&gt;0,INDEX(LIBRO_GIORNALE,CZ785,6),""),"")</f>
        <v/>
      </c>
      <c r="DF785" s="48">
        <f ca="1">IF(AND(CX785=$DF$1,CX785&lt;&gt;""),0,IF(AND(DB785&lt;&gt;"",OR(DB784&lt;&gt;"",DB786&lt;&gt;"")),MAX($DF$2:DF784)+1,0))</f>
        <v>0</v>
      </c>
    </row>
    <row r="786" spans="102:110" x14ac:dyDescent="0.3">
      <c r="CX786" s="48">
        <f t="shared" ca="1" si="1034"/>
        <v>61</v>
      </c>
      <c r="CY786" s="48" t="str">
        <f t="shared" ca="1" si="1033"/>
        <v>MASTRO</v>
      </c>
      <c r="CZ786" s="48" t="e">
        <f t="shared" ca="1" si="1036"/>
        <v>#N/A</v>
      </c>
      <c r="DA786" s="48" t="str">
        <f t="shared" ref="DA786:DA794" ca="1" si="1040">IFERROR(INDEX(LIBRO_GIORNALE,CZ786,1),"")</f>
        <v/>
      </c>
      <c r="DB786" s="48" t="str">
        <f t="shared" ca="1" si="1000"/>
        <v/>
      </c>
      <c r="DC786" s="48" t="str">
        <f t="shared" ca="1" si="1037"/>
        <v/>
      </c>
      <c r="DD786" s="48" t="str">
        <f t="shared" ca="1" si="1038"/>
        <v/>
      </c>
      <c r="DE786" s="48" t="str">
        <f t="shared" ca="1" si="1039"/>
        <v/>
      </c>
      <c r="DF786" s="48">
        <f ca="1">IF(AND(CX786=$DF$1,CX786&lt;&gt;""),0,IF(AND(DB786&lt;&gt;"",OR(DB785&lt;&gt;"",DB787&lt;&gt;"")),MAX($DF$2:DF785)+1,0))</f>
        <v>0</v>
      </c>
    </row>
    <row r="787" spans="102:110" x14ac:dyDescent="0.3">
      <c r="CX787" s="48">
        <f t="shared" ca="1" si="1034"/>
        <v>61</v>
      </c>
      <c r="CY787" s="48" t="str">
        <f t="shared" ca="1" si="1033"/>
        <v>MASTRO</v>
      </c>
      <c r="CZ787" s="48" t="e">
        <f t="shared" ca="1" si="1036"/>
        <v>#N/A</v>
      </c>
      <c r="DA787" s="48" t="str">
        <f t="shared" ca="1" si="1040"/>
        <v/>
      </c>
      <c r="DB787" s="48" t="str">
        <f t="shared" ca="1" si="1000"/>
        <v/>
      </c>
      <c r="DC787" s="48" t="str">
        <f t="shared" ca="1" si="1037"/>
        <v/>
      </c>
      <c r="DD787" s="48" t="str">
        <f t="shared" ca="1" si="1038"/>
        <v/>
      </c>
      <c r="DE787" s="48" t="str">
        <f t="shared" ca="1" si="1039"/>
        <v/>
      </c>
      <c r="DF787" s="48">
        <f ca="1">IF(AND(CX787=$DF$1,CX787&lt;&gt;""),0,IF(AND(DB787&lt;&gt;"",OR(DB786&lt;&gt;"",DB788&lt;&gt;"")),MAX($DF$2:DF786)+1,0))</f>
        <v>0</v>
      </c>
    </row>
    <row r="788" spans="102:110" x14ac:dyDescent="0.3">
      <c r="CX788" s="48">
        <f t="shared" ca="1" si="1034"/>
        <v>61</v>
      </c>
      <c r="CY788" s="48" t="str">
        <f t="shared" ca="1" si="1033"/>
        <v>MASTRO</v>
      </c>
      <c r="CZ788" s="48" t="e">
        <f t="shared" ca="1" si="1036"/>
        <v>#N/A</v>
      </c>
      <c r="DA788" s="48" t="str">
        <f t="shared" ca="1" si="1040"/>
        <v/>
      </c>
      <c r="DB788" s="48" t="str">
        <f t="shared" ca="1" si="1000"/>
        <v/>
      </c>
      <c r="DC788" s="48" t="str">
        <f t="shared" ca="1" si="1037"/>
        <v/>
      </c>
      <c r="DD788" s="48" t="str">
        <f t="shared" ca="1" si="1038"/>
        <v/>
      </c>
      <c r="DE788" s="48" t="str">
        <f t="shared" ca="1" si="1039"/>
        <v/>
      </c>
      <c r="DF788" s="48">
        <f ca="1">IF(AND(CX788=$DF$1,CX788&lt;&gt;""),0,IF(AND(DB788&lt;&gt;"",OR(DB787&lt;&gt;"",DB789&lt;&gt;"")),MAX($DF$2:DF787)+1,0))</f>
        <v>0</v>
      </c>
    </row>
    <row r="789" spans="102:110" x14ac:dyDescent="0.3">
      <c r="CX789" s="48">
        <f t="shared" ca="1" si="1034"/>
        <v>61</v>
      </c>
      <c r="CY789" s="48" t="str">
        <f t="shared" ca="1" si="1033"/>
        <v>MASTRO</v>
      </c>
      <c r="CZ789" s="48" t="e">
        <f t="shared" ca="1" si="1036"/>
        <v>#N/A</v>
      </c>
      <c r="DA789" s="48" t="str">
        <f t="shared" ca="1" si="1040"/>
        <v/>
      </c>
      <c r="DB789" s="48" t="str">
        <f t="shared" ca="1" si="1000"/>
        <v/>
      </c>
      <c r="DC789" s="48" t="str">
        <f t="shared" ca="1" si="1037"/>
        <v/>
      </c>
      <c r="DD789" s="48" t="str">
        <f t="shared" ca="1" si="1038"/>
        <v/>
      </c>
      <c r="DE789" s="48" t="str">
        <f t="shared" ca="1" si="1039"/>
        <v/>
      </c>
      <c r="DF789" s="48">
        <f ca="1">IF(AND(CX789=$DF$1,CX789&lt;&gt;""),0,IF(AND(DB789&lt;&gt;"",OR(DB788&lt;&gt;"",DB790&lt;&gt;"")),MAX($DF$2:DF788)+1,0))</f>
        <v>0</v>
      </c>
    </row>
    <row r="790" spans="102:110" x14ac:dyDescent="0.3">
      <c r="CX790" s="48">
        <f t="shared" ca="1" si="1034"/>
        <v>61</v>
      </c>
      <c r="CY790" s="48" t="str">
        <f t="shared" ca="1" si="1033"/>
        <v>MASTRO</v>
      </c>
      <c r="CZ790" s="48" t="e">
        <f t="shared" ca="1" si="1036"/>
        <v>#N/A</v>
      </c>
      <c r="DA790" s="48" t="str">
        <f t="shared" ca="1" si="1040"/>
        <v/>
      </c>
      <c r="DB790" s="48" t="str">
        <f t="shared" ca="1" si="1000"/>
        <v/>
      </c>
      <c r="DC790" s="48" t="str">
        <f t="shared" ca="1" si="1037"/>
        <v/>
      </c>
      <c r="DD790" s="48" t="str">
        <f t="shared" ca="1" si="1038"/>
        <v/>
      </c>
      <c r="DE790" s="48" t="str">
        <f t="shared" ca="1" si="1039"/>
        <v/>
      </c>
      <c r="DF790" s="48">
        <f ca="1">IF(AND(CX790=$DF$1,CX790&lt;&gt;""),0,IF(AND(DB790&lt;&gt;"",OR(DB789&lt;&gt;"",DB791&lt;&gt;"")),MAX($DF$2:DF789)+1,0))</f>
        <v>0</v>
      </c>
    </row>
    <row r="791" spans="102:110" x14ac:dyDescent="0.3">
      <c r="CX791" s="48">
        <f t="shared" ca="1" si="1034"/>
        <v>61</v>
      </c>
      <c r="CY791" s="48" t="str">
        <f t="shared" ca="1" si="1033"/>
        <v>MASTRO</v>
      </c>
      <c r="CZ791" s="48" t="e">
        <f t="shared" ca="1" si="1036"/>
        <v>#N/A</v>
      </c>
      <c r="DA791" s="48" t="str">
        <f t="shared" ca="1" si="1040"/>
        <v/>
      </c>
      <c r="DB791" s="48" t="str">
        <f t="shared" ca="1" si="1000"/>
        <v/>
      </c>
      <c r="DC791" s="48" t="str">
        <f t="shared" ca="1" si="1037"/>
        <v/>
      </c>
      <c r="DD791" s="48" t="str">
        <f t="shared" ca="1" si="1038"/>
        <v/>
      </c>
      <c r="DE791" s="48" t="str">
        <f t="shared" ca="1" si="1039"/>
        <v/>
      </c>
      <c r="DF791" s="48">
        <f ca="1">IF(AND(CX791=$DF$1,CX791&lt;&gt;""),0,IF(AND(DB791&lt;&gt;"",OR(DB790&lt;&gt;"",DB792&lt;&gt;"")),MAX($DF$2:DF790)+1,0))</f>
        <v>0</v>
      </c>
    </row>
    <row r="792" spans="102:110" x14ac:dyDescent="0.3">
      <c r="CX792" s="48">
        <f t="shared" ca="1" si="1034"/>
        <v>61</v>
      </c>
      <c r="CY792" s="48" t="str">
        <f t="shared" ca="1" si="1033"/>
        <v>MASTRO</v>
      </c>
      <c r="CZ792" s="48" t="e">
        <f t="shared" ca="1" si="1036"/>
        <v>#N/A</v>
      </c>
      <c r="DA792" s="48" t="str">
        <f t="shared" ca="1" si="1040"/>
        <v/>
      </c>
      <c r="DB792" s="48" t="str">
        <f t="shared" ca="1" si="1000"/>
        <v/>
      </c>
      <c r="DC792" s="48" t="str">
        <f t="shared" ca="1" si="1037"/>
        <v/>
      </c>
      <c r="DD792" s="48" t="str">
        <f t="shared" ca="1" si="1038"/>
        <v/>
      </c>
      <c r="DE792" s="48" t="str">
        <f t="shared" ca="1" si="1039"/>
        <v/>
      </c>
      <c r="DF792" s="48">
        <f ca="1">IF(AND(CX792=$DF$1,CX792&lt;&gt;""),0,IF(AND(DB792&lt;&gt;"",OR(DB791&lt;&gt;"",DB793&lt;&gt;"")),MAX($DF$2:DF791)+1,0))</f>
        <v>0</v>
      </c>
    </row>
    <row r="793" spans="102:110" x14ac:dyDescent="0.3">
      <c r="CX793" s="48">
        <f t="shared" ca="1" si="1034"/>
        <v>61</v>
      </c>
      <c r="CY793" s="48" t="str">
        <f t="shared" ca="1" si="1033"/>
        <v>MASTRO</v>
      </c>
      <c r="CZ793" s="48" t="e">
        <f t="shared" ca="1" si="1036"/>
        <v>#N/A</v>
      </c>
      <c r="DA793" s="48" t="str">
        <f t="shared" ca="1" si="1040"/>
        <v/>
      </c>
      <c r="DB793" s="48" t="str">
        <f t="shared" ca="1" si="1000"/>
        <v/>
      </c>
      <c r="DC793" s="48" t="str">
        <f t="shared" ca="1" si="1037"/>
        <v/>
      </c>
      <c r="DD793" s="48" t="str">
        <f t="shared" ca="1" si="1038"/>
        <v/>
      </c>
      <c r="DE793" s="48" t="str">
        <f t="shared" ca="1" si="1039"/>
        <v/>
      </c>
      <c r="DF793" s="48">
        <f ca="1">IF(AND(CX793=$DF$1,CX793&lt;&gt;""),0,IF(AND(DB793&lt;&gt;"",OR(DB792&lt;&gt;"",DB794&lt;&gt;"")),MAX($DF$2:DF792)+1,0))</f>
        <v>0</v>
      </c>
    </row>
    <row r="794" spans="102:110" x14ac:dyDescent="0.3">
      <c r="CX794" s="48">
        <f t="shared" ca="1" si="1034"/>
        <v>61</v>
      </c>
      <c r="CY794" s="48" t="str">
        <f t="shared" ca="1" si="1033"/>
        <v>MASTRO</v>
      </c>
      <c r="CZ794" s="48" t="e">
        <f t="shared" ca="1" si="1036"/>
        <v>#N/A</v>
      </c>
      <c r="DA794" s="48" t="str">
        <f t="shared" ca="1" si="1040"/>
        <v/>
      </c>
      <c r="DB794" s="48" t="str">
        <f t="shared" ca="1" si="1000"/>
        <v/>
      </c>
      <c r="DC794" s="48" t="str">
        <f t="shared" ca="1" si="1037"/>
        <v/>
      </c>
      <c r="DD794" s="48" t="str">
        <f t="shared" ca="1" si="1038"/>
        <v/>
      </c>
      <c r="DE794" s="48" t="str">
        <f t="shared" ca="1" si="1039"/>
        <v/>
      </c>
      <c r="DF794" s="48">
        <f ca="1">IF(AND(CX794=$DF$1,CX794&lt;&gt;""),0,IF(AND(DB794&lt;&gt;"",OR(DB793&lt;&gt;"",DB795&lt;&gt;"")),MAX($DF$2:DF793)+1,0))</f>
        <v>0</v>
      </c>
    </row>
    <row r="795" spans="102:110" x14ac:dyDescent="0.3">
      <c r="CY795" s="48" t="s">
        <v>500</v>
      </c>
      <c r="DB795" s="48" t="str">
        <f t="shared" ref="DB795" ca="1" si="1041">IF(CX794=$DF$1,"","MASTRO")</f>
        <v>MASTRO</v>
      </c>
      <c r="DF795" s="48">
        <f ca="1">IF(AND(CX795=$DF$1,CX795&lt;&gt;""),0,IF(AND(DB795&lt;&gt;"",OR(DB794&lt;&gt;"",DB796&lt;&gt;"")),MAX($DF$2:DF794)+1,0))</f>
        <v>0</v>
      </c>
    </row>
    <row r="796" spans="102:110" x14ac:dyDescent="0.3">
      <c r="CX796" s="48">
        <f ca="1">$FF$64</f>
        <v>62</v>
      </c>
      <c r="CY796" s="48" t="str">
        <f t="shared" ref="CY796:CY807" ca="1" si="1042">IF(ISERROR(INDEX($CV$3:$CX$1302,MATCH(CX796,$CW$3:$CW$1302,0),1)),"MASTRO",INDEX($CV$3:$CX$1302,MATCH(CX796,$CW$3:$CW$1302,0),1))</f>
        <v>MASTRO</v>
      </c>
      <c r="DA796" s="48" t="str">
        <f>IF(CY795="MASTRO","Conto n.","")</f>
        <v>Conto n.</v>
      </c>
      <c r="DB796" s="48" t="str">
        <f ca="1">IF(CY796=0,"",INDEX(PDC,MATCH(DC796,DEN_PDC,0),1))</f>
        <v/>
      </c>
      <c r="DC796" s="48" t="str">
        <f ca="1">IF(OR(CY796=0,CY796="mastro"),"",CY796)</f>
        <v/>
      </c>
      <c r="DD796" s="48" t="str">
        <f ca="1">IF(AND($DA$2=TRUE,OR(INDEX(PDC,MATCH($DC796,DEN_PDC,0),4)="A",INDEX(PDC,MATCH($DC796,DEN_PDC,0),4)="D/A"),SUMIFS(AVERE,DEN_G,"="&amp;$DC796,DATA,"&lt;="&amp;FINE_AC,DATA,"&gt;="&amp;INIZIO_AC)&gt;SUMIFS(DARE,DEN_G,"="&amp;$DC796,DATA,"&lt;="&amp;FINE_AC,DATA,"&gt;="&amp;INIZIO_AC)),CONCATENATE("s ",FIXED(ABS(SUMIFS(AVERE,DEN_G,"="&amp;$DC796,DATA,"&lt;="&amp;FINE_AC,DATA,"&gt;="&amp;INIZIO_AC)-SUMIFS(DARE,DEN_G,"="&amp;$DC796,DATA,"&lt;="&amp;FINE_AC,DATA,"&gt;="&amp;INIZIO_AC)),2)),"")</f>
        <v/>
      </c>
      <c r="DE796" s="48" t="str">
        <f ca="1">IF(AND($DA$2=TRUE,OR(INDEX(PDC,MATCH($DC796,DEN_PDC,0),4)="D",INDEX(PDC,MATCH($DC796,DEN_PDC,0),4)="D/A"),SUMIFS(DARE,DEN_G,"="&amp;$DC796,DATA,"&lt;="&amp;FINE_AC,DATA,"&gt;="&amp;INIZIO_AC)&gt;SUMIFS(AVERE,DEN_G,"="&amp;$DC796,DATA,"&lt;="&amp;FINE_AC,DATA,"&gt;="&amp;INIZIO_AC)),CONCATENATE("s ",FIXED(ABS(SUMIFS(DARE,DEN_G,"="&amp;$DC796,DATA,"&lt;="&amp;FINE_AC,DATA,"&gt;="&amp;INIZIO_AC)-SUMIFS(AVERE,DEN_G,"="&amp;$DC796,DATA,"&lt;="&amp;FINE_AC,DATA,"&gt;="&amp;INIZIO_AC)),2)),"")</f>
        <v/>
      </c>
      <c r="DF796" s="48">
        <f ca="1">IF(AND(CX796=$DF$1,CX796&lt;&gt;""),0,IF(AND(DB796&lt;&gt;"",OR(DB795&lt;&gt;"",DB797&lt;&gt;"")),MAX($DF$2:DF795)+1,0))</f>
        <v>0</v>
      </c>
    </row>
    <row r="797" spans="102:110" x14ac:dyDescent="0.3">
      <c r="CX797" s="48">
        <f t="shared" ref="CX797:CX807" ca="1" si="1043">$FF$64</f>
        <v>62</v>
      </c>
      <c r="CY797" s="48" t="str">
        <f t="shared" ca="1" si="1042"/>
        <v>MASTRO</v>
      </c>
      <c r="DA797" s="48" t="str">
        <f ca="1">IF(DB796="","","Num. riga")</f>
        <v/>
      </c>
      <c r="DB797" s="48" t="str">
        <f t="shared" ref="DB797" ca="1" si="1044">IF(DB796="","","Data")</f>
        <v/>
      </c>
      <c r="DC797" s="48" t="str">
        <f ca="1">IF(DB796="","","Operazioni")</f>
        <v/>
      </c>
      <c r="DD797" s="48" t="str">
        <f ca="1">IF(DB796="","","Dare        ")</f>
        <v/>
      </c>
      <c r="DE797" s="48" t="str">
        <f ca="1">IF(DB796="","","Avere        ")</f>
        <v/>
      </c>
      <c r="DF797" s="48">
        <f ca="1">IF(AND(CX797=$DF$1,CX797&lt;&gt;""),0,IF(AND(DB797&lt;&gt;"",OR(DB796&lt;&gt;"",DB798&lt;&gt;"")),MAX($DF$2:DF796)+1,0))</f>
        <v>0</v>
      </c>
    </row>
    <row r="798" spans="102:110" x14ac:dyDescent="0.3">
      <c r="CX798" s="48">
        <f t="shared" ca="1" si="1043"/>
        <v>62</v>
      </c>
      <c r="CY798" s="48" t="str">
        <f t="shared" ca="1" si="1042"/>
        <v>MASTRO</v>
      </c>
      <c r="CZ798" s="48" t="e">
        <f t="shared" ref="CZ798:CZ807" ca="1" si="1045">SUM(MATCH($CY798,INDIRECT(ADDRESS(SUM(CZ797)+3,54)&amp;":"&amp;ADDRESS(400,54)),0),CZ797)</f>
        <v>#N/A</v>
      </c>
      <c r="DA798" s="48" t="str">
        <f ca="1">IFERROR(INDEX(LIBRO_GIORNALE,CZ798,1),"")</f>
        <v/>
      </c>
      <c r="DB798" s="48" t="str">
        <f t="shared" ref="DB798:DB859" ca="1" si="1046">IF(RIGHT(TEXT(IFERROR(INDEX(LIBRO_GIORNALE,CZ798,2),""),"gg/mm/aa"),1)="a",TEXT(IFERROR(INDEX(LIBRO_GIORNALE,CZ798,2),""),"dd/mm/yy"),TEXT(IFERROR(INDEX(LIBRO_GIORNALE,CZ798,2),""),"gg/mm/aa"))</f>
        <v/>
      </c>
      <c r="DC798" s="48" t="str">
        <f t="shared" ref="DC798:DC807" ca="1" si="1047">IF(IFERROR(INDEX(LIBRO_GIORNALE,CZ798,4),"")=0,"manca la descrizione dell'operazione",IFERROR(INDEX(LIBRO_GIORNALE,CZ798,4),""))</f>
        <v/>
      </c>
      <c r="DD798" s="48" t="str">
        <f t="shared" ref="DD798:DD807" ca="1" si="1048">IFERROR(IF(INDEX(LIBRO_GIORNALE,CZ798,5)&gt;0,INDEX(LIBRO_GIORNALE,CZ798,5),""),"")</f>
        <v/>
      </c>
      <c r="DE798" s="48" t="str">
        <f t="shared" ref="DE798:DE807" ca="1" si="1049">IFERROR(IF(INDEX(LIBRO_GIORNALE,CZ798,6)&gt;0,INDEX(LIBRO_GIORNALE,CZ798,6),""),"")</f>
        <v/>
      </c>
      <c r="DF798" s="48">
        <f ca="1">IF(AND(CX798=$DF$1,CX798&lt;&gt;""),0,IF(AND(DB798&lt;&gt;"",OR(DB797&lt;&gt;"",DB799&lt;&gt;"")),MAX($DF$2:DF797)+1,0))</f>
        <v>0</v>
      </c>
    </row>
    <row r="799" spans="102:110" x14ac:dyDescent="0.3">
      <c r="CX799" s="48">
        <f t="shared" ca="1" si="1043"/>
        <v>62</v>
      </c>
      <c r="CY799" s="48" t="str">
        <f t="shared" ca="1" si="1042"/>
        <v>MASTRO</v>
      </c>
      <c r="CZ799" s="48" t="e">
        <f t="shared" ca="1" si="1045"/>
        <v>#N/A</v>
      </c>
      <c r="DA799" s="48" t="str">
        <f t="shared" ref="DA799:DA807" ca="1" si="1050">IFERROR(INDEX(LIBRO_GIORNALE,CZ799,1),"")</f>
        <v/>
      </c>
      <c r="DB799" s="48" t="str">
        <f t="shared" ca="1" si="1046"/>
        <v/>
      </c>
      <c r="DC799" s="48" t="str">
        <f t="shared" ca="1" si="1047"/>
        <v/>
      </c>
      <c r="DD799" s="48" t="str">
        <f t="shared" ca="1" si="1048"/>
        <v/>
      </c>
      <c r="DE799" s="48" t="str">
        <f t="shared" ca="1" si="1049"/>
        <v/>
      </c>
      <c r="DF799" s="48">
        <f ca="1">IF(AND(CX799=$DF$1,CX799&lt;&gt;""),0,IF(AND(DB799&lt;&gt;"",OR(DB798&lt;&gt;"",DB800&lt;&gt;"")),MAX($DF$2:DF798)+1,0))</f>
        <v>0</v>
      </c>
    </row>
    <row r="800" spans="102:110" x14ac:dyDescent="0.3">
      <c r="CX800" s="48">
        <f t="shared" ca="1" si="1043"/>
        <v>62</v>
      </c>
      <c r="CY800" s="48" t="str">
        <f t="shared" ca="1" si="1042"/>
        <v>MASTRO</v>
      </c>
      <c r="CZ800" s="48" t="e">
        <f t="shared" ca="1" si="1045"/>
        <v>#N/A</v>
      </c>
      <c r="DA800" s="48" t="str">
        <f t="shared" ca="1" si="1050"/>
        <v/>
      </c>
      <c r="DB800" s="48" t="str">
        <f t="shared" ca="1" si="1046"/>
        <v/>
      </c>
      <c r="DC800" s="48" t="str">
        <f t="shared" ca="1" si="1047"/>
        <v/>
      </c>
      <c r="DD800" s="48" t="str">
        <f t="shared" ca="1" si="1048"/>
        <v/>
      </c>
      <c r="DE800" s="48" t="str">
        <f t="shared" ca="1" si="1049"/>
        <v/>
      </c>
      <c r="DF800" s="48">
        <f ca="1">IF(AND(CX800=$DF$1,CX800&lt;&gt;""),0,IF(AND(DB800&lt;&gt;"",OR(DB799&lt;&gt;"",DB801&lt;&gt;"")),MAX($DF$2:DF799)+1,0))</f>
        <v>0</v>
      </c>
    </row>
    <row r="801" spans="102:110" x14ac:dyDescent="0.3">
      <c r="CX801" s="48">
        <f t="shared" ca="1" si="1043"/>
        <v>62</v>
      </c>
      <c r="CY801" s="48" t="str">
        <f t="shared" ca="1" si="1042"/>
        <v>MASTRO</v>
      </c>
      <c r="CZ801" s="48" t="e">
        <f t="shared" ca="1" si="1045"/>
        <v>#N/A</v>
      </c>
      <c r="DA801" s="48" t="str">
        <f t="shared" ca="1" si="1050"/>
        <v/>
      </c>
      <c r="DB801" s="48" t="str">
        <f t="shared" ca="1" si="1046"/>
        <v/>
      </c>
      <c r="DC801" s="48" t="str">
        <f t="shared" ca="1" si="1047"/>
        <v/>
      </c>
      <c r="DD801" s="48" t="str">
        <f t="shared" ca="1" si="1048"/>
        <v/>
      </c>
      <c r="DE801" s="48" t="str">
        <f t="shared" ca="1" si="1049"/>
        <v/>
      </c>
      <c r="DF801" s="48">
        <f ca="1">IF(AND(CX801=$DF$1,CX801&lt;&gt;""),0,IF(AND(DB801&lt;&gt;"",OR(DB800&lt;&gt;"",DB802&lt;&gt;"")),MAX($DF$2:DF800)+1,0))</f>
        <v>0</v>
      </c>
    </row>
    <row r="802" spans="102:110" x14ac:dyDescent="0.3">
      <c r="CX802" s="48">
        <f t="shared" ca="1" si="1043"/>
        <v>62</v>
      </c>
      <c r="CY802" s="48" t="str">
        <f t="shared" ca="1" si="1042"/>
        <v>MASTRO</v>
      </c>
      <c r="CZ802" s="48" t="e">
        <f t="shared" ca="1" si="1045"/>
        <v>#N/A</v>
      </c>
      <c r="DA802" s="48" t="str">
        <f t="shared" ca="1" si="1050"/>
        <v/>
      </c>
      <c r="DB802" s="48" t="str">
        <f t="shared" ca="1" si="1046"/>
        <v/>
      </c>
      <c r="DC802" s="48" t="str">
        <f t="shared" ca="1" si="1047"/>
        <v/>
      </c>
      <c r="DD802" s="48" t="str">
        <f t="shared" ca="1" si="1048"/>
        <v/>
      </c>
      <c r="DE802" s="48" t="str">
        <f t="shared" ca="1" si="1049"/>
        <v/>
      </c>
      <c r="DF802" s="48">
        <f ca="1">IF(AND(CX802=$DF$1,CX802&lt;&gt;""),0,IF(AND(DB802&lt;&gt;"",OR(DB801&lt;&gt;"",DB803&lt;&gt;"")),MAX($DF$2:DF801)+1,0))</f>
        <v>0</v>
      </c>
    </row>
    <row r="803" spans="102:110" x14ac:dyDescent="0.3">
      <c r="CX803" s="48">
        <f t="shared" ca="1" si="1043"/>
        <v>62</v>
      </c>
      <c r="CY803" s="48" t="str">
        <f t="shared" ca="1" si="1042"/>
        <v>MASTRO</v>
      </c>
      <c r="CZ803" s="48" t="e">
        <f t="shared" ca="1" si="1045"/>
        <v>#N/A</v>
      </c>
      <c r="DA803" s="48" t="str">
        <f t="shared" ca="1" si="1050"/>
        <v/>
      </c>
      <c r="DB803" s="48" t="str">
        <f t="shared" ca="1" si="1046"/>
        <v/>
      </c>
      <c r="DC803" s="48" t="str">
        <f t="shared" ca="1" si="1047"/>
        <v/>
      </c>
      <c r="DD803" s="48" t="str">
        <f t="shared" ca="1" si="1048"/>
        <v/>
      </c>
      <c r="DE803" s="48" t="str">
        <f t="shared" ca="1" si="1049"/>
        <v/>
      </c>
      <c r="DF803" s="48">
        <f ca="1">IF(AND(CX803=$DF$1,CX803&lt;&gt;""),0,IF(AND(DB803&lt;&gt;"",OR(DB802&lt;&gt;"",DB804&lt;&gt;"")),MAX($DF$2:DF802)+1,0))</f>
        <v>0</v>
      </c>
    </row>
    <row r="804" spans="102:110" x14ac:dyDescent="0.3">
      <c r="CX804" s="48">
        <f t="shared" ca="1" si="1043"/>
        <v>62</v>
      </c>
      <c r="CY804" s="48" t="str">
        <f t="shared" ca="1" si="1042"/>
        <v>MASTRO</v>
      </c>
      <c r="CZ804" s="48" t="e">
        <f t="shared" ca="1" si="1045"/>
        <v>#N/A</v>
      </c>
      <c r="DA804" s="48" t="str">
        <f t="shared" ca="1" si="1050"/>
        <v/>
      </c>
      <c r="DB804" s="48" t="str">
        <f t="shared" ca="1" si="1046"/>
        <v/>
      </c>
      <c r="DC804" s="48" t="str">
        <f t="shared" ca="1" si="1047"/>
        <v/>
      </c>
      <c r="DD804" s="48" t="str">
        <f t="shared" ca="1" si="1048"/>
        <v/>
      </c>
      <c r="DE804" s="48" t="str">
        <f t="shared" ca="1" si="1049"/>
        <v/>
      </c>
      <c r="DF804" s="48">
        <f ca="1">IF(AND(CX804=$DF$1,CX804&lt;&gt;""),0,IF(AND(DB804&lt;&gt;"",OR(DB803&lt;&gt;"",DB805&lt;&gt;"")),MAX($DF$2:DF803)+1,0))</f>
        <v>0</v>
      </c>
    </row>
    <row r="805" spans="102:110" x14ac:dyDescent="0.3">
      <c r="CX805" s="48">
        <f t="shared" ca="1" si="1043"/>
        <v>62</v>
      </c>
      <c r="CY805" s="48" t="str">
        <f t="shared" ca="1" si="1042"/>
        <v>MASTRO</v>
      </c>
      <c r="CZ805" s="48" t="e">
        <f t="shared" ca="1" si="1045"/>
        <v>#N/A</v>
      </c>
      <c r="DA805" s="48" t="str">
        <f t="shared" ca="1" si="1050"/>
        <v/>
      </c>
      <c r="DB805" s="48" t="str">
        <f t="shared" ca="1" si="1046"/>
        <v/>
      </c>
      <c r="DC805" s="48" t="str">
        <f t="shared" ca="1" si="1047"/>
        <v/>
      </c>
      <c r="DD805" s="48" t="str">
        <f t="shared" ca="1" si="1048"/>
        <v/>
      </c>
      <c r="DE805" s="48" t="str">
        <f t="shared" ca="1" si="1049"/>
        <v/>
      </c>
      <c r="DF805" s="48">
        <f ca="1">IF(AND(CX805=$DF$1,CX805&lt;&gt;""),0,IF(AND(DB805&lt;&gt;"",OR(DB804&lt;&gt;"",DB806&lt;&gt;"")),MAX($DF$2:DF804)+1,0))</f>
        <v>0</v>
      </c>
    </row>
    <row r="806" spans="102:110" x14ac:dyDescent="0.3">
      <c r="CX806" s="48">
        <f t="shared" ca="1" si="1043"/>
        <v>62</v>
      </c>
      <c r="CY806" s="48" t="str">
        <f t="shared" ca="1" si="1042"/>
        <v>MASTRO</v>
      </c>
      <c r="CZ806" s="48" t="e">
        <f t="shared" ca="1" si="1045"/>
        <v>#N/A</v>
      </c>
      <c r="DA806" s="48" t="str">
        <f t="shared" ca="1" si="1050"/>
        <v/>
      </c>
      <c r="DB806" s="48" t="str">
        <f t="shared" ca="1" si="1046"/>
        <v/>
      </c>
      <c r="DC806" s="48" t="str">
        <f t="shared" ca="1" si="1047"/>
        <v/>
      </c>
      <c r="DD806" s="48" t="str">
        <f t="shared" ca="1" si="1048"/>
        <v/>
      </c>
      <c r="DE806" s="48" t="str">
        <f t="shared" ca="1" si="1049"/>
        <v/>
      </c>
      <c r="DF806" s="48">
        <f ca="1">IF(AND(CX806=$DF$1,CX806&lt;&gt;""),0,IF(AND(DB806&lt;&gt;"",OR(DB805&lt;&gt;"",DB807&lt;&gt;"")),MAX($DF$2:DF805)+1,0))</f>
        <v>0</v>
      </c>
    </row>
    <row r="807" spans="102:110" x14ac:dyDescent="0.3">
      <c r="CX807" s="48">
        <f t="shared" ca="1" si="1043"/>
        <v>62</v>
      </c>
      <c r="CY807" s="48" t="str">
        <f t="shared" ca="1" si="1042"/>
        <v>MASTRO</v>
      </c>
      <c r="CZ807" s="48" t="e">
        <f t="shared" ca="1" si="1045"/>
        <v>#N/A</v>
      </c>
      <c r="DA807" s="48" t="str">
        <f t="shared" ca="1" si="1050"/>
        <v/>
      </c>
      <c r="DB807" s="48" t="str">
        <f t="shared" ca="1" si="1046"/>
        <v/>
      </c>
      <c r="DC807" s="48" t="str">
        <f t="shared" ca="1" si="1047"/>
        <v/>
      </c>
      <c r="DD807" s="48" t="str">
        <f t="shared" ca="1" si="1048"/>
        <v/>
      </c>
      <c r="DE807" s="48" t="str">
        <f t="shared" ca="1" si="1049"/>
        <v/>
      </c>
      <c r="DF807" s="48">
        <f ca="1">IF(AND(CX807=$DF$1,CX807&lt;&gt;""),0,IF(AND(DB807&lt;&gt;"",OR(DB806&lt;&gt;"",DB808&lt;&gt;"")),MAX($DF$2:DF806)+1,0))</f>
        <v>0</v>
      </c>
    </row>
    <row r="808" spans="102:110" x14ac:dyDescent="0.3">
      <c r="CY808" s="48" t="s">
        <v>500</v>
      </c>
      <c r="DB808" s="48" t="str">
        <f t="shared" ref="DB808" ca="1" si="1051">IF(CX807=$DF$1,"","MASTRO")</f>
        <v>MASTRO</v>
      </c>
      <c r="DF808" s="48">
        <f ca="1">IF(AND(CX808=$DF$1,CX808&lt;&gt;""),0,IF(AND(DB808&lt;&gt;"",OR(DB807&lt;&gt;"",DB809&lt;&gt;"")),MAX($DF$2:DF807)+1,0))</f>
        <v>0</v>
      </c>
    </row>
    <row r="809" spans="102:110" x14ac:dyDescent="0.3">
      <c r="CX809" s="48">
        <f ca="1">$FF$65</f>
        <v>63</v>
      </c>
      <c r="CY809" s="48" t="str">
        <f t="shared" ref="CY809:CY820" ca="1" si="1052">IF(ISERROR(INDEX($CV$3:$CX$1302,MATCH(CX809,$CW$3:$CW$1302,0),1)),"MASTRO",INDEX($CV$3:$CX$1302,MATCH(CX809,$CW$3:$CW$1302,0),1))</f>
        <v>MASTRO</v>
      </c>
      <c r="DA809" s="48" t="str">
        <f>IF(CY808="MASTRO","Conto n.","")</f>
        <v>Conto n.</v>
      </c>
      <c r="DB809" s="48" t="str">
        <f ca="1">IF(CY809=0,"",INDEX(PDC,MATCH(DC809,DEN_PDC,0),1))</f>
        <v/>
      </c>
      <c r="DC809" s="48" t="str">
        <f ca="1">IF(OR(CY809=0,CY809="mastro"),"",CY809)</f>
        <v/>
      </c>
      <c r="DD809" s="48" t="str">
        <f ca="1">IF(AND($DA$2=TRUE,OR(INDEX(PDC,MATCH($DC809,DEN_PDC,0),4)="A",INDEX(PDC,MATCH($DC809,DEN_PDC,0),4)="D/A"),SUMIFS(AVERE,DEN_G,"="&amp;$DC809,DATA,"&lt;="&amp;FINE_AC,DATA,"&gt;="&amp;INIZIO_AC)&gt;SUMIFS(DARE,DEN_G,"="&amp;$DC809,DATA,"&lt;="&amp;FINE_AC,DATA,"&gt;="&amp;INIZIO_AC)),CONCATENATE("s ",FIXED(ABS(SUMIFS(AVERE,DEN_G,"="&amp;$DC809,DATA,"&lt;="&amp;FINE_AC,DATA,"&gt;="&amp;INIZIO_AC)-SUMIFS(DARE,DEN_G,"="&amp;$DC809,DATA,"&lt;="&amp;FINE_AC,DATA,"&gt;="&amp;INIZIO_AC)),2)),"")</f>
        <v/>
      </c>
      <c r="DE809" s="48" t="str">
        <f ca="1">IF(AND($DA$2=TRUE,OR(INDEX(PDC,MATCH($DC809,DEN_PDC,0),4)="D",INDEX(PDC,MATCH($DC809,DEN_PDC,0),4)="D/A"),SUMIFS(DARE,DEN_G,"="&amp;$DC809,DATA,"&lt;="&amp;FINE_AC,DATA,"&gt;="&amp;INIZIO_AC)&gt;SUMIFS(AVERE,DEN_G,"="&amp;$DC809,DATA,"&lt;="&amp;FINE_AC,DATA,"&gt;="&amp;INIZIO_AC)),CONCATENATE("s ",FIXED(ABS(SUMIFS(DARE,DEN_G,"="&amp;$DC809,DATA,"&lt;="&amp;FINE_AC,DATA,"&gt;="&amp;INIZIO_AC)-SUMIFS(AVERE,DEN_G,"="&amp;$DC809,DATA,"&lt;="&amp;FINE_AC,DATA,"&gt;="&amp;INIZIO_AC)),2)),"")</f>
        <v/>
      </c>
      <c r="DF809" s="48">
        <f ca="1">IF(AND(CX809=$DF$1,CX809&lt;&gt;""),0,IF(AND(DB809&lt;&gt;"",OR(DB808&lt;&gt;"",DB810&lt;&gt;"")),MAX($DF$2:DF808)+1,0))</f>
        <v>0</v>
      </c>
    </row>
    <row r="810" spans="102:110" x14ac:dyDescent="0.3">
      <c r="CX810" s="48">
        <f t="shared" ref="CX810:CX820" ca="1" si="1053">$FF$65</f>
        <v>63</v>
      </c>
      <c r="CY810" s="48" t="str">
        <f t="shared" ca="1" si="1052"/>
        <v>MASTRO</v>
      </c>
      <c r="DA810" s="48" t="str">
        <f ca="1">IF(DB809="","","Num. riga")</f>
        <v/>
      </c>
      <c r="DB810" s="48" t="str">
        <f t="shared" ref="DB810" ca="1" si="1054">IF(DB809="","","Data")</f>
        <v/>
      </c>
      <c r="DC810" s="48" t="str">
        <f ca="1">IF(DB809="","","Operazioni")</f>
        <v/>
      </c>
      <c r="DD810" s="48" t="str">
        <f ca="1">IF(DB809="","","Dare        ")</f>
        <v/>
      </c>
      <c r="DE810" s="48" t="str">
        <f ca="1">IF(DB809="","","Avere        ")</f>
        <v/>
      </c>
      <c r="DF810" s="48">
        <f ca="1">IF(AND(CX810=$DF$1,CX810&lt;&gt;""),0,IF(AND(DB810&lt;&gt;"",OR(DB809&lt;&gt;"",DB811&lt;&gt;"")),MAX($DF$2:DF809)+1,0))</f>
        <v>0</v>
      </c>
    </row>
    <row r="811" spans="102:110" x14ac:dyDescent="0.3">
      <c r="CX811" s="48">
        <f t="shared" ca="1" si="1053"/>
        <v>63</v>
      </c>
      <c r="CY811" s="48" t="str">
        <f t="shared" ca="1" si="1052"/>
        <v>MASTRO</v>
      </c>
      <c r="CZ811" s="48" t="e">
        <f t="shared" ref="CZ811:CZ820" ca="1" si="1055">SUM(MATCH($CY811,INDIRECT(ADDRESS(SUM(CZ810)+3,54)&amp;":"&amp;ADDRESS(400,54)),0),CZ810)</f>
        <v>#N/A</v>
      </c>
      <c r="DA811" s="48" t="str">
        <f ca="1">IFERROR(INDEX(LIBRO_GIORNALE,CZ811,1),"")</f>
        <v/>
      </c>
      <c r="DB811" s="48" t="str">
        <f t="shared" ca="1" si="1046"/>
        <v/>
      </c>
      <c r="DC811" s="48" t="str">
        <f t="shared" ref="DC811:DC820" ca="1" si="1056">IF(IFERROR(INDEX(LIBRO_GIORNALE,CZ811,4),"")=0,"manca la descrizione dell'operazione",IFERROR(INDEX(LIBRO_GIORNALE,CZ811,4),""))</f>
        <v/>
      </c>
      <c r="DD811" s="48" t="str">
        <f t="shared" ref="DD811:DD820" ca="1" si="1057">IFERROR(IF(INDEX(LIBRO_GIORNALE,CZ811,5)&gt;0,INDEX(LIBRO_GIORNALE,CZ811,5),""),"")</f>
        <v/>
      </c>
      <c r="DE811" s="48" t="str">
        <f t="shared" ref="DE811:DE820" ca="1" si="1058">IFERROR(IF(INDEX(LIBRO_GIORNALE,CZ811,6)&gt;0,INDEX(LIBRO_GIORNALE,CZ811,6),""),"")</f>
        <v/>
      </c>
      <c r="DF811" s="48">
        <f ca="1">IF(AND(CX811=$DF$1,CX811&lt;&gt;""),0,IF(AND(DB811&lt;&gt;"",OR(DB810&lt;&gt;"",DB812&lt;&gt;"")),MAX($DF$2:DF810)+1,0))</f>
        <v>0</v>
      </c>
    </row>
    <row r="812" spans="102:110" x14ac:dyDescent="0.3">
      <c r="CX812" s="48">
        <f t="shared" ca="1" si="1053"/>
        <v>63</v>
      </c>
      <c r="CY812" s="48" t="str">
        <f t="shared" ca="1" si="1052"/>
        <v>MASTRO</v>
      </c>
      <c r="CZ812" s="48" t="e">
        <f t="shared" ca="1" si="1055"/>
        <v>#N/A</v>
      </c>
      <c r="DA812" s="48" t="str">
        <f t="shared" ref="DA812:DA820" ca="1" si="1059">IFERROR(INDEX(LIBRO_GIORNALE,CZ812,1),"")</f>
        <v/>
      </c>
      <c r="DB812" s="48" t="str">
        <f t="shared" ca="1" si="1046"/>
        <v/>
      </c>
      <c r="DC812" s="48" t="str">
        <f t="shared" ca="1" si="1056"/>
        <v/>
      </c>
      <c r="DD812" s="48" t="str">
        <f t="shared" ca="1" si="1057"/>
        <v/>
      </c>
      <c r="DE812" s="48" t="str">
        <f t="shared" ca="1" si="1058"/>
        <v/>
      </c>
      <c r="DF812" s="48">
        <f ca="1">IF(AND(CX812=$DF$1,CX812&lt;&gt;""),0,IF(AND(DB812&lt;&gt;"",OR(DB811&lt;&gt;"",DB813&lt;&gt;"")),MAX($DF$2:DF811)+1,0))</f>
        <v>0</v>
      </c>
    </row>
    <row r="813" spans="102:110" x14ac:dyDescent="0.3">
      <c r="CX813" s="48">
        <f t="shared" ca="1" si="1053"/>
        <v>63</v>
      </c>
      <c r="CY813" s="48" t="str">
        <f t="shared" ca="1" si="1052"/>
        <v>MASTRO</v>
      </c>
      <c r="CZ813" s="48" t="e">
        <f t="shared" ca="1" si="1055"/>
        <v>#N/A</v>
      </c>
      <c r="DA813" s="48" t="str">
        <f t="shared" ca="1" si="1059"/>
        <v/>
      </c>
      <c r="DB813" s="48" t="str">
        <f t="shared" ca="1" si="1046"/>
        <v/>
      </c>
      <c r="DC813" s="48" t="str">
        <f t="shared" ca="1" si="1056"/>
        <v/>
      </c>
      <c r="DD813" s="48" t="str">
        <f t="shared" ca="1" si="1057"/>
        <v/>
      </c>
      <c r="DE813" s="48" t="str">
        <f t="shared" ca="1" si="1058"/>
        <v/>
      </c>
      <c r="DF813" s="48">
        <f ca="1">IF(AND(CX813=$DF$1,CX813&lt;&gt;""),0,IF(AND(DB813&lt;&gt;"",OR(DB812&lt;&gt;"",DB814&lt;&gt;"")),MAX($DF$2:DF812)+1,0))</f>
        <v>0</v>
      </c>
    </row>
    <row r="814" spans="102:110" x14ac:dyDescent="0.3">
      <c r="CX814" s="48">
        <f t="shared" ca="1" si="1053"/>
        <v>63</v>
      </c>
      <c r="CY814" s="48" t="str">
        <f t="shared" ca="1" si="1052"/>
        <v>MASTRO</v>
      </c>
      <c r="CZ814" s="48" t="e">
        <f t="shared" ca="1" si="1055"/>
        <v>#N/A</v>
      </c>
      <c r="DA814" s="48" t="str">
        <f t="shared" ca="1" si="1059"/>
        <v/>
      </c>
      <c r="DB814" s="48" t="str">
        <f t="shared" ca="1" si="1046"/>
        <v/>
      </c>
      <c r="DC814" s="48" t="str">
        <f t="shared" ca="1" si="1056"/>
        <v/>
      </c>
      <c r="DD814" s="48" t="str">
        <f t="shared" ca="1" si="1057"/>
        <v/>
      </c>
      <c r="DE814" s="48" t="str">
        <f t="shared" ca="1" si="1058"/>
        <v/>
      </c>
      <c r="DF814" s="48">
        <f ca="1">IF(AND(CX814=$DF$1,CX814&lt;&gt;""),0,IF(AND(DB814&lt;&gt;"",OR(DB813&lt;&gt;"",DB815&lt;&gt;"")),MAX($DF$2:DF813)+1,0))</f>
        <v>0</v>
      </c>
    </row>
    <row r="815" spans="102:110" x14ac:dyDescent="0.3">
      <c r="CX815" s="48">
        <f t="shared" ca="1" si="1053"/>
        <v>63</v>
      </c>
      <c r="CY815" s="48" t="str">
        <f t="shared" ca="1" si="1052"/>
        <v>MASTRO</v>
      </c>
      <c r="CZ815" s="48" t="e">
        <f t="shared" ca="1" si="1055"/>
        <v>#N/A</v>
      </c>
      <c r="DA815" s="48" t="str">
        <f t="shared" ca="1" si="1059"/>
        <v/>
      </c>
      <c r="DB815" s="48" t="str">
        <f t="shared" ca="1" si="1046"/>
        <v/>
      </c>
      <c r="DC815" s="48" t="str">
        <f t="shared" ca="1" si="1056"/>
        <v/>
      </c>
      <c r="DD815" s="48" t="str">
        <f t="shared" ca="1" si="1057"/>
        <v/>
      </c>
      <c r="DE815" s="48" t="str">
        <f t="shared" ca="1" si="1058"/>
        <v/>
      </c>
      <c r="DF815" s="48">
        <f ca="1">IF(AND(CX815=$DF$1,CX815&lt;&gt;""),0,IF(AND(DB815&lt;&gt;"",OR(DB814&lt;&gt;"",DB816&lt;&gt;"")),MAX($DF$2:DF814)+1,0))</f>
        <v>0</v>
      </c>
    </row>
    <row r="816" spans="102:110" x14ac:dyDescent="0.3">
      <c r="CX816" s="48">
        <f t="shared" ca="1" si="1053"/>
        <v>63</v>
      </c>
      <c r="CY816" s="48" t="str">
        <f t="shared" ca="1" si="1052"/>
        <v>MASTRO</v>
      </c>
      <c r="CZ816" s="48" t="e">
        <f t="shared" ca="1" si="1055"/>
        <v>#N/A</v>
      </c>
      <c r="DA816" s="48" t="str">
        <f t="shared" ca="1" si="1059"/>
        <v/>
      </c>
      <c r="DB816" s="48" t="str">
        <f t="shared" ca="1" si="1046"/>
        <v/>
      </c>
      <c r="DC816" s="48" t="str">
        <f t="shared" ca="1" si="1056"/>
        <v/>
      </c>
      <c r="DD816" s="48" t="str">
        <f t="shared" ca="1" si="1057"/>
        <v/>
      </c>
      <c r="DE816" s="48" t="str">
        <f t="shared" ca="1" si="1058"/>
        <v/>
      </c>
      <c r="DF816" s="48">
        <f ca="1">IF(AND(CX816=$DF$1,CX816&lt;&gt;""),0,IF(AND(DB816&lt;&gt;"",OR(DB815&lt;&gt;"",DB817&lt;&gt;"")),MAX($DF$2:DF815)+1,0))</f>
        <v>0</v>
      </c>
    </row>
    <row r="817" spans="102:110" x14ac:dyDescent="0.3">
      <c r="CX817" s="48">
        <f t="shared" ca="1" si="1053"/>
        <v>63</v>
      </c>
      <c r="CY817" s="48" t="str">
        <f t="shared" ca="1" si="1052"/>
        <v>MASTRO</v>
      </c>
      <c r="CZ817" s="48" t="e">
        <f t="shared" ca="1" si="1055"/>
        <v>#N/A</v>
      </c>
      <c r="DA817" s="48" t="str">
        <f t="shared" ca="1" si="1059"/>
        <v/>
      </c>
      <c r="DB817" s="48" t="str">
        <f t="shared" ca="1" si="1046"/>
        <v/>
      </c>
      <c r="DC817" s="48" t="str">
        <f t="shared" ca="1" si="1056"/>
        <v/>
      </c>
      <c r="DD817" s="48" t="str">
        <f t="shared" ca="1" si="1057"/>
        <v/>
      </c>
      <c r="DE817" s="48" t="str">
        <f t="shared" ca="1" si="1058"/>
        <v/>
      </c>
      <c r="DF817" s="48">
        <f ca="1">IF(AND(CX817=$DF$1,CX817&lt;&gt;""),0,IF(AND(DB817&lt;&gt;"",OR(DB816&lt;&gt;"",DB818&lt;&gt;"")),MAX($DF$2:DF816)+1,0))</f>
        <v>0</v>
      </c>
    </row>
    <row r="818" spans="102:110" x14ac:dyDescent="0.3">
      <c r="CX818" s="48">
        <f t="shared" ca="1" si="1053"/>
        <v>63</v>
      </c>
      <c r="CY818" s="48" t="str">
        <f t="shared" ca="1" si="1052"/>
        <v>MASTRO</v>
      </c>
      <c r="CZ818" s="48" t="e">
        <f t="shared" ca="1" si="1055"/>
        <v>#N/A</v>
      </c>
      <c r="DA818" s="48" t="str">
        <f t="shared" ca="1" si="1059"/>
        <v/>
      </c>
      <c r="DB818" s="48" t="str">
        <f t="shared" ca="1" si="1046"/>
        <v/>
      </c>
      <c r="DC818" s="48" t="str">
        <f t="shared" ca="1" si="1056"/>
        <v/>
      </c>
      <c r="DD818" s="48" t="str">
        <f t="shared" ca="1" si="1057"/>
        <v/>
      </c>
      <c r="DE818" s="48" t="str">
        <f t="shared" ca="1" si="1058"/>
        <v/>
      </c>
      <c r="DF818" s="48">
        <f ca="1">IF(AND(CX818=$DF$1,CX818&lt;&gt;""),0,IF(AND(DB818&lt;&gt;"",OR(DB817&lt;&gt;"",DB819&lt;&gt;"")),MAX($DF$2:DF817)+1,0))</f>
        <v>0</v>
      </c>
    </row>
    <row r="819" spans="102:110" x14ac:dyDescent="0.3">
      <c r="CX819" s="48">
        <f t="shared" ca="1" si="1053"/>
        <v>63</v>
      </c>
      <c r="CY819" s="48" t="str">
        <f t="shared" ca="1" si="1052"/>
        <v>MASTRO</v>
      </c>
      <c r="CZ819" s="48" t="e">
        <f t="shared" ca="1" si="1055"/>
        <v>#N/A</v>
      </c>
      <c r="DA819" s="48" t="str">
        <f t="shared" ca="1" si="1059"/>
        <v/>
      </c>
      <c r="DB819" s="48" t="str">
        <f t="shared" ca="1" si="1046"/>
        <v/>
      </c>
      <c r="DC819" s="48" t="str">
        <f t="shared" ca="1" si="1056"/>
        <v/>
      </c>
      <c r="DD819" s="48" t="str">
        <f t="shared" ca="1" si="1057"/>
        <v/>
      </c>
      <c r="DE819" s="48" t="str">
        <f t="shared" ca="1" si="1058"/>
        <v/>
      </c>
      <c r="DF819" s="48">
        <f ca="1">IF(AND(CX819=$DF$1,CX819&lt;&gt;""),0,IF(AND(DB819&lt;&gt;"",OR(DB818&lt;&gt;"",DB820&lt;&gt;"")),MAX($DF$2:DF818)+1,0))</f>
        <v>0</v>
      </c>
    </row>
    <row r="820" spans="102:110" x14ac:dyDescent="0.3">
      <c r="CX820" s="48">
        <f t="shared" ca="1" si="1053"/>
        <v>63</v>
      </c>
      <c r="CY820" s="48" t="str">
        <f t="shared" ca="1" si="1052"/>
        <v>MASTRO</v>
      </c>
      <c r="CZ820" s="48" t="e">
        <f t="shared" ca="1" si="1055"/>
        <v>#N/A</v>
      </c>
      <c r="DA820" s="48" t="str">
        <f t="shared" ca="1" si="1059"/>
        <v/>
      </c>
      <c r="DB820" s="48" t="str">
        <f t="shared" ca="1" si="1046"/>
        <v/>
      </c>
      <c r="DC820" s="48" t="str">
        <f t="shared" ca="1" si="1056"/>
        <v/>
      </c>
      <c r="DD820" s="48" t="str">
        <f t="shared" ca="1" si="1057"/>
        <v/>
      </c>
      <c r="DE820" s="48" t="str">
        <f t="shared" ca="1" si="1058"/>
        <v/>
      </c>
      <c r="DF820" s="48">
        <f ca="1">IF(AND(CX820=$DF$1,CX820&lt;&gt;""),0,IF(AND(DB820&lt;&gt;"",OR(DB819&lt;&gt;"",DB821&lt;&gt;"")),MAX($DF$2:DF819)+1,0))</f>
        <v>0</v>
      </c>
    </row>
    <row r="821" spans="102:110" x14ac:dyDescent="0.3">
      <c r="CY821" s="48" t="s">
        <v>500</v>
      </c>
      <c r="DB821" s="48" t="str">
        <f t="shared" ref="DB821" ca="1" si="1060">IF(CX820=$DF$1,"","MASTRO")</f>
        <v>MASTRO</v>
      </c>
      <c r="DF821" s="48">
        <f ca="1">IF(AND(CX821=$DF$1,CX821&lt;&gt;""),0,IF(AND(DB821&lt;&gt;"",OR(DB820&lt;&gt;"",DB822&lt;&gt;"")),MAX($DF$2:DF820)+1,0))</f>
        <v>0</v>
      </c>
    </row>
    <row r="822" spans="102:110" x14ac:dyDescent="0.3">
      <c r="CX822" s="48">
        <f ca="1">$FF$66</f>
        <v>64</v>
      </c>
      <c r="CY822" s="48" t="str">
        <f t="shared" ref="CY822:CY833" ca="1" si="1061">IF(ISERROR(INDEX($CV$3:$CX$1302,MATCH(CX822,$CW$3:$CW$1302,0),1)),"MASTRO",INDEX($CV$3:$CX$1302,MATCH(CX822,$CW$3:$CW$1302,0),1))</f>
        <v>MASTRO</v>
      </c>
      <c r="DA822" s="48" t="str">
        <f>IF(CY821="MASTRO","Conto n.","")</f>
        <v>Conto n.</v>
      </c>
      <c r="DB822" s="48" t="str">
        <f ca="1">IF(CY822=0,"",INDEX(PDC,MATCH(DC822,DEN_PDC,0),1))</f>
        <v/>
      </c>
      <c r="DC822" s="48" t="str">
        <f ca="1">IF(OR(CY822=0,CY822="mastro"),"",CY822)</f>
        <v/>
      </c>
      <c r="DD822" s="48" t="str">
        <f ca="1">IF(AND($DA$2=TRUE,OR(INDEX(PDC,MATCH($DC822,DEN_PDC,0),4)="A",INDEX(PDC,MATCH($DC822,DEN_PDC,0),4)="D/A"),SUMIFS(AVERE,DEN_G,"="&amp;$DC822,DATA,"&lt;="&amp;FINE_AC,DATA,"&gt;="&amp;INIZIO_AC)&gt;SUMIFS(DARE,DEN_G,"="&amp;$DC822,DATA,"&lt;="&amp;FINE_AC,DATA,"&gt;="&amp;INIZIO_AC)),CONCATENATE("s ",FIXED(ABS(SUMIFS(AVERE,DEN_G,"="&amp;$DC822,DATA,"&lt;="&amp;FINE_AC,DATA,"&gt;="&amp;INIZIO_AC)-SUMIFS(DARE,DEN_G,"="&amp;$DC822,DATA,"&lt;="&amp;FINE_AC,DATA,"&gt;="&amp;INIZIO_AC)),2)),"")</f>
        <v/>
      </c>
      <c r="DE822" s="48" t="str">
        <f ca="1">IF(AND($DA$2=TRUE,OR(INDEX(PDC,MATCH($DC822,DEN_PDC,0),4)="D",INDEX(PDC,MATCH($DC822,DEN_PDC,0),4)="D/A"),SUMIFS(DARE,DEN_G,"="&amp;$DC822,DATA,"&lt;="&amp;FINE_AC,DATA,"&gt;="&amp;INIZIO_AC)&gt;SUMIFS(AVERE,DEN_G,"="&amp;$DC822,DATA,"&lt;="&amp;FINE_AC,DATA,"&gt;="&amp;INIZIO_AC)),CONCATENATE("s ",FIXED(ABS(SUMIFS(DARE,DEN_G,"="&amp;$DC822,DATA,"&lt;="&amp;FINE_AC,DATA,"&gt;="&amp;INIZIO_AC)-SUMIFS(AVERE,DEN_G,"="&amp;$DC822,DATA,"&lt;="&amp;FINE_AC,DATA,"&gt;="&amp;INIZIO_AC)),2)),"")</f>
        <v/>
      </c>
      <c r="DF822" s="48">
        <f ca="1">IF(AND(CX822=$DF$1,CX822&lt;&gt;""),0,IF(AND(DB822&lt;&gt;"",OR(DB821&lt;&gt;"",DB823&lt;&gt;"")),MAX($DF$2:DF821)+1,0))</f>
        <v>0</v>
      </c>
    </row>
    <row r="823" spans="102:110" x14ac:dyDescent="0.3">
      <c r="CX823" s="48">
        <f t="shared" ref="CX823:CX833" ca="1" si="1062">$FF$66</f>
        <v>64</v>
      </c>
      <c r="CY823" s="48" t="str">
        <f t="shared" ca="1" si="1061"/>
        <v>MASTRO</v>
      </c>
      <c r="DA823" s="48" t="str">
        <f ca="1">IF(DB822="","","Num. riga")</f>
        <v/>
      </c>
      <c r="DB823" s="48" t="str">
        <f t="shared" ref="DB823" ca="1" si="1063">IF(DB822="","","Data")</f>
        <v/>
      </c>
      <c r="DC823" s="48" t="str">
        <f ca="1">IF(DB822="","","Operazioni")</f>
        <v/>
      </c>
      <c r="DD823" s="48" t="str">
        <f ca="1">IF(DB822="","","Dare        ")</f>
        <v/>
      </c>
      <c r="DE823" s="48" t="str">
        <f ca="1">IF(DB822="","","Avere        ")</f>
        <v/>
      </c>
      <c r="DF823" s="48">
        <f ca="1">IF(AND(CX823=$DF$1,CX823&lt;&gt;""),0,IF(AND(DB823&lt;&gt;"",OR(DB822&lt;&gt;"",DB824&lt;&gt;"")),MAX($DF$2:DF822)+1,0))</f>
        <v>0</v>
      </c>
    </row>
    <row r="824" spans="102:110" x14ac:dyDescent="0.3">
      <c r="CX824" s="48">
        <f t="shared" ca="1" si="1062"/>
        <v>64</v>
      </c>
      <c r="CY824" s="48" t="str">
        <f t="shared" ca="1" si="1061"/>
        <v>MASTRO</v>
      </c>
      <c r="CZ824" s="48" t="e">
        <f t="shared" ref="CZ824:CZ833" ca="1" si="1064">SUM(MATCH($CY824,INDIRECT(ADDRESS(SUM(CZ823)+3,54)&amp;":"&amp;ADDRESS(400,54)),0),CZ823)</f>
        <v>#N/A</v>
      </c>
      <c r="DA824" s="48" t="str">
        <f ca="1">IFERROR(INDEX(LIBRO_GIORNALE,CZ824,1),"")</f>
        <v/>
      </c>
      <c r="DB824" s="48" t="str">
        <f t="shared" ca="1" si="1046"/>
        <v/>
      </c>
      <c r="DC824" s="48" t="str">
        <f t="shared" ref="DC824:DC833" ca="1" si="1065">IF(IFERROR(INDEX(LIBRO_GIORNALE,CZ824,4),"")=0,"manca la descrizione dell'operazione",IFERROR(INDEX(LIBRO_GIORNALE,CZ824,4),""))</f>
        <v/>
      </c>
      <c r="DD824" s="48" t="str">
        <f t="shared" ref="DD824:DD833" ca="1" si="1066">IFERROR(IF(INDEX(LIBRO_GIORNALE,CZ824,5)&gt;0,INDEX(LIBRO_GIORNALE,CZ824,5),""),"")</f>
        <v/>
      </c>
      <c r="DE824" s="48" t="str">
        <f t="shared" ref="DE824:DE833" ca="1" si="1067">IFERROR(IF(INDEX(LIBRO_GIORNALE,CZ824,6)&gt;0,INDEX(LIBRO_GIORNALE,CZ824,6),""),"")</f>
        <v/>
      </c>
      <c r="DF824" s="48">
        <f ca="1">IF(AND(CX824=$DF$1,CX824&lt;&gt;""),0,IF(AND(DB824&lt;&gt;"",OR(DB823&lt;&gt;"",DB825&lt;&gt;"")),MAX($DF$2:DF823)+1,0))</f>
        <v>0</v>
      </c>
    </row>
    <row r="825" spans="102:110" x14ac:dyDescent="0.3">
      <c r="CX825" s="48">
        <f t="shared" ca="1" si="1062"/>
        <v>64</v>
      </c>
      <c r="CY825" s="48" t="str">
        <f t="shared" ca="1" si="1061"/>
        <v>MASTRO</v>
      </c>
      <c r="CZ825" s="48" t="e">
        <f t="shared" ca="1" si="1064"/>
        <v>#N/A</v>
      </c>
      <c r="DA825" s="48" t="str">
        <f t="shared" ref="DA825:DA833" ca="1" si="1068">IFERROR(INDEX(LIBRO_GIORNALE,CZ825,1),"")</f>
        <v/>
      </c>
      <c r="DB825" s="48" t="str">
        <f t="shared" ca="1" si="1046"/>
        <v/>
      </c>
      <c r="DC825" s="48" t="str">
        <f t="shared" ca="1" si="1065"/>
        <v/>
      </c>
      <c r="DD825" s="48" t="str">
        <f t="shared" ca="1" si="1066"/>
        <v/>
      </c>
      <c r="DE825" s="48" t="str">
        <f t="shared" ca="1" si="1067"/>
        <v/>
      </c>
      <c r="DF825" s="48">
        <f ca="1">IF(AND(CX825=$DF$1,CX825&lt;&gt;""),0,IF(AND(DB825&lt;&gt;"",OR(DB824&lt;&gt;"",DB826&lt;&gt;"")),MAX($DF$2:DF824)+1,0))</f>
        <v>0</v>
      </c>
    </row>
    <row r="826" spans="102:110" x14ac:dyDescent="0.3">
      <c r="CX826" s="48">
        <f t="shared" ca="1" si="1062"/>
        <v>64</v>
      </c>
      <c r="CY826" s="48" t="str">
        <f t="shared" ca="1" si="1061"/>
        <v>MASTRO</v>
      </c>
      <c r="CZ826" s="48" t="e">
        <f t="shared" ca="1" si="1064"/>
        <v>#N/A</v>
      </c>
      <c r="DA826" s="48" t="str">
        <f t="shared" ca="1" si="1068"/>
        <v/>
      </c>
      <c r="DB826" s="48" t="str">
        <f t="shared" ca="1" si="1046"/>
        <v/>
      </c>
      <c r="DC826" s="48" t="str">
        <f t="shared" ca="1" si="1065"/>
        <v/>
      </c>
      <c r="DD826" s="48" t="str">
        <f t="shared" ca="1" si="1066"/>
        <v/>
      </c>
      <c r="DE826" s="48" t="str">
        <f t="shared" ca="1" si="1067"/>
        <v/>
      </c>
      <c r="DF826" s="48">
        <f ca="1">IF(AND(CX826=$DF$1,CX826&lt;&gt;""),0,IF(AND(DB826&lt;&gt;"",OR(DB825&lt;&gt;"",DB827&lt;&gt;"")),MAX($DF$2:DF825)+1,0))</f>
        <v>0</v>
      </c>
    </row>
    <row r="827" spans="102:110" x14ac:dyDescent="0.3">
      <c r="CX827" s="48">
        <f t="shared" ca="1" si="1062"/>
        <v>64</v>
      </c>
      <c r="CY827" s="48" t="str">
        <f t="shared" ca="1" si="1061"/>
        <v>MASTRO</v>
      </c>
      <c r="CZ827" s="48" t="e">
        <f t="shared" ca="1" si="1064"/>
        <v>#N/A</v>
      </c>
      <c r="DA827" s="48" t="str">
        <f t="shared" ca="1" si="1068"/>
        <v/>
      </c>
      <c r="DB827" s="48" t="str">
        <f t="shared" ca="1" si="1046"/>
        <v/>
      </c>
      <c r="DC827" s="48" t="str">
        <f t="shared" ca="1" si="1065"/>
        <v/>
      </c>
      <c r="DD827" s="48" t="str">
        <f t="shared" ca="1" si="1066"/>
        <v/>
      </c>
      <c r="DE827" s="48" t="str">
        <f t="shared" ca="1" si="1067"/>
        <v/>
      </c>
      <c r="DF827" s="48">
        <f ca="1">IF(AND(CX827=$DF$1,CX827&lt;&gt;""),0,IF(AND(DB827&lt;&gt;"",OR(DB826&lt;&gt;"",DB828&lt;&gt;"")),MAX($DF$2:DF826)+1,0))</f>
        <v>0</v>
      </c>
    </row>
    <row r="828" spans="102:110" x14ac:dyDescent="0.3">
      <c r="CX828" s="48">
        <f t="shared" ca="1" si="1062"/>
        <v>64</v>
      </c>
      <c r="CY828" s="48" t="str">
        <f t="shared" ca="1" si="1061"/>
        <v>MASTRO</v>
      </c>
      <c r="CZ828" s="48" t="e">
        <f t="shared" ca="1" si="1064"/>
        <v>#N/A</v>
      </c>
      <c r="DA828" s="48" t="str">
        <f t="shared" ca="1" si="1068"/>
        <v/>
      </c>
      <c r="DB828" s="48" t="str">
        <f t="shared" ca="1" si="1046"/>
        <v/>
      </c>
      <c r="DC828" s="48" t="str">
        <f t="shared" ca="1" si="1065"/>
        <v/>
      </c>
      <c r="DD828" s="48" t="str">
        <f t="shared" ca="1" si="1066"/>
        <v/>
      </c>
      <c r="DE828" s="48" t="str">
        <f t="shared" ca="1" si="1067"/>
        <v/>
      </c>
      <c r="DF828" s="48">
        <f ca="1">IF(AND(CX828=$DF$1,CX828&lt;&gt;""),0,IF(AND(DB828&lt;&gt;"",OR(DB827&lt;&gt;"",DB829&lt;&gt;"")),MAX($DF$2:DF827)+1,0))</f>
        <v>0</v>
      </c>
    </row>
    <row r="829" spans="102:110" x14ac:dyDescent="0.3">
      <c r="CX829" s="48">
        <f t="shared" ca="1" si="1062"/>
        <v>64</v>
      </c>
      <c r="CY829" s="48" t="str">
        <f t="shared" ca="1" si="1061"/>
        <v>MASTRO</v>
      </c>
      <c r="CZ829" s="48" t="e">
        <f t="shared" ca="1" si="1064"/>
        <v>#N/A</v>
      </c>
      <c r="DA829" s="48" t="str">
        <f t="shared" ca="1" si="1068"/>
        <v/>
      </c>
      <c r="DB829" s="48" t="str">
        <f t="shared" ca="1" si="1046"/>
        <v/>
      </c>
      <c r="DC829" s="48" t="str">
        <f t="shared" ca="1" si="1065"/>
        <v/>
      </c>
      <c r="DD829" s="48" t="str">
        <f t="shared" ca="1" si="1066"/>
        <v/>
      </c>
      <c r="DE829" s="48" t="str">
        <f t="shared" ca="1" si="1067"/>
        <v/>
      </c>
      <c r="DF829" s="48">
        <f ca="1">IF(AND(CX829=$DF$1,CX829&lt;&gt;""),0,IF(AND(DB829&lt;&gt;"",OR(DB828&lt;&gt;"",DB830&lt;&gt;"")),MAX($DF$2:DF828)+1,0))</f>
        <v>0</v>
      </c>
    </row>
    <row r="830" spans="102:110" x14ac:dyDescent="0.3">
      <c r="CX830" s="48">
        <f t="shared" ca="1" si="1062"/>
        <v>64</v>
      </c>
      <c r="CY830" s="48" t="str">
        <f t="shared" ca="1" si="1061"/>
        <v>MASTRO</v>
      </c>
      <c r="CZ830" s="48" t="e">
        <f t="shared" ca="1" si="1064"/>
        <v>#N/A</v>
      </c>
      <c r="DA830" s="48" t="str">
        <f t="shared" ca="1" si="1068"/>
        <v/>
      </c>
      <c r="DB830" s="48" t="str">
        <f t="shared" ca="1" si="1046"/>
        <v/>
      </c>
      <c r="DC830" s="48" t="str">
        <f t="shared" ca="1" si="1065"/>
        <v/>
      </c>
      <c r="DD830" s="48" t="str">
        <f t="shared" ca="1" si="1066"/>
        <v/>
      </c>
      <c r="DE830" s="48" t="str">
        <f t="shared" ca="1" si="1067"/>
        <v/>
      </c>
      <c r="DF830" s="48">
        <f ca="1">IF(AND(CX830=$DF$1,CX830&lt;&gt;""),0,IF(AND(DB830&lt;&gt;"",OR(DB829&lt;&gt;"",DB831&lt;&gt;"")),MAX($DF$2:DF829)+1,0))</f>
        <v>0</v>
      </c>
    </row>
    <row r="831" spans="102:110" x14ac:dyDescent="0.3">
      <c r="CX831" s="48">
        <f t="shared" ca="1" si="1062"/>
        <v>64</v>
      </c>
      <c r="CY831" s="48" t="str">
        <f t="shared" ca="1" si="1061"/>
        <v>MASTRO</v>
      </c>
      <c r="CZ831" s="48" t="e">
        <f t="shared" ca="1" si="1064"/>
        <v>#N/A</v>
      </c>
      <c r="DA831" s="48" t="str">
        <f t="shared" ca="1" si="1068"/>
        <v/>
      </c>
      <c r="DB831" s="48" t="str">
        <f t="shared" ca="1" si="1046"/>
        <v/>
      </c>
      <c r="DC831" s="48" t="str">
        <f t="shared" ca="1" si="1065"/>
        <v/>
      </c>
      <c r="DD831" s="48" t="str">
        <f t="shared" ca="1" si="1066"/>
        <v/>
      </c>
      <c r="DE831" s="48" t="str">
        <f t="shared" ca="1" si="1067"/>
        <v/>
      </c>
      <c r="DF831" s="48">
        <f ca="1">IF(AND(CX831=$DF$1,CX831&lt;&gt;""),0,IF(AND(DB831&lt;&gt;"",OR(DB830&lt;&gt;"",DB832&lt;&gt;"")),MAX($DF$2:DF830)+1,0))</f>
        <v>0</v>
      </c>
    </row>
    <row r="832" spans="102:110" x14ac:dyDescent="0.3">
      <c r="CX832" s="48">
        <f t="shared" ca="1" si="1062"/>
        <v>64</v>
      </c>
      <c r="CY832" s="48" t="str">
        <f t="shared" ca="1" si="1061"/>
        <v>MASTRO</v>
      </c>
      <c r="CZ832" s="48" t="e">
        <f t="shared" ca="1" si="1064"/>
        <v>#N/A</v>
      </c>
      <c r="DA832" s="48" t="str">
        <f t="shared" ca="1" si="1068"/>
        <v/>
      </c>
      <c r="DB832" s="48" t="str">
        <f t="shared" ca="1" si="1046"/>
        <v/>
      </c>
      <c r="DC832" s="48" t="str">
        <f t="shared" ca="1" si="1065"/>
        <v/>
      </c>
      <c r="DD832" s="48" t="str">
        <f t="shared" ca="1" si="1066"/>
        <v/>
      </c>
      <c r="DE832" s="48" t="str">
        <f t="shared" ca="1" si="1067"/>
        <v/>
      </c>
      <c r="DF832" s="48">
        <f ca="1">IF(AND(CX832=$DF$1,CX832&lt;&gt;""),0,IF(AND(DB832&lt;&gt;"",OR(DB831&lt;&gt;"",DB833&lt;&gt;"")),MAX($DF$2:DF831)+1,0))</f>
        <v>0</v>
      </c>
    </row>
    <row r="833" spans="102:110" x14ac:dyDescent="0.3">
      <c r="CX833" s="48">
        <f t="shared" ca="1" si="1062"/>
        <v>64</v>
      </c>
      <c r="CY833" s="48" t="str">
        <f t="shared" ca="1" si="1061"/>
        <v>MASTRO</v>
      </c>
      <c r="CZ833" s="48" t="e">
        <f t="shared" ca="1" si="1064"/>
        <v>#N/A</v>
      </c>
      <c r="DA833" s="48" t="str">
        <f t="shared" ca="1" si="1068"/>
        <v/>
      </c>
      <c r="DB833" s="48" t="str">
        <f t="shared" ca="1" si="1046"/>
        <v/>
      </c>
      <c r="DC833" s="48" t="str">
        <f t="shared" ca="1" si="1065"/>
        <v/>
      </c>
      <c r="DD833" s="48" t="str">
        <f t="shared" ca="1" si="1066"/>
        <v/>
      </c>
      <c r="DE833" s="48" t="str">
        <f t="shared" ca="1" si="1067"/>
        <v/>
      </c>
      <c r="DF833" s="48">
        <f ca="1">IF(AND(CX833=$DF$1,CX833&lt;&gt;""),0,IF(AND(DB833&lt;&gt;"",OR(DB832&lt;&gt;"",DB834&lt;&gt;"")),MAX($DF$2:DF832)+1,0))</f>
        <v>0</v>
      </c>
    </row>
    <row r="834" spans="102:110" x14ac:dyDescent="0.3">
      <c r="CY834" s="48" t="s">
        <v>500</v>
      </c>
      <c r="DB834" s="48" t="str">
        <f t="shared" ref="DB834" ca="1" si="1069">IF(CX833=$DF$1,"","MASTRO")</f>
        <v>MASTRO</v>
      </c>
      <c r="DF834" s="48">
        <f ca="1">IF(AND(CX834=$DF$1,CX834&lt;&gt;""),0,IF(AND(DB834&lt;&gt;"",OR(DB833&lt;&gt;"",DB835&lt;&gt;"")),MAX($DF$2:DF833)+1,0))</f>
        <v>0</v>
      </c>
    </row>
    <row r="835" spans="102:110" x14ac:dyDescent="0.3">
      <c r="CX835" s="48">
        <f ca="1">$FF$67</f>
        <v>65</v>
      </c>
      <c r="CY835" s="48" t="str">
        <f t="shared" ref="CY835:CY846" ca="1" si="1070">IF(ISERROR(INDEX($CV$3:$CX$1302,MATCH(CX835,$CW$3:$CW$1302,0),1)),"MASTRO",INDEX($CV$3:$CX$1302,MATCH(CX835,$CW$3:$CW$1302,0),1))</f>
        <v>MASTRO</v>
      </c>
      <c r="DA835" s="48" t="str">
        <f>IF(CY834="MASTRO","Conto n.","")</f>
        <v>Conto n.</v>
      </c>
      <c r="DB835" s="48" t="str">
        <f ca="1">IF(CY835=0,"",INDEX(PDC,MATCH(DC835,DEN_PDC,0),1))</f>
        <v/>
      </c>
      <c r="DC835" s="48" t="str">
        <f ca="1">IF(OR(CY835=0,CY835="mastro"),"",CY835)</f>
        <v/>
      </c>
      <c r="DD835" s="48" t="str">
        <f ca="1">IF(AND($DA$2=TRUE,OR(INDEX(PDC,MATCH($DC835,DEN_PDC,0),4)="A",INDEX(PDC,MATCH($DC835,DEN_PDC,0),4)="D/A"),SUMIFS(AVERE,DEN_G,"="&amp;$DC835,DATA,"&lt;="&amp;FINE_AC,DATA,"&gt;="&amp;INIZIO_AC)&gt;SUMIFS(DARE,DEN_G,"="&amp;$DC835,DATA,"&lt;="&amp;FINE_AC,DATA,"&gt;="&amp;INIZIO_AC)),CONCATENATE("s ",FIXED(ABS(SUMIFS(AVERE,DEN_G,"="&amp;$DC835,DATA,"&lt;="&amp;FINE_AC,DATA,"&gt;="&amp;INIZIO_AC)-SUMIFS(DARE,DEN_G,"="&amp;$DC835,DATA,"&lt;="&amp;FINE_AC,DATA,"&gt;="&amp;INIZIO_AC)),2)),"")</f>
        <v/>
      </c>
      <c r="DE835" s="48" t="str">
        <f ca="1">IF(AND($DA$2=TRUE,OR(INDEX(PDC,MATCH($DC835,DEN_PDC,0),4)="D",INDEX(PDC,MATCH($DC835,DEN_PDC,0),4)="D/A"),SUMIFS(DARE,DEN_G,"="&amp;$DC835,DATA,"&lt;="&amp;FINE_AC,DATA,"&gt;="&amp;INIZIO_AC)&gt;SUMIFS(AVERE,DEN_G,"="&amp;$DC835,DATA,"&lt;="&amp;FINE_AC,DATA,"&gt;="&amp;INIZIO_AC)),CONCATENATE("s ",FIXED(ABS(SUMIFS(DARE,DEN_G,"="&amp;$DC835,DATA,"&lt;="&amp;FINE_AC,DATA,"&gt;="&amp;INIZIO_AC)-SUMIFS(AVERE,DEN_G,"="&amp;$DC835,DATA,"&lt;="&amp;FINE_AC,DATA,"&gt;="&amp;INIZIO_AC)),2)),"")</f>
        <v/>
      </c>
      <c r="DF835" s="48">
        <f ca="1">IF(AND(CX835=$DF$1,CX835&lt;&gt;""),0,IF(AND(DB835&lt;&gt;"",OR(DB834&lt;&gt;"",DB836&lt;&gt;"")),MAX($DF$2:DF834)+1,0))</f>
        <v>0</v>
      </c>
    </row>
    <row r="836" spans="102:110" x14ac:dyDescent="0.3">
      <c r="CX836" s="48">
        <f t="shared" ref="CX836:CX846" ca="1" si="1071">$FF$67</f>
        <v>65</v>
      </c>
      <c r="CY836" s="48" t="str">
        <f t="shared" ca="1" si="1070"/>
        <v>MASTRO</v>
      </c>
      <c r="DA836" s="48" t="str">
        <f ca="1">IF(DB835="","","Num. riga")</f>
        <v/>
      </c>
      <c r="DB836" s="48" t="str">
        <f t="shared" ref="DB836" ca="1" si="1072">IF(DB835="","","Data")</f>
        <v/>
      </c>
      <c r="DC836" s="48" t="str">
        <f ca="1">IF(DB835="","","Operazioni")</f>
        <v/>
      </c>
      <c r="DD836" s="48" t="str">
        <f ca="1">IF(DB835="","","Dare        ")</f>
        <v/>
      </c>
      <c r="DE836" s="48" t="str">
        <f ca="1">IF(DB835="","","Avere        ")</f>
        <v/>
      </c>
      <c r="DF836" s="48">
        <f ca="1">IF(AND(CX836=$DF$1,CX836&lt;&gt;""),0,IF(AND(DB836&lt;&gt;"",OR(DB835&lt;&gt;"",DB837&lt;&gt;"")),MAX($DF$2:DF835)+1,0))</f>
        <v>0</v>
      </c>
    </row>
    <row r="837" spans="102:110" x14ac:dyDescent="0.3">
      <c r="CX837" s="48">
        <f t="shared" ca="1" si="1071"/>
        <v>65</v>
      </c>
      <c r="CY837" s="48" t="str">
        <f t="shared" ca="1" si="1070"/>
        <v>MASTRO</v>
      </c>
      <c r="CZ837" s="48" t="e">
        <f t="shared" ref="CZ837:CZ846" ca="1" si="1073">SUM(MATCH($CY837,INDIRECT(ADDRESS(SUM(CZ836)+3,54)&amp;":"&amp;ADDRESS(400,54)),0),CZ836)</f>
        <v>#N/A</v>
      </c>
      <c r="DA837" s="48" t="str">
        <f ca="1">IFERROR(INDEX(LIBRO_GIORNALE,CZ837,1),"")</f>
        <v/>
      </c>
      <c r="DB837" s="48" t="str">
        <f t="shared" ca="1" si="1046"/>
        <v/>
      </c>
      <c r="DC837" s="48" t="str">
        <f t="shared" ref="DC837:DC846" ca="1" si="1074">IF(IFERROR(INDEX(LIBRO_GIORNALE,CZ837,4),"")=0,"manca la descrizione dell'operazione",IFERROR(INDEX(LIBRO_GIORNALE,CZ837,4),""))</f>
        <v/>
      </c>
      <c r="DD837" s="48" t="str">
        <f t="shared" ref="DD837:DD846" ca="1" si="1075">IFERROR(IF(INDEX(LIBRO_GIORNALE,CZ837,5)&gt;0,INDEX(LIBRO_GIORNALE,CZ837,5),""),"")</f>
        <v/>
      </c>
      <c r="DE837" s="48" t="str">
        <f t="shared" ref="DE837:DE846" ca="1" si="1076">IFERROR(IF(INDEX(LIBRO_GIORNALE,CZ837,6)&gt;0,INDEX(LIBRO_GIORNALE,CZ837,6),""),"")</f>
        <v/>
      </c>
      <c r="DF837" s="48">
        <f ca="1">IF(AND(CX837=$DF$1,CX837&lt;&gt;""),0,IF(AND(DB837&lt;&gt;"",OR(DB836&lt;&gt;"",DB838&lt;&gt;"")),MAX($DF$2:DF836)+1,0))</f>
        <v>0</v>
      </c>
    </row>
    <row r="838" spans="102:110" x14ac:dyDescent="0.3">
      <c r="CX838" s="48">
        <f t="shared" ca="1" si="1071"/>
        <v>65</v>
      </c>
      <c r="CY838" s="48" t="str">
        <f t="shared" ca="1" si="1070"/>
        <v>MASTRO</v>
      </c>
      <c r="CZ838" s="48" t="e">
        <f t="shared" ca="1" si="1073"/>
        <v>#N/A</v>
      </c>
      <c r="DA838" s="48" t="str">
        <f t="shared" ref="DA838:DA846" ca="1" si="1077">IFERROR(INDEX(LIBRO_GIORNALE,CZ838,1),"")</f>
        <v/>
      </c>
      <c r="DB838" s="48" t="str">
        <f t="shared" ca="1" si="1046"/>
        <v/>
      </c>
      <c r="DC838" s="48" t="str">
        <f t="shared" ca="1" si="1074"/>
        <v/>
      </c>
      <c r="DD838" s="48" t="str">
        <f t="shared" ca="1" si="1075"/>
        <v/>
      </c>
      <c r="DE838" s="48" t="str">
        <f t="shared" ca="1" si="1076"/>
        <v/>
      </c>
      <c r="DF838" s="48">
        <f ca="1">IF(AND(CX838=$DF$1,CX838&lt;&gt;""),0,IF(AND(DB838&lt;&gt;"",OR(DB837&lt;&gt;"",DB839&lt;&gt;"")),MAX($DF$2:DF837)+1,0))</f>
        <v>0</v>
      </c>
    </row>
    <row r="839" spans="102:110" x14ac:dyDescent="0.3">
      <c r="CX839" s="48">
        <f t="shared" ca="1" si="1071"/>
        <v>65</v>
      </c>
      <c r="CY839" s="48" t="str">
        <f t="shared" ca="1" si="1070"/>
        <v>MASTRO</v>
      </c>
      <c r="CZ839" s="48" t="e">
        <f t="shared" ca="1" si="1073"/>
        <v>#N/A</v>
      </c>
      <c r="DA839" s="48" t="str">
        <f t="shared" ca="1" si="1077"/>
        <v/>
      </c>
      <c r="DB839" s="48" t="str">
        <f t="shared" ca="1" si="1046"/>
        <v/>
      </c>
      <c r="DC839" s="48" t="str">
        <f t="shared" ca="1" si="1074"/>
        <v/>
      </c>
      <c r="DD839" s="48" t="str">
        <f t="shared" ca="1" si="1075"/>
        <v/>
      </c>
      <c r="DE839" s="48" t="str">
        <f t="shared" ca="1" si="1076"/>
        <v/>
      </c>
      <c r="DF839" s="48">
        <f ca="1">IF(AND(CX839=$DF$1,CX839&lt;&gt;""),0,IF(AND(DB839&lt;&gt;"",OR(DB838&lt;&gt;"",DB840&lt;&gt;"")),MAX($DF$2:DF838)+1,0))</f>
        <v>0</v>
      </c>
    </row>
    <row r="840" spans="102:110" x14ac:dyDescent="0.3">
      <c r="CX840" s="48">
        <f t="shared" ca="1" si="1071"/>
        <v>65</v>
      </c>
      <c r="CY840" s="48" t="str">
        <f t="shared" ca="1" si="1070"/>
        <v>MASTRO</v>
      </c>
      <c r="CZ840" s="48" t="e">
        <f t="shared" ca="1" si="1073"/>
        <v>#N/A</v>
      </c>
      <c r="DA840" s="48" t="str">
        <f t="shared" ca="1" si="1077"/>
        <v/>
      </c>
      <c r="DB840" s="48" t="str">
        <f t="shared" ca="1" si="1046"/>
        <v/>
      </c>
      <c r="DC840" s="48" t="str">
        <f t="shared" ca="1" si="1074"/>
        <v/>
      </c>
      <c r="DD840" s="48" t="str">
        <f t="shared" ca="1" si="1075"/>
        <v/>
      </c>
      <c r="DE840" s="48" t="str">
        <f t="shared" ca="1" si="1076"/>
        <v/>
      </c>
      <c r="DF840" s="48">
        <f ca="1">IF(AND(CX840=$DF$1,CX840&lt;&gt;""),0,IF(AND(DB840&lt;&gt;"",OR(DB839&lt;&gt;"",DB841&lt;&gt;"")),MAX($DF$2:DF839)+1,0))</f>
        <v>0</v>
      </c>
    </row>
    <row r="841" spans="102:110" x14ac:dyDescent="0.3">
      <c r="CX841" s="48">
        <f t="shared" ca="1" si="1071"/>
        <v>65</v>
      </c>
      <c r="CY841" s="48" t="str">
        <f t="shared" ca="1" si="1070"/>
        <v>MASTRO</v>
      </c>
      <c r="CZ841" s="48" t="e">
        <f t="shared" ca="1" si="1073"/>
        <v>#N/A</v>
      </c>
      <c r="DA841" s="48" t="str">
        <f t="shared" ca="1" si="1077"/>
        <v/>
      </c>
      <c r="DB841" s="48" t="str">
        <f t="shared" ca="1" si="1046"/>
        <v/>
      </c>
      <c r="DC841" s="48" t="str">
        <f t="shared" ca="1" si="1074"/>
        <v/>
      </c>
      <c r="DD841" s="48" t="str">
        <f t="shared" ca="1" si="1075"/>
        <v/>
      </c>
      <c r="DE841" s="48" t="str">
        <f t="shared" ca="1" si="1076"/>
        <v/>
      </c>
      <c r="DF841" s="48">
        <f ca="1">IF(AND(CX841=$DF$1,CX841&lt;&gt;""),0,IF(AND(DB841&lt;&gt;"",OR(DB840&lt;&gt;"",DB842&lt;&gt;"")),MAX($DF$2:DF840)+1,0))</f>
        <v>0</v>
      </c>
    </row>
    <row r="842" spans="102:110" x14ac:dyDescent="0.3">
      <c r="CX842" s="48">
        <f t="shared" ca="1" si="1071"/>
        <v>65</v>
      </c>
      <c r="CY842" s="48" t="str">
        <f t="shared" ca="1" si="1070"/>
        <v>MASTRO</v>
      </c>
      <c r="CZ842" s="48" t="e">
        <f t="shared" ca="1" si="1073"/>
        <v>#N/A</v>
      </c>
      <c r="DA842" s="48" t="str">
        <f t="shared" ca="1" si="1077"/>
        <v/>
      </c>
      <c r="DB842" s="48" t="str">
        <f t="shared" ca="1" si="1046"/>
        <v/>
      </c>
      <c r="DC842" s="48" t="str">
        <f t="shared" ca="1" si="1074"/>
        <v/>
      </c>
      <c r="DD842" s="48" t="str">
        <f t="shared" ca="1" si="1075"/>
        <v/>
      </c>
      <c r="DE842" s="48" t="str">
        <f t="shared" ca="1" si="1076"/>
        <v/>
      </c>
      <c r="DF842" s="48">
        <f ca="1">IF(AND(CX842=$DF$1,CX842&lt;&gt;""),0,IF(AND(DB842&lt;&gt;"",OR(DB841&lt;&gt;"",DB843&lt;&gt;"")),MAX($DF$2:DF841)+1,0))</f>
        <v>0</v>
      </c>
    </row>
    <row r="843" spans="102:110" x14ac:dyDescent="0.3">
      <c r="CX843" s="48">
        <f t="shared" ca="1" si="1071"/>
        <v>65</v>
      </c>
      <c r="CY843" s="48" t="str">
        <f t="shared" ca="1" si="1070"/>
        <v>MASTRO</v>
      </c>
      <c r="CZ843" s="48" t="e">
        <f t="shared" ca="1" si="1073"/>
        <v>#N/A</v>
      </c>
      <c r="DA843" s="48" t="str">
        <f t="shared" ca="1" si="1077"/>
        <v/>
      </c>
      <c r="DB843" s="48" t="str">
        <f t="shared" ca="1" si="1046"/>
        <v/>
      </c>
      <c r="DC843" s="48" t="str">
        <f t="shared" ca="1" si="1074"/>
        <v/>
      </c>
      <c r="DD843" s="48" t="str">
        <f t="shared" ca="1" si="1075"/>
        <v/>
      </c>
      <c r="DE843" s="48" t="str">
        <f t="shared" ca="1" si="1076"/>
        <v/>
      </c>
      <c r="DF843" s="48">
        <f ca="1">IF(AND(CX843=$DF$1,CX843&lt;&gt;""),0,IF(AND(DB843&lt;&gt;"",OR(DB842&lt;&gt;"",DB844&lt;&gt;"")),MAX($DF$2:DF842)+1,0))</f>
        <v>0</v>
      </c>
    </row>
    <row r="844" spans="102:110" x14ac:dyDescent="0.3">
      <c r="CX844" s="48">
        <f t="shared" ca="1" si="1071"/>
        <v>65</v>
      </c>
      <c r="CY844" s="48" t="str">
        <f t="shared" ca="1" si="1070"/>
        <v>MASTRO</v>
      </c>
      <c r="CZ844" s="48" t="e">
        <f t="shared" ca="1" si="1073"/>
        <v>#N/A</v>
      </c>
      <c r="DA844" s="48" t="str">
        <f t="shared" ca="1" si="1077"/>
        <v/>
      </c>
      <c r="DB844" s="48" t="str">
        <f t="shared" ca="1" si="1046"/>
        <v/>
      </c>
      <c r="DC844" s="48" t="str">
        <f t="shared" ca="1" si="1074"/>
        <v/>
      </c>
      <c r="DD844" s="48" t="str">
        <f t="shared" ca="1" si="1075"/>
        <v/>
      </c>
      <c r="DE844" s="48" t="str">
        <f t="shared" ca="1" si="1076"/>
        <v/>
      </c>
      <c r="DF844" s="48">
        <f ca="1">IF(AND(CX844=$DF$1,CX844&lt;&gt;""),0,IF(AND(DB844&lt;&gt;"",OR(DB843&lt;&gt;"",DB845&lt;&gt;"")),MAX($DF$2:DF843)+1,0))</f>
        <v>0</v>
      </c>
    </row>
    <row r="845" spans="102:110" x14ac:dyDescent="0.3">
      <c r="CX845" s="48">
        <f t="shared" ca="1" si="1071"/>
        <v>65</v>
      </c>
      <c r="CY845" s="48" t="str">
        <f t="shared" ca="1" si="1070"/>
        <v>MASTRO</v>
      </c>
      <c r="CZ845" s="48" t="e">
        <f t="shared" ca="1" si="1073"/>
        <v>#N/A</v>
      </c>
      <c r="DA845" s="48" t="str">
        <f t="shared" ca="1" si="1077"/>
        <v/>
      </c>
      <c r="DB845" s="48" t="str">
        <f t="shared" ca="1" si="1046"/>
        <v/>
      </c>
      <c r="DC845" s="48" t="str">
        <f t="shared" ca="1" si="1074"/>
        <v/>
      </c>
      <c r="DD845" s="48" t="str">
        <f t="shared" ca="1" si="1075"/>
        <v/>
      </c>
      <c r="DE845" s="48" t="str">
        <f t="shared" ca="1" si="1076"/>
        <v/>
      </c>
      <c r="DF845" s="48">
        <f ca="1">IF(AND(CX845=$DF$1,CX845&lt;&gt;""),0,IF(AND(DB845&lt;&gt;"",OR(DB844&lt;&gt;"",DB846&lt;&gt;"")),MAX($DF$2:DF844)+1,0))</f>
        <v>0</v>
      </c>
    </row>
    <row r="846" spans="102:110" x14ac:dyDescent="0.3">
      <c r="CX846" s="48">
        <f t="shared" ca="1" si="1071"/>
        <v>65</v>
      </c>
      <c r="CY846" s="48" t="str">
        <f t="shared" ca="1" si="1070"/>
        <v>MASTRO</v>
      </c>
      <c r="CZ846" s="48" t="e">
        <f t="shared" ca="1" si="1073"/>
        <v>#N/A</v>
      </c>
      <c r="DA846" s="48" t="str">
        <f t="shared" ca="1" si="1077"/>
        <v/>
      </c>
      <c r="DB846" s="48" t="str">
        <f t="shared" ca="1" si="1046"/>
        <v/>
      </c>
      <c r="DC846" s="48" t="str">
        <f t="shared" ca="1" si="1074"/>
        <v/>
      </c>
      <c r="DD846" s="48" t="str">
        <f t="shared" ca="1" si="1075"/>
        <v/>
      </c>
      <c r="DE846" s="48" t="str">
        <f t="shared" ca="1" si="1076"/>
        <v/>
      </c>
      <c r="DF846" s="48">
        <f ca="1">IF(AND(CX846=$DF$1,CX846&lt;&gt;""),0,IF(AND(DB846&lt;&gt;"",OR(DB845&lt;&gt;"",DB847&lt;&gt;"")),MAX($DF$2:DF845)+1,0))</f>
        <v>0</v>
      </c>
    </row>
    <row r="847" spans="102:110" x14ac:dyDescent="0.3">
      <c r="CY847" s="48" t="s">
        <v>500</v>
      </c>
      <c r="DB847" s="48" t="str">
        <f t="shared" ref="DB847" ca="1" si="1078">IF(CX846=$DF$1,"","MASTRO")</f>
        <v>MASTRO</v>
      </c>
      <c r="DF847" s="48">
        <f ca="1">IF(AND(CX847=$DF$1,CX847&lt;&gt;""),0,IF(AND(DB847&lt;&gt;"",OR(DB846&lt;&gt;"",DB848&lt;&gt;"")),MAX($DF$2:DF846)+1,0))</f>
        <v>0</v>
      </c>
    </row>
    <row r="848" spans="102:110" x14ac:dyDescent="0.3">
      <c r="CX848" s="48">
        <f ca="1">$FF$68</f>
        <v>66</v>
      </c>
      <c r="CY848" s="48" t="str">
        <f t="shared" ref="CY848:CY859" ca="1" si="1079">IF(ISERROR(INDEX($CV$3:$CX$1302,MATCH(CX848,$CW$3:$CW$1302,0),1)),"MASTRO",INDEX($CV$3:$CX$1302,MATCH(CX848,$CW$3:$CW$1302,0),1))</f>
        <v>MASTRO</v>
      </c>
      <c r="DA848" s="48" t="str">
        <f>IF(CY847="MASTRO","Conto n.","")</f>
        <v>Conto n.</v>
      </c>
      <c r="DB848" s="48" t="str">
        <f ca="1">IF(CY848=0,"",INDEX(PDC,MATCH(DC848,DEN_PDC,0),1))</f>
        <v/>
      </c>
      <c r="DC848" s="48" t="str">
        <f ca="1">IF(OR(CY848=0,CY848="mastro"),"",CY848)</f>
        <v/>
      </c>
      <c r="DD848" s="48" t="str">
        <f ca="1">IF(AND($DA$2=TRUE,OR(INDEX(PDC,MATCH($DC848,DEN_PDC,0),4)="A",INDEX(PDC,MATCH($DC848,DEN_PDC,0),4)="D/A"),SUMIFS(AVERE,DEN_G,"="&amp;$DC848,DATA,"&lt;="&amp;FINE_AC,DATA,"&gt;="&amp;INIZIO_AC)&gt;SUMIFS(DARE,DEN_G,"="&amp;$DC848,DATA,"&lt;="&amp;FINE_AC,DATA,"&gt;="&amp;INIZIO_AC)),CONCATENATE("s ",FIXED(ABS(SUMIFS(AVERE,DEN_G,"="&amp;$DC848,DATA,"&lt;="&amp;FINE_AC,DATA,"&gt;="&amp;INIZIO_AC)-SUMIFS(DARE,DEN_G,"="&amp;$DC848,DATA,"&lt;="&amp;FINE_AC,DATA,"&gt;="&amp;INIZIO_AC)),2)),"")</f>
        <v/>
      </c>
      <c r="DE848" s="48" t="str">
        <f ca="1">IF(AND($DA$2=TRUE,OR(INDEX(PDC,MATCH($DC848,DEN_PDC,0),4)="D",INDEX(PDC,MATCH($DC848,DEN_PDC,0),4)="D/A"),SUMIFS(DARE,DEN_G,"="&amp;$DC848,DATA,"&lt;="&amp;FINE_AC,DATA,"&gt;="&amp;INIZIO_AC)&gt;SUMIFS(AVERE,DEN_G,"="&amp;$DC848,DATA,"&lt;="&amp;FINE_AC,DATA,"&gt;="&amp;INIZIO_AC)),CONCATENATE("s ",FIXED(ABS(SUMIFS(DARE,DEN_G,"="&amp;$DC848,DATA,"&lt;="&amp;FINE_AC,DATA,"&gt;="&amp;INIZIO_AC)-SUMIFS(AVERE,DEN_G,"="&amp;$DC848,DATA,"&lt;="&amp;FINE_AC,DATA,"&gt;="&amp;INIZIO_AC)),2)),"")</f>
        <v/>
      </c>
      <c r="DF848" s="48">
        <f ca="1">IF(AND(CX848=$DF$1,CX848&lt;&gt;""),0,IF(AND(DB848&lt;&gt;"",OR(DB847&lt;&gt;"",DB849&lt;&gt;"")),MAX($DF$2:DF847)+1,0))</f>
        <v>0</v>
      </c>
    </row>
    <row r="849" spans="102:110" x14ac:dyDescent="0.3">
      <c r="CX849" s="48">
        <f t="shared" ref="CX849:CX859" ca="1" si="1080">$FF$68</f>
        <v>66</v>
      </c>
      <c r="CY849" s="48" t="str">
        <f t="shared" ca="1" si="1079"/>
        <v>MASTRO</v>
      </c>
      <c r="DA849" s="48" t="str">
        <f ca="1">IF(DB848="","","Num. riga")</f>
        <v/>
      </c>
      <c r="DB849" s="48" t="str">
        <f t="shared" ref="DB849" ca="1" si="1081">IF(DB848="","","Data")</f>
        <v/>
      </c>
      <c r="DC849" s="48" t="str">
        <f ca="1">IF(DB848="","","Operazioni")</f>
        <v/>
      </c>
      <c r="DD849" s="48" t="str">
        <f ca="1">IF(DB848="","","Dare        ")</f>
        <v/>
      </c>
      <c r="DE849" s="48" t="str">
        <f ca="1">IF(DB848="","","Avere        ")</f>
        <v/>
      </c>
      <c r="DF849" s="48">
        <f ca="1">IF(AND(CX849=$DF$1,CX849&lt;&gt;""),0,IF(AND(DB849&lt;&gt;"",OR(DB848&lt;&gt;"",DB850&lt;&gt;"")),MAX($DF$2:DF848)+1,0))</f>
        <v>0</v>
      </c>
    </row>
    <row r="850" spans="102:110" x14ac:dyDescent="0.3">
      <c r="CX850" s="48">
        <f t="shared" ca="1" si="1080"/>
        <v>66</v>
      </c>
      <c r="CY850" s="48" t="str">
        <f t="shared" ca="1" si="1079"/>
        <v>MASTRO</v>
      </c>
      <c r="CZ850" s="48" t="e">
        <f t="shared" ref="CZ850:CZ859" ca="1" si="1082">SUM(MATCH($CY850,INDIRECT(ADDRESS(SUM(CZ849)+3,54)&amp;":"&amp;ADDRESS(400,54)),0),CZ849)</f>
        <v>#N/A</v>
      </c>
      <c r="DA850" s="48" t="str">
        <f ca="1">IFERROR(INDEX(LIBRO_GIORNALE,CZ850,1),"")</f>
        <v/>
      </c>
      <c r="DB850" s="48" t="str">
        <f t="shared" ca="1" si="1046"/>
        <v/>
      </c>
      <c r="DC850" s="48" t="str">
        <f t="shared" ref="DC850:DC859" ca="1" si="1083">IF(IFERROR(INDEX(LIBRO_GIORNALE,CZ850,4),"")=0,"manca la descrizione dell'operazione",IFERROR(INDEX(LIBRO_GIORNALE,CZ850,4),""))</f>
        <v/>
      </c>
      <c r="DD850" s="48" t="str">
        <f t="shared" ref="DD850:DD859" ca="1" si="1084">IFERROR(IF(INDEX(LIBRO_GIORNALE,CZ850,5)&gt;0,INDEX(LIBRO_GIORNALE,CZ850,5),""),"")</f>
        <v/>
      </c>
      <c r="DE850" s="48" t="str">
        <f t="shared" ref="DE850:DE859" ca="1" si="1085">IFERROR(IF(INDEX(LIBRO_GIORNALE,CZ850,6)&gt;0,INDEX(LIBRO_GIORNALE,CZ850,6),""),"")</f>
        <v/>
      </c>
      <c r="DF850" s="48">
        <f ca="1">IF(AND(CX850=$DF$1,CX850&lt;&gt;""),0,IF(AND(DB850&lt;&gt;"",OR(DB849&lt;&gt;"",DB851&lt;&gt;"")),MAX($DF$2:DF849)+1,0))</f>
        <v>0</v>
      </c>
    </row>
    <row r="851" spans="102:110" x14ac:dyDescent="0.3">
      <c r="CX851" s="48">
        <f t="shared" ca="1" si="1080"/>
        <v>66</v>
      </c>
      <c r="CY851" s="48" t="str">
        <f t="shared" ca="1" si="1079"/>
        <v>MASTRO</v>
      </c>
      <c r="CZ851" s="48" t="e">
        <f t="shared" ca="1" si="1082"/>
        <v>#N/A</v>
      </c>
      <c r="DA851" s="48" t="str">
        <f t="shared" ref="DA851:DA859" ca="1" si="1086">IFERROR(INDEX(LIBRO_GIORNALE,CZ851,1),"")</f>
        <v/>
      </c>
      <c r="DB851" s="48" t="str">
        <f t="shared" ca="1" si="1046"/>
        <v/>
      </c>
      <c r="DC851" s="48" t="str">
        <f t="shared" ca="1" si="1083"/>
        <v/>
      </c>
      <c r="DD851" s="48" t="str">
        <f t="shared" ca="1" si="1084"/>
        <v/>
      </c>
      <c r="DE851" s="48" t="str">
        <f t="shared" ca="1" si="1085"/>
        <v/>
      </c>
      <c r="DF851" s="48">
        <f ca="1">IF(AND(CX851=$DF$1,CX851&lt;&gt;""),0,IF(AND(DB851&lt;&gt;"",OR(DB850&lt;&gt;"",DB852&lt;&gt;"")),MAX($DF$2:DF850)+1,0))</f>
        <v>0</v>
      </c>
    </row>
    <row r="852" spans="102:110" x14ac:dyDescent="0.3">
      <c r="CX852" s="48">
        <f t="shared" ca="1" si="1080"/>
        <v>66</v>
      </c>
      <c r="CY852" s="48" t="str">
        <f t="shared" ca="1" si="1079"/>
        <v>MASTRO</v>
      </c>
      <c r="CZ852" s="48" t="e">
        <f t="shared" ca="1" si="1082"/>
        <v>#N/A</v>
      </c>
      <c r="DA852" s="48" t="str">
        <f t="shared" ca="1" si="1086"/>
        <v/>
      </c>
      <c r="DB852" s="48" t="str">
        <f t="shared" ca="1" si="1046"/>
        <v/>
      </c>
      <c r="DC852" s="48" t="str">
        <f t="shared" ca="1" si="1083"/>
        <v/>
      </c>
      <c r="DD852" s="48" t="str">
        <f t="shared" ca="1" si="1084"/>
        <v/>
      </c>
      <c r="DE852" s="48" t="str">
        <f t="shared" ca="1" si="1085"/>
        <v/>
      </c>
      <c r="DF852" s="48">
        <f ca="1">IF(AND(CX852=$DF$1,CX852&lt;&gt;""),0,IF(AND(DB852&lt;&gt;"",OR(DB851&lt;&gt;"",DB853&lt;&gt;"")),MAX($DF$2:DF851)+1,0))</f>
        <v>0</v>
      </c>
    </row>
    <row r="853" spans="102:110" x14ac:dyDescent="0.3">
      <c r="CX853" s="48">
        <f t="shared" ca="1" si="1080"/>
        <v>66</v>
      </c>
      <c r="CY853" s="48" t="str">
        <f t="shared" ca="1" si="1079"/>
        <v>MASTRO</v>
      </c>
      <c r="CZ853" s="48" t="e">
        <f t="shared" ca="1" si="1082"/>
        <v>#N/A</v>
      </c>
      <c r="DA853" s="48" t="str">
        <f t="shared" ca="1" si="1086"/>
        <v/>
      </c>
      <c r="DB853" s="48" t="str">
        <f t="shared" ca="1" si="1046"/>
        <v/>
      </c>
      <c r="DC853" s="48" t="str">
        <f t="shared" ca="1" si="1083"/>
        <v/>
      </c>
      <c r="DD853" s="48" t="str">
        <f t="shared" ca="1" si="1084"/>
        <v/>
      </c>
      <c r="DE853" s="48" t="str">
        <f t="shared" ca="1" si="1085"/>
        <v/>
      </c>
      <c r="DF853" s="48">
        <f ca="1">IF(AND(CX853=$DF$1,CX853&lt;&gt;""),0,IF(AND(DB853&lt;&gt;"",OR(DB852&lt;&gt;"",DB854&lt;&gt;"")),MAX($DF$2:DF852)+1,0))</f>
        <v>0</v>
      </c>
    </row>
    <row r="854" spans="102:110" x14ac:dyDescent="0.3">
      <c r="CX854" s="48">
        <f t="shared" ca="1" si="1080"/>
        <v>66</v>
      </c>
      <c r="CY854" s="48" t="str">
        <f t="shared" ca="1" si="1079"/>
        <v>MASTRO</v>
      </c>
      <c r="CZ854" s="48" t="e">
        <f t="shared" ca="1" si="1082"/>
        <v>#N/A</v>
      </c>
      <c r="DA854" s="48" t="str">
        <f t="shared" ca="1" si="1086"/>
        <v/>
      </c>
      <c r="DB854" s="48" t="str">
        <f t="shared" ca="1" si="1046"/>
        <v/>
      </c>
      <c r="DC854" s="48" t="str">
        <f t="shared" ca="1" si="1083"/>
        <v/>
      </c>
      <c r="DD854" s="48" t="str">
        <f t="shared" ca="1" si="1084"/>
        <v/>
      </c>
      <c r="DE854" s="48" t="str">
        <f t="shared" ca="1" si="1085"/>
        <v/>
      </c>
      <c r="DF854" s="48">
        <f ca="1">IF(AND(CX854=$DF$1,CX854&lt;&gt;""),0,IF(AND(DB854&lt;&gt;"",OR(DB853&lt;&gt;"",DB855&lt;&gt;"")),MAX($DF$2:DF853)+1,0))</f>
        <v>0</v>
      </c>
    </row>
    <row r="855" spans="102:110" x14ac:dyDescent="0.3">
      <c r="CX855" s="48">
        <f t="shared" ca="1" si="1080"/>
        <v>66</v>
      </c>
      <c r="CY855" s="48" t="str">
        <f t="shared" ca="1" si="1079"/>
        <v>MASTRO</v>
      </c>
      <c r="CZ855" s="48" t="e">
        <f t="shared" ca="1" si="1082"/>
        <v>#N/A</v>
      </c>
      <c r="DA855" s="48" t="str">
        <f t="shared" ca="1" si="1086"/>
        <v/>
      </c>
      <c r="DB855" s="48" t="str">
        <f t="shared" ca="1" si="1046"/>
        <v/>
      </c>
      <c r="DC855" s="48" t="str">
        <f t="shared" ca="1" si="1083"/>
        <v/>
      </c>
      <c r="DD855" s="48" t="str">
        <f t="shared" ca="1" si="1084"/>
        <v/>
      </c>
      <c r="DE855" s="48" t="str">
        <f t="shared" ca="1" si="1085"/>
        <v/>
      </c>
      <c r="DF855" s="48">
        <f ca="1">IF(AND(CX855=$DF$1,CX855&lt;&gt;""),0,IF(AND(DB855&lt;&gt;"",OR(DB854&lt;&gt;"",DB856&lt;&gt;"")),MAX($DF$2:DF854)+1,0))</f>
        <v>0</v>
      </c>
    </row>
    <row r="856" spans="102:110" x14ac:dyDescent="0.3">
      <c r="CX856" s="48">
        <f t="shared" ca="1" si="1080"/>
        <v>66</v>
      </c>
      <c r="CY856" s="48" t="str">
        <f t="shared" ca="1" si="1079"/>
        <v>MASTRO</v>
      </c>
      <c r="CZ856" s="48" t="e">
        <f t="shared" ca="1" si="1082"/>
        <v>#N/A</v>
      </c>
      <c r="DA856" s="48" t="str">
        <f t="shared" ca="1" si="1086"/>
        <v/>
      </c>
      <c r="DB856" s="48" t="str">
        <f t="shared" ca="1" si="1046"/>
        <v/>
      </c>
      <c r="DC856" s="48" t="str">
        <f t="shared" ca="1" si="1083"/>
        <v/>
      </c>
      <c r="DD856" s="48" t="str">
        <f t="shared" ca="1" si="1084"/>
        <v/>
      </c>
      <c r="DE856" s="48" t="str">
        <f t="shared" ca="1" si="1085"/>
        <v/>
      </c>
      <c r="DF856" s="48">
        <f ca="1">IF(AND(CX856=$DF$1,CX856&lt;&gt;""),0,IF(AND(DB856&lt;&gt;"",OR(DB855&lt;&gt;"",DB857&lt;&gt;"")),MAX($DF$2:DF855)+1,0))</f>
        <v>0</v>
      </c>
    </row>
    <row r="857" spans="102:110" x14ac:dyDescent="0.3">
      <c r="CX857" s="48">
        <f t="shared" ca="1" si="1080"/>
        <v>66</v>
      </c>
      <c r="CY857" s="48" t="str">
        <f t="shared" ca="1" si="1079"/>
        <v>MASTRO</v>
      </c>
      <c r="CZ857" s="48" t="e">
        <f t="shared" ca="1" si="1082"/>
        <v>#N/A</v>
      </c>
      <c r="DA857" s="48" t="str">
        <f t="shared" ca="1" si="1086"/>
        <v/>
      </c>
      <c r="DB857" s="48" t="str">
        <f t="shared" ca="1" si="1046"/>
        <v/>
      </c>
      <c r="DC857" s="48" t="str">
        <f t="shared" ca="1" si="1083"/>
        <v/>
      </c>
      <c r="DD857" s="48" t="str">
        <f t="shared" ca="1" si="1084"/>
        <v/>
      </c>
      <c r="DE857" s="48" t="str">
        <f t="shared" ca="1" si="1085"/>
        <v/>
      </c>
      <c r="DF857" s="48">
        <f ca="1">IF(AND(CX857=$DF$1,CX857&lt;&gt;""),0,IF(AND(DB857&lt;&gt;"",OR(DB856&lt;&gt;"",DB858&lt;&gt;"")),MAX($DF$2:DF856)+1,0))</f>
        <v>0</v>
      </c>
    </row>
    <row r="858" spans="102:110" x14ac:dyDescent="0.3">
      <c r="CX858" s="48">
        <f t="shared" ca="1" si="1080"/>
        <v>66</v>
      </c>
      <c r="CY858" s="48" t="str">
        <f t="shared" ca="1" si="1079"/>
        <v>MASTRO</v>
      </c>
      <c r="CZ858" s="48" t="e">
        <f t="shared" ca="1" si="1082"/>
        <v>#N/A</v>
      </c>
      <c r="DA858" s="48" t="str">
        <f t="shared" ca="1" si="1086"/>
        <v/>
      </c>
      <c r="DB858" s="48" t="str">
        <f t="shared" ca="1" si="1046"/>
        <v/>
      </c>
      <c r="DC858" s="48" t="str">
        <f t="shared" ca="1" si="1083"/>
        <v/>
      </c>
      <c r="DD858" s="48" t="str">
        <f t="shared" ca="1" si="1084"/>
        <v/>
      </c>
      <c r="DE858" s="48" t="str">
        <f t="shared" ca="1" si="1085"/>
        <v/>
      </c>
      <c r="DF858" s="48">
        <f ca="1">IF(AND(CX858=$DF$1,CX858&lt;&gt;""),0,IF(AND(DB858&lt;&gt;"",OR(DB857&lt;&gt;"",DB859&lt;&gt;"")),MAX($DF$2:DF857)+1,0))</f>
        <v>0</v>
      </c>
    </row>
    <row r="859" spans="102:110" x14ac:dyDescent="0.3">
      <c r="CX859" s="48">
        <f t="shared" ca="1" si="1080"/>
        <v>66</v>
      </c>
      <c r="CY859" s="48" t="str">
        <f t="shared" ca="1" si="1079"/>
        <v>MASTRO</v>
      </c>
      <c r="CZ859" s="48" t="e">
        <f t="shared" ca="1" si="1082"/>
        <v>#N/A</v>
      </c>
      <c r="DA859" s="48" t="str">
        <f t="shared" ca="1" si="1086"/>
        <v/>
      </c>
      <c r="DB859" s="48" t="str">
        <f t="shared" ca="1" si="1046"/>
        <v/>
      </c>
      <c r="DC859" s="48" t="str">
        <f t="shared" ca="1" si="1083"/>
        <v/>
      </c>
      <c r="DD859" s="48" t="str">
        <f t="shared" ca="1" si="1084"/>
        <v/>
      </c>
      <c r="DE859" s="48" t="str">
        <f t="shared" ca="1" si="1085"/>
        <v/>
      </c>
      <c r="DF859" s="48">
        <f ca="1">IF(AND(CX859=$DF$1,CX859&lt;&gt;""),0,IF(AND(DB859&lt;&gt;"",OR(DB858&lt;&gt;"",DB860&lt;&gt;"")),MAX($DF$2:DF858)+1,0))</f>
        <v>0</v>
      </c>
    </row>
    <row r="860" spans="102:110" x14ac:dyDescent="0.3">
      <c r="CY860" s="48" t="s">
        <v>500</v>
      </c>
      <c r="DB860" s="48" t="str">
        <f t="shared" ref="DB860" ca="1" si="1087">IF(CX859=$DF$1,"","MASTRO")</f>
        <v>MASTRO</v>
      </c>
      <c r="DF860" s="48">
        <f ca="1">IF(AND(CX860=$DF$1,CX860&lt;&gt;""),0,IF(AND(DB860&lt;&gt;"",OR(DB859&lt;&gt;"",DB861&lt;&gt;"")),MAX($DF$2:DF859)+1,0))</f>
        <v>0</v>
      </c>
    </row>
    <row r="861" spans="102:110" x14ac:dyDescent="0.3">
      <c r="CX861" s="48">
        <f ca="1">$FF$69</f>
        <v>67</v>
      </c>
      <c r="CY861" s="48" t="str">
        <f t="shared" ref="CY861:CY872" ca="1" si="1088">IF(ISERROR(INDEX($CV$3:$CX$1302,MATCH(CX861,$CW$3:$CW$1302,0),1)),"MASTRO",INDEX($CV$3:$CX$1302,MATCH(CX861,$CW$3:$CW$1302,0),1))</f>
        <v>MASTRO</v>
      </c>
      <c r="DA861" s="48" t="str">
        <f>IF(CY860="MASTRO","Conto n.","")</f>
        <v>Conto n.</v>
      </c>
      <c r="DB861" s="48" t="str">
        <f ca="1">IF(CY861=0,"",INDEX(PDC,MATCH(DC861,DEN_PDC,0),1))</f>
        <v/>
      </c>
      <c r="DC861" s="48" t="str">
        <f ca="1">IF(OR(CY861=0,CY861="mastro"),"",CY861)</f>
        <v/>
      </c>
      <c r="DD861" s="48" t="str">
        <f ca="1">IF(AND($DA$2=TRUE,OR(INDEX(PDC,MATCH($DC861,DEN_PDC,0),4)="A",INDEX(PDC,MATCH($DC861,DEN_PDC,0),4)="D/A"),SUMIFS(AVERE,DEN_G,"="&amp;$DC861,DATA,"&lt;="&amp;FINE_AC,DATA,"&gt;="&amp;INIZIO_AC)&gt;SUMIFS(DARE,DEN_G,"="&amp;$DC861,DATA,"&lt;="&amp;FINE_AC,DATA,"&gt;="&amp;INIZIO_AC)),CONCATENATE("s ",FIXED(ABS(SUMIFS(AVERE,DEN_G,"="&amp;$DC861,DATA,"&lt;="&amp;FINE_AC,DATA,"&gt;="&amp;INIZIO_AC)-SUMIFS(DARE,DEN_G,"="&amp;$DC861,DATA,"&lt;="&amp;FINE_AC,DATA,"&gt;="&amp;INIZIO_AC)),2)),"")</f>
        <v/>
      </c>
      <c r="DE861" s="48" t="str">
        <f ca="1">IF(AND($DA$2=TRUE,OR(INDEX(PDC,MATCH($DC861,DEN_PDC,0),4)="D",INDEX(PDC,MATCH($DC861,DEN_PDC,0),4)="D/A"),SUMIFS(DARE,DEN_G,"="&amp;$DC861,DATA,"&lt;="&amp;FINE_AC,DATA,"&gt;="&amp;INIZIO_AC)&gt;SUMIFS(AVERE,DEN_G,"="&amp;$DC861,DATA,"&lt;="&amp;FINE_AC,DATA,"&gt;="&amp;INIZIO_AC)),CONCATENATE("s ",FIXED(ABS(SUMIFS(DARE,DEN_G,"="&amp;$DC861,DATA,"&lt;="&amp;FINE_AC,DATA,"&gt;="&amp;INIZIO_AC)-SUMIFS(AVERE,DEN_G,"="&amp;$DC861,DATA,"&lt;="&amp;FINE_AC,DATA,"&gt;="&amp;INIZIO_AC)),2)),"")</f>
        <v/>
      </c>
      <c r="DF861" s="48">
        <f ca="1">IF(AND(CX861=$DF$1,CX861&lt;&gt;""),0,IF(AND(DB861&lt;&gt;"",OR(DB860&lt;&gt;"",DB862&lt;&gt;"")),MAX($DF$2:DF860)+1,0))</f>
        <v>0</v>
      </c>
    </row>
    <row r="862" spans="102:110" x14ac:dyDescent="0.3">
      <c r="CX862" s="48">
        <f t="shared" ref="CX862:CX872" ca="1" si="1089">$FF$69</f>
        <v>67</v>
      </c>
      <c r="CY862" s="48" t="str">
        <f t="shared" ca="1" si="1088"/>
        <v>MASTRO</v>
      </c>
      <c r="DA862" s="48" t="str">
        <f ca="1">IF(DB861="","","Num. riga")</f>
        <v/>
      </c>
      <c r="DB862" s="48" t="str">
        <f t="shared" ref="DB862" ca="1" si="1090">IF(DB861="","","Data")</f>
        <v/>
      </c>
      <c r="DC862" s="48" t="str">
        <f ca="1">IF(DB861="","","Operazioni")</f>
        <v/>
      </c>
      <c r="DD862" s="48" t="str">
        <f ca="1">IF(DB861="","","Dare        ")</f>
        <v/>
      </c>
      <c r="DE862" s="48" t="str">
        <f ca="1">IF(DB861="","","Avere        ")</f>
        <v/>
      </c>
      <c r="DF862" s="48">
        <f ca="1">IF(AND(CX862=$DF$1,CX862&lt;&gt;""),0,IF(AND(DB862&lt;&gt;"",OR(DB861&lt;&gt;"",DB863&lt;&gt;"")),MAX($DF$2:DF861)+1,0))</f>
        <v>0</v>
      </c>
    </row>
    <row r="863" spans="102:110" x14ac:dyDescent="0.3">
      <c r="CX863" s="48">
        <f t="shared" ca="1" si="1089"/>
        <v>67</v>
      </c>
      <c r="CY863" s="48" t="str">
        <f t="shared" ca="1" si="1088"/>
        <v>MASTRO</v>
      </c>
      <c r="CZ863" s="48" t="e">
        <f t="shared" ref="CZ863:CZ872" ca="1" si="1091">SUM(MATCH($CY863,INDIRECT(ADDRESS(SUM(CZ862)+3,54)&amp;":"&amp;ADDRESS(400,54)),0),CZ862)</f>
        <v>#N/A</v>
      </c>
      <c r="DA863" s="48" t="str">
        <f ca="1">IFERROR(INDEX(LIBRO_GIORNALE,CZ863,1),"")</f>
        <v/>
      </c>
      <c r="DB863" s="48" t="str">
        <f t="shared" ref="DB863:DB924" ca="1" si="1092">IF(RIGHT(TEXT(IFERROR(INDEX(LIBRO_GIORNALE,CZ863,2),""),"gg/mm/aa"),1)="a",TEXT(IFERROR(INDEX(LIBRO_GIORNALE,CZ863,2),""),"dd/mm/yy"),TEXT(IFERROR(INDEX(LIBRO_GIORNALE,CZ863,2),""),"gg/mm/aa"))</f>
        <v/>
      </c>
      <c r="DC863" s="48" t="str">
        <f t="shared" ref="DC863:DC872" ca="1" si="1093">IF(IFERROR(INDEX(LIBRO_GIORNALE,CZ863,4),"")=0,"manca la descrizione dell'operazione",IFERROR(INDEX(LIBRO_GIORNALE,CZ863,4),""))</f>
        <v/>
      </c>
      <c r="DD863" s="48" t="str">
        <f t="shared" ref="DD863:DD872" ca="1" si="1094">IFERROR(IF(INDEX(LIBRO_GIORNALE,CZ863,5)&gt;0,INDEX(LIBRO_GIORNALE,CZ863,5),""),"")</f>
        <v/>
      </c>
      <c r="DE863" s="48" t="str">
        <f t="shared" ref="DE863:DE872" ca="1" si="1095">IFERROR(IF(INDEX(LIBRO_GIORNALE,CZ863,6)&gt;0,INDEX(LIBRO_GIORNALE,CZ863,6),""),"")</f>
        <v/>
      </c>
      <c r="DF863" s="48">
        <f ca="1">IF(AND(CX863=$DF$1,CX863&lt;&gt;""),0,IF(AND(DB863&lt;&gt;"",OR(DB862&lt;&gt;"",DB864&lt;&gt;"")),MAX($DF$2:DF862)+1,0))</f>
        <v>0</v>
      </c>
    </row>
    <row r="864" spans="102:110" x14ac:dyDescent="0.3">
      <c r="CX864" s="48">
        <f t="shared" ca="1" si="1089"/>
        <v>67</v>
      </c>
      <c r="CY864" s="48" t="str">
        <f t="shared" ca="1" si="1088"/>
        <v>MASTRO</v>
      </c>
      <c r="CZ864" s="48" t="e">
        <f t="shared" ca="1" si="1091"/>
        <v>#N/A</v>
      </c>
      <c r="DA864" s="48" t="str">
        <f t="shared" ref="DA864:DA872" ca="1" si="1096">IFERROR(INDEX(LIBRO_GIORNALE,CZ864,1),"")</f>
        <v/>
      </c>
      <c r="DB864" s="48" t="str">
        <f t="shared" ca="1" si="1092"/>
        <v/>
      </c>
      <c r="DC864" s="48" t="str">
        <f t="shared" ca="1" si="1093"/>
        <v/>
      </c>
      <c r="DD864" s="48" t="str">
        <f t="shared" ca="1" si="1094"/>
        <v/>
      </c>
      <c r="DE864" s="48" t="str">
        <f t="shared" ca="1" si="1095"/>
        <v/>
      </c>
      <c r="DF864" s="48">
        <f ca="1">IF(AND(CX864=$DF$1,CX864&lt;&gt;""),0,IF(AND(DB864&lt;&gt;"",OR(DB863&lt;&gt;"",DB865&lt;&gt;"")),MAX($DF$2:DF863)+1,0))</f>
        <v>0</v>
      </c>
    </row>
    <row r="865" spans="102:110" x14ac:dyDescent="0.3">
      <c r="CX865" s="48">
        <f t="shared" ca="1" si="1089"/>
        <v>67</v>
      </c>
      <c r="CY865" s="48" t="str">
        <f t="shared" ca="1" si="1088"/>
        <v>MASTRO</v>
      </c>
      <c r="CZ865" s="48" t="e">
        <f t="shared" ca="1" si="1091"/>
        <v>#N/A</v>
      </c>
      <c r="DA865" s="48" t="str">
        <f t="shared" ca="1" si="1096"/>
        <v/>
      </c>
      <c r="DB865" s="48" t="str">
        <f t="shared" ca="1" si="1092"/>
        <v/>
      </c>
      <c r="DC865" s="48" t="str">
        <f t="shared" ca="1" si="1093"/>
        <v/>
      </c>
      <c r="DD865" s="48" t="str">
        <f t="shared" ca="1" si="1094"/>
        <v/>
      </c>
      <c r="DE865" s="48" t="str">
        <f t="shared" ca="1" si="1095"/>
        <v/>
      </c>
      <c r="DF865" s="48">
        <f ca="1">IF(AND(CX865=$DF$1,CX865&lt;&gt;""),0,IF(AND(DB865&lt;&gt;"",OR(DB864&lt;&gt;"",DB866&lt;&gt;"")),MAX($DF$2:DF864)+1,0))</f>
        <v>0</v>
      </c>
    </row>
    <row r="866" spans="102:110" x14ac:dyDescent="0.3">
      <c r="CX866" s="48">
        <f t="shared" ca="1" si="1089"/>
        <v>67</v>
      </c>
      <c r="CY866" s="48" t="str">
        <f t="shared" ca="1" si="1088"/>
        <v>MASTRO</v>
      </c>
      <c r="CZ866" s="48" t="e">
        <f t="shared" ca="1" si="1091"/>
        <v>#N/A</v>
      </c>
      <c r="DA866" s="48" t="str">
        <f t="shared" ca="1" si="1096"/>
        <v/>
      </c>
      <c r="DB866" s="48" t="str">
        <f t="shared" ca="1" si="1092"/>
        <v/>
      </c>
      <c r="DC866" s="48" t="str">
        <f t="shared" ca="1" si="1093"/>
        <v/>
      </c>
      <c r="DD866" s="48" t="str">
        <f t="shared" ca="1" si="1094"/>
        <v/>
      </c>
      <c r="DE866" s="48" t="str">
        <f t="shared" ca="1" si="1095"/>
        <v/>
      </c>
      <c r="DF866" s="48">
        <f ca="1">IF(AND(CX866=$DF$1,CX866&lt;&gt;""),0,IF(AND(DB866&lt;&gt;"",OR(DB865&lt;&gt;"",DB867&lt;&gt;"")),MAX($DF$2:DF865)+1,0))</f>
        <v>0</v>
      </c>
    </row>
    <row r="867" spans="102:110" x14ac:dyDescent="0.3">
      <c r="CX867" s="48">
        <f t="shared" ca="1" si="1089"/>
        <v>67</v>
      </c>
      <c r="CY867" s="48" t="str">
        <f t="shared" ca="1" si="1088"/>
        <v>MASTRO</v>
      </c>
      <c r="CZ867" s="48" t="e">
        <f t="shared" ca="1" si="1091"/>
        <v>#N/A</v>
      </c>
      <c r="DA867" s="48" t="str">
        <f t="shared" ca="1" si="1096"/>
        <v/>
      </c>
      <c r="DB867" s="48" t="str">
        <f t="shared" ca="1" si="1092"/>
        <v/>
      </c>
      <c r="DC867" s="48" t="str">
        <f t="shared" ca="1" si="1093"/>
        <v/>
      </c>
      <c r="DD867" s="48" t="str">
        <f t="shared" ca="1" si="1094"/>
        <v/>
      </c>
      <c r="DE867" s="48" t="str">
        <f t="shared" ca="1" si="1095"/>
        <v/>
      </c>
      <c r="DF867" s="48">
        <f ca="1">IF(AND(CX867=$DF$1,CX867&lt;&gt;""),0,IF(AND(DB867&lt;&gt;"",OR(DB866&lt;&gt;"",DB868&lt;&gt;"")),MAX($DF$2:DF866)+1,0))</f>
        <v>0</v>
      </c>
    </row>
    <row r="868" spans="102:110" x14ac:dyDescent="0.3">
      <c r="CX868" s="48">
        <f t="shared" ca="1" si="1089"/>
        <v>67</v>
      </c>
      <c r="CY868" s="48" t="str">
        <f t="shared" ca="1" si="1088"/>
        <v>MASTRO</v>
      </c>
      <c r="CZ868" s="48" t="e">
        <f t="shared" ca="1" si="1091"/>
        <v>#N/A</v>
      </c>
      <c r="DA868" s="48" t="str">
        <f t="shared" ca="1" si="1096"/>
        <v/>
      </c>
      <c r="DB868" s="48" t="str">
        <f t="shared" ca="1" si="1092"/>
        <v/>
      </c>
      <c r="DC868" s="48" t="str">
        <f t="shared" ca="1" si="1093"/>
        <v/>
      </c>
      <c r="DD868" s="48" t="str">
        <f t="shared" ca="1" si="1094"/>
        <v/>
      </c>
      <c r="DE868" s="48" t="str">
        <f t="shared" ca="1" si="1095"/>
        <v/>
      </c>
      <c r="DF868" s="48">
        <f ca="1">IF(AND(CX868=$DF$1,CX868&lt;&gt;""),0,IF(AND(DB868&lt;&gt;"",OR(DB867&lt;&gt;"",DB869&lt;&gt;"")),MAX($DF$2:DF867)+1,0))</f>
        <v>0</v>
      </c>
    </row>
    <row r="869" spans="102:110" x14ac:dyDescent="0.3">
      <c r="CX869" s="48">
        <f t="shared" ca="1" si="1089"/>
        <v>67</v>
      </c>
      <c r="CY869" s="48" t="str">
        <f t="shared" ca="1" si="1088"/>
        <v>MASTRO</v>
      </c>
      <c r="CZ869" s="48" t="e">
        <f t="shared" ca="1" si="1091"/>
        <v>#N/A</v>
      </c>
      <c r="DA869" s="48" t="str">
        <f t="shared" ca="1" si="1096"/>
        <v/>
      </c>
      <c r="DB869" s="48" t="str">
        <f t="shared" ca="1" si="1092"/>
        <v/>
      </c>
      <c r="DC869" s="48" t="str">
        <f t="shared" ca="1" si="1093"/>
        <v/>
      </c>
      <c r="DD869" s="48" t="str">
        <f t="shared" ca="1" si="1094"/>
        <v/>
      </c>
      <c r="DE869" s="48" t="str">
        <f t="shared" ca="1" si="1095"/>
        <v/>
      </c>
      <c r="DF869" s="48">
        <f ca="1">IF(AND(CX869=$DF$1,CX869&lt;&gt;""),0,IF(AND(DB869&lt;&gt;"",OR(DB868&lt;&gt;"",DB870&lt;&gt;"")),MAX($DF$2:DF868)+1,0))</f>
        <v>0</v>
      </c>
    </row>
    <row r="870" spans="102:110" x14ac:dyDescent="0.3">
      <c r="CX870" s="48">
        <f t="shared" ca="1" si="1089"/>
        <v>67</v>
      </c>
      <c r="CY870" s="48" t="str">
        <f t="shared" ca="1" si="1088"/>
        <v>MASTRO</v>
      </c>
      <c r="CZ870" s="48" t="e">
        <f t="shared" ca="1" si="1091"/>
        <v>#N/A</v>
      </c>
      <c r="DA870" s="48" t="str">
        <f t="shared" ca="1" si="1096"/>
        <v/>
      </c>
      <c r="DB870" s="48" t="str">
        <f t="shared" ca="1" si="1092"/>
        <v/>
      </c>
      <c r="DC870" s="48" t="str">
        <f t="shared" ca="1" si="1093"/>
        <v/>
      </c>
      <c r="DD870" s="48" t="str">
        <f t="shared" ca="1" si="1094"/>
        <v/>
      </c>
      <c r="DE870" s="48" t="str">
        <f t="shared" ca="1" si="1095"/>
        <v/>
      </c>
      <c r="DF870" s="48">
        <f ca="1">IF(AND(CX870=$DF$1,CX870&lt;&gt;""),0,IF(AND(DB870&lt;&gt;"",OR(DB869&lt;&gt;"",DB871&lt;&gt;"")),MAX($DF$2:DF869)+1,0))</f>
        <v>0</v>
      </c>
    </row>
    <row r="871" spans="102:110" x14ac:dyDescent="0.3">
      <c r="CX871" s="48">
        <f t="shared" ca="1" si="1089"/>
        <v>67</v>
      </c>
      <c r="CY871" s="48" t="str">
        <f t="shared" ca="1" si="1088"/>
        <v>MASTRO</v>
      </c>
      <c r="CZ871" s="48" t="e">
        <f t="shared" ca="1" si="1091"/>
        <v>#N/A</v>
      </c>
      <c r="DA871" s="48" t="str">
        <f t="shared" ca="1" si="1096"/>
        <v/>
      </c>
      <c r="DB871" s="48" t="str">
        <f t="shared" ca="1" si="1092"/>
        <v/>
      </c>
      <c r="DC871" s="48" t="str">
        <f t="shared" ca="1" si="1093"/>
        <v/>
      </c>
      <c r="DD871" s="48" t="str">
        <f t="shared" ca="1" si="1094"/>
        <v/>
      </c>
      <c r="DE871" s="48" t="str">
        <f t="shared" ca="1" si="1095"/>
        <v/>
      </c>
      <c r="DF871" s="48">
        <f ca="1">IF(AND(CX871=$DF$1,CX871&lt;&gt;""),0,IF(AND(DB871&lt;&gt;"",OR(DB870&lt;&gt;"",DB872&lt;&gt;"")),MAX($DF$2:DF870)+1,0))</f>
        <v>0</v>
      </c>
    </row>
    <row r="872" spans="102:110" x14ac:dyDescent="0.3">
      <c r="CX872" s="48">
        <f t="shared" ca="1" si="1089"/>
        <v>67</v>
      </c>
      <c r="CY872" s="48" t="str">
        <f t="shared" ca="1" si="1088"/>
        <v>MASTRO</v>
      </c>
      <c r="CZ872" s="48" t="e">
        <f t="shared" ca="1" si="1091"/>
        <v>#N/A</v>
      </c>
      <c r="DA872" s="48" t="str">
        <f t="shared" ca="1" si="1096"/>
        <v/>
      </c>
      <c r="DB872" s="48" t="str">
        <f t="shared" ca="1" si="1092"/>
        <v/>
      </c>
      <c r="DC872" s="48" t="str">
        <f t="shared" ca="1" si="1093"/>
        <v/>
      </c>
      <c r="DD872" s="48" t="str">
        <f t="shared" ca="1" si="1094"/>
        <v/>
      </c>
      <c r="DE872" s="48" t="str">
        <f t="shared" ca="1" si="1095"/>
        <v/>
      </c>
      <c r="DF872" s="48">
        <f ca="1">IF(AND(CX872=$DF$1,CX872&lt;&gt;""),0,IF(AND(DB872&lt;&gt;"",OR(DB871&lt;&gt;"",DB873&lt;&gt;"")),MAX($DF$2:DF871)+1,0))</f>
        <v>0</v>
      </c>
    </row>
    <row r="873" spans="102:110" x14ac:dyDescent="0.3">
      <c r="CY873" s="48" t="s">
        <v>500</v>
      </c>
      <c r="DB873" s="48" t="str">
        <f t="shared" ref="DB873" ca="1" si="1097">IF(CX872=$DF$1,"","MASTRO")</f>
        <v>MASTRO</v>
      </c>
      <c r="DF873" s="48">
        <f ca="1">IF(AND(CX873=$DF$1,CX873&lt;&gt;""),0,IF(AND(DB873&lt;&gt;"",OR(DB872&lt;&gt;"",DB874&lt;&gt;"")),MAX($DF$2:DF872)+1,0))</f>
        <v>0</v>
      </c>
    </row>
    <row r="874" spans="102:110" x14ac:dyDescent="0.3">
      <c r="CX874" s="48">
        <f ca="1">$FF$70</f>
        <v>68</v>
      </c>
      <c r="CY874" s="48" t="str">
        <f t="shared" ref="CY874:CY885" ca="1" si="1098">IF(ISERROR(INDEX($CV$3:$CX$1302,MATCH(CX874,$CW$3:$CW$1302,0),1)),"MASTRO",INDEX($CV$3:$CX$1302,MATCH(CX874,$CW$3:$CW$1302,0),1))</f>
        <v>MASTRO</v>
      </c>
      <c r="DA874" s="48" t="str">
        <f>IF(CY873="MASTRO","Conto n.","")</f>
        <v>Conto n.</v>
      </c>
      <c r="DB874" s="48" t="str">
        <f ca="1">IF(CY874=0,"",INDEX(PDC,MATCH(DC874,DEN_PDC,0),1))</f>
        <v/>
      </c>
      <c r="DC874" s="48" t="str">
        <f ca="1">IF(OR(CY874=0,CY874="mastro"),"",CY874)</f>
        <v/>
      </c>
      <c r="DD874" s="48" t="str">
        <f ca="1">IF(AND($DA$2=TRUE,OR(INDEX(PDC,MATCH($DC874,DEN_PDC,0),4)="A",INDEX(PDC,MATCH($DC874,DEN_PDC,0),4)="D/A"),SUMIFS(AVERE,DEN_G,"="&amp;$DC874,DATA,"&lt;="&amp;FINE_AC,DATA,"&gt;="&amp;INIZIO_AC)&gt;SUMIFS(DARE,DEN_G,"="&amp;$DC874,DATA,"&lt;="&amp;FINE_AC,DATA,"&gt;="&amp;INIZIO_AC)),CONCATENATE("s ",FIXED(ABS(SUMIFS(AVERE,DEN_G,"="&amp;$DC874,DATA,"&lt;="&amp;FINE_AC,DATA,"&gt;="&amp;INIZIO_AC)-SUMIFS(DARE,DEN_G,"="&amp;$DC874,DATA,"&lt;="&amp;FINE_AC,DATA,"&gt;="&amp;INIZIO_AC)),2)),"")</f>
        <v/>
      </c>
      <c r="DE874" s="48" t="str">
        <f ca="1">IF(AND($DA$2=TRUE,OR(INDEX(PDC,MATCH($DC874,DEN_PDC,0),4)="D",INDEX(PDC,MATCH($DC874,DEN_PDC,0),4)="D/A"),SUMIFS(DARE,DEN_G,"="&amp;$DC874,DATA,"&lt;="&amp;FINE_AC,DATA,"&gt;="&amp;INIZIO_AC)&gt;SUMIFS(AVERE,DEN_G,"="&amp;$DC874,DATA,"&lt;="&amp;FINE_AC,DATA,"&gt;="&amp;INIZIO_AC)),CONCATENATE("s ",FIXED(ABS(SUMIFS(DARE,DEN_G,"="&amp;$DC874,DATA,"&lt;="&amp;FINE_AC,DATA,"&gt;="&amp;INIZIO_AC)-SUMIFS(AVERE,DEN_G,"="&amp;$DC874,DATA,"&lt;="&amp;FINE_AC,DATA,"&gt;="&amp;INIZIO_AC)),2)),"")</f>
        <v/>
      </c>
      <c r="DF874" s="48">
        <f ca="1">IF(AND(CX874=$DF$1,CX874&lt;&gt;""),0,IF(AND(DB874&lt;&gt;"",OR(DB873&lt;&gt;"",DB875&lt;&gt;"")),MAX($DF$2:DF873)+1,0))</f>
        <v>0</v>
      </c>
    </row>
    <row r="875" spans="102:110" x14ac:dyDescent="0.3">
      <c r="CX875" s="48">
        <f t="shared" ref="CX875:CX885" ca="1" si="1099">$FF$70</f>
        <v>68</v>
      </c>
      <c r="CY875" s="48" t="str">
        <f t="shared" ca="1" si="1098"/>
        <v>MASTRO</v>
      </c>
      <c r="DA875" s="48" t="str">
        <f ca="1">IF(DB874="","","Num. riga")</f>
        <v/>
      </c>
      <c r="DB875" s="48" t="str">
        <f t="shared" ref="DB875" ca="1" si="1100">IF(DB874="","","Data")</f>
        <v/>
      </c>
      <c r="DC875" s="48" t="str">
        <f ca="1">IF(DB874="","","Operazioni")</f>
        <v/>
      </c>
      <c r="DD875" s="48" t="str">
        <f ca="1">IF(DB874="","","Dare        ")</f>
        <v/>
      </c>
      <c r="DE875" s="48" t="str">
        <f ca="1">IF(DB874="","","Avere        ")</f>
        <v/>
      </c>
      <c r="DF875" s="48">
        <f ca="1">IF(AND(CX875=$DF$1,CX875&lt;&gt;""),0,IF(AND(DB875&lt;&gt;"",OR(DB874&lt;&gt;"",DB876&lt;&gt;"")),MAX($DF$2:DF874)+1,0))</f>
        <v>0</v>
      </c>
    </row>
    <row r="876" spans="102:110" x14ac:dyDescent="0.3">
      <c r="CX876" s="48">
        <f t="shared" ca="1" si="1099"/>
        <v>68</v>
      </c>
      <c r="CY876" s="48" t="str">
        <f t="shared" ca="1" si="1098"/>
        <v>MASTRO</v>
      </c>
      <c r="CZ876" s="48" t="e">
        <f t="shared" ref="CZ876:CZ885" ca="1" si="1101">SUM(MATCH($CY876,INDIRECT(ADDRESS(SUM(CZ875)+3,54)&amp;":"&amp;ADDRESS(400,54)),0),CZ875)</f>
        <v>#N/A</v>
      </c>
      <c r="DA876" s="48" t="str">
        <f ca="1">IFERROR(INDEX(LIBRO_GIORNALE,CZ876,1),"")</f>
        <v/>
      </c>
      <c r="DB876" s="48" t="str">
        <f t="shared" ca="1" si="1092"/>
        <v/>
      </c>
      <c r="DC876" s="48" t="str">
        <f t="shared" ref="DC876:DC885" ca="1" si="1102">IF(IFERROR(INDEX(LIBRO_GIORNALE,CZ876,4),"")=0,"manca la descrizione dell'operazione",IFERROR(INDEX(LIBRO_GIORNALE,CZ876,4),""))</f>
        <v/>
      </c>
      <c r="DD876" s="48" t="str">
        <f t="shared" ref="DD876:DD885" ca="1" si="1103">IFERROR(IF(INDEX(LIBRO_GIORNALE,CZ876,5)&gt;0,INDEX(LIBRO_GIORNALE,CZ876,5),""),"")</f>
        <v/>
      </c>
      <c r="DE876" s="48" t="str">
        <f t="shared" ref="DE876:DE885" ca="1" si="1104">IFERROR(IF(INDEX(LIBRO_GIORNALE,CZ876,6)&gt;0,INDEX(LIBRO_GIORNALE,CZ876,6),""),"")</f>
        <v/>
      </c>
      <c r="DF876" s="48">
        <f ca="1">IF(AND(CX876=$DF$1,CX876&lt;&gt;""),0,IF(AND(DB876&lt;&gt;"",OR(DB875&lt;&gt;"",DB877&lt;&gt;"")),MAX($DF$2:DF875)+1,0))</f>
        <v>0</v>
      </c>
    </row>
    <row r="877" spans="102:110" x14ac:dyDescent="0.3">
      <c r="CX877" s="48">
        <f t="shared" ca="1" si="1099"/>
        <v>68</v>
      </c>
      <c r="CY877" s="48" t="str">
        <f t="shared" ca="1" si="1098"/>
        <v>MASTRO</v>
      </c>
      <c r="CZ877" s="48" t="e">
        <f t="shared" ca="1" si="1101"/>
        <v>#N/A</v>
      </c>
      <c r="DA877" s="48" t="str">
        <f t="shared" ref="DA877:DA885" ca="1" si="1105">IFERROR(INDEX(LIBRO_GIORNALE,CZ877,1),"")</f>
        <v/>
      </c>
      <c r="DB877" s="48" t="str">
        <f t="shared" ca="1" si="1092"/>
        <v/>
      </c>
      <c r="DC877" s="48" t="str">
        <f t="shared" ca="1" si="1102"/>
        <v/>
      </c>
      <c r="DD877" s="48" t="str">
        <f t="shared" ca="1" si="1103"/>
        <v/>
      </c>
      <c r="DE877" s="48" t="str">
        <f t="shared" ca="1" si="1104"/>
        <v/>
      </c>
      <c r="DF877" s="48">
        <f ca="1">IF(AND(CX877=$DF$1,CX877&lt;&gt;""),0,IF(AND(DB877&lt;&gt;"",OR(DB876&lt;&gt;"",DB878&lt;&gt;"")),MAX($DF$2:DF876)+1,0))</f>
        <v>0</v>
      </c>
    </row>
    <row r="878" spans="102:110" x14ac:dyDescent="0.3">
      <c r="CX878" s="48">
        <f t="shared" ca="1" si="1099"/>
        <v>68</v>
      </c>
      <c r="CY878" s="48" t="str">
        <f t="shared" ca="1" si="1098"/>
        <v>MASTRO</v>
      </c>
      <c r="CZ878" s="48" t="e">
        <f t="shared" ca="1" si="1101"/>
        <v>#N/A</v>
      </c>
      <c r="DA878" s="48" t="str">
        <f t="shared" ca="1" si="1105"/>
        <v/>
      </c>
      <c r="DB878" s="48" t="str">
        <f t="shared" ca="1" si="1092"/>
        <v/>
      </c>
      <c r="DC878" s="48" t="str">
        <f t="shared" ca="1" si="1102"/>
        <v/>
      </c>
      <c r="DD878" s="48" t="str">
        <f t="shared" ca="1" si="1103"/>
        <v/>
      </c>
      <c r="DE878" s="48" t="str">
        <f t="shared" ca="1" si="1104"/>
        <v/>
      </c>
      <c r="DF878" s="48">
        <f ca="1">IF(AND(CX878=$DF$1,CX878&lt;&gt;""),0,IF(AND(DB878&lt;&gt;"",OR(DB877&lt;&gt;"",DB879&lt;&gt;"")),MAX($DF$2:DF877)+1,0))</f>
        <v>0</v>
      </c>
    </row>
    <row r="879" spans="102:110" x14ac:dyDescent="0.3">
      <c r="CX879" s="48">
        <f t="shared" ca="1" si="1099"/>
        <v>68</v>
      </c>
      <c r="CY879" s="48" t="str">
        <f t="shared" ca="1" si="1098"/>
        <v>MASTRO</v>
      </c>
      <c r="CZ879" s="48" t="e">
        <f t="shared" ca="1" si="1101"/>
        <v>#N/A</v>
      </c>
      <c r="DA879" s="48" t="str">
        <f t="shared" ca="1" si="1105"/>
        <v/>
      </c>
      <c r="DB879" s="48" t="str">
        <f t="shared" ca="1" si="1092"/>
        <v/>
      </c>
      <c r="DC879" s="48" t="str">
        <f t="shared" ca="1" si="1102"/>
        <v/>
      </c>
      <c r="DD879" s="48" t="str">
        <f t="shared" ca="1" si="1103"/>
        <v/>
      </c>
      <c r="DE879" s="48" t="str">
        <f t="shared" ca="1" si="1104"/>
        <v/>
      </c>
      <c r="DF879" s="48">
        <f ca="1">IF(AND(CX879=$DF$1,CX879&lt;&gt;""),0,IF(AND(DB879&lt;&gt;"",OR(DB878&lt;&gt;"",DB880&lt;&gt;"")),MAX($DF$2:DF878)+1,0))</f>
        <v>0</v>
      </c>
    </row>
    <row r="880" spans="102:110" x14ac:dyDescent="0.3">
      <c r="CX880" s="48">
        <f t="shared" ca="1" si="1099"/>
        <v>68</v>
      </c>
      <c r="CY880" s="48" t="str">
        <f t="shared" ca="1" si="1098"/>
        <v>MASTRO</v>
      </c>
      <c r="CZ880" s="48" t="e">
        <f t="shared" ca="1" si="1101"/>
        <v>#N/A</v>
      </c>
      <c r="DA880" s="48" t="str">
        <f t="shared" ca="1" si="1105"/>
        <v/>
      </c>
      <c r="DB880" s="48" t="str">
        <f t="shared" ca="1" si="1092"/>
        <v/>
      </c>
      <c r="DC880" s="48" t="str">
        <f t="shared" ca="1" si="1102"/>
        <v/>
      </c>
      <c r="DD880" s="48" t="str">
        <f t="shared" ca="1" si="1103"/>
        <v/>
      </c>
      <c r="DE880" s="48" t="str">
        <f t="shared" ca="1" si="1104"/>
        <v/>
      </c>
      <c r="DF880" s="48">
        <f ca="1">IF(AND(CX880=$DF$1,CX880&lt;&gt;""),0,IF(AND(DB880&lt;&gt;"",OR(DB879&lt;&gt;"",DB881&lt;&gt;"")),MAX($DF$2:DF879)+1,0))</f>
        <v>0</v>
      </c>
    </row>
    <row r="881" spans="102:110" x14ac:dyDescent="0.3">
      <c r="CX881" s="48">
        <f t="shared" ca="1" si="1099"/>
        <v>68</v>
      </c>
      <c r="CY881" s="48" t="str">
        <f t="shared" ca="1" si="1098"/>
        <v>MASTRO</v>
      </c>
      <c r="CZ881" s="48" t="e">
        <f t="shared" ca="1" si="1101"/>
        <v>#N/A</v>
      </c>
      <c r="DA881" s="48" t="str">
        <f t="shared" ca="1" si="1105"/>
        <v/>
      </c>
      <c r="DB881" s="48" t="str">
        <f t="shared" ca="1" si="1092"/>
        <v/>
      </c>
      <c r="DC881" s="48" t="str">
        <f t="shared" ca="1" si="1102"/>
        <v/>
      </c>
      <c r="DD881" s="48" t="str">
        <f t="shared" ca="1" si="1103"/>
        <v/>
      </c>
      <c r="DE881" s="48" t="str">
        <f t="shared" ca="1" si="1104"/>
        <v/>
      </c>
      <c r="DF881" s="48">
        <f ca="1">IF(AND(CX881=$DF$1,CX881&lt;&gt;""),0,IF(AND(DB881&lt;&gt;"",OR(DB880&lt;&gt;"",DB882&lt;&gt;"")),MAX($DF$2:DF880)+1,0))</f>
        <v>0</v>
      </c>
    </row>
    <row r="882" spans="102:110" x14ac:dyDescent="0.3">
      <c r="CX882" s="48">
        <f t="shared" ca="1" si="1099"/>
        <v>68</v>
      </c>
      <c r="CY882" s="48" t="str">
        <f t="shared" ca="1" si="1098"/>
        <v>MASTRO</v>
      </c>
      <c r="CZ882" s="48" t="e">
        <f t="shared" ca="1" si="1101"/>
        <v>#N/A</v>
      </c>
      <c r="DA882" s="48" t="str">
        <f t="shared" ca="1" si="1105"/>
        <v/>
      </c>
      <c r="DB882" s="48" t="str">
        <f t="shared" ca="1" si="1092"/>
        <v/>
      </c>
      <c r="DC882" s="48" t="str">
        <f t="shared" ca="1" si="1102"/>
        <v/>
      </c>
      <c r="DD882" s="48" t="str">
        <f t="shared" ca="1" si="1103"/>
        <v/>
      </c>
      <c r="DE882" s="48" t="str">
        <f t="shared" ca="1" si="1104"/>
        <v/>
      </c>
      <c r="DF882" s="48">
        <f ca="1">IF(AND(CX882=$DF$1,CX882&lt;&gt;""),0,IF(AND(DB882&lt;&gt;"",OR(DB881&lt;&gt;"",DB883&lt;&gt;"")),MAX($DF$2:DF881)+1,0))</f>
        <v>0</v>
      </c>
    </row>
    <row r="883" spans="102:110" x14ac:dyDescent="0.3">
      <c r="CX883" s="48">
        <f t="shared" ca="1" si="1099"/>
        <v>68</v>
      </c>
      <c r="CY883" s="48" t="str">
        <f t="shared" ca="1" si="1098"/>
        <v>MASTRO</v>
      </c>
      <c r="CZ883" s="48" t="e">
        <f t="shared" ca="1" si="1101"/>
        <v>#N/A</v>
      </c>
      <c r="DA883" s="48" t="str">
        <f t="shared" ca="1" si="1105"/>
        <v/>
      </c>
      <c r="DB883" s="48" t="str">
        <f t="shared" ca="1" si="1092"/>
        <v/>
      </c>
      <c r="DC883" s="48" t="str">
        <f t="shared" ca="1" si="1102"/>
        <v/>
      </c>
      <c r="DD883" s="48" t="str">
        <f t="shared" ca="1" si="1103"/>
        <v/>
      </c>
      <c r="DE883" s="48" t="str">
        <f t="shared" ca="1" si="1104"/>
        <v/>
      </c>
      <c r="DF883" s="48">
        <f ca="1">IF(AND(CX883=$DF$1,CX883&lt;&gt;""),0,IF(AND(DB883&lt;&gt;"",OR(DB882&lt;&gt;"",DB884&lt;&gt;"")),MAX($DF$2:DF882)+1,0))</f>
        <v>0</v>
      </c>
    </row>
    <row r="884" spans="102:110" x14ac:dyDescent="0.3">
      <c r="CX884" s="48">
        <f t="shared" ca="1" si="1099"/>
        <v>68</v>
      </c>
      <c r="CY884" s="48" t="str">
        <f t="shared" ca="1" si="1098"/>
        <v>MASTRO</v>
      </c>
      <c r="CZ884" s="48" t="e">
        <f t="shared" ca="1" si="1101"/>
        <v>#N/A</v>
      </c>
      <c r="DA884" s="48" t="str">
        <f t="shared" ca="1" si="1105"/>
        <v/>
      </c>
      <c r="DB884" s="48" t="str">
        <f t="shared" ca="1" si="1092"/>
        <v/>
      </c>
      <c r="DC884" s="48" t="str">
        <f t="shared" ca="1" si="1102"/>
        <v/>
      </c>
      <c r="DD884" s="48" t="str">
        <f t="shared" ca="1" si="1103"/>
        <v/>
      </c>
      <c r="DE884" s="48" t="str">
        <f t="shared" ca="1" si="1104"/>
        <v/>
      </c>
      <c r="DF884" s="48">
        <f ca="1">IF(AND(CX884=$DF$1,CX884&lt;&gt;""),0,IF(AND(DB884&lt;&gt;"",OR(DB883&lt;&gt;"",DB885&lt;&gt;"")),MAX($DF$2:DF883)+1,0))</f>
        <v>0</v>
      </c>
    </row>
    <row r="885" spans="102:110" x14ac:dyDescent="0.3">
      <c r="CX885" s="48">
        <f t="shared" ca="1" si="1099"/>
        <v>68</v>
      </c>
      <c r="CY885" s="48" t="str">
        <f t="shared" ca="1" si="1098"/>
        <v>MASTRO</v>
      </c>
      <c r="CZ885" s="48" t="e">
        <f t="shared" ca="1" si="1101"/>
        <v>#N/A</v>
      </c>
      <c r="DA885" s="48" t="str">
        <f t="shared" ca="1" si="1105"/>
        <v/>
      </c>
      <c r="DB885" s="48" t="str">
        <f t="shared" ca="1" si="1092"/>
        <v/>
      </c>
      <c r="DC885" s="48" t="str">
        <f t="shared" ca="1" si="1102"/>
        <v/>
      </c>
      <c r="DD885" s="48" t="str">
        <f t="shared" ca="1" si="1103"/>
        <v/>
      </c>
      <c r="DE885" s="48" t="str">
        <f t="shared" ca="1" si="1104"/>
        <v/>
      </c>
      <c r="DF885" s="48">
        <f ca="1">IF(AND(CX885=$DF$1,CX885&lt;&gt;""),0,IF(AND(DB885&lt;&gt;"",OR(DB884&lt;&gt;"",DB886&lt;&gt;"")),MAX($DF$2:DF884)+1,0))</f>
        <v>0</v>
      </c>
    </row>
    <row r="886" spans="102:110" x14ac:dyDescent="0.3">
      <c r="CY886" s="48" t="s">
        <v>500</v>
      </c>
      <c r="DB886" s="48" t="str">
        <f t="shared" ref="DB886" ca="1" si="1106">IF(CX885=$DF$1,"","MASTRO")</f>
        <v>MASTRO</v>
      </c>
      <c r="DF886" s="48">
        <f ca="1">IF(AND(CX886=$DF$1,CX886&lt;&gt;""),0,IF(AND(DB886&lt;&gt;"",OR(DB885&lt;&gt;"",DB887&lt;&gt;"")),MAX($DF$2:DF885)+1,0))</f>
        <v>0</v>
      </c>
    </row>
    <row r="887" spans="102:110" x14ac:dyDescent="0.3">
      <c r="CX887" s="48">
        <f ca="1">$FF$71</f>
        <v>69</v>
      </c>
      <c r="CY887" s="48" t="str">
        <f t="shared" ref="CY887:CY898" ca="1" si="1107">IF(ISERROR(INDEX($CV$3:$CX$1302,MATCH(CX887,$CW$3:$CW$1302,0),1)),"MASTRO",INDEX($CV$3:$CX$1302,MATCH(CX887,$CW$3:$CW$1302,0),1))</f>
        <v>MASTRO</v>
      </c>
      <c r="DA887" s="48" t="str">
        <f>IF(CY886="MASTRO","Conto n.","")</f>
        <v>Conto n.</v>
      </c>
      <c r="DB887" s="48" t="str">
        <f ca="1">IF(CY887=0,"",INDEX(PDC,MATCH(DC887,DEN_PDC,0),1))</f>
        <v/>
      </c>
      <c r="DC887" s="48" t="str">
        <f ca="1">IF(OR(CY887=0,CY887="mastro"),"",CY887)</f>
        <v/>
      </c>
      <c r="DD887" s="48" t="str">
        <f ca="1">IF(AND($DA$2=TRUE,OR(INDEX(PDC,MATCH($DC887,DEN_PDC,0),4)="A",INDEX(PDC,MATCH($DC887,DEN_PDC,0),4)="D/A"),SUMIFS(AVERE,DEN_G,"="&amp;$DC887,DATA,"&lt;="&amp;FINE_AC,DATA,"&gt;="&amp;INIZIO_AC)&gt;SUMIFS(DARE,DEN_G,"="&amp;$DC887,DATA,"&lt;="&amp;FINE_AC,DATA,"&gt;="&amp;INIZIO_AC)),CONCATENATE("s ",FIXED(ABS(SUMIFS(AVERE,DEN_G,"="&amp;$DC887,DATA,"&lt;="&amp;FINE_AC,DATA,"&gt;="&amp;INIZIO_AC)-SUMIFS(DARE,DEN_G,"="&amp;$DC887,DATA,"&lt;="&amp;FINE_AC,DATA,"&gt;="&amp;INIZIO_AC)),2)),"")</f>
        <v/>
      </c>
      <c r="DE887" s="48" t="str">
        <f ca="1">IF(AND($DA$2=TRUE,OR(INDEX(PDC,MATCH($DC887,DEN_PDC,0),4)="D",INDEX(PDC,MATCH($DC887,DEN_PDC,0),4)="D/A"),SUMIFS(DARE,DEN_G,"="&amp;$DC887,DATA,"&lt;="&amp;FINE_AC,DATA,"&gt;="&amp;INIZIO_AC)&gt;SUMIFS(AVERE,DEN_G,"="&amp;$DC887,DATA,"&lt;="&amp;FINE_AC,DATA,"&gt;="&amp;INIZIO_AC)),CONCATENATE("s ",FIXED(ABS(SUMIFS(DARE,DEN_G,"="&amp;$DC887,DATA,"&lt;="&amp;FINE_AC,DATA,"&gt;="&amp;INIZIO_AC)-SUMIFS(AVERE,DEN_G,"="&amp;$DC887,DATA,"&lt;="&amp;FINE_AC,DATA,"&gt;="&amp;INIZIO_AC)),2)),"")</f>
        <v/>
      </c>
      <c r="DF887" s="48">
        <f ca="1">IF(AND(CX887=$DF$1,CX887&lt;&gt;""),0,IF(AND(DB887&lt;&gt;"",OR(DB886&lt;&gt;"",DB888&lt;&gt;"")),MAX($DF$2:DF886)+1,0))</f>
        <v>0</v>
      </c>
    </row>
    <row r="888" spans="102:110" x14ac:dyDescent="0.3">
      <c r="CX888" s="48">
        <f t="shared" ref="CX888:CX898" ca="1" si="1108">$FF$71</f>
        <v>69</v>
      </c>
      <c r="CY888" s="48" t="str">
        <f t="shared" ca="1" si="1107"/>
        <v>MASTRO</v>
      </c>
      <c r="DA888" s="48" t="str">
        <f ca="1">IF(DB887="","","Num. riga")</f>
        <v/>
      </c>
      <c r="DB888" s="48" t="str">
        <f t="shared" ref="DB888" ca="1" si="1109">IF(DB887="","","Data")</f>
        <v/>
      </c>
      <c r="DC888" s="48" t="str">
        <f ca="1">IF(DB887="","","Operazioni")</f>
        <v/>
      </c>
      <c r="DD888" s="48" t="str">
        <f ca="1">IF(DB887="","","Dare        ")</f>
        <v/>
      </c>
      <c r="DE888" s="48" t="str">
        <f ca="1">IF(DB887="","","Avere        ")</f>
        <v/>
      </c>
      <c r="DF888" s="48">
        <f ca="1">IF(AND(CX888=$DF$1,CX888&lt;&gt;""),0,IF(AND(DB888&lt;&gt;"",OR(DB887&lt;&gt;"",DB889&lt;&gt;"")),MAX($DF$2:DF887)+1,0))</f>
        <v>0</v>
      </c>
    </row>
    <row r="889" spans="102:110" x14ac:dyDescent="0.3">
      <c r="CX889" s="48">
        <f t="shared" ca="1" si="1108"/>
        <v>69</v>
      </c>
      <c r="CY889" s="48" t="str">
        <f t="shared" ca="1" si="1107"/>
        <v>MASTRO</v>
      </c>
      <c r="CZ889" s="48" t="e">
        <f t="shared" ref="CZ889:CZ898" ca="1" si="1110">SUM(MATCH($CY889,INDIRECT(ADDRESS(SUM(CZ888)+3,54)&amp;":"&amp;ADDRESS(400,54)),0),CZ888)</f>
        <v>#N/A</v>
      </c>
      <c r="DA889" s="48" t="str">
        <f ca="1">IFERROR(INDEX(LIBRO_GIORNALE,CZ889,1),"")</f>
        <v/>
      </c>
      <c r="DB889" s="48" t="str">
        <f t="shared" ca="1" si="1092"/>
        <v/>
      </c>
      <c r="DC889" s="48" t="str">
        <f t="shared" ref="DC889:DC898" ca="1" si="1111">IF(IFERROR(INDEX(LIBRO_GIORNALE,CZ889,4),"")=0,"manca la descrizione dell'operazione",IFERROR(INDEX(LIBRO_GIORNALE,CZ889,4),""))</f>
        <v/>
      </c>
      <c r="DD889" s="48" t="str">
        <f t="shared" ref="DD889:DD898" ca="1" si="1112">IFERROR(IF(INDEX(LIBRO_GIORNALE,CZ889,5)&gt;0,INDEX(LIBRO_GIORNALE,CZ889,5),""),"")</f>
        <v/>
      </c>
      <c r="DE889" s="48" t="str">
        <f t="shared" ref="DE889:DE898" ca="1" si="1113">IFERROR(IF(INDEX(LIBRO_GIORNALE,CZ889,6)&gt;0,INDEX(LIBRO_GIORNALE,CZ889,6),""),"")</f>
        <v/>
      </c>
      <c r="DF889" s="48">
        <f ca="1">IF(AND(CX889=$DF$1,CX889&lt;&gt;""),0,IF(AND(DB889&lt;&gt;"",OR(DB888&lt;&gt;"",DB890&lt;&gt;"")),MAX($DF$2:DF888)+1,0))</f>
        <v>0</v>
      </c>
    </row>
    <row r="890" spans="102:110" x14ac:dyDescent="0.3">
      <c r="CX890" s="48">
        <f t="shared" ca="1" si="1108"/>
        <v>69</v>
      </c>
      <c r="CY890" s="48" t="str">
        <f t="shared" ca="1" si="1107"/>
        <v>MASTRO</v>
      </c>
      <c r="CZ890" s="48" t="e">
        <f t="shared" ca="1" si="1110"/>
        <v>#N/A</v>
      </c>
      <c r="DA890" s="48" t="str">
        <f t="shared" ref="DA890:DA898" ca="1" si="1114">IFERROR(INDEX(LIBRO_GIORNALE,CZ890,1),"")</f>
        <v/>
      </c>
      <c r="DB890" s="48" t="str">
        <f t="shared" ca="1" si="1092"/>
        <v/>
      </c>
      <c r="DC890" s="48" t="str">
        <f t="shared" ca="1" si="1111"/>
        <v/>
      </c>
      <c r="DD890" s="48" t="str">
        <f t="shared" ca="1" si="1112"/>
        <v/>
      </c>
      <c r="DE890" s="48" t="str">
        <f t="shared" ca="1" si="1113"/>
        <v/>
      </c>
      <c r="DF890" s="48">
        <f ca="1">IF(AND(CX890=$DF$1,CX890&lt;&gt;""),0,IF(AND(DB890&lt;&gt;"",OR(DB889&lt;&gt;"",DB891&lt;&gt;"")),MAX($DF$2:DF889)+1,0))</f>
        <v>0</v>
      </c>
    </row>
    <row r="891" spans="102:110" x14ac:dyDescent="0.3">
      <c r="CX891" s="48">
        <f t="shared" ca="1" si="1108"/>
        <v>69</v>
      </c>
      <c r="CY891" s="48" t="str">
        <f t="shared" ca="1" si="1107"/>
        <v>MASTRO</v>
      </c>
      <c r="CZ891" s="48" t="e">
        <f t="shared" ca="1" si="1110"/>
        <v>#N/A</v>
      </c>
      <c r="DA891" s="48" t="str">
        <f t="shared" ca="1" si="1114"/>
        <v/>
      </c>
      <c r="DB891" s="48" t="str">
        <f t="shared" ca="1" si="1092"/>
        <v/>
      </c>
      <c r="DC891" s="48" t="str">
        <f t="shared" ca="1" si="1111"/>
        <v/>
      </c>
      <c r="DD891" s="48" t="str">
        <f t="shared" ca="1" si="1112"/>
        <v/>
      </c>
      <c r="DE891" s="48" t="str">
        <f t="shared" ca="1" si="1113"/>
        <v/>
      </c>
      <c r="DF891" s="48">
        <f ca="1">IF(AND(CX891=$DF$1,CX891&lt;&gt;""),0,IF(AND(DB891&lt;&gt;"",OR(DB890&lt;&gt;"",DB892&lt;&gt;"")),MAX($DF$2:DF890)+1,0))</f>
        <v>0</v>
      </c>
    </row>
    <row r="892" spans="102:110" x14ac:dyDescent="0.3">
      <c r="CX892" s="48">
        <f t="shared" ca="1" si="1108"/>
        <v>69</v>
      </c>
      <c r="CY892" s="48" t="str">
        <f t="shared" ca="1" si="1107"/>
        <v>MASTRO</v>
      </c>
      <c r="CZ892" s="48" t="e">
        <f t="shared" ca="1" si="1110"/>
        <v>#N/A</v>
      </c>
      <c r="DA892" s="48" t="str">
        <f t="shared" ca="1" si="1114"/>
        <v/>
      </c>
      <c r="DB892" s="48" t="str">
        <f t="shared" ca="1" si="1092"/>
        <v/>
      </c>
      <c r="DC892" s="48" t="str">
        <f t="shared" ca="1" si="1111"/>
        <v/>
      </c>
      <c r="DD892" s="48" t="str">
        <f t="shared" ca="1" si="1112"/>
        <v/>
      </c>
      <c r="DE892" s="48" t="str">
        <f t="shared" ca="1" si="1113"/>
        <v/>
      </c>
      <c r="DF892" s="48">
        <f ca="1">IF(AND(CX892=$DF$1,CX892&lt;&gt;""),0,IF(AND(DB892&lt;&gt;"",OR(DB891&lt;&gt;"",DB893&lt;&gt;"")),MAX($DF$2:DF891)+1,0))</f>
        <v>0</v>
      </c>
    </row>
    <row r="893" spans="102:110" x14ac:dyDescent="0.3">
      <c r="CX893" s="48">
        <f t="shared" ca="1" si="1108"/>
        <v>69</v>
      </c>
      <c r="CY893" s="48" t="str">
        <f t="shared" ca="1" si="1107"/>
        <v>MASTRO</v>
      </c>
      <c r="CZ893" s="48" t="e">
        <f t="shared" ca="1" si="1110"/>
        <v>#N/A</v>
      </c>
      <c r="DA893" s="48" t="str">
        <f t="shared" ca="1" si="1114"/>
        <v/>
      </c>
      <c r="DB893" s="48" t="str">
        <f t="shared" ca="1" si="1092"/>
        <v/>
      </c>
      <c r="DC893" s="48" t="str">
        <f t="shared" ca="1" si="1111"/>
        <v/>
      </c>
      <c r="DD893" s="48" t="str">
        <f t="shared" ca="1" si="1112"/>
        <v/>
      </c>
      <c r="DE893" s="48" t="str">
        <f t="shared" ca="1" si="1113"/>
        <v/>
      </c>
      <c r="DF893" s="48">
        <f ca="1">IF(AND(CX893=$DF$1,CX893&lt;&gt;""),0,IF(AND(DB893&lt;&gt;"",OR(DB892&lt;&gt;"",DB894&lt;&gt;"")),MAX($DF$2:DF892)+1,0))</f>
        <v>0</v>
      </c>
    </row>
    <row r="894" spans="102:110" x14ac:dyDescent="0.3">
      <c r="CX894" s="48">
        <f t="shared" ca="1" si="1108"/>
        <v>69</v>
      </c>
      <c r="CY894" s="48" t="str">
        <f t="shared" ca="1" si="1107"/>
        <v>MASTRO</v>
      </c>
      <c r="CZ894" s="48" t="e">
        <f t="shared" ca="1" si="1110"/>
        <v>#N/A</v>
      </c>
      <c r="DA894" s="48" t="str">
        <f t="shared" ca="1" si="1114"/>
        <v/>
      </c>
      <c r="DB894" s="48" t="str">
        <f t="shared" ca="1" si="1092"/>
        <v/>
      </c>
      <c r="DC894" s="48" t="str">
        <f t="shared" ca="1" si="1111"/>
        <v/>
      </c>
      <c r="DD894" s="48" t="str">
        <f t="shared" ca="1" si="1112"/>
        <v/>
      </c>
      <c r="DE894" s="48" t="str">
        <f t="shared" ca="1" si="1113"/>
        <v/>
      </c>
      <c r="DF894" s="48">
        <f ca="1">IF(AND(CX894=$DF$1,CX894&lt;&gt;""),0,IF(AND(DB894&lt;&gt;"",OR(DB893&lt;&gt;"",DB895&lt;&gt;"")),MAX($DF$2:DF893)+1,0))</f>
        <v>0</v>
      </c>
    </row>
    <row r="895" spans="102:110" x14ac:dyDescent="0.3">
      <c r="CX895" s="48">
        <f t="shared" ca="1" si="1108"/>
        <v>69</v>
      </c>
      <c r="CY895" s="48" t="str">
        <f t="shared" ca="1" si="1107"/>
        <v>MASTRO</v>
      </c>
      <c r="CZ895" s="48" t="e">
        <f t="shared" ca="1" si="1110"/>
        <v>#N/A</v>
      </c>
      <c r="DA895" s="48" t="str">
        <f t="shared" ca="1" si="1114"/>
        <v/>
      </c>
      <c r="DB895" s="48" t="str">
        <f t="shared" ca="1" si="1092"/>
        <v/>
      </c>
      <c r="DC895" s="48" t="str">
        <f t="shared" ca="1" si="1111"/>
        <v/>
      </c>
      <c r="DD895" s="48" t="str">
        <f t="shared" ca="1" si="1112"/>
        <v/>
      </c>
      <c r="DE895" s="48" t="str">
        <f t="shared" ca="1" si="1113"/>
        <v/>
      </c>
      <c r="DF895" s="48">
        <f ca="1">IF(AND(CX895=$DF$1,CX895&lt;&gt;""),0,IF(AND(DB895&lt;&gt;"",OR(DB894&lt;&gt;"",DB896&lt;&gt;"")),MAX($DF$2:DF894)+1,0))</f>
        <v>0</v>
      </c>
    </row>
    <row r="896" spans="102:110" x14ac:dyDescent="0.3">
      <c r="CX896" s="48">
        <f t="shared" ca="1" si="1108"/>
        <v>69</v>
      </c>
      <c r="CY896" s="48" t="str">
        <f t="shared" ca="1" si="1107"/>
        <v>MASTRO</v>
      </c>
      <c r="CZ896" s="48" t="e">
        <f t="shared" ca="1" si="1110"/>
        <v>#N/A</v>
      </c>
      <c r="DA896" s="48" t="str">
        <f t="shared" ca="1" si="1114"/>
        <v/>
      </c>
      <c r="DB896" s="48" t="str">
        <f t="shared" ca="1" si="1092"/>
        <v/>
      </c>
      <c r="DC896" s="48" t="str">
        <f t="shared" ca="1" si="1111"/>
        <v/>
      </c>
      <c r="DD896" s="48" t="str">
        <f t="shared" ca="1" si="1112"/>
        <v/>
      </c>
      <c r="DE896" s="48" t="str">
        <f t="shared" ca="1" si="1113"/>
        <v/>
      </c>
      <c r="DF896" s="48">
        <f ca="1">IF(AND(CX896=$DF$1,CX896&lt;&gt;""),0,IF(AND(DB896&lt;&gt;"",OR(DB895&lt;&gt;"",DB897&lt;&gt;"")),MAX($DF$2:DF895)+1,0))</f>
        <v>0</v>
      </c>
    </row>
    <row r="897" spans="102:110" x14ac:dyDescent="0.3">
      <c r="CX897" s="48">
        <f t="shared" ca="1" si="1108"/>
        <v>69</v>
      </c>
      <c r="CY897" s="48" t="str">
        <f t="shared" ca="1" si="1107"/>
        <v>MASTRO</v>
      </c>
      <c r="CZ897" s="48" t="e">
        <f t="shared" ca="1" si="1110"/>
        <v>#N/A</v>
      </c>
      <c r="DA897" s="48" t="str">
        <f t="shared" ca="1" si="1114"/>
        <v/>
      </c>
      <c r="DB897" s="48" t="str">
        <f t="shared" ca="1" si="1092"/>
        <v/>
      </c>
      <c r="DC897" s="48" t="str">
        <f t="shared" ca="1" si="1111"/>
        <v/>
      </c>
      <c r="DD897" s="48" t="str">
        <f t="shared" ca="1" si="1112"/>
        <v/>
      </c>
      <c r="DE897" s="48" t="str">
        <f t="shared" ca="1" si="1113"/>
        <v/>
      </c>
      <c r="DF897" s="48">
        <f ca="1">IF(AND(CX897=$DF$1,CX897&lt;&gt;""),0,IF(AND(DB897&lt;&gt;"",OR(DB896&lt;&gt;"",DB898&lt;&gt;"")),MAX($DF$2:DF896)+1,0))</f>
        <v>0</v>
      </c>
    </row>
    <row r="898" spans="102:110" x14ac:dyDescent="0.3">
      <c r="CX898" s="48">
        <f t="shared" ca="1" si="1108"/>
        <v>69</v>
      </c>
      <c r="CY898" s="48" t="str">
        <f t="shared" ca="1" si="1107"/>
        <v>MASTRO</v>
      </c>
      <c r="CZ898" s="48" t="e">
        <f t="shared" ca="1" si="1110"/>
        <v>#N/A</v>
      </c>
      <c r="DA898" s="48" t="str">
        <f t="shared" ca="1" si="1114"/>
        <v/>
      </c>
      <c r="DB898" s="48" t="str">
        <f t="shared" ca="1" si="1092"/>
        <v/>
      </c>
      <c r="DC898" s="48" t="str">
        <f t="shared" ca="1" si="1111"/>
        <v/>
      </c>
      <c r="DD898" s="48" t="str">
        <f t="shared" ca="1" si="1112"/>
        <v/>
      </c>
      <c r="DE898" s="48" t="str">
        <f t="shared" ca="1" si="1113"/>
        <v/>
      </c>
      <c r="DF898" s="48">
        <f ca="1">IF(AND(CX898=$DF$1,CX898&lt;&gt;""),0,IF(AND(DB898&lt;&gt;"",OR(DB897&lt;&gt;"",DB899&lt;&gt;"")),MAX($DF$2:DF897)+1,0))</f>
        <v>0</v>
      </c>
    </row>
    <row r="899" spans="102:110" x14ac:dyDescent="0.3">
      <c r="CY899" s="48" t="s">
        <v>500</v>
      </c>
      <c r="DB899" s="48" t="str">
        <f t="shared" ref="DB899" ca="1" si="1115">IF(CX898=$DF$1,"","MASTRO")</f>
        <v>MASTRO</v>
      </c>
      <c r="DF899" s="48">
        <f ca="1">IF(AND(CX899=$DF$1,CX899&lt;&gt;""),0,IF(AND(DB899&lt;&gt;"",OR(DB898&lt;&gt;"",DB900&lt;&gt;"")),MAX($DF$2:DF898)+1,0))</f>
        <v>0</v>
      </c>
    </row>
    <row r="900" spans="102:110" x14ac:dyDescent="0.3">
      <c r="CX900" s="48">
        <f ca="1">$FF$72</f>
        <v>70</v>
      </c>
      <c r="CY900" s="48" t="str">
        <f t="shared" ref="CY900:CY911" ca="1" si="1116">IF(ISERROR(INDEX($CV$3:$CX$1302,MATCH(CX900,$CW$3:$CW$1302,0),1)),"MASTRO",INDEX($CV$3:$CX$1302,MATCH(CX900,$CW$3:$CW$1302,0),1))</f>
        <v>MASTRO</v>
      </c>
      <c r="DA900" s="48" t="str">
        <f>IF(CY899="MASTRO","Conto n.","")</f>
        <v>Conto n.</v>
      </c>
      <c r="DB900" s="48" t="str">
        <f ca="1">IF(CY900=0,"",INDEX(PDC,MATCH(DC900,DEN_PDC,0),1))</f>
        <v/>
      </c>
      <c r="DC900" s="48" t="str">
        <f ca="1">IF(OR(CY900=0,CY900="mastro"),"",CY900)</f>
        <v/>
      </c>
      <c r="DD900" s="48" t="str">
        <f ca="1">IF(AND($DA$2=TRUE,OR(INDEX(PDC,MATCH($DC900,DEN_PDC,0),4)="A",INDEX(PDC,MATCH($DC900,DEN_PDC,0),4)="D/A"),SUMIFS(AVERE,DEN_G,"="&amp;$DC900,DATA,"&lt;="&amp;FINE_AC,DATA,"&gt;="&amp;INIZIO_AC)&gt;SUMIFS(DARE,DEN_G,"="&amp;$DC900,DATA,"&lt;="&amp;FINE_AC,DATA,"&gt;="&amp;INIZIO_AC)),CONCATENATE("s ",FIXED(ABS(SUMIFS(AVERE,DEN_G,"="&amp;$DC900,DATA,"&lt;="&amp;FINE_AC,DATA,"&gt;="&amp;INIZIO_AC)-SUMIFS(DARE,DEN_G,"="&amp;$DC900,DATA,"&lt;="&amp;FINE_AC,DATA,"&gt;="&amp;INIZIO_AC)),2)),"")</f>
        <v/>
      </c>
      <c r="DE900" s="48" t="str">
        <f ca="1">IF(AND($DA$2=TRUE,OR(INDEX(PDC,MATCH($DC900,DEN_PDC,0),4)="D",INDEX(PDC,MATCH($DC900,DEN_PDC,0),4)="D/A"),SUMIFS(DARE,DEN_G,"="&amp;$DC900,DATA,"&lt;="&amp;FINE_AC,DATA,"&gt;="&amp;INIZIO_AC)&gt;SUMIFS(AVERE,DEN_G,"="&amp;$DC900,DATA,"&lt;="&amp;FINE_AC,DATA,"&gt;="&amp;INIZIO_AC)),CONCATENATE("s ",FIXED(ABS(SUMIFS(DARE,DEN_G,"="&amp;$DC900,DATA,"&lt;="&amp;FINE_AC,DATA,"&gt;="&amp;INIZIO_AC)-SUMIFS(AVERE,DEN_G,"="&amp;$DC900,DATA,"&lt;="&amp;FINE_AC,DATA,"&gt;="&amp;INIZIO_AC)),2)),"")</f>
        <v/>
      </c>
      <c r="DF900" s="48">
        <f ca="1">IF(AND(CX900=$DF$1,CX900&lt;&gt;""),0,IF(AND(DB900&lt;&gt;"",OR(DB899&lt;&gt;"",DB901&lt;&gt;"")),MAX($DF$2:DF899)+1,0))</f>
        <v>0</v>
      </c>
    </row>
    <row r="901" spans="102:110" x14ac:dyDescent="0.3">
      <c r="CX901" s="48">
        <f t="shared" ref="CX901:CX911" ca="1" si="1117">$FF$72</f>
        <v>70</v>
      </c>
      <c r="CY901" s="48" t="str">
        <f t="shared" ca="1" si="1116"/>
        <v>MASTRO</v>
      </c>
      <c r="DA901" s="48" t="str">
        <f ca="1">IF(DB900="","","Num. riga")</f>
        <v/>
      </c>
      <c r="DB901" s="48" t="str">
        <f t="shared" ref="DB901" ca="1" si="1118">IF(DB900="","","Data")</f>
        <v/>
      </c>
      <c r="DC901" s="48" t="str">
        <f ca="1">IF(DB900="","","Operazioni")</f>
        <v/>
      </c>
      <c r="DD901" s="48" t="str">
        <f ca="1">IF(DB900="","","Dare        ")</f>
        <v/>
      </c>
      <c r="DE901" s="48" t="str">
        <f ca="1">IF(DB900="","","Avere        ")</f>
        <v/>
      </c>
      <c r="DF901" s="48">
        <f ca="1">IF(AND(CX901=$DF$1,CX901&lt;&gt;""),0,IF(AND(DB901&lt;&gt;"",OR(DB900&lt;&gt;"",DB902&lt;&gt;"")),MAX($DF$2:DF900)+1,0))</f>
        <v>0</v>
      </c>
    </row>
    <row r="902" spans="102:110" x14ac:dyDescent="0.3">
      <c r="CX902" s="48">
        <f t="shared" ca="1" si="1117"/>
        <v>70</v>
      </c>
      <c r="CY902" s="48" t="str">
        <f t="shared" ca="1" si="1116"/>
        <v>MASTRO</v>
      </c>
      <c r="CZ902" s="48" t="e">
        <f t="shared" ref="CZ902:CZ911" ca="1" si="1119">SUM(MATCH($CY902,INDIRECT(ADDRESS(SUM(CZ901)+3,54)&amp;":"&amp;ADDRESS(400,54)),0),CZ901)</f>
        <v>#N/A</v>
      </c>
      <c r="DA902" s="48" t="str">
        <f ca="1">IFERROR(INDEX(LIBRO_GIORNALE,CZ902,1),"")</f>
        <v/>
      </c>
      <c r="DB902" s="48" t="str">
        <f t="shared" ca="1" si="1092"/>
        <v/>
      </c>
      <c r="DC902" s="48" t="str">
        <f t="shared" ref="DC902:DC911" ca="1" si="1120">IF(IFERROR(INDEX(LIBRO_GIORNALE,CZ902,4),"")=0,"manca la descrizione dell'operazione",IFERROR(INDEX(LIBRO_GIORNALE,CZ902,4),""))</f>
        <v/>
      </c>
      <c r="DD902" s="48" t="str">
        <f t="shared" ref="DD902:DD911" ca="1" si="1121">IFERROR(IF(INDEX(LIBRO_GIORNALE,CZ902,5)&gt;0,INDEX(LIBRO_GIORNALE,CZ902,5),""),"")</f>
        <v/>
      </c>
      <c r="DE902" s="48" t="str">
        <f t="shared" ref="DE902:DE911" ca="1" si="1122">IFERROR(IF(INDEX(LIBRO_GIORNALE,CZ902,6)&gt;0,INDEX(LIBRO_GIORNALE,CZ902,6),""),"")</f>
        <v/>
      </c>
      <c r="DF902" s="48">
        <f ca="1">IF(AND(CX902=$DF$1,CX902&lt;&gt;""),0,IF(AND(DB902&lt;&gt;"",OR(DB901&lt;&gt;"",DB903&lt;&gt;"")),MAX($DF$2:DF901)+1,0))</f>
        <v>0</v>
      </c>
    </row>
    <row r="903" spans="102:110" x14ac:dyDescent="0.3">
      <c r="CX903" s="48">
        <f t="shared" ca="1" si="1117"/>
        <v>70</v>
      </c>
      <c r="CY903" s="48" t="str">
        <f t="shared" ca="1" si="1116"/>
        <v>MASTRO</v>
      </c>
      <c r="CZ903" s="48" t="e">
        <f t="shared" ca="1" si="1119"/>
        <v>#N/A</v>
      </c>
      <c r="DA903" s="48" t="str">
        <f t="shared" ref="DA903:DA911" ca="1" si="1123">IFERROR(INDEX(LIBRO_GIORNALE,CZ903,1),"")</f>
        <v/>
      </c>
      <c r="DB903" s="48" t="str">
        <f t="shared" ca="1" si="1092"/>
        <v/>
      </c>
      <c r="DC903" s="48" t="str">
        <f t="shared" ca="1" si="1120"/>
        <v/>
      </c>
      <c r="DD903" s="48" t="str">
        <f t="shared" ca="1" si="1121"/>
        <v/>
      </c>
      <c r="DE903" s="48" t="str">
        <f t="shared" ca="1" si="1122"/>
        <v/>
      </c>
      <c r="DF903" s="48">
        <f ca="1">IF(AND(CX903=$DF$1,CX903&lt;&gt;""),0,IF(AND(DB903&lt;&gt;"",OR(DB902&lt;&gt;"",DB904&lt;&gt;"")),MAX($DF$2:DF902)+1,0))</f>
        <v>0</v>
      </c>
    </row>
    <row r="904" spans="102:110" x14ac:dyDescent="0.3">
      <c r="CX904" s="48">
        <f t="shared" ca="1" si="1117"/>
        <v>70</v>
      </c>
      <c r="CY904" s="48" t="str">
        <f t="shared" ca="1" si="1116"/>
        <v>MASTRO</v>
      </c>
      <c r="CZ904" s="48" t="e">
        <f t="shared" ca="1" si="1119"/>
        <v>#N/A</v>
      </c>
      <c r="DA904" s="48" t="str">
        <f t="shared" ca="1" si="1123"/>
        <v/>
      </c>
      <c r="DB904" s="48" t="str">
        <f t="shared" ca="1" si="1092"/>
        <v/>
      </c>
      <c r="DC904" s="48" t="str">
        <f t="shared" ca="1" si="1120"/>
        <v/>
      </c>
      <c r="DD904" s="48" t="str">
        <f t="shared" ca="1" si="1121"/>
        <v/>
      </c>
      <c r="DE904" s="48" t="str">
        <f t="shared" ca="1" si="1122"/>
        <v/>
      </c>
      <c r="DF904" s="48">
        <f ca="1">IF(AND(CX904=$DF$1,CX904&lt;&gt;""),0,IF(AND(DB904&lt;&gt;"",OR(DB903&lt;&gt;"",DB905&lt;&gt;"")),MAX($DF$2:DF903)+1,0))</f>
        <v>0</v>
      </c>
    </row>
    <row r="905" spans="102:110" x14ac:dyDescent="0.3">
      <c r="CX905" s="48">
        <f t="shared" ca="1" si="1117"/>
        <v>70</v>
      </c>
      <c r="CY905" s="48" t="str">
        <f t="shared" ca="1" si="1116"/>
        <v>MASTRO</v>
      </c>
      <c r="CZ905" s="48" t="e">
        <f t="shared" ca="1" si="1119"/>
        <v>#N/A</v>
      </c>
      <c r="DA905" s="48" t="str">
        <f t="shared" ca="1" si="1123"/>
        <v/>
      </c>
      <c r="DB905" s="48" t="str">
        <f t="shared" ca="1" si="1092"/>
        <v/>
      </c>
      <c r="DC905" s="48" t="str">
        <f t="shared" ca="1" si="1120"/>
        <v/>
      </c>
      <c r="DD905" s="48" t="str">
        <f t="shared" ca="1" si="1121"/>
        <v/>
      </c>
      <c r="DE905" s="48" t="str">
        <f t="shared" ca="1" si="1122"/>
        <v/>
      </c>
      <c r="DF905" s="48">
        <f ca="1">IF(AND(CX905=$DF$1,CX905&lt;&gt;""),0,IF(AND(DB905&lt;&gt;"",OR(DB904&lt;&gt;"",DB906&lt;&gt;"")),MAX($DF$2:DF904)+1,0))</f>
        <v>0</v>
      </c>
    </row>
    <row r="906" spans="102:110" x14ac:dyDescent="0.3">
      <c r="CX906" s="48">
        <f t="shared" ca="1" si="1117"/>
        <v>70</v>
      </c>
      <c r="CY906" s="48" t="str">
        <f t="shared" ca="1" si="1116"/>
        <v>MASTRO</v>
      </c>
      <c r="CZ906" s="48" t="e">
        <f t="shared" ca="1" si="1119"/>
        <v>#N/A</v>
      </c>
      <c r="DA906" s="48" t="str">
        <f t="shared" ca="1" si="1123"/>
        <v/>
      </c>
      <c r="DB906" s="48" t="str">
        <f t="shared" ca="1" si="1092"/>
        <v/>
      </c>
      <c r="DC906" s="48" t="str">
        <f t="shared" ca="1" si="1120"/>
        <v/>
      </c>
      <c r="DD906" s="48" t="str">
        <f t="shared" ca="1" si="1121"/>
        <v/>
      </c>
      <c r="DE906" s="48" t="str">
        <f t="shared" ca="1" si="1122"/>
        <v/>
      </c>
      <c r="DF906" s="48">
        <f ca="1">IF(AND(CX906=$DF$1,CX906&lt;&gt;""),0,IF(AND(DB906&lt;&gt;"",OR(DB905&lt;&gt;"",DB907&lt;&gt;"")),MAX($DF$2:DF905)+1,0))</f>
        <v>0</v>
      </c>
    </row>
    <row r="907" spans="102:110" x14ac:dyDescent="0.3">
      <c r="CX907" s="48">
        <f t="shared" ca="1" si="1117"/>
        <v>70</v>
      </c>
      <c r="CY907" s="48" t="str">
        <f t="shared" ca="1" si="1116"/>
        <v>MASTRO</v>
      </c>
      <c r="CZ907" s="48" t="e">
        <f t="shared" ca="1" si="1119"/>
        <v>#N/A</v>
      </c>
      <c r="DA907" s="48" t="str">
        <f t="shared" ca="1" si="1123"/>
        <v/>
      </c>
      <c r="DB907" s="48" t="str">
        <f t="shared" ca="1" si="1092"/>
        <v/>
      </c>
      <c r="DC907" s="48" t="str">
        <f t="shared" ca="1" si="1120"/>
        <v/>
      </c>
      <c r="DD907" s="48" t="str">
        <f t="shared" ca="1" si="1121"/>
        <v/>
      </c>
      <c r="DE907" s="48" t="str">
        <f t="shared" ca="1" si="1122"/>
        <v/>
      </c>
      <c r="DF907" s="48">
        <f ca="1">IF(AND(CX907=$DF$1,CX907&lt;&gt;""),0,IF(AND(DB907&lt;&gt;"",OR(DB906&lt;&gt;"",DB908&lt;&gt;"")),MAX($DF$2:DF906)+1,0))</f>
        <v>0</v>
      </c>
    </row>
    <row r="908" spans="102:110" x14ac:dyDescent="0.3">
      <c r="CX908" s="48">
        <f t="shared" ca="1" si="1117"/>
        <v>70</v>
      </c>
      <c r="CY908" s="48" t="str">
        <f t="shared" ca="1" si="1116"/>
        <v>MASTRO</v>
      </c>
      <c r="CZ908" s="48" t="e">
        <f t="shared" ca="1" si="1119"/>
        <v>#N/A</v>
      </c>
      <c r="DA908" s="48" t="str">
        <f t="shared" ca="1" si="1123"/>
        <v/>
      </c>
      <c r="DB908" s="48" t="str">
        <f t="shared" ca="1" si="1092"/>
        <v/>
      </c>
      <c r="DC908" s="48" t="str">
        <f t="shared" ca="1" si="1120"/>
        <v/>
      </c>
      <c r="DD908" s="48" t="str">
        <f t="shared" ca="1" si="1121"/>
        <v/>
      </c>
      <c r="DE908" s="48" t="str">
        <f t="shared" ca="1" si="1122"/>
        <v/>
      </c>
      <c r="DF908" s="48">
        <f ca="1">IF(AND(CX908=$DF$1,CX908&lt;&gt;""),0,IF(AND(DB908&lt;&gt;"",OR(DB907&lt;&gt;"",DB909&lt;&gt;"")),MAX($DF$2:DF907)+1,0))</f>
        <v>0</v>
      </c>
    </row>
    <row r="909" spans="102:110" x14ac:dyDescent="0.3">
      <c r="CX909" s="48">
        <f t="shared" ca="1" si="1117"/>
        <v>70</v>
      </c>
      <c r="CY909" s="48" t="str">
        <f t="shared" ca="1" si="1116"/>
        <v>MASTRO</v>
      </c>
      <c r="CZ909" s="48" t="e">
        <f t="shared" ca="1" si="1119"/>
        <v>#N/A</v>
      </c>
      <c r="DA909" s="48" t="str">
        <f t="shared" ca="1" si="1123"/>
        <v/>
      </c>
      <c r="DB909" s="48" t="str">
        <f t="shared" ca="1" si="1092"/>
        <v/>
      </c>
      <c r="DC909" s="48" t="str">
        <f t="shared" ca="1" si="1120"/>
        <v/>
      </c>
      <c r="DD909" s="48" t="str">
        <f t="shared" ca="1" si="1121"/>
        <v/>
      </c>
      <c r="DE909" s="48" t="str">
        <f t="shared" ca="1" si="1122"/>
        <v/>
      </c>
      <c r="DF909" s="48">
        <f ca="1">IF(AND(CX909=$DF$1,CX909&lt;&gt;""),0,IF(AND(DB909&lt;&gt;"",OR(DB908&lt;&gt;"",DB910&lt;&gt;"")),MAX($DF$2:DF908)+1,0))</f>
        <v>0</v>
      </c>
    </row>
    <row r="910" spans="102:110" x14ac:dyDescent="0.3">
      <c r="CX910" s="48">
        <f t="shared" ca="1" si="1117"/>
        <v>70</v>
      </c>
      <c r="CY910" s="48" t="str">
        <f t="shared" ca="1" si="1116"/>
        <v>MASTRO</v>
      </c>
      <c r="CZ910" s="48" t="e">
        <f t="shared" ca="1" si="1119"/>
        <v>#N/A</v>
      </c>
      <c r="DA910" s="48" t="str">
        <f t="shared" ca="1" si="1123"/>
        <v/>
      </c>
      <c r="DB910" s="48" t="str">
        <f t="shared" ca="1" si="1092"/>
        <v/>
      </c>
      <c r="DC910" s="48" t="str">
        <f t="shared" ca="1" si="1120"/>
        <v/>
      </c>
      <c r="DD910" s="48" t="str">
        <f t="shared" ca="1" si="1121"/>
        <v/>
      </c>
      <c r="DE910" s="48" t="str">
        <f t="shared" ca="1" si="1122"/>
        <v/>
      </c>
      <c r="DF910" s="48">
        <f ca="1">IF(AND(CX910=$DF$1,CX910&lt;&gt;""),0,IF(AND(DB910&lt;&gt;"",OR(DB909&lt;&gt;"",DB911&lt;&gt;"")),MAX($DF$2:DF909)+1,0))</f>
        <v>0</v>
      </c>
    </row>
    <row r="911" spans="102:110" x14ac:dyDescent="0.3">
      <c r="CX911" s="48">
        <f t="shared" ca="1" si="1117"/>
        <v>70</v>
      </c>
      <c r="CY911" s="48" t="str">
        <f t="shared" ca="1" si="1116"/>
        <v>MASTRO</v>
      </c>
      <c r="CZ911" s="48" t="e">
        <f t="shared" ca="1" si="1119"/>
        <v>#N/A</v>
      </c>
      <c r="DA911" s="48" t="str">
        <f t="shared" ca="1" si="1123"/>
        <v/>
      </c>
      <c r="DB911" s="48" t="str">
        <f t="shared" ca="1" si="1092"/>
        <v/>
      </c>
      <c r="DC911" s="48" t="str">
        <f t="shared" ca="1" si="1120"/>
        <v/>
      </c>
      <c r="DD911" s="48" t="str">
        <f t="shared" ca="1" si="1121"/>
        <v/>
      </c>
      <c r="DE911" s="48" t="str">
        <f t="shared" ca="1" si="1122"/>
        <v/>
      </c>
      <c r="DF911" s="48">
        <f ca="1">IF(AND(CX911=$DF$1,CX911&lt;&gt;""),0,IF(AND(DB911&lt;&gt;"",OR(DB910&lt;&gt;"",DB912&lt;&gt;"")),MAX($DF$2:DF910)+1,0))</f>
        <v>0</v>
      </c>
    </row>
    <row r="912" spans="102:110" x14ac:dyDescent="0.3">
      <c r="CY912" s="48" t="s">
        <v>500</v>
      </c>
      <c r="DB912" s="48" t="str">
        <f t="shared" ref="DB912" ca="1" si="1124">IF(CX911=$DF$1,"","MASTRO")</f>
        <v>MASTRO</v>
      </c>
      <c r="DF912" s="48">
        <f ca="1">IF(AND(CX912=$DF$1,CX912&lt;&gt;""),0,IF(AND(DB912&lt;&gt;"",OR(DB911&lt;&gt;"",DB913&lt;&gt;"")),MAX($DF$2:DF911)+1,0))</f>
        <v>0</v>
      </c>
    </row>
    <row r="913" spans="102:110" x14ac:dyDescent="0.3">
      <c r="CX913" s="48">
        <f ca="1">$FF$73</f>
        <v>71</v>
      </c>
      <c r="CY913" s="48" t="str">
        <f t="shared" ref="CY913:CY924" ca="1" si="1125">IF(ISERROR(INDEX($CV$3:$CX$1302,MATCH(CX913,$CW$3:$CW$1302,0),1)),"MASTRO",INDEX($CV$3:$CX$1302,MATCH(CX913,$CW$3:$CW$1302,0),1))</f>
        <v>MASTRO</v>
      </c>
      <c r="DA913" s="48" t="str">
        <f>IF(CY912="MASTRO","Conto n.","")</f>
        <v>Conto n.</v>
      </c>
      <c r="DB913" s="48" t="str">
        <f ca="1">IF(CY913=0,"",INDEX(PDC,MATCH(DC913,DEN_PDC,0),1))</f>
        <v/>
      </c>
      <c r="DC913" s="48" t="str">
        <f ca="1">IF(OR(CY913=0,CY913="mastro"),"",CY913)</f>
        <v/>
      </c>
      <c r="DD913" s="48" t="str">
        <f ca="1">IF(AND($DA$2=TRUE,OR(INDEX(PDC,MATCH($DC913,DEN_PDC,0),4)="A",INDEX(PDC,MATCH($DC913,DEN_PDC,0),4)="D/A"),SUMIFS(AVERE,DEN_G,"="&amp;$DC913,DATA,"&lt;="&amp;FINE_AC,DATA,"&gt;="&amp;INIZIO_AC)&gt;SUMIFS(DARE,DEN_G,"="&amp;$DC913,DATA,"&lt;="&amp;FINE_AC,DATA,"&gt;="&amp;INIZIO_AC)),CONCATENATE("s ",FIXED(ABS(SUMIFS(AVERE,DEN_G,"="&amp;$DC913,DATA,"&lt;="&amp;FINE_AC,DATA,"&gt;="&amp;INIZIO_AC)-SUMIFS(DARE,DEN_G,"="&amp;$DC913,DATA,"&lt;="&amp;FINE_AC,DATA,"&gt;="&amp;INIZIO_AC)),2)),"")</f>
        <v/>
      </c>
      <c r="DE913" s="48" t="str">
        <f ca="1">IF(AND($DA$2=TRUE,OR(INDEX(PDC,MATCH($DC913,DEN_PDC,0),4)="D",INDEX(PDC,MATCH($DC913,DEN_PDC,0),4)="D/A"),SUMIFS(DARE,DEN_G,"="&amp;$DC913,DATA,"&lt;="&amp;FINE_AC,DATA,"&gt;="&amp;INIZIO_AC)&gt;SUMIFS(AVERE,DEN_G,"="&amp;$DC913,DATA,"&lt;="&amp;FINE_AC,DATA,"&gt;="&amp;INIZIO_AC)),CONCATENATE("s ",FIXED(ABS(SUMIFS(DARE,DEN_G,"="&amp;$DC913,DATA,"&lt;="&amp;FINE_AC,DATA,"&gt;="&amp;INIZIO_AC)-SUMIFS(AVERE,DEN_G,"="&amp;$DC913,DATA,"&lt;="&amp;FINE_AC,DATA,"&gt;="&amp;INIZIO_AC)),2)),"")</f>
        <v/>
      </c>
      <c r="DF913" s="48">
        <f ca="1">IF(AND(CX913=$DF$1,CX913&lt;&gt;""),0,IF(AND(DB913&lt;&gt;"",OR(DB912&lt;&gt;"",DB914&lt;&gt;"")),MAX($DF$2:DF912)+1,0))</f>
        <v>0</v>
      </c>
    </row>
    <row r="914" spans="102:110" x14ac:dyDescent="0.3">
      <c r="CX914" s="48">
        <f t="shared" ref="CX914:CX924" ca="1" si="1126">$FF$73</f>
        <v>71</v>
      </c>
      <c r="CY914" s="48" t="str">
        <f t="shared" ca="1" si="1125"/>
        <v>MASTRO</v>
      </c>
      <c r="DA914" s="48" t="str">
        <f ca="1">IF(DB913="","","Num. riga")</f>
        <v/>
      </c>
      <c r="DB914" s="48" t="str">
        <f t="shared" ref="DB914" ca="1" si="1127">IF(DB913="","","Data")</f>
        <v/>
      </c>
      <c r="DC914" s="48" t="str">
        <f ca="1">IF(DB913="","","Operazioni")</f>
        <v/>
      </c>
      <c r="DD914" s="48" t="str">
        <f ca="1">IF(DB913="","","Dare        ")</f>
        <v/>
      </c>
      <c r="DE914" s="48" t="str">
        <f ca="1">IF(DB913="","","Avere        ")</f>
        <v/>
      </c>
      <c r="DF914" s="48">
        <f ca="1">IF(AND(CX914=$DF$1,CX914&lt;&gt;""),0,IF(AND(DB914&lt;&gt;"",OR(DB913&lt;&gt;"",DB915&lt;&gt;"")),MAX($DF$2:DF913)+1,0))</f>
        <v>0</v>
      </c>
    </row>
    <row r="915" spans="102:110" x14ac:dyDescent="0.3">
      <c r="CX915" s="48">
        <f t="shared" ca="1" si="1126"/>
        <v>71</v>
      </c>
      <c r="CY915" s="48" t="str">
        <f t="shared" ca="1" si="1125"/>
        <v>MASTRO</v>
      </c>
      <c r="CZ915" s="48" t="e">
        <f t="shared" ref="CZ915:CZ924" ca="1" si="1128">SUM(MATCH($CY915,INDIRECT(ADDRESS(SUM(CZ914)+3,54)&amp;":"&amp;ADDRESS(400,54)),0),CZ914)</f>
        <v>#N/A</v>
      </c>
      <c r="DA915" s="48" t="str">
        <f ca="1">IFERROR(INDEX(LIBRO_GIORNALE,CZ915,1),"")</f>
        <v/>
      </c>
      <c r="DB915" s="48" t="str">
        <f t="shared" ca="1" si="1092"/>
        <v/>
      </c>
      <c r="DC915" s="48" t="str">
        <f t="shared" ref="DC915:DC924" ca="1" si="1129">IF(IFERROR(INDEX(LIBRO_GIORNALE,CZ915,4),"")=0,"manca la descrizione dell'operazione",IFERROR(INDEX(LIBRO_GIORNALE,CZ915,4),""))</f>
        <v/>
      </c>
      <c r="DD915" s="48" t="str">
        <f t="shared" ref="DD915:DD924" ca="1" si="1130">IFERROR(IF(INDEX(LIBRO_GIORNALE,CZ915,5)&gt;0,INDEX(LIBRO_GIORNALE,CZ915,5),""),"")</f>
        <v/>
      </c>
      <c r="DE915" s="48" t="str">
        <f t="shared" ref="DE915:DE924" ca="1" si="1131">IFERROR(IF(INDEX(LIBRO_GIORNALE,CZ915,6)&gt;0,INDEX(LIBRO_GIORNALE,CZ915,6),""),"")</f>
        <v/>
      </c>
      <c r="DF915" s="48">
        <f ca="1">IF(AND(CX915=$DF$1,CX915&lt;&gt;""),0,IF(AND(DB915&lt;&gt;"",OR(DB914&lt;&gt;"",DB916&lt;&gt;"")),MAX($DF$2:DF914)+1,0))</f>
        <v>0</v>
      </c>
    </row>
    <row r="916" spans="102:110" x14ac:dyDescent="0.3">
      <c r="CX916" s="48">
        <f t="shared" ca="1" si="1126"/>
        <v>71</v>
      </c>
      <c r="CY916" s="48" t="str">
        <f t="shared" ca="1" si="1125"/>
        <v>MASTRO</v>
      </c>
      <c r="CZ916" s="48" t="e">
        <f t="shared" ca="1" si="1128"/>
        <v>#N/A</v>
      </c>
      <c r="DA916" s="48" t="str">
        <f t="shared" ref="DA916:DA924" ca="1" si="1132">IFERROR(INDEX(LIBRO_GIORNALE,CZ916,1),"")</f>
        <v/>
      </c>
      <c r="DB916" s="48" t="str">
        <f t="shared" ca="1" si="1092"/>
        <v/>
      </c>
      <c r="DC916" s="48" t="str">
        <f t="shared" ca="1" si="1129"/>
        <v/>
      </c>
      <c r="DD916" s="48" t="str">
        <f t="shared" ca="1" si="1130"/>
        <v/>
      </c>
      <c r="DE916" s="48" t="str">
        <f t="shared" ca="1" si="1131"/>
        <v/>
      </c>
      <c r="DF916" s="48">
        <f ca="1">IF(AND(CX916=$DF$1,CX916&lt;&gt;""),0,IF(AND(DB916&lt;&gt;"",OR(DB915&lt;&gt;"",DB917&lt;&gt;"")),MAX($DF$2:DF915)+1,0))</f>
        <v>0</v>
      </c>
    </row>
    <row r="917" spans="102:110" x14ac:dyDescent="0.3">
      <c r="CX917" s="48">
        <f t="shared" ca="1" si="1126"/>
        <v>71</v>
      </c>
      <c r="CY917" s="48" t="str">
        <f t="shared" ca="1" si="1125"/>
        <v>MASTRO</v>
      </c>
      <c r="CZ917" s="48" t="e">
        <f t="shared" ca="1" si="1128"/>
        <v>#N/A</v>
      </c>
      <c r="DA917" s="48" t="str">
        <f t="shared" ca="1" si="1132"/>
        <v/>
      </c>
      <c r="DB917" s="48" t="str">
        <f t="shared" ca="1" si="1092"/>
        <v/>
      </c>
      <c r="DC917" s="48" t="str">
        <f t="shared" ca="1" si="1129"/>
        <v/>
      </c>
      <c r="DD917" s="48" t="str">
        <f t="shared" ca="1" si="1130"/>
        <v/>
      </c>
      <c r="DE917" s="48" t="str">
        <f t="shared" ca="1" si="1131"/>
        <v/>
      </c>
      <c r="DF917" s="48">
        <f ca="1">IF(AND(CX917=$DF$1,CX917&lt;&gt;""),0,IF(AND(DB917&lt;&gt;"",OR(DB916&lt;&gt;"",DB918&lt;&gt;"")),MAX($DF$2:DF916)+1,0))</f>
        <v>0</v>
      </c>
    </row>
    <row r="918" spans="102:110" x14ac:dyDescent="0.3">
      <c r="CX918" s="48">
        <f t="shared" ca="1" si="1126"/>
        <v>71</v>
      </c>
      <c r="CY918" s="48" t="str">
        <f t="shared" ca="1" si="1125"/>
        <v>MASTRO</v>
      </c>
      <c r="CZ918" s="48" t="e">
        <f t="shared" ca="1" si="1128"/>
        <v>#N/A</v>
      </c>
      <c r="DA918" s="48" t="str">
        <f t="shared" ca="1" si="1132"/>
        <v/>
      </c>
      <c r="DB918" s="48" t="str">
        <f t="shared" ca="1" si="1092"/>
        <v/>
      </c>
      <c r="DC918" s="48" t="str">
        <f t="shared" ca="1" si="1129"/>
        <v/>
      </c>
      <c r="DD918" s="48" t="str">
        <f t="shared" ca="1" si="1130"/>
        <v/>
      </c>
      <c r="DE918" s="48" t="str">
        <f t="shared" ca="1" si="1131"/>
        <v/>
      </c>
      <c r="DF918" s="48">
        <f ca="1">IF(AND(CX918=$DF$1,CX918&lt;&gt;""),0,IF(AND(DB918&lt;&gt;"",OR(DB917&lt;&gt;"",DB919&lt;&gt;"")),MAX($DF$2:DF917)+1,0))</f>
        <v>0</v>
      </c>
    </row>
    <row r="919" spans="102:110" x14ac:dyDescent="0.3">
      <c r="CX919" s="48">
        <f t="shared" ca="1" si="1126"/>
        <v>71</v>
      </c>
      <c r="CY919" s="48" t="str">
        <f t="shared" ca="1" si="1125"/>
        <v>MASTRO</v>
      </c>
      <c r="CZ919" s="48" t="e">
        <f t="shared" ca="1" si="1128"/>
        <v>#N/A</v>
      </c>
      <c r="DA919" s="48" t="str">
        <f t="shared" ca="1" si="1132"/>
        <v/>
      </c>
      <c r="DB919" s="48" t="str">
        <f t="shared" ca="1" si="1092"/>
        <v/>
      </c>
      <c r="DC919" s="48" t="str">
        <f t="shared" ca="1" si="1129"/>
        <v/>
      </c>
      <c r="DD919" s="48" t="str">
        <f t="shared" ca="1" si="1130"/>
        <v/>
      </c>
      <c r="DE919" s="48" t="str">
        <f t="shared" ca="1" si="1131"/>
        <v/>
      </c>
      <c r="DF919" s="48">
        <f ca="1">IF(AND(CX919=$DF$1,CX919&lt;&gt;""),0,IF(AND(DB919&lt;&gt;"",OR(DB918&lt;&gt;"",DB920&lt;&gt;"")),MAX($DF$2:DF918)+1,0))</f>
        <v>0</v>
      </c>
    </row>
    <row r="920" spans="102:110" x14ac:dyDescent="0.3">
      <c r="CX920" s="48">
        <f t="shared" ca="1" si="1126"/>
        <v>71</v>
      </c>
      <c r="CY920" s="48" t="str">
        <f t="shared" ca="1" si="1125"/>
        <v>MASTRO</v>
      </c>
      <c r="CZ920" s="48" t="e">
        <f t="shared" ca="1" si="1128"/>
        <v>#N/A</v>
      </c>
      <c r="DA920" s="48" t="str">
        <f t="shared" ca="1" si="1132"/>
        <v/>
      </c>
      <c r="DB920" s="48" t="str">
        <f t="shared" ca="1" si="1092"/>
        <v/>
      </c>
      <c r="DC920" s="48" t="str">
        <f t="shared" ca="1" si="1129"/>
        <v/>
      </c>
      <c r="DD920" s="48" t="str">
        <f t="shared" ca="1" si="1130"/>
        <v/>
      </c>
      <c r="DE920" s="48" t="str">
        <f t="shared" ca="1" si="1131"/>
        <v/>
      </c>
      <c r="DF920" s="48">
        <f ca="1">IF(AND(CX920=$DF$1,CX920&lt;&gt;""),0,IF(AND(DB920&lt;&gt;"",OR(DB919&lt;&gt;"",DB921&lt;&gt;"")),MAX($DF$2:DF919)+1,0))</f>
        <v>0</v>
      </c>
    </row>
    <row r="921" spans="102:110" x14ac:dyDescent="0.3">
      <c r="CX921" s="48">
        <f t="shared" ca="1" si="1126"/>
        <v>71</v>
      </c>
      <c r="CY921" s="48" t="str">
        <f t="shared" ca="1" si="1125"/>
        <v>MASTRO</v>
      </c>
      <c r="CZ921" s="48" t="e">
        <f t="shared" ca="1" si="1128"/>
        <v>#N/A</v>
      </c>
      <c r="DA921" s="48" t="str">
        <f t="shared" ca="1" si="1132"/>
        <v/>
      </c>
      <c r="DB921" s="48" t="str">
        <f t="shared" ca="1" si="1092"/>
        <v/>
      </c>
      <c r="DC921" s="48" t="str">
        <f t="shared" ca="1" si="1129"/>
        <v/>
      </c>
      <c r="DD921" s="48" t="str">
        <f t="shared" ca="1" si="1130"/>
        <v/>
      </c>
      <c r="DE921" s="48" t="str">
        <f t="shared" ca="1" si="1131"/>
        <v/>
      </c>
      <c r="DF921" s="48">
        <f ca="1">IF(AND(CX921=$DF$1,CX921&lt;&gt;""),0,IF(AND(DB921&lt;&gt;"",OR(DB920&lt;&gt;"",DB922&lt;&gt;"")),MAX($DF$2:DF920)+1,0))</f>
        <v>0</v>
      </c>
    </row>
    <row r="922" spans="102:110" x14ac:dyDescent="0.3">
      <c r="CX922" s="48">
        <f t="shared" ca="1" si="1126"/>
        <v>71</v>
      </c>
      <c r="CY922" s="48" t="str">
        <f t="shared" ca="1" si="1125"/>
        <v>MASTRO</v>
      </c>
      <c r="CZ922" s="48" t="e">
        <f t="shared" ca="1" si="1128"/>
        <v>#N/A</v>
      </c>
      <c r="DA922" s="48" t="str">
        <f t="shared" ca="1" si="1132"/>
        <v/>
      </c>
      <c r="DB922" s="48" t="str">
        <f t="shared" ca="1" si="1092"/>
        <v/>
      </c>
      <c r="DC922" s="48" t="str">
        <f t="shared" ca="1" si="1129"/>
        <v/>
      </c>
      <c r="DD922" s="48" t="str">
        <f t="shared" ca="1" si="1130"/>
        <v/>
      </c>
      <c r="DE922" s="48" t="str">
        <f t="shared" ca="1" si="1131"/>
        <v/>
      </c>
      <c r="DF922" s="48">
        <f ca="1">IF(AND(CX922=$DF$1,CX922&lt;&gt;""),0,IF(AND(DB922&lt;&gt;"",OR(DB921&lt;&gt;"",DB923&lt;&gt;"")),MAX($DF$2:DF921)+1,0))</f>
        <v>0</v>
      </c>
    </row>
    <row r="923" spans="102:110" x14ac:dyDescent="0.3">
      <c r="CX923" s="48">
        <f t="shared" ca="1" si="1126"/>
        <v>71</v>
      </c>
      <c r="CY923" s="48" t="str">
        <f t="shared" ca="1" si="1125"/>
        <v>MASTRO</v>
      </c>
      <c r="CZ923" s="48" t="e">
        <f t="shared" ca="1" si="1128"/>
        <v>#N/A</v>
      </c>
      <c r="DA923" s="48" t="str">
        <f t="shared" ca="1" si="1132"/>
        <v/>
      </c>
      <c r="DB923" s="48" t="str">
        <f t="shared" ca="1" si="1092"/>
        <v/>
      </c>
      <c r="DC923" s="48" t="str">
        <f t="shared" ca="1" si="1129"/>
        <v/>
      </c>
      <c r="DD923" s="48" t="str">
        <f t="shared" ca="1" si="1130"/>
        <v/>
      </c>
      <c r="DE923" s="48" t="str">
        <f t="shared" ca="1" si="1131"/>
        <v/>
      </c>
      <c r="DF923" s="48">
        <f ca="1">IF(AND(CX923=$DF$1,CX923&lt;&gt;""),0,IF(AND(DB923&lt;&gt;"",OR(DB922&lt;&gt;"",DB924&lt;&gt;"")),MAX($DF$2:DF922)+1,0))</f>
        <v>0</v>
      </c>
    </row>
    <row r="924" spans="102:110" x14ac:dyDescent="0.3">
      <c r="CX924" s="48">
        <f t="shared" ca="1" si="1126"/>
        <v>71</v>
      </c>
      <c r="CY924" s="48" t="str">
        <f t="shared" ca="1" si="1125"/>
        <v>MASTRO</v>
      </c>
      <c r="CZ924" s="48" t="e">
        <f t="shared" ca="1" si="1128"/>
        <v>#N/A</v>
      </c>
      <c r="DA924" s="48" t="str">
        <f t="shared" ca="1" si="1132"/>
        <v/>
      </c>
      <c r="DB924" s="48" t="str">
        <f t="shared" ca="1" si="1092"/>
        <v/>
      </c>
      <c r="DC924" s="48" t="str">
        <f t="shared" ca="1" si="1129"/>
        <v/>
      </c>
      <c r="DD924" s="48" t="str">
        <f t="shared" ca="1" si="1130"/>
        <v/>
      </c>
      <c r="DE924" s="48" t="str">
        <f t="shared" ca="1" si="1131"/>
        <v/>
      </c>
      <c r="DF924" s="48">
        <f ca="1">IF(AND(CX924=$DF$1,CX924&lt;&gt;""),0,IF(AND(DB924&lt;&gt;"",OR(DB923&lt;&gt;"",DB925&lt;&gt;"")),MAX($DF$2:DF923)+1,0))</f>
        <v>0</v>
      </c>
    </row>
    <row r="925" spans="102:110" x14ac:dyDescent="0.3">
      <c r="CY925" s="48" t="s">
        <v>500</v>
      </c>
      <c r="DB925" s="48" t="str">
        <f t="shared" ref="DB925" ca="1" si="1133">IF(CX924=$DF$1,"","MASTRO")</f>
        <v>MASTRO</v>
      </c>
      <c r="DF925" s="48">
        <f ca="1">IF(AND(CX925=$DF$1,CX925&lt;&gt;""),0,IF(AND(DB925&lt;&gt;"",OR(DB924&lt;&gt;"",DB926&lt;&gt;"")),MAX($DF$2:DF924)+1,0))</f>
        <v>0</v>
      </c>
    </row>
    <row r="926" spans="102:110" x14ac:dyDescent="0.3">
      <c r="CX926" s="48">
        <f ca="1">$FF$74</f>
        <v>72</v>
      </c>
      <c r="CY926" s="48" t="str">
        <f t="shared" ref="CY926:CY937" ca="1" si="1134">IF(ISERROR(INDEX($CV$3:$CX$1302,MATCH(CX926,$CW$3:$CW$1302,0),1)),"MASTRO",INDEX($CV$3:$CX$1302,MATCH(CX926,$CW$3:$CW$1302,0),1))</f>
        <v>MASTRO</v>
      </c>
      <c r="DA926" s="48" t="str">
        <f>IF(CY925="MASTRO","Conto n.","")</f>
        <v>Conto n.</v>
      </c>
      <c r="DB926" s="48" t="str">
        <f ca="1">IF(CY926=0,"",INDEX(PDC,MATCH(DC926,DEN_PDC,0),1))</f>
        <v/>
      </c>
      <c r="DC926" s="48" t="str">
        <f ca="1">IF(OR(CY926=0,CY926="mastro"),"",CY926)</f>
        <v/>
      </c>
      <c r="DD926" s="48" t="str">
        <f ca="1">IF(AND($DA$2=TRUE,OR(INDEX(PDC,MATCH($DC926,DEN_PDC,0),4)="A",INDEX(PDC,MATCH($DC926,DEN_PDC,0),4)="D/A"),SUMIFS(AVERE,DEN_G,"="&amp;$DC926,DATA,"&lt;="&amp;FINE_AC,DATA,"&gt;="&amp;INIZIO_AC)&gt;SUMIFS(DARE,DEN_G,"="&amp;$DC926,DATA,"&lt;="&amp;FINE_AC,DATA,"&gt;="&amp;INIZIO_AC)),CONCATENATE("s ",FIXED(ABS(SUMIFS(AVERE,DEN_G,"="&amp;$DC926,DATA,"&lt;="&amp;FINE_AC,DATA,"&gt;="&amp;INIZIO_AC)-SUMIFS(DARE,DEN_G,"="&amp;$DC926,DATA,"&lt;="&amp;FINE_AC,DATA,"&gt;="&amp;INIZIO_AC)),2)),"")</f>
        <v/>
      </c>
      <c r="DE926" s="48" t="str">
        <f ca="1">IF(AND($DA$2=TRUE,OR(INDEX(PDC,MATCH($DC926,DEN_PDC,0),4)="D",INDEX(PDC,MATCH($DC926,DEN_PDC,0),4)="D/A"),SUMIFS(DARE,DEN_G,"="&amp;$DC926,DATA,"&lt;="&amp;FINE_AC,DATA,"&gt;="&amp;INIZIO_AC)&gt;SUMIFS(AVERE,DEN_G,"="&amp;$DC926,DATA,"&lt;="&amp;FINE_AC,DATA,"&gt;="&amp;INIZIO_AC)),CONCATENATE("s ",FIXED(ABS(SUMIFS(DARE,DEN_G,"="&amp;$DC926,DATA,"&lt;="&amp;FINE_AC,DATA,"&gt;="&amp;INIZIO_AC)-SUMIFS(AVERE,DEN_G,"="&amp;$DC926,DATA,"&lt;="&amp;FINE_AC,DATA,"&gt;="&amp;INIZIO_AC)),2)),"")</f>
        <v/>
      </c>
      <c r="DF926" s="48">
        <f ca="1">IF(AND(CX926=$DF$1,CX926&lt;&gt;""),0,IF(AND(DB926&lt;&gt;"",OR(DB925&lt;&gt;"",DB927&lt;&gt;"")),MAX($DF$2:DF925)+1,0))</f>
        <v>0</v>
      </c>
    </row>
    <row r="927" spans="102:110" x14ac:dyDescent="0.3">
      <c r="CX927" s="48">
        <f t="shared" ref="CX927:CX937" ca="1" si="1135">$FF$74</f>
        <v>72</v>
      </c>
      <c r="CY927" s="48" t="str">
        <f t="shared" ca="1" si="1134"/>
        <v>MASTRO</v>
      </c>
      <c r="DA927" s="48" t="str">
        <f ca="1">IF(DB926="","","Num. riga")</f>
        <v/>
      </c>
      <c r="DB927" s="48" t="str">
        <f t="shared" ref="DB927" ca="1" si="1136">IF(DB926="","","Data")</f>
        <v/>
      </c>
      <c r="DC927" s="48" t="str">
        <f ca="1">IF(DB926="","","Operazioni")</f>
        <v/>
      </c>
      <c r="DD927" s="48" t="str">
        <f ca="1">IF(DB926="","","Dare        ")</f>
        <v/>
      </c>
      <c r="DE927" s="48" t="str">
        <f ca="1">IF(DB926="","","Avere        ")</f>
        <v/>
      </c>
      <c r="DF927" s="48">
        <f ca="1">IF(AND(CX927=$DF$1,CX927&lt;&gt;""),0,IF(AND(DB927&lt;&gt;"",OR(DB926&lt;&gt;"",DB928&lt;&gt;"")),MAX($DF$2:DF926)+1,0))</f>
        <v>0</v>
      </c>
    </row>
    <row r="928" spans="102:110" x14ac:dyDescent="0.3">
      <c r="CX928" s="48">
        <f t="shared" ca="1" si="1135"/>
        <v>72</v>
      </c>
      <c r="CY928" s="48" t="str">
        <f t="shared" ca="1" si="1134"/>
        <v>MASTRO</v>
      </c>
      <c r="CZ928" s="48" t="e">
        <f t="shared" ref="CZ928:CZ937" ca="1" si="1137">SUM(MATCH($CY928,INDIRECT(ADDRESS(SUM(CZ927)+3,54)&amp;":"&amp;ADDRESS(400,54)),0),CZ927)</f>
        <v>#N/A</v>
      </c>
      <c r="DA928" s="48" t="str">
        <f ca="1">IFERROR(INDEX(LIBRO_GIORNALE,CZ928,1),"")</f>
        <v/>
      </c>
      <c r="DB928" s="48" t="str">
        <f t="shared" ref="DB928:DB989" ca="1" si="1138">IF(RIGHT(TEXT(IFERROR(INDEX(LIBRO_GIORNALE,CZ928,2),""),"gg/mm/aa"),1)="a",TEXT(IFERROR(INDEX(LIBRO_GIORNALE,CZ928,2),""),"dd/mm/yy"),TEXT(IFERROR(INDEX(LIBRO_GIORNALE,CZ928,2),""),"gg/mm/aa"))</f>
        <v/>
      </c>
      <c r="DC928" s="48" t="str">
        <f t="shared" ref="DC928:DC937" ca="1" si="1139">IF(IFERROR(INDEX(LIBRO_GIORNALE,CZ928,4),"")=0,"manca la descrizione dell'operazione",IFERROR(INDEX(LIBRO_GIORNALE,CZ928,4),""))</f>
        <v/>
      </c>
      <c r="DD928" s="48" t="str">
        <f t="shared" ref="DD928:DD937" ca="1" si="1140">IFERROR(IF(INDEX(LIBRO_GIORNALE,CZ928,5)&gt;0,INDEX(LIBRO_GIORNALE,CZ928,5),""),"")</f>
        <v/>
      </c>
      <c r="DE928" s="48" t="str">
        <f t="shared" ref="DE928:DE937" ca="1" si="1141">IFERROR(IF(INDEX(LIBRO_GIORNALE,CZ928,6)&gt;0,INDEX(LIBRO_GIORNALE,CZ928,6),""),"")</f>
        <v/>
      </c>
      <c r="DF928" s="48">
        <f ca="1">IF(AND(CX928=$DF$1,CX928&lt;&gt;""),0,IF(AND(DB928&lt;&gt;"",OR(DB927&lt;&gt;"",DB929&lt;&gt;"")),MAX($DF$2:DF927)+1,0))</f>
        <v>0</v>
      </c>
    </row>
    <row r="929" spans="102:110" x14ac:dyDescent="0.3">
      <c r="CX929" s="48">
        <f t="shared" ca="1" si="1135"/>
        <v>72</v>
      </c>
      <c r="CY929" s="48" t="str">
        <f t="shared" ca="1" si="1134"/>
        <v>MASTRO</v>
      </c>
      <c r="CZ929" s="48" t="e">
        <f t="shared" ca="1" si="1137"/>
        <v>#N/A</v>
      </c>
      <c r="DA929" s="48" t="str">
        <f t="shared" ref="DA929:DA937" ca="1" si="1142">IFERROR(INDEX(LIBRO_GIORNALE,CZ929,1),"")</f>
        <v/>
      </c>
      <c r="DB929" s="48" t="str">
        <f t="shared" ca="1" si="1138"/>
        <v/>
      </c>
      <c r="DC929" s="48" t="str">
        <f t="shared" ca="1" si="1139"/>
        <v/>
      </c>
      <c r="DD929" s="48" t="str">
        <f t="shared" ca="1" si="1140"/>
        <v/>
      </c>
      <c r="DE929" s="48" t="str">
        <f t="shared" ca="1" si="1141"/>
        <v/>
      </c>
      <c r="DF929" s="48">
        <f ca="1">IF(AND(CX929=$DF$1,CX929&lt;&gt;""),0,IF(AND(DB929&lt;&gt;"",OR(DB928&lt;&gt;"",DB930&lt;&gt;"")),MAX($DF$2:DF928)+1,0))</f>
        <v>0</v>
      </c>
    </row>
    <row r="930" spans="102:110" x14ac:dyDescent="0.3">
      <c r="CX930" s="48">
        <f t="shared" ca="1" si="1135"/>
        <v>72</v>
      </c>
      <c r="CY930" s="48" t="str">
        <f t="shared" ca="1" si="1134"/>
        <v>MASTRO</v>
      </c>
      <c r="CZ930" s="48" t="e">
        <f t="shared" ca="1" si="1137"/>
        <v>#N/A</v>
      </c>
      <c r="DA930" s="48" t="str">
        <f t="shared" ca="1" si="1142"/>
        <v/>
      </c>
      <c r="DB930" s="48" t="str">
        <f t="shared" ca="1" si="1138"/>
        <v/>
      </c>
      <c r="DC930" s="48" t="str">
        <f t="shared" ca="1" si="1139"/>
        <v/>
      </c>
      <c r="DD930" s="48" t="str">
        <f t="shared" ca="1" si="1140"/>
        <v/>
      </c>
      <c r="DE930" s="48" t="str">
        <f t="shared" ca="1" si="1141"/>
        <v/>
      </c>
      <c r="DF930" s="48">
        <f ca="1">IF(AND(CX930=$DF$1,CX930&lt;&gt;""),0,IF(AND(DB930&lt;&gt;"",OR(DB929&lt;&gt;"",DB931&lt;&gt;"")),MAX($DF$2:DF929)+1,0))</f>
        <v>0</v>
      </c>
    </row>
    <row r="931" spans="102:110" x14ac:dyDescent="0.3">
      <c r="CX931" s="48">
        <f t="shared" ca="1" si="1135"/>
        <v>72</v>
      </c>
      <c r="CY931" s="48" t="str">
        <f t="shared" ca="1" si="1134"/>
        <v>MASTRO</v>
      </c>
      <c r="CZ931" s="48" t="e">
        <f t="shared" ca="1" si="1137"/>
        <v>#N/A</v>
      </c>
      <c r="DA931" s="48" t="str">
        <f t="shared" ca="1" si="1142"/>
        <v/>
      </c>
      <c r="DB931" s="48" t="str">
        <f t="shared" ca="1" si="1138"/>
        <v/>
      </c>
      <c r="DC931" s="48" t="str">
        <f t="shared" ca="1" si="1139"/>
        <v/>
      </c>
      <c r="DD931" s="48" t="str">
        <f t="shared" ca="1" si="1140"/>
        <v/>
      </c>
      <c r="DE931" s="48" t="str">
        <f t="shared" ca="1" si="1141"/>
        <v/>
      </c>
      <c r="DF931" s="48">
        <f ca="1">IF(AND(CX931=$DF$1,CX931&lt;&gt;""),0,IF(AND(DB931&lt;&gt;"",OR(DB930&lt;&gt;"",DB932&lt;&gt;"")),MAX($DF$2:DF930)+1,0))</f>
        <v>0</v>
      </c>
    </row>
    <row r="932" spans="102:110" x14ac:dyDescent="0.3">
      <c r="CX932" s="48">
        <f t="shared" ca="1" si="1135"/>
        <v>72</v>
      </c>
      <c r="CY932" s="48" t="str">
        <f t="shared" ca="1" si="1134"/>
        <v>MASTRO</v>
      </c>
      <c r="CZ932" s="48" t="e">
        <f t="shared" ca="1" si="1137"/>
        <v>#N/A</v>
      </c>
      <c r="DA932" s="48" t="str">
        <f t="shared" ca="1" si="1142"/>
        <v/>
      </c>
      <c r="DB932" s="48" t="str">
        <f t="shared" ca="1" si="1138"/>
        <v/>
      </c>
      <c r="DC932" s="48" t="str">
        <f t="shared" ca="1" si="1139"/>
        <v/>
      </c>
      <c r="DD932" s="48" t="str">
        <f t="shared" ca="1" si="1140"/>
        <v/>
      </c>
      <c r="DE932" s="48" t="str">
        <f t="shared" ca="1" si="1141"/>
        <v/>
      </c>
      <c r="DF932" s="48">
        <f ca="1">IF(AND(CX932=$DF$1,CX932&lt;&gt;""),0,IF(AND(DB932&lt;&gt;"",OR(DB931&lt;&gt;"",DB933&lt;&gt;"")),MAX($DF$2:DF931)+1,0))</f>
        <v>0</v>
      </c>
    </row>
    <row r="933" spans="102:110" x14ac:dyDescent="0.3">
      <c r="CX933" s="48">
        <f t="shared" ca="1" si="1135"/>
        <v>72</v>
      </c>
      <c r="CY933" s="48" t="str">
        <f t="shared" ca="1" si="1134"/>
        <v>MASTRO</v>
      </c>
      <c r="CZ933" s="48" t="e">
        <f t="shared" ca="1" si="1137"/>
        <v>#N/A</v>
      </c>
      <c r="DA933" s="48" t="str">
        <f t="shared" ca="1" si="1142"/>
        <v/>
      </c>
      <c r="DB933" s="48" t="str">
        <f t="shared" ca="1" si="1138"/>
        <v/>
      </c>
      <c r="DC933" s="48" t="str">
        <f t="shared" ca="1" si="1139"/>
        <v/>
      </c>
      <c r="DD933" s="48" t="str">
        <f t="shared" ca="1" si="1140"/>
        <v/>
      </c>
      <c r="DE933" s="48" t="str">
        <f t="shared" ca="1" si="1141"/>
        <v/>
      </c>
      <c r="DF933" s="48">
        <f ca="1">IF(AND(CX933=$DF$1,CX933&lt;&gt;""),0,IF(AND(DB933&lt;&gt;"",OR(DB932&lt;&gt;"",DB934&lt;&gt;"")),MAX($DF$2:DF932)+1,0))</f>
        <v>0</v>
      </c>
    </row>
    <row r="934" spans="102:110" x14ac:dyDescent="0.3">
      <c r="CX934" s="48">
        <f t="shared" ca="1" si="1135"/>
        <v>72</v>
      </c>
      <c r="CY934" s="48" t="str">
        <f t="shared" ca="1" si="1134"/>
        <v>MASTRO</v>
      </c>
      <c r="CZ934" s="48" t="e">
        <f t="shared" ca="1" si="1137"/>
        <v>#N/A</v>
      </c>
      <c r="DA934" s="48" t="str">
        <f t="shared" ca="1" si="1142"/>
        <v/>
      </c>
      <c r="DB934" s="48" t="str">
        <f t="shared" ca="1" si="1138"/>
        <v/>
      </c>
      <c r="DC934" s="48" t="str">
        <f t="shared" ca="1" si="1139"/>
        <v/>
      </c>
      <c r="DD934" s="48" t="str">
        <f t="shared" ca="1" si="1140"/>
        <v/>
      </c>
      <c r="DE934" s="48" t="str">
        <f t="shared" ca="1" si="1141"/>
        <v/>
      </c>
      <c r="DF934" s="48">
        <f ca="1">IF(AND(CX934=$DF$1,CX934&lt;&gt;""),0,IF(AND(DB934&lt;&gt;"",OR(DB933&lt;&gt;"",DB935&lt;&gt;"")),MAX($DF$2:DF933)+1,0))</f>
        <v>0</v>
      </c>
    </row>
    <row r="935" spans="102:110" x14ac:dyDescent="0.3">
      <c r="CX935" s="48">
        <f t="shared" ca="1" si="1135"/>
        <v>72</v>
      </c>
      <c r="CY935" s="48" t="str">
        <f t="shared" ca="1" si="1134"/>
        <v>MASTRO</v>
      </c>
      <c r="CZ935" s="48" t="e">
        <f t="shared" ca="1" si="1137"/>
        <v>#N/A</v>
      </c>
      <c r="DA935" s="48" t="str">
        <f t="shared" ca="1" si="1142"/>
        <v/>
      </c>
      <c r="DB935" s="48" t="str">
        <f t="shared" ca="1" si="1138"/>
        <v/>
      </c>
      <c r="DC935" s="48" t="str">
        <f t="shared" ca="1" si="1139"/>
        <v/>
      </c>
      <c r="DD935" s="48" t="str">
        <f t="shared" ca="1" si="1140"/>
        <v/>
      </c>
      <c r="DE935" s="48" t="str">
        <f t="shared" ca="1" si="1141"/>
        <v/>
      </c>
      <c r="DF935" s="48">
        <f ca="1">IF(AND(CX935=$DF$1,CX935&lt;&gt;""),0,IF(AND(DB935&lt;&gt;"",OR(DB934&lt;&gt;"",DB936&lt;&gt;"")),MAX($DF$2:DF934)+1,0))</f>
        <v>0</v>
      </c>
    </row>
    <row r="936" spans="102:110" x14ac:dyDescent="0.3">
      <c r="CX936" s="48">
        <f t="shared" ca="1" si="1135"/>
        <v>72</v>
      </c>
      <c r="CY936" s="48" t="str">
        <f t="shared" ca="1" si="1134"/>
        <v>MASTRO</v>
      </c>
      <c r="CZ936" s="48" t="e">
        <f t="shared" ca="1" si="1137"/>
        <v>#N/A</v>
      </c>
      <c r="DA936" s="48" t="str">
        <f t="shared" ca="1" si="1142"/>
        <v/>
      </c>
      <c r="DB936" s="48" t="str">
        <f t="shared" ca="1" si="1138"/>
        <v/>
      </c>
      <c r="DC936" s="48" t="str">
        <f t="shared" ca="1" si="1139"/>
        <v/>
      </c>
      <c r="DD936" s="48" t="str">
        <f t="shared" ca="1" si="1140"/>
        <v/>
      </c>
      <c r="DE936" s="48" t="str">
        <f t="shared" ca="1" si="1141"/>
        <v/>
      </c>
      <c r="DF936" s="48">
        <f ca="1">IF(AND(CX936=$DF$1,CX936&lt;&gt;""),0,IF(AND(DB936&lt;&gt;"",OR(DB935&lt;&gt;"",DB937&lt;&gt;"")),MAX($DF$2:DF935)+1,0))</f>
        <v>0</v>
      </c>
    </row>
    <row r="937" spans="102:110" x14ac:dyDescent="0.3">
      <c r="CX937" s="48">
        <f t="shared" ca="1" si="1135"/>
        <v>72</v>
      </c>
      <c r="CY937" s="48" t="str">
        <f t="shared" ca="1" si="1134"/>
        <v>MASTRO</v>
      </c>
      <c r="CZ937" s="48" t="e">
        <f t="shared" ca="1" si="1137"/>
        <v>#N/A</v>
      </c>
      <c r="DA937" s="48" t="str">
        <f t="shared" ca="1" si="1142"/>
        <v/>
      </c>
      <c r="DB937" s="48" t="str">
        <f t="shared" ca="1" si="1138"/>
        <v/>
      </c>
      <c r="DC937" s="48" t="str">
        <f t="shared" ca="1" si="1139"/>
        <v/>
      </c>
      <c r="DD937" s="48" t="str">
        <f t="shared" ca="1" si="1140"/>
        <v/>
      </c>
      <c r="DE937" s="48" t="str">
        <f t="shared" ca="1" si="1141"/>
        <v/>
      </c>
      <c r="DF937" s="48">
        <f ca="1">IF(AND(CX937=$DF$1,CX937&lt;&gt;""),0,IF(AND(DB937&lt;&gt;"",OR(DB936&lt;&gt;"",DB938&lt;&gt;"")),MAX($DF$2:DF936)+1,0))</f>
        <v>0</v>
      </c>
    </row>
    <row r="938" spans="102:110" x14ac:dyDescent="0.3">
      <c r="CY938" s="48" t="s">
        <v>500</v>
      </c>
      <c r="DB938" s="48" t="str">
        <f t="shared" ref="DB938" ca="1" si="1143">IF(CX937=$DF$1,"","MASTRO")</f>
        <v>MASTRO</v>
      </c>
      <c r="DF938" s="48">
        <f ca="1">IF(AND(CX938=$DF$1,CX938&lt;&gt;""),0,IF(AND(DB938&lt;&gt;"",OR(DB937&lt;&gt;"",DB939&lt;&gt;"")),MAX($DF$2:DF937)+1,0))</f>
        <v>0</v>
      </c>
    </row>
    <row r="939" spans="102:110" x14ac:dyDescent="0.3">
      <c r="CX939" s="48">
        <f ca="1">$FF$75</f>
        <v>73</v>
      </c>
      <c r="CY939" s="48" t="str">
        <f t="shared" ref="CY939:CY950" ca="1" si="1144">IF(ISERROR(INDEX($CV$3:$CX$1302,MATCH(CX939,$CW$3:$CW$1302,0),1)),"MASTRO",INDEX($CV$3:$CX$1302,MATCH(CX939,$CW$3:$CW$1302,0),1))</f>
        <v>MASTRO</v>
      </c>
      <c r="DA939" s="48" t="str">
        <f>IF(CY938="MASTRO","Conto n.","")</f>
        <v>Conto n.</v>
      </c>
      <c r="DB939" s="48" t="str">
        <f ca="1">IF(CY939=0,"",INDEX(PDC,MATCH(DC939,DEN_PDC,0),1))</f>
        <v/>
      </c>
      <c r="DC939" s="48" t="str">
        <f ca="1">IF(OR(CY939=0,CY939="mastro"),"",CY939)</f>
        <v/>
      </c>
      <c r="DD939" s="48" t="str">
        <f ca="1">IF(AND($DA$2=TRUE,OR(INDEX(PDC,MATCH($DC939,DEN_PDC,0),4)="A",INDEX(PDC,MATCH($DC939,DEN_PDC,0),4)="D/A"),SUMIFS(AVERE,DEN_G,"="&amp;$DC939,DATA,"&lt;="&amp;FINE_AC,DATA,"&gt;="&amp;INIZIO_AC)&gt;SUMIFS(DARE,DEN_G,"="&amp;$DC939,DATA,"&lt;="&amp;FINE_AC,DATA,"&gt;="&amp;INIZIO_AC)),CONCATENATE("s ",FIXED(ABS(SUMIFS(AVERE,DEN_G,"="&amp;$DC939,DATA,"&lt;="&amp;FINE_AC,DATA,"&gt;="&amp;INIZIO_AC)-SUMIFS(DARE,DEN_G,"="&amp;$DC939,DATA,"&lt;="&amp;FINE_AC,DATA,"&gt;="&amp;INIZIO_AC)),2)),"")</f>
        <v/>
      </c>
      <c r="DE939" s="48" t="str">
        <f ca="1">IF(AND($DA$2=TRUE,OR(INDEX(PDC,MATCH($DC939,DEN_PDC,0),4)="D",INDEX(PDC,MATCH($DC939,DEN_PDC,0),4)="D/A"),SUMIFS(DARE,DEN_G,"="&amp;$DC939,DATA,"&lt;="&amp;FINE_AC,DATA,"&gt;="&amp;INIZIO_AC)&gt;SUMIFS(AVERE,DEN_G,"="&amp;$DC939,DATA,"&lt;="&amp;FINE_AC,DATA,"&gt;="&amp;INIZIO_AC)),CONCATENATE("s ",FIXED(ABS(SUMIFS(DARE,DEN_G,"="&amp;$DC939,DATA,"&lt;="&amp;FINE_AC,DATA,"&gt;="&amp;INIZIO_AC)-SUMIFS(AVERE,DEN_G,"="&amp;$DC939,DATA,"&lt;="&amp;FINE_AC,DATA,"&gt;="&amp;INIZIO_AC)),2)),"")</f>
        <v/>
      </c>
      <c r="DF939" s="48">
        <f ca="1">IF(AND(CX939=$DF$1,CX939&lt;&gt;""),0,IF(AND(DB939&lt;&gt;"",OR(DB938&lt;&gt;"",DB940&lt;&gt;"")),MAX($DF$2:DF938)+1,0))</f>
        <v>0</v>
      </c>
    </row>
    <row r="940" spans="102:110" x14ac:dyDescent="0.3">
      <c r="CX940" s="48">
        <f t="shared" ref="CX940:CX950" ca="1" si="1145">$FF$75</f>
        <v>73</v>
      </c>
      <c r="CY940" s="48" t="str">
        <f t="shared" ca="1" si="1144"/>
        <v>MASTRO</v>
      </c>
      <c r="DA940" s="48" t="str">
        <f ca="1">IF(DB939="","","Num. riga")</f>
        <v/>
      </c>
      <c r="DB940" s="48" t="str">
        <f t="shared" ref="DB940" ca="1" si="1146">IF(DB939="","","Data")</f>
        <v/>
      </c>
      <c r="DC940" s="48" t="str">
        <f ca="1">IF(DB939="","","Operazioni")</f>
        <v/>
      </c>
      <c r="DD940" s="48" t="str">
        <f ca="1">IF(DB939="","","Dare        ")</f>
        <v/>
      </c>
      <c r="DE940" s="48" t="str">
        <f ca="1">IF(DB939="","","Avere        ")</f>
        <v/>
      </c>
      <c r="DF940" s="48">
        <f ca="1">IF(AND(CX940=$DF$1,CX940&lt;&gt;""),0,IF(AND(DB940&lt;&gt;"",OR(DB939&lt;&gt;"",DB941&lt;&gt;"")),MAX($DF$2:DF939)+1,0))</f>
        <v>0</v>
      </c>
    </row>
    <row r="941" spans="102:110" x14ac:dyDescent="0.3">
      <c r="CX941" s="48">
        <f t="shared" ca="1" si="1145"/>
        <v>73</v>
      </c>
      <c r="CY941" s="48" t="str">
        <f t="shared" ca="1" si="1144"/>
        <v>MASTRO</v>
      </c>
      <c r="CZ941" s="48" t="e">
        <f t="shared" ref="CZ941:CZ950" ca="1" si="1147">SUM(MATCH($CY941,INDIRECT(ADDRESS(SUM(CZ940)+3,54)&amp;":"&amp;ADDRESS(400,54)),0),CZ940)</f>
        <v>#N/A</v>
      </c>
      <c r="DA941" s="48" t="str">
        <f ca="1">IFERROR(INDEX(LIBRO_GIORNALE,CZ941,1),"")</f>
        <v/>
      </c>
      <c r="DB941" s="48" t="str">
        <f t="shared" ca="1" si="1138"/>
        <v/>
      </c>
      <c r="DC941" s="48" t="str">
        <f t="shared" ref="DC941:DC950" ca="1" si="1148">IF(IFERROR(INDEX(LIBRO_GIORNALE,CZ941,4),"")=0,"manca la descrizione dell'operazione",IFERROR(INDEX(LIBRO_GIORNALE,CZ941,4),""))</f>
        <v/>
      </c>
      <c r="DD941" s="48" t="str">
        <f t="shared" ref="DD941:DD950" ca="1" si="1149">IFERROR(IF(INDEX(LIBRO_GIORNALE,CZ941,5)&gt;0,INDEX(LIBRO_GIORNALE,CZ941,5),""),"")</f>
        <v/>
      </c>
      <c r="DE941" s="48" t="str">
        <f t="shared" ref="DE941:DE950" ca="1" si="1150">IFERROR(IF(INDEX(LIBRO_GIORNALE,CZ941,6)&gt;0,INDEX(LIBRO_GIORNALE,CZ941,6),""),"")</f>
        <v/>
      </c>
      <c r="DF941" s="48">
        <f ca="1">IF(AND(CX941=$DF$1,CX941&lt;&gt;""),0,IF(AND(DB941&lt;&gt;"",OR(DB940&lt;&gt;"",DB942&lt;&gt;"")),MAX($DF$2:DF940)+1,0))</f>
        <v>0</v>
      </c>
    </row>
    <row r="942" spans="102:110" x14ac:dyDescent="0.3">
      <c r="CX942" s="48">
        <f t="shared" ca="1" si="1145"/>
        <v>73</v>
      </c>
      <c r="CY942" s="48" t="str">
        <f t="shared" ca="1" si="1144"/>
        <v>MASTRO</v>
      </c>
      <c r="CZ942" s="48" t="e">
        <f t="shared" ca="1" si="1147"/>
        <v>#N/A</v>
      </c>
      <c r="DA942" s="48" t="str">
        <f t="shared" ref="DA942:DA950" ca="1" si="1151">IFERROR(INDEX(LIBRO_GIORNALE,CZ942,1),"")</f>
        <v/>
      </c>
      <c r="DB942" s="48" t="str">
        <f t="shared" ca="1" si="1138"/>
        <v/>
      </c>
      <c r="DC942" s="48" t="str">
        <f t="shared" ca="1" si="1148"/>
        <v/>
      </c>
      <c r="DD942" s="48" t="str">
        <f t="shared" ca="1" si="1149"/>
        <v/>
      </c>
      <c r="DE942" s="48" t="str">
        <f t="shared" ca="1" si="1150"/>
        <v/>
      </c>
      <c r="DF942" s="48">
        <f ca="1">IF(AND(CX942=$DF$1,CX942&lt;&gt;""),0,IF(AND(DB942&lt;&gt;"",OR(DB941&lt;&gt;"",DB943&lt;&gt;"")),MAX($DF$2:DF941)+1,0))</f>
        <v>0</v>
      </c>
    </row>
    <row r="943" spans="102:110" x14ac:dyDescent="0.3">
      <c r="CX943" s="48">
        <f t="shared" ca="1" si="1145"/>
        <v>73</v>
      </c>
      <c r="CY943" s="48" t="str">
        <f t="shared" ca="1" si="1144"/>
        <v>MASTRO</v>
      </c>
      <c r="CZ943" s="48" t="e">
        <f t="shared" ca="1" si="1147"/>
        <v>#N/A</v>
      </c>
      <c r="DA943" s="48" t="str">
        <f t="shared" ca="1" si="1151"/>
        <v/>
      </c>
      <c r="DB943" s="48" t="str">
        <f t="shared" ca="1" si="1138"/>
        <v/>
      </c>
      <c r="DC943" s="48" t="str">
        <f t="shared" ca="1" si="1148"/>
        <v/>
      </c>
      <c r="DD943" s="48" t="str">
        <f t="shared" ca="1" si="1149"/>
        <v/>
      </c>
      <c r="DE943" s="48" t="str">
        <f t="shared" ca="1" si="1150"/>
        <v/>
      </c>
      <c r="DF943" s="48">
        <f ca="1">IF(AND(CX943=$DF$1,CX943&lt;&gt;""),0,IF(AND(DB943&lt;&gt;"",OR(DB942&lt;&gt;"",DB944&lt;&gt;"")),MAX($DF$2:DF942)+1,0))</f>
        <v>0</v>
      </c>
    </row>
    <row r="944" spans="102:110" x14ac:dyDescent="0.3">
      <c r="CX944" s="48">
        <f t="shared" ca="1" si="1145"/>
        <v>73</v>
      </c>
      <c r="CY944" s="48" t="str">
        <f t="shared" ca="1" si="1144"/>
        <v>MASTRO</v>
      </c>
      <c r="CZ944" s="48" t="e">
        <f t="shared" ca="1" si="1147"/>
        <v>#N/A</v>
      </c>
      <c r="DA944" s="48" t="str">
        <f t="shared" ca="1" si="1151"/>
        <v/>
      </c>
      <c r="DB944" s="48" t="str">
        <f t="shared" ca="1" si="1138"/>
        <v/>
      </c>
      <c r="DC944" s="48" t="str">
        <f t="shared" ca="1" si="1148"/>
        <v/>
      </c>
      <c r="DD944" s="48" t="str">
        <f t="shared" ca="1" si="1149"/>
        <v/>
      </c>
      <c r="DE944" s="48" t="str">
        <f t="shared" ca="1" si="1150"/>
        <v/>
      </c>
      <c r="DF944" s="48">
        <f ca="1">IF(AND(CX944=$DF$1,CX944&lt;&gt;""),0,IF(AND(DB944&lt;&gt;"",OR(DB943&lt;&gt;"",DB945&lt;&gt;"")),MAX($DF$2:DF943)+1,0))</f>
        <v>0</v>
      </c>
    </row>
    <row r="945" spans="102:110" x14ac:dyDescent="0.3">
      <c r="CX945" s="48">
        <f t="shared" ca="1" si="1145"/>
        <v>73</v>
      </c>
      <c r="CY945" s="48" t="str">
        <f t="shared" ca="1" si="1144"/>
        <v>MASTRO</v>
      </c>
      <c r="CZ945" s="48" t="e">
        <f t="shared" ca="1" si="1147"/>
        <v>#N/A</v>
      </c>
      <c r="DA945" s="48" t="str">
        <f t="shared" ca="1" si="1151"/>
        <v/>
      </c>
      <c r="DB945" s="48" t="str">
        <f t="shared" ca="1" si="1138"/>
        <v/>
      </c>
      <c r="DC945" s="48" t="str">
        <f t="shared" ca="1" si="1148"/>
        <v/>
      </c>
      <c r="DD945" s="48" t="str">
        <f t="shared" ca="1" si="1149"/>
        <v/>
      </c>
      <c r="DE945" s="48" t="str">
        <f t="shared" ca="1" si="1150"/>
        <v/>
      </c>
      <c r="DF945" s="48">
        <f ca="1">IF(AND(CX945=$DF$1,CX945&lt;&gt;""),0,IF(AND(DB945&lt;&gt;"",OR(DB944&lt;&gt;"",DB946&lt;&gt;"")),MAX($DF$2:DF944)+1,0))</f>
        <v>0</v>
      </c>
    </row>
    <row r="946" spans="102:110" x14ac:dyDescent="0.3">
      <c r="CX946" s="48">
        <f t="shared" ca="1" si="1145"/>
        <v>73</v>
      </c>
      <c r="CY946" s="48" t="str">
        <f t="shared" ca="1" si="1144"/>
        <v>MASTRO</v>
      </c>
      <c r="CZ946" s="48" t="e">
        <f t="shared" ca="1" si="1147"/>
        <v>#N/A</v>
      </c>
      <c r="DA946" s="48" t="str">
        <f t="shared" ca="1" si="1151"/>
        <v/>
      </c>
      <c r="DB946" s="48" t="str">
        <f t="shared" ca="1" si="1138"/>
        <v/>
      </c>
      <c r="DC946" s="48" t="str">
        <f t="shared" ca="1" si="1148"/>
        <v/>
      </c>
      <c r="DD946" s="48" t="str">
        <f t="shared" ca="1" si="1149"/>
        <v/>
      </c>
      <c r="DE946" s="48" t="str">
        <f t="shared" ca="1" si="1150"/>
        <v/>
      </c>
      <c r="DF946" s="48">
        <f ca="1">IF(AND(CX946=$DF$1,CX946&lt;&gt;""),0,IF(AND(DB946&lt;&gt;"",OR(DB945&lt;&gt;"",DB947&lt;&gt;"")),MAX($DF$2:DF945)+1,0))</f>
        <v>0</v>
      </c>
    </row>
    <row r="947" spans="102:110" x14ac:dyDescent="0.3">
      <c r="CX947" s="48">
        <f t="shared" ca="1" si="1145"/>
        <v>73</v>
      </c>
      <c r="CY947" s="48" t="str">
        <f t="shared" ca="1" si="1144"/>
        <v>MASTRO</v>
      </c>
      <c r="CZ947" s="48" t="e">
        <f t="shared" ca="1" si="1147"/>
        <v>#N/A</v>
      </c>
      <c r="DA947" s="48" t="str">
        <f t="shared" ca="1" si="1151"/>
        <v/>
      </c>
      <c r="DB947" s="48" t="str">
        <f t="shared" ca="1" si="1138"/>
        <v/>
      </c>
      <c r="DC947" s="48" t="str">
        <f t="shared" ca="1" si="1148"/>
        <v/>
      </c>
      <c r="DD947" s="48" t="str">
        <f t="shared" ca="1" si="1149"/>
        <v/>
      </c>
      <c r="DE947" s="48" t="str">
        <f t="shared" ca="1" si="1150"/>
        <v/>
      </c>
      <c r="DF947" s="48">
        <f ca="1">IF(AND(CX947=$DF$1,CX947&lt;&gt;""),0,IF(AND(DB947&lt;&gt;"",OR(DB946&lt;&gt;"",DB948&lt;&gt;"")),MAX($DF$2:DF946)+1,0))</f>
        <v>0</v>
      </c>
    </row>
    <row r="948" spans="102:110" x14ac:dyDescent="0.3">
      <c r="CX948" s="48">
        <f t="shared" ca="1" si="1145"/>
        <v>73</v>
      </c>
      <c r="CY948" s="48" t="str">
        <f t="shared" ca="1" si="1144"/>
        <v>MASTRO</v>
      </c>
      <c r="CZ948" s="48" t="e">
        <f t="shared" ca="1" si="1147"/>
        <v>#N/A</v>
      </c>
      <c r="DA948" s="48" t="str">
        <f t="shared" ca="1" si="1151"/>
        <v/>
      </c>
      <c r="DB948" s="48" t="str">
        <f t="shared" ca="1" si="1138"/>
        <v/>
      </c>
      <c r="DC948" s="48" t="str">
        <f t="shared" ca="1" si="1148"/>
        <v/>
      </c>
      <c r="DD948" s="48" t="str">
        <f t="shared" ca="1" si="1149"/>
        <v/>
      </c>
      <c r="DE948" s="48" t="str">
        <f t="shared" ca="1" si="1150"/>
        <v/>
      </c>
      <c r="DF948" s="48">
        <f ca="1">IF(AND(CX948=$DF$1,CX948&lt;&gt;""),0,IF(AND(DB948&lt;&gt;"",OR(DB947&lt;&gt;"",DB949&lt;&gt;"")),MAX($DF$2:DF947)+1,0))</f>
        <v>0</v>
      </c>
    </row>
    <row r="949" spans="102:110" x14ac:dyDescent="0.3">
      <c r="CX949" s="48">
        <f t="shared" ca="1" si="1145"/>
        <v>73</v>
      </c>
      <c r="CY949" s="48" t="str">
        <f t="shared" ca="1" si="1144"/>
        <v>MASTRO</v>
      </c>
      <c r="CZ949" s="48" t="e">
        <f t="shared" ca="1" si="1147"/>
        <v>#N/A</v>
      </c>
      <c r="DA949" s="48" t="str">
        <f t="shared" ca="1" si="1151"/>
        <v/>
      </c>
      <c r="DB949" s="48" t="str">
        <f t="shared" ca="1" si="1138"/>
        <v/>
      </c>
      <c r="DC949" s="48" t="str">
        <f t="shared" ca="1" si="1148"/>
        <v/>
      </c>
      <c r="DD949" s="48" t="str">
        <f t="shared" ca="1" si="1149"/>
        <v/>
      </c>
      <c r="DE949" s="48" t="str">
        <f t="shared" ca="1" si="1150"/>
        <v/>
      </c>
      <c r="DF949" s="48">
        <f ca="1">IF(AND(CX949=$DF$1,CX949&lt;&gt;""),0,IF(AND(DB949&lt;&gt;"",OR(DB948&lt;&gt;"",DB950&lt;&gt;"")),MAX($DF$2:DF948)+1,0))</f>
        <v>0</v>
      </c>
    </row>
    <row r="950" spans="102:110" x14ac:dyDescent="0.3">
      <c r="CX950" s="48">
        <f t="shared" ca="1" si="1145"/>
        <v>73</v>
      </c>
      <c r="CY950" s="48" t="str">
        <f t="shared" ca="1" si="1144"/>
        <v>MASTRO</v>
      </c>
      <c r="CZ950" s="48" t="e">
        <f t="shared" ca="1" si="1147"/>
        <v>#N/A</v>
      </c>
      <c r="DA950" s="48" t="str">
        <f t="shared" ca="1" si="1151"/>
        <v/>
      </c>
      <c r="DB950" s="48" t="str">
        <f t="shared" ca="1" si="1138"/>
        <v/>
      </c>
      <c r="DC950" s="48" t="str">
        <f t="shared" ca="1" si="1148"/>
        <v/>
      </c>
      <c r="DD950" s="48" t="str">
        <f t="shared" ca="1" si="1149"/>
        <v/>
      </c>
      <c r="DE950" s="48" t="str">
        <f t="shared" ca="1" si="1150"/>
        <v/>
      </c>
      <c r="DF950" s="48">
        <f ca="1">IF(AND(CX950=$DF$1,CX950&lt;&gt;""),0,IF(AND(DB950&lt;&gt;"",OR(DB949&lt;&gt;"",DB951&lt;&gt;"")),MAX($DF$2:DF949)+1,0))</f>
        <v>0</v>
      </c>
    </row>
    <row r="951" spans="102:110" x14ac:dyDescent="0.3">
      <c r="CY951" s="48" t="s">
        <v>500</v>
      </c>
      <c r="DB951" s="48" t="str">
        <f t="shared" ref="DB951" ca="1" si="1152">IF(CX950=$DF$1,"","MASTRO")</f>
        <v>MASTRO</v>
      </c>
      <c r="DF951" s="48">
        <f ca="1">IF(AND(CX951=$DF$1,CX951&lt;&gt;""),0,IF(AND(DB951&lt;&gt;"",OR(DB950&lt;&gt;"",DB952&lt;&gt;"")),MAX($DF$2:DF950)+1,0))</f>
        <v>0</v>
      </c>
    </row>
    <row r="952" spans="102:110" x14ac:dyDescent="0.3">
      <c r="CX952" s="48">
        <f ca="1">$FF$76</f>
        <v>74</v>
      </c>
      <c r="CY952" s="48" t="str">
        <f t="shared" ref="CY952:CY963" ca="1" si="1153">IF(ISERROR(INDEX($CV$3:$CX$1302,MATCH(CX952,$CW$3:$CW$1302,0),1)),"MASTRO",INDEX($CV$3:$CX$1302,MATCH(CX952,$CW$3:$CW$1302,0),1))</f>
        <v>MASTRO</v>
      </c>
      <c r="DA952" s="48" t="str">
        <f>IF(CY951="MASTRO","Conto n.","")</f>
        <v>Conto n.</v>
      </c>
      <c r="DB952" s="48" t="str">
        <f ca="1">IF(CY952=0,"",INDEX(PDC,MATCH(DC952,DEN_PDC,0),1))</f>
        <v/>
      </c>
      <c r="DC952" s="48" t="str">
        <f ca="1">IF(OR(CY952=0,CY952="mastro"),"",CY952)</f>
        <v/>
      </c>
      <c r="DD952" s="48" t="str">
        <f ca="1">IF(AND($DA$2=TRUE,OR(INDEX(PDC,MATCH($DC952,DEN_PDC,0),4)="A",INDEX(PDC,MATCH($DC952,DEN_PDC,0),4)="D/A"),SUMIFS(AVERE,DEN_G,"="&amp;$DC952,DATA,"&lt;="&amp;FINE_AC,DATA,"&gt;="&amp;INIZIO_AC)&gt;SUMIFS(DARE,DEN_G,"="&amp;$DC952,DATA,"&lt;="&amp;FINE_AC,DATA,"&gt;="&amp;INIZIO_AC)),CONCATENATE("s ",FIXED(ABS(SUMIFS(AVERE,DEN_G,"="&amp;$DC952,DATA,"&lt;="&amp;FINE_AC,DATA,"&gt;="&amp;INIZIO_AC)-SUMIFS(DARE,DEN_G,"="&amp;$DC952,DATA,"&lt;="&amp;FINE_AC,DATA,"&gt;="&amp;INIZIO_AC)),2)),"")</f>
        <v/>
      </c>
      <c r="DE952" s="48" t="str">
        <f ca="1">IF(AND($DA$2=TRUE,OR(INDEX(PDC,MATCH($DC952,DEN_PDC,0),4)="D",INDEX(PDC,MATCH($DC952,DEN_PDC,0),4)="D/A"),SUMIFS(DARE,DEN_G,"="&amp;$DC952,DATA,"&lt;="&amp;FINE_AC,DATA,"&gt;="&amp;INIZIO_AC)&gt;SUMIFS(AVERE,DEN_G,"="&amp;$DC952,DATA,"&lt;="&amp;FINE_AC,DATA,"&gt;="&amp;INIZIO_AC)),CONCATENATE("s ",FIXED(ABS(SUMIFS(DARE,DEN_G,"="&amp;$DC952,DATA,"&lt;="&amp;FINE_AC,DATA,"&gt;="&amp;INIZIO_AC)-SUMIFS(AVERE,DEN_G,"="&amp;$DC952,DATA,"&lt;="&amp;FINE_AC,DATA,"&gt;="&amp;INIZIO_AC)),2)),"")</f>
        <v/>
      </c>
      <c r="DF952" s="48">
        <f ca="1">IF(AND(CX952=$DF$1,CX952&lt;&gt;""),0,IF(AND(DB952&lt;&gt;"",OR(DB951&lt;&gt;"",DB953&lt;&gt;"")),MAX($DF$2:DF951)+1,0))</f>
        <v>0</v>
      </c>
    </row>
    <row r="953" spans="102:110" x14ac:dyDescent="0.3">
      <c r="CX953" s="48">
        <f t="shared" ref="CX953:CX963" ca="1" si="1154">$FF$76</f>
        <v>74</v>
      </c>
      <c r="CY953" s="48" t="str">
        <f t="shared" ca="1" si="1153"/>
        <v>MASTRO</v>
      </c>
      <c r="DA953" s="48" t="str">
        <f ca="1">IF(DB952="","","Num. riga")</f>
        <v/>
      </c>
      <c r="DB953" s="48" t="str">
        <f t="shared" ref="DB953" ca="1" si="1155">IF(DB952="","","Data")</f>
        <v/>
      </c>
      <c r="DC953" s="48" t="str">
        <f ca="1">IF(DB952="","","Operazioni")</f>
        <v/>
      </c>
      <c r="DD953" s="48" t="str">
        <f ca="1">IF(DB952="","","Dare        ")</f>
        <v/>
      </c>
      <c r="DE953" s="48" t="str">
        <f ca="1">IF(DB952="","","Avere        ")</f>
        <v/>
      </c>
      <c r="DF953" s="48">
        <f ca="1">IF(AND(CX953=$DF$1,CX953&lt;&gt;""),0,IF(AND(DB953&lt;&gt;"",OR(DB952&lt;&gt;"",DB954&lt;&gt;"")),MAX($DF$2:DF952)+1,0))</f>
        <v>0</v>
      </c>
    </row>
    <row r="954" spans="102:110" x14ac:dyDescent="0.3">
      <c r="CX954" s="48">
        <f t="shared" ca="1" si="1154"/>
        <v>74</v>
      </c>
      <c r="CY954" s="48" t="str">
        <f t="shared" ca="1" si="1153"/>
        <v>MASTRO</v>
      </c>
      <c r="CZ954" s="48" t="e">
        <f t="shared" ref="CZ954:CZ963" ca="1" si="1156">SUM(MATCH($CY954,INDIRECT(ADDRESS(SUM(CZ953)+3,54)&amp;":"&amp;ADDRESS(400,54)),0),CZ953)</f>
        <v>#N/A</v>
      </c>
      <c r="DA954" s="48" t="str">
        <f ca="1">IFERROR(INDEX(LIBRO_GIORNALE,CZ954,1),"")</f>
        <v/>
      </c>
      <c r="DB954" s="48" t="str">
        <f t="shared" ca="1" si="1138"/>
        <v/>
      </c>
      <c r="DC954" s="48" t="str">
        <f t="shared" ref="DC954:DC963" ca="1" si="1157">IF(IFERROR(INDEX(LIBRO_GIORNALE,CZ954,4),"")=0,"manca la descrizione dell'operazione",IFERROR(INDEX(LIBRO_GIORNALE,CZ954,4),""))</f>
        <v/>
      </c>
      <c r="DD954" s="48" t="str">
        <f t="shared" ref="DD954:DD963" ca="1" si="1158">IFERROR(IF(INDEX(LIBRO_GIORNALE,CZ954,5)&gt;0,INDEX(LIBRO_GIORNALE,CZ954,5),""),"")</f>
        <v/>
      </c>
      <c r="DE954" s="48" t="str">
        <f t="shared" ref="DE954:DE963" ca="1" si="1159">IFERROR(IF(INDEX(LIBRO_GIORNALE,CZ954,6)&gt;0,INDEX(LIBRO_GIORNALE,CZ954,6),""),"")</f>
        <v/>
      </c>
      <c r="DF954" s="48">
        <f ca="1">IF(AND(CX954=$DF$1,CX954&lt;&gt;""),0,IF(AND(DB954&lt;&gt;"",OR(DB953&lt;&gt;"",DB955&lt;&gt;"")),MAX($DF$2:DF953)+1,0))</f>
        <v>0</v>
      </c>
    </row>
    <row r="955" spans="102:110" x14ac:dyDescent="0.3">
      <c r="CX955" s="48">
        <f t="shared" ca="1" si="1154"/>
        <v>74</v>
      </c>
      <c r="CY955" s="48" t="str">
        <f t="shared" ca="1" si="1153"/>
        <v>MASTRO</v>
      </c>
      <c r="CZ955" s="48" t="e">
        <f t="shared" ca="1" si="1156"/>
        <v>#N/A</v>
      </c>
      <c r="DA955" s="48" t="str">
        <f t="shared" ref="DA955:DA963" ca="1" si="1160">IFERROR(INDEX(LIBRO_GIORNALE,CZ955,1),"")</f>
        <v/>
      </c>
      <c r="DB955" s="48" t="str">
        <f t="shared" ca="1" si="1138"/>
        <v/>
      </c>
      <c r="DC955" s="48" t="str">
        <f t="shared" ca="1" si="1157"/>
        <v/>
      </c>
      <c r="DD955" s="48" t="str">
        <f t="shared" ca="1" si="1158"/>
        <v/>
      </c>
      <c r="DE955" s="48" t="str">
        <f t="shared" ca="1" si="1159"/>
        <v/>
      </c>
      <c r="DF955" s="48">
        <f ca="1">IF(AND(CX955=$DF$1,CX955&lt;&gt;""),0,IF(AND(DB955&lt;&gt;"",OR(DB954&lt;&gt;"",DB956&lt;&gt;"")),MAX($DF$2:DF954)+1,0))</f>
        <v>0</v>
      </c>
    </row>
    <row r="956" spans="102:110" x14ac:dyDescent="0.3">
      <c r="CX956" s="48">
        <f t="shared" ca="1" si="1154"/>
        <v>74</v>
      </c>
      <c r="CY956" s="48" t="str">
        <f t="shared" ca="1" si="1153"/>
        <v>MASTRO</v>
      </c>
      <c r="CZ956" s="48" t="e">
        <f t="shared" ca="1" si="1156"/>
        <v>#N/A</v>
      </c>
      <c r="DA956" s="48" t="str">
        <f t="shared" ca="1" si="1160"/>
        <v/>
      </c>
      <c r="DB956" s="48" t="str">
        <f t="shared" ca="1" si="1138"/>
        <v/>
      </c>
      <c r="DC956" s="48" t="str">
        <f t="shared" ca="1" si="1157"/>
        <v/>
      </c>
      <c r="DD956" s="48" t="str">
        <f t="shared" ca="1" si="1158"/>
        <v/>
      </c>
      <c r="DE956" s="48" t="str">
        <f t="shared" ca="1" si="1159"/>
        <v/>
      </c>
      <c r="DF956" s="48">
        <f ca="1">IF(AND(CX956=$DF$1,CX956&lt;&gt;""),0,IF(AND(DB956&lt;&gt;"",OR(DB955&lt;&gt;"",DB957&lt;&gt;"")),MAX($DF$2:DF955)+1,0))</f>
        <v>0</v>
      </c>
    </row>
    <row r="957" spans="102:110" x14ac:dyDescent="0.3">
      <c r="CX957" s="48">
        <f t="shared" ca="1" si="1154"/>
        <v>74</v>
      </c>
      <c r="CY957" s="48" t="str">
        <f t="shared" ca="1" si="1153"/>
        <v>MASTRO</v>
      </c>
      <c r="CZ957" s="48" t="e">
        <f t="shared" ca="1" si="1156"/>
        <v>#N/A</v>
      </c>
      <c r="DA957" s="48" t="str">
        <f t="shared" ca="1" si="1160"/>
        <v/>
      </c>
      <c r="DB957" s="48" t="str">
        <f t="shared" ca="1" si="1138"/>
        <v/>
      </c>
      <c r="DC957" s="48" t="str">
        <f t="shared" ca="1" si="1157"/>
        <v/>
      </c>
      <c r="DD957" s="48" t="str">
        <f t="shared" ca="1" si="1158"/>
        <v/>
      </c>
      <c r="DE957" s="48" t="str">
        <f t="shared" ca="1" si="1159"/>
        <v/>
      </c>
      <c r="DF957" s="48">
        <f ca="1">IF(AND(CX957=$DF$1,CX957&lt;&gt;""),0,IF(AND(DB957&lt;&gt;"",OR(DB956&lt;&gt;"",DB958&lt;&gt;"")),MAX($DF$2:DF956)+1,0))</f>
        <v>0</v>
      </c>
    </row>
    <row r="958" spans="102:110" x14ac:dyDescent="0.3">
      <c r="CX958" s="48">
        <f t="shared" ca="1" si="1154"/>
        <v>74</v>
      </c>
      <c r="CY958" s="48" t="str">
        <f t="shared" ca="1" si="1153"/>
        <v>MASTRO</v>
      </c>
      <c r="CZ958" s="48" t="e">
        <f t="shared" ca="1" si="1156"/>
        <v>#N/A</v>
      </c>
      <c r="DA958" s="48" t="str">
        <f t="shared" ca="1" si="1160"/>
        <v/>
      </c>
      <c r="DB958" s="48" t="str">
        <f t="shared" ca="1" si="1138"/>
        <v/>
      </c>
      <c r="DC958" s="48" t="str">
        <f t="shared" ca="1" si="1157"/>
        <v/>
      </c>
      <c r="DD958" s="48" t="str">
        <f t="shared" ca="1" si="1158"/>
        <v/>
      </c>
      <c r="DE958" s="48" t="str">
        <f t="shared" ca="1" si="1159"/>
        <v/>
      </c>
      <c r="DF958" s="48">
        <f ca="1">IF(AND(CX958=$DF$1,CX958&lt;&gt;""),0,IF(AND(DB958&lt;&gt;"",OR(DB957&lt;&gt;"",DB959&lt;&gt;"")),MAX($DF$2:DF957)+1,0))</f>
        <v>0</v>
      </c>
    </row>
    <row r="959" spans="102:110" x14ac:dyDescent="0.3">
      <c r="CX959" s="48">
        <f t="shared" ca="1" si="1154"/>
        <v>74</v>
      </c>
      <c r="CY959" s="48" t="str">
        <f t="shared" ca="1" si="1153"/>
        <v>MASTRO</v>
      </c>
      <c r="CZ959" s="48" t="e">
        <f t="shared" ca="1" si="1156"/>
        <v>#N/A</v>
      </c>
      <c r="DA959" s="48" t="str">
        <f t="shared" ca="1" si="1160"/>
        <v/>
      </c>
      <c r="DB959" s="48" t="str">
        <f t="shared" ca="1" si="1138"/>
        <v/>
      </c>
      <c r="DC959" s="48" t="str">
        <f t="shared" ca="1" si="1157"/>
        <v/>
      </c>
      <c r="DD959" s="48" t="str">
        <f t="shared" ca="1" si="1158"/>
        <v/>
      </c>
      <c r="DE959" s="48" t="str">
        <f t="shared" ca="1" si="1159"/>
        <v/>
      </c>
      <c r="DF959" s="48">
        <f ca="1">IF(AND(CX959=$DF$1,CX959&lt;&gt;""),0,IF(AND(DB959&lt;&gt;"",OR(DB958&lt;&gt;"",DB960&lt;&gt;"")),MAX($DF$2:DF958)+1,0))</f>
        <v>0</v>
      </c>
    </row>
    <row r="960" spans="102:110" x14ac:dyDescent="0.3">
      <c r="CX960" s="48">
        <f t="shared" ca="1" si="1154"/>
        <v>74</v>
      </c>
      <c r="CY960" s="48" t="str">
        <f t="shared" ca="1" si="1153"/>
        <v>MASTRO</v>
      </c>
      <c r="CZ960" s="48" t="e">
        <f t="shared" ca="1" si="1156"/>
        <v>#N/A</v>
      </c>
      <c r="DA960" s="48" t="str">
        <f t="shared" ca="1" si="1160"/>
        <v/>
      </c>
      <c r="DB960" s="48" t="str">
        <f t="shared" ca="1" si="1138"/>
        <v/>
      </c>
      <c r="DC960" s="48" t="str">
        <f t="shared" ca="1" si="1157"/>
        <v/>
      </c>
      <c r="DD960" s="48" t="str">
        <f t="shared" ca="1" si="1158"/>
        <v/>
      </c>
      <c r="DE960" s="48" t="str">
        <f t="shared" ca="1" si="1159"/>
        <v/>
      </c>
      <c r="DF960" s="48">
        <f ca="1">IF(AND(CX960=$DF$1,CX960&lt;&gt;""),0,IF(AND(DB960&lt;&gt;"",OR(DB959&lt;&gt;"",DB961&lt;&gt;"")),MAX($DF$2:DF959)+1,0))</f>
        <v>0</v>
      </c>
    </row>
    <row r="961" spans="102:110" x14ac:dyDescent="0.3">
      <c r="CX961" s="48">
        <f t="shared" ca="1" si="1154"/>
        <v>74</v>
      </c>
      <c r="CY961" s="48" t="str">
        <f t="shared" ca="1" si="1153"/>
        <v>MASTRO</v>
      </c>
      <c r="CZ961" s="48" t="e">
        <f t="shared" ca="1" si="1156"/>
        <v>#N/A</v>
      </c>
      <c r="DA961" s="48" t="str">
        <f t="shared" ca="1" si="1160"/>
        <v/>
      </c>
      <c r="DB961" s="48" t="str">
        <f t="shared" ca="1" si="1138"/>
        <v/>
      </c>
      <c r="DC961" s="48" t="str">
        <f t="shared" ca="1" si="1157"/>
        <v/>
      </c>
      <c r="DD961" s="48" t="str">
        <f t="shared" ca="1" si="1158"/>
        <v/>
      </c>
      <c r="DE961" s="48" t="str">
        <f t="shared" ca="1" si="1159"/>
        <v/>
      </c>
      <c r="DF961" s="48">
        <f ca="1">IF(AND(CX961=$DF$1,CX961&lt;&gt;""),0,IF(AND(DB961&lt;&gt;"",OR(DB960&lt;&gt;"",DB962&lt;&gt;"")),MAX($DF$2:DF960)+1,0))</f>
        <v>0</v>
      </c>
    </row>
    <row r="962" spans="102:110" x14ac:dyDescent="0.3">
      <c r="CX962" s="48">
        <f t="shared" ca="1" si="1154"/>
        <v>74</v>
      </c>
      <c r="CY962" s="48" t="str">
        <f t="shared" ca="1" si="1153"/>
        <v>MASTRO</v>
      </c>
      <c r="CZ962" s="48" t="e">
        <f t="shared" ca="1" si="1156"/>
        <v>#N/A</v>
      </c>
      <c r="DA962" s="48" t="str">
        <f t="shared" ca="1" si="1160"/>
        <v/>
      </c>
      <c r="DB962" s="48" t="str">
        <f t="shared" ca="1" si="1138"/>
        <v/>
      </c>
      <c r="DC962" s="48" t="str">
        <f t="shared" ca="1" si="1157"/>
        <v/>
      </c>
      <c r="DD962" s="48" t="str">
        <f t="shared" ca="1" si="1158"/>
        <v/>
      </c>
      <c r="DE962" s="48" t="str">
        <f t="shared" ca="1" si="1159"/>
        <v/>
      </c>
      <c r="DF962" s="48">
        <f ca="1">IF(AND(CX962=$DF$1,CX962&lt;&gt;""),0,IF(AND(DB962&lt;&gt;"",OR(DB961&lt;&gt;"",DB963&lt;&gt;"")),MAX($DF$2:DF961)+1,0))</f>
        <v>0</v>
      </c>
    </row>
    <row r="963" spans="102:110" x14ac:dyDescent="0.3">
      <c r="CX963" s="48">
        <f t="shared" ca="1" si="1154"/>
        <v>74</v>
      </c>
      <c r="CY963" s="48" t="str">
        <f t="shared" ca="1" si="1153"/>
        <v>MASTRO</v>
      </c>
      <c r="CZ963" s="48" t="e">
        <f t="shared" ca="1" si="1156"/>
        <v>#N/A</v>
      </c>
      <c r="DA963" s="48" t="str">
        <f t="shared" ca="1" si="1160"/>
        <v/>
      </c>
      <c r="DB963" s="48" t="str">
        <f t="shared" ca="1" si="1138"/>
        <v/>
      </c>
      <c r="DC963" s="48" t="str">
        <f t="shared" ca="1" si="1157"/>
        <v/>
      </c>
      <c r="DD963" s="48" t="str">
        <f t="shared" ca="1" si="1158"/>
        <v/>
      </c>
      <c r="DE963" s="48" t="str">
        <f t="shared" ca="1" si="1159"/>
        <v/>
      </c>
      <c r="DF963" s="48">
        <f ca="1">IF(AND(CX963=$DF$1,CX963&lt;&gt;""),0,IF(AND(DB963&lt;&gt;"",OR(DB962&lt;&gt;"",DB964&lt;&gt;"")),MAX($DF$2:DF962)+1,0))</f>
        <v>0</v>
      </c>
    </row>
    <row r="964" spans="102:110" x14ac:dyDescent="0.3">
      <c r="CY964" s="48" t="s">
        <v>500</v>
      </c>
      <c r="DB964" s="48" t="str">
        <f t="shared" ref="DB964" ca="1" si="1161">IF(CX963=$DF$1,"","MASTRO")</f>
        <v>MASTRO</v>
      </c>
      <c r="DF964" s="48">
        <f ca="1">IF(AND(CX964=$DF$1,CX964&lt;&gt;""),0,IF(AND(DB964&lt;&gt;"",OR(DB963&lt;&gt;"",DB965&lt;&gt;"")),MAX($DF$2:DF963)+1,0))</f>
        <v>0</v>
      </c>
    </row>
    <row r="965" spans="102:110" x14ac:dyDescent="0.3">
      <c r="CX965" s="48">
        <f ca="1">$FF$77</f>
        <v>75</v>
      </c>
      <c r="CY965" s="48" t="str">
        <f t="shared" ref="CY965:CY976" ca="1" si="1162">IF(ISERROR(INDEX($CV$3:$CX$1302,MATCH(CX965,$CW$3:$CW$1302,0),1)),"MASTRO",INDEX($CV$3:$CX$1302,MATCH(CX965,$CW$3:$CW$1302,0),1))</f>
        <v>MASTRO</v>
      </c>
      <c r="DA965" s="48" t="str">
        <f>IF(CY964="MASTRO","Conto n.","")</f>
        <v>Conto n.</v>
      </c>
      <c r="DB965" s="48" t="str">
        <f ca="1">IF(CY965=0,"",INDEX(PDC,MATCH(DC965,DEN_PDC,0),1))</f>
        <v/>
      </c>
      <c r="DC965" s="48" t="str">
        <f ca="1">IF(OR(CY965=0,CY965="mastro"),"",CY965)</f>
        <v/>
      </c>
      <c r="DD965" s="48" t="str">
        <f ca="1">IF(AND($DA$2=TRUE,OR(INDEX(PDC,MATCH($DC965,DEN_PDC,0),4)="A",INDEX(PDC,MATCH($DC965,DEN_PDC,0),4)="D/A"),SUMIFS(AVERE,DEN_G,"="&amp;$DC965,DATA,"&lt;="&amp;FINE_AC,DATA,"&gt;="&amp;INIZIO_AC)&gt;SUMIFS(DARE,DEN_G,"="&amp;$DC965,DATA,"&lt;="&amp;FINE_AC,DATA,"&gt;="&amp;INIZIO_AC)),CONCATENATE("s ",FIXED(ABS(SUMIFS(AVERE,DEN_G,"="&amp;$DC965,DATA,"&lt;="&amp;FINE_AC,DATA,"&gt;="&amp;INIZIO_AC)-SUMIFS(DARE,DEN_G,"="&amp;$DC965,DATA,"&lt;="&amp;FINE_AC,DATA,"&gt;="&amp;INIZIO_AC)),2)),"")</f>
        <v/>
      </c>
      <c r="DE965" s="48" t="str">
        <f ca="1">IF(AND($DA$2=TRUE,OR(INDEX(PDC,MATCH($DC965,DEN_PDC,0),4)="D",INDEX(PDC,MATCH($DC965,DEN_PDC,0),4)="D/A"),SUMIFS(DARE,DEN_G,"="&amp;$DC965,DATA,"&lt;="&amp;FINE_AC,DATA,"&gt;="&amp;INIZIO_AC)&gt;SUMIFS(AVERE,DEN_G,"="&amp;$DC965,DATA,"&lt;="&amp;FINE_AC,DATA,"&gt;="&amp;INIZIO_AC)),CONCATENATE("s ",FIXED(ABS(SUMIFS(DARE,DEN_G,"="&amp;$DC965,DATA,"&lt;="&amp;FINE_AC,DATA,"&gt;="&amp;INIZIO_AC)-SUMIFS(AVERE,DEN_G,"="&amp;$DC965,DATA,"&lt;="&amp;FINE_AC,DATA,"&gt;="&amp;INIZIO_AC)),2)),"")</f>
        <v/>
      </c>
      <c r="DF965" s="48">
        <f ca="1">IF(AND(CX965=$DF$1,CX965&lt;&gt;""),0,IF(AND(DB965&lt;&gt;"",OR(DB964&lt;&gt;"",DB966&lt;&gt;"")),MAX($DF$2:DF964)+1,0))</f>
        <v>0</v>
      </c>
    </row>
    <row r="966" spans="102:110" x14ac:dyDescent="0.3">
      <c r="CX966" s="48">
        <f t="shared" ref="CX966:CX976" ca="1" si="1163">$FF$77</f>
        <v>75</v>
      </c>
      <c r="CY966" s="48" t="str">
        <f t="shared" ca="1" si="1162"/>
        <v>MASTRO</v>
      </c>
      <c r="DA966" s="48" t="str">
        <f ca="1">IF(DB965="","","Num. riga")</f>
        <v/>
      </c>
      <c r="DB966" s="48" t="str">
        <f t="shared" ref="DB966" ca="1" si="1164">IF(DB965="","","Data")</f>
        <v/>
      </c>
      <c r="DC966" s="48" t="str">
        <f ca="1">IF(DB965="","","Operazioni")</f>
        <v/>
      </c>
      <c r="DD966" s="48" t="str">
        <f ca="1">IF(DB965="","","Dare        ")</f>
        <v/>
      </c>
      <c r="DE966" s="48" t="str">
        <f ca="1">IF(DB965="","","Avere        ")</f>
        <v/>
      </c>
      <c r="DF966" s="48">
        <f ca="1">IF(AND(CX966=$DF$1,CX966&lt;&gt;""),0,IF(AND(DB966&lt;&gt;"",OR(DB965&lt;&gt;"",DB967&lt;&gt;"")),MAX($DF$2:DF965)+1,0))</f>
        <v>0</v>
      </c>
    </row>
    <row r="967" spans="102:110" x14ac:dyDescent="0.3">
      <c r="CX967" s="48">
        <f t="shared" ca="1" si="1163"/>
        <v>75</v>
      </c>
      <c r="CY967" s="48" t="str">
        <f t="shared" ca="1" si="1162"/>
        <v>MASTRO</v>
      </c>
      <c r="CZ967" s="48" t="e">
        <f t="shared" ref="CZ967:CZ976" ca="1" si="1165">SUM(MATCH($CY967,INDIRECT(ADDRESS(SUM(CZ966)+3,54)&amp;":"&amp;ADDRESS(400,54)),0),CZ966)</f>
        <v>#N/A</v>
      </c>
      <c r="DA967" s="48" t="str">
        <f ca="1">IFERROR(INDEX(LIBRO_GIORNALE,CZ967,1),"")</f>
        <v/>
      </c>
      <c r="DB967" s="48" t="str">
        <f t="shared" ca="1" si="1138"/>
        <v/>
      </c>
      <c r="DC967" s="48" t="str">
        <f t="shared" ref="DC967:DC976" ca="1" si="1166">IF(IFERROR(INDEX(LIBRO_GIORNALE,CZ967,4),"")=0,"manca la descrizione dell'operazione",IFERROR(INDEX(LIBRO_GIORNALE,CZ967,4),""))</f>
        <v/>
      </c>
      <c r="DD967" s="48" t="str">
        <f t="shared" ref="DD967:DD976" ca="1" si="1167">IFERROR(IF(INDEX(LIBRO_GIORNALE,CZ967,5)&gt;0,INDEX(LIBRO_GIORNALE,CZ967,5),""),"")</f>
        <v/>
      </c>
      <c r="DE967" s="48" t="str">
        <f t="shared" ref="DE967:DE976" ca="1" si="1168">IFERROR(IF(INDEX(LIBRO_GIORNALE,CZ967,6)&gt;0,INDEX(LIBRO_GIORNALE,CZ967,6),""),"")</f>
        <v/>
      </c>
      <c r="DF967" s="48">
        <f ca="1">IF(AND(CX967=$DF$1,CX967&lt;&gt;""),0,IF(AND(DB967&lt;&gt;"",OR(DB966&lt;&gt;"",DB968&lt;&gt;"")),MAX($DF$2:DF966)+1,0))</f>
        <v>0</v>
      </c>
    </row>
    <row r="968" spans="102:110" x14ac:dyDescent="0.3">
      <c r="CX968" s="48">
        <f t="shared" ca="1" si="1163"/>
        <v>75</v>
      </c>
      <c r="CY968" s="48" t="str">
        <f t="shared" ca="1" si="1162"/>
        <v>MASTRO</v>
      </c>
      <c r="CZ968" s="48" t="e">
        <f t="shared" ca="1" si="1165"/>
        <v>#N/A</v>
      </c>
      <c r="DA968" s="48" t="str">
        <f t="shared" ref="DA968:DA976" ca="1" si="1169">IFERROR(INDEX(LIBRO_GIORNALE,CZ968,1),"")</f>
        <v/>
      </c>
      <c r="DB968" s="48" t="str">
        <f t="shared" ca="1" si="1138"/>
        <v/>
      </c>
      <c r="DC968" s="48" t="str">
        <f t="shared" ca="1" si="1166"/>
        <v/>
      </c>
      <c r="DD968" s="48" t="str">
        <f t="shared" ca="1" si="1167"/>
        <v/>
      </c>
      <c r="DE968" s="48" t="str">
        <f t="shared" ca="1" si="1168"/>
        <v/>
      </c>
      <c r="DF968" s="48">
        <f ca="1">IF(AND(CX968=$DF$1,CX968&lt;&gt;""),0,IF(AND(DB968&lt;&gt;"",OR(DB967&lt;&gt;"",DB969&lt;&gt;"")),MAX($DF$2:DF967)+1,0))</f>
        <v>0</v>
      </c>
    </row>
    <row r="969" spans="102:110" x14ac:dyDescent="0.3">
      <c r="CX969" s="48">
        <f t="shared" ca="1" si="1163"/>
        <v>75</v>
      </c>
      <c r="CY969" s="48" t="str">
        <f t="shared" ca="1" si="1162"/>
        <v>MASTRO</v>
      </c>
      <c r="CZ969" s="48" t="e">
        <f t="shared" ca="1" si="1165"/>
        <v>#N/A</v>
      </c>
      <c r="DA969" s="48" t="str">
        <f t="shared" ca="1" si="1169"/>
        <v/>
      </c>
      <c r="DB969" s="48" t="str">
        <f t="shared" ca="1" si="1138"/>
        <v/>
      </c>
      <c r="DC969" s="48" t="str">
        <f t="shared" ca="1" si="1166"/>
        <v/>
      </c>
      <c r="DD969" s="48" t="str">
        <f t="shared" ca="1" si="1167"/>
        <v/>
      </c>
      <c r="DE969" s="48" t="str">
        <f t="shared" ca="1" si="1168"/>
        <v/>
      </c>
      <c r="DF969" s="48">
        <f ca="1">IF(AND(CX969=$DF$1,CX969&lt;&gt;""),0,IF(AND(DB969&lt;&gt;"",OR(DB968&lt;&gt;"",DB970&lt;&gt;"")),MAX($DF$2:DF968)+1,0))</f>
        <v>0</v>
      </c>
    </row>
    <row r="970" spans="102:110" x14ac:dyDescent="0.3">
      <c r="CX970" s="48">
        <f t="shared" ca="1" si="1163"/>
        <v>75</v>
      </c>
      <c r="CY970" s="48" t="str">
        <f t="shared" ca="1" si="1162"/>
        <v>MASTRO</v>
      </c>
      <c r="CZ970" s="48" t="e">
        <f t="shared" ca="1" si="1165"/>
        <v>#N/A</v>
      </c>
      <c r="DA970" s="48" t="str">
        <f t="shared" ca="1" si="1169"/>
        <v/>
      </c>
      <c r="DB970" s="48" t="str">
        <f t="shared" ca="1" si="1138"/>
        <v/>
      </c>
      <c r="DC970" s="48" t="str">
        <f t="shared" ca="1" si="1166"/>
        <v/>
      </c>
      <c r="DD970" s="48" t="str">
        <f t="shared" ca="1" si="1167"/>
        <v/>
      </c>
      <c r="DE970" s="48" t="str">
        <f t="shared" ca="1" si="1168"/>
        <v/>
      </c>
      <c r="DF970" s="48">
        <f ca="1">IF(AND(CX970=$DF$1,CX970&lt;&gt;""),0,IF(AND(DB970&lt;&gt;"",OR(DB969&lt;&gt;"",DB971&lt;&gt;"")),MAX($DF$2:DF969)+1,0))</f>
        <v>0</v>
      </c>
    </row>
    <row r="971" spans="102:110" x14ac:dyDescent="0.3">
      <c r="CX971" s="48">
        <f t="shared" ca="1" si="1163"/>
        <v>75</v>
      </c>
      <c r="CY971" s="48" t="str">
        <f t="shared" ca="1" si="1162"/>
        <v>MASTRO</v>
      </c>
      <c r="CZ971" s="48" t="e">
        <f t="shared" ca="1" si="1165"/>
        <v>#N/A</v>
      </c>
      <c r="DA971" s="48" t="str">
        <f t="shared" ca="1" si="1169"/>
        <v/>
      </c>
      <c r="DB971" s="48" t="str">
        <f t="shared" ca="1" si="1138"/>
        <v/>
      </c>
      <c r="DC971" s="48" t="str">
        <f t="shared" ca="1" si="1166"/>
        <v/>
      </c>
      <c r="DD971" s="48" t="str">
        <f t="shared" ca="1" si="1167"/>
        <v/>
      </c>
      <c r="DE971" s="48" t="str">
        <f t="shared" ca="1" si="1168"/>
        <v/>
      </c>
      <c r="DF971" s="48">
        <f ca="1">IF(AND(CX971=$DF$1,CX971&lt;&gt;""),0,IF(AND(DB971&lt;&gt;"",OR(DB970&lt;&gt;"",DB972&lt;&gt;"")),MAX($DF$2:DF970)+1,0))</f>
        <v>0</v>
      </c>
    </row>
    <row r="972" spans="102:110" x14ac:dyDescent="0.3">
      <c r="CX972" s="48">
        <f t="shared" ca="1" si="1163"/>
        <v>75</v>
      </c>
      <c r="CY972" s="48" t="str">
        <f t="shared" ca="1" si="1162"/>
        <v>MASTRO</v>
      </c>
      <c r="CZ972" s="48" t="e">
        <f t="shared" ca="1" si="1165"/>
        <v>#N/A</v>
      </c>
      <c r="DA972" s="48" t="str">
        <f t="shared" ca="1" si="1169"/>
        <v/>
      </c>
      <c r="DB972" s="48" t="str">
        <f t="shared" ca="1" si="1138"/>
        <v/>
      </c>
      <c r="DC972" s="48" t="str">
        <f t="shared" ca="1" si="1166"/>
        <v/>
      </c>
      <c r="DD972" s="48" t="str">
        <f t="shared" ca="1" si="1167"/>
        <v/>
      </c>
      <c r="DE972" s="48" t="str">
        <f t="shared" ca="1" si="1168"/>
        <v/>
      </c>
      <c r="DF972" s="48">
        <f ca="1">IF(AND(CX972=$DF$1,CX972&lt;&gt;""),0,IF(AND(DB972&lt;&gt;"",OR(DB971&lt;&gt;"",DB973&lt;&gt;"")),MAX($DF$2:DF971)+1,0))</f>
        <v>0</v>
      </c>
    </row>
    <row r="973" spans="102:110" x14ac:dyDescent="0.3">
      <c r="CX973" s="48">
        <f t="shared" ca="1" si="1163"/>
        <v>75</v>
      </c>
      <c r="CY973" s="48" t="str">
        <f t="shared" ca="1" si="1162"/>
        <v>MASTRO</v>
      </c>
      <c r="CZ973" s="48" t="e">
        <f t="shared" ca="1" si="1165"/>
        <v>#N/A</v>
      </c>
      <c r="DA973" s="48" t="str">
        <f t="shared" ca="1" si="1169"/>
        <v/>
      </c>
      <c r="DB973" s="48" t="str">
        <f t="shared" ca="1" si="1138"/>
        <v/>
      </c>
      <c r="DC973" s="48" t="str">
        <f t="shared" ca="1" si="1166"/>
        <v/>
      </c>
      <c r="DD973" s="48" t="str">
        <f t="shared" ca="1" si="1167"/>
        <v/>
      </c>
      <c r="DE973" s="48" t="str">
        <f t="shared" ca="1" si="1168"/>
        <v/>
      </c>
      <c r="DF973" s="48">
        <f ca="1">IF(AND(CX973=$DF$1,CX973&lt;&gt;""),0,IF(AND(DB973&lt;&gt;"",OR(DB972&lt;&gt;"",DB974&lt;&gt;"")),MAX($DF$2:DF972)+1,0))</f>
        <v>0</v>
      </c>
    </row>
    <row r="974" spans="102:110" x14ac:dyDescent="0.3">
      <c r="CX974" s="48">
        <f t="shared" ca="1" si="1163"/>
        <v>75</v>
      </c>
      <c r="CY974" s="48" t="str">
        <f t="shared" ca="1" si="1162"/>
        <v>MASTRO</v>
      </c>
      <c r="CZ974" s="48" t="e">
        <f t="shared" ca="1" si="1165"/>
        <v>#N/A</v>
      </c>
      <c r="DA974" s="48" t="str">
        <f t="shared" ca="1" si="1169"/>
        <v/>
      </c>
      <c r="DB974" s="48" t="str">
        <f t="shared" ca="1" si="1138"/>
        <v/>
      </c>
      <c r="DC974" s="48" t="str">
        <f t="shared" ca="1" si="1166"/>
        <v/>
      </c>
      <c r="DD974" s="48" t="str">
        <f t="shared" ca="1" si="1167"/>
        <v/>
      </c>
      <c r="DE974" s="48" t="str">
        <f t="shared" ca="1" si="1168"/>
        <v/>
      </c>
      <c r="DF974" s="48">
        <f ca="1">IF(AND(CX974=$DF$1,CX974&lt;&gt;""),0,IF(AND(DB974&lt;&gt;"",OR(DB973&lt;&gt;"",DB975&lt;&gt;"")),MAX($DF$2:DF973)+1,0))</f>
        <v>0</v>
      </c>
    </row>
    <row r="975" spans="102:110" x14ac:dyDescent="0.3">
      <c r="CX975" s="48">
        <f t="shared" ca="1" si="1163"/>
        <v>75</v>
      </c>
      <c r="CY975" s="48" t="str">
        <f t="shared" ca="1" si="1162"/>
        <v>MASTRO</v>
      </c>
      <c r="CZ975" s="48" t="e">
        <f t="shared" ca="1" si="1165"/>
        <v>#N/A</v>
      </c>
      <c r="DA975" s="48" t="str">
        <f t="shared" ca="1" si="1169"/>
        <v/>
      </c>
      <c r="DB975" s="48" t="str">
        <f t="shared" ca="1" si="1138"/>
        <v/>
      </c>
      <c r="DC975" s="48" t="str">
        <f t="shared" ca="1" si="1166"/>
        <v/>
      </c>
      <c r="DD975" s="48" t="str">
        <f t="shared" ca="1" si="1167"/>
        <v/>
      </c>
      <c r="DE975" s="48" t="str">
        <f t="shared" ca="1" si="1168"/>
        <v/>
      </c>
      <c r="DF975" s="48">
        <f ca="1">IF(AND(CX975=$DF$1,CX975&lt;&gt;""),0,IF(AND(DB975&lt;&gt;"",OR(DB974&lt;&gt;"",DB976&lt;&gt;"")),MAX($DF$2:DF974)+1,0))</f>
        <v>0</v>
      </c>
    </row>
    <row r="976" spans="102:110" x14ac:dyDescent="0.3">
      <c r="CX976" s="48">
        <f t="shared" ca="1" si="1163"/>
        <v>75</v>
      </c>
      <c r="CY976" s="48" t="str">
        <f t="shared" ca="1" si="1162"/>
        <v>MASTRO</v>
      </c>
      <c r="CZ976" s="48" t="e">
        <f t="shared" ca="1" si="1165"/>
        <v>#N/A</v>
      </c>
      <c r="DA976" s="48" t="str">
        <f t="shared" ca="1" si="1169"/>
        <v/>
      </c>
      <c r="DB976" s="48" t="str">
        <f t="shared" ca="1" si="1138"/>
        <v/>
      </c>
      <c r="DC976" s="48" t="str">
        <f t="shared" ca="1" si="1166"/>
        <v/>
      </c>
      <c r="DD976" s="48" t="str">
        <f t="shared" ca="1" si="1167"/>
        <v/>
      </c>
      <c r="DE976" s="48" t="str">
        <f t="shared" ca="1" si="1168"/>
        <v/>
      </c>
      <c r="DF976" s="48">
        <f ca="1">IF(AND(CX976=$DF$1,CX976&lt;&gt;""),0,IF(AND(DB976&lt;&gt;"",OR(DB975&lt;&gt;"",DB977&lt;&gt;"")),MAX($DF$2:DF975)+1,0))</f>
        <v>0</v>
      </c>
    </row>
    <row r="977" spans="102:110" x14ac:dyDescent="0.3">
      <c r="CY977" s="48" t="s">
        <v>500</v>
      </c>
      <c r="DB977" s="48" t="str">
        <f t="shared" ref="DB977" ca="1" si="1170">IF(CX976=$DF$1,"","MASTRO")</f>
        <v>MASTRO</v>
      </c>
      <c r="DF977" s="48">
        <f ca="1">IF(AND(CX977=$DF$1,CX977&lt;&gt;""),0,IF(AND(DB977&lt;&gt;"",OR(DB976&lt;&gt;"",DB978&lt;&gt;"")),MAX($DF$2:DF976)+1,0))</f>
        <v>0</v>
      </c>
    </row>
    <row r="978" spans="102:110" x14ac:dyDescent="0.3">
      <c r="CX978" s="48">
        <f ca="1">$FF$78</f>
        <v>76</v>
      </c>
      <c r="CY978" s="48" t="str">
        <f t="shared" ref="CY978:CY989" ca="1" si="1171">IF(ISERROR(INDEX($CV$3:$CX$1302,MATCH(CX978,$CW$3:$CW$1302,0),1)),"MASTRO",INDEX($CV$3:$CX$1302,MATCH(CX978,$CW$3:$CW$1302,0),1))</f>
        <v>MASTRO</v>
      </c>
      <c r="DA978" s="48" t="str">
        <f>IF(CY977="MASTRO","Conto n.","")</f>
        <v>Conto n.</v>
      </c>
      <c r="DB978" s="48" t="str">
        <f ca="1">IF(CY978=0,"",INDEX(PDC,MATCH(DC978,DEN_PDC,0),1))</f>
        <v/>
      </c>
      <c r="DC978" s="48" t="str">
        <f ca="1">IF(OR(CY978=0,CY978="mastro"),"",CY978)</f>
        <v/>
      </c>
      <c r="DD978" s="48" t="str">
        <f ca="1">IF(AND($DA$2=TRUE,OR(INDEX(PDC,MATCH($DC978,DEN_PDC,0),4)="A",INDEX(PDC,MATCH($DC978,DEN_PDC,0),4)="D/A"),SUMIFS(AVERE,DEN_G,"="&amp;$DC978,DATA,"&lt;="&amp;FINE_AC,DATA,"&gt;="&amp;INIZIO_AC)&gt;SUMIFS(DARE,DEN_G,"="&amp;$DC978,DATA,"&lt;="&amp;FINE_AC,DATA,"&gt;="&amp;INIZIO_AC)),CONCATENATE("s ",FIXED(ABS(SUMIFS(AVERE,DEN_G,"="&amp;$DC978,DATA,"&lt;="&amp;FINE_AC,DATA,"&gt;="&amp;INIZIO_AC)-SUMIFS(DARE,DEN_G,"="&amp;$DC978,DATA,"&lt;="&amp;FINE_AC,DATA,"&gt;="&amp;INIZIO_AC)),2)),"")</f>
        <v/>
      </c>
      <c r="DE978" s="48" t="str">
        <f ca="1">IF(AND($DA$2=TRUE,OR(INDEX(PDC,MATCH($DC978,DEN_PDC,0),4)="D",INDEX(PDC,MATCH($DC978,DEN_PDC,0),4)="D/A"),SUMIFS(DARE,DEN_G,"="&amp;$DC978,DATA,"&lt;="&amp;FINE_AC,DATA,"&gt;="&amp;INIZIO_AC)&gt;SUMIFS(AVERE,DEN_G,"="&amp;$DC978,DATA,"&lt;="&amp;FINE_AC,DATA,"&gt;="&amp;INIZIO_AC)),CONCATENATE("s ",FIXED(ABS(SUMIFS(DARE,DEN_G,"="&amp;$DC978,DATA,"&lt;="&amp;FINE_AC,DATA,"&gt;="&amp;INIZIO_AC)-SUMIFS(AVERE,DEN_G,"="&amp;$DC978,DATA,"&lt;="&amp;FINE_AC,DATA,"&gt;="&amp;INIZIO_AC)),2)),"")</f>
        <v/>
      </c>
      <c r="DF978" s="48">
        <f ca="1">IF(AND(CX978=$DF$1,CX978&lt;&gt;""),0,IF(AND(DB978&lt;&gt;"",OR(DB977&lt;&gt;"",DB979&lt;&gt;"")),MAX($DF$2:DF977)+1,0))</f>
        <v>0</v>
      </c>
    </row>
    <row r="979" spans="102:110" x14ac:dyDescent="0.3">
      <c r="CX979" s="48">
        <f t="shared" ref="CX979:CX989" ca="1" si="1172">$FF$78</f>
        <v>76</v>
      </c>
      <c r="CY979" s="48" t="str">
        <f t="shared" ca="1" si="1171"/>
        <v>MASTRO</v>
      </c>
      <c r="DA979" s="48" t="str">
        <f ca="1">IF(DB978="","","Num. riga")</f>
        <v/>
      </c>
      <c r="DB979" s="48" t="str">
        <f t="shared" ref="DB979" ca="1" si="1173">IF(DB978="","","Data")</f>
        <v/>
      </c>
      <c r="DC979" s="48" t="str">
        <f ca="1">IF(DB978="","","Operazioni")</f>
        <v/>
      </c>
      <c r="DD979" s="48" t="str">
        <f ca="1">IF(DB978="","","Dare        ")</f>
        <v/>
      </c>
      <c r="DE979" s="48" t="str">
        <f ca="1">IF(DB978="","","Avere        ")</f>
        <v/>
      </c>
      <c r="DF979" s="48">
        <f ca="1">IF(AND(CX979=$DF$1,CX979&lt;&gt;""),0,IF(AND(DB979&lt;&gt;"",OR(DB978&lt;&gt;"",DB980&lt;&gt;"")),MAX($DF$2:DF978)+1,0))</f>
        <v>0</v>
      </c>
    </row>
    <row r="980" spans="102:110" x14ac:dyDescent="0.3">
      <c r="CX980" s="48">
        <f t="shared" ca="1" si="1172"/>
        <v>76</v>
      </c>
      <c r="CY980" s="48" t="str">
        <f t="shared" ca="1" si="1171"/>
        <v>MASTRO</v>
      </c>
      <c r="CZ980" s="48" t="e">
        <f t="shared" ref="CZ980:CZ989" ca="1" si="1174">SUM(MATCH($CY980,INDIRECT(ADDRESS(SUM(CZ979)+3,54)&amp;":"&amp;ADDRESS(400,54)),0),CZ979)</f>
        <v>#N/A</v>
      </c>
      <c r="DA980" s="48" t="str">
        <f ca="1">IFERROR(INDEX(LIBRO_GIORNALE,CZ980,1),"")</f>
        <v/>
      </c>
      <c r="DB980" s="48" t="str">
        <f t="shared" ca="1" si="1138"/>
        <v/>
      </c>
      <c r="DC980" s="48" t="str">
        <f t="shared" ref="DC980:DC989" ca="1" si="1175">IF(IFERROR(INDEX(LIBRO_GIORNALE,CZ980,4),"")=0,"manca la descrizione dell'operazione",IFERROR(INDEX(LIBRO_GIORNALE,CZ980,4),""))</f>
        <v/>
      </c>
      <c r="DD980" s="48" t="str">
        <f t="shared" ref="DD980:DD989" ca="1" si="1176">IFERROR(IF(INDEX(LIBRO_GIORNALE,CZ980,5)&gt;0,INDEX(LIBRO_GIORNALE,CZ980,5),""),"")</f>
        <v/>
      </c>
      <c r="DE980" s="48" t="str">
        <f t="shared" ref="DE980:DE989" ca="1" si="1177">IFERROR(IF(INDEX(LIBRO_GIORNALE,CZ980,6)&gt;0,INDEX(LIBRO_GIORNALE,CZ980,6),""),"")</f>
        <v/>
      </c>
      <c r="DF980" s="48">
        <f ca="1">IF(AND(CX980=$DF$1,CX980&lt;&gt;""),0,IF(AND(DB980&lt;&gt;"",OR(DB979&lt;&gt;"",DB981&lt;&gt;"")),MAX($DF$2:DF979)+1,0))</f>
        <v>0</v>
      </c>
    </row>
    <row r="981" spans="102:110" x14ac:dyDescent="0.3">
      <c r="CX981" s="48">
        <f t="shared" ca="1" si="1172"/>
        <v>76</v>
      </c>
      <c r="CY981" s="48" t="str">
        <f t="shared" ca="1" si="1171"/>
        <v>MASTRO</v>
      </c>
      <c r="CZ981" s="48" t="e">
        <f t="shared" ca="1" si="1174"/>
        <v>#N/A</v>
      </c>
      <c r="DA981" s="48" t="str">
        <f t="shared" ref="DA981:DA989" ca="1" si="1178">IFERROR(INDEX(LIBRO_GIORNALE,CZ981,1),"")</f>
        <v/>
      </c>
      <c r="DB981" s="48" t="str">
        <f t="shared" ca="1" si="1138"/>
        <v/>
      </c>
      <c r="DC981" s="48" t="str">
        <f t="shared" ca="1" si="1175"/>
        <v/>
      </c>
      <c r="DD981" s="48" t="str">
        <f t="shared" ca="1" si="1176"/>
        <v/>
      </c>
      <c r="DE981" s="48" t="str">
        <f t="shared" ca="1" si="1177"/>
        <v/>
      </c>
      <c r="DF981" s="48">
        <f ca="1">IF(AND(CX981=$DF$1,CX981&lt;&gt;""),0,IF(AND(DB981&lt;&gt;"",OR(DB980&lt;&gt;"",DB982&lt;&gt;"")),MAX($DF$2:DF980)+1,0))</f>
        <v>0</v>
      </c>
    </row>
    <row r="982" spans="102:110" x14ac:dyDescent="0.3">
      <c r="CX982" s="48">
        <f t="shared" ca="1" si="1172"/>
        <v>76</v>
      </c>
      <c r="CY982" s="48" t="str">
        <f t="shared" ca="1" si="1171"/>
        <v>MASTRO</v>
      </c>
      <c r="CZ982" s="48" t="e">
        <f t="shared" ca="1" si="1174"/>
        <v>#N/A</v>
      </c>
      <c r="DA982" s="48" t="str">
        <f t="shared" ca="1" si="1178"/>
        <v/>
      </c>
      <c r="DB982" s="48" t="str">
        <f t="shared" ca="1" si="1138"/>
        <v/>
      </c>
      <c r="DC982" s="48" t="str">
        <f t="shared" ca="1" si="1175"/>
        <v/>
      </c>
      <c r="DD982" s="48" t="str">
        <f t="shared" ca="1" si="1176"/>
        <v/>
      </c>
      <c r="DE982" s="48" t="str">
        <f t="shared" ca="1" si="1177"/>
        <v/>
      </c>
      <c r="DF982" s="48">
        <f ca="1">IF(AND(CX982=$DF$1,CX982&lt;&gt;""),0,IF(AND(DB982&lt;&gt;"",OR(DB981&lt;&gt;"",DB983&lt;&gt;"")),MAX($DF$2:DF981)+1,0))</f>
        <v>0</v>
      </c>
    </row>
    <row r="983" spans="102:110" x14ac:dyDescent="0.3">
      <c r="CX983" s="48">
        <f t="shared" ca="1" si="1172"/>
        <v>76</v>
      </c>
      <c r="CY983" s="48" t="str">
        <f t="shared" ca="1" si="1171"/>
        <v>MASTRO</v>
      </c>
      <c r="CZ983" s="48" t="e">
        <f t="shared" ca="1" si="1174"/>
        <v>#N/A</v>
      </c>
      <c r="DA983" s="48" t="str">
        <f t="shared" ca="1" si="1178"/>
        <v/>
      </c>
      <c r="DB983" s="48" t="str">
        <f t="shared" ca="1" si="1138"/>
        <v/>
      </c>
      <c r="DC983" s="48" t="str">
        <f t="shared" ca="1" si="1175"/>
        <v/>
      </c>
      <c r="DD983" s="48" t="str">
        <f t="shared" ca="1" si="1176"/>
        <v/>
      </c>
      <c r="DE983" s="48" t="str">
        <f t="shared" ca="1" si="1177"/>
        <v/>
      </c>
      <c r="DF983" s="48">
        <f ca="1">IF(AND(CX983=$DF$1,CX983&lt;&gt;""),0,IF(AND(DB983&lt;&gt;"",OR(DB982&lt;&gt;"",DB984&lt;&gt;"")),MAX($DF$2:DF982)+1,0))</f>
        <v>0</v>
      </c>
    </row>
    <row r="984" spans="102:110" x14ac:dyDescent="0.3">
      <c r="CX984" s="48">
        <f t="shared" ca="1" si="1172"/>
        <v>76</v>
      </c>
      <c r="CY984" s="48" t="str">
        <f t="shared" ca="1" si="1171"/>
        <v>MASTRO</v>
      </c>
      <c r="CZ984" s="48" t="e">
        <f t="shared" ca="1" si="1174"/>
        <v>#N/A</v>
      </c>
      <c r="DA984" s="48" t="str">
        <f t="shared" ca="1" si="1178"/>
        <v/>
      </c>
      <c r="DB984" s="48" t="str">
        <f t="shared" ca="1" si="1138"/>
        <v/>
      </c>
      <c r="DC984" s="48" t="str">
        <f t="shared" ca="1" si="1175"/>
        <v/>
      </c>
      <c r="DD984" s="48" t="str">
        <f t="shared" ca="1" si="1176"/>
        <v/>
      </c>
      <c r="DE984" s="48" t="str">
        <f t="shared" ca="1" si="1177"/>
        <v/>
      </c>
      <c r="DF984" s="48">
        <f ca="1">IF(AND(CX984=$DF$1,CX984&lt;&gt;""),0,IF(AND(DB984&lt;&gt;"",OR(DB983&lt;&gt;"",DB985&lt;&gt;"")),MAX($DF$2:DF983)+1,0))</f>
        <v>0</v>
      </c>
    </row>
    <row r="985" spans="102:110" x14ac:dyDescent="0.3">
      <c r="CX985" s="48">
        <f t="shared" ca="1" si="1172"/>
        <v>76</v>
      </c>
      <c r="CY985" s="48" t="str">
        <f t="shared" ca="1" si="1171"/>
        <v>MASTRO</v>
      </c>
      <c r="CZ985" s="48" t="e">
        <f t="shared" ca="1" si="1174"/>
        <v>#N/A</v>
      </c>
      <c r="DA985" s="48" t="str">
        <f t="shared" ca="1" si="1178"/>
        <v/>
      </c>
      <c r="DB985" s="48" t="str">
        <f t="shared" ca="1" si="1138"/>
        <v/>
      </c>
      <c r="DC985" s="48" t="str">
        <f t="shared" ca="1" si="1175"/>
        <v/>
      </c>
      <c r="DD985" s="48" t="str">
        <f t="shared" ca="1" si="1176"/>
        <v/>
      </c>
      <c r="DE985" s="48" t="str">
        <f t="shared" ca="1" si="1177"/>
        <v/>
      </c>
      <c r="DF985" s="48">
        <f ca="1">IF(AND(CX985=$DF$1,CX985&lt;&gt;""),0,IF(AND(DB985&lt;&gt;"",OR(DB984&lt;&gt;"",DB986&lt;&gt;"")),MAX($DF$2:DF984)+1,0))</f>
        <v>0</v>
      </c>
    </row>
    <row r="986" spans="102:110" x14ac:dyDescent="0.3">
      <c r="CX986" s="48">
        <f t="shared" ca="1" si="1172"/>
        <v>76</v>
      </c>
      <c r="CY986" s="48" t="str">
        <f t="shared" ca="1" si="1171"/>
        <v>MASTRO</v>
      </c>
      <c r="CZ986" s="48" t="e">
        <f t="shared" ca="1" si="1174"/>
        <v>#N/A</v>
      </c>
      <c r="DA986" s="48" t="str">
        <f t="shared" ca="1" si="1178"/>
        <v/>
      </c>
      <c r="DB986" s="48" t="str">
        <f t="shared" ca="1" si="1138"/>
        <v/>
      </c>
      <c r="DC986" s="48" t="str">
        <f t="shared" ca="1" si="1175"/>
        <v/>
      </c>
      <c r="DD986" s="48" t="str">
        <f t="shared" ca="1" si="1176"/>
        <v/>
      </c>
      <c r="DE986" s="48" t="str">
        <f t="shared" ca="1" si="1177"/>
        <v/>
      </c>
      <c r="DF986" s="48">
        <f ca="1">IF(AND(CX986=$DF$1,CX986&lt;&gt;""),0,IF(AND(DB986&lt;&gt;"",OR(DB985&lt;&gt;"",DB987&lt;&gt;"")),MAX($DF$2:DF985)+1,0))</f>
        <v>0</v>
      </c>
    </row>
    <row r="987" spans="102:110" x14ac:dyDescent="0.3">
      <c r="CX987" s="48">
        <f t="shared" ca="1" si="1172"/>
        <v>76</v>
      </c>
      <c r="CY987" s="48" t="str">
        <f t="shared" ca="1" si="1171"/>
        <v>MASTRO</v>
      </c>
      <c r="CZ987" s="48" t="e">
        <f t="shared" ca="1" si="1174"/>
        <v>#N/A</v>
      </c>
      <c r="DA987" s="48" t="str">
        <f t="shared" ca="1" si="1178"/>
        <v/>
      </c>
      <c r="DB987" s="48" t="str">
        <f t="shared" ca="1" si="1138"/>
        <v/>
      </c>
      <c r="DC987" s="48" t="str">
        <f t="shared" ca="1" si="1175"/>
        <v/>
      </c>
      <c r="DD987" s="48" t="str">
        <f t="shared" ca="1" si="1176"/>
        <v/>
      </c>
      <c r="DE987" s="48" t="str">
        <f t="shared" ca="1" si="1177"/>
        <v/>
      </c>
      <c r="DF987" s="48">
        <f ca="1">IF(AND(CX987=$DF$1,CX987&lt;&gt;""),0,IF(AND(DB987&lt;&gt;"",OR(DB986&lt;&gt;"",DB988&lt;&gt;"")),MAX($DF$2:DF986)+1,0))</f>
        <v>0</v>
      </c>
    </row>
    <row r="988" spans="102:110" x14ac:dyDescent="0.3">
      <c r="CX988" s="48">
        <f t="shared" ca="1" si="1172"/>
        <v>76</v>
      </c>
      <c r="CY988" s="48" t="str">
        <f t="shared" ca="1" si="1171"/>
        <v>MASTRO</v>
      </c>
      <c r="CZ988" s="48" t="e">
        <f t="shared" ca="1" si="1174"/>
        <v>#N/A</v>
      </c>
      <c r="DA988" s="48" t="str">
        <f t="shared" ca="1" si="1178"/>
        <v/>
      </c>
      <c r="DB988" s="48" t="str">
        <f t="shared" ca="1" si="1138"/>
        <v/>
      </c>
      <c r="DC988" s="48" t="str">
        <f t="shared" ca="1" si="1175"/>
        <v/>
      </c>
      <c r="DD988" s="48" t="str">
        <f t="shared" ca="1" si="1176"/>
        <v/>
      </c>
      <c r="DE988" s="48" t="str">
        <f t="shared" ca="1" si="1177"/>
        <v/>
      </c>
      <c r="DF988" s="48">
        <f ca="1">IF(AND(CX988=$DF$1,CX988&lt;&gt;""),0,IF(AND(DB988&lt;&gt;"",OR(DB987&lt;&gt;"",DB989&lt;&gt;"")),MAX($DF$2:DF987)+1,0))</f>
        <v>0</v>
      </c>
    </row>
    <row r="989" spans="102:110" x14ac:dyDescent="0.3">
      <c r="CX989" s="48">
        <f t="shared" ca="1" si="1172"/>
        <v>76</v>
      </c>
      <c r="CY989" s="48" t="str">
        <f t="shared" ca="1" si="1171"/>
        <v>MASTRO</v>
      </c>
      <c r="CZ989" s="48" t="e">
        <f t="shared" ca="1" si="1174"/>
        <v>#N/A</v>
      </c>
      <c r="DA989" s="48" t="str">
        <f t="shared" ca="1" si="1178"/>
        <v/>
      </c>
      <c r="DB989" s="48" t="str">
        <f t="shared" ca="1" si="1138"/>
        <v/>
      </c>
      <c r="DC989" s="48" t="str">
        <f t="shared" ca="1" si="1175"/>
        <v/>
      </c>
      <c r="DD989" s="48" t="str">
        <f t="shared" ca="1" si="1176"/>
        <v/>
      </c>
      <c r="DE989" s="48" t="str">
        <f t="shared" ca="1" si="1177"/>
        <v/>
      </c>
      <c r="DF989" s="48">
        <f ca="1">IF(AND(CX989=$DF$1,CX989&lt;&gt;""),0,IF(AND(DB989&lt;&gt;"",OR(DB988&lt;&gt;"",DB990&lt;&gt;"")),MAX($DF$2:DF988)+1,0))</f>
        <v>0</v>
      </c>
    </row>
    <row r="990" spans="102:110" x14ac:dyDescent="0.3">
      <c r="CY990" s="48" t="s">
        <v>500</v>
      </c>
      <c r="DB990" s="48" t="str">
        <f t="shared" ref="DB990" ca="1" si="1179">IF(CX989=$DF$1,"","MASTRO")</f>
        <v>MASTRO</v>
      </c>
      <c r="DF990" s="48">
        <f ca="1">IF(AND(CX990=$DF$1,CX990&lt;&gt;""),0,IF(AND(DB990&lt;&gt;"",OR(DB989&lt;&gt;"",DB991&lt;&gt;"")),MAX($DF$2:DF989)+1,0))</f>
        <v>0</v>
      </c>
    </row>
    <row r="991" spans="102:110" x14ac:dyDescent="0.3">
      <c r="CX991" s="48">
        <f ca="1">$FF$79</f>
        <v>77</v>
      </c>
      <c r="CY991" s="48" t="str">
        <f t="shared" ref="CY991:CY1002" ca="1" si="1180">IF(ISERROR(INDEX($CV$3:$CX$1302,MATCH(CX991,$CW$3:$CW$1302,0),1)),"MASTRO",INDEX($CV$3:$CX$1302,MATCH(CX991,$CW$3:$CW$1302,0),1))</f>
        <v>MASTRO</v>
      </c>
      <c r="DA991" s="48" t="str">
        <f>IF(CY990="MASTRO","Conto n.","")</f>
        <v>Conto n.</v>
      </c>
      <c r="DB991" s="48" t="str">
        <f ca="1">IF(CY991=0,"",INDEX(PDC,MATCH(DC991,DEN_PDC,0),1))</f>
        <v/>
      </c>
      <c r="DC991" s="48" t="str">
        <f ca="1">IF(OR(CY991=0,CY991="mastro"),"",CY991)</f>
        <v/>
      </c>
      <c r="DD991" s="48" t="str">
        <f ca="1">IF(AND($DA$2=TRUE,OR(INDEX(PDC,MATCH($DC991,DEN_PDC,0),4)="A",INDEX(PDC,MATCH($DC991,DEN_PDC,0),4)="D/A"),SUMIFS(AVERE,DEN_G,"="&amp;$DC991,DATA,"&lt;="&amp;FINE_AC,DATA,"&gt;="&amp;INIZIO_AC)&gt;SUMIFS(DARE,DEN_G,"="&amp;$DC991,DATA,"&lt;="&amp;FINE_AC,DATA,"&gt;="&amp;INIZIO_AC)),CONCATENATE("s ",FIXED(ABS(SUMIFS(AVERE,DEN_G,"="&amp;$DC991,DATA,"&lt;="&amp;FINE_AC,DATA,"&gt;="&amp;INIZIO_AC)-SUMIFS(DARE,DEN_G,"="&amp;$DC991,DATA,"&lt;="&amp;FINE_AC,DATA,"&gt;="&amp;INIZIO_AC)),2)),"")</f>
        <v/>
      </c>
      <c r="DE991" s="48" t="str">
        <f ca="1">IF(AND($DA$2=TRUE,OR(INDEX(PDC,MATCH($DC991,DEN_PDC,0),4)="D",INDEX(PDC,MATCH($DC991,DEN_PDC,0),4)="D/A"),SUMIFS(DARE,DEN_G,"="&amp;$DC991,DATA,"&lt;="&amp;FINE_AC,DATA,"&gt;="&amp;INIZIO_AC)&gt;SUMIFS(AVERE,DEN_G,"="&amp;$DC991,DATA,"&lt;="&amp;FINE_AC,DATA,"&gt;="&amp;INIZIO_AC)),CONCATENATE("s ",FIXED(ABS(SUMIFS(DARE,DEN_G,"="&amp;$DC991,DATA,"&lt;="&amp;FINE_AC,DATA,"&gt;="&amp;INIZIO_AC)-SUMIFS(AVERE,DEN_G,"="&amp;$DC991,DATA,"&lt;="&amp;FINE_AC,DATA,"&gt;="&amp;INIZIO_AC)),2)),"")</f>
        <v/>
      </c>
      <c r="DF991" s="48">
        <f ca="1">IF(AND(CX991=$DF$1,CX991&lt;&gt;""),0,IF(AND(DB991&lt;&gt;"",OR(DB990&lt;&gt;"",DB992&lt;&gt;"")),MAX($DF$2:DF990)+1,0))</f>
        <v>0</v>
      </c>
    </row>
    <row r="992" spans="102:110" x14ac:dyDescent="0.3">
      <c r="CX992" s="48">
        <f t="shared" ref="CX992:CX1002" ca="1" si="1181">$FF$79</f>
        <v>77</v>
      </c>
      <c r="CY992" s="48" t="str">
        <f t="shared" ca="1" si="1180"/>
        <v>MASTRO</v>
      </c>
      <c r="DA992" s="48" t="str">
        <f ca="1">IF(DB991="","","Num. riga")</f>
        <v/>
      </c>
      <c r="DB992" s="48" t="str">
        <f t="shared" ref="DB992" ca="1" si="1182">IF(DB991="","","Data")</f>
        <v/>
      </c>
      <c r="DC992" s="48" t="str">
        <f ca="1">IF(DB991="","","Operazioni")</f>
        <v/>
      </c>
      <c r="DD992" s="48" t="str">
        <f ca="1">IF(DB991="","","Dare        ")</f>
        <v/>
      </c>
      <c r="DE992" s="48" t="str">
        <f ca="1">IF(DB991="","","Avere        ")</f>
        <v/>
      </c>
      <c r="DF992" s="48">
        <f ca="1">IF(AND(CX992=$DF$1,CX992&lt;&gt;""),0,IF(AND(DB992&lt;&gt;"",OR(DB991&lt;&gt;"",DB993&lt;&gt;"")),MAX($DF$2:DF991)+1,0))</f>
        <v>0</v>
      </c>
    </row>
    <row r="993" spans="102:110" x14ac:dyDescent="0.3">
      <c r="CX993" s="48">
        <f t="shared" ca="1" si="1181"/>
        <v>77</v>
      </c>
      <c r="CY993" s="48" t="str">
        <f t="shared" ca="1" si="1180"/>
        <v>MASTRO</v>
      </c>
      <c r="CZ993" s="48" t="e">
        <f t="shared" ref="CZ993:CZ1002" ca="1" si="1183">SUM(MATCH($CY993,INDIRECT(ADDRESS(SUM(CZ992)+3,54)&amp;":"&amp;ADDRESS(400,54)),0),CZ992)</f>
        <v>#N/A</v>
      </c>
      <c r="DA993" s="48" t="str">
        <f ca="1">IFERROR(INDEX(LIBRO_GIORNALE,CZ993,1),"")</f>
        <v/>
      </c>
      <c r="DB993" s="48" t="str">
        <f t="shared" ref="DB993:DB1054" ca="1" si="1184">IF(RIGHT(TEXT(IFERROR(INDEX(LIBRO_GIORNALE,CZ993,2),""),"gg/mm/aa"),1)="a",TEXT(IFERROR(INDEX(LIBRO_GIORNALE,CZ993,2),""),"dd/mm/yy"),TEXT(IFERROR(INDEX(LIBRO_GIORNALE,CZ993,2),""),"gg/mm/aa"))</f>
        <v/>
      </c>
      <c r="DC993" s="48" t="str">
        <f t="shared" ref="DC993:DC1002" ca="1" si="1185">IF(IFERROR(INDEX(LIBRO_GIORNALE,CZ993,4),"")=0,"manca la descrizione dell'operazione",IFERROR(INDEX(LIBRO_GIORNALE,CZ993,4),""))</f>
        <v/>
      </c>
      <c r="DD993" s="48" t="str">
        <f t="shared" ref="DD993:DD1002" ca="1" si="1186">IFERROR(IF(INDEX(LIBRO_GIORNALE,CZ993,5)&gt;0,INDEX(LIBRO_GIORNALE,CZ993,5),""),"")</f>
        <v/>
      </c>
      <c r="DE993" s="48" t="str">
        <f t="shared" ref="DE993:DE1002" ca="1" si="1187">IFERROR(IF(INDEX(LIBRO_GIORNALE,CZ993,6)&gt;0,INDEX(LIBRO_GIORNALE,CZ993,6),""),"")</f>
        <v/>
      </c>
      <c r="DF993" s="48">
        <f ca="1">IF(AND(CX993=$DF$1,CX993&lt;&gt;""),0,IF(AND(DB993&lt;&gt;"",OR(DB992&lt;&gt;"",DB994&lt;&gt;"")),MAX($DF$2:DF992)+1,0))</f>
        <v>0</v>
      </c>
    </row>
    <row r="994" spans="102:110" x14ac:dyDescent="0.3">
      <c r="CX994" s="48">
        <f t="shared" ca="1" si="1181"/>
        <v>77</v>
      </c>
      <c r="CY994" s="48" t="str">
        <f t="shared" ca="1" si="1180"/>
        <v>MASTRO</v>
      </c>
      <c r="CZ994" s="48" t="e">
        <f t="shared" ca="1" si="1183"/>
        <v>#N/A</v>
      </c>
      <c r="DA994" s="48" t="str">
        <f t="shared" ref="DA994:DA1002" ca="1" si="1188">IFERROR(INDEX(LIBRO_GIORNALE,CZ994,1),"")</f>
        <v/>
      </c>
      <c r="DB994" s="48" t="str">
        <f t="shared" ca="1" si="1184"/>
        <v/>
      </c>
      <c r="DC994" s="48" t="str">
        <f t="shared" ca="1" si="1185"/>
        <v/>
      </c>
      <c r="DD994" s="48" t="str">
        <f t="shared" ca="1" si="1186"/>
        <v/>
      </c>
      <c r="DE994" s="48" t="str">
        <f t="shared" ca="1" si="1187"/>
        <v/>
      </c>
      <c r="DF994" s="48">
        <f ca="1">IF(AND(CX994=$DF$1,CX994&lt;&gt;""),0,IF(AND(DB994&lt;&gt;"",OR(DB993&lt;&gt;"",DB995&lt;&gt;"")),MAX($DF$2:DF993)+1,0))</f>
        <v>0</v>
      </c>
    </row>
    <row r="995" spans="102:110" x14ac:dyDescent="0.3">
      <c r="CX995" s="48">
        <f t="shared" ca="1" si="1181"/>
        <v>77</v>
      </c>
      <c r="CY995" s="48" t="str">
        <f t="shared" ca="1" si="1180"/>
        <v>MASTRO</v>
      </c>
      <c r="CZ995" s="48" t="e">
        <f t="shared" ca="1" si="1183"/>
        <v>#N/A</v>
      </c>
      <c r="DA995" s="48" t="str">
        <f t="shared" ca="1" si="1188"/>
        <v/>
      </c>
      <c r="DB995" s="48" t="str">
        <f t="shared" ca="1" si="1184"/>
        <v/>
      </c>
      <c r="DC995" s="48" t="str">
        <f t="shared" ca="1" si="1185"/>
        <v/>
      </c>
      <c r="DD995" s="48" t="str">
        <f t="shared" ca="1" si="1186"/>
        <v/>
      </c>
      <c r="DE995" s="48" t="str">
        <f t="shared" ca="1" si="1187"/>
        <v/>
      </c>
      <c r="DF995" s="48">
        <f ca="1">IF(AND(CX995=$DF$1,CX995&lt;&gt;""),0,IF(AND(DB995&lt;&gt;"",OR(DB994&lt;&gt;"",DB996&lt;&gt;"")),MAX($DF$2:DF994)+1,0))</f>
        <v>0</v>
      </c>
    </row>
    <row r="996" spans="102:110" x14ac:dyDescent="0.3">
      <c r="CX996" s="48">
        <f t="shared" ca="1" si="1181"/>
        <v>77</v>
      </c>
      <c r="CY996" s="48" t="str">
        <f t="shared" ca="1" si="1180"/>
        <v>MASTRO</v>
      </c>
      <c r="CZ996" s="48" t="e">
        <f t="shared" ca="1" si="1183"/>
        <v>#N/A</v>
      </c>
      <c r="DA996" s="48" t="str">
        <f t="shared" ca="1" si="1188"/>
        <v/>
      </c>
      <c r="DB996" s="48" t="str">
        <f t="shared" ca="1" si="1184"/>
        <v/>
      </c>
      <c r="DC996" s="48" t="str">
        <f t="shared" ca="1" si="1185"/>
        <v/>
      </c>
      <c r="DD996" s="48" t="str">
        <f t="shared" ca="1" si="1186"/>
        <v/>
      </c>
      <c r="DE996" s="48" t="str">
        <f t="shared" ca="1" si="1187"/>
        <v/>
      </c>
      <c r="DF996" s="48">
        <f ca="1">IF(AND(CX996=$DF$1,CX996&lt;&gt;""),0,IF(AND(DB996&lt;&gt;"",OR(DB995&lt;&gt;"",DB997&lt;&gt;"")),MAX($DF$2:DF995)+1,0))</f>
        <v>0</v>
      </c>
    </row>
    <row r="997" spans="102:110" x14ac:dyDescent="0.3">
      <c r="CX997" s="48">
        <f t="shared" ca="1" si="1181"/>
        <v>77</v>
      </c>
      <c r="CY997" s="48" t="str">
        <f t="shared" ca="1" si="1180"/>
        <v>MASTRO</v>
      </c>
      <c r="CZ997" s="48" t="e">
        <f t="shared" ca="1" si="1183"/>
        <v>#N/A</v>
      </c>
      <c r="DA997" s="48" t="str">
        <f t="shared" ca="1" si="1188"/>
        <v/>
      </c>
      <c r="DB997" s="48" t="str">
        <f t="shared" ca="1" si="1184"/>
        <v/>
      </c>
      <c r="DC997" s="48" t="str">
        <f t="shared" ca="1" si="1185"/>
        <v/>
      </c>
      <c r="DD997" s="48" t="str">
        <f t="shared" ca="1" si="1186"/>
        <v/>
      </c>
      <c r="DE997" s="48" t="str">
        <f t="shared" ca="1" si="1187"/>
        <v/>
      </c>
      <c r="DF997" s="48">
        <f ca="1">IF(AND(CX997=$DF$1,CX997&lt;&gt;""),0,IF(AND(DB997&lt;&gt;"",OR(DB996&lt;&gt;"",DB998&lt;&gt;"")),MAX($DF$2:DF996)+1,0))</f>
        <v>0</v>
      </c>
    </row>
    <row r="998" spans="102:110" x14ac:dyDescent="0.3">
      <c r="CX998" s="48">
        <f t="shared" ca="1" si="1181"/>
        <v>77</v>
      </c>
      <c r="CY998" s="48" t="str">
        <f t="shared" ca="1" si="1180"/>
        <v>MASTRO</v>
      </c>
      <c r="CZ998" s="48" t="e">
        <f t="shared" ca="1" si="1183"/>
        <v>#N/A</v>
      </c>
      <c r="DA998" s="48" t="str">
        <f t="shared" ca="1" si="1188"/>
        <v/>
      </c>
      <c r="DB998" s="48" t="str">
        <f t="shared" ca="1" si="1184"/>
        <v/>
      </c>
      <c r="DC998" s="48" t="str">
        <f t="shared" ca="1" si="1185"/>
        <v/>
      </c>
      <c r="DD998" s="48" t="str">
        <f t="shared" ca="1" si="1186"/>
        <v/>
      </c>
      <c r="DE998" s="48" t="str">
        <f t="shared" ca="1" si="1187"/>
        <v/>
      </c>
      <c r="DF998" s="48">
        <f ca="1">IF(AND(CX998=$DF$1,CX998&lt;&gt;""),0,IF(AND(DB998&lt;&gt;"",OR(DB997&lt;&gt;"",DB999&lt;&gt;"")),MAX($DF$2:DF997)+1,0))</f>
        <v>0</v>
      </c>
    </row>
    <row r="999" spans="102:110" x14ac:dyDescent="0.3">
      <c r="CX999" s="48">
        <f t="shared" ca="1" si="1181"/>
        <v>77</v>
      </c>
      <c r="CY999" s="48" t="str">
        <f t="shared" ca="1" si="1180"/>
        <v>MASTRO</v>
      </c>
      <c r="CZ999" s="48" t="e">
        <f t="shared" ca="1" si="1183"/>
        <v>#N/A</v>
      </c>
      <c r="DA999" s="48" t="str">
        <f t="shared" ca="1" si="1188"/>
        <v/>
      </c>
      <c r="DB999" s="48" t="str">
        <f t="shared" ca="1" si="1184"/>
        <v/>
      </c>
      <c r="DC999" s="48" t="str">
        <f t="shared" ca="1" si="1185"/>
        <v/>
      </c>
      <c r="DD999" s="48" t="str">
        <f t="shared" ca="1" si="1186"/>
        <v/>
      </c>
      <c r="DE999" s="48" t="str">
        <f t="shared" ca="1" si="1187"/>
        <v/>
      </c>
      <c r="DF999" s="48">
        <f ca="1">IF(AND(CX999=$DF$1,CX999&lt;&gt;""),0,IF(AND(DB999&lt;&gt;"",OR(DB998&lt;&gt;"",DB1000&lt;&gt;"")),MAX($DF$2:DF998)+1,0))</f>
        <v>0</v>
      </c>
    </row>
    <row r="1000" spans="102:110" x14ac:dyDescent="0.3">
      <c r="CX1000" s="48">
        <f t="shared" ca="1" si="1181"/>
        <v>77</v>
      </c>
      <c r="CY1000" s="48" t="str">
        <f t="shared" ca="1" si="1180"/>
        <v>MASTRO</v>
      </c>
      <c r="CZ1000" s="48" t="e">
        <f t="shared" ca="1" si="1183"/>
        <v>#N/A</v>
      </c>
      <c r="DA1000" s="48" t="str">
        <f t="shared" ca="1" si="1188"/>
        <v/>
      </c>
      <c r="DB1000" s="48" t="str">
        <f t="shared" ca="1" si="1184"/>
        <v/>
      </c>
      <c r="DC1000" s="48" t="str">
        <f t="shared" ca="1" si="1185"/>
        <v/>
      </c>
      <c r="DD1000" s="48" t="str">
        <f t="shared" ca="1" si="1186"/>
        <v/>
      </c>
      <c r="DE1000" s="48" t="str">
        <f t="shared" ca="1" si="1187"/>
        <v/>
      </c>
      <c r="DF1000" s="48">
        <f ca="1">IF(AND(CX1000=$DF$1,CX1000&lt;&gt;""),0,IF(AND(DB1000&lt;&gt;"",OR(DB999&lt;&gt;"",DB1001&lt;&gt;"")),MAX($DF$2:DF999)+1,0))</f>
        <v>0</v>
      </c>
    </row>
    <row r="1001" spans="102:110" x14ac:dyDescent="0.3">
      <c r="CX1001" s="48">
        <f t="shared" ca="1" si="1181"/>
        <v>77</v>
      </c>
      <c r="CY1001" s="48" t="str">
        <f t="shared" ca="1" si="1180"/>
        <v>MASTRO</v>
      </c>
      <c r="CZ1001" s="48" t="e">
        <f t="shared" ca="1" si="1183"/>
        <v>#N/A</v>
      </c>
      <c r="DA1001" s="48" t="str">
        <f t="shared" ca="1" si="1188"/>
        <v/>
      </c>
      <c r="DB1001" s="48" t="str">
        <f t="shared" ca="1" si="1184"/>
        <v/>
      </c>
      <c r="DC1001" s="48" t="str">
        <f t="shared" ca="1" si="1185"/>
        <v/>
      </c>
      <c r="DD1001" s="48" t="str">
        <f t="shared" ca="1" si="1186"/>
        <v/>
      </c>
      <c r="DE1001" s="48" t="str">
        <f t="shared" ca="1" si="1187"/>
        <v/>
      </c>
      <c r="DF1001" s="48">
        <f ca="1">IF(AND(CX1001=$DF$1,CX1001&lt;&gt;""),0,IF(AND(DB1001&lt;&gt;"",OR(DB1000&lt;&gt;"",DB1002&lt;&gt;"")),MAX($DF$2:DF1000)+1,0))</f>
        <v>0</v>
      </c>
    </row>
    <row r="1002" spans="102:110" x14ac:dyDescent="0.3">
      <c r="CX1002" s="48">
        <f t="shared" ca="1" si="1181"/>
        <v>77</v>
      </c>
      <c r="CY1002" s="48" t="str">
        <f t="shared" ca="1" si="1180"/>
        <v>MASTRO</v>
      </c>
      <c r="CZ1002" s="48" t="e">
        <f t="shared" ca="1" si="1183"/>
        <v>#N/A</v>
      </c>
      <c r="DA1002" s="48" t="str">
        <f t="shared" ca="1" si="1188"/>
        <v/>
      </c>
      <c r="DB1002" s="48" t="str">
        <f t="shared" ca="1" si="1184"/>
        <v/>
      </c>
      <c r="DC1002" s="48" t="str">
        <f t="shared" ca="1" si="1185"/>
        <v/>
      </c>
      <c r="DD1002" s="48" t="str">
        <f t="shared" ca="1" si="1186"/>
        <v/>
      </c>
      <c r="DE1002" s="48" t="str">
        <f t="shared" ca="1" si="1187"/>
        <v/>
      </c>
      <c r="DF1002" s="48">
        <f ca="1">IF(AND(CX1002=$DF$1,CX1002&lt;&gt;""),0,IF(AND(DB1002&lt;&gt;"",OR(DB1001&lt;&gt;"",DB1003&lt;&gt;"")),MAX($DF$2:DF1001)+1,0))</f>
        <v>0</v>
      </c>
    </row>
    <row r="1003" spans="102:110" x14ac:dyDescent="0.3">
      <c r="CY1003" s="48" t="s">
        <v>500</v>
      </c>
      <c r="DB1003" s="48" t="str">
        <f t="shared" ref="DB1003" ca="1" si="1189">IF(CX1002=$DF$1,"","MASTRO")</f>
        <v>MASTRO</v>
      </c>
      <c r="DF1003" s="48">
        <f ca="1">IF(AND(CX1003=$DF$1,CX1003&lt;&gt;""),0,IF(AND(DB1003&lt;&gt;"",OR(DB1002&lt;&gt;"",DB1004&lt;&gt;"")),MAX($DF$2:DF1002)+1,0))</f>
        <v>0</v>
      </c>
    </row>
    <row r="1004" spans="102:110" x14ac:dyDescent="0.3">
      <c r="CX1004" s="48">
        <f ca="1">$FF$80</f>
        <v>78</v>
      </c>
      <c r="CY1004" s="48" t="str">
        <f t="shared" ref="CY1004:CY1015" ca="1" si="1190">IF(ISERROR(INDEX($CV$3:$CX$1302,MATCH(CX1004,$CW$3:$CW$1302,0),1)),"MASTRO",INDEX($CV$3:$CX$1302,MATCH(CX1004,$CW$3:$CW$1302,0),1))</f>
        <v>MASTRO</v>
      </c>
      <c r="DA1004" s="48" t="str">
        <f>IF(CY1003="MASTRO","Conto n.","")</f>
        <v>Conto n.</v>
      </c>
      <c r="DB1004" s="48" t="str">
        <f ca="1">IF(CY1004=0,"",INDEX(PDC,MATCH(DC1004,DEN_PDC,0),1))</f>
        <v/>
      </c>
      <c r="DC1004" s="48" t="str">
        <f ca="1">IF(OR(CY1004=0,CY1004="mastro"),"",CY1004)</f>
        <v/>
      </c>
      <c r="DD1004" s="48" t="str">
        <f ca="1">IF(AND($DA$2=TRUE,OR(INDEX(PDC,MATCH($DC1004,DEN_PDC,0),4)="A",INDEX(PDC,MATCH($DC1004,DEN_PDC,0),4)="D/A"),SUMIFS(AVERE,DEN_G,"="&amp;$DC1004,DATA,"&lt;="&amp;FINE_AC,DATA,"&gt;="&amp;INIZIO_AC)&gt;SUMIFS(DARE,DEN_G,"="&amp;$DC1004,DATA,"&lt;="&amp;FINE_AC,DATA,"&gt;="&amp;INIZIO_AC)),CONCATENATE("s ",FIXED(ABS(SUMIFS(AVERE,DEN_G,"="&amp;$DC1004,DATA,"&lt;="&amp;FINE_AC,DATA,"&gt;="&amp;INIZIO_AC)-SUMIFS(DARE,DEN_G,"="&amp;$DC1004,DATA,"&lt;="&amp;FINE_AC,DATA,"&gt;="&amp;INIZIO_AC)),2)),"")</f>
        <v/>
      </c>
      <c r="DE1004" s="48" t="str">
        <f ca="1">IF(AND($DA$2=TRUE,OR(INDEX(PDC,MATCH($DC1004,DEN_PDC,0),4)="D",INDEX(PDC,MATCH($DC1004,DEN_PDC,0),4)="D/A"),SUMIFS(DARE,DEN_G,"="&amp;$DC1004,DATA,"&lt;="&amp;FINE_AC,DATA,"&gt;="&amp;INIZIO_AC)&gt;SUMIFS(AVERE,DEN_G,"="&amp;$DC1004,DATA,"&lt;="&amp;FINE_AC,DATA,"&gt;="&amp;INIZIO_AC)),CONCATENATE("s ",FIXED(ABS(SUMIFS(DARE,DEN_G,"="&amp;$DC1004,DATA,"&lt;="&amp;FINE_AC,DATA,"&gt;="&amp;INIZIO_AC)-SUMIFS(AVERE,DEN_G,"="&amp;$DC1004,DATA,"&lt;="&amp;FINE_AC,DATA,"&gt;="&amp;INIZIO_AC)),2)),"")</f>
        <v/>
      </c>
      <c r="DF1004" s="48">
        <f ca="1">IF(AND(CX1004=$DF$1,CX1004&lt;&gt;""),0,IF(AND(DB1004&lt;&gt;"",OR(DB1003&lt;&gt;"",DB1005&lt;&gt;"")),MAX($DF$2:DF1003)+1,0))</f>
        <v>0</v>
      </c>
    </row>
    <row r="1005" spans="102:110" x14ac:dyDescent="0.3">
      <c r="CX1005" s="48">
        <f t="shared" ref="CX1005:CX1015" ca="1" si="1191">$FF$80</f>
        <v>78</v>
      </c>
      <c r="CY1005" s="48" t="str">
        <f t="shared" ca="1" si="1190"/>
        <v>MASTRO</v>
      </c>
      <c r="DA1005" s="48" t="str">
        <f ca="1">IF(DB1004="","","Num. riga")</f>
        <v/>
      </c>
      <c r="DB1005" s="48" t="str">
        <f t="shared" ref="DB1005" ca="1" si="1192">IF(DB1004="","","Data")</f>
        <v/>
      </c>
      <c r="DC1005" s="48" t="str">
        <f ca="1">IF(DB1004="","","Operazioni")</f>
        <v/>
      </c>
      <c r="DD1005" s="48" t="str">
        <f ca="1">IF(DB1004="","","Dare        ")</f>
        <v/>
      </c>
      <c r="DE1005" s="48" t="str">
        <f ca="1">IF(DB1004="","","Avere        ")</f>
        <v/>
      </c>
      <c r="DF1005" s="48">
        <f ca="1">IF(AND(CX1005=$DF$1,CX1005&lt;&gt;""),0,IF(AND(DB1005&lt;&gt;"",OR(DB1004&lt;&gt;"",DB1006&lt;&gt;"")),MAX($DF$2:DF1004)+1,0))</f>
        <v>0</v>
      </c>
    </row>
    <row r="1006" spans="102:110" x14ac:dyDescent="0.3">
      <c r="CX1006" s="48">
        <f t="shared" ca="1" si="1191"/>
        <v>78</v>
      </c>
      <c r="CY1006" s="48" t="str">
        <f t="shared" ca="1" si="1190"/>
        <v>MASTRO</v>
      </c>
      <c r="CZ1006" s="48" t="e">
        <f t="shared" ref="CZ1006:CZ1015" ca="1" si="1193">SUM(MATCH($CY1006,INDIRECT(ADDRESS(SUM(CZ1005)+3,54)&amp;":"&amp;ADDRESS(400,54)),0),CZ1005)</f>
        <v>#N/A</v>
      </c>
      <c r="DA1006" s="48" t="str">
        <f ca="1">IFERROR(INDEX(LIBRO_GIORNALE,CZ1006,1),"")</f>
        <v/>
      </c>
      <c r="DB1006" s="48" t="str">
        <f t="shared" ca="1" si="1184"/>
        <v/>
      </c>
      <c r="DC1006" s="48" t="str">
        <f t="shared" ref="DC1006:DC1015" ca="1" si="1194">IF(IFERROR(INDEX(LIBRO_GIORNALE,CZ1006,4),"")=0,"manca la descrizione dell'operazione",IFERROR(INDEX(LIBRO_GIORNALE,CZ1006,4),""))</f>
        <v/>
      </c>
      <c r="DD1006" s="48" t="str">
        <f t="shared" ref="DD1006:DD1015" ca="1" si="1195">IFERROR(IF(INDEX(LIBRO_GIORNALE,CZ1006,5)&gt;0,INDEX(LIBRO_GIORNALE,CZ1006,5),""),"")</f>
        <v/>
      </c>
      <c r="DE1006" s="48" t="str">
        <f t="shared" ref="DE1006:DE1015" ca="1" si="1196">IFERROR(IF(INDEX(LIBRO_GIORNALE,CZ1006,6)&gt;0,INDEX(LIBRO_GIORNALE,CZ1006,6),""),"")</f>
        <v/>
      </c>
      <c r="DF1006" s="48">
        <f ca="1">IF(AND(CX1006=$DF$1,CX1006&lt;&gt;""),0,IF(AND(DB1006&lt;&gt;"",OR(DB1005&lt;&gt;"",DB1007&lt;&gt;"")),MAX($DF$2:DF1005)+1,0))</f>
        <v>0</v>
      </c>
    </row>
    <row r="1007" spans="102:110" x14ac:dyDescent="0.3">
      <c r="CX1007" s="48">
        <f t="shared" ca="1" si="1191"/>
        <v>78</v>
      </c>
      <c r="CY1007" s="48" t="str">
        <f t="shared" ca="1" si="1190"/>
        <v>MASTRO</v>
      </c>
      <c r="CZ1007" s="48" t="e">
        <f t="shared" ca="1" si="1193"/>
        <v>#N/A</v>
      </c>
      <c r="DA1007" s="48" t="str">
        <f t="shared" ref="DA1007:DA1015" ca="1" si="1197">IFERROR(INDEX(LIBRO_GIORNALE,CZ1007,1),"")</f>
        <v/>
      </c>
      <c r="DB1007" s="48" t="str">
        <f t="shared" ca="1" si="1184"/>
        <v/>
      </c>
      <c r="DC1007" s="48" t="str">
        <f t="shared" ca="1" si="1194"/>
        <v/>
      </c>
      <c r="DD1007" s="48" t="str">
        <f t="shared" ca="1" si="1195"/>
        <v/>
      </c>
      <c r="DE1007" s="48" t="str">
        <f t="shared" ca="1" si="1196"/>
        <v/>
      </c>
      <c r="DF1007" s="48">
        <f ca="1">IF(AND(CX1007=$DF$1,CX1007&lt;&gt;""),0,IF(AND(DB1007&lt;&gt;"",OR(DB1006&lt;&gt;"",DB1008&lt;&gt;"")),MAX($DF$2:DF1006)+1,0))</f>
        <v>0</v>
      </c>
    </row>
    <row r="1008" spans="102:110" x14ac:dyDescent="0.3">
      <c r="CX1008" s="48">
        <f t="shared" ca="1" si="1191"/>
        <v>78</v>
      </c>
      <c r="CY1008" s="48" t="str">
        <f t="shared" ca="1" si="1190"/>
        <v>MASTRO</v>
      </c>
      <c r="CZ1008" s="48" t="e">
        <f t="shared" ca="1" si="1193"/>
        <v>#N/A</v>
      </c>
      <c r="DA1008" s="48" t="str">
        <f t="shared" ca="1" si="1197"/>
        <v/>
      </c>
      <c r="DB1008" s="48" t="str">
        <f t="shared" ca="1" si="1184"/>
        <v/>
      </c>
      <c r="DC1008" s="48" t="str">
        <f t="shared" ca="1" si="1194"/>
        <v/>
      </c>
      <c r="DD1008" s="48" t="str">
        <f t="shared" ca="1" si="1195"/>
        <v/>
      </c>
      <c r="DE1008" s="48" t="str">
        <f t="shared" ca="1" si="1196"/>
        <v/>
      </c>
      <c r="DF1008" s="48">
        <f ca="1">IF(AND(CX1008=$DF$1,CX1008&lt;&gt;""),0,IF(AND(DB1008&lt;&gt;"",OR(DB1007&lt;&gt;"",DB1009&lt;&gt;"")),MAX($DF$2:DF1007)+1,0))</f>
        <v>0</v>
      </c>
    </row>
    <row r="1009" spans="102:110" x14ac:dyDescent="0.3">
      <c r="CX1009" s="48">
        <f t="shared" ca="1" si="1191"/>
        <v>78</v>
      </c>
      <c r="CY1009" s="48" t="str">
        <f t="shared" ca="1" si="1190"/>
        <v>MASTRO</v>
      </c>
      <c r="CZ1009" s="48" t="e">
        <f t="shared" ca="1" si="1193"/>
        <v>#N/A</v>
      </c>
      <c r="DA1009" s="48" t="str">
        <f t="shared" ca="1" si="1197"/>
        <v/>
      </c>
      <c r="DB1009" s="48" t="str">
        <f t="shared" ca="1" si="1184"/>
        <v/>
      </c>
      <c r="DC1009" s="48" t="str">
        <f t="shared" ca="1" si="1194"/>
        <v/>
      </c>
      <c r="DD1009" s="48" t="str">
        <f t="shared" ca="1" si="1195"/>
        <v/>
      </c>
      <c r="DE1009" s="48" t="str">
        <f t="shared" ca="1" si="1196"/>
        <v/>
      </c>
      <c r="DF1009" s="48">
        <f ca="1">IF(AND(CX1009=$DF$1,CX1009&lt;&gt;""),0,IF(AND(DB1009&lt;&gt;"",OR(DB1008&lt;&gt;"",DB1010&lt;&gt;"")),MAX($DF$2:DF1008)+1,0))</f>
        <v>0</v>
      </c>
    </row>
    <row r="1010" spans="102:110" x14ac:dyDescent="0.3">
      <c r="CX1010" s="48">
        <f t="shared" ca="1" si="1191"/>
        <v>78</v>
      </c>
      <c r="CY1010" s="48" t="str">
        <f t="shared" ca="1" si="1190"/>
        <v>MASTRO</v>
      </c>
      <c r="CZ1010" s="48" t="e">
        <f t="shared" ca="1" si="1193"/>
        <v>#N/A</v>
      </c>
      <c r="DA1010" s="48" t="str">
        <f t="shared" ca="1" si="1197"/>
        <v/>
      </c>
      <c r="DB1010" s="48" t="str">
        <f t="shared" ca="1" si="1184"/>
        <v/>
      </c>
      <c r="DC1010" s="48" t="str">
        <f t="shared" ca="1" si="1194"/>
        <v/>
      </c>
      <c r="DD1010" s="48" t="str">
        <f t="shared" ca="1" si="1195"/>
        <v/>
      </c>
      <c r="DE1010" s="48" t="str">
        <f t="shared" ca="1" si="1196"/>
        <v/>
      </c>
      <c r="DF1010" s="48">
        <f ca="1">IF(AND(CX1010=$DF$1,CX1010&lt;&gt;""),0,IF(AND(DB1010&lt;&gt;"",OR(DB1009&lt;&gt;"",DB1011&lt;&gt;"")),MAX($DF$2:DF1009)+1,0))</f>
        <v>0</v>
      </c>
    </row>
    <row r="1011" spans="102:110" x14ac:dyDescent="0.3">
      <c r="CX1011" s="48">
        <f t="shared" ca="1" si="1191"/>
        <v>78</v>
      </c>
      <c r="CY1011" s="48" t="str">
        <f t="shared" ca="1" si="1190"/>
        <v>MASTRO</v>
      </c>
      <c r="CZ1011" s="48" t="e">
        <f t="shared" ca="1" si="1193"/>
        <v>#N/A</v>
      </c>
      <c r="DA1011" s="48" t="str">
        <f t="shared" ca="1" si="1197"/>
        <v/>
      </c>
      <c r="DB1011" s="48" t="str">
        <f t="shared" ca="1" si="1184"/>
        <v/>
      </c>
      <c r="DC1011" s="48" t="str">
        <f t="shared" ca="1" si="1194"/>
        <v/>
      </c>
      <c r="DD1011" s="48" t="str">
        <f t="shared" ca="1" si="1195"/>
        <v/>
      </c>
      <c r="DE1011" s="48" t="str">
        <f t="shared" ca="1" si="1196"/>
        <v/>
      </c>
      <c r="DF1011" s="48">
        <f ca="1">IF(AND(CX1011=$DF$1,CX1011&lt;&gt;""),0,IF(AND(DB1011&lt;&gt;"",OR(DB1010&lt;&gt;"",DB1012&lt;&gt;"")),MAX($DF$2:DF1010)+1,0))</f>
        <v>0</v>
      </c>
    </row>
    <row r="1012" spans="102:110" x14ac:dyDescent="0.3">
      <c r="CX1012" s="48">
        <f t="shared" ca="1" si="1191"/>
        <v>78</v>
      </c>
      <c r="CY1012" s="48" t="str">
        <f t="shared" ca="1" si="1190"/>
        <v>MASTRO</v>
      </c>
      <c r="CZ1012" s="48" t="e">
        <f t="shared" ca="1" si="1193"/>
        <v>#N/A</v>
      </c>
      <c r="DA1012" s="48" t="str">
        <f t="shared" ca="1" si="1197"/>
        <v/>
      </c>
      <c r="DB1012" s="48" t="str">
        <f t="shared" ca="1" si="1184"/>
        <v/>
      </c>
      <c r="DC1012" s="48" t="str">
        <f t="shared" ca="1" si="1194"/>
        <v/>
      </c>
      <c r="DD1012" s="48" t="str">
        <f t="shared" ca="1" si="1195"/>
        <v/>
      </c>
      <c r="DE1012" s="48" t="str">
        <f t="shared" ca="1" si="1196"/>
        <v/>
      </c>
      <c r="DF1012" s="48">
        <f ca="1">IF(AND(CX1012=$DF$1,CX1012&lt;&gt;""),0,IF(AND(DB1012&lt;&gt;"",OR(DB1011&lt;&gt;"",DB1013&lt;&gt;"")),MAX($DF$2:DF1011)+1,0))</f>
        <v>0</v>
      </c>
    </row>
    <row r="1013" spans="102:110" x14ac:dyDescent="0.3">
      <c r="CX1013" s="48">
        <f t="shared" ca="1" si="1191"/>
        <v>78</v>
      </c>
      <c r="CY1013" s="48" t="str">
        <f t="shared" ca="1" si="1190"/>
        <v>MASTRO</v>
      </c>
      <c r="CZ1013" s="48" t="e">
        <f t="shared" ca="1" si="1193"/>
        <v>#N/A</v>
      </c>
      <c r="DA1013" s="48" t="str">
        <f t="shared" ca="1" si="1197"/>
        <v/>
      </c>
      <c r="DB1013" s="48" t="str">
        <f t="shared" ca="1" si="1184"/>
        <v/>
      </c>
      <c r="DC1013" s="48" t="str">
        <f t="shared" ca="1" si="1194"/>
        <v/>
      </c>
      <c r="DD1013" s="48" t="str">
        <f t="shared" ca="1" si="1195"/>
        <v/>
      </c>
      <c r="DE1013" s="48" t="str">
        <f t="shared" ca="1" si="1196"/>
        <v/>
      </c>
      <c r="DF1013" s="48">
        <f ca="1">IF(AND(CX1013=$DF$1,CX1013&lt;&gt;""),0,IF(AND(DB1013&lt;&gt;"",OR(DB1012&lt;&gt;"",DB1014&lt;&gt;"")),MAX($DF$2:DF1012)+1,0))</f>
        <v>0</v>
      </c>
    </row>
    <row r="1014" spans="102:110" x14ac:dyDescent="0.3">
      <c r="CX1014" s="48">
        <f t="shared" ca="1" si="1191"/>
        <v>78</v>
      </c>
      <c r="CY1014" s="48" t="str">
        <f t="shared" ca="1" si="1190"/>
        <v>MASTRO</v>
      </c>
      <c r="CZ1014" s="48" t="e">
        <f t="shared" ca="1" si="1193"/>
        <v>#N/A</v>
      </c>
      <c r="DA1014" s="48" t="str">
        <f t="shared" ca="1" si="1197"/>
        <v/>
      </c>
      <c r="DB1014" s="48" t="str">
        <f t="shared" ca="1" si="1184"/>
        <v/>
      </c>
      <c r="DC1014" s="48" t="str">
        <f t="shared" ca="1" si="1194"/>
        <v/>
      </c>
      <c r="DD1014" s="48" t="str">
        <f t="shared" ca="1" si="1195"/>
        <v/>
      </c>
      <c r="DE1014" s="48" t="str">
        <f t="shared" ca="1" si="1196"/>
        <v/>
      </c>
      <c r="DF1014" s="48">
        <f ca="1">IF(AND(CX1014=$DF$1,CX1014&lt;&gt;""),0,IF(AND(DB1014&lt;&gt;"",OR(DB1013&lt;&gt;"",DB1015&lt;&gt;"")),MAX($DF$2:DF1013)+1,0))</f>
        <v>0</v>
      </c>
    </row>
    <row r="1015" spans="102:110" x14ac:dyDescent="0.3">
      <c r="CX1015" s="48">
        <f t="shared" ca="1" si="1191"/>
        <v>78</v>
      </c>
      <c r="CY1015" s="48" t="str">
        <f t="shared" ca="1" si="1190"/>
        <v>MASTRO</v>
      </c>
      <c r="CZ1015" s="48" t="e">
        <f t="shared" ca="1" si="1193"/>
        <v>#N/A</v>
      </c>
      <c r="DA1015" s="48" t="str">
        <f t="shared" ca="1" si="1197"/>
        <v/>
      </c>
      <c r="DB1015" s="48" t="str">
        <f t="shared" ca="1" si="1184"/>
        <v/>
      </c>
      <c r="DC1015" s="48" t="str">
        <f t="shared" ca="1" si="1194"/>
        <v/>
      </c>
      <c r="DD1015" s="48" t="str">
        <f t="shared" ca="1" si="1195"/>
        <v/>
      </c>
      <c r="DE1015" s="48" t="str">
        <f t="shared" ca="1" si="1196"/>
        <v/>
      </c>
      <c r="DF1015" s="48">
        <f ca="1">IF(AND(CX1015=$DF$1,CX1015&lt;&gt;""),0,IF(AND(DB1015&lt;&gt;"",OR(DB1014&lt;&gt;"",DB1016&lt;&gt;"")),MAX($DF$2:DF1014)+1,0))</f>
        <v>0</v>
      </c>
    </row>
    <row r="1016" spans="102:110" x14ac:dyDescent="0.3">
      <c r="CY1016" s="48" t="s">
        <v>500</v>
      </c>
      <c r="DB1016" s="48" t="str">
        <f t="shared" ref="DB1016" ca="1" si="1198">IF(CX1015=$DF$1,"","MASTRO")</f>
        <v>MASTRO</v>
      </c>
      <c r="DF1016" s="48">
        <f ca="1">IF(AND(CX1016=$DF$1,CX1016&lt;&gt;""),0,IF(AND(DB1016&lt;&gt;"",OR(DB1015&lt;&gt;"",DB1017&lt;&gt;"")),MAX($DF$2:DF1015)+1,0))</f>
        <v>0</v>
      </c>
    </row>
    <row r="1017" spans="102:110" x14ac:dyDescent="0.3">
      <c r="CX1017" s="48">
        <f ca="1">$FF$81</f>
        <v>79</v>
      </c>
      <c r="CY1017" s="48" t="str">
        <f t="shared" ref="CY1017:CY1028" ca="1" si="1199">IF(ISERROR(INDEX($CV$3:$CX$1302,MATCH(CX1017,$CW$3:$CW$1302,0),1)),"MASTRO",INDEX($CV$3:$CX$1302,MATCH(CX1017,$CW$3:$CW$1302,0),1))</f>
        <v>MASTRO</v>
      </c>
      <c r="DA1017" s="48" t="str">
        <f>IF(CY1016="MASTRO","Conto n.","")</f>
        <v>Conto n.</v>
      </c>
      <c r="DB1017" s="48" t="str">
        <f ca="1">IF(CY1017=0,"",INDEX(PDC,MATCH(DC1017,DEN_PDC,0),1))</f>
        <v/>
      </c>
      <c r="DC1017" s="48" t="str">
        <f ca="1">IF(OR(CY1017=0,CY1017="mastro"),"",CY1017)</f>
        <v/>
      </c>
      <c r="DD1017" s="48" t="str">
        <f ca="1">IF(AND($DA$2=TRUE,OR(INDEX(PDC,MATCH($DC1017,DEN_PDC,0),4)="A",INDEX(PDC,MATCH($DC1017,DEN_PDC,0),4)="D/A"),SUMIFS(AVERE,DEN_G,"="&amp;$DC1017,DATA,"&lt;="&amp;FINE_AC,DATA,"&gt;="&amp;INIZIO_AC)&gt;SUMIFS(DARE,DEN_G,"="&amp;$DC1017,DATA,"&lt;="&amp;FINE_AC,DATA,"&gt;="&amp;INIZIO_AC)),CONCATENATE("s ",FIXED(ABS(SUMIFS(AVERE,DEN_G,"="&amp;$DC1017,DATA,"&lt;="&amp;FINE_AC,DATA,"&gt;="&amp;INIZIO_AC)-SUMIFS(DARE,DEN_G,"="&amp;$DC1017,DATA,"&lt;="&amp;FINE_AC,DATA,"&gt;="&amp;INIZIO_AC)),2)),"")</f>
        <v/>
      </c>
      <c r="DE1017" s="48" t="str">
        <f ca="1">IF(AND($DA$2=TRUE,OR(INDEX(PDC,MATCH($DC1017,DEN_PDC,0),4)="D",INDEX(PDC,MATCH($DC1017,DEN_PDC,0),4)="D/A"),SUMIFS(DARE,DEN_G,"="&amp;$DC1017,DATA,"&lt;="&amp;FINE_AC,DATA,"&gt;="&amp;INIZIO_AC)&gt;SUMIFS(AVERE,DEN_G,"="&amp;$DC1017,DATA,"&lt;="&amp;FINE_AC,DATA,"&gt;="&amp;INIZIO_AC)),CONCATENATE("s ",FIXED(ABS(SUMIFS(DARE,DEN_G,"="&amp;$DC1017,DATA,"&lt;="&amp;FINE_AC,DATA,"&gt;="&amp;INIZIO_AC)-SUMIFS(AVERE,DEN_G,"="&amp;$DC1017,DATA,"&lt;="&amp;FINE_AC,DATA,"&gt;="&amp;INIZIO_AC)),2)),"")</f>
        <v/>
      </c>
      <c r="DF1017" s="48">
        <f ca="1">IF(AND(CX1017=$DF$1,CX1017&lt;&gt;""),0,IF(AND(DB1017&lt;&gt;"",OR(DB1016&lt;&gt;"",DB1018&lt;&gt;"")),MAX($DF$2:DF1016)+1,0))</f>
        <v>0</v>
      </c>
    </row>
    <row r="1018" spans="102:110" x14ac:dyDescent="0.3">
      <c r="CX1018" s="48">
        <f t="shared" ref="CX1018:CX1028" ca="1" si="1200">$FF$81</f>
        <v>79</v>
      </c>
      <c r="CY1018" s="48" t="str">
        <f t="shared" ca="1" si="1199"/>
        <v>MASTRO</v>
      </c>
      <c r="DA1018" s="48" t="str">
        <f ca="1">IF(DB1017="","","Num. riga")</f>
        <v/>
      </c>
      <c r="DB1018" s="48" t="str">
        <f t="shared" ref="DB1018" ca="1" si="1201">IF(DB1017="","","Data")</f>
        <v/>
      </c>
      <c r="DC1018" s="48" t="str">
        <f ca="1">IF(DB1017="","","Operazioni")</f>
        <v/>
      </c>
      <c r="DD1018" s="48" t="str">
        <f ca="1">IF(DB1017="","","Dare        ")</f>
        <v/>
      </c>
      <c r="DE1018" s="48" t="str">
        <f ca="1">IF(DB1017="","","Avere        ")</f>
        <v/>
      </c>
      <c r="DF1018" s="48">
        <f ca="1">IF(AND(CX1018=$DF$1,CX1018&lt;&gt;""),0,IF(AND(DB1018&lt;&gt;"",OR(DB1017&lt;&gt;"",DB1019&lt;&gt;"")),MAX($DF$2:DF1017)+1,0))</f>
        <v>0</v>
      </c>
    </row>
    <row r="1019" spans="102:110" x14ac:dyDescent="0.3">
      <c r="CX1019" s="48">
        <f t="shared" ca="1" si="1200"/>
        <v>79</v>
      </c>
      <c r="CY1019" s="48" t="str">
        <f t="shared" ca="1" si="1199"/>
        <v>MASTRO</v>
      </c>
      <c r="CZ1019" s="48" t="e">
        <f t="shared" ref="CZ1019:CZ1028" ca="1" si="1202">SUM(MATCH($CY1019,INDIRECT(ADDRESS(SUM(CZ1018)+3,54)&amp;":"&amp;ADDRESS(400,54)),0),CZ1018)</f>
        <v>#N/A</v>
      </c>
      <c r="DA1019" s="48" t="str">
        <f ca="1">IFERROR(INDEX(LIBRO_GIORNALE,CZ1019,1),"")</f>
        <v/>
      </c>
      <c r="DB1019" s="48" t="str">
        <f t="shared" ca="1" si="1184"/>
        <v/>
      </c>
      <c r="DC1019" s="48" t="str">
        <f t="shared" ref="DC1019:DC1028" ca="1" si="1203">IF(IFERROR(INDEX(LIBRO_GIORNALE,CZ1019,4),"")=0,"manca la descrizione dell'operazione",IFERROR(INDEX(LIBRO_GIORNALE,CZ1019,4),""))</f>
        <v/>
      </c>
      <c r="DD1019" s="48" t="str">
        <f t="shared" ref="DD1019:DD1028" ca="1" si="1204">IFERROR(IF(INDEX(LIBRO_GIORNALE,CZ1019,5)&gt;0,INDEX(LIBRO_GIORNALE,CZ1019,5),""),"")</f>
        <v/>
      </c>
      <c r="DE1019" s="48" t="str">
        <f t="shared" ref="DE1019:DE1028" ca="1" si="1205">IFERROR(IF(INDEX(LIBRO_GIORNALE,CZ1019,6)&gt;0,INDEX(LIBRO_GIORNALE,CZ1019,6),""),"")</f>
        <v/>
      </c>
      <c r="DF1019" s="48">
        <f ca="1">IF(AND(CX1019=$DF$1,CX1019&lt;&gt;""),0,IF(AND(DB1019&lt;&gt;"",OR(DB1018&lt;&gt;"",DB1020&lt;&gt;"")),MAX($DF$2:DF1018)+1,0))</f>
        <v>0</v>
      </c>
    </row>
    <row r="1020" spans="102:110" x14ac:dyDescent="0.3">
      <c r="CX1020" s="48">
        <f t="shared" ca="1" si="1200"/>
        <v>79</v>
      </c>
      <c r="CY1020" s="48" t="str">
        <f t="shared" ca="1" si="1199"/>
        <v>MASTRO</v>
      </c>
      <c r="CZ1020" s="48" t="e">
        <f t="shared" ca="1" si="1202"/>
        <v>#N/A</v>
      </c>
      <c r="DA1020" s="48" t="str">
        <f t="shared" ref="DA1020:DA1028" ca="1" si="1206">IFERROR(INDEX(LIBRO_GIORNALE,CZ1020,1),"")</f>
        <v/>
      </c>
      <c r="DB1020" s="48" t="str">
        <f t="shared" ca="1" si="1184"/>
        <v/>
      </c>
      <c r="DC1020" s="48" t="str">
        <f t="shared" ca="1" si="1203"/>
        <v/>
      </c>
      <c r="DD1020" s="48" t="str">
        <f t="shared" ca="1" si="1204"/>
        <v/>
      </c>
      <c r="DE1020" s="48" t="str">
        <f t="shared" ca="1" si="1205"/>
        <v/>
      </c>
      <c r="DF1020" s="48">
        <f ca="1">IF(AND(CX1020=$DF$1,CX1020&lt;&gt;""),0,IF(AND(DB1020&lt;&gt;"",OR(DB1019&lt;&gt;"",DB1021&lt;&gt;"")),MAX($DF$2:DF1019)+1,0))</f>
        <v>0</v>
      </c>
    </row>
    <row r="1021" spans="102:110" x14ac:dyDescent="0.3">
      <c r="CX1021" s="48">
        <f t="shared" ca="1" si="1200"/>
        <v>79</v>
      </c>
      <c r="CY1021" s="48" t="str">
        <f t="shared" ca="1" si="1199"/>
        <v>MASTRO</v>
      </c>
      <c r="CZ1021" s="48" t="e">
        <f t="shared" ca="1" si="1202"/>
        <v>#N/A</v>
      </c>
      <c r="DA1021" s="48" t="str">
        <f t="shared" ca="1" si="1206"/>
        <v/>
      </c>
      <c r="DB1021" s="48" t="str">
        <f t="shared" ca="1" si="1184"/>
        <v/>
      </c>
      <c r="DC1021" s="48" t="str">
        <f t="shared" ca="1" si="1203"/>
        <v/>
      </c>
      <c r="DD1021" s="48" t="str">
        <f t="shared" ca="1" si="1204"/>
        <v/>
      </c>
      <c r="DE1021" s="48" t="str">
        <f t="shared" ca="1" si="1205"/>
        <v/>
      </c>
      <c r="DF1021" s="48">
        <f ca="1">IF(AND(CX1021=$DF$1,CX1021&lt;&gt;""),0,IF(AND(DB1021&lt;&gt;"",OR(DB1020&lt;&gt;"",DB1022&lt;&gt;"")),MAX($DF$2:DF1020)+1,0))</f>
        <v>0</v>
      </c>
    </row>
    <row r="1022" spans="102:110" x14ac:dyDescent="0.3">
      <c r="CX1022" s="48">
        <f t="shared" ca="1" si="1200"/>
        <v>79</v>
      </c>
      <c r="CY1022" s="48" t="str">
        <f t="shared" ca="1" si="1199"/>
        <v>MASTRO</v>
      </c>
      <c r="CZ1022" s="48" t="e">
        <f t="shared" ca="1" si="1202"/>
        <v>#N/A</v>
      </c>
      <c r="DA1022" s="48" t="str">
        <f t="shared" ca="1" si="1206"/>
        <v/>
      </c>
      <c r="DB1022" s="48" t="str">
        <f t="shared" ca="1" si="1184"/>
        <v/>
      </c>
      <c r="DC1022" s="48" t="str">
        <f t="shared" ca="1" si="1203"/>
        <v/>
      </c>
      <c r="DD1022" s="48" t="str">
        <f t="shared" ca="1" si="1204"/>
        <v/>
      </c>
      <c r="DE1022" s="48" t="str">
        <f t="shared" ca="1" si="1205"/>
        <v/>
      </c>
      <c r="DF1022" s="48">
        <f ca="1">IF(AND(CX1022=$DF$1,CX1022&lt;&gt;""),0,IF(AND(DB1022&lt;&gt;"",OR(DB1021&lt;&gt;"",DB1023&lt;&gt;"")),MAX($DF$2:DF1021)+1,0))</f>
        <v>0</v>
      </c>
    </row>
    <row r="1023" spans="102:110" x14ac:dyDescent="0.3">
      <c r="CX1023" s="48">
        <f t="shared" ca="1" si="1200"/>
        <v>79</v>
      </c>
      <c r="CY1023" s="48" t="str">
        <f t="shared" ca="1" si="1199"/>
        <v>MASTRO</v>
      </c>
      <c r="CZ1023" s="48" t="e">
        <f t="shared" ca="1" si="1202"/>
        <v>#N/A</v>
      </c>
      <c r="DA1023" s="48" t="str">
        <f t="shared" ca="1" si="1206"/>
        <v/>
      </c>
      <c r="DB1023" s="48" t="str">
        <f t="shared" ca="1" si="1184"/>
        <v/>
      </c>
      <c r="DC1023" s="48" t="str">
        <f t="shared" ca="1" si="1203"/>
        <v/>
      </c>
      <c r="DD1023" s="48" t="str">
        <f t="shared" ca="1" si="1204"/>
        <v/>
      </c>
      <c r="DE1023" s="48" t="str">
        <f t="shared" ca="1" si="1205"/>
        <v/>
      </c>
      <c r="DF1023" s="48">
        <f ca="1">IF(AND(CX1023=$DF$1,CX1023&lt;&gt;""),0,IF(AND(DB1023&lt;&gt;"",OR(DB1022&lt;&gt;"",DB1024&lt;&gt;"")),MAX($DF$2:DF1022)+1,0))</f>
        <v>0</v>
      </c>
    </row>
    <row r="1024" spans="102:110" x14ac:dyDescent="0.3">
      <c r="CX1024" s="48">
        <f t="shared" ca="1" si="1200"/>
        <v>79</v>
      </c>
      <c r="CY1024" s="48" t="str">
        <f t="shared" ca="1" si="1199"/>
        <v>MASTRO</v>
      </c>
      <c r="CZ1024" s="48" t="e">
        <f t="shared" ca="1" si="1202"/>
        <v>#N/A</v>
      </c>
      <c r="DA1024" s="48" t="str">
        <f t="shared" ca="1" si="1206"/>
        <v/>
      </c>
      <c r="DB1024" s="48" t="str">
        <f t="shared" ca="1" si="1184"/>
        <v/>
      </c>
      <c r="DC1024" s="48" t="str">
        <f t="shared" ca="1" si="1203"/>
        <v/>
      </c>
      <c r="DD1024" s="48" t="str">
        <f t="shared" ca="1" si="1204"/>
        <v/>
      </c>
      <c r="DE1024" s="48" t="str">
        <f t="shared" ca="1" si="1205"/>
        <v/>
      </c>
      <c r="DF1024" s="48">
        <f ca="1">IF(AND(CX1024=$DF$1,CX1024&lt;&gt;""),0,IF(AND(DB1024&lt;&gt;"",OR(DB1023&lt;&gt;"",DB1025&lt;&gt;"")),MAX($DF$2:DF1023)+1,0))</f>
        <v>0</v>
      </c>
    </row>
    <row r="1025" spans="102:110" x14ac:dyDescent="0.3">
      <c r="CX1025" s="48">
        <f t="shared" ca="1" si="1200"/>
        <v>79</v>
      </c>
      <c r="CY1025" s="48" t="str">
        <f t="shared" ca="1" si="1199"/>
        <v>MASTRO</v>
      </c>
      <c r="CZ1025" s="48" t="e">
        <f t="shared" ca="1" si="1202"/>
        <v>#N/A</v>
      </c>
      <c r="DA1025" s="48" t="str">
        <f t="shared" ca="1" si="1206"/>
        <v/>
      </c>
      <c r="DB1025" s="48" t="str">
        <f t="shared" ca="1" si="1184"/>
        <v/>
      </c>
      <c r="DC1025" s="48" t="str">
        <f t="shared" ca="1" si="1203"/>
        <v/>
      </c>
      <c r="DD1025" s="48" t="str">
        <f t="shared" ca="1" si="1204"/>
        <v/>
      </c>
      <c r="DE1025" s="48" t="str">
        <f t="shared" ca="1" si="1205"/>
        <v/>
      </c>
      <c r="DF1025" s="48">
        <f ca="1">IF(AND(CX1025=$DF$1,CX1025&lt;&gt;""),0,IF(AND(DB1025&lt;&gt;"",OR(DB1024&lt;&gt;"",DB1026&lt;&gt;"")),MAX($DF$2:DF1024)+1,0))</f>
        <v>0</v>
      </c>
    </row>
    <row r="1026" spans="102:110" x14ac:dyDescent="0.3">
      <c r="CX1026" s="48">
        <f t="shared" ca="1" si="1200"/>
        <v>79</v>
      </c>
      <c r="CY1026" s="48" t="str">
        <f t="shared" ca="1" si="1199"/>
        <v>MASTRO</v>
      </c>
      <c r="CZ1026" s="48" t="e">
        <f t="shared" ca="1" si="1202"/>
        <v>#N/A</v>
      </c>
      <c r="DA1026" s="48" t="str">
        <f t="shared" ca="1" si="1206"/>
        <v/>
      </c>
      <c r="DB1026" s="48" t="str">
        <f t="shared" ca="1" si="1184"/>
        <v/>
      </c>
      <c r="DC1026" s="48" t="str">
        <f t="shared" ca="1" si="1203"/>
        <v/>
      </c>
      <c r="DD1026" s="48" t="str">
        <f t="shared" ca="1" si="1204"/>
        <v/>
      </c>
      <c r="DE1026" s="48" t="str">
        <f t="shared" ca="1" si="1205"/>
        <v/>
      </c>
      <c r="DF1026" s="48">
        <f ca="1">IF(AND(CX1026=$DF$1,CX1026&lt;&gt;""),0,IF(AND(DB1026&lt;&gt;"",OR(DB1025&lt;&gt;"",DB1027&lt;&gt;"")),MAX($DF$2:DF1025)+1,0))</f>
        <v>0</v>
      </c>
    </row>
    <row r="1027" spans="102:110" x14ac:dyDescent="0.3">
      <c r="CX1027" s="48">
        <f t="shared" ca="1" si="1200"/>
        <v>79</v>
      </c>
      <c r="CY1027" s="48" t="str">
        <f t="shared" ca="1" si="1199"/>
        <v>MASTRO</v>
      </c>
      <c r="CZ1027" s="48" t="e">
        <f t="shared" ca="1" si="1202"/>
        <v>#N/A</v>
      </c>
      <c r="DA1027" s="48" t="str">
        <f t="shared" ca="1" si="1206"/>
        <v/>
      </c>
      <c r="DB1027" s="48" t="str">
        <f t="shared" ca="1" si="1184"/>
        <v/>
      </c>
      <c r="DC1027" s="48" t="str">
        <f t="shared" ca="1" si="1203"/>
        <v/>
      </c>
      <c r="DD1027" s="48" t="str">
        <f t="shared" ca="1" si="1204"/>
        <v/>
      </c>
      <c r="DE1027" s="48" t="str">
        <f t="shared" ca="1" si="1205"/>
        <v/>
      </c>
      <c r="DF1027" s="48">
        <f ca="1">IF(AND(CX1027=$DF$1,CX1027&lt;&gt;""),0,IF(AND(DB1027&lt;&gt;"",OR(DB1026&lt;&gt;"",DB1028&lt;&gt;"")),MAX($DF$2:DF1026)+1,0))</f>
        <v>0</v>
      </c>
    </row>
    <row r="1028" spans="102:110" x14ac:dyDescent="0.3">
      <c r="CX1028" s="48">
        <f t="shared" ca="1" si="1200"/>
        <v>79</v>
      </c>
      <c r="CY1028" s="48" t="str">
        <f t="shared" ca="1" si="1199"/>
        <v>MASTRO</v>
      </c>
      <c r="CZ1028" s="48" t="e">
        <f t="shared" ca="1" si="1202"/>
        <v>#N/A</v>
      </c>
      <c r="DA1028" s="48" t="str">
        <f t="shared" ca="1" si="1206"/>
        <v/>
      </c>
      <c r="DB1028" s="48" t="str">
        <f t="shared" ca="1" si="1184"/>
        <v/>
      </c>
      <c r="DC1028" s="48" t="str">
        <f t="shared" ca="1" si="1203"/>
        <v/>
      </c>
      <c r="DD1028" s="48" t="str">
        <f t="shared" ca="1" si="1204"/>
        <v/>
      </c>
      <c r="DE1028" s="48" t="str">
        <f t="shared" ca="1" si="1205"/>
        <v/>
      </c>
      <c r="DF1028" s="48">
        <f ca="1">IF(AND(CX1028=$DF$1,CX1028&lt;&gt;""),0,IF(AND(DB1028&lt;&gt;"",OR(DB1027&lt;&gt;"",DB1029&lt;&gt;"")),MAX($DF$2:DF1027)+1,0))</f>
        <v>0</v>
      </c>
    </row>
    <row r="1029" spans="102:110" x14ac:dyDescent="0.3">
      <c r="CY1029" s="48" t="s">
        <v>500</v>
      </c>
      <c r="DB1029" s="48" t="str">
        <f t="shared" ref="DB1029" ca="1" si="1207">IF(CX1028=$DF$1,"","MASTRO")</f>
        <v>MASTRO</v>
      </c>
      <c r="DF1029" s="48">
        <f ca="1">IF(AND(CX1029=$DF$1,CX1029&lt;&gt;""),0,IF(AND(DB1029&lt;&gt;"",OR(DB1028&lt;&gt;"",DB1030&lt;&gt;"")),MAX($DF$2:DF1028)+1,0))</f>
        <v>0</v>
      </c>
    </row>
    <row r="1030" spans="102:110" x14ac:dyDescent="0.3">
      <c r="CX1030" s="48">
        <f ca="1">$FF$82</f>
        <v>80</v>
      </c>
      <c r="CY1030" s="48" t="str">
        <f t="shared" ref="CY1030:CY1041" ca="1" si="1208">IF(ISERROR(INDEX($CV$3:$CX$1302,MATCH(CX1030,$CW$3:$CW$1302,0),1)),"MASTRO",INDEX($CV$3:$CX$1302,MATCH(CX1030,$CW$3:$CW$1302,0),1))</f>
        <v>MASTRO</v>
      </c>
      <c r="DA1030" s="48" t="str">
        <f>IF(CY1029="MASTRO","Conto n.","")</f>
        <v>Conto n.</v>
      </c>
      <c r="DB1030" s="48" t="str">
        <f ca="1">IF(CY1030=0,"",INDEX(PDC,MATCH(DC1030,DEN_PDC,0),1))</f>
        <v/>
      </c>
      <c r="DC1030" s="48" t="str">
        <f ca="1">IF(OR(CY1030=0,CY1030="mastro"),"",CY1030)</f>
        <v/>
      </c>
      <c r="DD1030" s="48" t="str">
        <f ca="1">IF(AND($DA$2=TRUE,OR(INDEX(PDC,MATCH($DC1030,DEN_PDC,0),4)="A",INDEX(PDC,MATCH($DC1030,DEN_PDC,0),4)="D/A"),SUMIFS(AVERE,DEN_G,"="&amp;$DC1030,DATA,"&lt;="&amp;FINE_AC,DATA,"&gt;="&amp;INIZIO_AC)&gt;SUMIFS(DARE,DEN_G,"="&amp;$DC1030,DATA,"&lt;="&amp;FINE_AC,DATA,"&gt;="&amp;INIZIO_AC)),CONCATENATE("s ",FIXED(ABS(SUMIFS(AVERE,DEN_G,"="&amp;$DC1030,DATA,"&lt;="&amp;FINE_AC,DATA,"&gt;="&amp;INIZIO_AC)-SUMIFS(DARE,DEN_G,"="&amp;$DC1030,DATA,"&lt;="&amp;FINE_AC,DATA,"&gt;="&amp;INIZIO_AC)),2)),"")</f>
        <v/>
      </c>
      <c r="DE1030" s="48" t="str">
        <f ca="1">IF(AND($DA$2=TRUE,OR(INDEX(PDC,MATCH($DC1030,DEN_PDC,0),4)="D",INDEX(PDC,MATCH($DC1030,DEN_PDC,0),4)="D/A"),SUMIFS(DARE,DEN_G,"="&amp;$DC1030,DATA,"&lt;="&amp;FINE_AC,DATA,"&gt;="&amp;INIZIO_AC)&gt;SUMIFS(AVERE,DEN_G,"="&amp;$DC1030,DATA,"&lt;="&amp;FINE_AC,DATA,"&gt;="&amp;INIZIO_AC)),CONCATENATE("s ",FIXED(ABS(SUMIFS(DARE,DEN_G,"="&amp;$DC1030,DATA,"&lt;="&amp;FINE_AC,DATA,"&gt;="&amp;INIZIO_AC)-SUMIFS(AVERE,DEN_G,"="&amp;$DC1030,DATA,"&lt;="&amp;FINE_AC,DATA,"&gt;="&amp;INIZIO_AC)),2)),"")</f>
        <v/>
      </c>
      <c r="DF1030" s="48">
        <f ca="1">IF(AND(CX1030=$DF$1,CX1030&lt;&gt;""),0,IF(AND(DB1030&lt;&gt;"",OR(DB1029&lt;&gt;"",DB1031&lt;&gt;"")),MAX($DF$2:DF1029)+1,0))</f>
        <v>0</v>
      </c>
    </row>
    <row r="1031" spans="102:110" x14ac:dyDescent="0.3">
      <c r="CX1031" s="48">
        <f t="shared" ref="CX1031:CX1041" ca="1" si="1209">$FF$82</f>
        <v>80</v>
      </c>
      <c r="CY1031" s="48" t="str">
        <f t="shared" ca="1" si="1208"/>
        <v>MASTRO</v>
      </c>
      <c r="DA1031" s="48" t="str">
        <f ca="1">IF(DB1030="","","Num. riga")</f>
        <v/>
      </c>
      <c r="DB1031" s="48" t="str">
        <f t="shared" ref="DB1031" ca="1" si="1210">IF(DB1030="","","Data")</f>
        <v/>
      </c>
      <c r="DC1031" s="48" t="str">
        <f ca="1">IF(DB1030="","","Operazioni")</f>
        <v/>
      </c>
      <c r="DD1031" s="48" t="str">
        <f ca="1">IF(DB1030="","","Dare        ")</f>
        <v/>
      </c>
      <c r="DE1031" s="48" t="str">
        <f ca="1">IF(DB1030="","","Avere        ")</f>
        <v/>
      </c>
      <c r="DF1031" s="48">
        <f ca="1">IF(AND(CX1031=$DF$1,CX1031&lt;&gt;""),0,IF(AND(DB1031&lt;&gt;"",OR(DB1030&lt;&gt;"",DB1032&lt;&gt;"")),MAX($DF$2:DF1030)+1,0))</f>
        <v>0</v>
      </c>
    </row>
    <row r="1032" spans="102:110" x14ac:dyDescent="0.3">
      <c r="CX1032" s="48">
        <f t="shared" ca="1" si="1209"/>
        <v>80</v>
      </c>
      <c r="CY1032" s="48" t="str">
        <f t="shared" ca="1" si="1208"/>
        <v>MASTRO</v>
      </c>
      <c r="CZ1032" s="48" t="e">
        <f t="shared" ref="CZ1032:CZ1041" ca="1" si="1211">SUM(MATCH($CY1032,INDIRECT(ADDRESS(SUM(CZ1031)+3,54)&amp;":"&amp;ADDRESS(400,54)),0),CZ1031)</f>
        <v>#N/A</v>
      </c>
      <c r="DA1032" s="48" t="str">
        <f ca="1">IFERROR(INDEX(LIBRO_GIORNALE,CZ1032,1),"")</f>
        <v/>
      </c>
      <c r="DB1032" s="48" t="str">
        <f t="shared" ca="1" si="1184"/>
        <v/>
      </c>
      <c r="DC1032" s="48" t="str">
        <f t="shared" ref="DC1032:DC1041" ca="1" si="1212">IF(IFERROR(INDEX(LIBRO_GIORNALE,CZ1032,4),"")=0,"manca la descrizione dell'operazione",IFERROR(INDEX(LIBRO_GIORNALE,CZ1032,4),""))</f>
        <v/>
      </c>
      <c r="DD1032" s="48" t="str">
        <f t="shared" ref="DD1032:DD1041" ca="1" si="1213">IFERROR(IF(INDEX(LIBRO_GIORNALE,CZ1032,5)&gt;0,INDEX(LIBRO_GIORNALE,CZ1032,5),""),"")</f>
        <v/>
      </c>
      <c r="DE1032" s="48" t="str">
        <f t="shared" ref="DE1032:DE1041" ca="1" si="1214">IFERROR(IF(INDEX(LIBRO_GIORNALE,CZ1032,6)&gt;0,INDEX(LIBRO_GIORNALE,CZ1032,6),""),"")</f>
        <v/>
      </c>
      <c r="DF1032" s="48">
        <f ca="1">IF(AND(CX1032=$DF$1,CX1032&lt;&gt;""),0,IF(AND(DB1032&lt;&gt;"",OR(DB1031&lt;&gt;"",DB1033&lt;&gt;"")),MAX($DF$2:DF1031)+1,0))</f>
        <v>0</v>
      </c>
    </row>
    <row r="1033" spans="102:110" x14ac:dyDescent="0.3">
      <c r="CX1033" s="48">
        <f t="shared" ca="1" si="1209"/>
        <v>80</v>
      </c>
      <c r="CY1033" s="48" t="str">
        <f t="shared" ca="1" si="1208"/>
        <v>MASTRO</v>
      </c>
      <c r="CZ1033" s="48" t="e">
        <f t="shared" ca="1" si="1211"/>
        <v>#N/A</v>
      </c>
      <c r="DA1033" s="48" t="str">
        <f t="shared" ref="DA1033:DA1041" ca="1" si="1215">IFERROR(INDEX(LIBRO_GIORNALE,CZ1033,1),"")</f>
        <v/>
      </c>
      <c r="DB1033" s="48" t="str">
        <f t="shared" ca="1" si="1184"/>
        <v/>
      </c>
      <c r="DC1033" s="48" t="str">
        <f t="shared" ca="1" si="1212"/>
        <v/>
      </c>
      <c r="DD1033" s="48" t="str">
        <f t="shared" ca="1" si="1213"/>
        <v/>
      </c>
      <c r="DE1033" s="48" t="str">
        <f t="shared" ca="1" si="1214"/>
        <v/>
      </c>
      <c r="DF1033" s="48">
        <f ca="1">IF(AND(CX1033=$DF$1,CX1033&lt;&gt;""),0,IF(AND(DB1033&lt;&gt;"",OR(DB1032&lt;&gt;"",DB1034&lt;&gt;"")),MAX($DF$2:DF1032)+1,0))</f>
        <v>0</v>
      </c>
    </row>
    <row r="1034" spans="102:110" x14ac:dyDescent="0.3">
      <c r="CX1034" s="48">
        <f t="shared" ca="1" si="1209"/>
        <v>80</v>
      </c>
      <c r="CY1034" s="48" t="str">
        <f t="shared" ca="1" si="1208"/>
        <v>MASTRO</v>
      </c>
      <c r="CZ1034" s="48" t="e">
        <f t="shared" ca="1" si="1211"/>
        <v>#N/A</v>
      </c>
      <c r="DA1034" s="48" t="str">
        <f t="shared" ca="1" si="1215"/>
        <v/>
      </c>
      <c r="DB1034" s="48" t="str">
        <f t="shared" ca="1" si="1184"/>
        <v/>
      </c>
      <c r="DC1034" s="48" t="str">
        <f t="shared" ca="1" si="1212"/>
        <v/>
      </c>
      <c r="DD1034" s="48" t="str">
        <f t="shared" ca="1" si="1213"/>
        <v/>
      </c>
      <c r="DE1034" s="48" t="str">
        <f t="shared" ca="1" si="1214"/>
        <v/>
      </c>
      <c r="DF1034" s="48">
        <f ca="1">IF(AND(CX1034=$DF$1,CX1034&lt;&gt;""),0,IF(AND(DB1034&lt;&gt;"",OR(DB1033&lt;&gt;"",DB1035&lt;&gt;"")),MAX($DF$2:DF1033)+1,0))</f>
        <v>0</v>
      </c>
    </row>
    <row r="1035" spans="102:110" x14ac:dyDescent="0.3">
      <c r="CX1035" s="48">
        <f t="shared" ca="1" si="1209"/>
        <v>80</v>
      </c>
      <c r="CY1035" s="48" t="str">
        <f t="shared" ca="1" si="1208"/>
        <v>MASTRO</v>
      </c>
      <c r="CZ1035" s="48" t="e">
        <f t="shared" ca="1" si="1211"/>
        <v>#N/A</v>
      </c>
      <c r="DA1035" s="48" t="str">
        <f t="shared" ca="1" si="1215"/>
        <v/>
      </c>
      <c r="DB1035" s="48" t="str">
        <f t="shared" ca="1" si="1184"/>
        <v/>
      </c>
      <c r="DC1035" s="48" t="str">
        <f t="shared" ca="1" si="1212"/>
        <v/>
      </c>
      <c r="DD1035" s="48" t="str">
        <f t="shared" ca="1" si="1213"/>
        <v/>
      </c>
      <c r="DE1035" s="48" t="str">
        <f t="shared" ca="1" si="1214"/>
        <v/>
      </c>
      <c r="DF1035" s="48">
        <f ca="1">IF(AND(CX1035=$DF$1,CX1035&lt;&gt;""),0,IF(AND(DB1035&lt;&gt;"",OR(DB1034&lt;&gt;"",DB1036&lt;&gt;"")),MAX($DF$2:DF1034)+1,0))</f>
        <v>0</v>
      </c>
    </row>
    <row r="1036" spans="102:110" x14ac:dyDescent="0.3">
      <c r="CX1036" s="48">
        <f t="shared" ca="1" si="1209"/>
        <v>80</v>
      </c>
      <c r="CY1036" s="48" t="str">
        <f t="shared" ca="1" si="1208"/>
        <v>MASTRO</v>
      </c>
      <c r="CZ1036" s="48" t="e">
        <f t="shared" ca="1" si="1211"/>
        <v>#N/A</v>
      </c>
      <c r="DA1036" s="48" t="str">
        <f t="shared" ca="1" si="1215"/>
        <v/>
      </c>
      <c r="DB1036" s="48" t="str">
        <f t="shared" ca="1" si="1184"/>
        <v/>
      </c>
      <c r="DC1036" s="48" t="str">
        <f t="shared" ca="1" si="1212"/>
        <v/>
      </c>
      <c r="DD1036" s="48" t="str">
        <f t="shared" ca="1" si="1213"/>
        <v/>
      </c>
      <c r="DE1036" s="48" t="str">
        <f t="shared" ca="1" si="1214"/>
        <v/>
      </c>
      <c r="DF1036" s="48">
        <f ca="1">IF(AND(CX1036=$DF$1,CX1036&lt;&gt;""),0,IF(AND(DB1036&lt;&gt;"",OR(DB1035&lt;&gt;"",DB1037&lt;&gt;"")),MAX($DF$2:DF1035)+1,0))</f>
        <v>0</v>
      </c>
    </row>
    <row r="1037" spans="102:110" x14ac:dyDescent="0.3">
      <c r="CX1037" s="48">
        <f t="shared" ca="1" si="1209"/>
        <v>80</v>
      </c>
      <c r="CY1037" s="48" t="str">
        <f t="shared" ca="1" si="1208"/>
        <v>MASTRO</v>
      </c>
      <c r="CZ1037" s="48" t="e">
        <f t="shared" ca="1" si="1211"/>
        <v>#N/A</v>
      </c>
      <c r="DA1037" s="48" t="str">
        <f t="shared" ca="1" si="1215"/>
        <v/>
      </c>
      <c r="DB1037" s="48" t="str">
        <f t="shared" ca="1" si="1184"/>
        <v/>
      </c>
      <c r="DC1037" s="48" t="str">
        <f t="shared" ca="1" si="1212"/>
        <v/>
      </c>
      <c r="DD1037" s="48" t="str">
        <f t="shared" ca="1" si="1213"/>
        <v/>
      </c>
      <c r="DE1037" s="48" t="str">
        <f t="shared" ca="1" si="1214"/>
        <v/>
      </c>
      <c r="DF1037" s="48">
        <f ca="1">IF(AND(CX1037=$DF$1,CX1037&lt;&gt;""),0,IF(AND(DB1037&lt;&gt;"",OR(DB1036&lt;&gt;"",DB1038&lt;&gt;"")),MAX($DF$2:DF1036)+1,0))</f>
        <v>0</v>
      </c>
    </row>
    <row r="1038" spans="102:110" x14ac:dyDescent="0.3">
      <c r="CX1038" s="48">
        <f t="shared" ca="1" si="1209"/>
        <v>80</v>
      </c>
      <c r="CY1038" s="48" t="str">
        <f t="shared" ca="1" si="1208"/>
        <v>MASTRO</v>
      </c>
      <c r="CZ1038" s="48" t="e">
        <f t="shared" ca="1" si="1211"/>
        <v>#N/A</v>
      </c>
      <c r="DA1038" s="48" t="str">
        <f t="shared" ca="1" si="1215"/>
        <v/>
      </c>
      <c r="DB1038" s="48" t="str">
        <f t="shared" ca="1" si="1184"/>
        <v/>
      </c>
      <c r="DC1038" s="48" t="str">
        <f t="shared" ca="1" si="1212"/>
        <v/>
      </c>
      <c r="DD1038" s="48" t="str">
        <f t="shared" ca="1" si="1213"/>
        <v/>
      </c>
      <c r="DE1038" s="48" t="str">
        <f t="shared" ca="1" si="1214"/>
        <v/>
      </c>
      <c r="DF1038" s="48">
        <f ca="1">IF(AND(CX1038=$DF$1,CX1038&lt;&gt;""),0,IF(AND(DB1038&lt;&gt;"",OR(DB1037&lt;&gt;"",DB1039&lt;&gt;"")),MAX($DF$2:DF1037)+1,0))</f>
        <v>0</v>
      </c>
    </row>
    <row r="1039" spans="102:110" x14ac:dyDescent="0.3">
      <c r="CX1039" s="48">
        <f t="shared" ca="1" si="1209"/>
        <v>80</v>
      </c>
      <c r="CY1039" s="48" t="str">
        <f t="shared" ca="1" si="1208"/>
        <v>MASTRO</v>
      </c>
      <c r="CZ1039" s="48" t="e">
        <f t="shared" ca="1" si="1211"/>
        <v>#N/A</v>
      </c>
      <c r="DA1039" s="48" t="str">
        <f t="shared" ca="1" si="1215"/>
        <v/>
      </c>
      <c r="DB1039" s="48" t="str">
        <f t="shared" ca="1" si="1184"/>
        <v/>
      </c>
      <c r="DC1039" s="48" t="str">
        <f t="shared" ca="1" si="1212"/>
        <v/>
      </c>
      <c r="DD1039" s="48" t="str">
        <f t="shared" ca="1" si="1213"/>
        <v/>
      </c>
      <c r="DE1039" s="48" t="str">
        <f t="shared" ca="1" si="1214"/>
        <v/>
      </c>
      <c r="DF1039" s="48">
        <f ca="1">IF(AND(CX1039=$DF$1,CX1039&lt;&gt;""),0,IF(AND(DB1039&lt;&gt;"",OR(DB1038&lt;&gt;"",DB1040&lt;&gt;"")),MAX($DF$2:DF1038)+1,0))</f>
        <v>0</v>
      </c>
    </row>
    <row r="1040" spans="102:110" x14ac:dyDescent="0.3">
      <c r="CX1040" s="48">
        <f t="shared" ca="1" si="1209"/>
        <v>80</v>
      </c>
      <c r="CY1040" s="48" t="str">
        <f t="shared" ca="1" si="1208"/>
        <v>MASTRO</v>
      </c>
      <c r="CZ1040" s="48" t="e">
        <f t="shared" ca="1" si="1211"/>
        <v>#N/A</v>
      </c>
      <c r="DA1040" s="48" t="str">
        <f t="shared" ca="1" si="1215"/>
        <v/>
      </c>
      <c r="DB1040" s="48" t="str">
        <f t="shared" ca="1" si="1184"/>
        <v/>
      </c>
      <c r="DC1040" s="48" t="str">
        <f t="shared" ca="1" si="1212"/>
        <v/>
      </c>
      <c r="DD1040" s="48" t="str">
        <f t="shared" ca="1" si="1213"/>
        <v/>
      </c>
      <c r="DE1040" s="48" t="str">
        <f t="shared" ca="1" si="1214"/>
        <v/>
      </c>
      <c r="DF1040" s="48">
        <f ca="1">IF(AND(CX1040=$DF$1,CX1040&lt;&gt;""),0,IF(AND(DB1040&lt;&gt;"",OR(DB1039&lt;&gt;"",DB1041&lt;&gt;"")),MAX($DF$2:DF1039)+1,0))</f>
        <v>0</v>
      </c>
    </row>
    <row r="1041" spans="102:110" x14ac:dyDescent="0.3">
      <c r="CX1041" s="48">
        <f t="shared" ca="1" si="1209"/>
        <v>80</v>
      </c>
      <c r="CY1041" s="48" t="str">
        <f t="shared" ca="1" si="1208"/>
        <v>MASTRO</v>
      </c>
      <c r="CZ1041" s="48" t="e">
        <f t="shared" ca="1" si="1211"/>
        <v>#N/A</v>
      </c>
      <c r="DA1041" s="48" t="str">
        <f t="shared" ca="1" si="1215"/>
        <v/>
      </c>
      <c r="DB1041" s="48" t="str">
        <f t="shared" ca="1" si="1184"/>
        <v/>
      </c>
      <c r="DC1041" s="48" t="str">
        <f t="shared" ca="1" si="1212"/>
        <v/>
      </c>
      <c r="DD1041" s="48" t="str">
        <f t="shared" ca="1" si="1213"/>
        <v/>
      </c>
      <c r="DE1041" s="48" t="str">
        <f t="shared" ca="1" si="1214"/>
        <v/>
      </c>
      <c r="DF1041" s="48">
        <f ca="1">IF(AND(CX1041=$DF$1,CX1041&lt;&gt;""),0,IF(AND(DB1041&lt;&gt;"",OR(DB1040&lt;&gt;"",DB1042&lt;&gt;"")),MAX($DF$2:DF1040)+1,0))</f>
        <v>0</v>
      </c>
    </row>
    <row r="1042" spans="102:110" x14ac:dyDescent="0.3">
      <c r="CY1042" s="48" t="s">
        <v>500</v>
      </c>
      <c r="DB1042" s="48" t="str">
        <f t="shared" ref="DB1042" ca="1" si="1216">IF(CX1041=$DF$1,"","MASTRO")</f>
        <v>MASTRO</v>
      </c>
      <c r="DF1042" s="48">
        <f ca="1">IF(AND(CX1042=$DF$1,CX1042&lt;&gt;""),0,IF(AND(DB1042&lt;&gt;"",OR(DB1041&lt;&gt;"",DB1043&lt;&gt;"")),MAX($DF$2:DF1041)+1,0))</f>
        <v>0</v>
      </c>
    </row>
    <row r="1043" spans="102:110" x14ac:dyDescent="0.3">
      <c r="CX1043" s="48">
        <f ca="1">$FF$83</f>
        <v>81</v>
      </c>
      <c r="CY1043" s="48" t="str">
        <f t="shared" ref="CY1043:CY1054" ca="1" si="1217">IF(ISERROR(INDEX($CV$3:$CX$1302,MATCH(CX1043,$CW$3:$CW$1302,0),1)),"MASTRO",INDEX($CV$3:$CX$1302,MATCH(CX1043,$CW$3:$CW$1302,0),1))</f>
        <v>MASTRO</v>
      </c>
      <c r="DA1043" s="48" t="str">
        <f>IF(CY1042="MASTRO","Conto n.","")</f>
        <v>Conto n.</v>
      </c>
      <c r="DB1043" s="48" t="str">
        <f ca="1">IF(CY1043=0,"",INDEX(PDC,MATCH(DC1043,DEN_PDC,0),1))</f>
        <v/>
      </c>
      <c r="DC1043" s="48" t="str">
        <f ca="1">IF(OR(CY1043=0,CY1043="mastro"),"",CY1043)</f>
        <v/>
      </c>
      <c r="DD1043" s="48" t="str">
        <f ca="1">IF(AND($DA$2=TRUE,OR(INDEX(PDC,MATCH($DC1043,DEN_PDC,0),4)="A",INDEX(PDC,MATCH($DC1043,DEN_PDC,0),4)="D/A"),SUMIFS(AVERE,DEN_G,"="&amp;$DC1043,DATA,"&lt;="&amp;FINE_AC,DATA,"&gt;="&amp;INIZIO_AC)&gt;SUMIFS(DARE,DEN_G,"="&amp;$DC1043,DATA,"&lt;="&amp;FINE_AC,DATA,"&gt;="&amp;INIZIO_AC)),CONCATENATE("s ",FIXED(ABS(SUMIFS(AVERE,DEN_G,"="&amp;$DC1043,DATA,"&lt;="&amp;FINE_AC,DATA,"&gt;="&amp;INIZIO_AC)-SUMIFS(DARE,DEN_G,"="&amp;$DC1043,DATA,"&lt;="&amp;FINE_AC,DATA,"&gt;="&amp;INIZIO_AC)),2)),"")</f>
        <v/>
      </c>
      <c r="DE1043" s="48" t="str">
        <f ca="1">IF(AND($DA$2=TRUE,OR(INDEX(PDC,MATCH($DC1043,DEN_PDC,0),4)="D",INDEX(PDC,MATCH($DC1043,DEN_PDC,0),4)="D/A"),SUMIFS(DARE,DEN_G,"="&amp;$DC1043,DATA,"&lt;="&amp;FINE_AC,DATA,"&gt;="&amp;INIZIO_AC)&gt;SUMIFS(AVERE,DEN_G,"="&amp;$DC1043,DATA,"&lt;="&amp;FINE_AC,DATA,"&gt;="&amp;INIZIO_AC)),CONCATENATE("s ",FIXED(ABS(SUMIFS(DARE,DEN_G,"="&amp;$DC1043,DATA,"&lt;="&amp;FINE_AC,DATA,"&gt;="&amp;INIZIO_AC)-SUMIFS(AVERE,DEN_G,"="&amp;$DC1043,DATA,"&lt;="&amp;FINE_AC,DATA,"&gt;="&amp;INIZIO_AC)),2)),"")</f>
        <v/>
      </c>
      <c r="DF1043" s="48">
        <f ca="1">IF(AND(CX1043=$DF$1,CX1043&lt;&gt;""),0,IF(AND(DB1043&lt;&gt;"",OR(DB1042&lt;&gt;"",DB1044&lt;&gt;"")),MAX($DF$2:DF1042)+1,0))</f>
        <v>0</v>
      </c>
    </row>
    <row r="1044" spans="102:110" x14ac:dyDescent="0.3">
      <c r="CX1044" s="48">
        <f t="shared" ref="CX1044:CX1054" ca="1" si="1218">$FF$83</f>
        <v>81</v>
      </c>
      <c r="CY1044" s="48" t="str">
        <f t="shared" ca="1" si="1217"/>
        <v>MASTRO</v>
      </c>
      <c r="DA1044" s="48" t="str">
        <f ca="1">IF(DB1043="","","Num. riga")</f>
        <v/>
      </c>
      <c r="DB1044" s="48" t="str">
        <f t="shared" ref="DB1044" ca="1" si="1219">IF(DB1043="","","Data")</f>
        <v/>
      </c>
      <c r="DC1044" s="48" t="str">
        <f ca="1">IF(DB1043="","","Operazioni")</f>
        <v/>
      </c>
      <c r="DD1044" s="48" t="str">
        <f ca="1">IF(DB1043="","","Dare        ")</f>
        <v/>
      </c>
      <c r="DE1044" s="48" t="str">
        <f ca="1">IF(DB1043="","","Avere        ")</f>
        <v/>
      </c>
      <c r="DF1044" s="48">
        <f ca="1">IF(AND(CX1044=$DF$1,CX1044&lt;&gt;""),0,IF(AND(DB1044&lt;&gt;"",OR(DB1043&lt;&gt;"",DB1045&lt;&gt;"")),MAX($DF$2:DF1043)+1,0))</f>
        <v>0</v>
      </c>
    </row>
    <row r="1045" spans="102:110" x14ac:dyDescent="0.3">
      <c r="CX1045" s="48">
        <f t="shared" ca="1" si="1218"/>
        <v>81</v>
      </c>
      <c r="CY1045" s="48" t="str">
        <f t="shared" ca="1" si="1217"/>
        <v>MASTRO</v>
      </c>
      <c r="CZ1045" s="48" t="e">
        <f t="shared" ref="CZ1045:CZ1054" ca="1" si="1220">SUM(MATCH($CY1045,INDIRECT(ADDRESS(SUM(CZ1044)+3,54)&amp;":"&amp;ADDRESS(400,54)),0),CZ1044)</f>
        <v>#N/A</v>
      </c>
      <c r="DA1045" s="48" t="str">
        <f ca="1">IFERROR(INDEX(LIBRO_GIORNALE,CZ1045,1),"")</f>
        <v/>
      </c>
      <c r="DB1045" s="48" t="str">
        <f t="shared" ca="1" si="1184"/>
        <v/>
      </c>
      <c r="DC1045" s="48" t="str">
        <f t="shared" ref="DC1045:DC1054" ca="1" si="1221">IF(IFERROR(INDEX(LIBRO_GIORNALE,CZ1045,4),"")=0,"manca la descrizione dell'operazione",IFERROR(INDEX(LIBRO_GIORNALE,CZ1045,4),""))</f>
        <v/>
      </c>
      <c r="DD1045" s="48" t="str">
        <f t="shared" ref="DD1045:DD1054" ca="1" si="1222">IFERROR(IF(INDEX(LIBRO_GIORNALE,CZ1045,5)&gt;0,INDEX(LIBRO_GIORNALE,CZ1045,5),""),"")</f>
        <v/>
      </c>
      <c r="DE1045" s="48" t="str">
        <f t="shared" ref="DE1045:DE1054" ca="1" si="1223">IFERROR(IF(INDEX(LIBRO_GIORNALE,CZ1045,6)&gt;0,INDEX(LIBRO_GIORNALE,CZ1045,6),""),"")</f>
        <v/>
      </c>
      <c r="DF1045" s="48">
        <f ca="1">IF(AND(CX1045=$DF$1,CX1045&lt;&gt;""),0,IF(AND(DB1045&lt;&gt;"",OR(DB1044&lt;&gt;"",DB1046&lt;&gt;"")),MAX($DF$2:DF1044)+1,0))</f>
        <v>0</v>
      </c>
    </row>
    <row r="1046" spans="102:110" x14ac:dyDescent="0.3">
      <c r="CX1046" s="48">
        <f t="shared" ca="1" si="1218"/>
        <v>81</v>
      </c>
      <c r="CY1046" s="48" t="str">
        <f t="shared" ca="1" si="1217"/>
        <v>MASTRO</v>
      </c>
      <c r="CZ1046" s="48" t="e">
        <f t="shared" ca="1" si="1220"/>
        <v>#N/A</v>
      </c>
      <c r="DA1046" s="48" t="str">
        <f t="shared" ref="DA1046:DA1054" ca="1" si="1224">IFERROR(INDEX(LIBRO_GIORNALE,CZ1046,1),"")</f>
        <v/>
      </c>
      <c r="DB1046" s="48" t="str">
        <f t="shared" ca="1" si="1184"/>
        <v/>
      </c>
      <c r="DC1046" s="48" t="str">
        <f t="shared" ca="1" si="1221"/>
        <v/>
      </c>
      <c r="DD1046" s="48" t="str">
        <f t="shared" ca="1" si="1222"/>
        <v/>
      </c>
      <c r="DE1046" s="48" t="str">
        <f t="shared" ca="1" si="1223"/>
        <v/>
      </c>
      <c r="DF1046" s="48">
        <f ca="1">IF(AND(CX1046=$DF$1,CX1046&lt;&gt;""),0,IF(AND(DB1046&lt;&gt;"",OR(DB1045&lt;&gt;"",DB1047&lt;&gt;"")),MAX($DF$2:DF1045)+1,0))</f>
        <v>0</v>
      </c>
    </row>
    <row r="1047" spans="102:110" x14ac:dyDescent="0.3">
      <c r="CX1047" s="48">
        <f t="shared" ca="1" si="1218"/>
        <v>81</v>
      </c>
      <c r="CY1047" s="48" t="str">
        <f t="shared" ca="1" si="1217"/>
        <v>MASTRO</v>
      </c>
      <c r="CZ1047" s="48" t="e">
        <f t="shared" ca="1" si="1220"/>
        <v>#N/A</v>
      </c>
      <c r="DA1047" s="48" t="str">
        <f t="shared" ca="1" si="1224"/>
        <v/>
      </c>
      <c r="DB1047" s="48" t="str">
        <f t="shared" ca="1" si="1184"/>
        <v/>
      </c>
      <c r="DC1047" s="48" t="str">
        <f t="shared" ca="1" si="1221"/>
        <v/>
      </c>
      <c r="DD1047" s="48" t="str">
        <f t="shared" ca="1" si="1222"/>
        <v/>
      </c>
      <c r="DE1047" s="48" t="str">
        <f t="shared" ca="1" si="1223"/>
        <v/>
      </c>
      <c r="DF1047" s="48">
        <f ca="1">IF(AND(CX1047=$DF$1,CX1047&lt;&gt;""),0,IF(AND(DB1047&lt;&gt;"",OR(DB1046&lt;&gt;"",DB1048&lt;&gt;"")),MAX($DF$2:DF1046)+1,0))</f>
        <v>0</v>
      </c>
    </row>
    <row r="1048" spans="102:110" x14ac:dyDescent="0.3">
      <c r="CX1048" s="48">
        <f t="shared" ca="1" si="1218"/>
        <v>81</v>
      </c>
      <c r="CY1048" s="48" t="str">
        <f t="shared" ca="1" si="1217"/>
        <v>MASTRO</v>
      </c>
      <c r="CZ1048" s="48" t="e">
        <f t="shared" ca="1" si="1220"/>
        <v>#N/A</v>
      </c>
      <c r="DA1048" s="48" t="str">
        <f t="shared" ca="1" si="1224"/>
        <v/>
      </c>
      <c r="DB1048" s="48" t="str">
        <f t="shared" ca="1" si="1184"/>
        <v/>
      </c>
      <c r="DC1048" s="48" t="str">
        <f t="shared" ca="1" si="1221"/>
        <v/>
      </c>
      <c r="DD1048" s="48" t="str">
        <f t="shared" ca="1" si="1222"/>
        <v/>
      </c>
      <c r="DE1048" s="48" t="str">
        <f t="shared" ca="1" si="1223"/>
        <v/>
      </c>
      <c r="DF1048" s="48">
        <f ca="1">IF(AND(CX1048=$DF$1,CX1048&lt;&gt;""),0,IF(AND(DB1048&lt;&gt;"",OR(DB1047&lt;&gt;"",DB1049&lt;&gt;"")),MAX($DF$2:DF1047)+1,0))</f>
        <v>0</v>
      </c>
    </row>
    <row r="1049" spans="102:110" x14ac:dyDescent="0.3">
      <c r="CX1049" s="48">
        <f t="shared" ca="1" si="1218"/>
        <v>81</v>
      </c>
      <c r="CY1049" s="48" t="str">
        <f t="shared" ca="1" si="1217"/>
        <v>MASTRO</v>
      </c>
      <c r="CZ1049" s="48" t="e">
        <f t="shared" ca="1" si="1220"/>
        <v>#N/A</v>
      </c>
      <c r="DA1049" s="48" t="str">
        <f t="shared" ca="1" si="1224"/>
        <v/>
      </c>
      <c r="DB1049" s="48" t="str">
        <f t="shared" ca="1" si="1184"/>
        <v/>
      </c>
      <c r="DC1049" s="48" t="str">
        <f t="shared" ca="1" si="1221"/>
        <v/>
      </c>
      <c r="DD1049" s="48" t="str">
        <f t="shared" ca="1" si="1222"/>
        <v/>
      </c>
      <c r="DE1049" s="48" t="str">
        <f t="shared" ca="1" si="1223"/>
        <v/>
      </c>
      <c r="DF1049" s="48">
        <f ca="1">IF(AND(CX1049=$DF$1,CX1049&lt;&gt;""),0,IF(AND(DB1049&lt;&gt;"",OR(DB1048&lt;&gt;"",DB1050&lt;&gt;"")),MAX($DF$2:DF1048)+1,0))</f>
        <v>0</v>
      </c>
    </row>
    <row r="1050" spans="102:110" x14ac:dyDescent="0.3">
      <c r="CX1050" s="48">
        <f t="shared" ca="1" si="1218"/>
        <v>81</v>
      </c>
      <c r="CY1050" s="48" t="str">
        <f t="shared" ca="1" si="1217"/>
        <v>MASTRO</v>
      </c>
      <c r="CZ1050" s="48" t="e">
        <f t="shared" ca="1" si="1220"/>
        <v>#N/A</v>
      </c>
      <c r="DA1050" s="48" t="str">
        <f t="shared" ca="1" si="1224"/>
        <v/>
      </c>
      <c r="DB1050" s="48" t="str">
        <f t="shared" ca="1" si="1184"/>
        <v/>
      </c>
      <c r="DC1050" s="48" t="str">
        <f t="shared" ca="1" si="1221"/>
        <v/>
      </c>
      <c r="DD1050" s="48" t="str">
        <f t="shared" ca="1" si="1222"/>
        <v/>
      </c>
      <c r="DE1050" s="48" t="str">
        <f t="shared" ca="1" si="1223"/>
        <v/>
      </c>
      <c r="DF1050" s="48">
        <f ca="1">IF(AND(CX1050=$DF$1,CX1050&lt;&gt;""),0,IF(AND(DB1050&lt;&gt;"",OR(DB1049&lt;&gt;"",DB1051&lt;&gt;"")),MAX($DF$2:DF1049)+1,0))</f>
        <v>0</v>
      </c>
    </row>
    <row r="1051" spans="102:110" x14ac:dyDescent="0.3">
      <c r="CX1051" s="48">
        <f t="shared" ca="1" si="1218"/>
        <v>81</v>
      </c>
      <c r="CY1051" s="48" t="str">
        <f t="shared" ca="1" si="1217"/>
        <v>MASTRO</v>
      </c>
      <c r="CZ1051" s="48" t="e">
        <f t="shared" ca="1" si="1220"/>
        <v>#N/A</v>
      </c>
      <c r="DA1051" s="48" t="str">
        <f t="shared" ca="1" si="1224"/>
        <v/>
      </c>
      <c r="DB1051" s="48" t="str">
        <f t="shared" ca="1" si="1184"/>
        <v/>
      </c>
      <c r="DC1051" s="48" t="str">
        <f t="shared" ca="1" si="1221"/>
        <v/>
      </c>
      <c r="DD1051" s="48" t="str">
        <f t="shared" ca="1" si="1222"/>
        <v/>
      </c>
      <c r="DE1051" s="48" t="str">
        <f t="shared" ca="1" si="1223"/>
        <v/>
      </c>
      <c r="DF1051" s="48">
        <f ca="1">IF(AND(CX1051=$DF$1,CX1051&lt;&gt;""),0,IF(AND(DB1051&lt;&gt;"",OR(DB1050&lt;&gt;"",DB1052&lt;&gt;"")),MAX($DF$2:DF1050)+1,0))</f>
        <v>0</v>
      </c>
    </row>
    <row r="1052" spans="102:110" x14ac:dyDescent="0.3">
      <c r="CX1052" s="48">
        <f t="shared" ca="1" si="1218"/>
        <v>81</v>
      </c>
      <c r="CY1052" s="48" t="str">
        <f t="shared" ca="1" si="1217"/>
        <v>MASTRO</v>
      </c>
      <c r="CZ1052" s="48" t="e">
        <f t="shared" ca="1" si="1220"/>
        <v>#N/A</v>
      </c>
      <c r="DA1052" s="48" t="str">
        <f t="shared" ca="1" si="1224"/>
        <v/>
      </c>
      <c r="DB1052" s="48" t="str">
        <f t="shared" ca="1" si="1184"/>
        <v/>
      </c>
      <c r="DC1052" s="48" t="str">
        <f t="shared" ca="1" si="1221"/>
        <v/>
      </c>
      <c r="DD1052" s="48" t="str">
        <f t="shared" ca="1" si="1222"/>
        <v/>
      </c>
      <c r="DE1052" s="48" t="str">
        <f t="shared" ca="1" si="1223"/>
        <v/>
      </c>
      <c r="DF1052" s="48">
        <f ca="1">IF(AND(CX1052=$DF$1,CX1052&lt;&gt;""),0,IF(AND(DB1052&lt;&gt;"",OR(DB1051&lt;&gt;"",DB1053&lt;&gt;"")),MAX($DF$2:DF1051)+1,0))</f>
        <v>0</v>
      </c>
    </row>
    <row r="1053" spans="102:110" x14ac:dyDescent="0.3">
      <c r="CX1053" s="48">
        <f t="shared" ca="1" si="1218"/>
        <v>81</v>
      </c>
      <c r="CY1053" s="48" t="str">
        <f t="shared" ca="1" si="1217"/>
        <v>MASTRO</v>
      </c>
      <c r="CZ1053" s="48" t="e">
        <f t="shared" ca="1" si="1220"/>
        <v>#N/A</v>
      </c>
      <c r="DA1053" s="48" t="str">
        <f t="shared" ca="1" si="1224"/>
        <v/>
      </c>
      <c r="DB1053" s="48" t="str">
        <f t="shared" ca="1" si="1184"/>
        <v/>
      </c>
      <c r="DC1053" s="48" t="str">
        <f t="shared" ca="1" si="1221"/>
        <v/>
      </c>
      <c r="DD1053" s="48" t="str">
        <f t="shared" ca="1" si="1222"/>
        <v/>
      </c>
      <c r="DE1053" s="48" t="str">
        <f t="shared" ca="1" si="1223"/>
        <v/>
      </c>
      <c r="DF1053" s="48">
        <f ca="1">IF(AND(CX1053=$DF$1,CX1053&lt;&gt;""),0,IF(AND(DB1053&lt;&gt;"",OR(DB1052&lt;&gt;"",DB1054&lt;&gt;"")),MAX($DF$2:DF1052)+1,0))</f>
        <v>0</v>
      </c>
    </row>
    <row r="1054" spans="102:110" x14ac:dyDescent="0.3">
      <c r="CX1054" s="48">
        <f t="shared" ca="1" si="1218"/>
        <v>81</v>
      </c>
      <c r="CY1054" s="48" t="str">
        <f t="shared" ca="1" si="1217"/>
        <v>MASTRO</v>
      </c>
      <c r="CZ1054" s="48" t="e">
        <f t="shared" ca="1" si="1220"/>
        <v>#N/A</v>
      </c>
      <c r="DA1054" s="48" t="str">
        <f t="shared" ca="1" si="1224"/>
        <v/>
      </c>
      <c r="DB1054" s="48" t="str">
        <f t="shared" ca="1" si="1184"/>
        <v/>
      </c>
      <c r="DC1054" s="48" t="str">
        <f t="shared" ca="1" si="1221"/>
        <v/>
      </c>
      <c r="DD1054" s="48" t="str">
        <f t="shared" ca="1" si="1222"/>
        <v/>
      </c>
      <c r="DE1054" s="48" t="str">
        <f t="shared" ca="1" si="1223"/>
        <v/>
      </c>
      <c r="DF1054" s="48">
        <f ca="1">IF(AND(CX1054=$DF$1,CX1054&lt;&gt;""),0,IF(AND(DB1054&lt;&gt;"",OR(DB1053&lt;&gt;"",DB1055&lt;&gt;"")),MAX($DF$2:DF1053)+1,0))</f>
        <v>0</v>
      </c>
    </row>
    <row r="1055" spans="102:110" x14ac:dyDescent="0.3">
      <c r="CY1055" s="48" t="s">
        <v>500</v>
      </c>
      <c r="DB1055" s="48" t="str">
        <f t="shared" ref="DB1055" ca="1" si="1225">IF(CX1054=$DF$1,"","MASTRO")</f>
        <v>MASTRO</v>
      </c>
      <c r="DF1055" s="48">
        <f ca="1">IF(AND(CX1055=$DF$1,CX1055&lt;&gt;""),0,IF(AND(DB1055&lt;&gt;"",OR(DB1054&lt;&gt;"",DB1056&lt;&gt;"")),MAX($DF$2:DF1054)+1,0))</f>
        <v>0</v>
      </c>
    </row>
    <row r="1056" spans="102:110" x14ac:dyDescent="0.3">
      <c r="CX1056" s="48">
        <f ca="1">$FF$84</f>
        <v>82</v>
      </c>
      <c r="CY1056" s="48" t="str">
        <f t="shared" ref="CY1056:CY1067" ca="1" si="1226">IF(ISERROR(INDEX($CV$3:$CX$1302,MATCH(CX1056,$CW$3:$CW$1302,0),1)),"MASTRO",INDEX($CV$3:$CX$1302,MATCH(CX1056,$CW$3:$CW$1302,0),1))</f>
        <v>MASTRO</v>
      </c>
      <c r="DA1056" s="48" t="str">
        <f>IF(CY1055="MASTRO","Conto n.","")</f>
        <v>Conto n.</v>
      </c>
      <c r="DB1056" s="48" t="str">
        <f ca="1">IF(CY1056=0,"",INDEX(PDC,MATCH(DC1056,DEN_PDC,0),1))</f>
        <v/>
      </c>
      <c r="DC1056" s="48" t="str">
        <f ca="1">IF(OR(CY1056=0,CY1056="mastro"),"",CY1056)</f>
        <v/>
      </c>
      <c r="DD1056" s="48" t="str">
        <f ca="1">IF(AND($DA$2=TRUE,OR(INDEX(PDC,MATCH($DC1056,DEN_PDC,0),4)="A",INDEX(PDC,MATCH($DC1056,DEN_PDC,0),4)="D/A"),SUMIFS(AVERE,DEN_G,"="&amp;$DC1056,DATA,"&lt;="&amp;FINE_AC,DATA,"&gt;="&amp;INIZIO_AC)&gt;SUMIFS(DARE,DEN_G,"="&amp;$DC1056,DATA,"&lt;="&amp;FINE_AC,DATA,"&gt;="&amp;INIZIO_AC)),CONCATENATE("s ",FIXED(ABS(SUMIFS(AVERE,DEN_G,"="&amp;$DC1056,DATA,"&lt;="&amp;FINE_AC,DATA,"&gt;="&amp;INIZIO_AC)-SUMIFS(DARE,DEN_G,"="&amp;$DC1056,DATA,"&lt;="&amp;FINE_AC,DATA,"&gt;="&amp;INIZIO_AC)),2)),"")</f>
        <v/>
      </c>
      <c r="DE1056" s="48" t="str">
        <f ca="1">IF(AND($DA$2=TRUE,OR(INDEX(PDC,MATCH($DC1056,DEN_PDC,0),4)="D",INDEX(PDC,MATCH($DC1056,DEN_PDC,0),4)="D/A"),SUMIFS(DARE,DEN_G,"="&amp;$DC1056,DATA,"&lt;="&amp;FINE_AC,DATA,"&gt;="&amp;INIZIO_AC)&gt;SUMIFS(AVERE,DEN_G,"="&amp;$DC1056,DATA,"&lt;="&amp;FINE_AC,DATA,"&gt;="&amp;INIZIO_AC)),CONCATENATE("s ",FIXED(ABS(SUMIFS(DARE,DEN_G,"="&amp;$DC1056,DATA,"&lt;="&amp;FINE_AC,DATA,"&gt;="&amp;INIZIO_AC)-SUMIFS(AVERE,DEN_G,"="&amp;$DC1056,DATA,"&lt;="&amp;FINE_AC,DATA,"&gt;="&amp;INIZIO_AC)),2)),"")</f>
        <v/>
      </c>
      <c r="DF1056" s="48">
        <f ca="1">IF(AND(CX1056=$DF$1,CX1056&lt;&gt;""),0,IF(AND(DB1056&lt;&gt;"",OR(DB1055&lt;&gt;"",DB1057&lt;&gt;"")),MAX($DF$2:DF1055)+1,0))</f>
        <v>0</v>
      </c>
    </row>
    <row r="1057" spans="102:110" x14ac:dyDescent="0.3">
      <c r="CX1057" s="48">
        <f t="shared" ref="CX1057:CX1067" ca="1" si="1227">$FF$84</f>
        <v>82</v>
      </c>
      <c r="CY1057" s="48" t="str">
        <f t="shared" ca="1" si="1226"/>
        <v>MASTRO</v>
      </c>
      <c r="DA1057" s="48" t="str">
        <f ca="1">IF(DB1056="","","Num. riga")</f>
        <v/>
      </c>
      <c r="DB1057" s="48" t="str">
        <f t="shared" ref="DB1057" ca="1" si="1228">IF(DB1056="","","Data")</f>
        <v/>
      </c>
      <c r="DC1057" s="48" t="str">
        <f ca="1">IF(DB1056="","","Operazioni")</f>
        <v/>
      </c>
      <c r="DD1057" s="48" t="str">
        <f ca="1">IF(DB1056="","","Dare        ")</f>
        <v/>
      </c>
      <c r="DE1057" s="48" t="str">
        <f ca="1">IF(DB1056="","","Avere        ")</f>
        <v/>
      </c>
      <c r="DF1057" s="48">
        <f ca="1">IF(AND(CX1057=$DF$1,CX1057&lt;&gt;""),0,IF(AND(DB1057&lt;&gt;"",OR(DB1056&lt;&gt;"",DB1058&lt;&gt;"")),MAX($DF$2:DF1056)+1,0))</f>
        <v>0</v>
      </c>
    </row>
    <row r="1058" spans="102:110" x14ac:dyDescent="0.3">
      <c r="CX1058" s="48">
        <f t="shared" ca="1" si="1227"/>
        <v>82</v>
      </c>
      <c r="CY1058" s="48" t="str">
        <f t="shared" ca="1" si="1226"/>
        <v>MASTRO</v>
      </c>
      <c r="CZ1058" s="48" t="e">
        <f t="shared" ref="CZ1058:CZ1067" ca="1" si="1229">SUM(MATCH($CY1058,INDIRECT(ADDRESS(SUM(CZ1057)+3,54)&amp;":"&amp;ADDRESS(400,54)),0),CZ1057)</f>
        <v>#N/A</v>
      </c>
      <c r="DA1058" s="48" t="str">
        <f ca="1">IFERROR(INDEX(LIBRO_GIORNALE,CZ1058,1),"")</f>
        <v/>
      </c>
      <c r="DB1058" s="48" t="str">
        <f t="shared" ref="DB1058:DB1119" ca="1" si="1230">IF(RIGHT(TEXT(IFERROR(INDEX(LIBRO_GIORNALE,CZ1058,2),""),"gg/mm/aa"),1)="a",TEXT(IFERROR(INDEX(LIBRO_GIORNALE,CZ1058,2),""),"dd/mm/yy"),TEXT(IFERROR(INDEX(LIBRO_GIORNALE,CZ1058,2),""),"gg/mm/aa"))</f>
        <v/>
      </c>
      <c r="DC1058" s="48" t="str">
        <f t="shared" ref="DC1058:DC1067" ca="1" si="1231">IF(IFERROR(INDEX(LIBRO_GIORNALE,CZ1058,4),"")=0,"manca la descrizione dell'operazione",IFERROR(INDEX(LIBRO_GIORNALE,CZ1058,4),""))</f>
        <v/>
      </c>
      <c r="DD1058" s="48" t="str">
        <f t="shared" ref="DD1058:DD1067" ca="1" si="1232">IFERROR(IF(INDEX(LIBRO_GIORNALE,CZ1058,5)&gt;0,INDEX(LIBRO_GIORNALE,CZ1058,5),""),"")</f>
        <v/>
      </c>
      <c r="DE1058" s="48" t="str">
        <f t="shared" ref="DE1058:DE1067" ca="1" si="1233">IFERROR(IF(INDEX(LIBRO_GIORNALE,CZ1058,6)&gt;0,INDEX(LIBRO_GIORNALE,CZ1058,6),""),"")</f>
        <v/>
      </c>
      <c r="DF1058" s="48">
        <f ca="1">IF(AND(CX1058=$DF$1,CX1058&lt;&gt;""),0,IF(AND(DB1058&lt;&gt;"",OR(DB1057&lt;&gt;"",DB1059&lt;&gt;"")),MAX($DF$2:DF1057)+1,0))</f>
        <v>0</v>
      </c>
    </row>
    <row r="1059" spans="102:110" x14ac:dyDescent="0.3">
      <c r="CX1059" s="48">
        <f t="shared" ca="1" si="1227"/>
        <v>82</v>
      </c>
      <c r="CY1059" s="48" t="str">
        <f t="shared" ca="1" si="1226"/>
        <v>MASTRO</v>
      </c>
      <c r="CZ1059" s="48" t="e">
        <f t="shared" ca="1" si="1229"/>
        <v>#N/A</v>
      </c>
      <c r="DA1059" s="48" t="str">
        <f t="shared" ref="DA1059:DA1067" ca="1" si="1234">IFERROR(INDEX(LIBRO_GIORNALE,CZ1059,1),"")</f>
        <v/>
      </c>
      <c r="DB1059" s="48" t="str">
        <f t="shared" ca="1" si="1230"/>
        <v/>
      </c>
      <c r="DC1059" s="48" t="str">
        <f t="shared" ca="1" si="1231"/>
        <v/>
      </c>
      <c r="DD1059" s="48" t="str">
        <f t="shared" ca="1" si="1232"/>
        <v/>
      </c>
      <c r="DE1059" s="48" t="str">
        <f t="shared" ca="1" si="1233"/>
        <v/>
      </c>
      <c r="DF1059" s="48">
        <f ca="1">IF(AND(CX1059=$DF$1,CX1059&lt;&gt;""),0,IF(AND(DB1059&lt;&gt;"",OR(DB1058&lt;&gt;"",DB1060&lt;&gt;"")),MAX($DF$2:DF1058)+1,0))</f>
        <v>0</v>
      </c>
    </row>
    <row r="1060" spans="102:110" x14ac:dyDescent="0.3">
      <c r="CX1060" s="48">
        <f t="shared" ca="1" si="1227"/>
        <v>82</v>
      </c>
      <c r="CY1060" s="48" t="str">
        <f t="shared" ca="1" si="1226"/>
        <v>MASTRO</v>
      </c>
      <c r="CZ1060" s="48" t="e">
        <f t="shared" ca="1" si="1229"/>
        <v>#N/A</v>
      </c>
      <c r="DA1060" s="48" t="str">
        <f t="shared" ca="1" si="1234"/>
        <v/>
      </c>
      <c r="DB1060" s="48" t="str">
        <f t="shared" ca="1" si="1230"/>
        <v/>
      </c>
      <c r="DC1060" s="48" t="str">
        <f t="shared" ca="1" si="1231"/>
        <v/>
      </c>
      <c r="DD1060" s="48" t="str">
        <f t="shared" ca="1" si="1232"/>
        <v/>
      </c>
      <c r="DE1060" s="48" t="str">
        <f t="shared" ca="1" si="1233"/>
        <v/>
      </c>
      <c r="DF1060" s="48">
        <f ca="1">IF(AND(CX1060=$DF$1,CX1060&lt;&gt;""),0,IF(AND(DB1060&lt;&gt;"",OR(DB1059&lt;&gt;"",DB1061&lt;&gt;"")),MAX($DF$2:DF1059)+1,0))</f>
        <v>0</v>
      </c>
    </row>
    <row r="1061" spans="102:110" x14ac:dyDescent="0.3">
      <c r="CX1061" s="48">
        <f t="shared" ca="1" si="1227"/>
        <v>82</v>
      </c>
      <c r="CY1061" s="48" t="str">
        <f t="shared" ca="1" si="1226"/>
        <v>MASTRO</v>
      </c>
      <c r="CZ1061" s="48" t="e">
        <f t="shared" ca="1" si="1229"/>
        <v>#N/A</v>
      </c>
      <c r="DA1061" s="48" t="str">
        <f t="shared" ca="1" si="1234"/>
        <v/>
      </c>
      <c r="DB1061" s="48" t="str">
        <f t="shared" ca="1" si="1230"/>
        <v/>
      </c>
      <c r="DC1061" s="48" t="str">
        <f t="shared" ca="1" si="1231"/>
        <v/>
      </c>
      <c r="DD1061" s="48" t="str">
        <f t="shared" ca="1" si="1232"/>
        <v/>
      </c>
      <c r="DE1061" s="48" t="str">
        <f t="shared" ca="1" si="1233"/>
        <v/>
      </c>
      <c r="DF1061" s="48">
        <f ca="1">IF(AND(CX1061=$DF$1,CX1061&lt;&gt;""),0,IF(AND(DB1061&lt;&gt;"",OR(DB1060&lt;&gt;"",DB1062&lt;&gt;"")),MAX($DF$2:DF1060)+1,0))</f>
        <v>0</v>
      </c>
    </row>
    <row r="1062" spans="102:110" x14ac:dyDescent="0.3">
      <c r="CX1062" s="48">
        <f t="shared" ca="1" si="1227"/>
        <v>82</v>
      </c>
      <c r="CY1062" s="48" t="str">
        <f t="shared" ca="1" si="1226"/>
        <v>MASTRO</v>
      </c>
      <c r="CZ1062" s="48" t="e">
        <f t="shared" ca="1" si="1229"/>
        <v>#N/A</v>
      </c>
      <c r="DA1062" s="48" t="str">
        <f t="shared" ca="1" si="1234"/>
        <v/>
      </c>
      <c r="DB1062" s="48" t="str">
        <f t="shared" ca="1" si="1230"/>
        <v/>
      </c>
      <c r="DC1062" s="48" t="str">
        <f t="shared" ca="1" si="1231"/>
        <v/>
      </c>
      <c r="DD1062" s="48" t="str">
        <f t="shared" ca="1" si="1232"/>
        <v/>
      </c>
      <c r="DE1062" s="48" t="str">
        <f t="shared" ca="1" si="1233"/>
        <v/>
      </c>
      <c r="DF1062" s="48">
        <f ca="1">IF(AND(CX1062=$DF$1,CX1062&lt;&gt;""),0,IF(AND(DB1062&lt;&gt;"",OR(DB1061&lt;&gt;"",DB1063&lt;&gt;"")),MAX($DF$2:DF1061)+1,0))</f>
        <v>0</v>
      </c>
    </row>
    <row r="1063" spans="102:110" x14ac:dyDescent="0.3">
      <c r="CX1063" s="48">
        <f t="shared" ca="1" si="1227"/>
        <v>82</v>
      </c>
      <c r="CY1063" s="48" t="str">
        <f t="shared" ca="1" si="1226"/>
        <v>MASTRO</v>
      </c>
      <c r="CZ1063" s="48" t="e">
        <f t="shared" ca="1" si="1229"/>
        <v>#N/A</v>
      </c>
      <c r="DA1063" s="48" t="str">
        <f t="shared" ca="1" si="1234"/>
        <v/>
      </c>
      <c r="DB1063" s="48" t="str">
        <f t="shared" ca="1" si="1230"/>
        <v/>
      </c>
      <c r="DC1063" s="48" t="str">
        <f t="shared" ca="1" si="1231"/>
        <v/>
      </c>
      <c r="DD1063" s="48" t="str">
        <f t="shared" ca="1" si="1232"/>
        <v/>
      </c>
      <c r="DE1063" s="48" t="str">
        <f t="shared" ca="1" si="1233"/>
        <v/>
      </c>
      <c r="DF1063" s="48">
        <f ca="1">IF(AND(CX1063=$DF$1,CX1063&lt;&gt;""),0,IF(AND(DB1063&lt;&gt;"",OR(DB1062&lt;&gt;"",DB1064&lt;&gt;"")),MAX($DF$2:DF1062)+1,0))</f>
        <v>0</v>
      </c>
    </row>
    <row r="1064" spans="102:110" x14ac:dyDescent="0.3">
      <c r="CX1064" s="48">
        <f t="shared" ca="1" si="1227"/>
        <v>82</v>
      </c>
      <c r="CY1064" s="48" t="str">
        <f t="shared" ca="1" si="1226"/>
        <v>MASTRO</v>
      </c>
      <c r="CZ1064" s="48" t="e">
        <f t="shared" ca="1" si="1229"/>
        <v>#N/A</v>
      </c>
      <c r="DA1064" s="48" t="str">
        <f t="shared" ca="1" si="1234"/>
        <v/>
      </c>
      <c r="DB1064" s="48" t="str">
        <f t="shared" ca="1" si="1230"/>
        <v/>
      </c>
      <c r="DC1064" s="48" t="str">
        <f t="shared" ca="1" si="1231"/>
        <v/>
      </c>
      <c r="DD1064" s="48" t="str">
        <f t="shared" ca="1" si="1232"/>
        <v/>
      </c>
      <c r="DE1064" s="48" t="str">
        <f t="shared" ca="1" si="1233"/>
        <v/>
      </c>
      <c r="DF1064" s="48">
        <f ca="1">IF(AND(CX1064=$DF$1,CX1064&lt;&gt;""),0,IF(AND(DB1064&lt;&gt;"",OR(DB1063&lt;&gt;"",DB1065&lt;&gt;"")),MAX($DF$2:DF1063)+1,0))</f>
        <v>0</v>
      </c>
    </row>
    <row r="1065" spans="102:110" x14ac:dyDescent="0.3">
      <c r="CX1065" s="48">
        <f t="shared" ca="1" si="1227"/>
        <v>82</v>
      </c>
      <c r="CY1065" s="48" t="str">
        <f t="shared" ca="1" si="1226"/>
        <v>MASTRO</v>
      </c>
      <c r="CZ1065" s="48" t="e">
        <f t="shared" ca="1" si="1229"/>
        <v>#N/A</v>
      </c>
      <c r="DA1065" s="48" t="str">
        <f t="shared" ca="1" si="1234"/>
        <v/>
      </c>
      <c r="DB1065" s="48" t="str">
        <f t="shared" ca="1" si="1230"/>
        <v/>
      </c>
      <c r="DC1065" s="48" t="str">
        <f t="shared" ca="1" si="1231"/>
        <v/>
      </c>
      <c r="DD1065" s="48" t="str">
        <f t="shared" ca="1" si="1232"/>
        <v/>
      </c>
      <c r="DE1065" s="48" t="str">
        <f t="shared" ca="1" si="1233"/>
        <v/>
      </c>
      <c r="DF1065" s="48">
        <f ca="1">IF(AND(CX1065=$DF$1,CX1065&lt;&gt;""),0,IF(AND(DB1065&lt;&gt;"",OR(DB1064&lt;&gt;"",DB1066&lt;&gt;"")),MAX($DF$2:DF1064)+1,0))</f>
        <v>0</v>
      </c>
    </row>
    <row r="1066" spans="102:110" x14ac:dyDescent="0.3">
      <c r="CX1066" s="48">
        <f t="shared" ca="1" si="1227"/>
        <v>82</v>
      </c>
      <c r="CY1066" s="48" t="str">
        <f t="shared" ca="1" si="1226"/>
        <v>MASTRO</v>
      </c>
      <c r="CZ1066" s="48" t="e">
        <f t="shared" ca="1" si="1229"/>
        <v>#N/A</v>
      </c>
      <c r="DA1066" s="48" t="str">
        <f t="shared" ca="1" si="1234"/>
        <v/>
      </c>
      <c r="DB1066" s="48" t="str">
        <f t="shared" ca="1" si="1230"/>
        <v/>
      </c>
      <c r="DC1066" s="48" t="str">
        <f t="shared" ca="1" si="1231"/>
        <v/>
      </c>
      <c r="DD1066" s="48" t="str">
        <f t="shared" ca="1" si="1232"/>
        <v/>
      </c>
      <c r="DE1066" s="48" t="str">
        <f t="shared" ca="1" si="1233"/>
        <v/>
      </c>
      <c r="DF1066" s="48">
        <f ca="1">IF(AND(CX1066=$DF$1,CX1066&lt;&gt;""),0,IF(AND(DB1066&lt;&gt;"",OR(DB1065&lt;&gt;"",DB1067&lt;&gt;"")),MAX($DF$2:DF1065)+1,0))</f>
        <v>0</v>
      </c>
    </row>
    <row r="1067" spans="102:110" x14ac:dyDescent="0.3">
      <c r="CX1067" s="48">
        <f t="shared" ca="1" si="1227"/>
        <v>82</v>
      </c>
      <c r="CY1067" s="48" t="str">
        <f t="shared" ca="1" si="1226"/>
        <v>MASTRO</v>
      </c>
      <c r="CZ1067" s="48" t="e">
        <f t="shared" ca="1" si="1229"/>
        <v>#N/A</v>
      </c>
      <c r="DA1067" s="48" t="str">
        <f t="shared" ca="1" si="1234"/>
        <v/>
      </c>
      <c r="DB1067" s="48" t="str">
        <f t="shared" ca="1" si="1230"/>
        <v/>
      </c>
      <c r="DC1067" s="48" t="str">
        <f t="shared" ca="1" si="1231"/>
        <v/>
      </c>
      <c r="DD1067" s="48" t="str">
        <f t="shared" ca="1" si="1232"/>
        <v/>
      </c>
      <c r="DE1067" s="48" t="str">
        <f t="shared" ca="1" si="1233"/>
        <v/>
      </c>
      <c r="DF1067" s="48">
        <f ca="1">IF(AND(CX1067=$DF$1,CX1067&lt;&gt;""),0,IF(AND(DB1067&lt;&gt;"",OR(DB1066&lt;&gt;"",DB1068&lt;&gt;"")),MAX($DF$2:DF1066)+1,0))</f>
        <v>0</v>
      </c>
    </row>
    <row r="1068" spans="102:110" x14ac:dyDescent="0.3">
      <c r="CY1068" s="48" t="s">
        <v>500</v>
      </c>
      <c r="DB1068" s="48" t="str">
        <f t="shared" ref="DB1068" ca="1" si="1235">IF(CX1067=$DF$1,"","MASTRO")</f>
        <v>MASTRO</v>
      </c>
      <c r="DF1068" s="48">
        <f ca="1">IF(AND(CX1068=$DF$1,CX1068&lt;&gt;""),0,IF(AND(DB1068&lt;&gt;"",OR(DB1067&lt;&gt;"",DB1069&lt;&gt;"")),MAX($DF$2:DF1067)+1,0))</f>
        <v>0</v>
      </c>
    </row>
    <row r="1069" spans="102:110" x14ac:dyDescent="0.3">
      <c r="CX1069" s="48">
        <f ca="1">$FF$85</f>
        <v>83</v>
      </c>
      <c r="CY1069" s="48" t="str">
        <f t="shared" ref="CY1069:CY1080" ca="1" si="1236">IF(ISERROR(INDEX($CV$3:$CX$1302,MATCH(CX1069,$CW$3:$CW$1302,0),1)),"MASTRO",INDEX($CV$3:$CX$1302,MATCH(CX1069,$CW$3:$CW$1302,0),1))</f>
        <v>MASTRO</v>
      </c>
      <c r="DA1069" s="48" t="str">
        <f>IF(CY1068="MASTRO","Conto n.","")</f>
        <v>Conto n.</v>
      </c>
      <c r="DB1069" s="48" t="str">
        <f ca="1">IF(CY1069=0,"",INDEX(PDC,MATCH(DC1069,DEN_PDC,0),1))</f>
        <v/>
      </c>
      <c r="DC1069" s="48" t="str">
        <f ca="1">IF(OR(CY1069=0,CY1069="mastro"),"",CY1069)</f>
        <v/>
      </c>
      <c r="DD1069" s="48" t="str">
        <f ca="1">IF(AND($DA$2=TRUE,OR(INDEX(PDC,MATCH($DC1069,DEN_PDC,0),4)="A",INDEX(PDC,MATCH($DC1069,DEN_PDC,0),4)="D/A"),SUMIFS(AVERE,DEN_G,"="&amp;$DC1069,DATA,"&lt;="&amp;FINE_AC,DATA,"&gt;="&amp;INIZIO_AC)&gt;SUMIFS(DARE,DEN_G,"="&amp;$DC1069,DATA,"&lt;="&amp;FINE_AC,DATA,"&gt;="&amp;INIZIO_AC)),CONCATENATE("s ",FIXED(ABS(SUMIFS(AVERE,DEN_G,"="&amp;$DC1069,DATA,"&lt;="&amp;FINE_AC,DATA,"&gt;="&amp;INIZIO_AC)-SUMIFS(DARE,DEN_G,"="&amp;$DC1069,DATA,"&lt;="&amp;FINE_AC,DATA,"&gt;="&amp;INIZIO_AC)),2)),"")</f>
        <v/>
      </c>
      <c r="DE1069" s="48" t="str">
        <f ca="1">IF(AND($DA$2=TRUE,OR(INDEX(PDC,MATCH($DC1069,DEN_PDC,0),4)="D",INDEX(PDC,MATCH($DC1069,DEN_PDC,0),4)="D/A"),SUMIFS(DARE,DEN_G,"="&amp;$DC1069,DATA,"&lt;="&amp;FINE_AC,DATA,"&gt;="&amp;INIZIO_AC)&gt;SUMIFS(AVERE,DEN_G,"="&amp;$DC1069,DATA,"&lt;="&amp;FINE_AC,DATA,"&gt;="&amp;INIZIO_AC)),CONCATENATE("s ",FIXED(ABS(SUMIFS(DARE,DEN_G,"="&amp;$DC1069,DATA,"&lt;="&amp;FINE_AC,DATA,"&gt;="&amp;INIZIO_AC)-SUMIFS(AVERE,DEN_G,"="&amp;$DC1069,DATA,"&lt;="&amp;FINE_AC,DATA,"&gt;="&amp;INIZIO_AC)),2)),"")</f>
        <v/>
      </c>
      <c r="DF1069" s="48">
        <f ca="1">IF(AND(CX1069=$DF$1,CX1069&lt;&gt;""),0,IF(AND(DB1069&lt;&gt;"",OR(DB1068&lt;&gt;"",DB1070&lt;&gt;"")),MAX($DF$2:DF1068)+1,0))</f>
        <v>0</v>
      </c>
    </row>
    <row r="1070" spans="102:110" x14ac:dyDescent="0.3">
      <c r="CX1070" s="48">
        <f t="shared" ref="CX1070:CX1080" ca="1" si="1237">$FF$85</f>
        <v>83</v>
      </c>
      <c r="CY1070" s="48" t="str">
        <f t="shared" ca="1" si="1236"/>
        <v>MASTRO</v>
      </c>
      <c r="DA1070" s="48" t="str">
        <f ca="1">IF(DB1069="","","Num. riga")</f>
        <v/>
      </c>
      <c r="DB1070" s="48" t="str">
        <f t="shared" ref="DB1070" ca="1" si="1238">IF(DB1069="","","Data")</f>
        <v/>
      </c>
      <c r="DC1070" s="48" t="str">
        <f ca="1">IF(DB1069="","","Operazioni")</f>
        <v/>
      </c>
      <c r="DD1070" s="48" t="str">
        <f ca="1">IF(DB1069="","","Dare        ")</f>
        <v/>
      </c>
      <c r="DE1070" s="48" t="str">
        <f ca="1">IF(DB1069="","","Avere        ")</f>
        <v/>
      </c>
      <c r="DF1070" s="48">
        <f ca="1">IF(AND(CX1070=$DF$1,CX1070&lt;&gt;""),0,IF(AND(DB1070&lt;&gt;"",OR(DB1069&lt;&gt;"",DB1071&lt;&gt;"")),MAX($DF$2:DF1069)+1,0))</f>
        <v>0</v>
      </c>
    </row>
    <row r="1071" spans="102:110" x14ac:dyDescent="0.3">
      <c r="CX1071" s="48">
        <f t="shared" ca="1" si="1237"/>
        <v>83</v>
      </c>
      <c r="CY1071" s="48" t="str">
        <f t="shared" ca="1" si="1236"/>
        <v>MASTRO</v>
      </c>
      <c r="CZ1071" s="48" t="e">
        <f t="shared" ref="CZ1071:CZ1080" ca="1" si="1239">SUM(MATCH($CY1071,INDIRECT(ADDRESS(SUM(CZ1070)+3,54)&amp;":"&amp;ADDRESS(400,54)),0),CZ1070)</f>
        <v>#N/A</v>
      </c>
      <c r="DA1071" s="48" t="str">
        <f ca="1">IFERROR(INDEX(LIBRO_GIORNALE,CZ1071,1),"")</f>
        <v/>
      </c>
      <c r="DB1071" s="48" t="str">
        <f t="shared" ca="1" si="1230"/>
        <v/>
      </c>
      <c r="DC1071" s="48" t="str">
        <f t="shared" ref="DC1071:DC1080" ca="1" si="1240">IF(IFERROR(INDEX(LIBRO_GIORNALE,CZ1071,4),"")=0,"manca la descrizione dell'operazione",IFERROR(INDEX(LIBRO_GIORNALE,CZ1071,4),""))</f>
        <v/>
      </c>
      <c r="DD1071" s="48" t="str">
        <f t="shared" ref="DD1071:DD1080" ca="1" si="1241">IFERROR(IF(INDEX(LIBRO_GIORNALE,CZ1071,5)&gt;0,INDEX(LIBRO_GIORNALE,CZ1071,5),""),"")</f>
        <v/>
      </c>
      <c r="DE1071" s="48" t="str">
        <f t="shared" ref="DE1071:DE1080" ca="1" si="1242">IFERROR(IF(INDEX(LIBRO_GIORNALE,CZ1071,6)&gt;0,INDEX(LIBRO_GIORNALE,CZ1071,6),""),"")</f>
        <v/>
      </c>
      <c r="DF1071" s="48">
        <f ca="1">IF(AND(CX1071=$DF$1,CX1071&lt;&gt;""),0,IF(AND(DB1071&lt;&gt;"",OR(DB1070&lt;&gt;"",DB1072&lt;&gt;"")),MAX($DF$2:DF1070)+1,0))</f>
        <v>0</v>
      </c>
    </row>
    <row r="1072" spans="102:110" x14ac:dyDescent="0.3">
      <c r="CX1072" s="48">
        <f t="shared" ca="1" si="1237"/>
        <v>83</v>
      </c>
      <c r="CY1072" s="48" t="str">
        <f t="shared" ca="1" si="1236"/>
        <v>MASTRO</v>
      </c>
      <c r="CZ1072" s="48" t="e">
        <f t="shared" ca="1" si="1239"/>
        <v>#N/A</v>
      </c>
      <c r="DA1072" s="48" t="str">
        <f t="shared" ref="DA1072:DA1080" ca="1" si="1243">IFERROR(INDEX(LIBRO_GIORNALE,CZ1072,1),"")</f>
        <v/>
      </c>
      <c r="DB1072" s="48" t="str">
        <f t="shared" ca="1" si="1230"/>
        <v/>
      </c>
      <c r="DC1072" s="48" t="str">
        <f t="shared" ca="1" si="1240"/>
        <v/>
      </c>
      <c r="DD1072" s="48" t="str">
        <f t="shared" ca="1" si="1241"/>
        <v/>
      </c>
      <c r="DE1072" s="48" t="str">
        <f t="shared" ca="1" si="1242"/>
        <v/>
      </c>
      <c r="DF1072" s="48">
        <f ca="1">IF(AND(CX1072=$DF$1,CX1072&lt;&gt;""),0,IF(AND(DB1072&lt;&gt;"",OR(DB1071&lt;&gt;"",DB1073&lt;&gt;"")),MAX($DF$2:DF1071)+1,0))</f>
        <v>0</v>
      </c>
    </row>
    <row r="1073" spans="102:110" x14ac:dyDescent="0.3">
      <c r="CX1073" s="48">
        <f t="shared" ca="1" si="1237"/>
        <v>83</v>
      </c>
      <c r="CY1073" s="48" t="str">
        <f t="shared" ca="1" si="1236"/>
        <v>MASTRO</v>
      </c>
      <c r="CZ1073" s="48" t="e">
        <f t="shared" ca="1" si="1239"/>
        <v>#N/A</v>
      </c>
      <c r="DA1073" s="48" t="str">
        <f t="shared" ca="1" si="1243"/>
        <v/>
      </c>
      <c r="DB1073" s="48" t="str">
        <f t="shared" ca="1" si="1230"/>
        <v/>
      </c>
      <c r="DC1073" s="48" t="str">
        <f t="shared" ca="1" si="1240"/>
        <v/>
      </c>
      <c r="DD1073" s="48" t="str">
        <f t="shared" ca="1" si="1241"/>
        <v/>
      </c>
      <c r="DE1073" s="48" t="str">
        <f t="shared" ca="1" si="1242"/>
        <v/>
      </c>
      <c r="DF1073" s="48">
        <f ca="1">IF(AND(CX1073=$DF$1,CX1073&lt;&gt;""),0,IF(AND(DB1073&lt;&gt;"",OR(DB1072&lt;&gt;"",DB1074&lt;&gt;"")),MAX($DF$2:DF1072)+1,0))</f>
        <v>0</v>
      </c>
    </row>
    <row r="1074" spans="102:110" x14ac:dyDescent="0.3">
      <c r="CX1074" s="48">
        <f t="shared" ca="1" si="1237"/>
        <v>83</v>
      </c>
      <c r="CY1074" s="48" t="str">
        <f t="shared" ca="1" si="1236"/>
        <v>MASTRO</v>
      </c>
      <c r="CZ1074" s="48" t="e">
        <f t="shared" ca="1" si="1239"/>
        <v>#N/A</v>
      </c>
      <c r="DA1074" s="48" t="str">
        <f t="shared" ca="1" si="1243"/>
        <v/>
      </c>
      <c r="DB1074" s="48" t="str">
        <f t="shared" ca="1" si="1230"/>
        <v/>
      </c>
      <c r="DC1074" s="48" t="str">
        <f t="shared" ca="1" si="1240"/>
        <v/>
      </c>
      <c r="DD1074" s="48" t="str">
        <f t="shared" ca="1" si="1241"/>
        <v/>
      </c>
      <c r="DE1074" s="48" t="str">
        <f t="shared" ca="1" si="1242"/>
        <v/>
      </c>
      <c r="DF1074" s="48">
        <f ca="1">IF(AND(CX1074=$DF$1,CX1074&lt;&gt;""),0,IF(AND(DB1074&lt;&gt;"",OR(DB1073&lt;&gt;"",DB1075&lt;&gt;"")),MAX($DF$2:DF1073)+1,0))</f>
        <v>0</v>
      </c>
    </row>
    <row r="1075" spans="102:110" x14ac:dyDescent="0.3">
      <c r="CX1075" s="48">
        <f t="shared" ca="1" si="1237"/>
        <v>83</v>
      </c>
      <c r="CY1075" s="48" t="str">
        <f t="shared" ca="1" si="1236"/>
        <v>MASTRO</v>
      </c>
      <c r="CZ1075" s="48" t="e">
        <f t="shared" ca="1" si="1239"/>
        <v>#N/A</v>
      </c>
      <c r="DA1075" s="48" t="str">
        <f t="shared" ca="1" si="1243"/>
        <v/>
      </c>
      <c r="DB1075" s="48" t="str">
        <f t="shared" ca="1" si="1230"/>
        <v/>
      </c>
      <c r="DC1075" s="48" t="str">
        <f t="shared" ca="1" si="1240"/>
        <v/>
      </c>
      <c r="DD1075" s="48" t="str">
        <f t="shared" ca="1" si="1241"/>
        <v/>
      </c>
      <c r="DE1075" s="48" t="str">
        <f t="shared" ca="1" si="1242"/>
        <v/>
      </c>
      <c r="DF1075" s="48">
        <f ca="1">IF(AND(CX1075=$DF$1,CX1075&lt;&gt;""),0,IF(AND(DB1075&lt;&gt;"",OR(DB1074&lt;&gt;"",DB1076&lt;&gt;"")),MAX($DF$2:DF1074)+1,0))</f>
        <v>0</v>
      </c>
    </row>
    <row r="1076" spans="102:110" x14ac:dyDescent="0.3">
      <c r="CX1076" s="48">
        <f t="shared" ca="1" si="1237"/>
        <v>83</v>
      </c>
      <c r="CY1076" s="48" t="str">
        <f t="shared" ca="1" si="1236"/>
        <v>MASTRO</v>
      </c>
      <c r="CZ1076" s="48" t="e">
        <f t="shared" ca="1" si="1239"/>
        <v>#N/A</v>
      </c>
      <c r="DA1076" s="48" t="str">
        <f t="shared" ca="1" si="1243"/>
        <v/>
      </c>
      <c r="DB1076" s="48" t="str">
        <f t="shared" ca="1" si="1230"/>
        <v/>
      </c>
      <c r="DC1076" s="48" t="str">
        <f t="shared" ca="1" si="1240"/>
        <v/>
      </c>
      <c r="DD1076" s="48" t="str">
        <f t="shared" ca="1" si="1241"/>
        <v/>
      </c>
      <c r="DE1076" s="48" t="str">
        <f t="shared" ca="1" si="1242"/>
        <v/>
      </c>
      <c r="DF1076" s="48">
        <f ca="1">IF(AND(CX1076=$DF$1,CX1076&lt;&gt;""),0,IF(AND(DB1076&lt;&gt;"",OR(DB1075&lt;&gt;"",DB1077&lt;&gt;"")),MAX($DF$2:DF1075)+1,0))</f>
        <v>0</v>
      </c>
    </row>
    <row r="1077" spans="102:110" x14ac:dyDescent="0.3">
      <c r="CX1077" s="48">
        <f t="shared" ca="1" si="1237"/>
        <v>83</v>
      </c>
      <c r="CY1077" s="48" t="str">
        <f t="shared" ca="1" si="1236"/>
        <v>MASTRO</v>
      </c>
      <c r="CZ1077" s="48" t="e">
        <f t="shared" ca="1" si="1239"/>
        <v>#N/A</v>
      </c>
      <c r="DA1077" s="48" t="str">
        <f t="shared" ca="1" si="1243"/>
        <v/>
      </c>
      <c r="DB1077" s="48" t="str">
        <f t="shared" ca="1" si="1230"/>
        <v/>
      </c>
      <c r="DC1077" s="48" t="str">
        <f t="shared" ca="1" si="1240"/>
        <v/>
      </c>
      <c r="DD1077" s="48" t="str">
        <f t="shared" ca="1" si="1241"/>
        <v/>
      </c>
      <c r="DE1077" s="48" t="str">
        <f t="shared" ca="1" si="1242"/>
        <v/>
      </c>
      <c r="DF1077" s="48">
        <f ca="1">IF(AND(CX1077=$DF$1,CX1077&lt;&gt;""),0,IF(AND(DB1077&lt;&gt;"",OR(DB1076&lt;&gt;"",DB1078&lt;&gt;"")),MAX($DF$2:DF1076)+1,0))</f>
        <v>0</v>
      </c>
    </row>
    <row r="1078" spans="102:110" x14ac:dyDescent="0.3">
      <c r="CX1078" s="48">
        <f t="shared" ca="1" si="1237"/>
        <v>83</v>
      </c>
      <c r="CY1078" s="48" t="str">
        <f t="shared" ca="1" si="1236"/>
        <v>MASTRO</v>
      </c>
      <c r="CZ1078" s="48" t="e">
        <f t="shared" ca="1" si="1239"/>
        <v>#N/A</v>
      </c>
      <c r="DA1078" s="48" t="str">
        <f t="shared" ca="1" si="1243"/>
        <v/>
      </c>
      <c r="DB1078" s="48" t="str">
        <f t="shared" ca="1" si="1230"/>
        <v/>
      </c>
      <c r="DC1078" s="48" t="str">
        <f t="shared" ca="1" si="1240"/>
        <v/>
      </c>
      <c r="DD1078" s="48" t="str">
        <f t="shared" ca="1" si="1241"/>
        <v/>
      </c>
      <c r="DE1078" s="48" t="str">
        <f t="shared" ca="1" si="1242"/>
        <v/>
      </c>
      <c r="DF1078" s="48">
        <f ca="1">IF(AND(CX1078=$DF$1,CX1078&lt;&gt;""),0,IF(AND(DB1078&lt;&gt;"",OR(DB1077&lt;&gt;"",DB1079&lt;&gt;"")),MAX($DF$2:DF1077)+1,0))</f>
        <v>0</v>
      </c>
    </row>
    <row r="1079" spans="102:110" x14ac:dyDescent="0.3">
      <c r="CX1079" s="48">
        <f t="shared" ca="1" si="1237"/>
        <v>83</v>
      </c>
      <c r="CY1079" s="48" t="str">
        <f t="shared" ca="1" si="1236"/>
        <v>MASTRO</v>
      </c>
      <c r="CZ1079" s="48" t="e">
        <f t="shared" ca="1" si="1239"/>
        <v>#N/A</v>
      </c>
      <c r="DA1079" s="48" t="str">
        <f t="shared" ca="1" si="1243"/>
        <v/>
      </c>
      <c r="DB1079" s="48" t="str">
        <f t="shared" ca="1" si="1230"/>
        <v/>
      </c>
      <c r="DC1079" s="48" t="str">
        <f t="shared" ca="1" si="1240"/>
        <v/>
      </c>
      <c r="DD1079" s="48" t="str">
        <f t="shared" ca="1" si="1241"/>
        <v/>
      </c>
      <c r="DE1079" s="48" t="str">
        <f t="shared" ca="1" si="1242"/>
        <v/>
      </c>
      <c r="DF1079" s="48">
        <f ca="1">IF(AND(CX1079=$DF$1,CX1079&lt;&gt;""),0,IF(AND(DB1079&lt;&gt;"",OR(DB1078&lt;&gt;"",DB1080&lt;&gt;"")),MAX($DF$2:DF1078)+1,0))</f>
        <v>0</v>
      </c>
    </row>
    <row r="1080" spans="102:110" x14ac:dyDescent="0.3">
      <c r="CX1080" s="48">
        <f t="shared" ca="1" si="1237"/>
        <v>83</v>
      </c>
      <c r="CY1080" s="48" t="str">
        <f t="shared" ca="1" si="1236"/>
        <v>MASTRO</v>
      </c>
      <c r="CZ1080" s="48" t="e">
        <f t="shared" ca="1" si="1239"/>
        <v>#N/A</v>
      </c>
      <c r="DA1080" s="48" t="str">
        <f t="shared" ca="1" si="1243"/>
        <v/>
      </c>
      <c r="DB1080" s="48" t="str">
        <f t="shared" ca="1" si="1230"/>
        <v/>
      </c>
      <c r="DC1080" s="48" t="str">
        <f t="shared" ca="1" si="1240"/>
        <v/>
      </c>
      <c r="DD1080" s="48" t="str">
        <f t="shared" ca="1" si="1241"/>
        <v/>
      </c>
      <c r="DE1080" s="48" t="str">
        <f t="shared" ca="1" si="1242"/>
        <v/>
      </c>
      <c r="DF1080" s="48">
        <f ca="1">IF(AND(CX1080=$DF$1,CX1080&lt;&gt;""),0,IF(AND(DB1080&lt;&gt;"",OR(DB1079&lt;&gt;"",DB1081&lt;&gt;"")),MAX($DF$2:DF1079)+1,0))</f>
        <v>0</v>
      </c>
    </row>
    <row r="1081" spans="102:110" x14ac:dyDescent="0.3">
      <c r="CY1081" s="48" t="s">
        <v>500</v>
      </c>
      <c r="DB1081" s="48" t="str">
        <f t="shared" ref="DB1081" ca="1" si="1244">IF(CX1080=$DF$1,"","MASTRO")</f>
        <v>MASTRO</v>
      </c>
      <c r="DF1081" s="48">
        <f ca="1">IF(AND(CX1081=$DF$1,CX1081&lt;&gt;""),0,IF(AND(DB1081&lt;&gt;"",OR(DB1080&lt;&gt;"",DB1082&lt;&gt;"")),MAX($DF$2:DF1080)+1,0))</f>
        <v>0</v>
      </c>
    </row>
    <row r="1082" spans="102:110" x14ac:dyDescent="0.3">
      <c r="CX1082" s="48">
        <f ca="1">$FF$86</f>
        <v>84</v>
      </c>
      <c r="CY1082" s="48" t="str">
        <f t="shared" ref="CY1082:CY1093" ca="1" si="1245">IF(ISERROR(INDEX($CV$3:$CX$1302,MATCH(CX1082,$CW$3:$CW$1302,0),1)),"MASTRO",INDEX($CV$3:$CX$1302,MATCH(CX1082,$CW$3:$CW$1302,0),1))</f>
        <v>MASTRO</v>
      </c>
      <c r="DA1082" s="48" t="str">
        <f>IF(CY1081="MASTRO","Conto n.","")</f>
        <v>Conto n.</v>
      </c>
      <c r="DB1082" s="48" t="str">
        <f ca="1">IF(CY1082=0,"",INDEX(PDC,MATCH(DC1082,DEN_PDC,0),1))</f>
        <v/>
      </c>
      <c r="DC1082" s="48" t="str">
        <f ca="1">IF(OR(CY1082=0,CY1082="mastro"),"",CY1082)</f>
        <v/>
      </c>
      <c r="DD1082" s="48" t="str">
        <f ca="1">IF(AND($DA$2=TRUE,OR(INDEX(PDC,MATCH($DC1082,DEN_PDC,0),4)="A",INDEX(PDC,MATCH($DC1082,DEN_PDC,0),4)="D/A"),SUMIFS(AVERE,DEN_G,"="&amp;$DC1082,DATA,"&lt;="&amp;FINE_AC,DATA,"&gt;="&amp;INIZIO_AC)&gt;SUMIFS(DARE,DEN_G,"="&amp;$DC1082,DATA,"&lt;="&amp;FINE_AC,DATA,"&gt;="&amp;INIZIO_AC)),CONCATENATE("s ",FIXED(ABS(SUMIFS(AVERE,DEN_G,"="&amp;$DC1082,DATA,"&lt;="&amp;FINE_AC,DATA,"&gt;="&amp;INIZIO_AC)-SUMIFS(DARE,DEN_G,"="&amp;$DC1082,DATA,"&lt;="&amp;FINE_AC,DATA,"&gt;="&amp;INIZIO_AC)),2)),"")</f>
        <v/>
      </c>
      <c r="DE1082" s="48" t="str">
        <f ca="1">IF(AND($DA$2=TRUE,OR(INDEX(PDC,MATCH($DC1082,DEN_PDC,0),4)="D",INDEX(PDC,MATCH($DC1082,DEN_PDC,0),4)="D/A"),SUMIFS(DARE,DEN_G,"="&amp;$DC1082,DATA,"&lt;="&amp;FINE_AC,DATA,"&gt;="&amp;INIZIO_AC)&gt;SUMIFS(AVERE,DEN_G,"="&amp;$DC1082,DATA,"&lt;="&amp;FINE_AC,DATA,"&gt;="&amp;INIZIO_AC)),CONCATENATE("s ",FIXED(ABS(SUMIFS(DARE,DEN_G,"="&amp;$DC1082,DATA,"&lt;="&amp;FINE_AC,DATA,"&gt;="&amp;INIZIO_AC)-SUMIFS(AVERE,DEN_G,"="&amp;$DC1082,DATA,"&lt;="&amp;FINE_AC,DATA,"&gt;="&amp;INIZIO_AC)),2)),"")</f>
        <v/>
      </c>
      <c r="DF1082" s="48">
        <f ca="1">IF(AND(CX1082=$DF$1,CX1082&lt;&gt;""),0,IF(AND(DB1082&lt;&gt;"",OR(DB1081&lt;&gt;"",DB1083&lt;&gt;"")),MAX($DF$2:DF1081)+1,0))</f>
        <v>0</v>
      </c>
    </row>
    <row r="1083" spans="102:110" x14ac:dyDescent="0.3">
      <c r="CX1083" s="48">
        <f t="shared" ref="CX1083:CX1093" ca="1" si="1246">$FF$86</f>
        <v>84</v>
      </c>
      <c r="CY1083" s="48" t="str">
        <f t="shared" ca="1" si="1245"/>
        <v>MASTRO</v>
      </c>
      <c r="DA1083" s="48" t="str">
        <f ca="1">IF(DB1082="","","Num. riga")</f>
        <v/>
      </c>
      <c r="DB1083" s="48" t="str">
        <f t="shared" ref="DB1083" ca="1" si="1247">IF(DB1082="","","Data")</f>
        <v/>
      </c>
      <c r="DC1083" s="48" t="str">
        <f ca="1">IF(DB1082="","","Operazioni")</f>
        <v/>
      </c>
      <c r="DD1083" s="48" t="str">
        <f ca="1">IF(DB1082="","","Dare        ")</f>
        <v/>
      </c>
      <c r="DE1083" s="48" t="str">
        <f ca="1">IF(DB1082="","","Avere        ")</f>
        <v/>
      </c>
      <c r="DF1083" s="48">
        <f ca="1">IF(AND(CX1083=$DF$1,CX1083&lt;&gt;""),0,IF(AND(DB1083&lt;&gt;"",OR(DB1082&lt;&gt;"",DB1084&lt;&gt;"")),MAX($DF$2:DF1082)+1,0))</f>
        <v>0</v>
      </c>
    </row>
    <row r="1084" spans="102:110" x14ac:dyDescent="0.3">
      <c r="CX1084" s="48">
        <f t="shared" ca="1" si="1246"/>
        <v>84</v>
      </c>
      <c r="CY1084" s="48" t="str">
        <f t="shared" ca="1" si="1245"/>
        <v>MASTRO</v>
      </c>
      <c r="CZ1084" s="48" t="e">
        <f t="shared" ref="CZ1084:CZ1093" ca="1" si="1248">SUM(MATCH($CY1084,INDIRECT(ADDRESS(SUM(CZ1083)+3,54)&amp;":"&amp;ADDRESS(400,54)),0),CZ1083)</f>
        <v>#N/A</v>
      </c>
      <c r="DA1084" s="48" t="str">
        <f ca="1">IFERROR(INDEX(LIBRO_GIORNALE,CZ1084,1),"")</f>
        <v/>
      </c>
      <c r="DB1084" s="48" t="str">
        <f t="shared" ca="1" si="1230"/>
        <v/>
      </c>
      <c r="DC1084" s="48" t="str">
        <f t="shared" ref="DC1084:DC1093" ca="1" si="1249">IF(IFERROR(INDEX(LIBRO_GIORNALE,CZ1084,4),"")=0,"manca la descrizione dell'operazione",IFERROR(INDEX(LIBRO_GIORNALE,CZ1084,4),""))</f>
        <v/>
      </c>
      <c r="DD1084" s="48" t="str">
        <f t="shared" ref="DD1084:DD1093" ca="1" si="1250">IFERROR(IF(INDEX(LIBRO_GIORNALE,CZ1084,5)&gt;0,INDEX(LIBRO_GIORNALE,CZ1084,5),""),"")</f>
        <v/>
      </c>
      <c r="DE1084" s="48" t="str">
        <f t="shared" ref="DE1084:DE1093" ca="1" si="1251">IFERROR(IF(INDEX(LIBRO_GIORNALE,CZ1084,6)&gt;0,INDEX(LIBRO_GIORNALE,CZ1084,6),""),"")</f>
        <v/>
      </c>
      <c r="DF1084" s="48">
        <f ca="1">IF(AND(CX1084=$DF$1,CX1084&lt;&gt;""),0,IF(AND(DB1084&lt;&gt;"",OR(DB1083&lt;&gt;"",DB1085&lt;&gt;"")),MAX($DF$2:DF1083)+1,0))</f>
        <v>0</v>
      </c>
    </row>
    <row r="1085" spans="102:110" x14ac:dyDescent="0.3">
      <c r="CX1085" s="48">
        <f t="shared" ca="1" si="1246"/>
        <v>84</v>
      </c>
      <c r="CY1085" s="48" t="str">
        <f t="shared" ca="1" si="1245"/>
        <v>MASTRO</v>
      </c>
      <c r="CZ1085" s="48" t="e">
        <f t="shared" ca="1" si="1248"/>
        <v>#N/A</v>
      </c>
      <c r="DA1085" s="48" t="str">
        <f t="shared" ref="DA1085:DA1093" ca="1" si="1252">IFERROR(INDEX(LIBRO_GIORNALE,CZ1085,1),"")</f>
        <v/>
      </c>
      <c r="DB1085" s="48" t="str">
        <f t="shared" ca="1" si="1230"/>
        <v/>
      </c>
      <c r="DC1085" s="48" t="str">
        <f t="shared" ca="1" si="1249"/>
        <v/>
      </c>
      <c r="DD1085" s="48" t="str">
        <f t="shared" ca="1" si="1250"/>
        <v/>
      </c>
      <c r="DE1085" s="48" t="str">
        <f t="shared" ca="1" si="1251"/>
        <v/>
      </c>
      <c r="DF1085" s="48">
        <f ca="1">IF(AND(CX1085=$DF$1,CX1085&lt;&gt;""),0,IF(AND(DB1085&lt;&gt;"",OR(DB1084&lt;&gt;"",DB1086&lt;&gt;"")),MAX($DF$2:DF1084)+1,0))</f>
        <v>0</v>
      </c>
    </row>
    <row r="1086" spans="102:110" x14ac:dyDescent="0.3">
      <c r="CX1086" s="48">
        <f t="shared" ca="1" si="1246"/>
        <v>84</v>
      </c>
      <c r="CY1086" s="48" t="str">
        <f t="shared" ca="1" si="1245"/>
        <v>MASTRO</v>
      </c>
      <c r="CZ1086" s="48" t="e">
        <f t="shared" ca="1" si="1248"/>
        <v>#N/A</v>
      </c>
      <c r="DA1086" s="48" t="str">
        <f t="shared" ca="1" si="1252"/>
        <v/>
      </c>
      <c r="DB1086" s="48" t="str">
        <f t="shared" ca="1" si="1230"/>
        <v/>
      </c>
      <c r="DC1086" s="48" t="str">
        <f t="shared" ca="1" si="1249"/>
        <v/>
      </c>
      <c r="DD1086" s="48" t="str">
        <f t="shared" ca="1" si="1250"/>
        <v/>
      </c>
      <c r="DE1086" s="48" t="str">
        <f t="shared" ca="1" si="1251"/>
        <v/>
      </c>
      <c r="DF1086" s="48">
        <f ca="1">IF(AND(CX1086=$DF$1,CX1086&lt;&gt;""),0,IF(AND(DB1086&lt;&gt;"",OR(DB1085&lt;&gt;"",DB1087&lt;&gt;"")),MAX($DF$2:DF1085)+1,0))</f>
        <v>0</v>
      </c>
    </row>
    <row r="1087" spans="102:110" x14ac:dyDescent="0.3">
      <c r="CX1087" s="48">
        <f t="shared" ca="1" si="1246"/>
        <v>84</v>
      </c>
      <c r="CY1087" s="48" t="str">
        <f t="shared" ca="1" si="1245"/>
        <v>MASTRO</v>
      </c>
      <c r="CZ1087" s="48" t="e">
        <f t="shared" ca="1" si="1248"/>
        <v>#N/A</v>
      </c>
      <c r="DA1087" s="48" t="str">
        <f t="shared" ca="1" si="1252"/>
        <v/>
      </c>
      <c r="DB1087" s="48" t="str">
        <f t="shared" ca="1" si="1230"/>
        <v/>
      </c>
      <c r="DC1087" s="48" t="str">
        <f t="shared" ca="1" si="1249"/>
        <v/>
      </c>
      <c r="DD1087" s="48" t="str">
        <f t="shared" ca="1" si="1250"/>
        <v/>
      </c>
      <c r="DE1087" s="48" t="str">
        <f t="shared" ca="1" si="1251"/>
        <v/>
      </c>
      <c r="DF1087" s="48">
        <f ca="1">IF(AND(CX1087=$DF$1,CX1087&lt;&gt;""),0,IF(AND(DB1087&lt;&gt;"",OR(DB1086&lt;&gt;"",DB1088&lt;&gt;"")),MAX($DF$2:DF1086)+1,0))</f>
        <v>0</v>
      </c>
    </row>
    <row r="1088" spans="102:110" x14ac:dyDescent="0.3">
      <c r="CX1088" s="48">
        <f t="shared" ca="1" si="1246"/>
        <v>84</v>
      </c>
      <c r="CY1088" s="48" t="str">
        <f t="shared" ca="1" si="1245"/>
        <v>MASTRO</v>
      </c>
      <c r="CZ1088" s="48" t="e">
        <f t="shared" ca="1" si="1248"/>
        <v>#N/A</v>
      </c>
      <c r="DA1088" s="48" t="str">
        <f t="shared" ca="1" si="1252"/>
        <v/>
      </c>
      <c r="DB1088" s="48" t="str">
        <f t="shared" ca="1" si="1230"/>
        <v/>
      </c>
      <c r="DC1088" s="48" t="str">
        <f t="shared" ca="1" si="1249"/>
        <v/>
      </c>
      <c r="DD1088" s="48" t="str">
        <f t="shared" ca="1" si="1250"/>
        <v/>
      </c>
      <c r="DE1088" s="48" t="str">
        <f t="shared" ca="1" si="1251"/>
        <v/>
      </c>
      <c r="DF1088" s="48">
        <f ca="1">IF(AND(CX1088=$DF$1,CX1088&lt;&gt;""),0,IF(AND(DB1088&lt;&gt;"",OR(DB1087&lt;&gt;"",DB1089&lt;&gt;"")),MAX($DF$2:DF1087)+1,0))</f>
        <v>0</v>
      </c>
    </row>
    <row r="1089" spans="102:110" x14ac:dyDescent="0.3">
      <c r="CX1089" s="48">
        <f t="shared" ca="1" si="1246"/>
        <v>84</v>
      </c>
      <c r="CY1089" s="48" t="str">
        <f t="shared" ca="1" si="1245"/>
        <v>MASTRO</v>
      </c>
      <c r="CZ1089" s="48" t="e">
        <f t="shared" ca="1" si="1248"/>
        <v>#N/A</v>
      </c>
      <c r="DA1089" s="48" t="str">
        <f t="shared" ca="1" si="1252"/>
        <v/>
      </c>
      <c r="DB1089" s="48" t="str">
        <f t="shared" ca="1" si="1230"/>
        <v/>
      </c>
      <c r="DC1089" s="48" t="str">
        <f t="shared" ca="1" si="1249"/>
        <v/>
      </c>
      <c r="DD1089" s="48" t="str">
        <f t="shared" ca="1" si="1250"/>
        <v/>
      </c>
      <c r="DE1089" s="48" t="str">
        <f t="shared" ca="1" si="1251"/>
        <v/>
      </c>
      <c r="DF1089" s="48">
        <f ca="1">IF(AND(CX1089=$DF$1,CX1089&lt;&gt;""),0,IF(AND(DB1089&lt;&gt;"",OR(DB1088&lt;&gt;"",DB1090&lt;&gt;"")),MAX($DF$2:DF1088)+1,0))</f>
        <v>0</v>
      </c>
    </row>
    <row r="1090" spans="102:110" x14ac:dyDescent="0.3">
      <c r="CX1090" s="48">
        <f t="shared" ca="1" si="1246"/>
        <v>84</v>
      </c>
      <c r="CY1090" s="48" t="str">
        <f t="shared" ca="1" si="1245"/>
        <v>MASTRO</v>
      </c>
      <c r="CZ1090" s="48" t="e">
        <f t="shared" ca="1" si="1248"/>
        <v>#N/A</v>
      </c>
      <c r="DA1090" s="48" t="str">
        <f t="shared" ca="1" si="1252"/>
        <v/>
      </c>
      <c r="DB1090" s="48" t="str">
        <f t="shared" ca="1" si="1230"/>
        <v/>
      </c>
      <c r="DC1090" s="48" t="str">
        <f t="shared" ca="1" si="1249"/>
        <v/>
      </c>
      <c r="DD1090" s="48" t="str">
        <f t="shared" ca="1" si="1250"/>
        <v/>
      </c>
      <c r="DE1090" s="48" t="str">
        <f t="shared" ca="1" si="1251"/>
        <v/>
      </c>
      <c r="DF1090" s="48">
        <f ca="1">IF(AND(CX1090=$DF$1,CX1090&lt;&gt;""),0,IF(AND(DB1090&lt;&gt;"",OR(DB1089&lt;&gt;"",DB1091&lt;&gt;"")),MAX($DF$2:DF1089)+1,0))</f>
        <v>0</v>
      </c>
    </row>
    <row r="1091" spans="102:110" x14ac:dyDescent="0.3">
      <c r="CX1091" s="48">
        <f t="shared" ca="1" si="1246"/>
        <v>84</v>
      </c>
      <c r="CY1091" s="48" t="str">
        <f t="shared" ca="1" si="1245"/>
        <v>MASTRO</v>
      </c>
      <c r="CZ1091" s="48" t="e">
        <f t="shared" ca="1" si="1248"/>
        <v>#N/A</v>
      </c>
      <c r="DA1091" s="48" t="str">
        <f t="shared" ca="1" si="1252"/>
        <v/>
      </c>
      <c r="DB1091" s="48" t="str">
        <f t="shared" ca="1" si="1230"/>
        <v/>
      </c>
      <c r="DC1091" s="48" t="str">
        <f t="shared" ca="1" si="1249"/>
        <v/>
      </c>
      <c r="DD1091" s="48" t="str">
        <f t="shared" ca="1" si="1250"/>
        <v/>
      </c>
      <c r="DE1091" s="48" t="str">
        <f t="shared" ca="1" si="1251"/>
        <v/>
      </c>
      <c r="DF1091" s="48">
        <f ca="1">IF(AND(CX1091=$DF$1,CX1091&lt;&gt;""),0,IF(AND(DB1091&lt;&gt;"",OR(DB1090&lt;&gt;"",DB1092&lt;&gt;"")),MAX($DF$2:DF1090)+1,0))</f>
        <v>0</v>
      </c>
    </row>
    <row r="1092" spans="102:110" x14ac:dyDescent="0.3">
      <c r="CX1092" s="48">
        <f t="shared" ca="1" si="1246"/>
        <v>84</v>
      </c>
      <c r="CY1092" s="48" t="str">
        <f t="shared" ca="1" si="1245"/>
        <v>MASTRO</v>
      </c>
      <c r="CZ1092" s="48" t="e">
        <f t="shared" ca="1" si="1248"/>
        <v>#N/A</v>
      </c>
      <c r="DA1092" s="48" t="str">
        <f t="shared" ca="1" si="1252"/>
        <v/>
      </c>
      <c r="DB1092" s="48" t="str">
        <f t="shared" ca="1" si="1230"/>
        <v/>
      </c>
      <c r="DC1092" s="48" t="str">
        <f t="shared" ca="1" si="1249"/>
        <v/>
      </c>
      <c r="DD1092" s="48" t="str">
        <f t="shared" ca="1" si="1250"/>
        <v/>
      </c>
      <c r="DE1092" s="48" t="str">
        <f t="shared" ca="1" si="1251"/>
        <v/>
      </c>
      <c r="DF1092" s="48">
        <f ca="1">IF(AND(CX1092=$DF$1,CX1092&lt;&gt;""),0,IF(AND(DB1092&lt;&gt;"",OR(DB1091&lt;&gt;"",DB1093&lt;&gt;"")),MAX($DF$2:DF1091)+1,0))</f>
        <v>0</v>
      </c>
    </row>
    <row r="1093" spans="102:110" x14ac:dyDescent="0.3">
      <c r="CX1093" s="48">
        <f t="shared" ca="1" si="1246"/>
        <v>84</v>
      </c>
      <c r="CY1093" s="48" t="str">
        <f t="shared" ca="1" si="1245"/>
        <v>MASTRO</v>
      </c>
      <c r="CZ1093" s="48" t="e">
        <f t="shared" ca="1" si="1248"/>
        <v>#N/A</v>
      </c>
      <c r="DA1093" s="48" t="str">
        <f t="shared" ca="1" si="1252"/>
        <v/>
      </c>
      <c r="DB1093" s="48" t="str">
        <f t="shared" ca="1" si="1230"/>
        <v/>
      </c>
      <c r="DC1093" s="48" t="str">
        <f t="shared" ca="1" si="1249"/>
        <v/>
      </c>
      <c r="DD1093" s="48" t="str">
        <f t="shared" ca="1" si="1250"/>
        <v/>
      </c>
      <c r="DE1093" s="48" t="str">
        <f t="shared" ca="1" si="1251"/>
        <v/>
      </c>
      <c r="DF1093" s="48">
        <f ca="1">IF(AND(CX1093=$DF$1,CX1093&lt;&gt;""),0,IF(AND(DB1093&lt;&gt;"",OR(DB1092&lt;&gt;"",DB1094&lt;&gt;"")),MAX($DF$2:DF1092)+1,0))</f>
        <v>0</v>
      </c>
    </row>
    <row r="1094" spans="102:110" x14ac:dyDescent="0.3">
      <c r="CY1094" s="48" t="s">
        <v>500</v>
      </c>
      <c r="DB1094" s="48" t="str">
        <f t="shared" ref="DB1094" ca="1" si="1253">IF(CX1093=$DF$1,"","MASTRO")</f>
        <v>MASTRO</v>
      </c>
      <c r="DF1094" s="48">
        <f ca="1">IF(AND(CX1094=$DF$1,CX1094&lt;&gt;""),0,IF(AND(DB1094&lt;&gt;"",OR(DB1093&lt;&gt;"",DB1095&lt;&gt;"")),MAX($DF$2:DF1093)+1,0))</f>
        <v>0</v>
      </c>
    </row>
    <row r="1095" spans="102:110" x14ac:dyDescent="0.3">
      <c r="CX1095" s="48">
        <f ca="1">$FF$87</f>
        <v>85</v>
      </c>
      <c r="CY1095" s="48" t="str">
        <f t="shared" ref="CY1095:CY1106" ca="1" si="1254">IF(ISERROR(INDEX($CV$3:$CX$1302,MATCH(CX1095,$CW$3:$CW$1302,0),1)),"MASTRO",INDEX($CV$3:$CX$1302,MATCH(CX1095,$CW$3:$CW$1302,0),1))</f>
        <v>MASTRO</v>
      </c>
      <c r="DA1095" s="48" t="str">
        <f>IF(CY1094="MASTRO","Conto n.","")</f>
        <v>Conto n.</v>
      </c>
      <c r="DB1095" s="48" t="str">
        <f ca="1">IF(CY1095=0,"",INDEX(PDC,MATCH(DC1095,DEN_PDC,0),1))</f>
        <v/>
      </c>
      <c r="DC1095" s="48" t="str">
        <f ca="1">IF(OR(CY1095=0,CY1095="mastro"),"",CY1095)</f>
        <v/>
      </c>
      <c r="DD1095" s="48" t="str">
        <f ca="1">IF(AND($DA$2=TRUE,OR(INDEX(PDC,MATCH($DC1095,DEN_PDC,0),4)="A",INDEX(PDC,MATCH($DC1095,DEN_PDC,0),4)="D/A"),SUMIFS(AVERE,DEN_G,"="&amp;$DC1095,DATA,"&lt;="&amp;FINE_AC,DATA,"&gt;="&amp;INIZIO_AC)&gt;SUMIFS(DARE,DEN_G,"="&amp;$DC1095,DATA,"&lt;="&amp;FINE_AC,DATA,"&gt;="&amp;INIZIO_AC)),CONCATENATE("s ",FIXED(ABS(SUMIFS(AVERE,DEN_G,"="&amp;$DC1095,DATA,"&lt;="&amp;FINE_AC,DATA,"&gt;="&amp;INIZIO_AC)-SUMIFS(DARE,DEN_G,"="&amp;$DC1095,DATA,"&lt;="&amp;FINE_AC,DATA,"&gt;="&amp;INIZIO_AC)),2)),"")</f>
        <v/>
      </c>
      <c r="DE1095" s="48" t="str">
        <f ca="1">IF(AND($DA$2=TRUE,OR(INDEX(PDC,MATCH($DC1095,DEN_PDC,0),4)="D",INDEX(PDC,MATCH($DC1095,DEN_PDC,0),4)="D/A"),SUMIFS(DARE,DEN_G,"="&amp;$DC1095,DATA,"&lt;="&amp;FINE_AC,DATA,"&gt;="&amp;INIZIO_AC)&gt;SUMIFS(AVERE,DEN_G,"="&amp;$DC1095,DATA,"&lt;="&amp;FINE_AC,DATA,"&gt;="&amp;INIZIO_AC)),CONCATENATE("s ",FIXED(ABS(SUMIFS(DARE,DEN_G,"="&amp;$DC1095,DATA,"&lt;="&amp;FINE_AC,DATA,"&gt;="&amp;INIZIO_AC)-SUMIFS(AVERE,DEN_G,"="&amp;$DC1095,DATA,"&lt;="&amp;FINE_AC,DATA,"&gt;="&amp;INIZIO_AC)),2)),"")</f>
        <v/>
      </c>
      <c r="DF1095" s="48">
        <f ca="1">IF(AND(CX1095=$DF$1,CX1095&lt;&gt;""),0,IF(AND(DB1095&lt;&gt;"",OR(DB1094&lt;&gt;"",DB1096&lt;&gt;"")),MAX($DF$2:DF1094)+1,0))</f>
        <v>0</v>
      </c>
    </row>
    <row r="1096" spans="102:110" x14ac:dyDescent="0.3">
      <c r="CX1096" s="48">
        <f t="shared" ref="CX1096:CX1106" ca="1" si="1255">$FF$87</f>
        <v>85</v>
      </c>
      <c r="CY1096" s="48" t="str">
        <f t="shared" ca="1" si="1254"/>
        <v>MASTRO</v>
      </c>
      <c r="DA1096" s="48" t="str">
        <f ca="1">IF(DB1095="","","Num. riga")</f>
        <v/>
      </c>
      <c r="DB1096" s="48" t="str">
        <f t="shared" ref="DB1096" ca="1" si="1256">IF(DB1095="","","Data")</f>
        <v/>
      </c>
      <c r="DC1096" s="48" t="str">
        <f ca="1">IF(DB1095="","","Operazioni")</f>
        <v/>
      </c>
      <c r="DD1096" s="48" t="str">
        <f ca="1">IF(DB1095="","","Dare        ")</f>
        <v/>
      </c>
      <c r="DE1096" s="48" t="str">
        <f ca="1">IF(DB1095="","","Avere        ")</f>
        <v/>
      </c>
      <c r="DF1096" s="48">
        <f ca="1">IF(AND(CX1096=$DF$1,CX1096&lt;&gt;""),0,IF(AND(DB1096&lt;&gt;"",OR(DB1095&lt;&gt;"",DB1097&lt;&gt;"")),MAX($DF$2:DF1095)+1,0))</f>
        <v>0</v>
      </c>
    </row>
    <row r="1097" spans="102:110" x14ac:dyDescent="0.3">
      <c r="CX1097" s="48">
        <f t="shared" ca="1" si="1255"/>
        <v>85</v>
      </c>
      <c r="CY1097" s="48" t="str">
        <f t="shared" ca="1" si="1254"/>
        <v>MASTRO</v>
      </c>
      <c r="CZ1097" s="48" t="e">
        <f t="shared" ref="CZ1097:CZ1106" ca="1" si="1257">SUM(MATCH($CY1097,INDIRECT(ADDRESS(SUM(CZ1096)+3,54)&amp;":"&amp;ADDRESS(400,54)),0),CZ1096)</f>
        <v>#N/A</v>
      </c>
      <c r="DA1097" s="48" t="str">
        <f ca="1">IFERROR(INDEX(LIBRO_GIORNALE,CZ1097,1),"")</f>
        <v/>
      </c>
      <c r="DB1097" s="48" t="str">
        <f t="shared" ca="1" si="1230"/>
        <v/>
      </c>
      <c r="DC1097" s="48" t="str">
        <f t="shared" ref="DC1097:DC1106" ca="1" si="1258">IF(IFERROR(INDEX(LIBRO_GIORNALE,CZ1097,4),"")=0,"manca la descrizione dell'operazione",IFERROR(INDEX(LIBRO_GIORNALE,CZ1097,4),""))</f>
        <v/>
      </c>
      <c r="DD1097" s="48" t="str">
        <f t="shared" ref="DD1097:DD1106" ca="1" si="1259">IFERROR(IF(INDEX(LIBRO_GIORNALE,CZ1097,5)&gt;0,INDEX(LIBRO_GIORNALE,CZ1097,5),""),"")</f>
        <v/>
      </c>
      <c r="DE1097" s="48" t="str">
        <f t="shared" ref="DE1097:DE1106" ca="1" si="1260">IFERROR(IF(INDEX(LIBRO_GIORNALE,CZ1097,6)&gt;0,INDEX(LIBRO_GIORNALE,CZ1097,6),""),"")</f>
        <v/>
      </c>
      <c r="DF1097" s="48">
        <f ca="1">IF(AND(CX1097=$DF$1,CX1097&lt;&gt;""),0,IF(AND(DB1097&lt;&gt;"",OR(DB1096&lt;&gt;"",DB1098&lt;&gt;"")),MAX($DF$2:DF1096)+1,0))</f>
        <v>0</v>
      </c>
    </row>
    <row r="1098" spans="102:110" x14ac:dyDescent="0.3">
      <c r="CX1098" s="48">
        <f t="shared" ca="1" si="1255"/>
        <v>85</v>
      </c>
      <c r="CY1098" s="48" t="str">
        <f t="shared" ca="1" si="1254"/>
        <v>MASTRO</v>
      </c>
      <c r="CZ1098" s="48" t="e">
        <f t="shared" ca="1" si="1257"/>
        <v>#N/A</v>
      </c>
      <c r="DA1098" s="48" t="str">
        <f t="shared" ref="DA1098:DA1106" ca="1" si="1261">IFERROR(INDEX(LIBRO_GIORNALE,CZ1098,1),"")</f>
        <v/>
      </c>
      <c r="DB1098" s="48" t="str">
        <f t="shared" ca="1" si="1230"/>
        <v/>
      </c>
      <c r="DC1098" s="48" t="str">
        <f t="shared" ca="1" si="1258"/>
        <v/>
      </c>
      <c r="DD1098" s="48" t="str">
        <f t="shared" ca="1" si="1259"/>
        <v/>
      </c>
      <c r="DE1098" s="48" t="str">
        <f t="shared" ca="1" si="1260"/>
        <v/>
      </c>
      <c r="DF1098" s="48">
        <f ca="1">IF(AND(CX1098=$DF$1,CX1098&lt;&gt;""),0,IF(AND(DB1098&lt;&gt;"",OR(DB1097&lt;&gt;"",DB1099&lt;&gt;"")),MAX($DF$2:DF1097)+1,0))</f>
        <v>0</v>
      </c>
    </row>
    <row r="1099" spans="102:110" x14ac:dyDescent="0.3">
      <c r="CX1099" s="48">
        <f t="shared" ca="1" si="1255"/>
        <v>85</v>
      </c>
      <c r="CY1099" s="48" t="str">
        <f t="shared" ca="1" si="1254"/>
        <v>MASTRO</v>
      </c>
      <c r="CZ1099" s="48" t="e">
        <f t="shared" ca="1" si="1257"/>
        <v>#N/A</v>
      </c>
      <c r="DA1099" s="48" t="str">
        <f t="shared" ca="1" si="1261"/>
        <v/>
      </c>
      <c r="DB1099" s="48" t="str">
        <f t="shared" ca="1" si="1230"/>
        <v/>
      </c>
      <c r="DC1099" s="48" t="str">
        <f t="shared" ca="1" si="1258"/>
        <v/>
      </c>
      <c r="DD1099" s="48" t="str">
        <f t="shared" ca="1" si="1259"/>
        <v/>
      </c>
      <c r="DE1099" s="48" t="str">
        <f t="shared" ca="1" si="1260"/>
        <v/>
      </c>
      <c r="DF1099" s="48">
        <f ca="1">IF(AND(CX1099=$DF$1,CX1099&lt;&gt;""),0,IF(AND(DB1099&lt;&gt;"",OR(DB1098&lt;&gt;"",DB1100&lt;&gt;"")),MAX($DF$2:DF1098)+1,0))</f>
        <v>0</v>
      </c>
    </row>
    <row r="1100" spans="102:110" x14ac:dyDescent="0.3">
      <c r="CX1100" s="48">
        <f t="shared" ca="1" si="1255"/>
        <v>85</v>
      </c>
      <c r="CY1100" s="48" t="str">
        <f t="shared" ca="1" si="1254"/>
        <v>MASTRO</v>
      </c>
      <c r="CZ1100" s="48" t="e">
        <f t="shared" ca="1" si="1257"/>
        <v>#N/A</v>
      </c>
      <c r="DA1100" s="48" t="str">
        <f t="shared" ca="1" si="1261"/>
        <v/>
      </c>
      <c r="DB1100" s="48" t="str">
        <f t="shared" ca="1" si="1230"/>
        <v/>
      </c>
      <c r="DC1100" s="48" t="str">
        <f t="shared" ca="1" si="1258"/>
        <v/>
      </c>
      <c r="DD1100" s="48" t="str">
        <f t="shared" ca="1" si="1259"/>
        <v/>
      </c>
      <c r="DE1100" s="48" t="str">
        <f t="shared" ca="1" si="1260"/>
        <v/>
      </c>
      <c r="DF1100" s="48">
        <f ca="1">IF(AND(CX1100=$DF$1,CX1100&lt;&gt;""),0,IF(AND(DB1100&lt;&gt;"",OR(DB1099&lt;&gt;"",DB1101&lt;&gt;"")),MAX($DF$2:DF1099)+1,0))</f>
        <v>0</v>
      </c>
    </row>
    <row r="1101" spans="102:110" x14ac:dyDescent="0.3">
      <c r="CX1101" s="48">
        <f t="shared" ca="1" si="1255"/>
        <v>85</v>
      </c>
      <c r="CY1101" s="48" t="str">
        <f t="shared" ca="1" si="1254"/>
        <v>MASTRO</v>
      </c>
      <c r="CZ1101" s="48" t="e">
        <f t="shared" ca="1" si="1257"/>
        <v>#N/A</v>
      </c>
      <c r="DA1101" s="48" t="str">
        <f t="shared" ca="1" si="1261"/>
        <v/>
      </c>
      <c r="DB1101" s="48" t="str">
        <f t="shared" ca="1" si="1230"/>
        <v/>
      </c>
      <c r="DC1101" s="48" t="str">
        <f t="shared" ca="1" si="1258"/>
        <v/>
      </c>
      <c r="DD1101" s="48" t="str">
        <f t="shared" ca="1" si="1259"/>
        <v/>
      </c>
      <c r="DE1101" s="48" t="str">
        <f t="shared" ca="1" si="1260"/>
        <v/>
      </c>
      <c r="DF1101" s="48">
        <f ca="1">IF(AND(CX1101=$DF$1,CX1101&lt;&gt;""),0,IF(AND(DB1101&lt;&gt;"",OR(DB1100&lt;&gt;"",DB1102&lt;&gt;"")),MAX($DF$2:DF1100)+1,0))</f>
        <v>0</v>
      </c>
    </row>
    <row r="1102" spans="102:110" x14ac:dyDescent="0.3">
      <c r="CX1102" s="48">
        <f t="shared" ca="1" si="1255"/>
        <v>85</v>
      </c>
      <c r="CY1102" s="48" t="str">
        <f t="shared" ca="1" si="1254"/>
        <v>MASTRO</v>
      </c>
      <c r="CZ1102" s="48" t="e">
        <f t="shared" ca="1" si="1257"/>
        <v>#N/A</v>
      </c>
      <c r="DA1102" s="48" t="str">
        <f t="shared" ca="1" si="1261"/>
        <v/>
      </c>
      <c r="DB1102" s="48" t="str">
        <f t="shared" ca="1" si="1230"/>
        <v/>
      </c>
      <c r="DC1102" s="48" t="str">
        <f t="shared" ca="1" si="1258"/>
        <v/>
      </c>
      <c r="DD1102" s="48" t="str">
        <f t="shared" ca="1" si="1259"/>
        <v/>
      </c>
      <c r="DE1102" s="48" t="str">
        <f t="shared" ca="1" si="1260"/>
        <v/>
      </c>
      <c r="DF1102" s="48">
        <f ca="1">IF(AND(CX1102=$DF$1,CX1102&lt;&gt;""),0,IF(AND(DB1102&lt;&gt;"",OR(DB1101&lt;&gt;"",DB1103&lt;&gt;"")),MAX($DF$2:DF1101)+1,0))</f>
        <v>0</v>
      </c>
    </row>
    <row r="1103" spans="102:110" x14ac:dyDescent="0.3">
      <c r="CX1103" s="48">
        <f t="shared" ca="1" si="1255"/>
        <v>85</v>
      </c>
      <c r="CY1103" s="48" t="str">
        <f t="shared" ca="1" si="1254"/>
        <v>MASTRO</v>
      </c>
      <c r="CZ1103" s="48" t="e">
        <f t="shared" ca="1" si="1257"/>
        <v>#N/A</v>
      </c>
      <c r="DA1103" s="48" t="str">
        <f t="shared" ca="1" si="1261"/>
        <v/>
      </c>
      <c r="DB1103" s="48" t="str">
        <f t="shared" ca="1" si="1230"/>
        <v/>
      </c>
      <c r="DC1103" s="48" t="str">
        <f t="shared" ca="1" si="1258"/>
        <v/>
      </c>
      <c r="DD1103" s="48" t="str">
        <f t="shared" ca="1" si="1259"/>
        <v/>
      </c>
      <c r="DE1103" s="48" t="str">
        <f t="shared" ca="1" si="1260"/>
        <v/>
      </c>
      <c r="DF1103" s="48">
        <f ca="1">IF(AND(CX1103=$DF$1,CX1103&lt;&gt;""),0,IF(AND(DB1103&lt;&gt;"",OR(DB1102&lt;&gt;"",DB1104&lt;&gt;"")),MAX($DF$2:DF1102)+1,0))</f>
        <v>0</v>
      </c>
    </row>
    <row r="1104" spans="102:110" x14ac:dyDescent="0.3">
      <c r="CX1104" s="48">
        <f t="shared" ca="1" si="1255"/>
        <v>85</v>
      </c>
      <c r="CY1104" s="48" t="str">
        <f t="shared" ca="1" si="1254"/>
        <v>MASTRO</v>
      </c>
      <c r="CZ1104" s="48" t="e">
        <f t="shared" ca="1" si="1257"/>
        <v>#N/A</v>
      </c>
      <c r="DA1104" s="48" t="str">
        <f t="shared" ca="1" si="1261"/>
        <v/>
      </c>
      <c r="DB1104" s="48" t="str">
        <f t="shared" ca="1" si="1230"/>
        <v/>
      </c>
      <c r="DC1104" s="48" t="str">
        <f t="shared" ca="1" si="1258"/>
        <v/>
      </c>
      <c r="DD1104" s="48" t="str">
        <f t="shared" ca="1" si="1259"/>
        <v/>
      </c>
      <c r="DE1104" s="48" t="str">
        <f t="shared" ca="1" si="1260"/>
        <v/>
      </c>
      <c r="DF1104" s="48">
        <f ca="1">IF(AND(CX1104=$DF$1,CX1104&lt;&gt;""),0,IF(AND(DB1104&lt;&gt;"",OR(DB1103&lt;&gt;"",DB1105&lt;&gt;"")),MAX($DF$2:DF1103)+1,0))</f>
        <v>0</v>
      </c>
    </row>
    <row r="1105" spans="102:110" x14ac:dyDescent="0.3">
      <c r="CX1105" s="48">
        <f t="shared" ca="1" si="1255"/>
        <v>85</v>
      </c>
      <c r="CY1105" s="48" t="str">
        <f t="shared" ca="1" si="1254"/>
        <v>MASTRO</v>
      </c>
      <c r="CZ1105" s="48" t="e">
        <f t="shared" ca="1" si="1257"/>
        <v>#N/A</v>
      </c>
      <c r="DA1105" s="48" t="str">
        <f t="shared" ca="1" si="1261"/>
        <v/>
      </c>
      <c r="DB1105" s="48" t="str">
        <f t="shared" ca="1" si="1230"/>
        <v/>
      </c>
      <c r="DC1105" s="48" t="str">
        <f t="shared" ca="1" si="1258"/>
        <v/>
      </c>
      <c r="DD1105" s="48" t="str">
        <f t="shared" ca="1" si="1259"/>
        <v/>
      </c>
      <c r="DE1105" s="48" t="str">
        <f t="shared" ca="1" si="1260"/>
        <v/>
      </c>
      <c r="DF1105" s="48">
        <f ca="1">IF(AND(CX1105=$DF$1,CX1105&lt;&gt;""),0,IF(AND(DB1105&lt;&gt;"",OR(DB1104&lt;&gt;"",DB1106&lt;&gt;"")),MAX($DF$2:DF1104)+1,0))</f>
        <v>0</v>
      </c>
    </row>
    <row r="1106" spans="102:110" x14ac:dyDescent="0.3">
      <c r="CX1106" s="48">
        <f t="shared" ca="1" si="1255"/>
        <v>85</v>
      </c>
      <c r="CY1106" s="48" t="str">
        <f t="shared" ca="1" si="1254"/>
        <v>MASTRO</v>
      </c>
      <c r="CZ1106" s="48" t="e">
        <f t="shared" ca="1" si="1257"/>
        <v>#N/A</v>
      </c>
      <c r="DA1106" s="48" t="str">
        <f t="shared" ca="1" si="1261"/>
        <v/>
      </c>
      <c r="DB1106" s="48" t="str">
        <f t="shared" ca="1" si="1230"/>
        <v/>
      </c>
      <c r="DC1106" s="48" t="str">
        <f t="shared" ca="1" si="1258"/>
        <v/>
      </c>
      <c r="DD1106" s="48" t="str">
        <f t="shared" ca="1" si="1259"/>
        <v/>
      </c>
      <c r="DE1106" s="48" t="str">
        <f t="shared" ca="1" si="1260"/>
        <v/>
      </c>
      <c r="DF1106" s="48">
        <f ca="1">IF(AND(CX1106=$DF$1,CX1106&lt;&gt;""),0,IF(AND(DB1106&lt;&gt;"",OR(DB1105&lt;&gt;"",DB1107&lt;&gt;"")),MAX($DF$2:DF1105)+1,0))</f>
        <v>0</v>
      </c>
    </row>
    <row r="1107" spans="102:110" x14ac:dyDescent="0.3">
      <c r="CY1107" s="48" t="s">
        <v>500</v>
      </c>
      <c r="DB1107" s="48" t="str">
        <f t="shared" ref="DB1107" ca="1" si="1262">IF(CX1106=$DF$1,"","MASTRO")</f>
        <v>MASTRO</v>
      </c>
      <c r="DF1107" s="48">
        <f ca="1">IF(AND(CX1107=$DF$1,CX1107&lt;&gt;""),0,IF(AND(DB1107&lt;&gt;"",OR(DB1106&lt;&gt;"",DB1108&lt;&gt;"")),MAX($DF$2:DF1106)+1,0))</f>
        <v>0</v>
      </c>
    </row>
    <row r="1108" spans="102:110" x14ac:dyDescent="0.3">
      <c r="CX1108" s="48">
        <f ca="1">$FF$88</f>
        <v>86</v>
      </c>
      <c r="CY1108" s="48" t="str">
        <f t="shared" ref="CY1108:CY1119" ca="1" si="1263">IF(ISERROR(INDEX($CV$3:$CX$1302,MATCH(CX1108,$CW$3:$CW$1302,0),1)),"MASTRO",INDEX($CV$3:$CX$1302,MATCH(CX1108,$CW$3:$CW$1302,0),1))</f>
        <v>MASTRO</v>
      </c>
      <c r="DA1108" s="48" t="str">
        <f>IF(CY1107="MASTRO","Conto n.","")</f>
        <v>Conto n.</v>
      </c>
      <c r="DB1108" s="48" t="str">
        <f ca="1">IF(CY1108=0,"",INDEX(PDC,MATCH(DC1108,DEN_PDC,0),1))</f>
        <v/>
      </c>
      <c r="DC1108" s="48" t="str">
        <f ca="1">IF(OR(CY1108=0,CY1108="mastro"),"",CY1108)</f>
        <v/>
      </c>
      <c r="DD1108" s="48" t="str">
        <f ca="1">IF(AND($DA$2=TRUE,OR(INDEX(PDC,MATCH($DC1108,DEN_PDC,0),4)="A",INDEX(PDC,MATCH($DC1108,DEN_PDC,0),4)="D/A"),SUMIFS(AVERE,DEN_G,"="&amp;$DC1108,DATA,"&lt;="&amp;FINE_AC,DATA,"&gt;="&amp;INIZIO_AC)&gt;SUMIFS(DARE,DEN_G,"="&amp;$DC1108,DATA,"&lt;="&amp;FINE_AC,DATA,"&gt;="&amp;INIZIO_AC)),CONCATENATE("s ",FIXED(ABS(SUMIFS(AVERE,DEN_G,"="&amp;$DC1108,DATA,"&lt;="&amp;FINE_AC,DATA,"&gt;="&amp;INIZIO_AC)-SUMIFS(DARE,DEN_G,"="&amp;$DC1108,DATA,"&lt;="&amp;FINE_AC,DATA,"&gt;="&amp;INIZIO_AC)),2)),"")</f>
        <v/>
      </c>
      <c r="DE1108" s="48" t="str">
        <f ca="1">IF(AND($DA$2=TRUE,OR(INDEX(PDC,MATCH($DC1108,DEN_PDC,0),4)="D",INDEX(PDC,MATCH($DC1108,DEN_PDC,0),4)="D/A"),SUMIFS(DARE,DEN_G,"="&amp;$DC1108,DATA,"&lt;="&amp;FINE_AC,DATA,"&gt;="&amp;INIZIO_AC)&gt;SUMIFS(AVERE,DEN_G,"="&amp;$DC1108,DATA,"&lt;="&amp;FINE_AC,DATA,"&gt;="&amp;INIZIO_AC)),CONCATENATE("s ",FIXED(ABS(SUMIFS(DARE,DEN_G,"="&amp;$DC1108,DATA,"&lt;="&amp;FINE_AC,DATA,"&gt;="&amp;INIZIO_AC)-SUMIFS(AVERE,DEN_G,"="&amp;$DC1108,DATA,"&lt;="&amp;FINE_AC,DATA,"&gt;="&amp;INIZIO_AC)),2)),"")</f>
        <v/>
      </c>
      <c r="DF1108" s="48">
        <f ca="1">IF(AND(CX1108=$DF$1,CX1108&lt;&gt;""),0,IF(AND(DB1108&lt;&gt;"",OR(DB1107&lt;&gt;"",DB1109&lt;&gt;"")),MAX($DF$2:DF1107)+1,0))</f>
        <v>0</v>
      </c>
    </row>
    <row r="1109" spans="102:110" x14ac:dyDescent="0.3">
      <c r="CX1109" s="48">
        <f t="shared" ref="CX1109:CX1119" ca="1" si="1264">$FF$88</f>
        <v>86</v>
      </c>
      <c r="CY1109" s="48" t="str">
        <f t="shared" ca="1" si="1263"/>
        <v>MASTRO</v>
      </c>
      <c r="DA1109" s="48" t="str">
        <f ca="1">IF(DB1108="","","Num. riga")</f>
        <v/>
      </c>
      <c r="DB1109" s="48" t="str">
        <f t="shared" ref="DB1109" ca="1" si="1265">IF(DB1108="","","Data")</f>
        <v/>
      </c>
      <c r="DC1109" s="48" t="str">
        <f ca="1">IF(DB1108="","","Operazioni")</f>
        <v/>
      </c>
      <c r="DD1109" s="48" t="str">
        <f ca="1">IF(DB1108="","","Dare        ")</f>
        <v/>
      </c>
      <c r="DE1109" s="48" t="str">
        <f ca="1">IF(DB1108="","","Avere        ")</f>
        <v/>
      </c>
      <c r="DF1109" s="48">
        <f ca="1">IF(AND(CX1109=$DF$1,CX1109&lt;&gt;""),0,IF(AND(DB1109&lt;&gt;"",OR(DB1108&lt;&gt;"",DB1110&lt;&gt;"")),MAX($DF$2:DF1108)+1,0))</f>
        <v>0</v>
      </c>
    </row>
    <row r="1110" spans="102:110" x14ac:dyDescent="0.3">
      <c r="CX1110" s="48">
        <f t="shared" ca="1" si="1264"/>
        <v>86</v>
      </c>
      <c r="CY1110" s="48" t="str">
        <f t="shared" ca="1" si="1263"/>
        <v>MASTRO</v>
      </c>
      <c r="CZ1110" s="48" t="e">
        <f t="shared" ref="CZ1110:CZ1119" ca="1" si="1266">SUM(MATCH($CY1110,INDIRECT(ADDRESS(SUM(CZ1109)+3,54)&amp;":"&amp;ADDRESS(400,54)),0),CZ1109)</f>
        <v>#N/A</v>
      </c>
      <c r="DA1110" s="48" t="str">
        <f ca="1">IFERROR(INDEX(LIBRO_GIORNALE,CZ1110,1),"")</f>
        <v/>
      </c>
      <c r="DB1110" s="48" t="str">
        <f t="shared" ca="1" si="1230"/>
        <v/>
      </c>
      <c r="DC1110" s="48" t="str">
        <f t="shared" ref="DC1110:DC1119" ca="1" si="1267">IF(IFERROR(INDEX(LIBRO_GIORNALE,CZ1110,4),"")=0,"manca la descrizione dell'operazione",IFERROR(INDEX(LIBRO_GIORNALE,CZ1110,4),""))</f>
        <v/>
      </c>
      <c r="DD1110" s="48" t="str">
        <f t="shared" ref="DD1110:DD1119" ca="1" si="1268">IFERROR(IF(INDEX(LIBRO_GIORNALE,CZ1110,5)&gt;0,INDEX(LIBRO_GIORNALE,CZ1110,5),""),"")</f>
        <v/>
      </c>
      <c r="DE1110" s="48" t="str">
        <f t="shared" ref="DE1110:DE1119" ca="1" si="1269">IFERROR(IF(INDEX(LIBRO_GIORNALE,CZ1110,6)&gt;0,INDEX(LIBRO_GIORNALE,CZ1110,6),""),"")</f>
        <v/>
      </c>
      <c r="DF1110" s="48">
        <f ca="1">IF(AND(CX1110=$DF$1,CX1110&lt;&gt;""),0,IF(AND(DB1110&lt;&gt;"",OR(DB1109&lt;&gt;"",DB1111&lt;&gt;"")),MAX($DF$2:DF1109)+1,0))</f>
        <v>0</v>
      </c>
    </row>
    <row r="1111" spans="102:110" x14ac:dyDescent="0.3">
      <c r="CX1111" s="48">
        <f t="shared" ca="1" si="1264"/>
        <v>86</v>
      </c>
      <c r="CY1111" s="48" t="str">
        <f t="shared" ca="1" si="1263"/>
        <v>MASTRO</v>
      </c>
      <c r="CZ1111" s="48" t="e">
        <f t="shared" ca="1" si="1266"/>
        <v>#N/A</v>
      </c>
      <c r="DA1111" s="48" t="str">
        <f t="shared" ref="DA1111:DA1119" ca="1" si="1270">IFERROR(INDEX(LIBRO_GIORNALE,CZ1111,1),"")</f>
        <v/>
      </c>
      <c r="DB1111" s="48" t="str">
        <f t="shared" ca="1" si="1230"/>
        <v/>
      </c>
      <c r="DC1111" s="48" t="str">
        <f t="shared" ca="1" si="1267"/>
        <v/>
      </c>
      <c r="DD1111" s="48" t="str">
        <f t="shared" ca="1" si="1268"/>
        <v/>
      </c>
      <c r="DE1111" s="48" t="str">
        <f t="shared" ca="1" si="1269"/>
        <v/>
      </c>
      <c r="DF1111" s="48">
        <f ca="1">IF(AND(CX1111=$DF$1,CX1111&lt;&gt;""),0,IF(AND(DB1111&lt;&gt;"",OR(DB1110&lt;&gt;"",DB1112&lt;&gt;"")),MAX($DF$2:DF1110)+1,0))</f>
        <v>0</v>
      </c>
    </row>
    <row r="1112" spans="102:110" x14ac:dyDescent="0.3">
      <c r="CX1112" s="48">
        <f t="shared" ca="1" si="1264"/>
        <v>86</v>
      </c>
      <c r="CY1112" s="48" t="str">
        <f t="shared" ca="1" si="1263"/>
        <v>MASTRO</v>
      </c>
      <c r="CZ1112" s="48" t="e">
        <f t="shared" ca="1" si="1266"/>
        <v>#N/A</v>
      </c>
      <c r="DA1112" s="48" t="str">
        <f t="shared" ca="1" si="1270"/>
        <v/>
      </c>
      <c r="DB1112" s="48" t="str">
        <f t="shared" ca="1" si="1230"/>
        <v/>
      </c>
      <c r="DC1112" s="48" t="str">
        <f t="shared" ca="1" si="1267"/>
        <v/>
      </c>
      <c r="DD1112" s="48" t="str">
        <f t="shared" ca="1" si="1268"/>
        <v/>
      </c>
      <c r="DE1112" s="48" t="str">
        <f t="shared" ca="1" si="1269"/>
        <v/>
      </c>
      <c r="DF1112" s="48">
        <f ca="1">IF(AND(CX1112=$DF$1,CX1112&lt;&gt;""),0,IF(AND(DB1112&lt;&gt;"",OR(DB1111&lt;&gt;"",DB1113&lt;&gt;"")),MAX($DF$2:DF1111)+1,0))</f>
        <v>0</v>
      </c>
    </row>
    <row r="1113" spans="102:110" x14ac:dyDescent="0.3">
      <c r="CX1113" s="48">
        <f t="shared" ca="1" si="1264"/>
        <v>86</v>
      </c>
      <c r="CY1113" s="48" t="str">
        <f t="shared" ca="1" si="1263"/>
        <v>MASTRO</v>
      </c>
      <c r="CZ1113" s="48" t="e">
        <f t="shared" ca="1" si="1266"/>
        <v>#N/A</v>
      </c>
      <c r="DA1113" s="48" t="str">
        <f t="shared" ca="1" si="1270"/>
        <v/>
      </c>
      <c r="DB1113" s="48" t="str">
        <f t="shared" ca="1" si="1230"/>
        <v/>
      </c>
      <c r="DC1113" s="48" t="str">
        <f t="shared" ca="1" si="1267"/>
        <v/>
      </c>
      <c r="DD1113" s="48" t="str">
        <f t="shared" ca="1" si="1268"/>
        <v/>
      </c>
      <c r="DE1113" s="48" t="str">
        <f t="shared" ca="1" si="1269"/>
        <v/>
      </c>
      <c r="DF1113" s="48">
        <f ca="1">IF(AND(CX1113=$DF$1,CX1113&lt;&gt;""),0,IF(AND(DB1113&lt;&gt;"",OR(DB1112&lt;&gt;"",DB1114&lt;&gt;"")),MAX($DF$2:DF1112)+1,0))</f>
        <v>0</v>
      </c>
    </row>
    <row r="1114" spans="102:110" x14ac:dyDescent="0.3">
      <c r="CX1114" s="48">
        <f t="shared" ca="1" si="1264"/>
        <v>86</v>
      </c>
      <c r="CY1114" s="48" t="str">
        <f t="shared" ca="1" si="1263"/>
        <v>MASTRO</v>
      </c>
      <c r="CZ1114" s="48" t="e">
        <f t="shared" ca="1" si="1266"/>
        <v>#N/A</v>
      </c>
      <c r="DA1114" s="48" t="str">
        <f t="shared" ca="1" si="1270"/>
        <v/>
      </c>
      <c r="DB1114" s="48" t="str">
        <f t="shared" ca="1" si="1230"/>
        <v/>
      </c>
      <c r="DC1114" s="48" t="str">
        <f t="shared" ca="1" si="1267"/>
        <v/>
      </c>
      <c r="DD1114" s="48" t="str">
        <f t="shared" ca="1" si="1268"/>
        <v/>
      </c>
      <c r="DE1114" s="48" t="str">
        <f t="shared" ca="1" si="1269"/>
        <v/>
      </c>
      <c r="DF1114" s="48">
        <f ca="1">IF(AND(CX1114=$DF$1,CX1114&lt;&gt;""),0,IF(AND(DB1114&lt;&gt;"",OR(DB1113&lt;&gt;"",DB1115&lt;&gt;"")),MAX($DF$2:DF1113)+1,0))</f>
        <v>0</v>
      </c>
    </row>
    <row r="1115" spans="102:110" x14ac:dyDescent="0.3">
      <c r="CX1115" s="48">
        <f t="shared" ca="1" si="1264"/>
        <v>86</v>
      </c>
      <c r="CY1115" s="48" t="str">
        <f t="shared" ca="1" si="1263"/>
        <v>MASTRO</v>
      </c>
      <c r="CZ1115" s="48" t="e">
        <f t="shared" ca="1" si="1266"/>
        <v>#N/A</v>
      </c>
      <c r="DA1115" s="48" t="str">
        <f t="shared" ca="1" si="1270"/>
        <v/>
      </c>
      <c r="DB1115" s="48" t="str">
        <f t="shared" ca="1" si="1230"/>
        <v/>
      </c>
      <c r="DC1115" s="48" t="str">
        <f t="shared" ca="1" si="1267"/>
        <v/>
      </c>
      <c r="DD1115" s="48" t="str">
        <f t="shared" ca="1" si="1268"/>
        <v/>
      </c>
      <c r="DE1115" s="48" t="str">
        <f t="shared" ca="1" si="1269"/>
        <v/>
      </c>
      <c r="DF1115" s="48">
        <f ca="1">IF(AND(CX1115=$DF$1,CX1115&lt;&gt;""),0,IF(AND(DB1115&lt;&gt;"",OR(DB1114&lt;&gt;"",DB1116&lt;&gt;"")),MAX($DF$2:DF1114)+1,0))</f>
        <v>0</v>
      </c>
    </row>
    <row r="1116" spans="102:110" x14ac:dyDescent="0.3">
      <c r="CX1116" s="48">
        <f t="shared" ca="1" si="1264"/>
        <v>86</v>
      </c>
      <c r="CY1116" s="48" t="str">
        <f t="shared" ca="1" si="1263"/>
        <v>MASTRO</v>
      </c>
      <c r="CZ1116" s="48" t="e">
        <f t="shared" ca="1" si="1266"/>
        <v>#N/A</v>
      </c>
      <c r="DA1116" s="48" t="str">
        <f t="shared" ca="1" si="1270"/>
        <v/>
      </c>
      <c r="DB1116" s="48" t="str">
        <f t="shared" ca="1" si="1230"/>
        <v/>
      </c>
      <c r="DC1116" s="48" t="str">
        <f t="shared" ca="1" si="1267"/>
        <v/>
      </c>
      <c r="DD1116" s="48" t="str">
        <f t="shared" ca="1" si="1268"/>
        <v/>
      </c>
      <c r="DE1116" s="48" t="str">
        <f t="shared" ca="1" si="1269"/>
        <v/>
      </c>
      <c r="DF1116" s="48">
        <f ca="1">IF(AND(CX1116=$DF$1,CX1116&lt;&gt;""),0,IF(AND(DB1116&lt;&gt;"",OR(DB1115&lt;&gt;"",DB1117&lt;&gt;"")),MAX($DF$2:DF1115)+1,0))</f>
        <v>0</v>
      </c>
    </row>
    <row r="1117" spans="102:110" x14ac:dyDescent="0.3">
      <c r="CX1117" s="48">
        <f t="shared" ca="1" si="1264"/>
        <v>86</v>
      </c>
      <c r="CY1117" s="48" t="str">
        <f t="shared" ca="1" si="1263"/>
        <v>MASTRO</v>
      </c>
      <c r="CZ1117" s="48" t="e">
        <f t="shared" ca="1" si="1266"/>
        <v>#N/A</v>
      </c>
      <c r="DA1117" s="48" t="str">
        <f t="shared" ca="1" si="1270"/>
        <v/>
      </c>
      <c r="DB1117" s="48" t="str">
        <f t="shared" ca="1" si="1230"/>
        <v/>
      </c>
      <c r="DC1117" s="48" t="str">
        <f t="shared" ca="1" si="1267"/>
        <v/>
      </c>
      <c r="DD1117" s="48" t="str">
        <f t="shared" ca="1" si="1268"/>
        <v/>
      </c>
      <c r="DE1117" s="48" t="str">
        <f t="shared" ca="1" si="1269"/>
        <v/>
      </c>
      <c r="DF1117" s="48">
        <f ca="1">IF(AND(CX1117=$DF$1,CX1117&lt;&gt;""),0,IF(AND(DB1117&lt;&gt;"",OR(DB1116&lt;&gt;"",DB1118&lt;&gt;"")),MAX($DF$2:DF1116)+1,0))</f>
        <v>0</v>
      </c>
    </row>
    <row r="1118" spans="102:110" x14ac:dyDescent="0.3">
      <c r="CX1118" s="48">
        <f t="shared" ca="1" si="1264"/>
        <v>86</v>
      </c>
      <c r="CY1118" s="48" t="str">
        <f t="shared" ca="1" si="1263"/>
        <v>MASTRO</v>
      </c>
      <c r="CZ1118" s="48" t="e">
        <f t="shared" ca="1" si="1266"/>
        <v>#N/A</v>
      </c>
      <c r="DA1118" s="48" t="str">
        <f t="shared" ca="1" si="1270"/>
        <v/>
      </c>
      <c r="DB1118" s="48" t="str">
        <f t="shared" ca="1" si="1230"/>
        <v/>
      </c>
      <c r="DC1118" s="48" t="str">
        <f t="shared" ca="1" si="1267"/>
        <v/>
      </c>
      <c r="DD1118" s="48" t="str">
        <f t="shared" ca="1" si="1268"/>
        <v/>
      </c>
      <c r="DE1118" s="48" t="str">
        <f t="shared" ca="1" si="1269"/>
        <v/>
      </c>
      <c r="DF1118" s="48">
        <f ca="1">IF(AND(CX1118=$DF$1,CX1118&lt;&gt;""),0,IF(AND(DB1118&lt;&gt;"",OR(DB1117&lt;&gt;"",DB1119&lt;&gt;"")),MAX($DF$2:DF1117)+1,0))</f>
        <v>0</v>
      </c>
    </row>
    <row r="1119" spans="102:110" x14ac:dyDescent="0.3">
      <c r="CX1119" s="48">
        <f t="shared" ca="1" si="1264"/>
        <v>86</v>
      </c>
      <c r="CY1119" s="48" t="str">
        <f t="shared" ca="1" si="1263"/>
        <v>MASTRO</v>
      </c>
      <c r="CZ1119" s="48" t="e">
        <f t="shared" ca="1" si="1266"/>
        <v>#N/A</v>
      </c>
      <c r="DA1119" s="48" t="str">
        <f t="shared" ca="1" si="1270"/>
        <v/>
      </c>
      <c r="DB1119" s="48" t="str">
        <f t="shared" ca="1" si="1230"/>
        <v/>
      </c>
      <c r="DC1119" s="48" t="str">
        <f t="shared" ca="1" si="1267"/>
        <v/>
      </c>
      <c r="DD1119" s="48" t="str">
        <f t="shared" ca="1" si="1268"/>
        <v/>
      </c>
      <c r="DE1119" s="48" t="str">
        <f t="shared" ca="1" si="1269"/>
        <v/>
      </c>
      <c r="DF1119" s="48">
        <f ca="1">IF(AND(CX1119=$DF$1,CX1119&lt;&gt;""),0,IF(AND(DB1119&lt;&gt;"",OR(DB1118&lt;&gt;"",DB1120&lt;&gt;"")),MAX($DF$2:DF1118)+1,0))</f>
        <v>0</v>
      </c>
    </row>
    <row r="1120" spans="102:110" x14ac:dyDescent="0.3">
      <c r="CY1120" s="48" t="s">
        <v>500</v>
      </c>
      <c r="DB1120" s="48" t="str">
        <f t="shared" ref="DB1120" ca="1" si="1271">IF(CX1119=$DF$1,"","MASTRO")</f>
        <v>MASTRO</v>
      </c>
      <c r="DF1120" s="48">
        <f ca="1">IF(AND(CX1120=$DF$1,CX1120&lt;&gt;""),0,IF(AND(DB1120&lt;&gt;"",OR(DB1119&lt;&gt;"",DB1121&lt;&gt;"")),MAX($DF$2:DF1119)+1,0))</f>
        <v>0</v>
      </c>
    </row>
    <row r="1121" spans="102:110" x14ac:dyDescent="0.3">
      <c r="CX1121" s="48">
        <f ca="1">$FF$89</f>
        <v>87</v>
      </c>
      <c r="CY1121" s="48" t="str">
        <f t="shared" ref="CY1121:CY1132" ca="1" si="1272">IF(ISERROR(INDEX($CV$3:$CX$1302,MATCH(CX1121,$CW$3:$CW$1302,0),1)),"MASTRO",INDEX($CV$3:$CX$1302,MATCH(CX1121,$CW$3:$CW$1302,0),1))</f>
        <v>MASTRO</v>
      </c>
      <c r="DA1121" s="48" t="str">
        <f>IF(CY1120="MASTRO","Conto n.","")</f>
        <v>Conto n.</v>
      </c>
      <c r="DB1121" s="48" t="str">
        <f ca="1">IF(CY1121=0,"",INDEX(PDC,MATCH(DC1121,DEN_PDC,0),1))</f>
        <v/>
      </c>
      <c r="DC1121" s="48" t="str">
        <f ca="1">IF(OR(CY1121=0,CY1121="mastro"),"",CY1121)</f>
        <v/>
      </c>
      <c r="DD1121" s="48" t="str">
        <f ca="1">IF(AND($DA$2=TRUE,OR(INDEX(PDC,MATCH($DC1121,DEN_PDC,0),4)="A",INDEX(PDC,MATCH($DC1121,DEN_PDC,0),4)="D/A"),SUMIFS(AVERE,DEN_G,"="&amp;$DC1121,DATA,"&lt;="&amp;FINE_AC,DATA,"&gt;="&amp;INIZIO_AC)&gt;SUMIFS(DARE,DEN_G,"="&amp;$DC1121,DATA,"&lt;="&amp;FINE_AC,DATA,"&gt;="&amp;INIZIO_AC)),CONCATENATE("s ",FIXED(ABS(SUMIFS(AVERE,DEN_G,"="&amp;$DC1121,DATA,"&lt;="&amp;FINE_AC,DATA,"&gt;="&amp;INIZIO_AC)-SUMIFS(DARE,DEN_G,"="&amp;$DC1121,DATA,"&lt;="&amp;FINE_AC,DATA,"&gt;="&amp;INIZIO_AC)),2)),"")</f>
        <v/>
      </c>
      <c r="DE1121" s="48" t="str">
        <f ca="1">IF(AND($DA$2=TRUE,OR(INDEX(PDC,MATCH($DC1121,DEN_PDC,0),4)="D",INDEX(PDC,MATCH($DC1121,DEN_PDC,0),4)="D/A"),SUMIFS(DARE,DEN_G,"="&amp;$DC1121,DATA,"&lt;="&amp;FINE_AC,DATA,"&gt;="&amp;INIZIO_AC)&gt;SUMIFS(AVERE,DEN_G,"="&amp;$DC1121,DATA,"&lt;="&amp;FINE_AC,DATA,"&gt;="&amp;INIZIO_AC)),CONCATENATE("s ",FIXED(ABS(SUMIFS(DARE,DEN_G,"="&amp;$DC1121,DATA,"&lt;="&amp;FINE_AC,DATA,"&gt;="&amp;INIZIO_AC)-SUMIFS(AVERE,DEN_G,"="&amp;$DC1121,DATA,"&lt;="&amp;FINE_AC,DATA,"&gt;="&amp;INIZIO_AC)),2)),"")</f>
        <v/>
      </c>
      <c r="DF1121" s="48">
        <f ca="1">IF(AND(CX1121=$DF$1,CX1121&lt;&gt;""),0,IF(AND(DB1121&lt;&gt;"",OR(DB1120&lt;&gt;"",DB1122&lt;&gt;"")),MAX($DF$2:DF1120)+1,0))</f>
        <v>0</v>
      </c>
    </row>
    <row r="1122" spans="102:110" x14ac:dyDescent="0.3">
      <c r="CX1122" s="48">
        <f t="shared" ref="CX1122:CX1132" ca="1" si="1273">$FF$89</f>
        <v>87</v>
      </c>
      <c r="CY1122" s="48" t="str">
        <f t="shared" ca="1" si="1272"/>
        <v>MASTRO</v>
      </c>
      <c r="DA1122" s="48" t="str">
        <f ca="1">IF(DB1121="","","Num. riga")</f>
        <v/>
      </c>
      <c r="DB1122" s="48" t="str">
        <f t="shared" ref="DB1122" ca="1" si="1274">IF(DB1121="","","Data")</f>
        <v/>
      </c>
      <c r="DC1122" s="48" t="str">
        <f ca="1">IF(DB1121="","","Operazioni")</f>
        <v/>
      </c>
      <c r="DD1122" s="48" t="str">
        <f ca="1">IF(DB1121="","","Dare        ")</f>
        <v/>
      </c>
      <c r="DE1122" s="48" t="str">
        <f ca="1">IF(DB1121="","","Avere        ")</f>
        <v/>
      </c>
      <c r="DF1122" s="48">
        <f ca="1">IF(AND(CX1122=$DF$1,CX1122&lt;&gt;""),0,IF(AND(DB1122&lt;&gt;"",OR(DB1121&lt;&gt;"",DB1123&lt;&gt;"")),MAX($DF$2:DF1121)+1,0))</f>
        <v>0</v>
      </c>
    </row>
    <row r="1123" spans="102:110" x14ac:dyDescent="0.3">
      <c r="CX1123" s="48">
        <f t="shared" ca="1" si="1273"/>
        <v>87</v>
      </c>
      <c r="CY1123" s="48" t="str">
        <f t="shared" ca="1" si="1272"/>
        <v>MASTRO</v>
      </c>
      <c r="CZ1123" s="48" t="e">
        <f t="shared" ref="CZ1123:CZ1132" ca="1" si="1275">SUM(MATCH($CY1123,INDIRECT(ADDRESS(SUM(CZ1122)+3,54)&amp;":"&amp;ADDRESS(400,54)),0),CZ1122)</f>
        <v>#N/A</v>
      </c>
      <c r="DA1123" s="48" t="str">
        <f ca="1">IFERROR(INDEX(LIBRO_GIORNALE,CZ1123,1),"")</f>
        <v/>
      </c>
      <c r="DB1123" s="48" t="str">
        <f t="shared" ref="DB1123:DB1184" ca="1" si="1276">IF(RIGHT(TEXT(IFERROR(INDEX(LIBRO_GIORNALE,CZ1123,2),""),"gg/mm/aa"),1)="a",TEXT(IFERROR(INDEX(LIBRO_GIORNALE,CZ1123,2),""),"dd/mm/yy"),TEXT(IFERROR(INDEX(LIBRO_GIORNALE,CZ1123,2),""),"gg/mm/aa"))</f>
        <v/>
      </c>
      <c r="DC1123" s="48" t="str">
        <f t="shared" ref="DC1123:DC1132" ca="1" si="1277">IF(IFERROR(INDEX(LIBRO_GIORNALE,CZ1123,4),"")=0,"manca la descrizione dell'operazione",IFERROR(INDEX(LIBRO_GIORNALE,CZ1123,4),""))</f>
        <v/>
      </c>
      <c r="DD1123" s="48" t="str">
        <f t="shared" ref="DD1123:DD1132" ca="1" si="1278">IFERROR(IF(INDEX(LIBRO_GIORNALE,CZ1123,5)&gt;0,INDEX(LIBRO_GIORNALE,CZ1123,5),""),"")</f>
        <v/>
      </c>
      <c r="DE1123" s="48" t="str">
        <f t="shared" ref="DE1123:DE1132" ca="1" si="1279">IFERROR(IF(INDEX(LIBRO_GIORNALE,CZ1123,6)&gt;0,INDEX(LIBRO_GIORNALE,CZ1123,6),""),"")</f>
        <v/>
      </c>
      <c r="DF1123" s="48">
        <f ca="1">IF(AND(CX1123=$DF$1,CX1123&lt;&gt;""),0,IF(AND(DB1123&lt;&gt;"",OR(DB1122&lt;&gt;"",DB1124&lt;&gt;"")),MAX($DF$2:DF1122)+1,0))</f>
        <v>0</v>
      </c>
    </row>
    <row r="1124" spans="102:110" x14ac:dyDescent="0.3">
      <c r="CX1124" s="48">
        <f t="shared" ca="1" si="1273"/>
        <v>87</v>
      </c>
      <c r="CY1124" s="48" t="str">
        <f t="shared" ca="1" si="1272"/>
        <v>MASTRO</v>
      </c>
      <c r="CZ1124" s="48" t="e">
        <f t="shared" ca="1" si="1275"/>
        <v>#N/A</v>
      </c>
      <c r="DA1124" s="48" t="str">
        <f t="shared" ref="DA1124:DA1132" ca="1" si="1280">IFERROR(INDEX(LIBRO_GIORNALE,CZ1124,1),"")</f>
        <v/>
      </c>
      <c r="DB1124" s="48" t="str">
        <f t="shared" ca="1" si="1276"/>
        <v/>
      </c>
      <c r="DC1124" s="48" t="str">
        <f t="shared" ca="1" si="1277"/>
        <v/>
      </c>
      <c r="DD1124" s="48" t="str">
        <f t="shared" ca="1" si="1278"/>
        <v/>
      </c>
      <c r="DE1124" s="48" t="str">
        <f t="shared" ca="1" si="1279"/>
        <v/>
      </c>
      <c r="DF1124" s="48">
        <f ca="1">IF(AND(CX1124=$DF$1,CX1124&lt;&gt;""),0,IF(AND(DB1124&lt;&gt;"",OR(DB1123&lt;&gt;"",DB1125&lt;&gt;"")),MAX($DF$2:DF1123)+1,0))</f>
        <v>0</v>
      </c>
    </row>
    <row r="1125" spans="102:110" x14ac:dyDescent="0.3">
      <c r="CX1125" s="48">
        <f t="shared" ca="1" si="1273"/>
        <v>87</v>
      </c>
      <c r="CY1125" s="48" t="str">
        <f t="shared" ca="1" si="1272"/>
        <v>MASTRO</v>
      </c>
      <c r="CZ1125" s="48" t="e">
        <f t="shared" ca="1" si="1275"/>
        <v>#N/A</v>
      </c>
      <c r="DA1125" s="48" t="str">
        <f t="shared" ca="1" si="1280"/>
        <v/>
      </c>
      <c r="DB1125" s="48" t="str">
        <f t="shared" ca="1" si="1276"/>
        <v/>
      </c>
      <c r="DC1125" s="48" t="str">
        <f t="shared" ca="1" si="1277"/>
        <v/>
      </c>
      <c r="DD1125" s="48" t="str">
        <f t="shared" ca="1" si="1278"/>
        <v/>
      </c>
      <c r="DE1125" s="48" t="str">
        <f t="shared" ca="1" si="1279"/>
        <v/>
      </c>
      <c r="DF1125" s="48">
        <f ca="1">IF(AND(CX1125=$DF$1,CX1125&lt;&gt;""),0,IF(AND(DB1125&lt;&gt;"",OR(DB1124&lt;&gt;"",DB1126&lt;&gt;"")),MAX($DF$2:DF1124)+1,0))</f>
        <v>0</v>
      </c>
    </row>
    <row r="1126" spans="102:110" x14ac:dyDescent="0.3">
      <c r="CX1126" s="48">
        <f t="shared" ca="1" si="1273"/>
        <v>87</v>
      </c>
      <c r="CY1126" s="48" t="str">
        <f t="shared" ca="1" si="1272"/>
        <v>MASTRO</v>
      </c>
      <c r="CZ1126" s="48" t="e">
        <f t="shared" ca="1" si="1275"/>
        <v>#N/A</v>
      </c>
      <c r="DA1126" s="48" t="str">
        <f t="shared" ca="1" si="1280"/>
        <v/>
      </c>
      <c r="DB1126" s="48" t="str">
        <f t="shared" ca="1" si="1276"/>
        <v/>
      </c>
      <c r="DC1126" s="48" t="str">
        <f t="shared" ca="1" si="1277"/>
        <v/>
      </c>
      <c r="DD1126" s="48" t="str">
        <f t="shared" ca="1" si="1278"/>
        <v/>
      </c>
      <c r="DE1126" s="48" t="str">
        <f t="shared" ca="1" si="1279"/>
        <v/>
      </c>
      <c r="DF1126" s="48">
        <f ca="1">IF(AND(CX1126=$DF$1,CX1126&lt;&gt;""),0,IF(AND(DB1126&lt;&gt;"",OR(DB1125&lt;&gt;"",DB1127&lt;&gt;"")),MAX($DF$2:DF1125)+1,0))</f>
        <v>0</v>
      </c>
    </row>
    <row r="1127" spans="102:110" x14ac:dyDescent="0.3">
      <c r="CX1127" s="48">
        <f t="shared" ca="1" si="1273"/>
        <v>87</v>
      </c>
      <c r="CY1127" s="48" t="str">
        <f t="shared" ca="1" si="1272"/>
        <v>MASTRO</v>
      </c>
      <c r="CZ1127" s="48" t="e">
        <f t="shared" ca="1" si="1275"/>
        <v>#N/A</v>
      </c>
      <c r="DA1127" s="48" t="str">
        <f t="shared" ca="1" si="1280"/>
        <v/>
      </c>
      <c r="DB1127" s="48" t="str">
        <f t="shared" ca="1" si="1276"/>
        <v/>
      </c>
      <c r="DC1127" s="48" t="str">
        <f t="shared" ca="1" si="1277"/>
        <v/>
      </c>
      <c r="DD1127" s="48" t="str">
        <f t="shared" ca="1" si="1278"/>
        <v/>
      </c>
      <c r="DE1127" s="48" t="str">
        <f t="shared" ca="1" si="1279"/>
        <v/>
      </c>
      <c r="DF1127" s="48">
        <f ca="1">IF(AND(CX1127=$DF$1,CX1127&lt;&gt;""),0,IF(AND(DB1127&lt;&gt;"",OR(DB1126&lt;&gt;"",DB1128&lt;&gt;"")),MAX($DF$2:DF1126)+1,0))</f>
        <v>0</v>
      </c>
    </row>
    <row r="1128" spans="102:110" x14ac:dyDescent="0.3">
      <c r="CX1128" s="48">
        <f t="shared" ca="1" si="1273"/>
        <v>87</v>
      </c>
      <c r="CY1128" s="48" t="str">
        <f t="shared" ca="1" si="1272"/>
        <v>MASTRO</v>
      </c>
      <c r="CZ1128" s="48" t="e">
        <f t="shared" ca="1" si="1275"/>
        <v>#N/A</v>
      </c>
      <c r="DA1128" s="48" t="str">
        <f t="shared" ca="1" si="1280"/>
        <v/>
      </c>
      <c r="DB1128" s="48" t="str">
        <f t="shared" ca="1" si="1276"/>
        <v/>
      </c>
      <c r="DC1128" s="48" t="str">
        <f t="shared" ca="1" si="1277"/>
        <v/>
      </c>
      <c r="DD1128" s="48" t="str">
        <f t="shared" ca="1" si="1278"/>
        <v/>
      </c>
      <c r="DE1128" s="48" t="str">
        <f t="shared" ca="1" si="1279"/>
        <v/>
      </c>
      <c r="DF1128" s="48">
        <f ca="1">IF(AND(CX1128=$DF$1,CX1128&lt;&gt;""),0,IF(AND(DB1128&lt;&gt;"",OR(DB1127&lt;&gt;"",DB1129&lt;&gt;"")),MAX($DF$2:DF1127)+1,0))</f>
        <v>0</v>
      </c>
    </row>
    <row r="1129" spans="102:110" x14ac:dyDescent="0.3">
      <c r="CX1129" s="48">
        <f t="shared" ca="1" si="1273"/>
        <v>87</v>
      </c>
      <c r="CY1129" s="48" t="str">
        <f t="shared" ca="1" si="1272"/>
        <v>MASTRO</v>
      </c>
      <c r="CZ1129" s="48" t="e">
        <f t="shared" ca="1" si="1275"/>
        <v>#N/A</v>
      </c>
      <c r="DA1129" s="48" t="str">
        <f t="shared" ca="1" si="1280"/>
        <v/>
      </c>
      <c r="DB1129" s="48" t="str">
        <f t="shared" ca="1" si="1276"/>
        <v/>
      </c>
      <c r="DC1129" s="48" t="str">
        <f t="shared" ca="1" si="1277"/>
        <v/>
      </c>
      <c r="DD1129" s="48" t="str">
        <f t="shared" ca="1" si="1278"/>
        <v/>
      </c>
      <c r="DE1129" s="48" t="str">
        <f t="shared" ca="1" si="1279"/>
        <v/>
      </c>
      <c r="DF1129" s="48">
        <f ca="1">IF(AND(CX1129=$DF$1,CX1129&lt;&gt;""),0,IF(AND(DB1129&lt;&gt;"",OR(DB1128&lt;&gt;"",DB1130&lt;&gt;"")),MAX($DF$2:DF1128)+1,0))</f>
        <v>0</v>
      </c>
    </row>
    <row r="1130" spans="102:110" x14ac:dyDescent="0.3">
      <c r="CX1130" s="48">
        <f t="shared" ca="1" si="1273"/>
        <v>87</v>
      </c>
      <c r="CY1130" s="48" t="str">
        <f t="shared" ca="1" si="1272"/>
        <v>MASTRO</v>
      </c>
      <c r="CZ1130" s="48" t="e">
        <f t="shared" ca="1" si="1275"/>
        <v>#N/A</v>
      </c>
      <c r="DA1130" s="48" t="str">
        <f t="shared" ca="1" si="1280"/>
        <v/>
      </c>
      <c r="DB1130" s="48" t="str">
        <f t="shared" ca="1" si="1276"/>
        <v/>
      </c>
      <c r="DC1130" s="48" t="str">
        <f t="shared" ca="1" si="1277"/>
        <v/>
      </c>
      <c r="DD1130" s="48" t="str">
        <f t="shared" ca="1" si="1278"/>
        <v/>
      </c>
      <c r="DE1130" s="48" t="str">
        <f t="shared" ca="1" si="1279"/>
        <v/>
      </c>
      <c r="DF1130" s="48">
        <f ca="1">IF(AND(CX1130=$DF$1,CX1130&lt;&gt;""),0,IF(AND(DB1130&lt;&gt;"",OR(DB1129&lt;&gt;"",DB1131&lt;&gt;"")),MAX($DF$2:DF1129)+1,0))</f>
        <v>0</v>
      </c>
    </row>
    <row r="1131" spans="102:110" x14ac:dyDescent="0.3">
      <c r="CX1131" s="48">
        <f t="shared" ca="1" si="1273"/>
        <v>87</v>
      </c>
      <c r="CY1131" s="48" t="str">
        <f t="shared" ca="1" si="1272"/>
        <v>MASTRO</v>
      </c>
      <c r="CZ1131" s="48" t="e">
        <f t="shared" ca="1" si="1275"/>
        <v>#N/A</v>
      </c>
      <c r="DA1131" s="48" t="str">
        <f t="shared" ca="1" si="1280"/>
        <v/>
      </c>
      <c r="DB1131" s="48" t="str">
        <f t="shared" ca="1" si="1276"/>
        <v/>
      </c>
      <c r="DC1131" s="48" t="str">
        <f t="shared" ca="1" si="1277"/>
        <v/>
      </c>
      <c r="DD1131" s="48" t="str">
        <f t="shared" ca="1" si="1278"/>
        <v/>
      </c>
      <c r="DE1131" s="48" t="str">
        <f t="shared" ca="1" si="1279"/>
        <v/>
      </c>
      <c r="DF1131" s="48">
        <f ca="1">IF(AND(CX1131=$DF$1,CX1131&lt;&gt;""),0,IF(AND(DB1131&lt;&gt;"",OR(DB1130&lt;&gt;"",DB1132&lt;&gt;"")),MAX($DF$2:DF1130)+1,0))</f>
        <v>0</v>
      </c>
    </row>
    <row r="1132" spans="102:110" x14ac:dyDescent="0.3">
      <c r="CX1132" s="48">
        <f t="shared" ca="1" si="1273"/>
        <v>87</v>
      </c>
      <c r="CY1132" s="48" t="str">
        <f t="shared" ca="1" si="1272"/>
        <v>MASTRO</v>
      </c>
      <c r="CZ1132" s="48" t="e">
        <f t="shared" ca="1" si="1275"/>
        <v>#N/A</v>
      </c>
      <c r="DA1132" s="48" t="str">
        <f t="shared" ca="1" si="1280"/>
        <v/>
      </c>
      <c r="DB1132" s="48" t="str">
        <f t="shared" ca="1" si="1276"/>
        <v/>
      </c>
      <c r="DC1132" s="48" t="str">
        <f t="shared" ca="1" si="1277"/>
        <v/>
      </c>
      <c r="DD1132" s="48" t="str">
        <f t="shared" ca="1" si="1278"/>
        <v/>
      </c>
      <c r="DE1132" s="48" t="str">
        <f t="shared" ca="1" si="1279"/>
        <v/>
      </c>
      <c r="DF1132" s="48">
        <f ca="1">IF(AND(CX1132=$DF$1,CX1132&lt;&gt;""),0,IF(AND(DB1132&lt;&gt;"",OR(DB1131&lt;&gt;"",DB1133&lt;&gt;"")),MAX($DF$2:DF1131)+1,0))</f>
        <v>0</v>
      </c>
    </row>
    <row r="1133" spans="102:110" x14ac:dyDescent="0.3">
      <c r="CY1133" s="48" t="s">
        <v>500</v>
      </c>
      <c r="DB1133" s="48" t="str">
        <f t="shared" ref="DB1133" ca="1" si="1281">IF(CX1132=$DF$1,"","MASTRO")</f>
        <v>MASTRO</v>
      </c>
      <c r="DF1133" s="48">
        <f ca="1">IF(AND(CX1133=$DF$1,CX1133&lt;&gt;""),0,IF(AND(DB1133&lt;&gt;"",OR(DB1132&lt;&gt;"",DB1134&lt;&gt;"")),MAX($DF$2:DF1132)+1,0))</f>
        <v>0</v>
      </c>
    </row>
    <row r="1134" spans="102:110" x14ac:dyDescent="0.3">
      <c r="CX1134" s="48">
        <f ca="1">$FF$90</f>
        <v>88</v>
      </c>
      <c r="CY1134" s="48" t="str">
        <f t="shared" ref="CY1134:CY1145" ca="1" si="1282">IF(ISERROR(INDEX($CV$3:$CX$1302,MATCH(CX1134,$CW$3:$CW$1302,0),1)),"MASTRO",INDEX($CV$3:$CX$1302,MATCH(CX1134,$CW$3:$CW$1302,0),1))</f>
        <v>MASTRO</v>
      </c>
      <c r="DA1134" s="48" t="str">
        <f>IF(CY1133="MASTRO","Conto n.","")</f>
        <v>Conto n.</v>
      </c>
      <c r="DB1134" s="48" t="str">
        <f ca="1">IF(CY1134=0,"",INDEX(PDC,MATCH(DC1134,DEN_PDC,0),1))</f>
        <v/>
      </c>
      <c r="DC1134" s="48" t="str">
        <f ca="1">IF(OR(CY1134=0,CY1134="mastro"),"",CY1134)</f>
        <v/>
      </c>
      <c r="DD1134" s="48" t="str">
        <f ca="1">IF(AND($DA$2=TRUE,OR(INDEX(PDC,MATCH($DC1134,DEN_PDC,0),4)="A",INDEX(PDC,MATCH($DC1134,DEN_PDC,0),4)="D/A"),SUMIFS(AVERE,DEN_G,"="&amp;$DC1134,DATA,"&lt;="&amp;FINE_AC,DATA,"&gt;="&amp;INIZIO_AC)&gt;SUMIFS(DARE,DEN_G,"="&amp;$DC1134,DATA,"&lt;="&amp;FINE_AC,DATA,"&gt;="&amp;INIZIO_AC)),CONCATENATE("s ",FIXED(ABS(SUMIFS(AVERE,DEN_G,"="&amp;$DC1134,DATA,"&lt;="&amp;FINE_AC,DATA,"&gt;="&amp;INIZIO_AC)-SUMIFS(DARE,DEN_G,"="&amp;$DC1134,DATA,"&lt;="&amp;FINE_AC,DATA,"&gt;="&amp;INIZIO_AC)),2)),"")</f>
        <v/>
      </c>
      <c r="DE1134" s="48" t="str">
        <f ca="1">IF(AND($DA$2=TRUE,OR(INDEX(PDC,MATCH($DC1134,DEN_PDC,0),4)="D",INDEX(PDC,MATCH($DC1134,DEN_PDC,0),4)="D/A"),SUMIFS(DARE,DEN_G,"="&amp;$DC1134,DATA,"&lt;="&amp;FINE_AC,DATA,"&gt;="&amp;INIZIO_AC)&gt;SUMIFS(AVERE,DEN_G,"="&amp;$DC1134,DATA,"&lt;="&amp;FINE_AC,DATA,"&gt;="&amp;INIZIO_AC)),CONCATENATE("s ",FIXED(ABS(SUMIFS(DARE,DEN_G,"="&amp;$DC1134,DATA,"&lt;="&amp;FINE_AC,DATA,"&gt;="&amp;INIZIO_AC)-SUMIFS(AVERE,DEN_G,"="&amp;$DC1134,DATA,"&lt;="&amp;FINE_AC,DATA,"&gt;="&amp;INIZIO_AC)),2)),"")</f>
        <v/>
      </c>
      <c r="DF1134" s="48">
        <f ca="1">IF(AND(CX1134=$DF$1,CX1134&lt;&gt;""),0,IF(AND(DB1134&lt;&gt;"",OR(DB1133&lt;&gt;"",DB1135&lt;&gt;"")),MAX($DF$2:DF1133)+1,0))</f>
        <v>0</v>
      </c>
    </row>
    <row r="1135" spans="102:110" x14ac:dyDescent="0.3">
      <c r="CX1135" s="48">
        <f t="shared" ref="CX1135:CX1145" ca="1" si="1283">$FF$90</f>
        <v>88</v>
      </c>
      <c r="CY1135" s="48" t="str">
        <f t="shared" ca="1" si="1282"/>
        <v>MASTRO</v>
      </c>
      <c r="DA1135" s="48" t="str">
        <f ca="1">IF(DB1134="","","Num. riga")</f>
        <v/>
      </c>
      <c r="DB1135" s="48" t="str">
        <f t="shared" ref="DB1135" ca="1" si="1284">IF(DB1134="","","Data")</f>
        <v/>
      </c>
      <c r="DC1135" s="48" t="str">
        <f ca="1">IF(DB1134="","","Operazioni")</f>
        <v/>
      </c>
      <c r="DD1135" s="48" t="str">
        <f ca="1">IF(DB1134="","","Dare        ")</f>
        <v/>
      </c>
      <c r="DE1135" s="48" t="str">
        <f ca="1">IF(DB1134="","","Avere        ")</f>
        <v/>
      </c>
      <c r="DF1135" s="48">
        <f ca="1">IF(AND(CX1135=$DF$1,CX1135&lt;&gt;""),0,IF(AND(DB1135&lt;&gt;"",OR(DB1134&lt;&gt;"",DB1136&lt;&gt;"")),MAX($DF$2:DF1134)+1,0))</f>
        <v>0</v>
      </c>
    </row>
    <row r="1136" spans="102:110" x14ac:dyDescent="0.3">
      <c r="CX1136" s="48">
        <f t="shared" ca="1" si="1283"/>
        <v>88</v>
      </c>
      <c r="CY1136" s="48" t="str">
        <f t="shared" ca="1" si="1282"/>
        <v>MASTRO</v>
      </c>
      <c r="CZ1136" s="48" t="e">
        <f t="shared" ref="CZ1136:CZ1145" ca="1" si="1285">SUM(MATCH($CY1136,INDIRECT(ADDRESS(SUM(CZ1135)+3,54)&amp;":"&amp;ADDRESS(400,54)),0),CZ1135)</f>
        <v>#N/A</v>
      </c>
      <c r="DA1136" s="48" t="str">
        <f ca="1">IFERROR(INDEX(LIBRO_GIORNALE,CZ1136,1),"")</f>
        <v/>
      </c>
      <c r="DB1136" s="48" t="str">
        <f t="shared" ca="1" si="1276"/>
        <v/>
      </c>
      <c r="DC1136" s="48" t="str">
        <f t="shared" ref="DC1136:DC1145" ca="1" si="1286">IF(IFERROR(INDEX(LIBRO_GIORNALE,CZ1136,4),"")=0,"manca la descrizione dell'operazione",IFERROR(INDEX(LIBRO_GIORNALE,CZ1136,4),""))</f>
        <v/>
      </c>
      <c r="DD1136" s="48" t="str">
        <f t="shared" ref="DD1136:DD1145" ca="1" si="1287">IFERROR(IF(INDEX(LIBRO_GIORNALE,CZ1136,5)&gt;0,INDEX(LIBRO_GIORNALE,CZ1136,5),""),"")</f>
        <v/>
      </c>
      <c r="DE1136" s="48" t="str">
        <f t="shared" ref="DE1136:DE1145" ca="1" si="1288">IFERROR(IF(INDEX(LIBRO_GIORNALE,CZ1136,6)&gt;0,INDEX(LIBRO_GIORNALE,CZ1136,6),""),"")</f>
        <v/>
      </c>
      <c r="DF1136" s="48">
        <f ca="1">IF(AND(CX1136=$DF$1,CX1136&lt;&gt;""),0,IF(AND(DB1136&lt;&gt;"",OR(DB1135&lt;&gt;"",DB1137&lt;&gt;"")),MAX($DF$2:DF1135)+1,0))</f>
        <v>0</v>
      </c>
    </row>
    <row r="1137" spans="102:110" x14ac:dyDescent="0.3">
      <c r="CX1137" s="48">
        <f t="shared" ca="1" si="1283"/>
        <v>88</v>
      </c>
      <c r="CY1137" s="48" t="str">
        <f t="shared" ca="1" si="1282"/>
        <v>MASTRO</v>
      </c>
      <c r="CZ1137" s="48" t="e">
        <f t="shared" ca="1" si="1285"/>
        <v>#N/A</v>
      </c>
      <c r="DA1137" s="48" t="str">
        <f t="shared" ref="DA1137:DA1145" ca="1" si="1289">IFERROR(INDEX(LIBRO_GIORNALE,CZ1137,1),"")</f>
        <v/>
      </c>
      <c r="DB1137" s="48" t="str">
        <f t="shared" ca="1" si="1276"/>
        <v/>
      </c>
      <c r="DC1137" s="48" t="str">
        <f t="shared" ca="1" si="1286"/>
        <v/>
      </c>
      <c r="DD1137" s="48" t="str">
        <f t="shared" ca="1" si="1287"/>
        <v/>
      </c>
      <c r="DE1137" s="48" t="str">
        <f t="shared" ca="1" si="1288"/>
        <v/>
      </c>
      <c r="DF1137" s="48">
        <f ca="1">IF(AND(CX1137=$DF$1,CX1137&lt;&gt;""),0,IF(AND(DB1137&lt;&gt;"",OR(DB1136&lt;&gt;"",DB1138&lt;&gt;"")),MAX($DF$2:DF1136)+1,0))</f>
        <v>0</v>
      </c>
    </row>
    <row r="1138" spans="102:110" x14ac:dyDescent="0.3">
      <c r="CX1138" s="48">
        <f t="shared" ca="1" si="1283"/>
        <v>88</v>
      </c>
      <c r="CY1138" s="48" t="str">
        <f t="shared" ca="1" si="1282"/>
        <v>MASTRO</v>
      </c>
      <c r="CZ1138" s="48" t="e">
        <f t="shared" ca="1" si="1285"/>
        <v>#N/A</v>
      </c>
      <c r="DA1138" s="48" t="str">
        <f t="shared" ca="1" si="1289"/>
        <v/>
      </c>
      <c r="DB1138" s="48" t="str">
        <f t="shared" ca="1" si="1276"/>
        <v/>
      </c>
      <c r="DC1138" s="48" t="str">
        <f t="shared" ca="1" si="1286"/>
        <v/>
      </c>
      <c r="DD1138" s="48" t="str">
        <f t="shared" ca="1" si="1287"/>
        <v/>
      </c>
      <c r="DE1138" s="48" t="str">
        <f t="shared" ca="1" si="1288"/>
        <v/>
      </c>
      <c r="DF1138" s="48">
        <f ca="1">IF(AND(CX1138=$DF$1,CX1138&lt;&gt;""),0,IF(AND(DB1138&lt;&gt;"",OR(DB1137&lt;&gt;"",DB1139&lt;&gt;"")),MAX($DF$2:DF1137)+1,0))</f>
        <v>0</v>
      </c>
    </row>
    <row r="1139" spans="102:110" x14ac:dyDescent="0.3">
      <c r="CX1139" s="48">
        <f t="shared" ca="1" si="1283"/>
        <v>88</v>
      </c>
      <c r="CY1139" s="48" t="str">
        <f t="shared" ca="1" si="1282"/>
        <v>MASTRO</v>
      </c>
      <c r="CZ1139" s="48" t="e">
        <f t="shared" ca="1" si="1285"/>
        <v>#N/A</v>
      </c>
      <c r="DA1139" s="48" t="str">
        <f t="shared" ca="1" si="1289"/>
        <v/>
      </c>
      <c r="DB1139" s="48" t="str">
        <f t="shared" ca="1" si="1276"/>
        <v/>
      </c>
      <c r="DC1139" s="48" t="str">
        <f t="shared" ca="1" si="1286"/>
        <v/>
      </c>
      <c r="DD1139" s="48" t="str">
        <f t="shared" ca="1" si="1287"/>
        <v/>
      </c>
      <c r="DE1139" s="48" t="str">
        <f t="shared" ca="1" si="1288"/>
        <v/>
      </c>
      <c r="DF1139" s="48">
        <f ca="1">IF(AND(CX1139=$DF$1,CX1139&lt;&gt;""),0,IF(AND(DB1139&lt;&gt;"",OR(DB1138&lt;&gt;"",DB1140&lt;&gt;"")),MAX($DF$2:DF1138)+1,0))</f>
        <v>0</v>
      </c>
    </row>
    <row r="1140" spans="102:110" x14ac:dyDescent="0.3">
      <c r="CX1140" s="48">
        <f t="shared" ca="1" si="1283"/>
        <v>88</v>
      </c>
      <c r="CY1140" s="48" t="str">
        <f t="shared" ca="1" si="1282"/>
        <v>MASTRO</v>
      </c>
      <c r="CZ1140" s="48" t="e">
        <f t="shared" ca="1" si="1285"/>
        <v>#N/A</v>
      </c>
      <c r="DA1140" s="48" t="str">
        <f t="shared" ca="1" si="1289"/>
        <v/>
      </c>
      <c r="DB1140" s="48" t="str">
        <f t="shared" ca="1" si="1276"/>
        <v/>
      </c>
      <c r="DC1140" s="48" t="str">
        <f t="shared" ca="1" si="1286"/>
        <v/>
      </c>
      <c r="DD1140" s="48" t="str">
        <f t="shared" ca="1" si="1287"/>
        <v/>
      </c>
      <c r="DE1140" s="48" t="str">
        <f t="shared" ca="1" si="1288"/>
        <v/>
      </c>
      <c r="DF1140" s="48">
        <f ca="1">IF(AND(CX1140=$DF$1,CX1140&lt;&gt;""),0,IF(AND(DB1140&lt;&gt;"",OR(DB1139&lt;&gt;"",DB1141&lt;&gt;"")),MAX($DF$2:DF1139)+1,0))</f>
        <v>0</v>
      </c>
    </row>
    <row r="1141" spans="102:110" x14ac:dyDescent="0.3">
      <c r="CX1141" s="48">
        <f t="shared" ca="1" si="1283"/>
        <v>88</v>
      </c>
      <c r="CY1141" s="48" t="str">
        <f t="shared" ca="1" si="1282"/>
        <v>MASTRO</v>
      </c>
      <c r="CZ1141" s="48" t="e">
        <f t="shared" ca="1" si="1285"/>
        <v>#N/A</v>
      </c>
      <c r="DA1141" s="48" t="str">
        <f t="shared" ca="1" si="1289"/>
        <v/>
      </c>
      <c r="DB1141" s="48" t="str">
        <f t="shared" ca="1" si="1276"/>
        <v/>
      </c>
      <c r="DC1141" s="48" t="str">
        <f t="shared" ca="1" si="1286"/>
        <v/>
      </c>
      <c r="DD1141" s="48" t="str">
        <f t="shared" ca="1" si="1287"/>
        <v/>
      </c>
      <c r="DE1141" s="48" t="str">
        <f t="shared" ca="1" si="1288"/>
        <v/>
      </c>
      <c r="DF1141" s="48">
        <f ca="1">IF(AND(CX1141=$DF$1,CX1141&lt;&gt;""),0,IF(AND(DB1141&lt;&gt;"",OR(DB1140&lt;&gt;"",DB1142&lt;&gt;"")),MAX($DF$2:DF1140)+1,0))</f>
        <v>0</v>
      </c>
    </row>
    <row r="1142" spans="102:110" x14ac:dyDescent="0.3">
      <c r="CX1142" s="48">
        <f t="shared" ca="1" si="1283"/>
        <v>88</v>
      </c>
      <c r="CY1142" s="48" t="str">
        <f t="shared" ca="1" si="1282"/>
        <v>MASTRO</v>
      </c>
      <c r="CZ1142" s="48" t="e">
        <f t="shared" ca="1" si="1285"/>
        <v>#N/A</v>
      </c>
      <c r="DA1142" s="48" t="str">
        <f t="shared" ca="1" si="1289"/>
        <v/>
      </c>
      <c r="DB1142" s="48" t="str">
        <f t="shared" ca="1" si="1276"/>
        <v/>
      </c>
      <c r="DC1142" s="48" t="str">
        <f t="shared" ca="1" si="1286"/>
        <v/>
      </c>
      <c r="DD1142" s="48" t="str">
        <f t="shared" ca="1" si="1287"/>
        <v/>
      </c>
      <c r="DE1142" s="48" t="str">
        <f t="shared" ca="1" si="1288"/>
        <v/>
      </c>
      <c r="DF1142" s="48">
        <f ca="1">IF(AND(CX1142=$DF$1,CX1142&lt;&gt;""),0,IF(AND(DB1142&lt;&gt;"",OR(DB1141&lt;&gt;"",DB1143&lt;&gt;"")),MAX($DF$2:DF1141)+1,0))</f>
        <v>0</v>
      </c>
    </row>
    <row r="1143" spans="102:110" x14ac:dyDescent="0.3">
      <c r="CX1143" s="48">
        <f t="shared" ca="1" si="1283"/>
        <v>88</v>
      </c>
      <c r="CY1143" s="48" t="str">
        <f t="shared" ca="1" si="1282"/>
        <v>MASTRO</v>
      </c>
      <c r="CZ1143" s="48" t="e">
        <f t="shared" ca="1" si="1285"/>
        <v>#N/A</v>
      </c>
      <c r="DA1143" s="48" t="str">
        <f t="shared" ca="1" si="1289"/>
        <v/>
      </c>
      <c r="DB1143" s="48" t="str">
        <f t="shared" ca="1" si="1276"/>
        <v/>
      </c>
      <c r="DC1143" s="48" t="str">
        <f t="shared" ca="1" si="1286"/>
        <v/>
      </c>
      <c r="DD1143" s="48" t="str">
        <f t="shared" ca="1" si="1287"/>
        <v/>
      </c>
      <c r="DE1143" s="48" t="str">
        <f t="shared" ca="1" si="1288"/>
        <v/>
      </c>
      <c r="DF1143" s="48">
        <f ca="1">IF(AND(CX1143=$DF$1,CX1143&lt;&gt;""),0,IF(AND(DB1143&lt;&gt;"",OR(DB1142&lt;&gt;"",DB1144&lt;&gt;"")),MAX($DF$2:DF1142)+1,0))</f>
        <v>0</v>
      </c>
    </row>
    <row r="1144" spans="102:110" x14ac:dyDescent="0.3">
      <c r="CX1144" s="48">
        <f t="shared" ca="1" si="1283"/>
        <v>88</v>
      </c>
      <c r="CY1144" s="48" t="str">
        <f t="shared" ca="1" si="1282"/>
        <v>MASTRO</v>
      </c>
      <c r="CZ1144" s="48" t="e">
        <f t="shared" ca="1" si="1285"/>
        <v>#N/A</v>
      </c>
      <c r="DA1144" s="48" t="str">
        <f t="shared" ca="1" si="1289"/>
        <v/>
      </c>
      <c r="DB1144" s="48" t="str">
        <f t="shared" ca="1" si="1276"/>
        <v/>
      </c>
      <c r="DC1144" s="48" t="str">
        <f t="shared" ca="1" si="1286"/>
        <v/>
      </c>
      <c r="DD1144" s="48" t="str">
        <f t="shared" ca="1" si="1287"/>
        <v/>
      </c>
      <c r="DE1144" s="48" t="str">
        <f t="shared" ca="1" si="1288"/>
        <v/>
      </c>
      <c r="DF1144" s="48">
        <f ca="1">IF(AND(CX1144=$DF$1,CX1144&lt;&gt;""),0,IF(AND(DB1144&lt;&gt;"",OR(DB1143&lt;&gt;"",DB1145&lt;&gt;"")),MAX($DF$2:DF1143)+1,0))</f>
        <v>0</v>
      </c>
    </row>
    <row r="1145" spans="102:110" x14ac:dyDescent="0.3">
      <c r="CX1145" s="48">
        <f t="shared" ca="1" si="1283"/>
        <v>88</v>
      </c>
      <c r="CY1145" s="48" t="str">
        <f t="shared" ca="1" si="1282"/>
        <v>MASTRO</v>
      </c>
      <c r="CZ1145" s="48" t="e">
        <f t="shared" ca="1" si="1285"/>
        <v>#N/A</v>
      </c>
      <c r="DA1145" s="48" t="str">
        <f t="shared" ca="1" si="1289"/>
        <v/>
      </c>
      <c r="DB1145" s="48" t="str">
        <f t="shared" ca="1" si="1276"/>
        <v/>
      </c>
      <c r="DC1145" s="48" t="str">
        <f t="shared" ca="1" si="1286"/>
        <v/>
      </c>
      <c r="DD1145" s="48" t="str">
        <f t="shared" ca="1" si="1287"/>
        <v/>
      </c>
      <c r="DE1145" s="48" t="str">
        <f t="shared" ca="1" si="1288"/>
        <v/>
      </c>
      <c r="DF1145" s="48">
        <f ca="1">IF(AND(CX1145=$DF$1,CX1145&lt;&gt;""),0,IF(AND(DB1145&lt;&gt;"",OR(DB1144&lt;&gt;"",DB1146&lt;&gt;"")),MAX($DF$2:DF1144)+1,0))</f>
        <v>0</v>
      </c>
    </row>
    <row r="1146" spans="102:110" x14ac:dyDescent="0.3">
      <c r="CY1146" s="48" t="s">
        <v>500</v>
      </c>
      <c r="DB1146" s="48" t="str">
        <f t="shared" ref="DB1146" ca="1" si="1290">IF(CX1145=$DF$1,"","MASTRO")</f>
        <v>MASTRO</v>
      </c>
      <c r="DF1146" s="48">
        <f ca="1">IF(AND(CX1146=$DF$1,CX1146&lt;&gt;""),0,IF(AND(DB1146&lt;&gt;"",OR(DB1145&lt;&gt;"",DB1147&lt;&gt;"")),MAX($DF$2:DF1145)+1,0))</f>
        <v>0</v>
      </c>
    </row>
    <row r="1147" spans="102:110" x14ac:dyDescent="0.3">
      <c r="CX1147" s="48">
        <f ca="1">$FF$91</f>
        <v>89</v>
      </c>
      <c r="CY1147" s="48" t="str">
        <f t="shared" ref="CY1147:CY1158" ca="1" si="1291">IF(ISERROR(INDEX($CV$3:$CX$1302,MATCH(CX1147,$CW$3:$CW$1302,0),1)),"MASTRO",INDEX($CV$3:$CX$1302,MATCH(CX1147,$CW$3:$CW$1302,0),1))</f>
        <v>MASTRO</v>
      </c>
      <c r="DA1147" s="48" t="str">
        <f>IF(CY1146="MASTRO","Conto n.","")</f>
        <v>Conto n.</v>
      </c>
      <c r="DB1147" s="48" t="str">
        <f ca="1">IF(CY1147=0,"",INDEX(PDC,MATCH(DC1147,DEN_PDC,0),1))</f>
        <v/>
      </c>
      <c r="DC1147" s="48" t="str">
        <f ca="1">IF(OR(CY1147=0,CY1147="mastro"),"",CY1147)</f>
        <v/>
      </c>
      <c r="DD1147" s="48" t="str">
        <f ca="1">IF(AND($DA$2=TRUE,OR(INDEX(PDC,MATCH($DC1147,DEN_PDC,0),4)="A",INDEX(PDC,MATCH($DC1147,DEN_PDC,0),4)="D/A"),SUMIFS(AVERE,DEN_G,"="&amp;$DC1147,DATA,"&lt;="&amp;FINE_AC,DATA,"&gt;="&amp;INIZIO_AC)&gt;SUMIFS(DARE,DEN_G,"="&amp;$DC1147,DATA,"&lt;="&amp;FINE_AC,DATA,"&gt;="&amp;INIZIO_AC)),CONCATENATE("s ",FIXED(ABS(SUMIFS(AVERE,DEN_G,"="&amp;$DC1147,DATA,"&lt;="&amp;FINE_AC,DATA,"&gt;="&amp;INIZIO_AC)-SUMIFS(DARE,DEN_G,"="&amp;$DC1147,DATA,"&lt;="&amp;FINE_AC,DATA,"&gt;="&amp;INIZIO_AC)),2)),"")</f>
        <v/>
      </c>
      <c r="DE1147" s="48" t="str">
        <f ca="1">IF(AND($DA$2=TRUE,OR(INDEX(PDC,MATCH($DC1147,DEN_PDC,0),4)="D",INDEX(PDC,MATCH($DC1147,DEN_PDC,0),4)="D/A"),SUMIFS(DARE,DEN_G,"="&amp;$DC1147,DATA,"&lt;="&amp;FINE_AC,DATA,"&gt;="&amp;INIZIO_AC)&gt;SUMIFS(AVERE,DEN_G,"="&amp;$DC1147,DATA,"&lt;="&amp;FINE_AC,DATA,"&gt;="&amp;INIZIO_AC)),CONCATENATE("s ",FIXED(ABS(SUMIFS(DARE,DEN_G,"="&amp;$DC1147,DATA,"&lt;="&amp;FINE_AC,DATA,"&gt;="&amp;INIZIO_AC)-SUMIFS(AVERE,DEN_G,"="&amp;$DC1147,DATA,"&lt;="&amp;FINE_AC,DATA,"&gt;="&amp;INIZIO_AC)),2)),"")</f>
        <v/>
      </c>
      <c r="DF1147" s="48">
        <f ca="1">IF(AND(CX1147=$DF$1,CX1147&lt;&gt;""),0,IF(AND(DB1147&lt;&gt;"",OR(DB1146&lt;&gt;"",DB1148&lt;&gt;"")),MAX($DF$2:DF1146)+1,0))</f>
        <v>0</v>
      </c>
    </row>
    <row r="1148" spans="102:110" x14ac:dyDescent="0.3">
      <c r="CX1148" s="48">
        <f t="shared" ref="CX1148:CX1158" ca="1" si="1292">$FF$91</f>
        <v>89</v>
      </c>
      <c r="CY1148" s="48" t="str">
        <f t="shared" ca="1" si="1291"/>
        <v>MASTRO</v>
      </c>
      <c r="DA1148" s="48" t="str">
        <f ca="1">IF(DB1147="","","Num. riga")</f>
        <v/>
      </c>
      <c r="DB1148" s="48" t="str">
        <f t="shared" ref="DB1148" ca="1" si="1293">IF(DB1147="","","Data")</f>
        <v/>
      </c>
      <c r="DC1148" s="48" t="str">
        <f ca="1">IF(DB1147="","","Operazioni")</f>
        <v/>
      </c>
      <c r="DD1148" s="48" t="str">
        <f ca="1">IF(DB1147="","","Dare        ")</f>
        <v/>
      </c>
      <c r="DE1148" s="48" t="str">
        <f ca="1">IF(DB1147="","","Avere        ")</f>
        <v/>
      </c>
      <c r="DF1148" s="48">
        <f ca="1">IF(AND(CX1148=$DF$1,CX1148&lt;&gt;""),0,IF(AND(DB1148&lt;&gt;"",OR(DB1147&lt;&gt;"",DB1149&lt;&gt;"")),MAX($DF$2:DF1147)+1,0))</f>
        <v>0</v>
      </c>
    </row>
    <row r="1149" spans="102:110" x14ac:dyDescent="0.3">
      <c r="CX1149" s="48">
        <f t="shared" ca="1" si="1292"/>
        <v>89</v>
      </c>
      <c r="CY1149" s="48" t="str">
        <f t="shared" ca="1" si="1291"/>
        <v>MASTRO</v>
      </c>
      <c r="CZ1149" s="48" t="e">
        <f t="shared" ref="CZ1149:CZ1158" ca="1" si="1294">SUM(MATCH($CY1149,INDIRECT(ADDRESS(SUM(CZ1148)+3,54)&amp;":"&amp;ADDRESS(400,54)),0),CZ1148)</f>
        <v>#N/A</v>
      </c>
      <c r="DA1149" s="48" t="str">
        <f ca="1">IFERROR(INDEX(LIBRO_GIORNALE,CZ1149,1),"")</f>
        <v/>
      </c>
      <c r="DB1149" s="48" t="str">
        <f t="shared" ca="1" si="1276"/>
        <v/>
      </c>
      <c r="DC1149" s="48" t="str">
        <f t="shared" ref="DC1149:DC1158" ca="1" si="1295">IF(IFERROR(INDEX(LIBRO_GIORNALE,CZ1149,4),"")=0,"manca la descrizione dell'operazione",IFERROR(INDEX(LIBRO_GIORNALE,CZ1149,4),""))</f>
        <v/>
      </c>
      <c r="DD1149" s="48" t="str">
        <f t="shared" ref="DD1149:DD1158" ca="1" si="1296">IFERROR(IF(INDEX(LIBRO_GIORNALE,CZ1149,5)&gt;0,INDEX(LIBRO_GIORNALE,CZ1149,5),""),"")</f>
        <v/>
      </c>
      <c r="DE1149" s="48" t="str">
        <f t="shared" ref="DE1149:DE1158" ca="1" si="1297">IFERROR(IF(INDEX(LIBRO_GIORNALE,CZ1149,6)&gt;0,INDEX(LIBRO_GIORNALE,CZ1149,6),""),"")</f>
        <v/>
      </c>
      <c r="DF1149" s="48">
        <f ca="1">IF(AND(CX1149=$DF$1,CX1149&lt;&gt;""),0,IF(AND(DB1149&lt;&gt;"",OR(DB1148&lt;&gt;"",DB1150&lt;&gt;"")),MAX($DF$2:DF1148)+1,0))</f>
        <v>0</v>
      </c>
    </row>
    <row r="1150" spans="102:110" x14ac:dyDescent="0.3">
      <c r="CX1150" s="48">
        <f t="shared" ca="1" si="1292"/>
        <v>89</v>
      </c>
      <c r="CY1150" s="48" t="str">
        <f t="shared" ca="1" si="1291"/>
        <v>MASTRO</v>
      </c>
      <c r="CZ1150" s="48" t="e">
        <f t="shared" ca="1" si="1294"/>
        <v>#N/A</v>
      </c>
      <c r="DA1150" s="48" t="str">
        <f t="shared" ref="DA1150:DA1158" ca="1" si="1298">IFERROR(INDEX(LIBRO_GIORNALE,CZ1150,1),"")</f>
        <v/>
      </c>
      <c r="DB1150" s="48" t="str">
        <f t="shared" ca="1" si="1276"/>
        <v/>
      </c>
      <c r="DC1150" s="48" t="str">
        <f t="shared" ca="1" si="1295"/>
        <v/>
      </c>
      <c r="DD1150" s="48" t="str">
        <f t="shared" ca="1" si="1296"/>
        <v/>
      </c>
      <c r="DE1150" s="48" t="str">
        <f t="shared" ca="1" si="1297"/>
        <v/>
      </c>
      <c r="DF1150" s="48">
        <f ca="1">IF(AND(CX1150=$DF$1,CX1150&lt;&gt;""),0,IF(AND(DB1150&lt;&gt;"",OR(DB1149&lt;&gt;"",DB1151&lt;&gt;"")),MAX($DF$2:DF1149)+1,0))</f>
        <v>0</v>
      </c>
    </row>
    <row r="1151" spans="102:110" x14ac:dyDescent="0.3">
      <c r="CX1151" s="48">
        <f t="shared" ca="1" si="1292"/>
        <v>89</v>
      </c>
      <c r="CY1151" s="48" t="str">
        <f t="shared" ca="1" si="1291"/>
        <v>MASTRO</v>
      </c>
      <c r="CZ1151" s="48" t="e">
        <f t="shared" ca="1" si="1294"/>
        <v>#N/A</v>
      </c>
      <c r="DA1151" s="48" t="str">
        <f t="shared" ca="1" si="1298"/>
        <v/>
      </c>
      <c r="DB1151" s="48" t="str">
        <f t="shared" ca="1" si="1276"/>
        <v/>
      </c>
      <c r="DC1151" s="48" t="str">
        <f t="shared" ca="1" si="1295"/>
        <v/>
      </c>
      <c r="DD1151" s="48" t="str">
        <f t="shared" ca="1" si="1296"/>
        <v/>
      </c>
      <c r="DE1151" s="48" t="str">
        <f t="shared" ca="1" si="1297"/>
        <v/>
      </c>
      <c r="DF1151" s="48">
        <f ca="1">IF(AND(CX1151=$DF$1,CX1151&lt;&gt;""),0,IF(AND(DB1151&lt;&gt;"",OR(DB1150&lt;&gt;"",DB1152&lt;&gt;"")),MAX($DF$2:DF1150)+1,0))</f>
        <v>0</v>
      </c>
    </row>
    <row r="1152" spans="102:110" x14ac:dyDescent="0.3">
      <c r="CX1152" s="48">
        <f t="shared" ca="1" si="1292"/>
        <v>89</v>
      </c>
      <c r="CY1152" s="48" t="str">
        <f t="shared" ca="1" si="1291"/>
        <v>MASTRO</v>
      </c>
      <c r="CZ1152" s="48" t="e">
        <f t="shared" ca="1" si="1294"/>
        <v>#N/A</v>
      </c>
      <c r="DA1152" s="48" t="str">
        <f t="shared" ca="1" si="1298"/>
        <v/>
      </c>
      <c r="DB1152" s="48" t="str">
        <f t="shared" ca="1" si="1276"/>
        <v/>
      </c>
      <c r="DC1152" s="48" t="str">
        <f t="shared" ca="1" si="1295"/>
        <v/>
      </c>
      <c r="DD1152" s="48" t="str">
        <f t="shared" ca="1" si="1296"/>
        <v/>
      </c>
      <c r="DE1152" s="48" t="str">
        <f t="shared" ca="1" si="1297"/>
        <v/>
      </c>
      <c r="DF1152" s="48">
        <f ca="1">IF(AND(CX1152=$DF$1,CX1152&lt;&gt;""),0,IF(AND(DB1152&lt;&gt;"",OR(DB1151&lt;&gt;"",DB1153&lt;&gt;"")),MAX($DF$2:DF1151)+1,0))</f>
        <v>0</v>
      </c>
    </row>
    <row r="1153" spans="102:110" x14ac:dyDescent="0.3">
      <c r="CX1153" s="48">
        <f t="shared" ca="1" si="1292"/>
        <v>89</v>
      </c>
      <c r="CY1153" s="48" t="str">
        <f t="shared" ca="1" si="1291"/>
        <v>MASTRO</v>
      </c>
      <c r="CZ1153" s="48" t="e">
        <f t="shared" ca="1" si="1294"/>
        <v>#N/A</v>
      </c>
      <c r="DA1153" s="48" t="str">
        <f t="shared" ca="1" si="1298"/>
        <v/>
      </c>
      <c r="DB1153" s="48" t="str">
        <f t="shared" ca="1" si="1276"/>
        <v/>
      </c>
      <c r="DC1153" s="48" t="str">
        <f t="shared" ca="1" si="1295"/>
        <v/>
      </c>
      <c r="DD1153" s="48" t="str">
        <f t="shared" ca="1" si="1296"/>
        <v/>
      </c>
      <c r="DE1153" s="48" t="str">
        <f t="shared" ca="1" si="1297"/>
        <v/>
      </c>
      <c r="DF1153" s="48">
        <f ca="1">IF(AND(CX1153=$DF$1,CX1153&lt;&gt;""),0,IF(AND(DB1153&lt;&gt;"",OR(DB1152&lt;&gt;"",DB1154&lt;&gt;"")),MAX($DF$2:DF1152)+1,0))</f>
        <v>0</v>
      </c>
    </row>
    <row r="1154" spans="102:110" x14ac:dyDescent="0.3">
      <c r="CX1154" s="48">
        <f t="shared" ca="1" si="1292"/>
        <v>89</v>
      </c>
      <c r="CY1154" s="48" t="str">
        <f t="shared" ca="1" si="1291"/>
        <v>MASTRO</v>
      </c>
      <c r="CZ1154" s="48" t="e">
        <f t="shared" ca="1" si="1294"/>
        <v>#N/A</v>
      </c>
      <c r="DA1154" s="48" t="str">
        <f t="shared" ca="1" si="1298"/>
        <v/>
      </c>
      <c r="DB1154" s="48" t="str">
        <f t="shared" ca="1" si="1276"/>
        <v/>
      </c>
      <c r="DC1154" s="48" t="str">
        <f t="shared" ca="1" si="1295"/>
        <v/>
      </c>
      <c r="DD1154" s="48" t="str">
        <f t="shared" ca="1" si="1296"/>
        <v/>
      </c>
      <c r="DE1154" s="48" t="str">
        <f t="shared" ca="1" si="1297"/>
        <v/>
      </c>
      <c r="DF1154" s="48">
        <f ca="1">IF(AND(CX1154=$DF$1,CX1154&lt;&gt;""),0,IF(AND(DB1154&lt;&gt;"",OR(DB1153&lt;&gt;"",DB1155&lt;&gt;"")),MAX($DF$2:DF1153)+1,0))</f>
        <v>0</v>
      </c>
    </row>
    <row r="1155" spans="102:110" x14ac:dyDescent="0.3">
      <c r="CX1155" s="48">
        <f t="shared" ca="1" si="1292"/>
        <v>89</v>
      </c>
      <c r="CY1155" s="48" t="str">
        <f t="shared" ca="1" si="1291"/>
        <v>MASTRO</v>
      </c>
      <c r="CZ1155" s="48" t="e">
        <f t="shared" ca="1" si="1294"/>
        <v>#N/A</v>
      </c>
      <c r="DA1155" s="48" t="str">
        <f t="shared" ca="1" si="1298"/>
        <v/>
      </c>
      <c r="DB1155" s="48" t="str">
        <f t="shared" ca="1" si="1276"/>
        <v/>
      </c>
      <c r="DC1155" s="48" t="str">
        <f t="shared" ca="1" si="1295"/>
        <v/>
      </c>
      <c r="DD1155" s="48" t="str">
        <f t="shared" ca="1" si="1296"/>
        <v/>
      </c>
      <c r="DE1155" s="48" t="str">
        <f t="shared" ca="1" si="1297"/>
        <v/>
      </c>
      <c r="DF1155" s="48">
        <f ca="1">IF(AND(CX1155=$DF$1,CX1155&lt;&gt;""),0,IF(AND(DB1155&lt;&gt;"",OR(DB1154&lt;&gt;"",DB1156&lt;&gt;"")),MAX($DF$2:DF1154)+1,0))</f>
        <v>0</v>
      </c>
    </row>
    <row r="1156" spans="102:110" x14ac:dyDescent="0.3">
      <c r="CX1156" s="48">
        <f t="shared" ca="1" si="1292"/>
        <v>89</v>
      </c>
      <c r="CY1156" s="48" t="str">
        <f t="shared" ca="1" si="1291"/>
        <v>MASTRO</v>
      </c>
      <c r="CZ1156" s="48" t="e">
        <f t="shared" ca="1" si="1294"/>
        <v>#N/A</v>
      </c>
      <c r="DA1156" s="48" t="str">
        <f t="shared" ca="1" si="1298"/>
        <v/>
      </c>
      <c r="DB1156" s="48" t="str">
        <f t="shared" ca="1" si="1276"/>
        <v/>
      </c>
      <c r="DC1156" s="48" t="str">
        <f t="shared" ca="1" si="1295"/>
        <v/>
      </c>
      <c r="DD1156" s="48" t="str">
        <f t="shared" ca="1" si="1296"/>
        <v/>
      </c>
      <c r="DE1156" s="48" t="str">
        <f t="shared" ca="1" si="1297"/>
        <v/>
      </c>
      <c r="DF1156" s="48">
        <f ca="1">IF(AND(CX1156=$DF$1,CX1156&lt;&gt;""),0,IF(AND(DB1156&lt;&gt;"",OR(DB1155&lt;&gt;"",DB1157&lt;&gt;"")),MAX($DF$2:DF1155)+1,0))</f>
        <v>0</v>
      </c>
    </row>
    <row r="1157" spans="102:110" x14ac:dyDescent="0.3">
      <c r="CX1157" s="48">
        <f t="shared" ca="1" si="1292"/>
        <v>89</v>
      </c>
      <c r="CY1157" s="48" t="str">
        <f t="shared" ca="1" si="1291"/>
        <v>MASTRO</v>
      </c>
      <c r="CZ1157" s="48" t="e">
        <f t="shared" ca="1" si="1294"/>
        <v>#N/A</v>
      </c>
      <c r="DA1157" s="48" t="str">
        <f t="shared" ca="1" si="1298"/>
        <v/>
      </c>
      <c r="DB1157" s="48" t="str">
        <f t="shared" ca="1" si="1276"/>
        <v/>
      </c>
      <c r="DC1157" s="48" t="str">
        <f t="shared" ca="1" si="1295"/>
        <v/>
      </c>
      <c r="DD1157" s="48" t="str">
        <f t="shared" ca="1" si="1296"/>
        <v/>
      </c>
      <c r="DE1157" s="48" t="str">
        <f t="shared" ca="1" si="1297"/>
        <v/>
      </c>
      <c r="DF1157" s="48">
        <f ca="1">IF(AND(CX1157=$DF$1,CX1157&lt;&gt;""),0,IF(AND(DB1157&lt;&gt;"",OR(DB1156&lt;&gt;"",DB1158&lt;&gt;"")),MAX($DF$2:DF1156)+1,0))</f>
        <v>0</v>
      </c>
    </row>
    <row r="1158" spans="102:110" x14ac:dyDescent="0.3">
      <c r="CX1158" s="48">
        <f t="shared" ca="1" si="1292"/>
        <v>89</v>
      </c>
      <c r="CY1158" s="48" t="str">
        <f t="shared" ca="1" si="1291"/>
        <v>MASTRO</v>
      </c>
      <c r="CZ1158" s="48" t="e">
        <f t="shared" ca="1" si="1294"/>
        <v>#N/A</v>
      </c>
      <c r="DA1158" s="48" t="str">
        <f t="shared" ca="1" si="1298"/>
        <v/>
      </c>
      <c r="DB1158" s="48" t="str">
        <f t="shared" ca="1" si="1276"/>
        <v/>
      </c>
      <c r="DC1158" s="48" t="str">
        <f t="shared" ca="1" si="1295"/>
        <v/>
      </c>
      <c r="DD1158" s="48" t="str">
        <f t="shared" ca="1" si="1296"/>
        <v/>
      </c>
      <c r="DE1158" s="48" t="str">
        <f t="shared" ca="1" si="1297"/>
        <v/>
      </c>
      <c r="DF1158" s="48">
        <f ca="1">IF(AND(CX1158=$DF$1,CX1158&lt;&gt;""),0,IF(AND(DB1158&lt;&gt;"",OR(DB1157&lt;&gt;"",DB1159&lt;&gt;"")),MAX($DF$2:DF1157)+1,0))</f>
        <v>0</v>
      </c>
    </row>
    <row r="1159" spans="102:110" x14ac:dyDescent="0.3">
      <c r="CY1159" s="48" t="s">
        <v>500</v>
      </c>
      <c r="DB1159" s="48" t="str">
        <f t="shared" ref="DB1159" ca="1" si="1299">IF(CX1158=$DF$1,"","MASTRO")</f>
        <v>MASTRO</v>
      </c>
      <c r="DF1159" s="48">
        <f ca="1">IF(AND(CX1159=$DF$1,CX1159&lt;&gt;""),0,IF(AND(DB1159&lt;&gt;"",OR(DB1158&lt;&gt;"",DB1160&lt;&gt;"")),MAX($DF$2:DF1158)+1,0))</f>
        <v>0</v>
      </c>
    </row>
    <row r="1160" spans="102:110" x14ac:dyDescent="0.3">
      <c r="CX1160" s="48">
        <f ca="1">$FF$92</f>
        <v>90</v>
      </c>
      <c r="CY1160" s="48" t="str">
        <f t="shared" ref="CY1160:CY1171" ca="1" si="1300">IF(ISERROR(INDEX($CV$3:$CX$1302,MATCH(CX1160,$CW$3:$CW$1302,0),1)),"MASTRO",INDEX($CV$3:$CX$1302,MATCH(CX1160,$CW$3:$CW$1302,0),1))</f>
        <v>MASTRO</v>
      </c>
      <c r="DA1160" s="48" t="str">
        <f>IF(CY1159="MASTRO","Conto n.","")</f>
        <v>Conto n.</v>
      </c>
      <c r="DB1160" s="48" t="str">
        <f ca="1">IF(CY1160=0,"",INDEX(PDC,MATCH(DC1160,DEN_PDC,0),1))</f>
        <v/>
      </c>
      <c r="DC1160" s="48" t="str">
        <f ca="1">IF(OR(CY1160=0,CY1160="mastro"),"",CY1160)</f>
        <v/>
      </c>
      <c r="DD1160" s="48" t="str">
        <f ca="1">IF(AND($DA$2=TRUE,OR(INDEX(PDC,MATCH($DC1160,DEN_PDC,0),4)="A",INDEX(PDC,MATCH($DC1160,DEN_PDC,0),4)="D/A"),SUMIFS(AVERE,DEN_G,"="&amp;$DC1160,DATA,"&lt;="&amp;FINE_AC,DATA,"&gt;="&amp;INIZIO_AC)&gt;SUMIFS(DARE,DEN_G,"="&amp;$DC1160,DATA,"&lt;="&amp;FINE_AC,DATA,"&gt;="&amp;INIZIO_AC)),CONCATENATE("s ",FIXED(ABS(SUMIFS(AVERE,DEN_G,"="&amp;$DC1160,DATA,"&lt;="&amp;FINE_AC,DATA,"&gt;="&amp;INIZIO_AC)-SUMIFS(DARE,DEN_G,"="&amp;$DC1160,DATA,"&lt;="&amp;FINE_AC,DATA,"&gt;="&amp;INIZIO_AC)),2)),"")</f>
        <v/>
      </c>
      <c r="DE1160" s="48" t="str">
        <f ca="1">IF(AND($DA$2=TRUE,OR(INDEX(PDC,MATCH($DC1160,DEN_PDC,0),4)="D",INDEX(PDC,MATCH($DC1160,DEN_PDC,0),4)="D/A"),SUMIFS(DARE,DEN_G,"="&amp;$DC1160,DATA,"&lt;="&amp;FINE_AC,DATA,"&gt;="&amp;INIZIO_AC)&gt;SUMIFS(AVERE,DEN_G,"="&amp;$DC1160,DATA,"&lt;="&amp;FINE_AC,DATA,"&gt;="&amp;INIZIO_AC)),CONCATENATE("s ",FIXED(ABS(SUMIFS(DARE,DEN_G,"="&amp;$DC1160,DATA,"&lt;="&amp;FINE_AC,DATA,"&gt;="&amp;INIZIO_AC)-SUMIFS(AVERE,DEN_G,"="&amp;$DC1160,DATA,"&lt;="&amp;FINE_AC,DATA,"&gt;="&amp;INIZIO_AC)),2)),"")</f>
        <v/>
      </c>
      <c r="DF1160" s="48">
        <f ca="1">IF(AND(CX1160=$DF$1,CX1160&lt;&gt;""),0,IF(AND(DB1160&lt;&gt;"",OR(DB1159&lt;&gt;"",DB1161&lt;&gt;"")),MAX($DF$2:DF1159)+1,0))</f>
        <v>0</v>
      </c>
    </row>
    <row r="1161" spans="102:110" x14ac:dyDescent="0.3">
      <c r="CX1161" s="48">
        <f t="shared" ref="CX1161:CX1171" ca="1" si="1301">$FF$92</f>
        <v>90</v>
      </c>
      <c r="CY1161" s="48" t="str">
        <f t="shared" ca="1" si="1300"/>
        <v>MASTRO</v>
      </c>
      <c r="DA1161" s="48" t="str">
        <f ca="1">IF(DB1160="","","Num. riga")</f>
        <v/>
      </c>
      <c r="DB1161" s="48" t="str">
        <f t="shared" ref="DB1161" ca="1" si="1302">IF(DB1160="","","Data")</f>
        <v/>
      </c>
      <c r="DC1161" s="48" t="str">
        <f ca="1">IF(DB1160="","","Operazioni")</f>
        <v/>
      </c>
      <c r="DD1161" s="48" t="str">
        <f ca="1">IF(DB1160="","","Dare        ")</f>
        <v/>
      </c>
      <c r="DE1161" s="48" t="str">
        <f ca="1">IF(DB1160="","","Avere        ")</f>
        <v/>
      </c>
      <c r="DF1161" s="48">
        <f ca="1">IF(AND(CX1161=$DF$1,CX1161&lt;&gt;""),0,IF(AND(DB1161&lt;&gt;"",OR(DB1160&lt;&gt;"",DB1162&lt;&gt;"")),MAX($DF$2:DF1160)+1,0))</f>
        <v>0</v>
      </c>
    </row>
    <row r="1162" spans="102:110" x14ac:dyDescent="0.3">
      <c r="CX1162" s="48">
        <f t="shared" ca="1" si="1301"/>
        <v>90</v>
      </c>
      <c r="CY1162" s="48" t="str">
        <f t="shared" ca="1" si="1300"/>
        <v>MASTRO</v>
      </c>
      <c r="CZ1162" s="48" t="e">
        <f t="shared" ref="CZ1162:CZ1171" ca="1" si="1303">SUM(MATCH($CY1162,INDIRECT(ADDRESS(SUM(CZ1161)+3,54)&amp;":"&amp;ADDRESS(400,54)),0),CZ1161)</f>
        <v>#N/A</v>
      </c>
      <c r="DA1162" s="48" t="str">
        <f ca="1">IFERROR(INDEX(LIBRO_GIORNALE,CZ1162,1),"")</f>
        <v/>
      </c>
      <c r="DB1162" s="48" t="str">
        <f t="shared" ca="1" si="1276"/>
        <v/>
      </c>
      <c r="DC1162" s="48" t="str">
        <f t="shared" ref="DC1162:DC1171" ca="1" si="1304">IF(IFERROR(INDEX(LIBRO_GIORNALE,CZ1162,4),"")=0,"manca la descrizione dell'operazione",IFERROR(INDEX(LIBRO_GIORNALE,CZ1162,4),""))</f>
        <v/>
      </c>
      <c r="DD1162" s="48" t="str">
        <f t="shared" ref="DD1162:DD1171" ca="1" si="1305">IFERROR(IF(INDEX(LIBRO_GIORNALE,CZ1162,5)&gt;0,INDEX(LIBRO_GIORNALE,CZ1162,5),""),"")</f>
        <v/>
      </c>
      <c r="DE1162" s="48" t="str">
        <f t="shared" ref="DE1162:DE1171" ca="1" si="1306">IFERROR(IF(INDEX(LIBRO_GIORNALE,CZ1162,6)&gt;0,INDEX(LIBRO_GIORNALE,CZ1162,6),""),"")</f>
        <v/>
      </c>
      <c r="DF1162" s="48">
        <f ca="1">IF(AND(CX1162=$DF$1,CX1162&lt;&gt;""),0,IF(AND(DB1162&lt;&gt;"",OR(DB1161&lt;&gt;"",DB1163&lt;&gt;"")),MAX($DF$2:DF1161)+1,0))</f>
        <v>0</v>
      </c>
    </row>
    <row r="1163" spans="102:110" x14ac:dyDescent="0.3">
      <c r="CX1163" s="48">
        <f t="shared" ca="1" si="1301"/>
        <v>90</v>
      </c>
      <c r="CY1163" s="48" t="str">
        <f t="shared" ca="1" si="1300"/>
        <v>MASTRO</v>
      </c>
      <c r="CZ1163" s="48" t="e">
        <f t="shared" ca="1" si="1303"/>
        <v>#N/A</v>
      </c>
      <c r="DA1163" s="48" t="str">
        <f t="shared" ref="DA1163:DA1171" ca="1" si="1307">IFERROR(INDEX(LIBRO_GIORNALE,CZ1163,1),"")</f>
        <v/>
      </c>
      <c r="DB1163" s="48" t="str">
        <f t="shared" ca="1" si="1276"/>
        <v/>
      </c>
      <c r="DC1163" s="48" t="str">
        <f t="shared" ca="1" si="1304"/>
        <v/>
      </c>
      <c r="DD1163" s="48" t="str">
        <f t="shared" ca="1" si="1305"/>
        <v/>
      </c>
      <c r="DE1163" s="48" t="str">
        <f t="shared" ca="1" si="1306"/>
        <v/>
      </c>
      <c r="DF1163" s="48">
        <f ca="1">IF(AND(CX1163=$DF$1,CX1163&lt;&gt;""),0,IF(AND(DB1163&lt;&gt;"",OR(DB1162&lt;&gt;"",DB1164&lt;&gt;"")),MAX($DF$2:DF1162)+1,0))</f>
        <v>0</v>
      </c>
    </row>
    <row r="1164" spans="102:110" x14ac:dyDescent="0.3">
      <c r="CX1164" s="48">
        <f t="shared" ca="1" si="1301"/>
        <v>90</v>
      </c>
      <c r="CY1164" s="48" t="str">
        <f t="shared" ca="1" si="1300"/>
        <v>MASTRO</v>
      </c>
      <c r="CZ1164" s="48" t="e">
        <f t="shared" ca="1" si="1303"/>
        <v>#N/A</v>
      </c>
      <c r="DA1164" s="48" t="str">
        <f t="shared" ca="1" si="1307"/>
        <v/>
      </c>
      <c r="DB1164" s="48" t="str">
        <f t="shared" ca="1" si="1276"/>
        <v/>
      </c>
      <c r="DC1164" s="48" t="str">
        <f t="shared" ca="1" si="1304"/>
        <v/>
      </c>
      <c r="DD1164" s="48" t="str">
        <f t="shared" ca="1" si="1305"/>
        <v/>
      </c>
      <c r="DE1164" s="48" t="str">
        <f t="shared" ca="1" si="1306"/>
        <v/>
      </c>
      <c r="DF1164" s="48">
        <f ca="1">IF(AND(CX1164=$DF$1,CX1164&lt;&gt;""),0,IF(AND(DB1164&lt;&gt;"",OR(DB1163&lt;&gt;"",DB1165&lt;&gt;"")),MAX($DF$2:DF1163)+1,0))</f>
        <v>0</v>
      </c>
    </row>
    <row r="1165" spans="102:110" x14ac:dyDescent="0.3">
      <c r="CX1165" s="48">
        <f t="shared" ca="1" si="1301"/>
        <v>90</v>
      </c>
      <c r="CY1165" s="48" t="str">
        <f t="shared" ca="1" si="1300"/>
        <v>MASTRO</v>
      </c>
      <c r="CZ1165" s="48" t="e">
        <f t="shared" ca="1" si="1303"/>
        <v>#N/A</v>
      </c>
      <c r="DA1165" s="48" t="str">
        <f t="shared" ca="1" si="1307"/>
        <v/>
      </c>
      <c r="DB1165" s="48" t="str">
        <f t="shared" ca="1" si="1276"/>
        <v/>
      </c>
      <c r="DC1165" s="48" t="str">
        <f t="shared" ca="1" si="1304"/>
        <v/>
      </c>
      <c r="DD1165" s="48" t="str">
        <f t="shared" ca="1" si="1305"/>
        <v/>
      </c>
      <c r="DE1165" s="48" t="str">
        <f t="shared" ca="1" si="1306"/>
        <v/>
      </c>
      <c r="DF1165" s="48">
        <f ca="1">IF(AND(CX1165=$DF$1,CX1165&lt;&gt;""),0,IF(AND(DB1165&lt;&gt;"",OR(DB1164&lt;&gt;"",DB1166&lt;&gt;"")),MAX($DF$2:DF1164)+1,0))</f>
        <v>0</v>
      </c>
    </row>
    <row r="1166" spans="102:110" x14ac:dyDescent="0.3">
      <c r="CX1166" s="48">
        <f t="shared" ca="1" si="1301"/>
        <v>90</v>
      </c>
      <c r="CY1166" s="48" t="str">
        <f t="shared" ca="1" si="1300"/>
        <v>MASTRO</v>
      </c>
      <c r="CZ1166" s="48" t="e">
        <f t="shared" ca="1" si="1303"/>
        <v>#N/A</v>
      </c>
      <c r="DA1166" s="48" t="str">
        <f t="shared" ca="1" si="1307"/>
        <v/>
      </c>
      <c r="DB1166" s="48" t="str">
        <f t="shared" ca="1" si="1276"/>
        <v/>
      </c>
      <c r="DC1166" s="48" t="str">
        <f t="shared" ca="1" si="1304"/>
        <v/>
      </c>
      <c r="DD1166" s="48" t="str">
        <f t="shared" ca="1" si="1305"/>
        <v/>
      </c>
      <c r="DE1166" s="48" t="str">
        <f t="shared" ca="1" si="1306"/>
        <v/>
      </c>
      <c r="DF1166" s="48">
        <f ca="1">IF(AND(CX1166=$DF$1,CX1166&lt;&gt;""),0,IF(AND(DB1166&lt;&gt;"",OR(DB1165&lt;&gt;"",DB1167&lt;&gt;"")),MAX($DF$2:DF1165)+1,0))</f>
        <v>0</v>
      </c>
    </row>
    <row r="1167" spans="102:110" x14ac:dyDescent="0.3">
      <c r="CX1167" s="48">
        <f t="shared" ca="1" si="1301"/>
        <v>90</v>
      </c>
      <c r="CY1167" s="48" t="str">
        <f t="shared" ca="1" si="1300"/>
        <v>MASTRO</v>
      </c>
      <c r="CZ1167" s="48" t="e">
        <f t="shared" ca="1" si="1303"/>
        <v>#N/A</v>
      </c>
      <c r="DA1167" s="48" t="str">
        <f t="shared" ca="1" si="1307"/>
        <v/>
      </c>
      <c r="DB1167" s="48" t="str">
        <f t="shared" ca="1" si="1276"/>
        <v/>
      </c>
      <c r="DC1167" s="48" t="str">
        <f t="shared" ca="1" si="1304"/>
        <v/>
      </c>
      <c r="DD1167" s="48" t="str">
        <f t="shared" ca="1" si="1305"/>
        <v/>
      </c>
      <c r="DE1167" s="48" t="str">
        <f t="shared" ca="1" si="1306"/>
        <v/>
      </c>
      <c r="DF1167" s="48">
        <f ca="1">IF(AND(CX1167=$DF$1,CX1167&lt;&gt;""),0,IF(AND(DB1167&lt;&gt;"",OR(DB1166&lt;&gt;"",DB1168&lt;&gt;"")),MAX($DF$2:DF1166)+1,0))</f>
        <v>0</v>
      </c>
    </row>
    <row r="1168" spans="102:110" x14ac:dyDescent="0.3">
      <c r="CX1168" s="48">
        <f t="shared" ca="1" si="1301"/>
        <v>90</v>
      </c>
      <c r="CY1168" s="48" t="str">
        <f t="shared" ca="1" si="1300"/>
        <v>MASTRO</v>
      </c>
      <c r="CZ1168" s="48" t="e">
        <f t="shared" ca="1" si="1303"/>
        <v>#N/A</v>
      </c>
      <c r="DA1168" s="48" t="str">
        <f t="shared" ca="1" si="1307"/>
        <v/>
      </c>
      <c r="DB1168" s="48" t="str">
        <f t="shared" ca="1" si="1276"/>
        <v/>
      </c>
      <c r="DC1168" s="48" t="str">
        <f t="shared" ca="1" si="1304"/>
        <v/>
      </c>
      <c r="DD1168" s="48" t="str">
        <f t="shared" ca="1" si="1305"/>
        <v/>
      </c>
      <c r="DE1168" s="48" t="str">
        <f t="shared" ca="1" si="1306"/>
        <v/>
      </c>
      <c r="DF1168" s="48">
        <f ca="1">IF(AND(CX1168=$DF$1,CX1168&lt;&gt;""),0,IF(AND(DB1168&lt;&gt;"",OR(DB1167&lt;&gt;"",DB1169&lt;&gt;"")),MAX($DF$2:DF1167)+1,0))</f>
        <v>0</v>
      </c>
    </row>
    <row r="1169" spans="102:110" x14ac:dyDescent="0.3">
      <c r="CX1169" s="48">
        <f t="shared" ca="1" si="1301"/>
        <v>90</v>
      </c>
      <c r="CY1169" s="48" t="str">
        <f t="shared" ca="1" si="1300"/>
        <v>MASTRO</v>
      </c>
      <c r="CZ1169" s="48" t="e">
        <f t="shared" ca="1" si="1303"/>
        <v>#N/A</v>
      </c>
      <c r="DA1169" s="48" t="str">
        <f t="shared" ca="1" si="1307"/>
        <v/>
      </c>
      <c r="DB1169" s="48" t="str">
        <f t="shared" ca="1" si="1276"/>
        <v/>
      </c>
      <c r="DC1169" s="48" t="str">
        <f t="shared" ca="1" si="1304"/>
        <v/>
      </c>
      <c r="DD1169" s="48" t="str">
        <f t="shared" ca="1" si="1305"/>
        <v/>
      </c>
      <c r="DE1169" s="48" t="str">
        <f t="shared" ca="1" si="1306"/>
        <v/>
      </c>
      <c r="DF1169" s="48">
        <f ca="1">IF(AND(CX1169=$DF$1,CX1169&lt;&gt;""),0,IF(AND(DB1169&lt;&gt;"",OR(DB1168&lt;&gt;"",DB1170&lt;&gt;"")),MAX($DF$2:DF1168)+1,0))</f>
        <v>0</v>
      </c>
    </row>
    <row r="1170" spans="102:110" x14ac:dyDescent="0.3">
      <c r="CX1170" s="48">
        <f t="shared" ca="1" si="1301"/>
        <v>90</v>
      </c>
      <c r="CY1170" s="48" t="str">
        <f t="shared" ca="1" si="1300"/>
        <v>MASTRO</v>
      </c>
      <c r="CZ1170" s="48" t="e">
        <f t="shared" ca="1" si="1303"/>
        <v>#N/A</v>
      </c>
      <c r="DA1170" s="48" t="str">
        <f t="shared" ca="1" si="1307"/>
        <v/>
      </c>
      <c r="DB1170" s="48" t="str">
        <f t="shared" ca="1" si="1276"/>
        <v/>
      </c>
      <c r="DC1170" s="48" t="str">
        <f t="shared" ca="1" si="1304"/>
        <v/>
      </c>
      <c r="DD1170" s="48" t="str">
        <f t="shared" ca="1" si="1305"/>
        <v/>
      </c>
      <c r="DE1170" s="48" t="str">
        <f t="shared" ca="1" si="1306"/>
        <v/>
      </c>
      <c r="DF1170" s="48">
        <f ca="1">IF(AND(CX1170=$DF$1,CX1170&lt;&gt;""),0,IF(AND(DB1170&lt;&gt;"",OR(DB1169&lt;&gt;"",DB1171&lt;&gt;"")),MAX($DF$2:DF1169)+1,0))</f>
        <v>0</v>
      </c>
    </row>
    <row r="1171" spans="102:110" x14ac:dyDescent="0.3">
      <c r="CX1171" s="48">
        <f t="shared" ca="1" si="1301"/>
        <v>90</v>
      </c>
      <c r="CY1171" s="48" t="str">
        <f t="shared" ca="1" si="1300"/>
        <v>MASTRO</v>
      </c>
      <c r="CZ1171" s="48" t="e">
        <f t="shared" ca="1" si="1303"/>
        <v>#N/A</v>
      </c>
      <c r="DA1171" s="48" t="str">
        <f t="shared" ca="1" si="1307"/>
        <v/>
      </c>
      <c r="DB1171" s="48" t="str">
        <f t="shared" ca="1" si="1276"/>
        <v/>
      </c>
      <c r="DC1171" s="48" t="str">
        <f t="shared" ca="1" si="1304"/>
        <v/>
      </c>
      <c r="DD1171" s="48" t="str">
        <f t="shared" ca="1" si="1305"/>
        <v/>
      </c>
      <c r="DE1171" s="48" t="str">
        <f t="shared" ca="1" si="1306"/>
        <v/>
      </c>
      <c r="DF1171" s="48">
        <f ca="1">IF(AND(CX1171=$DF$1,CX1171&lt;&gt;""),0,IF(AND(DB1171&lt;&gt;"",OR(DB1170&lt;&gt;"",DB1172&lt;&gt;"")),MAX($DF$2:DF1170)+1,0))</f>
        <v>0</v>
      </c>
    </row>
    <row r="1172" spans="102:110" x14ac:dyDescent="0.3">
      <c r="CY1172" s="48" t="s">
        <v>500</v>
      </c>
      <c r="DB1172" s="48" t="str">
        <f t="shared" ref="DB1172" ca="1" si="1308">IF(CX1171=$DF$1,"","MASTRO")</f>
        <v>MASTRO</v>
      </c>
      <c r="DF1172" s="48">
        <f ca="1">IF(AND(CX1172=$DF$1,CX1172&lt;&gt;""),0,IF(AND(DB1172&lt;&gt;"",OR(DB1171&lt;&gt;"",DB1173&lt;&gt;"")),MAX($DF$2:DF1171)+1,0))</f>
        <v>0</v>
      </c>
    </row>
    <row r="1173" spans="102:110" x14ac:dyDescent="0.3">
      <c r="CX1173" s="48">
        <f ca="1">$FF$93</f>
        <v>91</v>
      </c>
      <c r="CY1173" s="48" t="str">
        <f t="shared" ref="CY1173:CY1184" ca="1" si="1309">IF(ISERROR(INDEX($CV$3:$CX$1302,MATCH(CX1173,$CW$3:$CW$1302,0),1)),"MASTRO",INDEX($CV$3:$CX$1302,MATCH(CX1173,$CW$3:$CW$1302,0),1))</f>
        <v>MASTRO</v>
      </c>
      <c r="DA1173" s="48" t="str">
        <f>IF(CY1172="MASTRO","Conto n.","")</f>
        <v>Conto n.</v>
      </c>
      <c r="DB1173" s="48" t="str">
        <f ca="1">IF(CY1173=0,"",INDEX(PDC,MATCH(DC1173,DEN_PDC,0),1))</f>
        <v/>
      </c>
      <c r="DC1173" s="48" t="str">
        <f ca="1">IF(OR(CY1173=0,CY1173="mastro"),"",CY1173)</f>
        <v/>
      </c>
      <c r="DD1173" s="48" t="str">
        <f ca="1">IF(AND($DA$2=TRUE,OR(INDEX(PDC,MATCH($DC1173,DEN_PDC,0),4)="A",INDEX(PDC,MATCH($DC1173,DEN_PDC,0),4)="D/A"),SUMIFS(AVERE,DEN_G,"="&amp;$DC1173,DATA,"&lt;="&amp;FINE_AC,DATA,"&gt;="&amp;INIZIO_AC)&gt;SUMIFS(DARE,DEN_G,"="&amp;$DC1173,DATA,"&lt;="&amp;FINE_AC,DATA,"&gt;="&amp;INIZIO_AC)),CONCATENATE("s ",FIXED(ABS(SUMIFS(AVERE,DEN_G,"="&amp;$DC1173,DATA,"&lt;="&amp;FINE_AC,DATA,"&gt;="&amp;INIZIO_AC)-SUMIFS(DARE,DEN_G,"="&amp;$DC1173,DATA,"&lt;="&amp;FINE_AC,DATA,"&gt;="&amp;INIZIO_AC)),2)),"")</f>
        <v/>
      </c>
      <c r="DE1173" s="48" t="str">
        <f ca="1">IF(AND($DA$2=TRUE,OR(INDEX(PDC,MATCH($DC1173,DEN_PDC,0),4)="D",INDEX(PDC,MATCH($DC1173,DEN_PDC,0),4)="D/A"),SUMIFS(DARE,DEN_G,"="&amp;$DC1173,DATA,"&lt;="&amp;FINE_AC,DATA,"&gt;="&amp;INIZIO_AC)&gt;SUMIFS(AVERE,DEN_G,"="&amp;$DC1173,DATA,"&lt;="&amp;FINE_AC,DATA,"&gt;="&amp;INIZIO_AC)),CONCATENATE("s ",FIXED(ABS(SUMIFS(DARE,DEN_G,"="&amp;$DC1173,DATA,"&lt;="&amp;FINE_AC,DATA,"&gt;="&amp;INIZIO_AC)-SUMIFS(AVERE,DEN_G,"="&amp;$DC1173,DATA,"&lt;="&amp;FINE_AC,DATA,"&gt;="&amp;INIZIO_AC)),2)),"")</f>
        <v/>
      </c>
      <c r="DF1173" s="48">
        <f ca="1">IF(AND(CX1173=$DF$1,CX1173&lt;&gt;""),0,IF(AND(DB1173&lt;&gt;"",OR(DB1172&lt;&gt;"",DB1174&lt;&gt;"")),MAX($DF$2:DF1172)+1,0))</f>
        <v>0</v>
      </c>
    </row>
    <row r="1174" spans="102:110" x14ac:dyDescent="0.3">
      <c r="CX1174" s="48">
        <f t="shared" ref="CX1174:CX1184" ca="1" si="1310">$FF$93</f>
        <v>91</v>
      </c>
      <c r="CY1174" s="48" t="str">
        <f t="shared" ca="1" si="1309"/>
        <v>MASTRO</v>
      </c>
      <c r="DA1174" s="48" t="str">
        <f ca="1">IF(DB1173="","","Num. riga")</f>
        <v/>
      </c>
      <c r="DB1174" s="48" t="str">
        <f t="shared" ref="DB1174" ca="1" si="1311">IF(DB1173="","","Data")</f>
        <v/>
      </c>
      <c r="DC1174" s="48" t="str">
        <f ca="1">IF(DB1173="","","Operazioni")</f>
        <v/>
      </c>
      <c r="DD1174" s="48" t="str">
        <f ca="1">IF(DB1173="","","Dare        ")</f>
        <v/>
      </c>
      <c r="DE1174" s="48" t="str">
        <f ca="1">IF(DB1173="","","Avere        ")</f>
        <v/>
      </c>
      <c r="DF1174" s="48">
        <f ca="1">IF(AND(CX1174=$DF$1,CX1174&lt;&gt;""),0,IF(AND(DB1174&lt;&gt;"",OR(DB1173&lt;&gt;"",DB1175&lt;&gt;"")),MAX($DF$2:DF1173)+1,0))</f>
        <v>0</v>
      </c>
    </row>
    <row r="1175" spans="102:110" x14ac:dyDescent="0.3">
      <c r="CX1175" s="48">
        <f t="shared" ca="1" si="1310"/>
        <v>91</v>
      </c>
      <c r="CY1175" s="48" t="str">
        <f t="shared" ca="1" si="1309"/>
        <v>MASTRO</v>
      </c>
      <c r="CZ1175" s="48" t="e">
        <f t="shared" ref="CZ1175:CZ1184" ca="1" si="1312">SUM(MATCH($CY1175,INDIRECT(ADDRESS(SUM(CZ1174)+3,54)&amp;":"&amp;ADDRESS(400,54)),0),CZ1174)</f>
        <v>#N/A</v>
      </c>
      <c r="DA1175" s="48" t="str">
        <f ca="1">IFERROR(INDEX(LIBRO_GIORNALE,CZ1175,1),"")</f>
        <v/>
      </c>
      <c r="DB1175" s="48" t="str">
        <f t="shared" ca="1" si="1276"/>
        <v/>
      </c>
      <c r="DC1175" s="48" t="str">
        <f t="shared" ref="DC1175:DC1184" ca="1" si="1313">IF(IFERROR(INDEX(LIBRO_GIORNALE,CZ1175,4),"")=0,"manca la descrizione dell'operazione",IFERROR(INDEX(LIBRO_GIORNALE,CZ1175,4),""))</f>
        <v/>
      </c>
      <c r="DD1175" s="48" t="str">
        <f t="shared" ref="DD1175:DD1184" ca="1" si="1314">IFERROR(IF(INDEX(LIBRO_GIORNALE,CZ1175,5)&gt;0,INDEX(LIBRO_GIORNALE,CZ1175,5),""),"")</f>
        <v/>
      </c>
      <c r="DE1175" s="48" t="str">
        <f t="shared" ref="DE1175:DE1184" ca="1" si="1315">IFERROR(IF(INDEX(LIBRO_GIORNALE,CZ1175,6)&gt;0,INDEX(LIBRO_GIORNALE,CZ1175,6),""),"")</f>
        <v/>
      </c>
      <c r="DF1175" s="48">
        <f ca="1">IF(AND(CX1175=$DF$1,CX1175&lt;&gt;""),0,IF(AND(DB1175&lt;&gt;"",OR(DB1174&lt;&gt;"",DB1176&lt;&gt;"")),MAX($DF$2:DF1174)+1,0))</f>
        <v>0</v>
      </c>
    </row>
    <row r="1176" spans="102:110" x14ac:dyDescent="0.3">
      <c r="CX1176" s="48">
        <f t="shared" ca="1" si="1310"/>
        <v>91</v>
      </c>
      <c r="CY1176" s="48" t="str">
        <f t="shared" ca="1" si="1309"/>
        <v>MASTRO</v>
      </c>
      <c r="CZ1176" s="48" t="e">
        <f t="shared" ca="1" si="1312"/>
        <v>#N/A</v>
      </c>
      <c r="DA1176" s="48" t="str">
        <f t="shared" ref="DA1176:DA1184" ca="1" si="1316">IFERROR(INDEX(LIBRO_GIORNALE,CZ1176,1),"")</f>
        <v/>
      </c>
      <c r="DB1176" s="48" t="str">
        <f t="shared" ca="1" si="1276"/>
        <v/>
      </c>
      <c r="DC1176" s="48" t="str">
        <f t="shared" ca="1" si="1313"/>
        <v/>
      </c>
      <c r="DD1176" s="48" t="str">
        <f t="shared" ca="1" si="1314"/>
        <v/>
      </c>
      <c r="DE1176" s="48" t="str">
        <f t="shared" ca="1" si="1315"/>
        <v/>
      </c>
      <c r="DF1176" s="48">
        <f ca="1">IF(AND(CX1176=$DF$1,CX1176&lt;&gt;""),0,IF(AND(DB1176&lt;&gt;"",OR(DB1175&lt;&gt;"",DB1177&lt;&gt;"")),MAX($DF$2:DF1175)+1,0))</f>
        <v>0</v>
      </c>
    </row>
    <row r="1177" spans="102:110" x14ac:dyDescent="0.3">
      <c r="CX1177" s="48">
        <f t="shared" ca="1" si="1310"/>
        <v>91</v>
      </c>
      <c r="CY1177" s="48" t="str">
        <f t="shared" ca="1" si="1309"/>
        <v>MASTRO</v>
      </c>
      <c r="CZ1177" s="48" t="e">
        <f t="shared" ca="1" si="1312"/>
        <v>#N/A</v>
      </c>
      <c r="DA1177" s="48" t="str">
        <f t="shared" ca="1" si="1316"/>
        <v/>
      </c>
      <c r="DB1177" s="48" t="str">
        <f t="shared" ca="1" si="1276"/>
        <v/>
      </c>
      <c r="DC1177" s="48" t="str">
        <f t="shared" ca="1" si="1313"/>
        <v/>
      </c>
      <c r="DD1177" s="48" t="str">
        <f t="shared" ca="1" si="1314"/>
        <v/>
      </c>
      <c r="DE1177" s="48" t="str">
        <f t="shared" ca="1" si="1315"/>
        <v/>
      </c>
      <c r="DF1177" s="48">
        <f ca="1">IF(AND(CX1177=$DF$1,CX1177&lt;&gt;""),0,IF(AND(DB1177&lt;&gt;"",OR(DB1176&lt;&gt;"",DB1178&lt;&gt;"")),MAX($DF$2:DF1176)+1,0))</f>
        <v>0</v>
      </c>
    </row>
    <row r="1178" spans="102:110" x14ac:dyDescent="0.3">
      <c r="CX1178" s="48">
        <f t="shared" ca="1" si="1310"/>
        <v>91</v>
      </c>
      <c r="CY1178" s="48" t="str">
        <f t="shared" ca="1" si="1309"/>
        <v>MASTRO</v>
      </c>
      <c r="CZ1178" s="48" t="e">
        <f t="shared" ca="1" si="1312"/>
        <v>#N/A</v>
      </c>
      <c r="DA1178" s="48" t="str">
        <f t="shared" ca="1" si="1316"/>
        <v/>
      </c>
      <c r="DB1178" s="48" t="str">
        <f t="shared" ca="1" si="1276"/>
        <v/>
      </c>
      <c r="DC1178" s="48" t="str">
        <f t="shared" ca="1" si="1313"/>
        <v/>
      </c>
      <c r="DD1178" s="48" t="str">
        <f t="shared" ca="1" si="1314"/>
        <v/>
      </c>
      <c r="DE1178" s="48" t="str">
        <f t="shared" ca="1" si="1315"/>
        <v/>
      </c>
      <c r="DF1178" s="48">
        <f ca="1">IF(AND(CX1178=$DF$1,CX1178&lt;&gt;""),0,IF(AND(DB1178&lt;&gt;"",OR(DB1177&lt;&gt;"",DB1179&lt;&gt;"")),MAX($DF$2:DF1177)+1,0))</f>
        <v>0</v>
      </c>
    </row>
    <row r="1179" spans="102:110" x14ac:dyDescent="0.3">
      <c r="CX1179" s="48">
        <f t="shared" ca="1" si="1310"/>
        <v>91</v>
      </c>
      <c r="CY1179" s="48" t="str">
        <f t="shared" ca="1" si="1309"/>
        <v>MASTRO</v>
      </c>
      <c r="CZ1179" s="48" t="e">
        <f t="shared" ca="1" si="1312"/>
        <v>#N/A</v>
      </c>
      <c r="DA1179" s="48" t="str">
        <f t="shared" ca="1" si="1316"/>
        <v/>
      </c>
      <c r="DB1179" s="48" t="str">
        <f t="shared" ca="1" si="1276"/>
        <v/>
      </c>
      <c r="DC1179" s="48" t="str">
        <f t="shared" ca="1" si="1313"/>
        <v/>
      </c>
      <c r="DD1179" s="48" t="str">
        <f t="shared" ca="1" si="1314"/>
        <v/>
      </c>
      <c r="DE1179" s="48" t="str">
        <f t="shared" ca="1" si="1315"/>
        <v/>
      </c>
      <c r="DF1179" s="48">
        <f ca="1">IF(AND(CX1179=$DF$1,CX1179&lt;&gt;""),0,IF(AND(DB1179&lt;&gt;"",OR(DB1178&lt;&gt;"",DB1180&lt;&gt;"")),MAX($DF$2:DF1178)+1,0))</f>
        <v>0</v>
      </c>
    </row>
    <row r="1180" spans="102:110" x14ac:dyDescent="0.3">
      <c r="CX1180" s="48">
        <f t="shared" ca="1" si="1310"/>
        <v>91</v>
      </c>
      <c r="CY1180" s="48" t="str">
        <f t="shared" ca="1" si="1309"/>
        <v>MASTRO</v>
      </c>
      <c r="CZ1180" s="48" t="e">
        <f t="shared" ca="1" si="1312"/>
        <v>#N/A</v>
      </c>
      <c r="DA1180" s="48" t="str">
        <f t="shared" ca="1" si="1316"/>
        <v/>
      </c>
      <c r="DB1180" s="48" t="str">
        <f t="shared" ca="1" si="1276"/>
        <v/>
      </c>
      <c r="DC1180" s="48" t="str">
        <f t="shared" ca="1" si="1313"/>
        <v/>
      </c>
      <c r="DD1180" s="48" t="str">
        <f t="shared" ca="1" si="1314"/>
        <v/>
      </c>
      <c r="DE1180" s="48" t="str">
        <f t="shared" ca="1" si="1315"/>
        <v/>
      </c>
      <c r="DF1180" s="48">
        <f ca="1">IF(AND(CX1180=$DF$1,CX1180&lt;&gt;""),0,IF(AND(DB1180&lt;&gt;"",OR(DB1179&lt;&gt;"",DB1181&lt;&gt;"")),MAX($DF$2:DF1179)+1,0))</f>
        <v>0</v>
      </c>
    </row>
    <row r="1181" spans="102:110" x14ac:dyDescent="0.3">
      <c r="CX1181" s="48">
        <f t="shared" ca="1" si="1310"/>
        <v>91</v>
      </c>
      <c r="CY1181" s="48" t="str">
        <f t="shared" ca="1" si="1309"/>
        <v>MASTRO</v>
      </c>
      <c r="CZ1181" s="48" t="e">
        <f t="shared" ca="1" si="1312"/>
        <v>#N/A</v>
      </c>
      <c r="DA1181" s="48" t="str">
        <f t="shared" ca="1" si="1316"/>
        <v/>
      </c>
      <c r="DB1181" s="48" t="str">
        <f t="shared" ca="1" si="1276"/>
        <v/>
      </c>
      <c r="DC1181" s="48" t="str">
        <f t="shared" ca="1" si="1313"/>
        <v/>
      </c>
      <c r="DD1181" s="48" t="str">
        <f t="shared" ca="1" si="1314"/>
        <v/>
      </c>
      <c r="DE1181" s="48" t="str">
        <f t="shared" ca="1" si="1315"/>
        <v/>
      </c>
      <c r="DF1181" s="48">
        <f ca="1">IF(AND(CX1181=$DF$1,CX1181&lt;&gt;""),0,IF(AND(DB1181&lt;&gt;"",OR(DB1180&lt;&gt;"",DB1182&lt;&gt;"")),MAX($DF$2:DF1180)+1,0))</f>
        <v>0</v>
      </c>
    </row>
    <row r="1182" spans="102:110" x14ac:dyDescent="0.3">
      <c r="CX1182" s="48">
        <f t="shared" ca="1" si="1310"/>
        <v>91</v>
      </c>
      <c r="CY1182" s="48" t="str">
        <f t="shared" ca="1" si="1309"/>
        <v>MASTRO</v>
      </c>
      <c r="CZ1182" s="48" t="e">
        <f t="shared" ca="1" si="1312"/>
        <v>#N/A</v>
      </c>
      <c r="DA1182" s="48" t="str">
        <f t="shared" ca="1" si="1316"/>
        <v/>
      </c>
      <c r="DB1182" s="48" t="str">
        <f t="shared" ca="1" si="1276"/>
        <v/>
      </c>
      <c r="DC1182" s="48" t="str">
        <f t="shared" ca="1" si="1313"/>
        <v/>
      </c>
      <c r="DD1182" s="48" t="str">
        <f t="shared" ca="1" si="1314"/>
        <v/>
      </c>
      <c r="DE1182" s="48" t="str">
        <f t="shared" ca="1" si="1315"/>
        <v/>
      </c>
      <c r="DF1182" s="48">
        <f ca="1">IF(AND(CX1182=$DF$1,CX1182&lt;&gt;""),0,IF(AND(DB1182&lt;&gt;"",OR(DB1181&lt;&gt;"",DB1183&lt;&gt;"")),MAX($DF$2:DF1181)+1,0))</f>
        <v>0</v>
      </c>
    </row>
    <row r="1183" spans="102:110" x14ac:dyDescent="0.3">
      <c r="CX1183" s="48">
        <f t="shared" ca="1" si="1310"/>
        <v>91</v>
      </c>
      <c r="CY1183" s="48" t="str">
        <f t="shared" ca="1" si="1309"/>
        <v>MASTRO</v>
      </c>
      <c r="CZ1183" s="48" t="e">
        <f t="shared" ca="1" si="1312"/>
        <v>#N/A</v>
      </c>
      <c r="DA1183" s="48" t="str">
        <f t="shared" ca="1" si="1316"/>
        <v/>
      </c>
      <c r="DB1183" s="48" t="str">
        <f t="shared" ca="1" si="1276"/>
        <v/>
      </c>
      <c r="DC1183" s="48" t="str">
        <f t="shared" ca="1" si="1313"/>
        <v/>
      </c>
      <c r="DD1183" s="48" t="str">
        <f t="shared" ca="1" si="1314"/>
        <v/>
      </c>
      <c r="DE1183" s="48" t="str">
        <f t="shared" ca="1" si="1315"/>
        <v/>
      </c>
      <c r="DF1183" s="48">
        <f ca="1">IF(AND(CX1183=$DF$1,CX1183&lt;&gt;""),0,IF(AND(DB1183&lt;&gt;"",OR(DB1182&lt;&gt;"",DB1184&lt;&gt;"")),MAX($DF$2:DF1182)+1,0))</f>
        <v>0</v>
      </c>
    </row>
    <row r="1184" spans="102:110" x14ac:dyDescent="0.3">
      <c r="CX1184" s="48">
        <f t="shared" ca="1" si="1310"/>
        <v>91</v>
      </c>
      <c r="CY1184" s="48" t="str">
        <f t="shared" ca="1" si="1309"/>
        <v>MASTRO</v>
      </c>
      <c r="CZ1184" s="48" t="e">
        <f t="shared" ca="1" si="1312"/>
        <v>#N/A</v>
      </c>
      <c r="DA1184" s="48" t="str">
        <f t="shared" ca="1" si="1316"/>
        <v/>
      </c>
      <c r="DB1184" s="48" t="str">
        <f t="shared" ca="1" si="1276"/>
        <v/>
      </c>
      <c r="DC1184" s="48" t="str">
        <f t="shared" ca="1" si="1313"/>
        <v/>
      </c>
      <c r="DD1184" s="48" t="str">
        <f t="shared" ca="1" si="1314"/>
        <v/>
      </c>
      <c r="DE1184" s="48" t="str">
        <f t="shared" ca="1" si="1315"/>
        <v/>
      </c>
      <c r="DF1184" s="48">
        <f ca="1">IF(AND(CX1184=$DF$1,CX1184&lt;&gt;""),0,IF(AND(DB1184&lt;&gt;"",OR(DB1183&lt;&gt;"",DB1185&lt;&gt;"")),MAX($DF$2:DF1183)+1,0))</f>
        <v>0</v>
      </c>
    </row>
    <row r="1185" spans="102:110" x14ac:dyDescent="0.3">
      <c r="CY1185" s="48" t="s">
        <v>500</v>
      </c>
      <c r="DB1185" s="48" t="str">
        <f t="shared" ref="DB1185" ca="1" si="1317">IF(CX1184=$DF$1,"","MASTRO")</f>
        <v>MASTRO</v>
      </c>
      <c r="DF1185" s="48">
        <f ca="1">IF(AND(CX1185=$DF$1,CX1185&lt;&gt;""),0,IF(AND(DB1185&lt;&gt;"",OR(DB1184&lt;&gt;"",DB1186&lt;&gt;"")),MAX($DF$2:DF1184)+1,0))</f>
        <v>0</v>
      </c>
    </row>
    <row r="1186" spans="102:110" x14ac:dyDescent="0.3">
      <c r="CX1186" s="48">
        <f ca="1">$FF$94</f>
        <v>92</v>
      </c>
      <c r="CY1186" s="48" t="str">
        <f t="shared" ref="CY1186:CY1197" ca="1" si="1318">IF(ISERROR(INDEX($CV$3:$CX$1302,MATCH(CX1186,$CW$3:$CW$1302,0),1)),"MASTRO",INDEX($CV$3:$CX$1302,MATCH(CX1186,$CW$3:$CW$1302,0),1))</f>
        <v>MASTRO</v>
      </c>
      <c r="DA1186" s="48" t="str">
        <f>IF(CY1185="MASTRO","Conto n.","")</f>
        <v>Conto n.</v>
      </c>
      <c r="DB1186" s="48" t="str">
        <f ca="1">IF(CY1186=0,"",INDEX(PDC,MATCH(DC1186,DEN_PDC,0),1))</f>
        <v/>
      </c>
      <c r="DC1186" s="48" t="str">
        <f ca="1">IF(OR(CY1186=0,CY1186="mastro"),"",CY1186)</f>
        <v/>
      </c>
      <c r="DD1186" s="48" t="str">
        <f ca="1">IF(AND($DA$2=TRUE,OR(INDEX(PDC,MATCH($DC1186,DEN_PDC,0),4)="A",INDEX(PDC,MATCH($DC1186,DEN_PDC,0),4)="D/A"),SUMIFS(AVERE,DEN_G,"="&amp;$DC1186,DATA,"&lt;="&amp;FINE_AC,DATA,"&gt;="&amp;INIZIO_AC)&gt;SUMIFS(DARE,DEN_G,"="&amp;$DC1186,DATA,"&lt;="&amp;FINE_AC,DATA,"&gt;="&amp;INIZIO_AC)),CONCATENATE("s ",FIXED(ABS(SUMIFS(AVERE,DEN_G,"="&amp;$DC1186,DATA,"&lt;="&amp;FINE_AC,DATA,"&gt;="&amp;INIZIO_AC)-SUMIFS(DARE,DEN_G,"="&amp;$DC1186,DATA,"&lt;="&amp;FINE_AC,DATA,"&gt;="&amp;INIZIO_AC)),2)),"")</f>
        <v/>
      </c>
      <c r="DE1186" s="48" t="str">
        <f ca="1">IF(AND($DA$2=TRUE,OR(INDEX(PDC,MATCH($DC1186,DEN_PDC,0),4)="D",INDEX(PDC,MATCH($DC1186,DEN_PDC,0),4)="D/A"),SUMIFS(DARE,DEN_G,"="&amp;$DC1186,DATA,"&lt;="&amp;FINE_AC,DATA,"&gt;="&amp;INIZIO_AC)&gt;SUMIFS(AVERE,DEN_G,"="&amp;$DC1186,DATA,"&lt;="&amp;FINE_AC,DATA,"&gt;="&amp;INIZIO_AC)),CONCATENATE("s ",FIXED(ABS(SUMIFS(DARE,DEN_G,"="&amp;$DC1186,DATA,"&lt;="&amp;FINE_AC,DATA,"&gt;="&amp;INIZIO_AC)-SUMIFS(AVERE,DEN_G,"="&amp;$DC1186,DATA,"&lt;="&amp;FINE_AC,DATA,"&gt;="&amp;INIZIO_AC)),2)),"")</f>
        <v/>
      </c>
      <c r="DF1186" s="48">
        <f ca="1">IF(AND(CX1186=$DF$1,CX1186&lt;&gt;""),0,IF(AND(DB1186&lt;&gt;"",OR(DB1185&lt;&gt;"",DB1187&lt;&gt;"")),MAX($DF$2:DF1185)+1,0))</f>
        <v>0</v>
      </c>
    </row>
    <row r="1187" spans="102:110" x14ac:dyDescent="0.3">
      <c r="CX1187" s="48">
        <f t="shared" ref="CX1187:CX1197" ca="1" si="1319">$FF$94</f>
        <v>92</v>
      </c>
      <c r="CY1187" s="48" t="str">
        <f t="shared" ca="1" si="1318"/>
        <v>MASTRO</v>
      </c>
      <c r="DA1187" s="48" t="str">
        <f ca="1">IF(DB1186="","","Num. riga")</f>
        <v/>
      </c>
      <c r="DB1187" s="48" t="str">
        <f t="shared" ref="DB1187" ca="1" si="1320">IF(DB1186="","","Data")</f>
        <v/>
      </c>
      <c r="DC1187" s="48" t="str">
        <f ca="1">IF(DB1186="","","Operazioni")</f>
        <v/>
      </c>
      <c r="DD1187" s="48" t="str">
        <f ca="1">IF(DB1186="","","Dare        ")</f>
        <v/>
      </c>
      <c r="DE1187" s="48" t="str">
        <f ca="1">IF(DB1186="","","Avere        ")</f>
        <v/>
      </c>
      <c r="DF1187" s="48">
        <f ca="1">IF(AND(CX1187=$DF$1,CX1187&lt;&gt;""),0,IF(AND(DB1187&lt;&gt;"",OR(DB1186&lt;&gt;"",DB1188&lt;&gt;"")),MAX($DF$2:DF1186)+1,0))</f>
        <v>0</v>
      </c>
    </row>
    <row r="1188" spans="102:110" x14ac:dyDescent="0.3">
      <c r="CX1188" s="48">
        <f t="shared" ca="1" si="1319"/>
        <v>92</v>
      </c>
      <c r="CY1188" s="48" t="str">
        <f t="shared" ca="1" si="1318"/>
        <v>MASTRO</v>
      </c>
      <c r="CZ1188" s="48" t="e">
        <f t="shared" ref="CZ1188:CZ1197" ca="1" si="1321">SUM(MATCH($CY1188,INDIRECT(ADDRESS(SUM(CZ1187)+3,54)&amp;":"&amp;ADDRESS(400,54)),0),CZ1187)</f>
        <v>#N/A</v>
      </c>
      <c r="DA1188" s="48" t="str">
        <f ca="1">IFERROR(INDEX(LIBRO_GIORNALE,CZ1188,1),"")</f>
        <v/>
      </c>
      <c r="DB1188" s="48" t="str">
        <f t="shared" ref="DB1188:DB1249" ca="1" si="1322">IF(RIGHT(TEXT(IFERROR(INDEX(LIBRO_GIORNALE,CZ1188,2),""),"gg/mm/aa"),1)="a",TEXT(IFERROR(INDEX(LIBRO_GIORNALE,CZ1188,2),""),"dd/mm/yy"),TEXT(IFERROR(INDEX(LIBRO_GIORNALE,CZ1188,2),""),"gg/mm/aa"))</f>
        <v/>
      </c>
      <c r="DC1188" s="48" t="str">
        <f t="shared" ref="DC1188:DC1197" ca="1" si="1323">IF(IFERROR(INDEX(LIBRO_GIORNALE,CZ1188,4),"")=0,"manca la descrizione dell'operazione",IFERROR(INDEX(LIBRO_GIORNALE,CZ1188,4),""))</f>
        <v/>
      </c>
      <c r="DD1188" s="48" t="str">
        <f t="shared" ref="DD1188:DD1197" ca="1" si="1324">IFERROR(IF(INDEX(LIBRO_GIORNALE,CZ1188,5)&gt;0,INDEX(LIBRO_GIORNALE,CZ1188,5),""),"")</f>
        <v/>
      </c>
      <c r="DE1188" s="48" t="str">
        <f t="shared" ref="DE1188:DE1197" ca="1" si="1325">IFERROR(IF(INDEX(LIBRO_GIORNALE,CZ1188,6)&gt;0,INDEX(LIBRO_GIORNALE,CZ1188,6),""),"")</f>
        <v/>
      </c>
      <c r="DF1188" s="48">
        <f ca="1">IF(AND(CX1188=$DF$1,CX1188&lt;&gt;""),0,IF(AND(DB1188&lt;&gt;"",OR(DB1187&lt;&gt;"",DB1189&lt;&gt;"")),MAX($DF$2:DF1187)+1,0))</f>
        <v>0</v>
      </c>
    </row>
    <row r="1189" spans="102:110" x14ac:dyDescent="0.3">
      <c r="CX1189" s="48">
        <f t="shared" ca="1" si="1319"/>
        <v>92</v>
      </c>
      <c r="CY1189" s="48" t="str">
        <f t="shared" ca="1" si="1318"/>
        <v>MASTRO</v>
      </c>
      <c r="CZ1189" s="48" t="e">
        <f t="shared" ca="1" si="1321"/>
        <v>#N/A</v>
      </c>
      <c r="DA1189" s="48" t="str">
        <f t="shared" ref="DA1189:DA1197" ca="1" si="1326">IFERROR(INDEX(LIBRO_GIORNALE,CZ1189,1),"")</f>
        <v/>
      </c>
      <c r="DB1189" s="48" t="str">
        <f t="shared" ca="1" si="1322"/>
        <v/>
      </c>
      <c r="DC1189" s="48" t="str">
        <f t="shared" ca="1" si="1323"/>
        <v/>
      </c>
      <c r="DD1189" s="48" t="str">
        <f t="shared" ca="1" si="1324"/>
        <v/>
      </c>
      <c r="DE1189" s="48" t="str">
        <f t="shared" ca="1" si="1325"/>
        <v/>
      </c>
      <c r="DF1189" s="48">
        <f ca="1">IF(AND(CX1189=$DF$1,CX1189&lt;&gt;""),0,IF(AND(DB1189&lt;&gt;"",OR(DB1188&lt;&gt;"",DB1190&lt;&gt;"")),MAX($DF$2:DF1188)+1,0))</f>
        <v>0</v>
      </c>
    </row>
    <row r="1190" spans="102:110" x14ac:dyDescent="0.3">
      <c r="CX1190" s="48">
        <f t="shared" ca="1" si="1319"/>
        <v>92</v>
      </c>
      <c r="CY1190" s="48" t="str">
        <f t="shared" ca="1" si="1318"/>
        <v>MASTRO</v>
      </c>
      <c r="CZ1190" s="48" t="e">
        <f t="shared" ca="1" si="1321"/>
        <v>#N/A</v>
      </c>
      <c r="DA1190" s="48" t="str">
        <f t="shared" ca="1" si="1326"/>
        <v/>
      </c>
      <c r="DB1190" s="48" t="str">
        <f t="shared" ca="1" si="1322"/>
        <v/>
      </c>
      <c r="DC1190" s="48" t="str">
        <f t="shared" ca="1" si="1323"/>
        <v/>
      </c>
      <c r="DD1190" s="48" t="str">
        <f t="shared" ca="1" si="1324"/>
        <v/>
      </c>
      <c r="DE1190" s="48" t="str">
        <f t="shared" ca="1" si="1325"/>
        <v/>
      </c>
      <c r="DF1190" s="48">
        <f ca="1">IF(AND(CX1190=$DF$1,CX1190&lt;&gt;""),0,IF(AND(DB1190&lt;&gt;"",OR(DB1189&lt;&gt;"",DB1191&lt;&gt;"")),MAX($DF$2:DF1189)+1,0))</f>
        <v>0</v>
      </c>
    </row>
    <row r="1191" spans="102:110" x14ac:dyDescent="0.3">
      <c r="CX1191" s="48">
        <f t="shared" ca="1" si="1319"/>
        <v>92</v>
      </c>
      <c r="CY1191" s="48" t="str">
        <f t="shared" ca="1" si="1318"/>
        <v>MASTRO</v>
      </c>
      <c r="CZ1191" s="48" t="e">
        <f t="shared" ca="1" si="1321"/>
        <v>#N/A</v>
      </c>
      <c r="DA1191" s="48" t="str">
        <f t="shared" ca="1" si="1326"/>
        <v/>
      </c>
      <c r="DB1191" s="48" t="str">
        <f t="shared" ca="1" si="1322"/>
        <v/>
      </c>
      <c r="DC1191" s="48" t="str">
        <f t="shared" ca="1" si="1323"/>
        <v/>
      </c>
      <c r="DD1191" s="48" t="str">
        <f t="shared" ca="1" si="1324"/>
        <v/>
      </c>
      <c r="DE1191" s="48" t="str">
        <f t="shared" ca="1" si="1325"/>
        <v/>
      </c>
      <c r="DF1191" s="48">
        <f ca="1">IF(AND(CX1191=$DF$1,CX1191&lt;&gt;""),0,IF(AND(DB1191&lt;&gt;"",OR(DB1190&lt;&gt;"",DB1192&lt;&gt;"")),MAX($DF$2:DF1190)+1,0))</f>
        <v>0</v>
      </c>
    </row>
    <row r="1192" spans="102:110" x14ac:dyDescent="0.3">
      <c r="CX1192" s="48">
        <f t="shared" ca="1" si="1319"/>
        <v>92</v>
      </c>
      <c r="CY1192" s="48" t="str">
        <f t="shared" ca="1" si="1318"/>
        <v>MASTRO</v>
      </c>
      <c r="CZ1192" s="48" t="e">
        <f t="shared" ca="1" si="1321"/>
        <v>#N/A</v>
      </c>
      <c r="DA1192" s="48" t="str">
        <f t="shared" ca="1" si="1326"/>
        <v/>
      </c>
      <c r="DB1192" s="48" t="str">
        <f t="shared" ca="1" si="1322"/>
        <v/>
      </c>
      <c r="DC1192" s="48" t="str">
        <f t="shared" ca="1" si="1323"/>
        <v/>
      </c>
      <c r="DD1192" s="48" t="str">
        <f t="shared" ca="1" si="1324"/>
        <v/>
      </c>
      <c r="DE1192" s="48" t="str">
        <f t="shared" ca="1" si="1325"/>
        <v/>
      </c>
      <c r="DF1192" s="48">
        <f ca="1">IF(AND(CX1192=$DF$1,CX1192&lt;&gt;""),0,IF(AND(DB1192&lt;&gt;"",OR(DB1191&lt;&gt;"",DB1193&lt;&gt;"")),MAX($DF$2:DF1191)+1,0))</f>
        <v>0</v>
      </c>
    </row>
    <row r="1193" spans="102:110" x14ac:dyDescent="0.3">
      <c r="CX1193" s="48">
        <f t="shared" ca="1" si="1319"/>
        <v>92</v>
      </c>
      <c r="CY1193" s="48" t="str">
        <f t="shared" ca="1" si="1318"/>
        <v>MASTRO</v>
      </c>
      <c r="CZ1193" s="48" t="e">
        <f t="shared" ca="1" si="1321"/>
        <v>#N/A</v>
      </c>
      <c r="DA1193" s="48" t="str">
        <f t="shared" ca="1" si="1326"/>
        <v/>
      </c>
      <c r="DB1193" s="48" t="str">
        <f t="shared" ca="1" si="1322"/>
        <v/>
      </c>
      <c r="DC1193" s="48" t="str">
        <f t="shared" ca="1" si="1323"/>
        <v/>
      </c>
      <c r="DD1193" s="48" t="str">
        <f t="shared" ca="1" si="1324"/>
        <v/>
      </c>
      <c r="DE1193" s="48" t="str">
        <f t="shared" ca="1" si="1325"/>
        <v/>
      </c>
      <c r="DF1193" s="48">
        <f ca="1">IF(AND(CX1193=$DF$1,CX1193&lt;&gt;""),0,IF(AND(DB1193&lt;&gt;"",OR(DB1192&lt;&gt;"",DB1194&lt;&gt;"")),MAX($DF$2:DF1192)+1,0))</f>
        <v>0</v>
      </c>
    </row>
    <row r="1194" spans="102:110" x14ac:dyDescent="0.3">
      <c r="CX1194" s="48">
        <f t="shared" ca="1" si="1319"/>
        <v>92</v>
      </c>
      <c r="CY1194" s="48" t="str">
        <f t="shared" ca="1" si="1318"/>
        <v>MASTRO</v>
      </c>
      <c r="CZ1194" s="48" t="e">
        <f t="shared" ca="1" si="1321"/>
        <v>#N/A</v>
      </c>
      <c r="DA1194" s="48" t="str">
        <f t="shared" ca="1" si="1326"/>
        <v/>
      </c>
      <c r="DB1194" s="48" t="str">
        <f t="shared" ca="1" si="1322"/>
        <v/>
      </c>
      <c r="DC1194" s="48" t="str">
        <f t="shared" ca="1" si="1323"/>
        <v/>
      </c>
      <c r="DD1194" s="48" t="str">
        <f t="shared" ca="1" si="1324"/>
        <v/>
      </c>
      <c r="DE1194" s="48" t="str">
        <f t="shared" ca="1" si="1325"/>
        <v/>
      </c>
      <c r="DF1194" s="48">
        <f ca="1">IF(AND(CX1194=$DF$1,CX1194&lt;&gt;""),0,IF(AND(DB1194&lt;&gt;"",OR(DB1193&lt;&gt;"",DB1195&lt;&gt;"")),MAX($DF$2:DF1193)+1,0))</f>
        <v>0</v>
      </c>
    </row>
    <row r="1195" spans="102:110" x14ac:dyDescent="0.3">
      <c r="CX1195" s="48">
        <f t="shared" ca="1" si="1319"/>
        <v>92</v>
      </c>
      <c r="CY1195" s="48" t="str">
        <f t="shared" ca="1" si="1318"/>
        <v>MASTRO</v>
      </c>
      <c r="CZ1195" s="48" t="e">
        <f t="shared" ca="1" si="1321"/>
        <v>#N/A</v>
      </c>
      <c r="DA1195" s="48" t="str">
        <f t="shared" ca="1" si="1326"/>
        <v/>
      </c>
      <c r="DB1195" s="48" t="str">
        <f t="shared" ca="1" si="1322"/>
        <v/>
      </c>
      <c r="DC1195" s="48" t="str">
        <f t="shared" ca="1" si="1323"/>
        <v/>
      </c>
      <c r="DD1195" s="48" t="str">
        <f t="shared" ca="1" si="1324"/>
        <v/>
      </c>
      <c r="DE1195" s="48" t="str">
        <f t="shared" ca="1" si="1325"/>
        <v/>
      </c>
      <c r="DF1195" s="48">
        <f ca="1">IF(AND(CX1195=$DF$1,CX1195&lt;&gt;""),0,IF(AND(DB1195&lt;&gt;"",OR(DB1194&lt;&gt;"",DB1196&lt;&gt;"")),MAX($DF$2:DF1194)+1,0))</f>
        <v>0</v>
      </c>
    </row>
    <row r="1196" spans="102:110" x14ac:dyDescent="0.3">
      <c r="CX1196" s="48">
        <f t="shared" ca="1" si="1319"/>
        <v>92</v>
      </c>
      <c r="CY1196" s="48" t="str">
        <f t="shared" ca="1" si="1318"/>
        <v>MASTRO</v>
      </c>
      <c r="CZ1196" s="48" t="e">
        <f t="shared" ca="1" si="1321"/>
        <v>#N/A</v>
      </c>
      <c r="DA1196" s="48" t="str">
        <f t="shared" ca="1" si="1326"/>
        <v/>
      </c>
      <c r="DB1196" s="48" t="str">
        <f t="shared" ca="1" si="1322"/>
        <v/>
      </c>
      <c r="DC1196" s="48" t="str">
        <f t="shared" ca="1" si="1323"/>
        <v/>
      </c>
      <c r="DD1196" s="48" t="str">
        <f t="shared" ca="1" si="1324"/>
        <v/>
      </c>
      <c r="DE1196" s="48" t="str">
        <f t="shared" ca="1" si="1325"/>
        <v/>
      </c>
      <c r="DF1196" s="48">
        <f ca="1">IF(AND(CX1196=$DF$1,CX1196&lt;&gt;""),0,IF(AND(DB1196&lt;&gt;"",OR(DB1195&lt;&gt;"",DB1197&lt;&gt;"")),MAX($DF$2:DF1195)+1,0))</f>
        <v>0</v>
      </c>
    </row>
    <row r="1197" spans="102:110" x14ac:dyDescent="0.3">
      <c r="CX1197" s="48">
        <f t="shared" ca="1" si="1319"/>
        <v>92</v>
      </c>
      <c r="CY1197" s="48" t="str">
        <f t="shared" ca="1" si="1318"/>
        <v>MASTRO</v>
      </c>
      <c r="CZ1197" s="48" t="e">
        <f t="shared" ca="1" si="1321"/>
        <v>#N/A</v>
      </c>
      <c r="DA1197" s="48" t="str">
        <f t="shared" ca="1" si="1326"/>
        <v/>
      </c>
      <c r="DB1197" s="48" t="str">
        <f t="shared" ca="1" si="1322"/>
        <v/>
      </c>
      <c r="DC1197" s="48" t="str">
        <f t="shared" ca="1" si="1323"/>
        <v/>
      </c>
      <c r="DD1197" s="48" t="str">
        <f t="shared" ca="1" si="1324"/>
        <v/>
      </c>
      <c r="DE1197" s="48" t="str">
        <f t="shared" ca="1" si="1325"/>
        <v/>
      </c>
      <c r="DF1197" s="48">
        <f ca="1">IF(AND(CX1197=$DF$1,CX1197&lt;&gt;""),0,IF(AND(DB1197&lt;&gt;"",OR(DB1196&lt;&gt;"",DB1198&lt;&gt;"")),MAX($DF$2:DF1196)+1,0))</f>
        <v>0</v>
      </c>
    </row>
    <row r="1198" spans="102:110" x14ac:dyDescent="0.3">
      <c r="CY1198" s="48" t="s">
        <v>500</v>
      </c>
      <c r="DB1198" s="48" t="str">
        <f t="shared" ref="DB1198" ca="1" si="1327">IF(CX1197=$DF$1,"","MASTRO")</f>
        <v>MASTRO</v>
      </c>
      <c r="DF1198" s="48">
        <f ca="1">IF(AND(CX1198=$DF$1,CX1198&lt;&gt;""),0,IF(AND(DB1198&lt;&gt;"",OR(DB1197&lt;&gt;"",DB1199&lt;&gt;"")),MAX($DF$2:DF1197)+1,0))</f>
        <v>0</v>
      </c>
    </row>
    <row r="1199" spans="102:110" x14ac:dyDescent="0.3">
      <c r="CX1199" s="48">
        <f ca="1">$FF$95</f>
        <v>93</v>
      </c>
      <c r="CY1199" s="48" t="str">
        <f t="shared" ref="CY1199:CY1210" ca="1" si="1328">IF(ISERROR(INDEX($CV$3:$CX$1302,MATCH(CX1199,$CW$3:$CW$1302,0),1)),"MASTRO",INDEX($CV$3:$CX$1302,MATCH(CX1199,$CW$3:$CW$1302,0),1))</f>
        <v>MASTRO</v>
      </c>
      <c r="DA1199" s="48" t="str">
        <f>IF(CY1198="MASTRO","Conto n.","")</f>
        <v>Conto n.</v>
      </c>
      <c r="DB1199" s="48" t="str">
        <f ca="1">IF(CY1199=0,"",INDEX(PDC,MATCH(DC1199,DEN_PDC,0),1))</f>
        <v/>
      </c>
      <c r="DC1199" s="48" t="str">
        <f ca="1">IF(OR(CY1199=0,CY1199="mastro"),"",CY1199)</f>
        <v/>
      </c>
      <c r="DD1199" s="48" t="str">
        <f ca="1">IF(AND($DA$2=TRUE,OR(INDEX(PDC,MATCH($DC1199,DEN_PDC,0),4)="A",INDEX(PDC,MATCH($DC1199,DEN_PDC,0),4)="D/A"),SUMIFS(AVERE,DEN_G,"="&amp;$DC1199,DATA,"&lt;="&amp;FINE_AC,DATA,"&gt;="&amp;INIZIO_AC)&gt;SUMIFS(DARE,DEN_G,"="&amp;$DC1199,DATA,"&lt;="&amp;FINE_AC,DATA,"&gt;="&amp;INIZIO_AC)),CONCATENATE("s ",FIXED(ABS(SUMIFS(AVERE,DEN_G,"="&amp;$DC1199,DATA,"&lt;="&amp;FINE_AC,DATA,"&gt;="&amp;INIZIO_AC)-SUMIFS(DARE,DEN_G,"="&amp;$DC1199,DATA,"&lt;="&amp;FINE_AC,DATA,"&gt;="&amp;INIZIO_AC)),2)),"")</f>
        <v/>
      </c>
      <c r="DE1199" s="48" t="str">
        <f ca="1">IF(AND($DA$2=TRUE,OR(INDEX(PDC,MATCH($DC1199,DEN_PDC,0),4)="D",INDEX(PDC,MATCH($DC1199,DEN_PDC,0),4)="D/A"),SUMIFS(DARE,DEN_G,"="&amp;$DC1199,DATA,"&lt;="&amp;FINE_AC,DATA,"&gt;="&amp;INIZIO_AC)&gt;SUMIFS(AVERE,DEN_G,"="&amp;$DC1199,DATA,"&lt;="&amp;FINE_AC,DATA,"&gt;="&amp;INIZIO_AC)),CONCATENATE("s ",FIXED(ABS(SUMIFS(DARE,DEN_G,"="&amp;$DC1199,DATA,"&lt;="&amp;FINE_AC,DATA,"&gt;="&amp;INIZIO_AC)-SUMIFS(AVERE,DEN_G,"="&amp;$DC1199,DATA,"&lt;="&amp;FINE_AC,DATA,"&gt;="&amp;INIZIO_AC)),2)),"")</f>
        <v/>
      </c>
      <c r="DF1199" s="48">
        <f ca="1">IF(AND(CX1199=$DF$1,CX1199&lt;&gt;""),0,IF(AND(DB1199&lt;&gt;"",OR(DB1198&lt;&gt;"",DB1200&lt;&gt;"")),MAX($DF$2:DF1198)+1,0))</f>
        <v>0</v>
      </c>
    </row>
    <row r="1200" spans="102:110" x14ac:dyDescent="0.3">
      <c r="CX1200" s="48">
        <f t="shared" ref="CX1200:CX1210" ca="1" si="1329">$FF$95</f>
        <v>93</v>
      </c>
      <c r="CY1200" s="48" t="str">
        <f t="shared" ca="1" si="1328"/>
        <v>MASTRO</v>
      </c>
      <c r="DA1200" s="48" t="str">
        <f ca="1">IF(DB1199="","","Num. riga")</f>
        <v/>
      </c>
      <c r="DB1200" s="48" t="str">
        <f t="shared" ref="DB1200" ca="1" si="1330">IF(DB1199="","","Data")</f>
        <v/>
      </c>
      <c r="DC1200" s="48" t="str">
        <f ca="1">IF(DB1199="","","Operazioni")</f>
        <v/>
      </c>
      <c r="DD1200" s="48" t="str">
        <f ca="1">IF(DB1199="","","Dare        ")</f>
        <v/>
      </c>
      <c r="DE1200" s="48" t="str">
        <f ca="1">IF(DB1199="","","Avere        ")</f>
        <v/>
      </c>
      <c r="DF1200" s="48">
        <f ca="1">IF(AND(CX1200=$DF$1,CX1200&lt;&gt;""),0,IF(AND(DB1200&lt;&gt;"",OR(DB1199&lt;&gt;"",DB1201&lt;&gt;"")),MAX($DF$2:DF1199)+1,0))</f>
        <v>0</v>
      </c>
    </row>
    <row r="1201" spans="102:110" x14ac:dyDescent="0.3">
      <c r="CX1201" s="48">
        <f t="shared" ca="1" si="1329"/>
        <v>93</v>
      </c>
      <c r="CY1201" s="48" t="str">
        <f t="shared" ca="1" si="1328"/>
        <v>MASTRO</v>
      </c>
      <c r="CZ1201" s="48" t="e">
        <f t="shared" ref="CZ1201:CZ1210" ca="1" si="1331">SUM(MATCH($CY1201,INDIRECT(ADDRESS(SUM(CZ1200)+3,54)&amp;":"&amp;ADDRESS(400,54)),0),CZ1200)</f>
        <v>#N/A</v>
      </c>
      <c r="DA1201" s="48" t="str">
        <f ca="1">IFERROR(INDEX(LIBRO_GIORNALE,CZ1201,1),"")</f>
        <v/>
      </c>
      <c r="DB1201" s="48" t="str">
        <f t="shared" ca="1" si="1322"/>
        <v/>
      </c>
      <c r="DC1201" s="48" t="str">
        <f t="shared" ref="DC1201:DC1210" ca="1" si="1332">IF(IFERROR(INDEX(LIBRO_GIORNALE,CZ1201,4),"")=0,"manca la descrizione dell'operazione",IFERROR(INDEX(LIBRO_GIORNALE,CZ1201,4),""))</f>
        <v/>
      </c>
      <c r="DD1201" s="48" t="str">
        <f t="shared" ref="DD1201:DD1210" ca="1" si="1333">IFERROR(IF(INDEX(LIBRO_GIORNALE,CZ1201,5)&gt;0,INDEX(LIBRO_GIORNALE,CZ1201,5),""),"")</f>
        <v/>
      </c>
      <c r="DE1201" s="48" t="str">
        <f t="shared" ref="DE1201:DE1210" ca="1" si="1334">IFERROR(IF(INDEX(LIBRO_GIORNALE,CZ1201,6)&gt;0,INDEX(LIBRO_GIORNALE,CZ1201,6),""),"")</f>
        <v/>
      </c>
      <c r="DF1201" s="48">
        <f ca="1">IF(AND(CX1201=$DF$1,CX1201&lt;&gt;""),0,IF(AND(DB1201&lt;&gt;"",OR(DB1200&lt;&gt;"",DB1202&lt;&gt;"")),MAX($DF$2:DF1200)+1,0))</f>
        <v>0</v>
      </c>
    </row>
    <row r="1202" spans="102:110" x14ac:dyDescent="0.3">
      <c r="CX1202" s="48">
        <f t="shared" ca="1" si="1329"/>
        <v>93</v>
      </c>
      <c r="CY1202" s="48" t="str">
        <f t="shared" ca="1" si="1328"/>
        <v>MASTRO</v>
      </c>
      <c r="CZ1202" s="48" t="e">
        <f t="shared" ca="1" si="1331"/>
        <v>#N/A</v>
      </c>
      <c r="DA1202" s="48" t="str">
        <f t="shared" ref="DA1202:DA1210" ca="1" si="1335">IFERROR(INDEX(LIBRO_GIORNALE,CZ1202,1),"")</f>
        <v/>
      </c>
      <c r="DB1202" s="48" t="str">
        <f t="shared" ca="1" si="1322"/>
        <v/>
      </c>
      <c r="DC1202" s="48" t="str">
        <f t="shared" ca="1" si="1332"/>
        <v/>
      </c>
      <c r="DD1202" s="48" t="str">
        <f t="shared" ca="1" si="1333"/>
        <v/>
      </c>
      <c r="DE1202" s="48" t="str">
        <f t="shared" ca="1" si="1334"/>
        <v/>
      </c>
      <c r="DF1202" s="48">
        <f ca="1">IF(AND(CX1202=$DF$1,CX1202&lt;&gt;""),0,IF(AND(DB1202&lt;&gt;"",OR(DB1201&lt;&gt;"",DB1203&lt;&gt;"")),MAX($DF$2:DF1201)+1,0))</f>
        <v>0</v>
      </c>
    </row>
    <row r="1203" spans="102:110" x14ac:dyDescent="0.3">
      <c r="CX1203" s="48">
        <f t="shared" ca="1" si="1329"/>
        <v>93</v>
      </c>
      <c r="CY1203" s="48" t="str">
        <f t="shared" ca="1" si="1328"/>
        <v>MASTRO</v>
      </c>
      <c r="CZ1203" s="48" t="e">
        <f t="shared" ca="1" si="1331"/>
        <v>#N/A</v>
      </c>
      <c r="DA1203" s="48" t="str">
        <f t="shared" ca="1" si="1335"/>
        <v/>
      </c>
      <c r="DB1203" s="48" t="str">
        <f t="shared" ca="1" si="1322"/>
        <v/>
      </c>
      <c r="DC1203" s="48" t="str">
        <f t="shared" ca="1" si="1332"/>
        <v/>
      </c>
      <c r="DD1203" s="48" t="str">
        <f t="shared" ca="1" si="1333"/>
        <v/>
      </c>
      <c r="DE1203" s="48" t="str">
        <f t="shared" ca="1" si="1334"/>
        <v/>
      </c>
      <c r="DF1203" s="48">
        <f ca="1">IF(AND(CX1203=$DF$1,CX1203&lt;&gt;""),0,IF(AND(DB1203&lt;&gt;"",OR(DB1202&lt;&gt;"",DB1204&lt;&gt;"")),MAX($DF$2:DF1202)+1,0))</f>
        <v>0</v>
      </c>
    </row>
    <row r="1204" spans="102:110" x14ac:dyDescent="0.3">
      <c r="CX1204" s="48">
        <f t="shared" ca="1" si="1329"/>
        <v>93</v>
      </c>
      <c r="CY1204" s="48" t="str">
        <f t="shared" ca="1" si="1328"/>
        <v>MASTRO</v>
      </c>
      <c r="CZ1204" s="48" t="e">
        <f t="shared" ca="1" si="1331"/>
        <v>#N/A</v>
      </c>
      <c r="DA1204" s="48" t="str">
        <f t="shared" ca="1" si="1335"/>
        <v/>
      </c>
      <c r="DB1204" s="48" t="str">
        <f t="shared" ca="1" si="1322"/>
        <v/>
      </c>
      <c r="DC1204" s="48" t="str">
        <f t="shared" ca="1" si="1332"/>
        <v/>
      </c>
      <c r="DD1204" s="48" t="str">
        <f t="shared" ca="1" si="1333"/>
        <v/>
      </c>
      <c r="DE1204" s="48" t="str">
        <f t="shared" ca="1" si="1334"/>
        <v/>
      </c>
      <c r="DF1204" s="48">
        <f ca="1">IF(AND(CX1204=$DF$1,CX1204&lt;&gt;""),0,IF(AND(DB1204&lt;&gt;"",OR(DB1203&lt;&gt;"",DB1205&lt;&gt;"")),MAX($DF$2:DF1203)+1,0))</f>
        <v>0</v>
      </c>
    </row>
    <row r="1205" spans="102:110" x14ac:dyDescent="0.3">
      <c r="CX1205" s="48">
        <f t="shared" ca="1" si="1329"/>
        <v>93</v>
      </c>
      <c r="CY1205" s="48" t="str">
        <f t="shared" ca="1" si="1328"/>
        <v>MASTRO</v>
      </c>
      <c r="CZ1205" s="48" t="e">
        <f t="shared" ca="1" si="1331"/>
        <v>#N/A</v>
      </c>
      <c r="DA1205" s="48" t="str">
        <f t="shared" ca="1" si="1335"/>
        <v/>
      </c>
      <c r="DB1205" s="48" t="str">
        <f t="shared" ca="1" si="1322"/>
        <v/>
      </c>
      <c r="DC1205" s="48" t="str">
        <f t="shared" ca="1" si="1332"/>
        <v/>
      </c>
      <c r="DD1205" s="48" t="str">
        <f t="shared" ca="1" si="1333"/>
        <v/>
      </c>
      <c r="DE1205" s="48" t="str">
        <f t="shared" ca="1" si="1334"/>
        <v/>
      </c>
      <c r="DF1205" s="48">
        <f ca="1">IF(AND(CX1205=$DF$1,CX1205&lt;&gt;""),0,IF(AND(DB1205&lt;&gt;"",OR(DB1204&lt;&gt;"",DB1206&lt;&gt;"")),MAX($DF$2:DF1204)+1,0))</f>
        <v>0</v>
      </c>
    </row>
    <row r="1206" spans="102:110" x14ac:dyDescent="0.3">
      <c r="CX1206" s="48">
        <f t="shared" ca="1" si="1329"/>
        <v>93</v>
      </c>
      <c r="CY1206" s="48" t="str">
        <f t="shared" ca="1" si="1328"/>
        <v>MASTRO</v>
      </c>
      <c r="CZ1206" s="48" t="e">
        <f t="shared" ca="1" si="1331"/>
        <v>#N/A</v>
      </c>
      <c r="DA1206" s="48" t="str">
        <f t="shared" ca="1" si="1335"/>
        <v/>
      </c>
      <c r="DB1206" s="48" t="str">
        <f t="shared" ca="1" si="1322"/>
        <v/>
      </c>
      <c r="DC1206" s="48" t="str">
        <f t="shared" ca="1" si="1332"/>
        <v/>
      </c>
      <c r="DD1206" s="48" t="str">
        <f t="shared" ca="1" si="1333"/>
        <v/>
      </c>
      <c r="DE1206" s="48" t="str">
        <f t="shared" ca="1" si="1334"/>
        <v/>
      </c>
      <c r="DF1206" s="48">
        <f ca="1">IF(AND(CX1206=$DF$1,CX1206&lt;&gt;""),0,IF(AND(DB1206&lt;&gt;"",OR(DB1205&lt;&gt;"",DB1207&lt;&gt;"")),MAX($DF$2:DF1205)+1,0))</f>
        <v>0</v>
      </c>
    </row>
    <row r="1207" spans="102:110" x14ac:dyDescent="0.3">
      <c r="CX1207" s="48">
        <f t="shared" ca="1" si="1329"/>
        <v>93</v>
      </c>
      <c r="CY1207" s="48" t="str">
        <f t="shared" ca="1" si="1328"/>
        <v>MASTRO</v>
      </c>
      <c r="CZ1207" s="48" t="e">
        <f t="shared" ca="1" si="1331"/>
        <v>#N/A</v>
      </c>
      <c r="DA1207" s="48" t="str">
        <f t="shared" ca="1" si="1335"/>
        <v/>
      </c>
      <c r="DB1207" s="48" t="str">
        <f t="shared" ca="1" si="1322"/>
        <v/>
      </c>
      <c r="DC1207" s="48" t="str">
        <f t="shared" ca="1" si="1332"/>
        <v/>
      </c>
      <c r="DD1207" s="48" t="str">
        <f t="shared" ca="1" si="1333"/>
        <v/>
      </c>
      <c r="DE1207" s="48" t="str">
        <f t="shared" ca="1" si="1334"/>
        <v/>
      </c>
      <c r="DF1207" s="48">
        <f ca="1">IF(AND(CX1207=$DF$1,CX1207&lt;&gt;""),0,IF(AND(DB1207&lt;&gt;"",OR(DB1206&lt;&gt;"",DB1208&lt;&gt;"")),MAX($DF$2:DF1206)+1,0))</f>
        <v>0</v>
      </c>
    </row>
    <row r="1208" spans="102:110" x14ac:dyDescent="0.3">
      <c r="CX1208" s="48">
        <f t="shared" ca="1" si="1329"/>
        <v>93</v>
      </c>
      <c r="CY1208" s="48" t="str">
        <f t="shared" ca="1" si="1328"/>
        <v>MASTRO</v>
      </c>
      <c r="CZ1208" s="48" t="e">
        <f t="shared" ca="1" si="1331"/>
        <v>#N/A</v>
      </c>
      <c r="DA1208" s="48" t="str">
        <f t="shared" ca="1" si="1335"/>
        <v/>
      </c>
      <c r="DB1208" s="48" t="str">
        <f t="shared" ca="1" si="1322"/>
        <v/>
      </c>
      <c r="DC1208" s="48" t="str">
        <f t="shared" ca="1" si="1332"/>
        <v/>
      </c>
      <c r="DD1208" s="48" t="str">
        <f t="shared" ca="1" si="1333"/>
        <v/>
      </c>
      <c r="DE1208" s="48" t="str">
        <f t="shared" ca="1" si="1334"/>
        <v/>
      </c>
      <c r="DF1208" s="48">
        <f ca="1">IF(AND(CX1208=$DF$1,CX1208&lt;&gt;""),0,IF(AND(DB1208&lt;&gt;"",OR(DB1207&lt;&gt;"",DB1209&lt;&gt;"")),MAX($DF$2:DF1207)+1,0))</f>
        <v>0</v>
      </c>
    </row>
    <row r="1209" spans="102:110" x14ac:dyDescent="0.3">
      <c r="CX1209" s="48">
        <f t="shared" ca="1" si="1329"/>
        <v>93</v>
      </c>
      <c r="CY1209" s="48" t="str">
        <f t="shared" ca="1" si="1328"/>
        <v>MASTRO</v>
      </c>
      <c r="CZ1209" s="48" t="e">
        <f t="shared" ca="1" si="1331"/>
        <v>#N/A</v>
      </c>
      <c r="DA1209" s="48" t="str">
        <f t="shared" ca="1" si="1335"/>
        <v/>
      </c>
      <c r="DB1209" s="48" t="str">
        <f t="shared" ca="1" si="1322"/>
        <v/>
      </c>
      <c r="DC1209" s="48" t="str">
        <f t="shared" ca="1" si="1332"/>
        <v/>
      </c>
      <c r="DD1209" s="48" t="str">
        <f t="shared" ca="1" si="1333"/>
        <v/>
      </c>
      <c r="DE1209" s="48" t="str">
        <f t="shared" ca="1" si="1334"/>
        <v/>
      </c>
      <c r="DF1209" s="48">
        <f ca="1">IF(AND(CX1209=$DF$1,CX1209&lt;&gt;""),0,IF(AND(DB1209&lt;&gt;"",OR(DB1208&lt;&gt;"",DB1210&lt;&gt;"")),MAX($DF$2:DF1208)+1,0))</f>
        <v>0</v>
      </c>
    </row>
    <row r="1210" spans="102:110" x14ac:dyDescent="0.3">
      <c r="CX1210" s="48">
        <f t="shared" ca="1" si="1329"/>
        <v>93</v>
      </c>
      <c r="CY1210" s="48" t="str">
        <f t="shared" ca="1" si="1328"/>
        <v>MASTRO</v>
      </c>
      <c r="CZ1210" s="48" t="e">
        <f t="shared" ca="1" si="1331"/>
        <v>#N/A</v>
      </c>
      <c r="DA1210" s="48" t="str">
        <f t="shared" ca="1" si="1335"/>
        <v/>
      </c>
      <c r="DB1210" s="48" t="str">
        <f t="shared" ca="1" si="1322"/>
        <v/>
      </c>
      <c r="DC1210" s="48" t="str">
        <f t="shared" ca="1" si="1332"/>
        <v/>
      </c>
      <c r="DD1210" s="48" t="str">
        <f t="shared" ca="1" si="1333"/>
        <v/>
      </c>
      <c r="DE1210" s="48" t="str">
        <f t="shared" ca="1" si="1334"/>
        <v/>
      </c>
      <c r="DF1210" s="48">
        <f ca="1">IF(AND(CX1210=$DF$1,CX1210&lt;&gt;""),0,IF(AND(DB1210&lt;&gt;"",OR(DB1209&lt;&gt;"",DB1211&lt;&gt;"")),MAX($DF$2:DF1209)+1,0))</f>
        <v>0</v>
      </c>
    </row>
    <row r="1211" spans="102:110" x14ac:dyDescent="0.3">
      <c r="CY1211" s="48" t="s">
        <v>500</v>
      </c>
      <c r="DB1211" s="48" t="str">
        <f t="shared" ref="DB1211" ca="1" si="1336">IF(CX1210=$DF$1,"","MASTRO")</f>
        <v>MASTRO</v>
      </c>
      <c r="DF1211" s="48">
        <f ca="1">IF(AND(CX1211=$DF$1,CX1211&lt;&gt;""),0,IF(AND(DB1211&lt;&gt;"",OR(DB1210&lt;&gt;"",DB1212&lt;&gt;"")),MAX($DF$2:DF1210)+1,0))</f>
        <v>0</v>
      </c>
    </row>
    <row r="1212" spans="102:110" x14ac:dyDescent="0.3">
      <c r="CX1212" s="48">
        <f ca="1">$FF$96</f>
        <v>94</v>
      </c>
      <c r="CY1212" s="48" t="str">
        <f t="shared" ref="CY1212:CY1223" ca="1" si="1337">IF(ISERROR(INDEX($CV$3:$CX$1302,MATCH(CX1212,$CW$3:$CW$1302,0),1)),"MASTRO",INDEX($CV$3:$CX$1302,MATCH(CX1212,$CW$3:$CW$1302,0),1))</f>
        <v>MASTRO</v>
      </c>
      <c r="DA1212" s="48" t="str">
        <f>IF(CY1211="MASTRO","Conto n.","")</f>
        <v>Conto n.</v>
      </c>
      <c r="DB1212" s="48" t="str">
        <f ca="1">IF(CY1212=0,"",INDEX(PDC,MATCH(DC1212,DEN_PDC,0),1))</f>
        <v/>
      </c>
      <c r="DC1212" s="48" t="str">
        <f ca="1">IF(OR(CY1212=0,CY1212="mastro"),"",CY1212)</f>
        <v/>
      </c>
      <c r="DD1212" s="48" t="str">
        <f ca="1">IF(AND($DA$2=TRUE,OR(INDEX(PDC,MATCH($DC1212,DEN_PDC,0),4)="A",INDEX(PDC,MATCH($DC1212,DEN_PDC,0),4)="D/A"),SUMIFS(AVERE,DEN_G,"="&amp;$DC1212,DATA,"&lt;="&amp;FINE_AC,DATA,"&gt;="&amp;INIZIO_AC)&gt;SUMIFS(DARE,DEN_G,"="&amp;$DC1212,DATA,"&lt;="&amp;FINE_AC,DATA,"&gt;="&amp;INIZIO_AC)),CONCATENATE("s ",FIXED(ABS(SUMIFS(AVERE,DEN_G,"="&amp;$DC1212,DATA,"&lt;="&amp;FINE_AC,DATA,"&gt;="&amp;INIZIO_AC)-SUMIFS(DARE,DEN_G,"="&amp;$DC1212,DATA,"&lt;="&amp;FINE_AC,DATA,"&gt;="&amp;INIZIO_AC)),2)),"")</f>
        <v/>
      </c>
      <c r="DE1212" s="48" t="str">
        <f ca="1">IF(AND($DA$2=TRUE,OR(INDEX(PDC,MATCH($DC1212,DEN_PDC,0),4)="D",INDEX(PDC,MATCH($DC1212,DEN_PDC,0),4)="D/A"),SUMIFS(DARE,DEN_G,"="&amp;$DC1212,DATA,"&lt;="&amp;FINE_AC,DATA,"&gt;="&amp;INIZIO_AC)&gt;SUMIFS(AVERE,DEN_G,"="&amp;$DC1212,DATA,"&lt;="&amp;FINE_AC,DATA,"&gt;="&amp;INIZIO_AC)),CONCATENATE("s ",FIXED(ABS(SUMIFS(DARE,DEN_G,"="&amp;$DC1212,DATA,"&lt;="&amp;FINE_AC,DATA,"&gt;="&amp;INIZIO_AC)-SUMIFS(AVERE,DEN_G,"="&amp;$DC1212,DATA,"&lt;="&amp;FINE_AC,DATA,"&gt;="&amp;INIZIO_AC)),2)),"")</f>
        <v/>
      </c>
      <c r="DF1212" s="48">
        <f ca="1">IF(AND(CX1212=$DF$1,CX1212&lt;&gt;""),0,IF(AND(DB1212&lt;&gt;"",OR(DB1211&lt;&gt;"",DB1213&lt;&gt;"")),MAX($DF$2:DF1211)+1,0))</f>
        <v>0</v>
      </c>
    </row>
    <row r="1213" spans="102:110" x14ac:dyDescent="0.3">
      <c r="CX1213" s="48">
        <f t="shared" ref="CX1213:CX1223" ca="1" si="1338">$FF$96</f>
        <v>94</v>
      </c>
      <c r="CY1213" s="48" t="str">
        <f t="shared" ca="1" si="1337"/>
        <v>MASTRO</v>
      </c>
      <c r="DA1213" s="48" t="str">
        <f ca="1">IF(DB1212="","","Num. riga")</f>
        <v/>
      </c>
      <c r="DB1213" s="48" t="str">
        <f t="shared" ref="DB1213" ca="1" si="1339">IF(DB1212="","","Data")</f>
        <v/>
      </c>
      <c r="DC1213" s="48" t="str">
        <f ca="1">IF(DB1212="","","Operazioni")</f>
        <v/>
      </c>
      <c r="DD1213" s="48" t="str">
        <f ca="1">IF(DB1212="","","Dare        ")</f>
        <v/>
      </c>
      <c r="DE1213" s="48" t="str">
        <f ca="1">IF(DB1212="","","Avere        ")</f>
        <v/>
      </c>
      <c r="DF1213" s="48">
        <f ca="1">IF(AND(CX1213=$DF$1,CX1213&lt;&gt;""),0,IF(AND(DB1213&lt;&gt;"",OR(DB1212&lt;&gt;"",DB1214&lt;&gt;"")),MAX($DF$2:DF1212)+1,0))</f>
        <v>0</v>
      </c>
    </row>
    <row r="1214" spans="102:110" x14ac:dyDescent="0.3">
      <c r="CX1214" s="48">
        <f t="shared" ca="1" si="1338"/>
        <v>94</v>
      </c>
      <c r="CY1214" s="48" t="str">
        <f t="shared" ca="1" si="1337"/>
        <v>MASTRO</v>
      </c>
      <c r="CZ1214" s="48" t="e">
        <f t="shared" ref="CZ1214:CZ1223" ca="1" si="1340">SUM(MATCH($CY1214,INDIRECT(ADDRESS(SUM(CZ1213)+3,54)&amp;":"&amp;ADDRESS(400,54)),0),CZ1213)</f>
        <v>#N/A</v>
      </c>
      <c r="DA1214" s="48" t="str">
        <f ca="1">IFERROR(INDEX(LIBRO_GIORNALE,CZ1214,1),"")</f>
        <v/>
      </c>
      <c r="DB1214" s="48" t="str">
        <f t="shared" ca="1" si="1322"/>
        <v/>
      </c>
      <c r="DC1214" s="48" t="str">
        <f t="shared" ref="DC1214:DC1223" ca="1" si="1341">IF(IFERROR(INDEX(LIBRO_GIORNALE,CZ1214,4),"")=0,"manca la descrizione dell'operazione",IFERROR(INDEX(LIBRO_GIORNALE,CZ1214,4),""))</f>
        <v/>
      </c>
      <c r="DD1214" s="48" t="str">
        <f t="shared" ref="DD1214:DD1223" ca="1" si="1342">IFERROR(IF(INDEX(LIBRO_GIORNALE,CZ1214,5)&gt;0,INDEX(LIBRO_GIORNALE,CZ1214,5),""),"")</f>
        <v/>
      </c>
      <c r="DE1214" s="48" t="str">
        <f t="shared" ref="DE1214:DE1223" ca="1" si="1343">IFERROR(IF(INDEX(LIBRO_GIORNALE,CZ1214,6)&gt;0,INDEX(LIBRO_GIORNALE,CZ1214,6),""),"")</f>
        <v/>
      </c>
      <c r="DF1214" s="48">
        <f ca="1">IF(AND(CX1214=$DF$1,CX1214&lt;&gt;""),0,IF(AND(DB1214&lt;&gt;"",OR(DB1213&lt;&gt;"",DB1215&lt;&gt;"")),MAX($DF$2:DF1213)+1,0))</f>
        <v>0</v>
      </c>
    </row>
    <row r="1215" spans="102:110" x14ac:dyDescent="0.3">
      <c r="CX1215" s="48">
        <f t="shared" ca="1" si="1338"/>
        <v>94</v>
      </c>
      <c r="CY1215" s="48" t="str">
        <f t="shared" ca="1" si="1337"/>
        <v>MASTRO</v>
      </c>
      <c r="CZ1215" s="48" t="e">
        <f t="shared" ca="1" si="1340"/>
        <v>#N/A</v>
      </c>
      <c r="DA1215" s="48" t="str">
        <f t="shared" ref="DA1215:DA1223" ca="1" si="1344">IFERROR(INDEX(LIBRO_GIORNALE,CZ1215,1),"")</f>
        <v/>
      </c>
      <c r="DB1215" s="48" t="str">
        <f t="shared" ca="1" si="1322"/>
        <v/>
      </c>
      <c r="DC1215" s="48" t="str">
        <f t="shared" ca="1" si="1341"/>
        <v/>
      </c>
      <c r="DD1215" s="48" t="str">
        <f t="shared" ca="1" si="1342"/>
        <v/>
      </c>
      <c r="DE1215" s="48" t="str">
        <f t="shared" ca="1" si="1343"/>
        <v/>
      </c>
      <c r="DF1215" s="48">
        <f ca="1">IF(AND(CX1215=$DF$1,CX1215&lt;&gt;""),0,IF(AND(DB1215&lt;&gt;"",OR(DB1214&lt;&gt;"",DB1216&lt;&gt;"")),MAX($DF$2:DF1214)+1,0))</f>
        <v>0</v>
      </c>
    </row>
    <row r="1216" spans="102:110" x14ac:dyDescent="0.3">
      <c r="CX1216" s="48">
        <f t="shared" ca="1" si="1338"/>
        <v>94</v>
      </c>
      <c r="CY1216" s="48" t="str">
        <f t="shared" ca="1" si="1337"/>
        <v>MASTRO</v>
      </c>
      <c r="CZ1216" s="48" t="e">
        <f t="shared" ca="1" si="1340"/>
        <v>#N/A</v>
      </c>
      <c r="DA1216" s="48" t="str">
        <f t="shared" ca="1" si="1344"/>
        <v/>
      </c>
      <c r="DB1216" s="48" t="str">
        <f t="shared" ca="1" si="1322"/>
        <v/>
      </c>
      <c r="DC1216" s="48" t="str">
        <f t="shared" ca="1" si="1341"/>
        <v/>
      </c>
      <c r="DD1216" s="48" t="str">
        <f t="shared" ca="1" si="1342"/>
        <v/>
      </c>
      <c r="DE1216" s="48" t="str">
        <f t="shared" ca="1" si="1343"/>
        <v/>
      </c>
      <c r="DF1216" s="48">
        <f ca="1">IF(AND(CX1216=$DF$1,CX1216&lt;&gt;""),0,IF(AND(DB1216&lt;&gt;"",OR(DB1215&lt;&gt;"",DB1217&lt;&gt;"")),MAX($DF$2:DF1215)+1,0))</f>
        <v>0</v>
      </c>
    </row>
    <row r="1217" spans="102:110" x14ac:dyDescent="0.3">
      <c r="CX1217" s="48">
        <f t="shared" ca="1" si="1338"/>
        <v>94</v>
      </c>
      <c r="CY1217" s="48" t="str">
        <f t="shared" ca="1" si="1337"/>
        <v>MASTRO</v>
      </c>
      <c r="CZ1217" s="48" t="e">
        <f t="shared" ca="1" si="1340"/>
        <v>#N/A</v>
      </c>
      <c r="DA1217" s="48" t="str">
        <f t="shared" ca="1" si="1344"/>
        <v/>
      </c>
      <c r="DB1217" s="48" t="str">
        <f t="shared" ca="1" si="1322"/>
        <v/>
      </c>
      <c r="DC1217" s="48" t="str">
        <f t="shared" ca="1" si="1341"/>
        <v/>
      </c>
      <c r="DD1217" s="48" t="str">
        <f t="shared" ca="1" si="1342"/>
        <v/>
      </c>
      <c r="DE1217" s="48" t="str">
        <f t="shared" ca="1" si="1343"/>
        <v/>
      </c>
      <c r="DF1217" s="48">
        <f ca="1">IF(AND(CX1217=$DF$1,CX1217&lt;&gt;""),0,IF(AND(DB1217&lt;&gt;"",OR(DB1216&lt;&gt;"",DB1218&lt;&gt;"")),MAX($DF$2:DF1216)+1,0))</f>
        <v>0</v>
      </c>
    </row>
    <row r="1218" spans="102:110" x14ac:dyDescent="0.3">
      <c r="CX1218" s="48">
        <f t="shared" ca="1" si="1338"/>
        <v>94</v>
      </c>
      <c r="CY1218" s="48" t="str">
        <f t="shared" ca="1" si="1337"/>
        <v>MASTRO</v>
      </c>
      <c r="CZ1218" s="48" t="e">
        <f t="shared" ca="1" si="1340"/>
        <v>#N/A</v>
      </c>
      <c r="DA1218" s="48" t="str">
        <f t="shared" ca="1" si="1344"/>
        <v/>
      </c>
      <c r="DB1218" s="48" t="str">
        <f t="shared" ca="1" si="1322"/>
        <v/>
      </c>
      <c r="DC1218" s="48" t="str">
        <f t="shared" ca="1" si="1341"/>
        <v/>
      </c>
      <c r="DD1218" s="48" t="str">
        <f t="shared" ca="1" si="1342"/>
        <v/>
      </c>
      <c r="DE1218" s="48" t="str">
        <f t="shared" ca="1" si="1343"/>
        <v/>
      </c>
      <c r="DF1218" s="48">
        <f ca="1">IF(AND(CX1218=$DF$1,CX1218&lt;&gt;""),0,IF(AND(DB1218&lt;&gt;"",OR(DB1217&lt;&gt;"",DB1219&lt;&gt;"")),MAX($DF$2:DF1217)+1,0))</f>
        <v>0</v>
      </c>
    </row>
    <row r="1219" spans="102:110" x14ac:dyDescent="0.3">
      <c r="CX1219" s="48">
        <f t="shared" ca="1" si="1338"/>
        <v>94</v>
      </c>
      <c r="CY1219" s="48" t="str">
        <f t="shared" ca="1" si="1337"/>
        <v>MASTRO</v>
      </c>
      <c r="CZ1219" s="48" t="e">
        <f t="shared" ca="1" si="1340"/>
        <v>#N/A</v>
      </c>
      <c r="DA1219" s="48" t="str">
        <f t="shared" ca="1" si="1344"/>
        <v/>
      </c>
      <c r="DB1219" s="48" t="str">
        <f t="shared" ca="1" si="1322"/>
        <v/>
      </c>
      <c r="DC1219" s="48" t="str">
        <f t="shared" ca="1" si="1341"/>
        <v/>
      </c>
      <c r="DD1219" s="48" t="str">
        <f t="shared" ca="1" si="1342"/>
        <v/>
      </c>
      <c r="DE1219" s="48" t="str">
        <f t="shared" ca="1" si="1343"/>
        <v/>
      </c>
      <c r="DF1219" s="48">
        <f ca="1">IF(AND(CX1219=$DF$1,CX1219&lt;&gt;""),0,IF(AND(DB1219&lt;&gt;"",OR(DB1218&lt;&gt;"",DB1220&lt;&gt;"")),MAX($DF$2:DF1218)+1,0))</f>
        <v>0</v>
      </c>
    </row>
    <row r="1220" spans="102:110" x14ac:dyDescent="0.3">
      <c r="CX1220" s="48">
        <f t="shared" ca="1" si="1338"/>
        <v>94</v>
      </c>
      <c r="CY1220" s="48" t="str">
        <f t="shared" ca="1" si="1337"/>
        <v>MASTRO</v>
      </c>
      <c r="CZ1220" s="48" t="e">
        <f t="shared" ca="1" si="1340"/>
        <v>#N/A</v>
      </c>
      <c r="DA1220" s="48" t="str">
        <f t="shared" ca="1" si="1344"/>
        <v/>
      </c>
      <c r="DB1220" s="48" t="str">
        <f t="shared" ca="1" si="1322"/>
        <v/>
      </c>
      <c r="DC1220" s="48" t="str">
        <f t="shared" ca="1" si="1341"/>
        <v/>
      </c>
      <c r="DD1220" s="48" t="str">
        <f t="shared" ca="1" si="1342"/>
        <v/>
      </c>
      <c r="DE1220" s="48" t="str">
        <f t="shared" ca="1" si="1343"/>
        <v/>
      </c>
      <c r="DF1220" s="48">
        <f ca="1">IF(AND(CX1220=$DF$1,CX1220&lt;&gt;""),0,IF(AND(DB1220&lt;&gt;"",OR(DB1219&lt;&gt;"",DB1221&lt;&gt;"")),MAX($DF$2:DF1219)+1,0))</f>
        <v>0</v>
      </c>
    </row>
    <row r="1221" spans="102:110" x14ac:dyDescent="0.3">
      <c r="CX1221" s="48">
        <f t="shared" ca="1" si="1338"/>
        <v>94</v>
      </c>
      <c r="CY1221" s="48" t="str">
        <f t="shared" ca="1" si="1337"/>
        <v>MASTRO</v>
      </c>
      <c r="CZ1221" s="48" t="e">
        <f t="shared" ca="1" si="1340"/>
        <v>#N/A</v>
      </c>
      <c r="DA1221" s="48" t="str">
        <f t="shared" ca="1" si="1344"/>
        <v/>
      </c>
      <c r="DB1221" s="48" t="str">
        <f t="shared" ca="1" si="1322"/>
        <v/>
      </c>
      <c r="DC1221" s="48" t="str">
        <f t="shared" ca="1" si="1341"/>
        <v/>
      </c>
      <c r="DD1221" s="48" t="str">
        <f t="shared" ca="1" si="1342"/>
        <v/>
      </c>
      <c r="DE1221" s="48" t="str">
        <f t="shared" ca="1" si="1343"/>
        <v/>
      </c>
      <c r="DF1221" s="48">
        <f ca="1">IF(AND(CX1221=$DF$1,CX1221&lt;&gt;""),0,IF(AND(DB1221&lt;&gt;"",OR(DB1220&lt;&gt;"",DB1222&lt;&gt;"")),MAX($DF$2:DF1220)+1,0))</f>
        <v>0</v>
      </c>
    </row>
    <row r="1222" spans="102:110" x14ac:dyDescent="0.3">
      <c r="CX1222" s="48">
        <f t="shared" ca="1" si="1338"/>
        <v>94</v>
      </c>
      <c r="CY1222" s="48" t="str">
        <f t="shared" ca="1" si="1337"/>
        <v>MASTRO</v>
      </c>
      <c r="CZ1222" s="48" t="e">
        <f t="shared" ca="1" si="1340"/>
        <v>#N/A</v>
      </c>
      <c r="DA1222" s="48" t="str">
        <f t="shared" ca="1" si="1344"/>
        <v/>
      </c>
      <c r="DB1222" s="48" t="str">
        <f t="shared" ca="1" si="1322"/>
        <v/>
      </c>
      <c r="DC1222" s="48" t="str">
        <f t="shared" ca="1" si="1341"/>
        <v/>
      </c>
      <c r="DD1222" s="48" t="str">
        <f t="shared" ca="1" si="1342"/>
        <v/>
      </c>
      <c r="DE1222" s="48" t="str">
        <f t="shared" ca="1" si="1343"/>
        <v/>
      </c>
      <c r="DF1222" s="48">
        <f ca="1">IF(AND(CX1222=$DF$1,CX1222&lt;&gt;""),0,IF(AND(DB1222&lt;&gt;"",OR(DB1221&lt;&gt;"",DB1223&lt;&gt;"")),MAX($DF$2:DF1221)+1,0))</f>
        <v>0</v>
      </c>
    </row>
    <row r="1223" spans="102:110" x14ac:dyDescent="0.3">
      <c r="CX1223" s="48">
        <f t="shared" ca="1" si="1338"/>
        <v>94</v>
      </c>
      <c r="CY1223" s="48" t="str">
        <f t="shared" ca="1" si="1337"/>
        <v>MASTRO</v>
      </c>
      <c r="CZ1223" s="48" t="e">
        <f t="shared" ca="1" si="1340"/>
        <v>#N/A</v>
      </c>
      <c r="DA1223" s="48" t="str">
        <f t="shared" ca="1" si="1344"/>
        <v/>
      </c>
      <c r="DB1223" s="48" t="str">
        <f t="shared" ca="1" si="1322"/>
        <v/>
      </c>
      <c r="DC1223" s="48" t="str">
        <f t="shared" ca="1" si="1341"/>
        <v/>
      </c>
      <c r="DD1223" s="48" t="str">
        <f t="shared" ca="1" si="1342"/>
        <v/>
      </c>
      <c r="DE1223" s="48" t="str">
        <f t="shared" ca="1" si="1343"/>
        <v/>
      </c>
      <c r="DF1223" s="48">
        <f ca="1">IF(AND(CX1223=$DF$1,CX1223&lt;&gt;""),0,IF(AND(DB1223&lt;&gt;"",OR(DB1222&lt;&gt;"",DB1224&lt;&gt;"")),MAX($DF$2:DF1222)+1,0))</f>
        <v>0</v>
      </c>
    </row>
    <row r="1224" spans="102:110" x14ac:dyDescent="0.3">
      <c r="CY1224" s="48" t="s">
        <v>500</v>
      </c>
      <c r="DB1224" s="48" t="str">
        <f t="shared" ref="DB1224" ca="1" si="1345">IF(CX1223=$DF$1,"","MASTRO")</f>
        <v>MASTRO</v>
      </c>
      <c r="DF1224" s="48">
        <f ca="1">IF(AND(CX1224=$DF$1,CX1224&lt;&gt;""),0,IF(AND(DB1224&lt;&gt;"",OR(DB1223&lt;&gt;"",DB1225&lt;&gt;"")),MAX($DF$2:DF1223)+1,0))</f>
        <v>0</v>
      </c>
    </row>
    <row r="1225" spans="102:110" x14ac:dyDescent="0.3">
      <c r="CX1225" s="48">
        <f ca="1">$FF$97</f>
        <v>95</v>
      </c>
      <c r="CY1225" s="48" t="str">
        <f t="shared" ref="CY1225:CY1236" ca="1" si="1346">IF(ISERROR(INDEX($CV$3:$CX$1302,MATCH(CX1225,$CW$3:$CW$1302,0),1)),"MASTRO",INDEX($CV$3:$CX$1302,MATCH(CX1225,$CW$3:$CW$1302,0),1))</f>
        <v>MASTRO</v>
      </c>
      <c r="DA1225" s="48" t="str">
        <f>IF(CY1224="MASTRO","Conto n.","")</f>
        <v>Conto n.</v>
      </c>
      <c r="DB1225" s="48" t="str">
        <f ca="1">IF(CY1225=0,"",INDEX(PDC,MATCH(DC1225,DEN_PDC,0),1))</f>
        <v/>
      </c>
      <c r="DC1225" s="48" t="str">
        <f ca="1">IF(OR(CY1225=0,CY1225="mastro"),"",CY1225)</f>
        <v/>
      </c>
      <c r="DD1225" s="48" t="str">
        <f ca="1">IF(AND($DA$2=TRUE,OR(INDEX(PDC,MATCH($DC1225,DEN_PDC,0),4)="A",INDEX(PDC,MATCH($DC1225,DEN_PDC,0),4)="D/A"),SUMIFS(AVERE,DEN_G,"="&amp;$DC1225,DATA,"&lt;="&amp;FINE_AC,DATA,"&gt;="&amp;INIZIO_AC)&gt;SUMIFS(DARE,DEN_G,"="&amp;$DC1225,DATA,"&lt;="&amp;FINE_AC,DATA,"&gt;="&amp;INIZIO_AC)),CONCATENATE("s ",FIXED(ABS(SUMIFS(AVERE,DEN_G,"="&amp;$DC1225,DATA,"&lt;="&amp;FINE_AC,DATA,"&gt;="&amp;INIZIO_AC)-SUMIFS(DARE,DEN_G,"="&amp;$DC1225,DATA,"&lt;="&amp;FINE_AC,DATA,"&gt;="&amp;INIZIO_AC)),2)),"")</f>
        <v/>
      </c>
      <c r="DE1225" s="48" t="str">
        <f ca="1">IF(AND($DA$2=TRUE,OR(INDEX(PDC,MATCH($DC1225,DEN_PDC,0),4)="D",INDEX(PDC,MATCH($DC1225,DEN_PDC,0),4)="D/A"),SUMIFS(DARE,DEN_G,"="&amp;$DC1225,DATA,"&lt;="&amp;FINE_AC,DATA,"&gt;="&amp;INIZIO_AC)&gt;SUMIFS(AVERE,DEN_G,"="&amp;$DC1225,DATA,"&lt;="&amp;FINE_AC,DATA,"&gt;="&amp;INIZIO_AC)),CONCATENATE("s ",FIXED(ABS(SUMIFS(DARE,DEN_G,"="&amp;$DC1225,DATA,"&lt;="&amp;FINE_AC,DATA,"&gt;="&amp;INIZIO_AC)-SUMIFS(AVERE,DEN_G,"="&amp;$DC1225,DATA,"&lt;="&amp;FINE_AC,DATA,"&gt;="&amp;INIZIO_AC)),2)),"")</f>
        <v/>
      </c>
      <c r="DF1225" s="48">
        <f ca="1">IF(AND(CX1225=$DF$1,CX1225&lt;&gt;""),0,IF(AND(DB1225&lt;&gt;"",OR(DB1224&lt;&gt;"",DB1226&lt;&gt;"")),MAX($DF$2:DF1224)+1,0))</f>
        <v>0</v>
      </c>
    </row>
    <row r="1226" spans="102:110" x14ac:dyDescent="0.3">
      <c r="CX1226" s="48">
        <f t="shared" ref="CX1226:CX1236" ca="1" si="1347">$FF$97</f>
        <v>95</v>
      </c>
      <c r="CY1226" s="48" t="str">
        <f t="shared" ca="1" si="1346"/>
        <v>MASTRO</v>
      </c>
      <c r="DA1226" s="48" t="str">
        <f ca="1">IF(DB1225="","","Num. riga")</f>
        <v/>
      </c>
      <c r="DB1226" s="48" t="str">
        <f t="shared" ref="DB1226" ca="1" si="1348">IF(DB1225="","","Data")</f>
        <v/>
      </c>
      <c r="DC1226" s="48" t="str">
        <f ca="1">IF(DB1225="","","Operazioni")</f>
        <v/>
      </c>
      <c r="DD1226" s="48" t="str">
        <f ca="1">IF(DB1225="","","Dare        ")</f>
        <v/>
      </c>
      <c r="DE1226" s="48" t="str">
        <f ca="1">IF(DB1225="","","Avere        ")</f>
        <v/>
      </c>
      <c r="DF1226" s="48">
        <f ca="1">IF(AND(CX1226=$DF$1,CX1226&lt;&gt;""),0,IF(AND(DB1226&lt;&gt;"",OR(DB1225&lt;&gt;"",DB1227&lt;&gt;"")),MAX($DF$2:DF1225)+1,0))</f>
        <v>0</v>
      </c>
    </row>
    <row r="1227" spans="102:110" x14ac:dyDescent="0.3">
      <c r="CX1227" s="48">
        <f t="shared" ca="1" si="1347"/>
        <v>95</v>
      </c>
      <c r="CY1227" s="48" t="str">
        <f t="shared" ca="1" si="1346"/>
        <v>MASTRO</v>
      </c>
      <c r="CZ1227" s="48" t="e">
        <f t="shared" ref="CZ1227:CZ1236" ca="1" si="1349">SUM(MATCH($CY1227,INDIRECT(ADDRESS(SUM(CZ1226)+3,54)&amp;":"&amp;ADDRESS(400,54)),0),CZ1226)</f>
        <v>#N/A</v>
      </c>
      <c r="DA1227" s="48" t="str">
        <f ca="1">IFERROR(INDEX(LIBRO_GIORNALE,CZ1227,1),"")</f>
        <v/>
      </c>
      <c r="DB1227" s="48" t="str">
        <f t="shared" ca="1" si="1322"/>
        <v/>
      </c>
      <c r="DC1227" s="48" t="str">
        <f t="shared" ref="DC1227:DC1236" ca="1" si="1350">IF(IFERROR(INDEX(LIBRO_GIORNALE,CZ1227,4),"")=0,"manca la descrizione dell'operazione",IFERROR(INDEX(LIBRO_GIORNALE,CZ1227,4),""))</f>
        <v/>
      </c>
      <c r="DD1227" s="48" t="str">
        <f t="shared" ref="DD1227:DD1236" ca="1" si="1351">IFERROR(IF(INDEX(LIBRO_GIORNALE,CZ1227,5)&gt;0,INDEX(LIBRO_GIORNALE,CZ1227,5),""),"")</f>
        <v/>
      </c>
      <c r="DE1227" s="48" t="str">
        <f t="shared" ref="DE1227:DE1236" ca="1" si="1352">IFERROR(IF(INDEX(LIBRO_GIORNALE,CZ1227,6)&gt;0,INDEX(LIBRO_GIORNALE,CZ1227,6),""),"")</f>
        <v/>
      </c>
      <c r="DF1227" s="48">
        <f ca="1">IF(AND(CX1227=$DF$1,CX1227&lt;&gt;""),0,IF(AND(DB1227&lt;&gt;"",OR(DB1226&lt;&gt;"",DB1228&lt;&gt;"")),MAX($DF$2:DF1226)+1,0))</f>
        <v>0</v>
      </c>
    </row>
    <row r="1228" spans="102:110" x14ac:dyDescent="0.3">
      <c r="CX1228" s="48">
        <f t="shared" ca="1" si="1347"/>
        <v>95</v>
      </c>
      <c r="CY1228" s="48" t="str">
        <f t="shared" ca="1" si="1346"/>
        <v>MASTRO</v>
      </c>
      <c r="CZ1228" s="48" t="e">
        <f t="shared" ca="1" si="1349"/>
        <v>#N/A</v>
      </c>
      <c r="DA1228" s="48" t="str">
        <f t="shared" ref="DA1228:DA1236" ca="1" si="1353">IFERROR(INDEX(LIBRO_GIORNALE,CZ1228,1),"")</f>
        <v/>
      </c>
      <c r="DB1228" s="48" t="str">
        <f t="shared" ca="1" si="1322"/>
        <v/>
      </c>
      <c r="DC1228" s="48" t="str">
        <f t="shared" ca="1" si="1350"/>
        <v/>
      </c>
      <c r="DD1228" s="48" t="str">
        <f t="shared" ca="1" si="1351"/>
        <v/>
      </c>
      <c r="DE1228" s="48" t="str">
        <f t="shared" ca="1" si="1352"/>
        <v/>
      </c>
      <c r="DF1228" s="48">
        <f ca="1">IF(AND(CX1228=$DF$1,CX1228&lt;&gt;""),0,IF(AND(DB1228&lt;&gt;"",OR(DB1227&lt;&gt;"",DB1229&lt;&gt;"")),MAX($DF$2:DF1227)+1,0))</f>
        <v>0</v>
      </c>
    </row>
    <row r="1229" spans="102:110" x14ac:dyDescent="0.3">
      <c r="CX1229" s="48">
        <f t="shared" ca="1" si="1347"/>
        <v>95</v>
      </c>
      <c r="CY1229" s="48" t="str">
        <f t="shared" ca="1" si="1346"/>
        <v>MASTRO</v>
      </c>
      <c r="CZ1229" s="48" t="e">
        <f t="shared" ca="1" si="1349"/>
        <v>#N/A</v>
      </c>
      <c r="DA1229" s="48" t="str">
        <f t="shared" ca="1" si="1353"/>
        <v/>
      </c>
      <c r="DB1229" s="48" t="str">
        <f t="shared" ca="1" si="1322"/>
        <v/>
      </c>
      <c r="DC1229" s="48" t="str">
        <f t="shared" ca="1" si="1350"/>
        <v/>
      </c>
      <c r="DD1229" s="48" t="str">
        <f t="shared" ca="1" si="1351"/>
        <v/>
      </c>
      <c r="DE1229" s="48" t="str">
        <f t="shared" ca="1" si="1352"/>
        <v/>
      </c>
      <c r="DF1229" s="48">
        <f ca="1">IF(AND(CX1229=$DF$1,CX1229&lt;&gt;""),0,IF(AND(DB1229&lt;&gt;"",OR(DB1228&lt;&gt;"",DB1230&lt;&gt;"")),MAX($DF$2:DF1228)+1,0))</f>
        <v>0</v>
      </c>
    </row>
    <row r="1230" spans="102:110" x14ac:dyDescent="0.3">
      <c r="CX1230" s="48">
        <f t="shared" ca="1" si="1347"/>
        <v>95</v>
      </c>
      <c r="CY1230" s="48" t="str">
        <f t="shared" ca="1" si="1346"/>
        <v>MASTRO</v>
      </c>
      <c r="CZ1230" s="48" t="e">
        <f t="shared" ca="1" si="1349"/>
        <v>#N/A</v>
      </c>
      <c r="DA1230" s="48" t="str">
        <f t="shared" ca="1" si="1353"/>
        <v/>
      </c>
      <c r="DB1230" s="48" t="str">
        <f t="shared" ca="1" si="1322"/>
        <v/>
      </c>
      <c r="DC1230" s="48" t="str">
        <f t="shared" ca="1" si="1350"/>
        <v/>
      </c>
      <c r="DD1230" s="48" t="str">
        <f t="shared" ca="1" si="1351"/>
        <v/>
      </c>
      <c r="DE1230" s="48" t="str">
        <f t="shared" ca="1" si="1352"/>
        <v/>
      </c>
      <c r="DF1230" s="48">
        <f ca="1">IF(AND(CX1230=$DF$1,CX1230&lt;&gt;""),0,IF(AND(DB1230&lt;&gt;"",OR(DB1229&lt;&gt;"",DB1231&lt;&gt;"")),MAX($DF$2:DF1229)+1,0))</f>
        <v>0</v>
      </c>
    </row>
    <row r="1231" spans="102:110" x14ac:dyDescent="0.3">
      <c r="CX1231" s="48">
        <f t="shared" ca="1" si="1347"/>
        <v>95</v>
      </c>
      <c r="CY1231" s="48" t="str">
        <f t="shared" ca="1" si="1346"/>
        <v>MASTRO</v>
      </c>
      <c r="CZ1231" s="48" t="e">
        <f t="shared" ca="1" si="1349"/>
        <v>#N/A</v>
      </c>
      <c r="DA1231" s="48" t="str">
        <f t="shared" ca="1" si="1353"/>
        <v/>
      </c>
      <c r="DB1231" s="48" t="str">
        <f t="shared" ca="1" si="1322"/>
        <v/>
      </c>
      <c r="DC1231" s="48" t="str">
        <f t="shared" ca="1" si="1350"/>
        <v/>
      </c>
      <c r="DD1231" s="48" t="str">
        <f t="shared" ca="1" si="1351"/>
        <v/>
      </c>
      <c r="DE1231" s="48" t="str">
        <f t="shared" ca="1" si="1352"/>
        <v/>
      </c>
      <c r="DF1231" s="48">
        <f ca="1">IF(AND(CX1231=$DF$1,CX1231&lt;&gt;""),0,IF(AND(DB1231&lt;&gt;"",OR(DB1230&lt;&gt;"",DB1232&lt;&gt;"")),MAX($DF$2:DF1230)+1,0))</f>
        <v>0</v>
      </c>
    </row>
    <row r="1232" spans="102:110" x14ac:dyDescent="0.3">
      <c r="CX1232" s="48">
        <f t="shared" ca="1" si="1347"/>
        <v>95</v>
      </c>
      <c r="CY1232" s="48" t="str">
        <f t="shared" ca="1" si="1346"/>
        <v>MASTRO</v>
      </c>
      <c r="CZ1232" s="48" t="e">
        <f t="shared" ca="1" si="1349"/>
        <v>#N/A</v>
      </c>
      <c r="DA1232" s="48" t="str">
        <f t="shared" ca="1" si="1353"/>
        <v/>
      </c>
      <c r="DB1232" s="48" t="str">
        <f t="shared" ca="1" si="1322"/>
        <v/>
      </c>
      <c r="DC1232" s="48" t="str">
        <f t="shared" ca="1" si="1350"/>
        <v/>
      </c>
      <c r="DD1232" s="48" t="str">
        <f t="shared" ca="1" si="1351"/>
        <v/>
      </c>
      <c r="DE1232" s="48" t="str">
        <f t="shared" ca="1" si="1352"/>
        <v/>
      </c>
      <c r="DF1232" s="48">
        <f ca="1">IF(AND(CX1232=$DF$1,CX1232&lt;&gt;""),0,IF(AND(DB1232&lt;&gt;"",OR(DB1231&lt;&gt;"",DB1233&lt;&gt;"")),MAX($DF$2:DF1231)+1,0))</f>
        <v>0</v>
      </c>
    </row>
    <row r="1233" spans="102:110" x14ac:dyDescent="0.3">
      <c r="CX1233" s="48">
        <f t="shared" ca="1" si="1347"/>
        <v>95</v>
      </c>
      <c r="CY1233" s="48" t="str">
        <f t="shared" ca="1" si="1346"/>
        <v>MASTRO</v>
      </c>
      <c r="CZ1233" s="48" t="e">
        <f t="shared" ca="1" si="1349"/>
        <v>#N/A</v>
      </c>
      <c r="DA1233" s="48" t="str">
        <f t="shared" ca="1" si="1353"/>
        <v/>
      </c>
      <c r="DB1233" s="48" t="str">
        <f t="shared" ca="1" si="1322"/>
        <v/>
      </c>
      <c r="DC1233" s="48" t="str">
        <f t="shared" ca="1" si="1350"/>
        <v/>
      </c>
      <c r="DD1233" s="48" t="str">
        <f t="shared" ca="1" si="1351"/>
        <v/>
      </c>
      <c r="DE1233" s="48" t="str">
        <f t="shared" ca="1" si="1352"/>
        <v/>
      </c>
      <c r="DF1233" s="48">
        <f ca="1">IF(AND(CX1233=$DF$1,CX1233&lt;&gt;""),0,IF(AND(DB1233&lt;&gt;"",OR(DB1232&lt;&gt;"",DB1234&lt;&gt;"")),MAX($DF$2:DF1232)+1,0))</f>
        <v>0</v>
      </c>
    </row>
    <row r="1234" spans="102:110" x14ac:dyDescent="0.3">
      <c r="CX1234" s="48">
        <f t="shared" ca="1" si="1347"/>
        <v>95</v>
      </c>
      <c r="CY1234" s="48" t="str">
        <f t="shared" ca="1" si="1346"/>
        <v>MASTRO</v>
      </c>
      <c r="CZ1234" s="48" t="e">
        <f t="shared" ca="1" si="1349"/>
        <v>#N/A</v>
      </c>
      <c r="DA1234" s="48" t="str">
        <f t="shared" ca="1" si="1353"/>
        <v/>
      </c>
      <c r="DB1234" s="48" t="str">
        <f t="shared" ca="1" si="1322"/>
        <v/>
      </c>
      <c r="DC1234" s="48" t="str">
        <f t="shared" ca="1" si="1350"/>
        <v/>
      </c>
      <c r="DD1234" s="48" t="str">
        <f t="shared" ca="1" si="1351"/>
        <v/>
      </c>
      <c r="DE1234" s="48" t="str">
        <f t="shared" ca="1" si="1352"/>
        <v/>
      </c>
      <c r="DF1234" s="48">
        <f ca="1">IF(AND(CX1234=$DF$1,CX1234&lt;&gt;""),0,IF(AND(DB1234&lt;&gt;"",OR(DB1233&lt;&gt;"",DB1235&lt;&gt;"")),MAX($DF$2:DF1233)+1,0))</f>
        <v>0</v>
      </c>
    </row>
    <row r="1235" spans="102:110" x14ac:dyDescent="0.3">
      <c r="CX1235" s="48">
        <f t="shared" ca="1" si="1347"/>
        <v>95</v>
      </c>
      <c r="CY1235" s="48" t="str">
        <f t="shared" ca="1" si="1346"/>
        <v>MASTRO</v>
      </c>
      <c r="CZ1235" s="48" t="e">
        <f t="shared" ca="1" si="1349"/>
        <v>#N/A</v>
      </c>
      <c r="DA1235" s="48" t="str">
        <f t="shared" ca="1" si="1353"/>
        <v/>
      </c>
      <c r="DB1235" s="48" t="str">
        <f t="shared" ca="1" si="1322"/>
        <v/>
      </c>
      <c r="DC1235" s="48" t="str">
        <f t="shared" ca="1" si="1350"/>
        <v/>
      </c>
      <c r="DD1235" s="48" t="str">
        <f t="shared" ca="1" si="1351"/>
        <v/>
      </c>
      <c r="DE1235" s="48" t="str">
        <f t="shared" ca="1" si="1352"/>
        <v/>
      </c>
      <c r="DF1235" s="48">
        <f ca="1">IF(AND(CX1235=$DF$1,CX1235&lt;&gt;""),0,IF(AND(DB1235&lt;&gt;"",OR(DB1234&lt;&gt;"",DB1236&lt;&gt;"")),MAX($DF$2:DF1234)+1,0))</f>
        <v>0</v>
      </c>
    </row>
    <row r="1236" spans="102:110" x14ac:dyDescent="0.3">
      <c r="CX1236" s="48">
        <f t="shared" ca="1" si="1347"/>
        <v>95</v>
      </c>
      <c r="CY1236" s="48" t="str">
        <f t="shared" ca="1" si="1346"/>
        <v>MASTRO</v>
      </c>
      <c r="CZ1236" s="48" t="e">
        <f t="shared" ca="1" si="1349"/>
        <v>#N/A</v>
      </c>
      <c r="DA1236" s="48" t="str">
        <f t="shared" ca="1" si="1353"/>
        <v/>
      </c>
      <c r="DB1236" s="48" t="str">
        <f t="shared" ca="1" si="1322"/>
        <v/>
      </c>
      <c r="DC1236" s="48" t="str">
        <f t="shared" ca="1" si="1350"/>
        <v/>
      </c>
      <c r="DD1236" s="48" t="str">
        <f t="shared" ca="1" si="1351"/>
        <v/>
      </c>
      <c r="DE1236" s="48" t="str">
        <f t="shared" ca="1" si="1352"/>
        <v/>
      </c>
      <c r="DF1236" s="48">
        <f ca="1">IF(AND(CX1236=$DF$1,CX1236&lt;&gt;""),0,IF(AND(DB1236&lt;&gt;"",OR(DB1235&lt;&gt;"",DB1237&lt;&gt;"")),MAX($DF$2:DF1235)+1,0))</f>
        <v>0</v>
      </c>
    </row>
    <row r="1237" spans="102:110" x14ac:dyDescent="0.3">
      <c r="CY1237" s="48" t="s">
        <v>500</v>
      </c>
      <c r="DB1237" s="48" t="str">
        <f t="shared" ref="DB1237" ca="1" si="1354">IF(CX1236=$DF$1,"","MASTRO")</f>
        <v>MASTRO</v>
      </c>
      <c r="DF1237" s="48">
        <f ca="1">IF(AND(CX1237=$DF$1,CX1237&lt;&gt;""),0,IF(AND(DB1237&lt;&gt;"",OR(DB1236&lt;&gt;"",DB1238&lt;&gt;"")),MAX($DF$2:DF1236)+1,0))</f>
        <v>0</v>
      </c>
    </row>
    <row r="1238" spans="102:110" x14ac:dyDescent="0.3">
      <c r="CX1238" s="48">
        <f ca="1">$FF$98</f>
        <v>96</v>
      </c>
      <c r="CY1238" s="48" t="str">
        <f t="shared" ref="CY1238:CY1249" ca="1" si="1355">IF(ISERROR(INDEX($CV$3:$CX$1302,MATCH(CX1238,$CW$3:$CW$1302,0),1)),"MASTRO",INDEX($CV$3:$CX$1302,MATCH(CX1238,$CW$3:$CW$1302,0),1))</f>
        <v>MASTRO</v>
      </c>
      <c r="DA1238" s="48" t="str">
        <f>IF(CY1237="MASTRO","Conto n.","")</f>
        <v>Conto n.</v>
      </c>
      <c r="DB1238" s="48" t="str">
        <f ca="1">IF(CY1238=0,"",INDEX(PDC,MATCH(DC1238,DEN_PDC,0),1))</f>
        <v/>
      </c>
      <c r="DC1238" s="48" t="str">
        <f ca="1">IF(OR(CY1238=0,CY1238="mastro"),"",CY1238)</f>
        <v/>
      </c>
      <c r="DD1238" s="48" t="str">
        <f ca="1">IF(AND($DA$2=TRUE,OR(INDEX(PDC,MATCH($DC1238,DEN_PDC,0),4)="A",INDEX(PDC,MATCH($DC1238,DEN_PDC,0),4)="D/A"),SUMIFS(AVERE,DEN_G,"="&amp;$DC1238,DATA,"&lt;="&amp;FINE_AC,DATA,"&gt;="&amp;INIZIO_AC)&gt;SUMIFS(DARE,DEN_G,"="&amp;$DC1238,DATA,"&lt;="&amp;FINE_AC,DATA,"&gt;="&amp;INIZIO_AC)),CONCATENATE("s ",FIXED(ABS(SUMIFS(AVERE,DEN_G,"="&amp;$DC1238,DATA,"&lt;="&amp;FINE_AC,DATA,"&gt;="&amp;INIZIO_AC)-SUMIFS(DARE,DEN_G,"="&amp;$DC1238,DATA,"&lt;="&amp;FINE_AC,DATA,"&gt;="&amp;INIZIO_AC)),2)),"")</f>
        <v/>
      </c>
      <c r="DE1238" s="48" t="str">
        <f ca="1">IF(AND($DA$2=TRUE,OR(INDEX(PDC,MATCH($DC1238,DEN_PDC,0),4)="D",INDEX(PDC,MATCH($DC1238,DEN_PDC,0),4)="D/A"),SUMIFS(DARE,DEN_G,"="&amp;$DC1238,DATA,"&lt;="&amp;FINE_AC,DATA,"&gt;="&amp;INIZIO_AC)&gt;SUMIFS(AVERE,DEN_G,"="&amp;$DC1238,DATA,"&lt;="&amp;FINE_AC,DATA,"&gt;="&amp;INIZIO_AC)),CONCATENATE("s ",FIXED(ABS(SUMIFS(DARE,DEN_G,"="&amp;$DC1238,DATA,"&lt;="&amp;FINE_AC,DATA,"&gt;="&amp;INIZIO_AC)-SUMIFS(AVERE,DEN_G,"="&amp;$DC1238,DATA,"&lt;="&amp;FINE_AC,DATA,"&gt;="&amp;INIZIO_AC)),2)),"")</f>
        <v/>
      </c>
      <c r="DF1238" s="48">
        <f ca="1">IF(AND(CX1238=$DF$1,CX1238&lt;&gt;""),0,IF(AND(DB1238&lt;&gt;"",OR(DB1237&lt;&gt;"",DB1239&lt;&gt;"")),MAX($DF$2:DF1237)+1,0))</f>
        <v>0</v>
      </c>
    </row>
    <row r="1239" spans="102:110" x14ac:dyDescent="0.3">
      <c r="CX1239" s="48">
        <f t="shared" ref="CX1239:CX1249" ca="1" si="1356">$FF$98</f>
        <v>96</v>
      </c>
      <c r="CY1239" s="48" t="str">
        <f t="shared" ca="1" si="1355"/>
        <v>MASTRO</v>
      </c>
      <c r="DA1239" s="48" t="str">
        <f ca="1">IF(DB1238="","","Num. riga")</f>
        <v/>
      </c>
      <c r="DB1239" s="48" t="str">
        <f t="shared" ref="DB1239" ca="1" si="1357">IF(DB1238="","","Data")</f>
        <v/>
      </c>
      <c r="DC1239" s="48" t="str">
        <f ca="1">IF(DB1238="","","Operazioni")</f>
        <v/>
      </c>
      <c r="DD1239" s="48" t="str">
        <f ca="1">IF(DB1238="","","Dare        ")</f>
        <v/>
      </c>
      <c r="DE1239" s="48" t="str">
        <f ca="1">IF(DB1238="","","Avere        ")</f>
        <v/>
      </c>
      <c r="DF1239" s="48">
        <f ca="1">IF(AND(CX1239=$DF$1,CX1239&lt;&gt;""),0,IF(AND(DB1239&lt;&gt;"",OR(DB1238&lt;&gt;"",DB1240&lt;&gt;"")),MAX($DF$2:DF1238)+1,0))</f>
        <v>0</v>
      </c>
    </row>
    <row r="1240" spans="102:110" x14ac:dyDescent="0.3">
      <c r="CX1240" s="48">
        <f t="shared" ca="1" si="1356"/>
        <v>96</v>
      </c>
      <c r="CY1240" s="48" t="str">
        <f t="shared" ca="1" si="1355"/>
        <v>MASTRO</v>
      </c>
      <c r="CZ1240" s="48" t="e">
        <f t="shared" ref="CZ1240:CZ1249" ca="1" si="1358">SUM(MATCH($CY1240,INDIRECT(ADDRESS(SUM(CZ1239)+3,54)&amp;":"&amp;ADDRESS(400,54)),0),CZ1239)</f>
        <v>#N/A</v>
      </c>
      <c r="DA1240" s="48" t="str">
        <f ca="1">IFERROR(INDEX(LIBRO_GIORNALE,CZ1240,1),"")</f>
        <v/>
      </c>
      <c r="DB1240" s="48" t="str">
        <f t="shared" ca="1" si="1322"/>
        <v/>
      </c>
      <c r="DC1240" s="48" t="str">
        <f t="shared" ref="DC1240:DC1249" ca="1" si="1359">IF(IFERROR(INDEX(LIBRO_GIORNALE,CZ1240,4),"")=0,"manca la descrizione dell'operazione",IFERROR(INDEX(LIBRO_GIORNALE,CZ1240,4),""))</f>
        <v/>
      </c>
      <c r="DD1240" s="48" t="str">
        <f t="shared" ref="DD1240:DD1249" ca="1" si="1360">IFERROR(IF(INDEX(LIBRO_GIORNALE,CZ1240,5)&gt;0,INDEX(LIBRO_GIORNALE,CZ1240,5),""),"")</f>
        <v/>
      </c>
      <c r="DE1240" s="48" t="str">
        <f t="shared" ref="DE1240:DE1249" ca="1" si="1361">IFERROR(IF(INDEX(LIBRO_GIORNALE,CZ1240,6)&gt;0,INDEX(LIBRO_GIORNALE,CZ1240,6),""),"")</f>
        <v/>
      </c>
      <c r="DF1240" s="48">
        <f ca="1">IF(AND(CX1240=$DF$1,CX1240&lt;&gt;""),0,IF(AND(DB1240&lt;&gt;"",OR(DB1239&lt;&gt;"",DB1241&lt;&gt;"")),MAX($DF$2:DF1239)+1,0))</f>
        <v>0</v>
      </c>
    </row>
    <row r="1241" spans="102:110" x14ac:dyDescent="0.3">
      <c r="CX1241" s="48">
        <f t="shared" ca="1" si="1356"/>
        <v>96</v>
      </c>
      <c r="CY1241" s="48" t="str">
        <f t="shared" ca="1" si="1355"/>
        <v>MASTRO</v>
      </c>
      <c r="CZ1241" s="48" t="e">
        <f t="shared" ca="1" si="1358"/>
        <v>#N/A</v>
      </c>
      <c r="DA1241" s="48" t="str">
        <f t="shared" ref="DA1241:DA1249" ca="1" si="1362">IFERROR(INDEX(LIBRO_GIORNALE,CZ1241,1),"")</f>
        <v/>
      </c>
      <c r="DB1241" s="48" t="str">
        <f t="shared" ca="1" si="1322"/>
        <v/>
      </c>
      <c r="DC1241" s="48" t="str">
        <f t="shared" ca="1" si="1359"/>
        <v/>
      </c>
      <c r="DD1241" s="48" t="str">
        <f t="shared" ca="1" si="1360"/>
        <v/>
      </c>
      <c r="DE1241" s="48" t="str">
        <f t="shared" ca="1" si="1361"/>
        <v/>
      </c>
      <c r="DF1241" s="48">
        <f ca="1">IF(AND(CX1241=$DF$1,CX1241&lt;&gt;""),0,IF(AND(DB1241&lt;&gt;"",OR(DB1240&lt;&gt;"",DB1242&lt;&gt;"")),MAX($DF$2:DF1240)+1,0))</f>
        <v>0</v>
      </c>
    </row>
    <row r="1242" spans="102:110" x14ac:dyDescent="0.3">
      <c r="CX1242" s="48">
        <f t="shared" ca="1" si="1356"/>
        <v>96</v>
      </c>
      <c r="CY1242" s="48" t="str">
        <f t="shared" ca="1" si="1355"/>
        <v>MASTRO</v>
      </c>
      <c r="CZ1242" s="48" t="e">
        <f t="shared" ca="1" si="1358"/>
        <v>#N/A</v>
      </c>
      <c r="DA1242" s="48" t="str">
        <f t="shared" ca="1" si="1362"/>
        <v/>
      </c>
      <c r="DB1242" s="48" t="str">
        <f t="shared" ca="1" si="1322"/>
        <v/>
      </c>
      <c r="DC1242" s="48" t="str">
        <f t="shared" ca="1" si="1359"/>
        <v/>
      </c>
      <c r="DD1242" s="48" t="str">
        <f t="shared" ca="1" si="1360"/>
        <v/>
      </c>
      <c r="DE1242" s="48" t="str">
        <f t="shared" ca="1" si="1361"/>
        <v/>
      </c>
      <c r="DF1242" s="48">
        <f ca="1">IF(AND(CX1242=$DF$1,CX1242&lt;&gt;""),0,IF(AND(DB1242&lt;&gt;"",OR(DB1241&lt;&gt;"",DB1243&lt;&gt;"")),MAX($DF$2:DF1241)+1,0))</f>
        <v>0</v>
      </c>
    </row>
    <row r="1243" spans="102:110" x14ac:dyDescent="0.3">
      <c r="CX1243" s="48">
        <f t="shared" ca="1" si="1356"/>
        <v>96</v>
      </c>
      <c r="CY1243" s="48" t="str">
        <f t="shared" ca="1" si="1355"/>
        <v>MASTRO</v>
      </c>
      <c r="CZ1243" s="48" t="e">
        <f t="shared" ca="1" si="1358"/>
        <v>#N/A</v>
      </c>
      <c r="DA1243" s="48" t="str">
        <f t="shared" ca="1" si="1362"/>
        <v/>
      </c>
      <c r="DB1243" s="48" t="str">
        <f t="shared" ca="1" si="1322"/>
        <v/>
      </c>
      <c r="DC1243" s="48" t="str">
        <f t="shared" ca="1" si="1359"/>
        <v/>
      </c>
      <c r="DD1243" s="48" t="str">
        <f t="shared" ca="1" si="1360"/>
        <v/>
      </c>
      <c r="DE1243" s="48" t="str">
        <f t="shared" ca="1" si="1361"/>
        <v/>
      </c>
      <c r="DF1243" s="48">
        <f ca="1">IF(AND(CX1243=$DF$1,CX1243&lt;&gt;""),0,IF(AND(DB1243&lt;&gt;"",OR(DB1242&lt;&gt;"",DB1244&lt;&gt;"")),MAX($DF$2:DF1242)+1,0))</f>
        <v>0</v>
      </c>
    </row>
    <row r="1244" spans="102:110" x14ac:dyDescent="0.3">
      <c r="CX1244" s="48">
        <f t="shared" ca="1" si="1356"/>
        <v>96</v>
      </c>
      <c r="CY1244" s="48" t="str">
        <f t="shared" ca="1" si="1355"/>
        <v>MASTRO</v>
      </c>
      <c r="CZ1244" s="48" t="e">
        <f t="shared" ca="1" si="1358"/>
        <v>#N/A</v>
      </c>
      <c r="DA1244" s="48" t="str">
        <f t="shared" ca="1" si="1362"/>
        <v/>
      </c>
      <c r="DB1244" s="48" t="str">
        <f t="shared" ca="1" si="1322"/>
        <v/>
      </c>
      <c r="DC1244" s="48" t="str">
        <f t="shared" ca="1" si="1359"/>
        <v/>
      </c>
      <c r="DD1244" s="48" t="str">
        <f t="shared" ca="1" si="1360"/>
        <v/>
      </c>
      <c r="DE1244" s="48" t="str">
        <f t="shared" ca="1" si="1361"/>
        <v/>
      </c>
      <c r="DF1244" s="48">
        <f ca="1">IF(AND(CX1244=$DF$1,CX1244&lt;&gt;""),0,IF(AND(DB1244&lt;&gt;"",OR(DB1243&lt;&gt;"",DB1245&lt;&gt;"")),MAX($DF$2:DF1243)+1,0))</f>
        <v>0</v>
      </c>
    </row>
    <row r="1245" spans="102:110" x14ac:dyDescent="0.3">
      <c r="CX1245" s="48">
        <f t="shared" ca="1" si="1356"/>
        <v>96</v>
      </c>
      <c r="CY1245" s="48" t="str">
        <f t="shared" ca="1" si="1355"/>
        <v>MASTRO</v>
      </c>
      <c r="CZ1245" s="48" t="e">
        <f t="shared" ca="1" si="1358"/>
        <v>#N/A</v>
      </c>
      <c r="DA1245" s="48" t="str">
        <f t="shared" ca="1" si="1362"/>
        <v/>
      </c>
      <c r="DB1245" s="48" t="str">
        <f t="shared" ca="1" si="1322"/>
        <v/>
      </c>
      <c r="DC1245" s="48" t="str">
        <f t="shared" ca="1" si="1359"/>
        <v/>
      </c>
      <c r="DD1245" s="48" t="str">
        <f t="shared" ca="1" si="1360"/>
        <v/>
      </c>
      <c r="DE1245" s="48" t="str">
        <f t="shared" ca="1" si="1361"/>
        <v/>
      </c>
      <c r="DF1245" s="48">
        <f ca="1">IF(AND(CX1245=$DF$1,CX1245&lt;&gt;""),0,IF(AND(DB1245&lt;&gt;"",OR(DB1244&lt;&gt;"",DB1246&lt;&gt;"")),MAX($DF$2:DF1244)+1,0))</f>
        <v>0</v>
      </c>
    </row>
    <row r="1246" spans="102:110" x14ac:dyDescent="0.3">
      <c r="CX1246" s="48">
        <f t="shared" ca="1" si="1356"/>
        <v>96</v>
      </c>
      <c r="CY1246" s="48" t="str">
        <f t="shared" ca="1" si="1355"/>
        <v>MASTRO</v>
      </c>
      <c r="CZ1246" s="48" t="e">
        <f t="shared" ca="1" si="1358"/>
        <v>#N/A</v>
      </c>
      <c r="DA1246" s="48" t="str">
        <f t="shared" ca="1" si="1362"/>
        <v/>
      </c>
      <c r="DB1246" s="48" t="str">
        <f t="shared" ca="1" si="1322"/>
        <v/>
      </c>
      <c r="DC1246" s="48" t="str">
        <f t="shared" ca="1" si="1359"/>
        <v/>
      </c>
      <c r="DD1246" s="48" t="str">
        <f t="shared" ca="1" si="1360"/>
        <v/>
      </c>
      <c r="DE1246" s="48" t="str">
        <f t="shared" ca="1" si="1361"/>
        <v/>
      </c>
      <c r="DF1246" s="48">
        <f ca="1">IF(AND(CX1246=$DF$1,CX1246&lt;&gt;""),0,IF(AND(DB1246&lt;&gt;"",OR(DB1245&lt;&gt;"",DB1247&lt;&gt;"")),MAX($DF$2:DF1245)+1,0))</f>
        <v>0</v>
      </c>
    </row>
    <row r="1247" spans="102:110" x14ac:dyDescent="0.3">
      <c r="CX1247" s="48">
        <f t="shared" ca="1" si="1356"/>
        <v>96</v>
      </c>
      <c r="CY1247" s="48" t="str">
        <f t="shared" ca="1" si="1355"/>
        <v>MASTRO</v>
      </c>
      <c r="CZ1247" s="48" t="e">
        <f t="shared" ca="1" si="1358"/>
        <v>#N/A</v>
      </c>
      <c r="DA1247" s="48" t="str">
        <f t="shared" ca="1" si="1362"/>
        <v/>
      </c>
      <c r="DB1247" s="48" t="str">
        <f t="shared" ca="1" si="1322"/>
        <v/>
      </c>
      <c r="DC1247" s="48" t="str">
        <f t="shared" ca="1" si="1359"/>
        <v/>
      </c>
      <c r="DD1247" s="48" t="str">
        <f t="shared" ca="1" si="1360"/>
        <v/>
      </c>
      <c r="DE1247" s="48" t="str">
        <f t="shared" ca="1" si="1361"/>
        <v/>
      </c>
      <c r="DF1247" s="48">
        <f ca="1">IF(AND(CX1247=$DF$1,CX1247&lt;&gt;""),0,IF(AND(DB1247&lt;&gt;"",OR(DB1246&lt;&gt;"",DB1248&lt;&gt;"")),MAX($DF$2:DF1246)+1,0))</f>
        <v>0</v>
      </c>
    </row>
    <row r="1248" spans="102:110" x14ac:dyDescent="0.3">
      <c r="CX1248" s="48">
        <f t="shared" ca="1" si="1356"/>
        <v>96</v>
      </c>
      <c r="CY1248" s="48" t="str">
        <f t="shared" ca="1" si="1355"/>
        <v>MASTRO</v>
      </c>
      <c r="CZ1248" s="48" t="e">
        <f t="shared" ca="1" si="1358"/>
        <v>#N/A</v>
      </c>
      <c r="DA1248" s="48" t="str">
        <f t="shared" ca="1" si="1362"/>
        <v/>
      </c>
      <c r="DB1248" s="48" t="str">
        <f t="shared" ca="1" si="1322"/>
        <v/>
      </c>
      <c r="DC1248" s="48" t="str">
        <f t="shared" ca="1" si="1359"/>
        <v/>
      </c>
      <c r="DD1248" s="48" t="str">
        <f t="shared" ca="1" si="1360"/>
        <v/>
      </c>
      <c r="DE1248" s="48" t="str">
        <f t="shared" ca="1" si="1361"/>
        <v/>
      </c>
      <c r="DF1248" s="48">
        <f ca="1">IF(AND(CX1248=$DF$1,CX1248&lt;&gt;""),0,IF(AND(DB1248&lt;&gt;"",OR(DB1247&lt;&gt;"",DB1249&lt;&gt;"")),MAX($DF$2:DF1247)+1,0))</f>
        <v>0</v>
      </c>
    </row>
    <row r="1249" spans="102:110" x14ac:dyDescent="0.3">
      <c r="CX1249" s="48">
        <f t="shared" ca="1" si="1356"/>
        <v>96</v>
      </c>
      <c r="CY1249" s="48" t="str">
        <f t="shared" ca="1" si="1355"/>
        <v>MASTRO</v>
      </c>
      <c r="CZ1249" s="48" t="e">
        <f t="shared" ca="1" si="1358"/>
        <v>#N/A</v>
      </c>
      <c r="DA1249" s="48" t="str">
        <f t="shared" ca="1" si="1362"/>
        <v/>
      </c>
      <c r="DB1249" s="48" t="str">
        <f t="shared" ca="1" si="1322"/>
        <v/>
      </c>
      <c r="DC1249" s="48" t="str">
        <f t="shared" ca="1" si="1359"/>
        <v/>
      </c>
      <c r="DD1249" s="48" t="str">
        <f t="shared" ca="1" si="1360"/>
        <v/>
      </c>
      <c r="DE1249" s="48" t="str">
        <f t="shared" ca="1" si="1361"/>
        <v/>
      </c>
      <c r="DF1249" s="48">
        <f ca="1">IF(AND(CX1249=$DF$1,CX1249&lt;&gt;""),0,IF(AND(DB1249&lt;&gt;"",OR(DB1248&lt;&gt;"",DB1250&lt;&gt;"")),MAX($DF$2:DF1248)+1,0))</f>
        <v>0</v>
      </c>
    </row>
    <row r="1250" spans="102:110" x14ac:dyDescent="0.3">
      <c r="CY1250" s="48" t="s">
        <v>500</v>
      </c>
      <c r="DB1250" s="48" t="str">
        <f t="shared" ref="DB1250" ca="1" si="1363">IF(CX1249=$DF$1,"","MASTRO")</f>
        <v>MASTRO</v>
      </c>
      <c r="DF1250" s="48">
        <f ca="1">IF(AND(CX1250=$DF$1,CX1250&lt;&gt;""),0,IF(AND(DB1250&lt;&gt;"",OR(DB1249&lt;&gt;"",DB1251&lt;&gt;"")),MAX($DF$2:DF1249)+1,0))</f>
        <v>0</v>
      </c>
    </row>
    <row r="1251" spans="102:110" x14ac:dyDescent="0.3">
      <c r="CX1251" s="48">
        <f ca="1">$FF$99</f>
        <v>97</v>
      </c>
      <c r="CY1251" s="48" t="str">
        <f t="shared" ref="CY1251:CY1262" ca="1" si="1364">IF(ISERROR(INDEX($CV$3:$CX$1302,MATCH(CX1251,$CW$3:$CW$1302,0),1)),"MASTRO",INDEX($CV$3:$CX$1302,MATCH(CX1251,$CW$3:$CW$1302,0),1))</f>
        <v>MASTRO</v>
      </c>
      <c r="DA1251" s="48" t="str">
        <f>IF(CY1250="MASTRO","Conto n.","")</f>
        <v>Conto n.</v>
      </c>
      <c r="DB1251" s="48" t="str">
        <f ca="1">IF(CY1251=0,"",INDEX(PDC,MATCH(DC1251,DEN_PDC,0),1))</f>
        <v/>
      </c>
      <c r="DC1251" s="48" t="str">
        <f ca="1">IF(OR(CY1251=0,CY1251="mastro"),"",CY1251)</f>
        <v/>
      </c>
      <c r="DD1251" s="48" t="str">
        <f ca="1">IF(AND($DA$2=TRUE,OR(INDEX(PDC,MATCH($DC1251,DEN_PDC,0),4)="A",INDEX(PDC,MATCH($DC1251,DEN_PDC,0),4)="D/A"),SUMIFS(AVERE,DEN_G,"="&amp;$DC1251,DATA,"&lt;="&amp;FINE_AC,DATA,"&gt;="&amp;INIZIO_AC)&gt;SUMIFS(DARE,DEN_G,"="&amp;$DC1251,DATA,"&lt;="&amp;FINE_AC,DATA,"&gt;="&amp;INIZIO_AC)),CONCATENATE("s ",FIXED(ABS(SUMIFS(AVERE,DEN_G,"="&amp;$DC1251,DATA,"&lt;="&amp;FINE_AC,DATA,"&gt;="&amp;INIZIO_AC)-SUMIFS(DARE,DEN_G,"="&amp;$DC1251,DATA,"&lt;="&amp;FINE_AC,DATA,"&gt;="&amp;INIZIO_AC)),2)),"")</f>
        <v/>
      </c>
      <c r="DE1251" s="48" t="str">
        <f ca="1">IF(AND($DA$2=TRUE,OR(INDEX(PDC,MATCH($DC1251,DEN_PDC,0),4)="D",INDEX(PDC,MATCH($DC1251,DEN_PDC,0),4)="D/A"),SUMIFS(DARE,DEN_G,"="&amp;$DC1251,DATA,"&lt;="&amp;FINE_AC,DATA,"&gt;="&amp;INIZIO_AC)&gt;SUMIFS(AVERE,DEN_G,"="&amp;$DC1251,DATA,"&lt;="&amp;FINE_AC,DATA,"&gt;="&amp;INIZIO_AC)),CONCATENATE("s ",FIXED(ABS(SUMIFS(DARE,DEN_G,"="&amp;$DC1251,DATA,"&lt;="&amp;FINE_AC,DATA,"&gt;="&amp;INIZIO_AC)-SUMIFS(AVERE,DEN_G,"="&amp;$DC1251,DATA,"&lt;="&amp;FINE_AC,DATA,"&gt;="&amp;INIZIO_AC)),2)),"")</f>
        <v/>
      </c>
      <c r="DF1251" s="48">
        <f ca="1">IF(AND(CX1251=$DF$1,CX1251&lt;&gt;""),0,IF(AND(DB1251&lt;&gt;"",OR(DB1250&lt;&gt;"",DB1252&lt;&gt;"")),MAX($DF$2:DF1250)+1,0))</f>
        <v>0</v>
      </c>
    </row>
    <row r="1252" spans="102:110" x14ac:dyDescent="0.3">
      <c r="CX1252" s="48">
        <f t="shared" ref="CX1252:CX1262" ca="1" si="1365">$FF$99</f>
        <v>97</v>
      </c>
      <c r="CY1252" s="48" t="str">
        <f t="shared" ca="1" si="1364"/>
        <v>MASTRO</v>
      </c>
      <c r="DA1252" s="48" t="str">
        <f ca="1">IF(DB1251="","","Num. riga")</f>
        <v/>
      </c>
      <c r="DB1252" s="48" t="str">
        <f t="shared" ref="DB1252" ca="1" si="1366">IF(DB1251="","","Data")</f>
        <v/>
      </c>
      <c r="DC1252" s="48" t="str">
        <f ca="1">IF(DB1251="","","Operazioni")</f>
        <v/>
      </c>
      <c r="DD1252" s="48" t="str">
        <f ca="1">IF(DB1251="","","Dare        ")</f>
        <v/>
      </c>
      <c r="DE1252" s="48" t="str">
        <f ca="1">IF(DB1251="","","Avere        ")</f>
        <v/>
      </c>
      <c r="DF1252" s="48">
        <f ca="1">IF(AND(CX1252=$DF$1,CX1252&lt;&gt;""),0,IF(AND(DB1252&lt;&gt;"",OR(DB1251&lt;&gt;"",DB1253&lt;&gt;"")),MAX($DF$2:DF1251)+1,0))</f>
        <v>0</v>
      </c>
    </row>
    <row r="1253" spans="102:110" x14ac:dyDescent="0.3">
      <c r="CX1253" s="48">
        <f t="shared" ca="1" si="1365"/>
        <v>97</v>
      </c>
      <c r="CY1253" s="48" t="str">
        <f t="shared" ca="1" si="1364"/>
        <v>MASTRO</v>
      </c>
      <c r="CZ1253" s="48" t="e">
        <f t="shared" ref="CZ1253:CZ1262" ca="1" si="1367">SUM(MATCH($CY1253,INDIRECT(ADDRESS(SUM(CZ1252)+3,54)&amp;":"&amp;ADDRESS(400,54)),0),CZ1252)</f>
        <v>#N/A</v>
      </c>
      <c r="DA1253" s="48" t="str">
        <f ca="1">IFERROR(INDEX(LIBRO_GIORNALE,CZ1253,1),"")</f>
        <v/>
      </c>
      <c r="DB1253" s="48" t="str">
        <f t="shared" ref="DB1253:DB1301" ca="1" si="1368">IF(RIGHT(TEXT(IFERROR(INDEX(LIBRO_GIORNALE,CZ1253,2),""),"gg/mm/aa"),1)="a",TEXT(IFERROR(INDEX(LIBRO_GIORNALE,CZ1253,2),""),"dd/mm/yy"),TEXT(IFERROR(INDEX(LIBRO_GIORNALE,CZ1253,2),""),"gg/mm/aa"))</f>
        <v/>
      </c>
      <c r="DC1253" s="48" t="str">
        <f t="shared" ref="DC1253:DC1262" ca="1" si="1369">IF(IFERROR(INDEX(LIBRO_GIORNALE,CZ1253,4),"")=0,"manca la descrizione dell'operazione",IFERROR(INDEX(LIBRO_GIORNALE,CZ1253,4),""))</f>
        <v/>
      </c>
      <c r="DD1253" s="48" t="str">
        <f t="shared" ref="DD1253:DD1262" ca="1" si="1370">IFERROR(IF(INDEX(LIBRO_GIORNALE,CZ1253,5)&gt;0,INDEX(LIBRO_GIORNALE,CZ1253,5),""),"")</f>
        <v/>
      </c>
      <c r="DE1253" s="48" t="str">
        <f t="shared" ref="DE1253:DE1262" ca="1" si="1371">IFERROR(IF(INDEX(LIBRO_GIORNALE,CZ1253,6)&gt;0,INDEX(LIBRO_GIORNALE,CZ1253,6),""),"")</f>
        <v/>
      </c>
      <c r="DF1253" s="48">
        <f ca="1">IF(AND(CX1253=$DF$1,CX1253&lt;&gt;""),0,IF(AND(DB1253&lt;&gt;"",OR(DB1252&lt;&gt;"",DB1254&lt;&gt;"")),MAX($DF$2:DF1252)+1,0))</f>
        <v>0</v>
      </c>
    </row>
    <row r="1254" spans="102:110" x14ac:dyDescent="0.3">
      <c r="CX1254" s="48">
        <f t="shared" ca="1" si="1365"/>
        <v>97</v>
      </c>
      <c r="CY1254" s="48" t="str">
        <f t="shared" ca="1" si="1364"/>
        <v>MASTRO</v>
      </c>
      <c r="CZ1254" s="48" t="e">
        <f t="shared" ca="1" si="1367"/>
        <v>#N/A</v>
      </c>
      <c r="DA1254" s="48" t="str">
        <f t="shared" ref="DA1254:DA1262" ca="1" si="1372">IFERROR(INDEX(LIBRO_GIORNALE,CZ1254,1),"")</f>
        <v/>
      </c>
      <c r="DB1254" s="48" t="str">
        <f t="shared" ca="1" si="1368"/>
        <v/>
      </c>
      <c r="DC1254" s="48" t="str">
        <f t="shared" ca="1" si="1369"/>
        <v/>
      </c>
      <c r="DD1254" s="48" t="str">
        <f t="shared" ca="1" si="1370"/>
        <v/>
      </c>
      <c r="DE1254" s="48" t="str">
        <f t="shared" ca="1" si="1371"/>
        <v/>
      </c>
      <c r="DF1254" s="48">
        <f ca="1">IF(AND(CX1254=$DF$1,CX1254&lt;&gt;""),0,IF(AND(DB1254&lt;&gt;"",OR(DB1253&lt;&gt;"",DB1255&lt;&gt;"")),MAX($DF$2:DF1253)+1,0))</f>
        <v>0</v>
      </c>
    </row>
    <row r="1255" spans="102:110" x14ac:dyDescent="0.3">
      <c r="CX1255" s="48">
        <f t="shared" ca="1" si="1365"/>
        <v>97</v>
      </c>
      <c r="CY1255" s="48" t="str">
        <f t="shared" ca="1" si="1364"/>
        <v>MASTRO</v>
      </c>
      <c r="CZ1255" s="48" t="e">
        <f t="shared" ca="1" si="1367"/>
        <v>#N/A</v>
      </c>
      <c r="DA1255" s="48" t="str">
        <f t="shared" ca="1" si="1372"/>
        <v/>
      </c>
      <c r="DB1255" s="48" t="str">
        <f t="shared" ca="1" si="1368"/>
        <v/>
      </c>
      <c r="DC1255" s="48" t="str">
        <f t="shared" ca="1" si="1369"/>
        <v/>
      </c>
      <c r="DD1255" s="48" t="str">
        <f t="shared" ca="1" si="1370"/>
        <v/>
      </c>
      <c r="DE1255" s="48" t="str">
        <f t="shared" ca="1" si="1371"/>
        <v/>
      </c>
      <c r="DF1255" s="48">
        <f ca="1">IF(AND(CX1255=$DF$1,CX1255&lt;&gt;""),0,IF(AND(DB1255&lt;&gt;"",OR(DB1254&lt;&gt;"",DB1256&lt;&gt;"")),MAX($DF$2:DF1254)+1,0))</f>
        <v>0</v>
      </c>
    </row>
    <row r="1256" spans="102:110" x14ac:dyDescent="0.3">
      <c r="CX1256" s="48">
        <f t="shared" ca="1" si="1365"/>
        <v>97</v>
      </c>
      <c r="CY1256" s="48" t="str">
        <f t="shared" ca="1" si="1364"/>
        <v>MASTRO</v>
      </c>
      <c r="CZ1256" s="48" t="e">
        <f t="shared" ca="1" si="1367"/>
        <v>#N/A</v>
      </c>
      <c r="DA1256" s="48" t="str">
        <f t="shared" ca="1" si="1372"/>
        <v/>
      </c>
      <c r="DB1256" s="48" t="str">
        <f t="shared" ca="1" si="1368"/>
        <v/>
      </c>
      <c r="DC1256" s="48" t="str">
        <f t="shared" ca="1" si="1369"/>
        <v/>
      </c>
      <c r="DD1256" s="48" t="str">
        <f t="shared" ca="1" si="1370"/>
        <v/>
      </c>
      <c r="DE1256" s="48" t="str">
        <f t="shared" ca="1" si="1371"/>
        <v/>
      </c>
      <c r="DF1256" s="48">
        <f ca="1">IF(AND(CX1256=$DF$1,CX1256&lt;&gt;""),0,IF(AND(DB1256&lt;&gt;"",OR(DB1255&lt;&gt;"",DB1257&lt;&gt;"")),MAX($DF$2:DF1255)+1,0))</f>
        <v>0</v>
      </c>
    </row>
    <row r="1257" spans="102:110" x14ac:dyDescent="0.3">
      <c r="CX1257" s="48">
        <f t="shared" ca="1" si="1365"/>
        <v>97</v>
      </c>
      <c r="CY1257" s="48" t="str">
        <f t="shared" ca="1" si="1364"/>
        <v>MASTRO</v>
      </c>
      <c r="CZ1257" s="48" t="e">
        <f t="shared" ca="1" si="1367"/>
        <v>#N/A</v>
      </c>
      <c r="DA1257" s="48" t="str">
        <f t="shared" ca="1" si="1372"/>
        <v/>
      </c>
      <c r="DB1257" s="48" t="str">
        <f t="shared" ca="1" si="1368"/>
        <v/>
      </c>
      <c r="DC1257" s="48" t="str">
        <f t="shared" ca="1" si="1369"/>
        <v/>
      </c>
      <c r="DD1257" s="48" t="str">
        <f t="shared" ca="1" si="1370"/>
        <v/>
      </c>
      <c r="DE1257" s="48" t="str">
        <f t="shared" ca="1" si="1371"/>
        <v/>
      </c>
      <c r="DF1257" s="48">
        <f ca="1">IF(AND(CX1257=$DF$1,CX1257&lt;&gt;""),0,IF(AND(DB1257&lt;&gt;"",OR(DB1256&lt;&gt;"",DB1258&lt;&gt;"")),MAX($DF$2:DF1256)+1,0))</f>
        <v>0</v>
      </c>
    </row>
    <row r="1258" spans="102:110" x14ac:dyDescent="0.3">
      <c r="CX1258" s="48">
        <f t="shared" ca="1" si="1365"/>
        <v>97</v>
      </c>
      <c r="CY1258" s="48" t="str">
        <f t="shared" ca="1" si="1364"/>
        <v>MASTRO</v>
      </c>
      <c r="CZ1258" s="48" t="e">
        <f t="shared" ca="1" si="1367"/>
        <v>#N/A</v>
      </c>
      <c r="DA1258" s="48" t="str">
        <f t="shared" ca="1" si="1372"/>
        <v/>
      </c>
      <c r="DB1258" s="48" t="str">
        <f t="shared" ca="1" si="1368"/>
        <v/>
      </c>
      <c r="DC1258" s="48" t="str">
        <f t="shared" ca="1" si="1369"/>
        <v/>
      </c>
      <c r="DD1258" s="48" t="str">
        <f t="shared" ca="1" si="1370"/>
        <v/>
      </c>
      <c r="DE1258" s="48" t="str">
        <f t="shared" ca="1" si="1371"/>
        <v/>
      </c>
      <c r="DF1258" s="48">
        <f ca="1">IF(AND(CX1258=$DF$1,CX1258&lt;&gt;""),0,IF(AND(DB1258&lt;&gt;"",OR(DB1257&lt;&gt;"",DB1259&lt;&gt;"")),MAX($DF$2:DF1257)+1,0))</f>
        <v>0</v>
      </c>
    </row>
    <row r="1259" spans="102:110" x14ac:dyDescent="0.3">
      <c r="CX1259" s="48">
        <f t="shared" ca="1" si="1365"/>
        <v>97</v>
      </c>
      <c r="CY1259" s="48" t="str">
        <f t="shared" ca="1" si="1364"/>
        <v>MASTRO</v>
      </c>
      <c r="CZ1259" s="48" t="e">
        <f t="shared" ca="1" si="1367"/>
        <v>#N/A</v>
      </c>
      <c r="DA1259" s="48" t="str">
        <f t="shared" ca="1" si="1372"/>
        <v/>
      </c>
      <c r="DB1259" s="48" t="str">
        <f t="shared" ca="1" si="1368"/>
        <v/>
      </c>
      <c r="DC1259" s="48" t="str">
        <f t="shared" ca="1" si="1369"/>
        <v/>
      </c>
      <c r="DD1259" s="48" t="str">
        <f t="shared" ca="1" si="1370"/>
        <v/>
      </c>
      <c r="DE1259" s="48" t="str">
        <f t="shared" ca="1" si="1371"/>
        <v/>
      </c>
      <c r="DF1259" s="48">
        <f ca="1">IF(AND(CX1259=$DF$1,CX1259&lt;&gt;""),0,IF(AND(DB1259&lt;&gt;"",OR(DB1258&lt;&gt;"",DB1260&lt;&gt;"")),MAX($DF$2:DF1258)+1,0))</f>
        <v>0</v>
      </c>
    </row>
    <row r="1260" spans="102:110" x14ac:dyDescent="0.3">
      <c r="CX1260" s="48">
        <f t="shared" ca="1" si="1365"/>
        <v>97</v>
      </c>
      <c r="CY1260" s="48" t="str">
        <f t="shared" ca="1" si="1364"/>
        <v>MASTRO</v>
      </c>
      <c r="CZ1260" s="48" t="e">
        <f t="shared" ca="1" si="1367"/>
        <v>#N/A</v>
      </c>
      <c r="DA1260" s="48" t="str">
        <f t="shared" ca="1" si="1372"/>
        <v/>
      </c>
      <c r="DB1260" s="48" t="str">
        <f t="shared" ca="1" si="1368"/>
        <v/>
      </c>
      <c r="DC1260" s="48" t="str">
        <f t="shared" ca="1" si="1369"/>
        <v/>
      </c>
      <c r="DD1260" s="48" t="str">
        <f t="shared" ca="1" si="1370"/>
        <v/>
      </c>
      <c r="DE1260" s="48" t="str">
        <f t="shared" ca="1" si="1371"/>
        <v/>
      </c>
      <c r="DF1260" s="48">
        <f ca="1">IF(AND(CX1260=$DF$1,CX1260&lt;&gt;""),0,IF(AND(DB1260&lt;&gt;"",OR(DB1259&lt;&gt;"",DB1261&lt;&gt;"")),MAX($DF$2:DF1259)+1,0))</f>
        <v>0</v>
      </c>
    </row>
    <row r="1261" spans="102:110" x14ac:dyDescent="0.3">
      <c r="CX1261" s="48">
        <f t="shared" ca="1" si="1365"/>
        <v>97</v>
      </c>
      <c r="CY1261" s="48" t="str">
        <f t="shared" ca="1" si="1364"/>
        <v>MASTRO</v>
      </c>
      <c r="CZ1261" s="48" t="e">
        <f t="shared" ca="1" si="1367"/>
        <v>#N/A</v>
      </c>
      <c r="DA1261" s="48" t="str">
        <f t="shared" ca="1" si="1372"/>
        <v/>
      </c>
      <c r="DB1261" s="48" t="str">
        <f t="shared" ca="1" si="1368"/>
        <v/>
      </c>
      <c r="DC1261" s="48" t="str">
        <f t="shared" ca="1" si="1369"/>
        <v/>
      </c>
      <c r="DD1261" s="48" t="str">
        <f t="shared" ca="1" si="1370"/>
        <v/>
      </c>
      <c r="DE1261" s="48" t="str">
        <f t="shared" ca="1" si="1371"/>
        <v/>
      </c>
      <c r="DF1261" s="48">
        <f ca="1">IF(AND(CX1261=$DF$1,CX1261&lt;&gt;""),0,IF(AND(DB1261&lt;&gt;"",OR(DB1260&lt;&gt;"",DB1262&lt;&gt;"")),MAX($DF$2:DF1260)+1,0))</f>
        <v>0</v>
      </c>
    </row>
    <row r="1262" spans="102:110" x14ac:dyDescent="0.3">
      <c r="CX1262" s="48">
        <f t="shared" ca="1" si="1365"/>
        <v>97</v>
      </c>
      <c r="CY1262" s="48" t="str">
        <f t="shared" ca="1" si="1364"/>
        <v>MASTRO</v>
      </c>
      <c r="CZ1262" s="48" t="e">
        <f t="shared" ca="1" si="1367"/>
        <v>#N/A</v>
      </c>
      <c r="DA1262" s="48" t="str">
        <f t="shared" ca="1" si="1372"/>
        <v/>
      </c>
      <c r="DB1262" s="48" t="str">
        <f t="shared" ca="1" si="1368"/>
        <v/>
      </c>
      <c r="DC1262" s="48" t="str">
        <f t="shared" ca="1" si="1369"/>
        <v/>
      </c>
      <c r="DD1262" s="48" t="str">
        <f t="shared" ca="1" si="1370"/>
        <v/>
      </c>
      <c r="DE1262" s="48" t="str">
        <f t="shared" ca="1" si="1371"/>
        <v/>
      </c>
      <c r="DF1262" s="48">
        <f ca="1">IF(AND(CX1262=$DF$1,CX1262&lt;&gt;""),0,IF(AND(DB1262&lt;&gt;"",OR(DB1261&lt;&gt;"",DB1263&lt;&gt;"")),MAX($DF$2:DF1261)+1,0))</f>
        <v>0</v>
      </c>
    </row>
    <row r="1263" spans="102:110" x14ac:dyDescent="0.3">
      <c r="CY1263" s="48" t="s">
        <v>500</v>
      </c>
      <c r="DB1263" s="48" t="str">
        <f t="shared" ref="DB1263" ca="1" si="1373">IF(CX1262=$DF$1,"","MASTRO")</f>
        <v>MASTRO</v>
      </c>
      <c r="DF1263" s="48">
        <f ca="1">IF(AND(CX1263=$DF$1,CX1263&lt;&gt;""),0,IF(AND(DB1263&lt;&gt;"",OR(DB1262&lt;&gt;"",DB1264&lt;&gt;"")),MAX($DF$2:DF1262)+1,0))</f>
        <v>0</v>
      </c>
    </row>
    <row r="1264" spans="102:110" x14ac:dyDescent="0.3">
      <c r="CX1264" s="48">
        <f ca="1">$FF$100</f>
        <v>98</v>
      </c>
      <c r="CY1264" s="48" t="str">
        <f t="shared" ref="CY1264:CY1275" ca="1" si="1374">IF(ISERROR(INDEX($CV$3:$CX$1302,MATCH(CX1264,$CW$3:$CW$1302,0),1)),"MASTRO",INDEX($CV$3:$CX$1302,MATCH(CX1264,$CW$3:$CW$1302,0),1))</f>
        <v>MASTRO</v>
      </c>
      <c r="DA1264" s="48" t="str">
        <f>IF(CY1263="MASTRO","Conto n.","")</f>
        <v>Conto n.</v>
      </c>
      <c r="DB1264" s="48" t="str">
        <f ca="1">IF(CY1264=0,"",INDEX(PDC,MATCH(DC1264,DEN_PDC,0),1))</f>
        <v/>
      </c>
      <c r="DC1264" s="48" t="str">
        <f ca="1">IF(OR(CY1264=0,CY1264="mastro"),"",CY1264)</f>
        <v/>
      </c>
      <c r="DD1264" s="48" t="str">
        <f ca="1">IF(AND($DA$2=TRUE,OR(INDEX(PDC,MATCH($DC1264,DEN_PDC,0),4)="A",INDEX(PDC,MATCH($DC1264,DEN_PDC,0),4)="D/A"),SUMIFS(AVERE,DEN_G,"="&amp;$DC1264,DATA,"&lt;="&amp;FINE_AC,DATA,"&gt;="&amp;INIZIO_AC)&gt;SUMIFS(DARE,DEN_G,"="&amp;$DC1264,DATA,"&lt;="&amp;FINE_AC,DATA,"&gt;="&amp;INIZIO_AC)),CONCATENATE("s ",FIXED(ABS(SUMIFS(AVERE,DEN_G,"="&amp;$DC1264,DATA,"&lt;="&amp;FINE_AC,DATA,"&gt;="&amp;INIZIO_AC)-SUMIFS(DARE,DEN_G,"="&amp;$DC1264,DATA,"&lt;="&amp;FINE_AC,DATA,"&gt;="&amp;INIZIO_AC)),2)),"")</f>
        <v/>
      </c>
      <c r="DE1264" s="48" t="str">
        <f ca="1">IF(AND($DA$2=TRUE,OR(INDEX(PDC,MATCH($DC1264,DEN_PDC,0),4)="D",INDEX(PDC,MATCH($DC1264,DEN_PDC,0),4)="D/A"),SUMIFS(DARE,DEN_G,"="&amp;$DC1264,DATA,"&lt;="&amp;FINE_AC,DATA,"&gt;="&amp;INIZIO_AC)&gt;SUMIFS(AVERE,DEN_G,"="&amp;$DC1264,DATA,"&lt;="&amp;FINE_AC,DATA,"&gt;="&amp;INIZIO_AC)),CONCATENATE("s ",FIXED(ABS(SUMIFS(DARE,DEN_G,"="&amp;$DC1264,DATA,"&lt;="&amp;FINE_AC,DATA,"&gt;="&amp;INIZIO_AC)-SUMIFS(AVERE,DEN_G,"="&amp;$DC1264,DATA,"&lt;="&amp;FINE_AC,DATA,"&gt;="&amp;INIZIO_AC)),2)),"")</f>
        <v/>
      </c>
      <c r="DF1264" s="48">
        <f ca="1">IF(AND(CX1264=$DF$1,CX1264&lt;&gt;""),0,IF(AND(DB1264&lt;&gt;"",OR(DB1263&lt;&gt;"",DB1265&lt;&gt;"")),MAX($DF$2:DF1263)+1,0))</f>
        <v>0</v>
      </c>
    </row>
    <row r="1265" spans="102:110" x14ac:dyDescent="0.3">
      <c r="CX1265" s="48">
        <f t="shared" ref="CX1265:CX1275" ca="1" si="1375">$FF$100</f>
        <v>98</v>
      </c>
      <c r="CY1265" s="48" t="str">
        <f t="shared" ca="1" si="1374"/>
        <v>MASTRO</v>
      </c>
      <c r="DA1265" s="48" t="str">
        <f ca="1">IF(DB1264="","","Num. riga")</f>
        <v/>
      </c>
      <c r="DB1265" s="48" t="str">
        <f t="shared" ref="DB1265" ca="1" si="1376">IF(DB1264="","","Data")</f>
        <v/>
      </c>
      <c r="DC1265" s="48" t="str">
        <f ca="1">IF(DB1264="","","Operazioni")</f>
        <v/>
      </c>
      <c r="DD1265" s="48" t="str">
        <f ca="1">IF(DB1264="","","Dare        ")</f>
        <v/>
      </c>
      <c r="DE1265" s="48" t="str">
        <f ca="1">IF(DB1264="","","Avere        ")</f>
        <v/>
      </c>
      <c r="DF1265" s="48">
        <f ca="1">IF(AND(CX1265=$DF$1,CX1265&lt;&gt;""),0,IF(AND(DB1265&lt;&gt;"",OR(DB1264&lt;&gt;"",DB1266&lt;&gt;"")),MAX($DF$2:DF1264)+1,0))</f>
        <v>0</v>
      </c>
    </row>
    <row r="1266" spans="102:110" x14ac:dyDescent="0.3">
      <c r="CX1266" s="48">
        <f t="shared" ca="1" si="1375"/>
        <v>98</v>
      </c>
      <c r="CY1266" s="48" t="str">
        <f t="shared" ca="1" si="1374"/>
        <v>MASTRO</v>
      </c>
      <c r="CZ1266" s="48" t="e">
        <f t="shared" ref="CZ1266:CZ1275" ca="1" si="1377">SUM(MATCH($CY1266,INDIRECT(ADDRESS(SUM(CZ1265)+3,54)&amp;":"&amp;ADDRESS(400,54)),0),CZ1265)</f>
        <v>#N/A</v>
      </c>
      <c r="DA1266" s="48" t="str">
        <f ca="1">IFERROR(INDEX(LIBRO_GIORNALE,CZ1266,1),"")</f>
        <v/>
      </c>
      <c r="DB1266" s="48" t="str">
        <f t="shared" ca="1" si="1368"/>
        <v/>
      </c>
      <c r="DC1266" s="48" t="str">
        <f t="shared" ref="DC1266:DC1275" ca="1" si="1378">IF(IFERROR(INDEX(LIBRO_GIORNALE,CZ1266,4),"")=0,"manca la descrizione dell'operazione",IFERROR(INDEX(LIBRO_GIORNALE,CZ1266,4),""))</f>
        <v/>
      </c>
      <c r="DD1266" s="48" t="str">
        <f t="shared" ref="DD1266:DD1275" ca="1" si="1379">IFERROR(IF(INDEX(LIBRO_GIORNALE,CZ1266,5)&gt;0,INDEX(LIBRO_GIORNALE,CZ1266,5),""),"")</f>
        <v/>
      </c>
      <c r="DE1266" s="48" t="str">
        <f t="shared" ref="DE1266:DE1275" ca="1" si="1380">IFERROR(IF(INDEX(LIBRO_GIORNALE,CZ1266,6)&gt;0,INDEX(LIBRO_GIORNALE,CZ1266,6),""),"")</f>
        <v/>
      </c>
      <c r="DF1266" s="48">
        <f ca="1">IF(AND(CX1266=$DF$1,CX1266&lt;&gt;""),0,IF(AND(DB1266&lt;&gt;"",OR(DB1265&lt;&gt;"",DB1267&lt;&gt;"")),MAX($DF$2:DF1265)+1,0))</f>
        <v>0</v>
      </c>
    </row>
    <row r="1267" spans="102:110" x14ac:dyDescent="0.3">
      <c r="CX1267" s="48">
        <f t="shared" ca="1" si="1375"/>
        <v>98</v>
      </c>
      <c r="CY1267" s="48" t="str">
        <f t="shared" ca="1" si="1374"/>
        <v>MASTRO</v>
      </c>
      <c r="CZ1267" s="48" t="e">
        <f t="shared" ca="1" si="1377"/>
        <v>#N/A</v>
      </c>
      <c r="DA1267" s="48" t="str">
        <f t="shared" ref="DA1267:DA1275" ca="1" si="1381">IFERROR(INDEX(LIBRO_GIORNALE,CZ1267,1),"")</f>
        <v/>
      </c>
      <c r="DB1267" s="48" t="str">
        <f t="shared" ca="1" si="1368"/>
        <v/>
      </c>
      <c r="DC1267" s="48" t="str">
        <f t="shared" ca="1" si="1378"/>
        <v/>
      </c>
      <c r="DD1267" s="48" t="str">
        <f t="shared" ca="1" si="1379"/>
        <v/>
      </c>
      <c r="DE1267" s="48" t="str">
        <f t="shared" ca="1" si="1380"/>
        <v/>
      </c>
      <c r="DF1267" s="48">
        <f ca="1">IF(AND(CX1267=$DF$1,CX1267&lt;&gt;""),0,IF(AND(DB1267&lt;&gt;"",OR(DB1266&lt;&gt;"",DB1268&lt;&gt;"")),MAX($DF$2:DF1266)+1,0))</f>
        <v>0</v>
      </c>
    </row>
    <row r="1268" spans="102:110" x14ac:dyDescent="0.3">
      <c r="CX1268" s="48">
        <f t="shared" ca="1" si="1375"/>
        <v>98</v>
      </c>
      <c r="CY1268" s="48" t="str">
        <f t="shared" ca="1" si="1374"/>
        <v>MASTRO</v>
      </c>
      <c r="CZ1268" s="48" t="e">
        <f t="shared" ca="1" si="1377"/>
        <v>#N/A</v>
      </c>
      <c r="DA1268" s="48" t="str">
        <f t="shared" ca="1" si="1381"/>
        <v/>
      </c>
      <c r="DB1268" s="48" t="str">
        <f t="shared" ca="1" si="1368"/>
        <v/>
      </c>
      <c r="DC1268" s="48" t="str">
        <f t="shared" ca="1" si="1378"/>
        <v/>
      </c>
      <c r="DD1268" s="48" t="str">
        <f t="shared" ca="1" si="1379"/>
        <v/>
      </c>
      <c r="DE1268" s="48" t="str">
        <f t="shared" ca="1" si="1380"/>
        <v/>
      </c>
      <c r="DF1268" s="48">
        <f ca="1">IF(AND(CX1268=$DF$1,CX1268&lt;&gt;""),0,IF(AND(DB1268&lt;&gt;"",OR(DB1267&lt;&gt;"",DB1269&lt;&gt;"")),MAX($DF$2:DF1267)+1,0))</f>
        <v>0</v>
      </c>
    </row>
    <row r="1269" spans="102:110" x14ac:dyDescent="0.3">
      <c r="CX1269" s="48">
        <f t="shared" ca="1" si="1375"/>
        <v>98</v>
      </c>
      <c r="CY1269" s="48" t="str">
        <f t="shared" ca="1" si="1374"/>
        <v>MASTRO</v>
      </c>
      <c r="CZ1269" s="48" t="e">
        <f t="shared" ca="1" si="1377"/>
        <v>#N/A</v>
      </c>
      <c r="DA1269" s="48" t="str">
        <f t="shared" ca="1" si="1381"/>
        <v/>
      </c>
      <c r="DB1269" s="48" t="str">
        <f t="shared" ca="1" si="1368"/>
        <v/>
      </c>
      <c r="DC1269" s="48" t="str">
        <f t="shared" ca="1" si="1378"/>
        <v/>
      </c>
      <c r="DD1269" s="48" t="str">
        <f t="shared" ca="1" si="1379"/>
        <v/>
      </c>
      <c r="DE1269" s="48" t="str">
        <f t="shared" ca="1" si="1380"/>
        <v/>
      </c>
      <c r="DF1269" s="48">
        <f ca="1">IF(AND(CX1269=$DF$1,CX1269&lt;&gt;""),0,IF(AND(DB1269&lt;&gt;"",OR(DB1268&lt;&gt;"",DB1270&lt;&gt;"")),MAX($DF$2:DF1268)+1,0))</f>
        <v>0</v>
      </c>
    </row>
    <row r="1270" spans="102:110" x14ac:dyDescent="0.3">
      <c r="CX1270" s="48">
        <f t="shared" ca="1" si="1375"/>
        <v>98</v>
      </c>
      <c r="CY1270" s="48" t="str">
        <f t="shared" ca="1" si="1374"/>
        <v>MASTRO</v>
      </c>
      <c r="CZ1270" s="48" t="e">
        <f t="shared" ca="1" si="1377"/>
        <v>#N/A</v>
      </c>
      <c r="DA1270" s="48" t="str">
        <f t="shared" ca="1" si="1381"/>
        <v/>
      </c>
      <c r="DB1270" s="48" t="str">
        <f t="shared" ca="1" si="1368"/>
        <v/>
      </c>
      <c r="DC1270" s="48" t="str">
        <f t="shared" ca="1" si="1378"/>
        <v/>
      </c>
      <c r="DD1270" s="48" t="str">
        <f t="shared" ca="1" si="1379"/>
        <v/>
      </c>
      <c r="DE1270" s="48" t="str">
        <f t="shared" ca="1" si="1380"/>
        <v/>
      </c>
      <c r="DF1270" s="48">
        <f ca="1">IF(AND(CX1270=$DF$1,CX1270&lt;&gt;""),0,IF(AND(DB1270&lt;&gt;"",OR(DB1269&lt;&gt;"",DB1271&lt;&gt;"")),MAX($DF$2:DF1269)+1,0))</f>
        <v>0</v>
      </c>
    </row>
    <row r="1271" spans="102:110" x14ac:dyDescent="0.3">
      <c r="CX1271" s="48">
        <f t="shared" ca="1" si="1375"/>
        <v>98</v>
      </c>
      <c r="CY1271" s="48" t="str">
        <f t="shared" ca="1" si="1374"/>
        <v>MASTRO</v>
      </c>
      <c r="CZ1271" s="48" t="e">
        <f t="shared" ca="1" si="1377"/>
        <v>#N/A</v>
      </c>
      <c r="DA1271" s="48" t="str">
        <f t="shared" ca="1" si="1381"/>
        <v/>
      </c>
      <c r="DB1271" s="48" t="str">
        <f t="shared" ca="1" si="1368"/>
        <v/>
      </c>
      <c r="DC1271" s="48" t="str">
        <f t="shared" ca="1" si="1378"/>
        <v/>
      </c>
      <c r="DD1271" s="48" t="str">
        <f t="shared" ca="1" si="1379"/>
        <v/>
      </c>
      <c r="DE1271" s="48" t="str">
        <f t="shared" ca="1" si="1380"/>
        <v/>
      </c>
      <c r="DF1271" s="48">
        <f ca="1">IF(AND(CX1271=$DF$1,CX1271&lt;&gt;""),0,IF(AND(DB1271&lt;&gt;"",OR(DB1270&lt;&gt;"",DB1272&lt;&gt;"")),MAX($DF$2:DF1270)+1,0))</f>
        <v>0</v>
      </c>
    </row>
    <row r="1272" spans="102:110" x14ac:dyDescent="0.3">
      <c r="CX1272" s="48">
        <f t="shared" ca="1" si="1375"/>
        <v>98</v>
      </c>
      <c r="CY1272" s="48" t="str">
        <f t="shared" ca="1" si="1374"/>
        <v>MASTRO</v>
      </c>
      <c r="CZ1272" s="48" t="e">
        <f t="shared" ca="1" si="1377"/>
        <v>#N/A</v>
      </c>
      <c r="DA1272" s="48" t="str">
        <f t="shared" ca="1" si="1381"/>
        <v/>
      </c>
      <c r="DB1272" s="48" t="str">
        <f t="shared" ca="1" si="1368"/>
        <v/>
      </c>
      <c r="DC1272" s="48" t="str">
        <f t="shared" ca="1" si="1378"/>
        <v/>
      </c>
      <c r="DD1272" s="48" t="str">
        <f t="shared" ca="1" si="1379"/>
        <v/>
      </c>
      <c r="DE1272" s="48" t="str">
        <f t="shared" ca="1" si="1380"/>
        <v/>
      </c>
      <c r="DF1272" s="48">
        <f ca="1">IF(AND(CX1272=$DF$1,CX1272&lt;&gt;""),0,IF(AND(DB1272&lt;&gt;"",OR(DB1271&lt;&gt;"",DB1273&lt;&gt;"")),MAX($DF$2:DF1271)+1,0))</f>
        <v>0</v>
      </c>
    </row>
    <row r="1273" spans="102:110" x14ac:dyDescent="0.3">
      <c r="CX1273" s="48">
        <f t="shared" ca="1" si="1375"/>
        <v>98</v>
      </c>
      <c r="CY1273" s="48" t="str">
        <f t="shared" ca="1" si="1374"/>
        <v>MASTRO</v>
      </c>
      <c r="CZ1273" s="48" t="e">
        <f t="shared" ca="1" si="1377"/>
        <v>#N/A</v>
      </c>
      <c r="DA1273" s="48" t="str">
        <f t="shared" ca="1" si="1381"/>
        <v/>
      </c>
      <c r="DB1273" s="48" t="str">
        <f t="shared" ca="1" si="1368"/>
        <v/>
      </c>
      <c r="DC1273" s="48" t="str">
        <f t="shared" ca="1" si="1378"/>
        <v/>
      </c>
      <c r="DD1273" s="48" t="str">
        <f t="shared" ca="1" si="1379"/>
        <v/>
      </c>
      <c r="DE1273" s="48" t="str">
        <f t="shared" ca="1" si="1380"/>
        <v/>
      </c>
      <c r="DF1273" s="48">
        <f ca="1">IF(AND(CX1273=$DF$1,CX1273&lt;&gt;""),0,IF(AND(DB1273&lt;&gt;"",OR(DB1272&lt;&gt;"",DB1274&lt;&gt;"")),MAX($DF$2:DF1272)+1,0))</f>
        <v>0</v>
      </c>
    </row>
    <row r="1274" spans="102:110" x14ac:dyDescent="0.3">
      <c r="CX1274" s="48">
        <f t="shared" ca="1" si="1375"/>
        <v>98</v>
      </c>
      <c r="CY1274" s="48" t="str">
        <f t="shared" ca="1" si="1374"/>
        <v>MASTRO</v>
      </c>
      <c r="CZ1274" s="48" t="e">
        <f t="shared" ca="1" si="1377"/>
        <v>#N/A</v>
      </c>
      <c r="DA1274" s="48" t="str">
        <f t="shared" ca="1" si="1381"/>
        <v/>
      </c>
      <c r="DB1274" s="48" t="str">
        <f t="shared" ca="1" si="1368"/>
        <v/>
      </c>
      <c r="DC1274" s="48" t="str">
        <f t="shared" ca="1" si="1378"/>
        <v/>
      </c>
      <c r="DD1274" s="48" t="str">
        <f t="shared" ca="1" si="1379"/>
        <v/>
      </c>
      <c r="DE1274" s="48" t="str">
        <f t="shared" ca="1" si="1380"/>
        <v/>
      </c>
      <c r="DF1274" s="48">
        <f ca="1">IF(AND(CX1274=$DF$1,CX1274&lt;&gt;""),0,IF(AND(DB1274&lt;&gt;"",OR(DB1273&lt;&gt;"",DB1275&lt;&gt;"")),MAX($DF$2:DF1273)+1,0))</f>
        <v>0</v>
      </c>
    </row>
    <row r="1275" spans="102:110" x14ac:dyDescent="0.3">
      <c r="CX1275" s="48">
        <f t="shared" ca="1" si="1375"/>
        <v>98</v>
      </c>
      <c r="CY1275" s="48" t="str">
        <f t="shared" ca="1" si="1374"/>
        <v>MASTRO</v>
      </c>
      <c r="CZ1275" s="48" t="e">
        <f t="shared" ca="1" si="1377"/>
        <v>#N/A</v>
      </c>
      <c r="DA1275" s="48" t="str">
        <f t="shared" ca="1" si="1381"/>
        <v/>
      </c>
      <c r="DB1275" s="48" t="str">
        <f t="shared" ca="1" si="1368"/>
        <v/>
      </c>
      <c r="DC1275" s="48" t="str">
        <f t="shared" ca="1" si="1378"/>
        <v/>
      </c>
      <c r="DD1275" s="48" t="str">
        <f t="shared" ca="1" si="1379"/>
        <v/>
      </c>
      <c r="DE1275" s="48" t="str">
        <f t="shared" ca="1" si="1380"/>
        <v/>
      </c>
      <c r="DF1275" s="48">
        <f ca="1">IF(AND(CX1275=$DF$1,CX1275&lt;&gt;""),0,IF(AND(DB1275&lt;&gt;"",OR(DB1274&lt;&gt;"",DB1276&lt;&gt;"")),MAX($DF$2:DF1274)+1,0))</f>
        <v>0</v>
      </c>
    </row>
    <row r="1276" spans="102:110" x14ac:dyDescent="0.3">
      <c r="CY1276" s="48" t="s">
        <v>500</v>
      </c>
      <c r="DB1276" s="48" t="str">
        <f t="shared" ref="DB1276" ca="1" si="1382">IF(CX1275=$DF$1,"","MASTRO")</f>
        <v>MASTRO</v>
      </c>
      <c r="DF1276" s="48">
        <f ca="1">IF(AND(CX1276=$DF$1,CX1276&lt;&gt;""),0,IF(AND(DB1276&lt;&gt;"",OR(DB1275&lt;&gt;"",DB1277&lt;&gt;"")),MAX($DF$2:DF1275)+1,0))</f>
        <v>0</v>
      </c>
    </row>
    <row r="1277" spans="102:110" x14ac:dyDescent="0.3">
      <c r="CX1277" s="48">
        <f ca="1">$FF$101</f>
        <v>99</v>
      </c>
      <c r="CY1277" s="48" t="str">
        <f t="shared" ref="CY1277:CY1288" ca="1" si="1383">IF(ISERROR(INDEX($CV$3:$CX$1302,MATCH(CX1277,$CW$3:$CW$1302,0),1)),"MASTRO",INDEX($CV$3:$CX$1302,MATCH(CX1277,$CW$3:$CW$1302,0),1))</f>
        <v>MASTRO</v>
      </c>
      <c r="DA1277" s="48" t="str">
        <f>IF(CY1276="MASTRO","Conto n.","")</f>
        <v>Conto n.</v>
      </c>
      <c r="DB1277" s="48" t="str">
        <f ca="1">IF(CY1277=0,"",INDEX(PDC,MATCH(DC1277,DEN_PDC,0),1))</f>
        <v/>
      </c>
      <c r="DC1277" s="48" t="str">
        <f ca="1">IF(OR(CY1277=0,CY1277="mastro"),"",CY1277)</f>
        <v/>
      </c>
      <c r="DD1277" s="48" t="str">
        <f ca="1">IF(AND($DA$2=TRUE,OR(INDEX(PDC,MATCH($DC1277,DEN_PDC,0),4)="A",INDEX(PDC,MATCH($DC1277,DEN_PDC,0),4)="D/A"),SUMIFS(AVERE,DEN_G,"="&amp;$DC1277,DATA,"&lt;="&amp;FINE_AC,DATA,"&gt;="&amp;INIZIO_AC)&gt;SUMIFS(DARE,DEN_G,"="&amp;$DC1277,DATA,"&lt;="&amp;FINE_AC,DATA,"&gt;="&amp;INIZIO_AC)),CONCATENATE("s ",FIXED(ABS(SUMIFS(AVERE,DEN_G,"="&amp;$DC1277,DATA,"&lt;="&amp;FINE_AC,DATA,"&gt;="&amp;INIZIO_AC)-SUMIFS(DARE,DEN_G,"="&amp;$DC1277,DATA,"&lt;="&amp;FINE_AC,DATA,"&gt;="&amp;INIZIO_AC)),2)),"")</f>
        <v/>
      </c>
      <c r="DE1277" s="48" t="str">
        <f ca="1">IF(AND($DA$2=TRUE,OR(INDEX(PDC,MATCH($DC1277,DEN_PDC,0),4)="D",INDEX(PDC,MATCH($DC1277,DEN_PDC,0),4)="D/A"),SUMIFS(DARE,DEN_G,"="&amp;$DC1277,DATA,"&lt;="&amp;FINE_AC,DATA,"&gt;="&amp;INIZIO_AC)&gt;SUMIFS(AVERE,DEN_G,"="&amp;$DC1277,DATA,"&lt;="&amp;FINE_AC,DATA,"&gt;="&amp;INIZIO_AC)),CONCATENATE("s ",FIXED(ABS(SUMIFS(DARE,DEN_G,"="&amp;$DC1277,DATA,"&lt;="&amp;FINE_AC,DATA,"&gt;="&amp;INIZIO_AC)-SUMIFS(AVERE,DEN_G,"="&amp;$DC1277,DATA,"&lt;="&amp;FINE_AC,DATA,"&gt;="&amp;INIZIO_AC)),2)),"")</f>
        <v/>
      </c>
      <c r="DF1277" s="48">
        <f ca="1">IF(AND(CX1277=$DF$1,CX1277&lt;&gt;""),0,IF(AND(DB1277&lt;&gt;"",OR(DB1276&lt;&gt;"",DB1278&lt;&gt;"")),MAX($DF$2:DF1276)+1,0))</f>
        <v>0</v>
      </c>
    </row>
    <row r="1278" spans="102:110" x14ac:dyDescent="0.3">
      <c r="CX1278" s="48">
        <f t="shared" ref="CX1278:CX1288" ca="1" si="1384">$FF$101</f>
        <v>99</v>
      </c>
      <c r="CY1278" s="48" t="str">
        <f t="shared" ca="1" si="1383"/>
        <v>MASTRO</v>
      </c>
      <c r="DA1278" s="48" t="str">
        <f ca="1">IF(DB1277="","","Num. riga")</f>
        <v/>
      </c>
      <c r="DB1278" s="48" t="str">
        <f t="shared" ref="DB1278" ca="1" si="1385">IF(DB1277="","","Data")</f>
        <v/>
      </c>
      <c r="DC1278" s="48" t="str">
        <f ca="1">IF(DB1277="","","Operazioni")</f>
        <v/>
      </c>
      <c r="DD1278" s="48" t="str">
        <f ca="1">IF(DB1277="","","Dare        ")</f>
        <v/>
      </c>
      <c r="DE1278" s="48" t="str">
        <f ca="1">IF(DB1277="","","Avere        ")</f>
        <v/>
      </c>
      <c r="DF1278" s="48">
        <f ca="1">IF(AND(CX1278=$DF$1,CX1278&lt;&gt;""),0,IF(AND(DB1278&lt;&gt;"",OR(DB1277&lt;&gt;"",DB1279&lt;&gt;"")),MAX($DF$2:DF1277)+1,0))</f>
        <v>0</v>
      </c>
    </row>
    <row r="1279" spans="102:110" x14ac:dyDescent="0.3">
      <c r="CX1279" s="48">
        <f t="shared" ca="1" si="1384"/>
        <v>99</v>
      </c>
      <c r="CY1279" s="48" t="str">
        <f t="shared" ca="1" si="1383"/>
        <v>MASTRO</v>
      </c>
      <c r="CZ1279" s="48" t="e">
        <f t="shared" ref="CZ1279:CZ1288" ca="1" si="1386">SUM(MATCH($CY1279,INDIRECT(ADDRESS(SUM(CZ1278)+3,54)&amp;":"&amp;ADDRESS(400,54)),0),CZ1278)</f>
        <v>#N/A</v>
      </c>
      <c r="DA1279" s="48" t="str">
        <f ca="1">IFERROR(INDEX(LIBRO_GIORNALE,CZ1279,1),"")</f>
        <v/>
      </c>
      <c r="DB1279" s="48" t="str">
        <f t="shared" ca="1" si="1368"/>
        <v/>
      </c>
      <c r="DC1279" s="48" t="str">
        <f t="shared" ref="DC1279:DC1288" ca="1" si="1387">IF(IFERROR(INDEX(LIBRO_GIORNALE,CZ1279,4),"")=0,"manca la descrizione dell'operazione",IFERROR(INDEX(LIBRO_GIORNALE,CZ1279,4),""))</f>
        <v/>
      </c>
      <c r="DD1279" s="48" t="str">
        <f t="shared" ref="DD1279:DD1288" ca="1" si="1388">IFERROR(IF(INDEX(LIBRO_GIORNALE,CZ1279,5)&gt;0,INDEX(LIBRO_GIORNALE,CZ1279,5),""),"")</f>
        <v/>
      </c>
      <c r="DE1279" s="48" t="str">
        <f t="shared" ref="DE1279:DE1288" ca="1" si="1389">IFERROR(IF(INDEX(LIBRO_GIORNALE,CZ1279,6)&gt;0,INDEX(LIBRO_GIORNALE,CZ1279,6),""),"")</f>
        <v/>
      </c>
      <c r="DF1279" s="48">
        <f ca="1">IF(AND(CX1279=$DF$1,CX1279&lt;&gt;""),0,IF(AND(DB1279&lt;&gt;"",OR(DB1278&lt;&gt;"",DB1280&lt;&gt;"")),MAX($DF$2:DF1278)+1,0))</f>
        <v>0</v>
      </c>
    </row>
    <row r="1280" spans="102:110" x14ac:dyDescent="0.3">
      <c r="CX1280" s="48">
        <f t="shared" ca="1" si="1384"/>
        <v>99</v>
      </c>
      <c r="CY1280" s="48" t="str">
        <f t="shared" ca="1" si="1383"/>
        <v>MASTRO</v>
      </c>
      <c r="CZ1280" s="48" t="e">
        <f t="shared" ca="1" si="1386"/>
        <v>#N/A</v>
      </c>
      <c r="DA1280" s="48" t="str">
        <f t="shared" ref="DA1280:DA1288" ca="1" si="1390">IFERROR(INDEX(LIBRO_GIORNALE,CZ1280,1),"")</f>
        <v/>
      </c>
      <c r="DB1280" s="48" t="str">
        <f t="shared" ca="1" si="1368"/>
        <v/>
      </c>
      <c r="DC1280" s="48" t="str">
        <f t="shared" ca="1" si="1387"/>
        <v/>
      </c>
      <c r="DD1280" s="48" t="str">
        <f t="shared" ca="1" si="1388"/>
        <v/>
      </c>
      <c r="DE1280" s="48" t="str">
        <f t="shared" ca="1" si="1389"/>
        <v/>
      </c>
      <c r="DF1280" s="48">
        <f ca="1">IF(AND(CX1280=$DF$1,CX1280&lt;&gt;""),0,IF(AND(DB1280&lt;&gt;"",OR(DB1279&lt;&gt;"",DB1281&lt;&gt;"")),MAX($DF$2:DF1279)+1,0))</f>
        <v>0</v>
      </c>
    </row>
    <row r="1281" spans="102:110" x14ac:dyDescent="0.3">
      <c r="CX1281" s="48">
        <f t="shared" ca="1" si="1384"/>
        <v>99</v>
      </c>
      <c r="CY1281" s="48" t="str">
        <f t="shared" ca="1" si="1383"/>
        <v>MASTRO</v>
      </c>
      <c r="CZ1281" s="48" t="e">
        <f t="shared" ca="1" si="1386"/>
        <v>#N/A</v>
      </c>
      <c r="DA1281" s="48" t="str">
        <f t="shared" ca="1" si="1390"/>
        <v/>
      </c>
      <c r="DB1281" s="48" t="str">
        <f t="shared" ca="1" si="1368"/>
        <v/>
      </c>
      <c r="DC1281" s="48" t="str">
        <f t="shared" ca="1" si="1387"/>
        <v/>
      </c>
      <c r="DD1281" s="48" t="str">
        <f t="shared" ca="1" si="1388"/>
        <v/>
      </c>
      <c r="DE1281" s="48" t="str">
        <f t="shared" ca="1" si="1389"/>
        <v/>
      </c>
      <c r="DF1281" s="48">
        <f ca="1">IF(AND(CX1281=$DF$1,CX1281&lt;&gt;""),0,IF(AND(DB1281&lt;&gt;"",OR(DB1280&lt;&gt;"",DB1282&lt;&gt;"")),MAX($DF$2:DF1280)+1,0))</f>
        <v>0</v>
      </c>
    </row>
    <row r="1282" spans="102:110" x14ac:dyDescent="0.3">
      <c r="CX1282" s="48">
        <f t="shared" ca="1" si="1384"/>
        <v>99</v>
      </c>
      <c r="CY1282" s="48" t="str">
        <f t="shared" ca="1" si="1383"/>
        <v>MASTRO</v>
      </c>
      <c r="CZ1282" s="48" t="e">
        <f t="shared" ca="1" si="1386"/>
        <v>#N/A</v>
      </c>
      <c r="DA1282" s="48" t="str">
        <f t="shared" ca="1" si="1390"/>
        <v/>
      </c>
      <c r="DB1282" s="48" t="str">
        <f t="shared" ca="1" si="1368"/>
        <v/>
      </c>
      <c r="DC1282" s="48" t="str">
        <f t="shared" ca="1" si="1387"/>
        <v/>
      </c>
      <c r="DD1282" s="48" t="str">
        <f t="shared" ca="1" si="1388"/>
        <v/>
      </c>
      <c r="DE1282" s="48" t="str">
        <f t="shared" ca="1" si="1389"/>
        <v/>
      </c>
      <c r="DF1282" s="48">
        <f ca="1">IF(AND(CX1282=$DF$1,CX1282&lt;&gt;""),0,IF(AND(DB1282&lt;&gt;"",OR(DB1281&lt;&gt;"",DB1283&lt;&gt;"")),MAX($DF$2:DF1281)+1,0))</f>
        <v>0</v>
      </c>
    </row>
    <row r="1283" spans="102:110" x14ac:dyDescent="0.3">
      <c r="CX1283" s="48">
        <f t="shared" ca="1" si="1384"/>
        <v>99</v>
      </c>
      <c r="CY1283" s="48" t="str">
        <f t="shared" ca="1" si="1383"/>
        <v>MASTRO</v>
      </c>
      <c r="CZ1283" s="48" t="e">
        <f t="shared" ca="1" si="1386"/>
        <v>#N/A</v>
      </c>
      <c r="DA1283" s="48" t="str">
        <f t="shared" ca="1" si="1390"/>
        <v/>
      </c>
      <c r="DB1283" s="48" t="str">
        <f t="shared" ca="1" si="1368"/>
        <v/>
      </c>
      <c r="DC1283" s="48" t="str">
        <f t="shared" ca="1" si="1387"/>
        <v/>
      </c>
      <c r="DD1283" s="48" t="str">
        <f t="shared" ca="1" si="1388"/>
        <v/>
      </c>
      <c r="DE1283" s="48" t="str">
        <f t="shared" ca="1" si="1389"/>
        <v/>
      </c>
      <c r="DF1283" s="48">
        <f ca="1">IF(AND(CX1283=$DF$1,CX1283&lt;&gt;""),0,IF(AND(DB1283&lt;&gt;"",OR(DB1282&lt;&gt;"",DB1284&lt;&gt;"")),MAX($DF$2:DF1282)+1,0))</f>
        <v>0</v>
      </c>
    </row>
    <row r="1284" spans="102:110" x14ac:dyDescent="0.3">
      <c r="CX1284" s="48">
        <f t="shared" ca="1" si="1384"/>
        <v>99</v>
      </c>
      <c r="CY1284" s="48" t="str">
        <f t="shared" ca="1" si="1383"/>
        <v>MASTRO</v>
      </c>
      <c r="CZ1284" s="48" t="e">
        <f t="shared" ca="1" si="1386"/>
        <v>#N/A</v>
      </c>
      <c r="DA1284" s="48" t="str">
        <f t="shared" ca="1" si="1390"/>
        <v/>
      </c>
      <c r="DB1284" s="48" t="str">
        <f t="shared" ca="1" si="1368"/>
        <v/>
      </c>
      <c r="DC1284" s="48" t="str">
        <f t="shared" ca="1" si="1387"/>
        <v/>
      </c>
      <c r="DD1284" s="48" t="str">
        <f t="shared" ca="1" si="1388"/>
        <v/>
      </c>
      <c r="DE1284" s="48" t="str">
        <f t="shared" ca="1" si="1389"/>
        <v/>
      </c>
      <c r="DF1284" s="48">
        <f ca="1">IF(AND(CX1284=$DF$1,CX1284&lt;&gt;""),0,IF(AND(DB1284&lt;&gt;"",OR(DB1283&lt;&gt;"",DB1285&lt;&gt;"")),MAX($DF$2:DF1283)+1,0))</f>
        <v>0</v>
      </c>
    </row>
    <row r="1285" spans="102:110" x14ac:dyDescent="0.3">
      <c r="CX1285" s="48">
        <f t="shared" ca="1" si="1384"/>
        <v>99</v>
      </c>
      <c r="CY1285" s="48" t="str">
        <f t="shared" ca="1" si="1383"/>
        <v>MASTRO</v>
      </c>
      <c r="CZ1285" s="48" t="e">
        <f t="shared" ca="1" si="1386"/>
        <v>#N/A</v>
      </c>
      <c r="DA1285" s="48" t="str">
        <f t="shared" ca="1" si="1390"/>
        <v/>
      </c>
      <c r="DB1285" s="48" t="str">
        <f t="shared" ca="1" si="1368"/>
        <v/>
      </c>
      <c r="DC1285" s="48" t="str">
        <f t="shared" ca="1" si="1387"/>
        <v/>
      </c>
      <c r="DD1285" s="48" t="str">
        <f t="shared" ca="1" si="1388"/>
        <v/>
      </c>
      <c r="DE1285" s="48" t="str">
        <f t="shared" ca="1" si="1389"/>
        <v/>
      </c>
      <c r="DF1285" s="48">
        <f ca="1">IF(AND(CX1285=$DF$1,CX1285&lt;&gt;""),0,IF(AND(DB1285&lt;&gt;"",OR(DB1284&lt;&gt;"",DB1286&lt;&gt;"")),MAX($DF$2:DF1284)+1,0))</f>
        <v>0</v>
      </c>
    </row>
    <row r="1286" spans="102:110" x14ac:dyDescent="0.3">
      <c r="CX1286" s="48">
        <f t="shared" ca="1" si="1384"/>
        <v>99</v>
      </c>
      <c r="CY1286" s="48" t="str">
        <f t="shared" ca="1" si="1383"/>
        <v>MASTRO</v>
      </c>
      <c r="CZ1286" s="48" t="e">
        <f t="shared" ca="1" si="1386"/>
        <v>#N/A</v>
      </c>
      <c r="DA1286" s="48" t="str">
        <f t="shared" ca="1" si="1390"/>
        <v/>
      </c>
      <c r="DB1286" s="48" t="str">
        <f t="shared" ca="1" si="1368"/>
        <v/>
      </c>
      <c r="DC1286" s="48" t="str">
        <f t="shared" ca="1" si="1387"/>
        <v/>
      </c>
      <c r="DD1286" s="48" t="str">
        <f t="shared" ca="1" si="1388"/>
        <v/>
      </c>
      <c r="DE1286" s="48" t="str">
        <f t="shared" ca="1" si="1389"/>
        <v/>
      </c>
      <c r="DF1286" s="48">
        <f ca="1">IF(AND(CX1286=$DF$1,CX1286&lt;&gt;""),0,IF(AND(DB1286&lt;&gt;"",OR(DB1285&lt;&gt;"",DB1287&lt;&gt;"")),MAX($DF$2:DF1285)+1,0))</f>
        <v>0</v>
      </c>
    </row>
    <row r="1287" spans="102:110" x14ac:dyDescent="0.3">
      <c r="CX1287" s="48">
        <f t="shared" ca="1" si="1384"/>
        <v>99</v>
      </c>
      <c r="CY1287" s="48" t="str">
        <f t="shared" ca="1" si="1383"/>
        <v>MASTRO</v>
      </c>
      <c r="CZ1287" s="48" t="e">
        <f t="shared" ca="1" si="1386"/>
        <v>#N/A</v>
      </c>
      <c r="DA1287" s="48" t="str">
        <f t="shared" ca="1" si="1390"/>
        <v/>
      </c>
      <c r="DB1287" s="48" t="str">
        <f t="shared" ca="1" si="1368"/>
        <v/>
      </c>
      <c r="DC1287" s="48" t="str">
        <f t="shared" ca="1" si="1387"/>
        <v/>
      </c>
      <c r="DD1287" s="48" t="str">
        <f t="shared" ca="1" si="1388"/>
        <v/>
      </c>
      <c r="DE1287" s="48" t="str">
        <f t="shared" ca="1" si="1389"/>
        <v/>
      </c>
      <c r="DF1287" s="48">
        <f ca="1">IF(AND(CX1287=$DF$1,CX1287&lt;&gt;""),0,IF(AND(DB1287&lt;&gt;"",OR(DB1286&lt;&gt;"",DB1288&lt;&gt;"")),MAX($DF$2:DF1286)+1,0))</f>
        <v>0</v>
      </c>
    </row>
    <row r="1288" spans="102:110" x14ac:dyDescent="0.3">
      <c r="CX1288" s="48">
        <f t="shared" ca="1" si="1384"/>
        <v>99</v>
      </c>
      <c r="CY1288" s="48" t="str">
        <f t="shared" ca="1" si="1383"/>
        <v>MASTRO</v>
      </c>
      <c r="CZ1288" s="48" t="e">
        <f t="shared" ca="1" si="1386"/>
        <v>#N/A</v>
      </c>
      <c r="DA1288" s="48" t="str">
        <f t="shared" ca="1" si="1390"/>
        <v/>
      </c>
      <c r="DB1288" s="48" t="str">
        <f t="shared" ca="1" si="1368"/>
        <v/>
      </c>
      <c r="DC1288" s="48" t="str">
        <f t="shared" ca="1" si="1387"/>
        <v/>
      </c>
      <c r="DD1288" s="48" t="str">
        <f t="shared" ca="1" si="1388"/>
        <v/>
      </c>
      <c r="DE1288" s="48" t="str">
        <f t="shared" ca="1" si="1389"/>
        <v/>
      </c>
      <c r="DF1288" s="48">
        <f ca="1">IF(AND(CX1288=$DF$1,CX1288&lt;&gt;""),0,IF(AND(DB1288&lt;&gt;"",OR(DB1287&lt;&gt;"",DB1289&lt;&gt;"")),MAX($DF$2:DF1287)+1,0))</f>
        <v>0</v>
      </c>
    </row>
    <row r="1289" spans="102:110" x14ac:dyDescent="0.3">
      <c r="CY1289" s="48" t="s">
        <v>500</v>
      </c>
      <c r="DB1289" s="48" t="str">
        <f t="shared" ref="DB1289" ca="1" si="1391">IF(CX1288=$DF$1,"","MASTRO")</f>
        <v>MASTRO</v>
      </c>
      <c r="DF1289" s="48">
        <f ca="1">IF(AND(CX1289=$DF$1,CX1289&lt;&gt;""),0,IF(AND(DB1289&lt;&gt;"",OR(DB1288&lt;&gt;"",DB1290&lt;&gt;"")),MAX($DF$2:DF1288)+1,0))</f>
        <v>0</v>
      </c>
    </row>
    <row r="1290" spans="102:110" x14ac:dyDescent="0.3">
      <c r="CX1290" s="48">
        <f ca="1">$FF$102</f>
        <v>100</v>
      </c>
      <c r="CY1290" s="48" t="str">
        <f t="shared" ref="CY1290:CY1301" ca="1" si="1392">IF(ISERROR(INDEX($CV$3:$CX$1302,MATCH(CX1290,$CW$3:$CW$1302,0),1)),"MASTRO",INDEX($CV$3:$CX$1302,MATCH(CX1290,$CW$3:$CW$1302,0),1))</f>
        <v>MASTRO</v>
      </c>
      <c r="DA1290" s="48" t="str">
        <f>IF(CY1289="MASTRO","Conto n.","")</f>
        <v>Conto n.</v>
      </c>
      <c r="DB1290" s="48" t="str">
        <f ca="1">IF(CY1290=0,"",INDEX(PDC,MATCH(DC1290,DEN_PDC,0),1))</f>
        <v/>
      </c>
      <c r="DC1290" s="48" t="str">
        <f ca="1">IF(OR(CY1290=0,CY1290="mastro"),"",CY1290)</f>
        <v/>
      </c>
      <c r="DD1290" s="48" t="str">
        <f ca="1">IF(AND($DA$2=TRUE,OR(INDEX(PDC,MATCH($DC1290,DEN_PDC,0),4)="A",INDEX(PDC,MATCH($DC1290,DEN_PDC,0),4)="D/A"),SUMIFS(AVERE,DEN_G,"="&amp;$DC1290,DATA,"&lt;="&amp;FINE_AC,DATA,"&gt;="&amp;INIZIO_AC)&gt;SUMIFS(DARE,DEN_G,"="&amp;$DC1290,DATA,"&lt;="&amp;FINE_AC,DATA,"&gt;="&amp;INIZIO_AC)),CONCATENATE("s ",FIXED(ABS(SUMIFS(AVERE,DEN_G,"="&amp;$DC1290,DATA,"&lt;="&amp;FINE_AC,DATA,"&gt;="&amp;INIZIO_AC)-SUMIFS(DARE,DEN_G,"="&amp;$DC1290,DATA,"&lt;="&amp;FINE_AC,DATA,"&gt;="&amp;INIZIO_AC)),2)),"")</f>
        <v/>
      </c>
      <c r="DE1290" s="48" t="str">
        <f ca="1">IF(AND($DA$2=TRUE,OR(INDEX(PDC,MATCH($DC1290,DEN_PDC,0),4)="D",INDEX(PDC,MATCH($DC1290,DEN_PDC,0),4)="D/A"),SUMIFS(DARE,DEN_G,"="&amp;$DC1290,DATA,"&lt;="&amp;FINE_AC,DATA,"&gt;="&amp;INIZIO_AC)&gt;SUMIFS(AVERE,DEN_G,"="&amp;$DC1290,DATA,"&lt;="&amp;FINE_AC,DATA,"&gt;="&amp;INIZIO_AC)),CONCATENATE("s ",FIXED(ABS(SUMIFS(DARE,DEN_G,"="&amp;$DC1290,DATA,"&lt;="&amp;FINE_AC,DATA,"&gt;="&amp;INIZIO_AC)-SUMIFS(AVERE,DEN_G,"="&amp;$DC1290,DATA,"&lt;="&amp;FINE_AC,DATA,"&gt;="&amp;INIZIO_AC)),2)),"")</f>
        <v/>
      </c>
      <c r="DF1290" s="48">
        <f ca="1">IF(AND(CX1290=$DF$1,CX1290&lt;&gt;""),0,IF(AND(DB1290&lt;&gt;"",OR(DB1289&lt;&gt;"",DB1291&lt;&gt;"")),MAX($DF$2:DF1289)+1,0))</f>
        <v>0</v>
      </c>
    </row>
    <row r="1291" spans="102:110" x14ac:dyDescent="0.3">
      <c r="CX1291" s="48">
        <f t="shared" ref="CX1291:CX1301" ca="1" si="1393">$FF$102</f>
        <v>100</v>
      </c>
      <c r="CY1291" s="48" t="str">
        <f t="shared" ca="1" si="1392"/>
        <v>MASTRO</v>
      </c>
      <c r="DA1291" s="48" t="str">
        <f ca="1">IF(DB1290="","","Num. riga")</f>
        <v/>
      </c>
      <c r="DB1291" s="48" t="str">
        <f t="shared" ref="DB1291" ca="1" si="1394">IF(DB1290="","","Data")</f>
        <v/>
      </c>
      <c r="DC1291" s="48" t="str">
        <f ca="1">IF(DB1290="","","Operazioni")</f>
        <v/>
      </c>
      <c r="DD1291" s="48" t="str">
        <f ca="1">IF(DB1290="","","Dare        ")</f>
        <v/>
      </c>
      <c r="DE1291" s="48" t="str">
        <f ca="1">IF(DB1290="","","Avere        ")</f>
        <v/>
      </c>
      <c r="DF1291" s="48">
        <f ca="1">IF(AND(CX1291=$DF$1,CX1291&lt;&gt;""),0,IF(AND(DB1291&lt;&gt;"",OR(DB1290&lt;&gt;"",DB1292&lt;&gt;"")),MAX($DF$2:DF1290)+1,0))</f>
        <v>0</v>
      </c>
    </row>
    <row r="1292" spans="102:110" x14ac:dyDescent="0.3">
      <c r="CX1292" s="48">
        <f t="shared" ca="1" si="1393"/>
        <v>100</v>
      </c>
      <c r="CY1292" s="48" t="str">
        <f t="shared" ca="1" si="1392"/>
        <v>MASTRO</v>
      </c>
      <c r="CZ1292" s="48" t="e">
        <f t="shared" ref="CZ1292:CZ1301" ca="1" si="1395">SUM(MATCH($CY1292,INDIRECT(ADDRESS(SUM(CZ1291)+3,54)&amp;":"&amp;ADDRESS(400,54)),0),CZ1291)</f>
        <v>#N/A</v>
      </c>
      <c r="DA1292" s="48" t="str">
        <f ca="1">IFERROR(INDEX(LIBRO_GIORNALE,CZ1292,1),"")</f>
        <v/>
      </c>
      <c r="DB1292" s="48" t="str">
        <f t="shared" ca="1" si="1368"/>
        <v/>
      </c>
      <c r="DC1292" s="48" t="str">
        <f t="shared" ref="DC1292:DC1301" ca="1" si="1396">IF(IFERROR(INDEX(LIBRO_GIORNALE,CZ1292,4),"")=0,"manca la descrizione dell'operazione",IFERROR(INDEX(LIBRO_GIORNALE,CZ1292,4),""))</f>
        <v/>
      </c>
      <c r="DD1292" s="48" t="str">
        <f t="shared" ref="DD1292:DD1301" ca="1" si="1397">IFERROR(IF(INDEX(LIBRO_GIORNALE,CZ1292,5)&gt;0,INDEX(LIBRO_GIORNALE,CZ1292,5),""),"")</f>
        <v/>
      </c>
      <c r="DE1292" s="48" t="str">
        <f t="shared" ref="DE1292:DE1301" ca="1" si="1398">IFERROR(IF(INDEX(LIBRO_GIORNALE,CZ1292,6)&gt;0,INDEX(LIBRO_GIORNALE,CZ1292,6),""),"")</f>
        <v/>
      </c>
      <c r="DF1292" s="48">
        <f ca="1">IF(AND(CX1292=$DF$1,CX1292&lt;&gt;""),0,IF(AND(DB1292&lt;&gt;"",OR(DB1291&lt;&gt;"",DB1293&lt;&gt;"")),MAX($DF$2:DF1291)+1,0))</f>
        <v>0</v>
      </c>
    </row>
    <row r="1293" spans="102:110" x14ac:dyDescent="0.3">
      <c r="CX1293" s="48">
        <f t="shared" ca="1" si="1393"/>
        <v>100</v>
      </c>
      <c r="CY1293" s="48" t="str">
        <f t="shared" ca="1" si="1392"/>
        <v>MASTRO</v>
      </c>
      <c r="CZ1293" s="48" t="e">
        <f t="shared" ca="1" si="1395"/>
        <v>#N/A</v>
      </c>
      <c r="DA1293" s="48" t="str">
        <f t="shared" ref="DA1293:DA1301" ca="1" si="1399">IFERROR(INDEX(LIBRO_GIORNALE,CZ1293,1),"")</f>
        <v/>
      </c>
      <c r="DB1293" s="48" t="str">
        <f t="shared" ca="1" si="1368"/>
        <v/>
      </c>
      <c r="DC1293" s="48" t="str">
        <f t="shared" ca="1" si="1396"/>
        <v/>
      </c>
      <c r="DD1293" s="48" t="str">
        <f t="shared" ca="1" si="1397"/>
        <v/>
      </c>
      <c r="DE1293" s="48" t="str">
        <f t="shared" ca="1" si="1398"/>
        <v/>
      </c>
      <c r="DF1293" s="48">
        <f ca="1">IF(AND(CX1293=$DF$1,CX1293&lt;&gt;""),0,IF(AND(DB1293&lt;&gt;"",OR(DB1292&lt;&gt;"",DB1294&lt;&gt;"")),MAX($DF$2:DF1292)+1,0))</f>
        <v>0</v>
      </c>
    </row>
    <row r="1294" spans="102:110" x14ac:dyDescent="0.3">
      <c r="CX1294" s="48">
        <f t="shared" ca="1" si="1393"/>
        <v>100</v>
      </c>
      <c r="CY1294" s="48" t="str">
        <f t="shared" ca="1" si="1392"/>
        <v>MASTRO</v>
      </c>
      <c r="CZ1294" s="48" t="e">
        <f t="shared" ca="1" si="1395"/>
        <v>#N/A</v>
      </c>
      <c r="DA1294" s="48" t="str">
        <f t="shared" ca="1" si="1399"/>
        <v/>
      </c>
      <c r="DB1294" s="48" t="str">
        <f t="shared" ca="1" si="1368"/>
        <v/>
      </c>
      <c r="DC1294" s="48" t="str">
        <f t="shared" ca="1" si="1396"/>
        <v/>
      </c>
      <c r="DD1294" s="48" t="str">
        <f t="shared" ca="1" si="1397"/>
        <v/>
      </c>
      <c r="DE1294" s="48" t="str">
        <f t="shared" ca="1" si="1398"/>
        <v/>
      </c>
      <c r="DF1294" s="48">
        <f ca="1">IF(AND(CX1294=$DF$1,CX1294&lt;&gt;""),0,IF(AND(DB1294&lt;&gt;"",OR(DB1293&lt;&gt;"",DB1295&lt;&gt;"")),MAX($DF$2:DF1293)+1,0))</f>
        <v>0</v>
      </c>
    </row>
    <row r="1295" spans="102:110" x14ac:dyDescent="0.3">
      <c r="CX1295" s="48">
        <f t="shared" ca="1" si="1393"/>
        <v>100</v>
      </c>
      <c r="CY1295" s="48" t="str">
        <f t="shared" ca="1" si="1392"/>
        <v>MASTRO</v>
      </c>
      <c r="CZ1295" s="48" t="e">
        <f t="shared" ca="1" si="1395"/>
        <v>#N/A</v>
      </c>
      <c r="DA1295" s="48" t="str">
        <f t="shared" ca="1" si="1399"/>
        <v/>
      </c>
      <c r="DB1295" s="48" t="str">
        <f t="shared" ca="1" si="1368"/>
        <v/>
      </c>
      <c r="DC1295" s="48" t="str">
        <f t="shared" ca="1" si="1396"/>
        <v/>
      </c>
      <c r="DD1295" s="48" t="str">
        <f t="shared" ca="1" si="1397"/>
        <v/>
      </c>
      <c r="DE1295" s="48" t="str">
        <f t="shared" ca="1" si="1398"/>
        <v/>
      </c>
      <c r="DF1295" s="48">
        <f ca="1">IF(AND(CX1295=$DF$1,CX1295&lt;&gt;""),0,IF(AND(DB1295&lt;&gt;"",OR(DB1294&lt;&gt;"",DB1296&lt;&gt;"")),MAX($DF$2:DF1294)+1,0))</f>
        <v>0</v>
      </c>
    </row>
    <row r="1296" spans="102:110" x14ac:dyDescent="0.3">
      <c r="CX1296" s="48">
        <f t="shared" ca="1" si="1393"/>
        <v>100</v>
      </c>
      <c r="CY1296" s="48" t="str">
        <f t="shared" ca="1" si="1392"/>
        <v>MASTRO</v>
      </c>
      <c r="CZ1296" s="48" t="e">
        <f t="shared" ca="1" si="1395"/>
        <v>#N/A</v>
      </c>
      <c r="DA1296" s="48" t="str">
        <f t="shared" ca="1" si="1399"/>
        <v/>
      </c>
      <c r="DB1296" s="48" t="str">
        <f t="shared" ca="1" si="1368"/>
        <v/>
      </c>
      <c r="DC1296" s="48" t="str">
        <f t="shared" ca="1" si="1396"/>
        <v/>
      </c>
      <c r="DD1296" s="48" t="str">
        <f t="shared" ca="1" si="1397"/>
        <v/>
      </c>
      <c r="DE1296" s="48" t="str">
        <f t="shared" ca="1" si="1398"/>
        <v/>
      </c>
      <c r="DF1296" s="48">
        <f ca="1">IF(AND(CX1296=$DF$1,CX1296&lt;&gt;""),0,IF(AND(DB1296&lt;&gt;"",OR(DB1295&lt;&gt;"",DB1297&lt;&gt;"")),MAX($DF$2:DF1295)+1,0))</f>
        <v>0</v>
      </c>
    </row>
    <row r="1297" spans="102:110" x14ac:dyDescent="0.3">
      <c r="CX1297" s="48">
        <f t="shared" ca="1" si="1393"/>
        <v>100</v>
      </c>
      <c r="CY1297" s="48" t="str">
        <f t="shared" ca="1" si="1392"/>
        <v>MASTRO</v>
      </c>
      <c r="CZ1297" s="48" t="e">
        <f t="shared" ca="1" si="1395"/>
        <v>#N/A</v>
      </c>
      <c r="DA1297" s="48" t="str">
        <f t="shared" ca="1" si="1399"/>
        <v/>
      </c>
      <c r="DB1297" s="48" t="str">
        <f t="shared" ca="1" si="1368"/>
        <v/>
      </c>
      <c r="DC1297" s="48" t="str">
        <f t="shared" ca="1" si="1396"/>
        <v/>
      </c>
      <c r="DD1297" s="48" t="str">
        <f t="shared" ca="1" si="1397"/>
        <v/>
      </c>
      <c r="DE1297" s="48" t="str">
        <f t="shared" ca="1" si="1398"/>
        <v/>
      </c>
      <c r="DF1297" s="48">
        <f ca="1">IF(AND(CX1297=$DF$1,CX1297&lt;&gt;""),0,IF(AND(DB1297&lt;&gt;"",OR(DB1296&lt;&gt;"",DB1298&lt;&gt;"")),MAX($DF$2:DF1296)+1,0))</f>
        <v>0</v>
      </c>
    </row>
    <row r="1298" spans="102:110" x14ac:dyDescent="0.3">
      <c r="CX1298" s="48">
        <f t="shared" ca="1" si="1393"/>
        <v>100</v>
      </c>
      <c r="CY1298" s="48" t="str">
        <f t="shared" ca="1" si="1392"/>
        <v>MASTRO</v>
      </c>
      <c r="CZ1298" s="48" t="e">
        <f t="shared" ca="1" si="1395"/>
        <v>#N/A</v>
      </c>
      <c r="DA1298" s="48" t="str">
        <f t="shared" ca="1" si="1399"/>
        <v/>
      </c>
      <c r="DB1298" s="48" t="str">
        <f t="shared" ca="1" si="1368"/>
        <v/>
      </c>
      <c r="DC1298" s="48" t="str">
        <f t="shared" ca="1" si="1396"/>
        <v/>
      </c>
      <c r="DD1298" s="48" t="str">
        <f t="shared" ca="1" si="1397"/>
        <v/>
      </c>
      <c r="DE1298" s="48" t="str">
        <f t="shared" ca="1" si="1398"/>
        <v/>
      </c>
      <c r="DF1298" s="48">
        <f ca="1">IF(AND(CX1298=$DF$1,CX1298&lt;&gt;""),0,IF(AND(DB1298&lt;&gt;"",OR(DB1297&lt;&gt;"",DB1299&lt;&gt;"")),MAX($DF$2:DF1297)+1,0))</f>
        <v>0</v>
      </c>
    </row>
    <row r="1299" spans="102:110" x14ac:dyDescent="0.3">
      <c r="CX1299" s="48">
        <f t="shared" ca="1" si="1393"/>
        <v>100</v>
      </c>
      <c r="CY1299" s="48" t="str">
        <f t="shared" ca="1" si="1392"/>
        <v>MASTRO</v>
      </c>
      <c r="CZ1299" s="48" t="e">
        <f t="shared" ca="1" si="1395"/>
        <v>#N/A</v>
      </c>
      <c r="DA1299" s="48" t="str">
        <f t="shared" ca="1" si="1399"/>
        <v/>
      </c>
      <c r="DB1299" s="48" t="str">
        <f t="shared" ca="1" si="1368"/>
        <v/>
      </c>
      <c r="DC1299" s="48" t="str">
        <f t="shared" ca="1" si="1396"/>
        <v/>
      </c>
      <c r="DD1299" s="48" t="str">
        <f t="shared" ca="1" si="1397"/>
        <v/>
      </c>
      <c r="DE1299" s="48" t="str">
        <f t="shared" ca="1" si="1398"/>
        <v/>
      </c>
      <c r="DF1299" s="48">
        <f ca="1">IF(AND(CX1299=$DF$1,CX1299&lt;&gt;""),0,IF(AND(DB1299&lt;&gt;"",OR(DB1298&lt;&gt;"",DB1300&lt;&gt;"")),MAX($DF$2:DF1298)+1,0))</f>
        <v>0</v>
      </c>
    </row>
    <row r="1300" spans="102:110" x14ac:dyDescent="0.3">
      <c r="CX1300" s="48">
        <f t="shared" ca="1" si="1393"/>
        <v>100</v>
      </c>
      <c r="CY1300" s="48" t="str">
        <f t="shared" ca="1" si="1392"/>
        <v>MASTRO</v>
      </c>
      <c r="CZ1300" s="48" t="e">
        <f t="shared" ca="1" si="1395"/>
        <v>#N/A</v>
      </c>
      <c r="DA1300" s="48" t="str">
        <f t="shared" ca="1" si="1399"/>
        <v/>
      </c>
      <c r="DB1300" s="48" t="str">
        <f t="shared" ca="1" si="1368"/>
        <v/>
      </c>
      <c r="DC1300" s="48" t="str">
        <f t="shared" ca="1" si="1396"/>
        <v/>
      </c>
      <c r="DD1300" s="48" t="str">
        <f t="shared" ca="1" si="1397"/>
        <v/>
      </c>
      <c r="DE1300" s="48" t="str">
        <f t="shared" ca="1" si="1398"/>
        <v/>
      </c>
      <c r="DF1300" s="48">
        <f ca="1">IF(AND(CX1300=$DF$1,CX1300&lt;&gt;""),0,IF(AND(DB1300&lt;&gt;"",OR(DB1299&lt;&gt;"",DB1301&lt;&gt;"")),MAX($DF$2:DF1299)+1,0))</f>
        <v>0</v>
      </c>
    </row>
    <row r="1301" spans="102:110" x14ac:dyDescent="0.3">
      <c r="CX1301" s="48">
        <f t="shared" ca="1" si="1393"/>
        <v>100</v>
      </c>
      <c r="CY1301" s="48" t="str">
        <f t="shared" ca="1" si="1392"/>
        <v>MASTRO</v>
      </c>
      <c r="CZ1301" s="48" t="e">
        <f t="shared" ca="1" si="1395"/>
        <v>#N/A</v>
      </c>
      <c r="DA1301" s="48" t="str">
        <f t="shared" ca="1" si="1399"/>
        <v/>
      </c>
      <c r="DB1301" s="48" t="str">
        <f t="shared" ca="1" si="1368"/>
        <v/>
      </c>
      <c r="DC1301" s="48" t="str">
        <f t="shared" ca="1" si="1396"/>
        <v/>
      </c>
      <c r="DD1301" s="48" t="str">
        <f t="shared" ca="1" si="1397"/>
        <v/>
      </c>
      <c r="DE1301" s="48" t="str">
        <f t="shared" ca="1" si="1398"/>
        <v/>
      </c>
      <c r="DF1301" s="48">
        <f ca="1">IF(AND(CX1301=$DF$1,CX1301&lt;&gt;""),0,IF(AND(DB1301&lt;&gt;"",OR(DB1300&lt;&gt;"",DB1302&lt;&gt;"")),MAX($DF$2:DF1300)+1,0))</f>
        <v>0</v>
      </c>
    </row>
    <row r="1302" spans="102:110" x14ac:dyDescent="0.3">
      <c r="CX1302" s="48" t="str">
        <f t="shared" ref="CX1302" si="1400">IFERROR(IF(CX1289+1=1,"",(CX1289+1)),"")</f>
        <v/>
      </c>
      <c r="CY1302" s="48" t="s">
        <v>500</v>
      </c>
      <c r="DB1302" s="48" t="str">
        <f t="shared" ref="DB1302" ca="1" si="1401">IF(CX1301=$DF$1,"","MASTRO")</f>
        <v>MASTRO</v>
      </c>
      <c r="DF1302" s="48">
        <f ca="1">IF(AND(CX1302=$DF$1,CX1302&lt;&gt;""),0,IF(AND(DB1302&lt;&gt;"",OR(DB1301&lt;&gt;"",DB1303&lt;&gt;"")),MAX($DF$2:DF1301)+1,0))</f>
        <v>0</v>
      </c>
    </row>
    <row r="1304" spans="102:110" x14ac:dyDescent="0.3">
      <c r="CX1304" s="48">
        <f ca="1">$DF$1</f>
        <v>0</v>
      </c>
      <c r="CY1304" s="48" t="str">
        <f t="shared" ref="CY1304:CY1338" ca="1" si="1402">IF(ISERROR(INDEX($CV$3:$CX$1302,MATCH(CX1304,$CW$3:$CW$1302,0),1)),"MASTRO",INDEX($CV$3:$CX$1302,MATCH(CX1304,$CW$3:$CW$1302,0),1))</f>
        <v/>
      </c>
      <c r="DA1304" s="48" t="str">
        <f ca="1">IF(CY1304&lt;&gt;0,"Conto n.","")</f>
        <v>Conto n.</v>
      </c>
      <c r="DB1304" s="48" t="str">
        <f ca="1">IF(CY1304=0,"",INDEX(PDC,MATCH(DC1304,DEN_PDC,0),1))</f>
        <v/>
      </c>
      <c r="DC1304" s="48" t="str">
        <f ca="1">IF(OR(CY1304=0,CY1304="mastro"),"",CY1304)</f>
        <v/>
      </c>
      <c r="DD1304" s="48" t="str">
        <f ca="1">IF(AND($DA$2=TRUE,OR(INDEX(PDC,MATCH($DC1304,DEN_PDC,0),4)="A",INDEX(PDC,MATCH($DC1304,DEN_PDC,0),4)="D/A"),SUMIFS(AVERE,DEN_G,"="&amp;$DC1304,DATA,"&lt;="&amp;FINE_AC,DATA,"&gt;="&amp;INIZIO_AC)&gt;SUMIFS(DARE,DEN_G,"="&amp;$DC1304,DATA,"&lt;="&amp;FINE_AC,DATA,"&gt;="&amp;INIZIO_AC)),CONCATENATE("s ",FIXED(ABS(SUMIFS(AVERE,DEN_G,"="&amp;$DC1304,DATA,"&lt;="&amp;FINE_AC,DATA,"&gt;="&amp;INIZIO_AC)-SUMIFS(DARE,DEN_G,"="&amp;$DC1304,DATA,"&lt;="&amp;FINE_AC,DATA,"&gt;="&amp;INIZIO_AC)),2)),"")</f>
        <v/>
      </c>
      <c r="DE1304" s="48" t="str">
        <f ca="1">IF(AND($DA$2=TRUE,OR(INDEX(PDC,MATCH($DC1304,DEN_PDC,0),4)="D",INDEX(PDC,MATCH($DC1304,DEN_PDC,0),4)="D/A"),SUMIFS(DARE,DEN_G,"="&amp;$DC1304,DATA,"&lt;="&amp;FINE_AC,DATA,"&gt;="&amp;INIZIO_AC)&gt;SUMIFS(AVERE,DEN_G,"="&amp;$DC1304,DATA,"&lt;="&amp;FINE_AC,DATA,"&gt;="&amp;INIZIO_AC)),CONCATENATE("s ",FIXED(ABS(SUMIFS(DARE,DEN_G,"="&amp;$DC1304,DATA,"&lt;="&amp;FINE_AC,DATA,"&gt;="&amp;INIZIO_AC)-SUMIFS(AVERE,DEN_G,"="&amp;$DC1304,DATA,"&lt;="&amp;FINE_AC,DATA,"&gt;="&amp;INIZIO_AC)),2)),"")</f>
        <v/>
      </c>
      <c r="DF1304" s="48">
        <f ca="1">IF(AND(CX1304&gt;0,DB1304&lt;&gt;""),MAX($DF$1303:DF1303)+1,0)</f>
        <v>0</v>
      </c>
    </row>
    <row r="1305" spans="102:110" x14ac:dyDescent="0.3">
      <c r="CX1305" s="48">
        <f ca="1">$DF$1</f>
        <v>0</v>
      </c>
      <c r="CY1305" s="48" t="str">
        <f t="shared" ca="1" si="1402"/>
        <v/>
      </c>
      <c r="DA1305" s="48" t="str">
        <f ca="1">IF(DB1304="","","Num. riga")</f>
        <v/>
      </c>
      <c r="DB1305" s="48" t="str">
        <f ca="1">IF(DB1304="","","Data")</f>
        <v/>
      </c>
      <c r="DC1305" s="48" t="str">
        <f ca="1">IF(DB1304="","","Operazioni")</f>
        <v/>
      </c>
      <c r="DD1305" s="48" t="str">
        <f ca="1">IF(DB1304="","","Dare        ")</f>
        <v/>
      </c>
      <c r="DE1305" s="48" t="str">
        <f ca="1">IF(DB1304="","","Avere        ")</f>
        <v/>
      </c>
      <c r="DF1305" s="48">
        <f ca="1">IF(AND(CX1305&gt;0,DB1305&lt;&gt;""),MAX($DF$1303:DF1304)+1,0)</f>
        <v>0</v>
      </c>
    </row>
    <row r="1306" spans="102:110" x14ac:dyDescent="0.3">
      <c r="CX1306" s="48">
        <f t="shared" ref="CX1306:CX1339" ca="1" si="1403">$DF$1</f>
        <v>0</v>
      </c>
      <c r="CY1306" s="48" t="str">
        <f t="shared" ca="1" si="1402"/>
        <v/>
      </c>
      <c r="CZ1306" s="48">
        <f t="shared" ref="CZ1306:CZ1338" ca="1" si="1404">SUM(MATCH($CY1306,INDIRECT(ADDRESS(SUM(CZ1305)+3,54)&amp;":"&amp;ADDRESS(400,54)),0),CZ1305)</f>
        <v>98</v>
      </c>
      <c r="DA1306" s="48" t="str">
        <f t="shared" ref="DA1306:DA1338" ca="1" si="1405">IFERROR(INDEX(LIBRO_GIORNALE,CZ1306,1),"")</f>
        <v>1 A.</v>
      </c>
      <c r="DB1306" s="48" t="str">
        <f t="shared" ref="DB1306:DB1338" ca="1" si="1406">IF(RIGHT(TEXT(IFERROR(INDEX(LIBRO_GIORNALE,CZ1306,2),""),"gg/mm/aa"),1)="a",TEXT(IFERROR(INDEX(LIBRO_GIORNALE,CZ1306,2),""),"dd/mm/yy"),TEXT(IFERROR(INDEX(LIBRO_GIORNALE,CZ1306,2),""),"gg/mm/aa"))</f>
        <v>01/01/26</v>
      </c>
      <c r="DC1306" s="48" t="str">
        <f t="shared" ref="DC1306:DC1338" ca="1" si="1407">IF(IFERROR(INDEX(LIBRO_GIORNALE,CZ1306,4),"")=0,"manca la descrizione dell'operazione",IFERROR(INDEX(LIBRO_GIORNALE,CZ1306,4),""))</f>
        <v>apertura del conto</v>
      </c>
      <c r="DD1306" s="48" t="str">
        <f t="shared" ref="DD1306:DD1338" ca="1" si="1408">IFERROR(IF(INDEX(LIBRO_GIORNALE,CZ1306,5)&gt;0,INDEX(LIBRO_GIORNALE,CZ1306,5),""),"")</f>
        <v/>
      </c>
      <c r="DE1306" s="48" t="str">
        <f t="shared" ref="DE1306:DE1338" ca="1" si="1409">IFERROR(IF(INDEX(LIBRO_GIORNALE,CZ1306,6)&gt;0,INDEX(LIBRO_GIORNALE,CZ1306,6),""),"")</f>
        <v/>
      </c>
      <c r="DF1306" s="48">
        <f ca="1">IF(AND(CX1306&gt;0,DB1306&lt;&gt;""),MAX($DF$1303:DF1305)+1,0)</f>
        <v>0</v>
      </c>
    </row>
    <row r="1307" spans="102:110" x14ac:dyDescent="0.3">
      <c r="CX1307" s="48">
        <f t="shared" ca="1" si="1403"/>
        <v>0</v>
      </c>
      <c r="CY1307" s="48" t="str">
        <f t="shared" ca="1" si="1402"/>
        <v/>
      </c>
      <c r="CZ1307" s="48" t="e">
        <f t="shared" ca="1" si="1404"/>
        <v>#N/A</v>
      </c>
      <c r="DA1307" s="48" t="str">
        <f t="shared" ca="1" si="1405"/>
        <v/>
      </c>
      <c r="DB1307" s="48" t="str">
        <f t="shared" ca="1" si="1406"/>
        <v/>
      </c>
      <c r="DC1307" s="48" t="str">
        <f t="shared" ca="1" si="1407"/>
        <v/>
      </c>
      <c r="DD1307" s="48" t="str">
        <f t="shared" ca="1" si="1408"/>
        <v/>
      </c>
      <c r="DE1307" s="48" t="str">
        <f t="shared" ca="1" si="1409"/>
        <v/>
      </c>
      <c r="DF1307" s="48">
        <f ca="1">IF(AND(CX1307&gt;0,DB1307&lt;&gt;""),MAX($DF$1303:DF1306)+1,0)</f>
        <v>0</v>
      </c>
    </row>
    <row r="1308" spans="102:110" x14ac:dyDescent="0.3">
      <c r="CX1308" s="48">
        <f t="shared" ca="1" si="1403"/>
        <v>0</v>
      </c>
      <c r="CY1308" s="48" t="str">
        <f t="shared" ca="1" si="1402"/>
        <v/>
      </c>
      <c r="CZ1308" s="48" t="e">
        <f t="shared" ca="1" si="1404"/>
        <v>#N/A</v>
      </c>
      <c r="DA1308" s="48" t="str">
        <f t="shared" ca="1" si="1405"/>
        <v/>
      </c>
      <c r="DB1308" s="48" t="str">
        <f t="shared" ca="1" si="1406"/>
        <v/>
      </c>
      <c r="DC1308" s="48" t="str">
        <f t="shared" ca="1" si="1407"/>
        <v/>
      </c>
      <c r="DD1308" s="48" t="str">
        <f t="shared" ca="1" si="1408"/>
        <v/>
      </c>
      <c r="DE1308" s="48" t="str">
        <f t="shared" ca="1" si="1409"/>
        <v/>
      </c>
      <c r="DF1308" s="48">
        <f ca="1">IF(AND(CX1308&gt;0,DB1308&lt;&gt;""),MAX($DF$1303:DF1307)+1,0)</f>
        <v>0</v>
      </c>
    </row>
    <row r="1309" spans="102:110" x14ac:dyDescent="0.3">
      <c r="CX1309" s="48">
        <f t="shared" ca="1" si="1403"/>
        <v>0</v>
      </c>
      <c r="CY1309" s="48" t="str">
        <f t="shared" ca="1" si="1402"/>
        <v/>
      </c>
      <c r="CZ1309" s="48" t="e">
        <f t="shared" ca="1" si="1404"/>
        <v>#N/A</v>
      </c>
      <c r="DA1309" s="48" t="str">
        <f t="shared" ca="1" si="1405"/>
        <v/>
      </c>
      <c r="DB1309" s="48" t="str">
        <f t="shared" ca="1" si="1406"/>
        <v/>
      </c>
      <c r="DC1309" s="48" t="str">
        <f t="shared" ca="1" si="1407"/>
        <v/>
      </c>
      <c r="DD1309" s="48" t="str">
        <f t="shared" ca="1" si="1408"/>
        <v/>
      </c>
      <c r="DE1309" s="48" t="str">
        <f t="shared" ca="1" si="1409"/>
        <v/>
      </c>
      <c r="DF1309" s="48">
        <f ca="1">IF(AND(CX1309&gt;0,DB1309&lt;&gt;""),MAX($DF$1303:DF1308)+1,0)</f>
        <v>0</v>
      </c>
    </row>
    <row r="1310" spans="102:110" x14ac:dyDescent="0.3">
      <c r="CX1310" s="48">
        <f t="shared" ca="1" si="1403"/>
        <v>0</v>
      </c>
      <c r="CY1310" s="48" t="str">
        <f t="shared" ca="1" si="1402"/>
        <v/>
      </c>
      <c r="CZ1310" s="48" t="e">
        <f t="shared" ca="1" si="1404"/>
        <v>#N/A</v>
      </c>
      <c r="DA1310" s="48" t="str">
        <f t="shared" ca="1" si="1405"/>
        <v/>
      </c>
      <c r="DB1310" s="48" t="str">
        <f t="shared" ca="1" si="1406"/>
        <v/>
      </c>
      <c r="DC1310" s="48" t="str">
        <f t="shared" ca="1" si="1407"/>
        <v/>
      </c>
      <c r="DD1310" s="48" t="str">
        <f t="shared" ca="1" si="1408"/>
        <v/>
      </c>
      <c r="DE1310" s="48" t="str">
        <f t="shared" ca="1" si="1409"/>
        <v/>
      </c>
      <c r="DF1310" s="48">
        <f ca="1">IF(AND(CX1310&gt;0,DB1310&lt;&gt;""),MAX($DF$1303:DF1309)+1,0)</f>
        <v>0</v>
      </c>
    </row>
    <row r="1311" spans="102:110" x14ac:dyDescent="0.3">
      <c r="CX1311" s="48">
        <f t="shared" ca="1" si="1403"/>
        <v>0</v>
      </c>
      <c r="CY1311" s="48" t="str">
        <f t="shared" ca="1" si="1402"/>
        <v/>
      </c>
      <c r="CZ1311" s="48" t="e">
        <f t="shared" ca="1" si="1404"/>
        <v>#N/A</v>
      </c>
      <c r="DA1311" s="48" t="str">
        <f t="shared" ca="1" si="1405"/>
        <v/>
      </c>
      <c r="DB1311" s="48" t="str">
        <f t="shared" ca="1" si="1406"/>
        <v/>
      </c>
      <c r="DC1311" s="48" t="str">
        <f t="shared" ca="1" si="1407"/>
        <v/>
      </c>
      <c r="DD1311" s="48" t="str">
        <f t="shared" ca="1" si="1408"/>
        <v/>
      </c>
      <c r="DE1311" s="48" t="str">
        <f t="shared" ca="1" si="1409"/>
        <v/>
      </c>
      <c r="DF1311" s="48">
        <f ca="1">IF(AND(CX1311&gt;0,DB1311&lt;&gt;""),MAX($DF$1303:DF1310)+1,0)</f>
        <v>0</v>
      </c>
    </row>
    <row r="1312" spans="102:110" x14ac:dyDescent="0.3">
      <c r="CX1312" s="48">
        <f t="shared" ca="1" si="1403"/>
        <v>0</v>
      </c>
      <c r="CY1312" s="48" t="str">
        <f t="shared" ca="1" si="1402"/>
        <v/>
      </c>
      <c r="CZ1312" s="48" t="e">
        <f t="shared" ca="1" si="1404"/>
        <v>#N/A</v>
      </c>
      <c r="DA1312" s="48" t="str">
        <f t="shared" ca="1" si="1405"/>
        <v/>
      </c>
      <c r="DB1312" s="48" t="str">
        <f t="shared" ca="1" si="1406"/>
        <v/>
      </c>
      <c r="DC1312" s="48" t="str">
        <f t="shared" ca="1" si="1407"/>
        <v/>
      </c>
      <c r="DD1312" s="48" t="str">
        <f t="shared" ca="1" si="1408"/>
        <v/>
      </c>
      <c r="DE1312" s="48" t="str">
        <f t="shared" ca="1" si="1409"/>
        <v/>
      </c>
      <c r="DF1312" s="48">
        <f ca="1">IF(AND(CX1312&gt;0,DB1312&lt;&gt;""),MAX($DF$1303:DF1311)+1,0)</f>
        <v>0</v>
      </c>
    </row>
    <row r="1313" spans="102:110" x14ac:dyDescent="0.3">
      <c r="CX1313" s="48">
        <f t="shared" ca="1" si="1403"/>
        <v>0</v>
      </c>
      <c r="CY1313" s="48" t="str">
        <f t="shared" ca="1" si="1402"/>
        <v/>
      </c>
      <c r="CZ1313" s="48" t="e">
        <f t="shared" ca="1" si="1404"/>
        <v>#N/A</v>
      </c>
      <c r="DA1313" s="48" t="str">
        <f t="shared" ca="1" si="1405"/>
        <v/>
      </c>
      <c r="DB1313" s="48" t="str">
        <f t="shared" ca="1" si="1406"/>
        <v/>
      </c>
      <c r="DC1313" s="48" t="str">
        <f t="shared" ca="1" si="1407"/>
        <v/>
      </c>
      <c r="DD1313" s="48" t="str">
        <f t="shared" ca="1" si="1408"/>
        <v/>
      </c>
      <c r="DE1313" s="48" t="str">
        <f t="shared" ca="1" si="1409"/>
        <v/>
      </c>
      <c r="DF1313" s="48">
        <f ca="1">IF(AND(CX1313&gt;0,DB1313&lt;&gt;""),MAX($DF$1303:DF1312)+1,0)</f>
        <v>0</v>
      </c>
    </row>
    <row r="1314" spans="102:110" x14ac:dyDescent="0.3">
      <c r="CX1314" s="48">
        <f t="shared" ca="1" si="1403"/>
        <v>0</v>
      </c>
      <c r="CY1314" s="48" t="str">
        <f t="shared" ca="1" si="1402"/>
        <v/>
      </c>
      <c r="CZ1314" s="48" t="e">
        <f t="shared" ca="1" si="1404"/>
        <v>#N/A</v>
      </c>
      <c r="DA1314" s="48" t="str">
        <f t="shared" ca="1" si="1405"/>
        <v/>
      </c>
      <c r="DB1314" s="48" t="str">
        <f t="shared" ca="1" si="1406"/>
        <v/>
      </c>
      <c r="DC1314" s="48" t="str">
        <f t="shared" ca="1" si="1407"/>
        <v/>
      </c>
      <c r="DD1314" s="48" t="str">
        <f t="shared" ca="1" si="1408"/>
        <v/>
      </c>
      <c r="DE1314" s="48" t="str">
        <f t="shared" ca="1" si="1409"/>
        <v/>
      </c>
      <c r="DF1314" s="48">
        <f ca="1">IF(AND(CX1314&gt;0,DB1314&lt;&gt;""),MAX($DF$1303:DF1313)+1,0)</f>
        <v>0</v>
      </c>
    </row>
    <row r="1315" spans="102:110" x14ac:dyDescent="0.3">
      <c r="CX1315" s="48">
        <f t="shared" ca="1" si="1403"/>
        <v>0</v>
      </c>
      <c r="CY1315" s="48" t="str">
        <f t="shared" ca="1" si="1402"/>
        <v/>
      </c>
      <c r="CZ1315" s="48" t="e">
        <f t="shared" ca="1" si="1404"/>
        <v>#N/A</v>
      </c>
      <c r="DA1315" s="48" t="str">
        <f t="shared" ca="1" si="1405"/>
        <v/>
      </c>
      <c r="DB1315" s="48" t="str">
        <f t="shared" ca="1" si="1406"/>
        <v/>
      </c>
      <c r="DC1315" s="48" t="str">
        <f t="shared" ca="1" si="1407"/>
        <v/>
      </c>
      <c r="DD1315" s="48" t="str">
        <f t="shared" ca="1" si="1408"/>
        <v/>
      </c>
      <c r="DE1315" s="48" t="str">
        <f t="shared" ca="1" si="1409"/>
        <v/>
      </c>
      <c r="DF1315" s="48">
        <f ca="1">IF(AND(CX1315&gt;0,DB1315&lt;&gt;""),MAX($DF$1303:DF1314)+1,0)</f>
        <v>0</v>
      </c>
    </row>
    <row r="1316" spans="102:110" x14ac:dyDescent="0.3">
      <c r="CX1316" s="48">
        <f t="shared" ca="1" si="1403"/>
        <v>0</v>
      </c>
      <c r="CY1316" s="48" t="str">
        <f t="shared" ca="1" si="1402"/>
        <v/>
      </c>
      <c r="CZ1316" s="48" t="e">
        <f t="shared" ca="1" si="1404"/>
        <v>#N/A</v>
      </c>
      <c r="DA1316" s="48" t="str">
        <f t="shared" ca="1" si="1405"/>
        <v/>
      </c>
      <c r="DB1316" s="48" t="str">
        <f t="shared" ca="1" si="1406"/>
        <v/>
      </c>
      <c r="DC1316" s="48" t="str">
        <f t="shared" ca="1" si="1407"/>
        <v/>
      </c>
      <c r="DD1316" s="48" t="str">
        <f t="shared" ca="1" si="1408"/>
        <v/>
      </c>
      <c r="DE1316" s="48" t="str">
        <f t="shared" ca="1" si="1409"/>
        <v/>
      </c>
      <c r="DF1316" s="48">
        <f ca="1">IF(AND(CX1316&gt;0,DB1316&lt;&gt;""),MAX($DF$1303:DF1315)+1,0)</f>
        <v>0</v>
      </c>
    </row>
    <row r="1317" spans="102:110" x14ac:dyDescent="0.3">
      <c r="CX1317" s="48">
        <f t="shared" ca="1" si="1403"/>
        <v>0</v>
      </c>
      <c r="CY1317" s="48" t="str">
        <f t="shared" ca="1" si="1402"/>
        <v/>
      </c>
      <c r="CZ1317" s="48" t="e">
        <f t="shared" ca="1" si="1404"/>
        <v>#N/A</v>
      </c>
      <c r="DA1317" s="48" t="str">
        <f t="shared" ca="1" si="1405"/>
        <v/>
      </c>
      <c r="DB1317" s="48" t="str">
        <f t="shared" ca="1" si="1406"/>
        <v/>
      </c>
      <c r="DC1317" s="48" t="str">
        <f t="shared" ca="1" si="1407"/>
        <v/>
      </c>
      <c r="DD1317" s="48" t="str">
        <f t="shared" ca="1" si="1408"/>
        <v/>
      </c>
      <c r="DE1317" s="48" t="str">
        <f t="shared" ca="1" si="1409"/>
        <v/>
      </c>
      <c r="DF1317" s="48">
        <f ca="1">IF(AND(CX1317&gt;0,DB1317&lt;&gt;""),MAX($DF$1303:DF1316)+1,0)</f>
        <v>0</v>
      </c>
    </row>
    <row r="1318" spans="102:110" x14ac:dyDescent="0.3">
      <c r="CX1318" s="48">
        <f t="shared" ca="1" si="1403"/>
        <v>0</v>
      </c>
      <c r="CY1318" s="48" t="str">
        <f t="shared" ca="1" si="1402"/>
        <v/>
      </c>
      <c r="CZ1318" s="48" t="e">
        <f t="shared" ca="1" si="1404"/>
        <v>#N/A</v>
      </c>
      <c r="DA1318" s="48" t="str">
        <f t="shared" ca="1" si="1405"/>
        <v/>
      </c>
      <c r="DB1318" s="48" t="str">
        <f t="shared" ca="1" si="1406"/>
        <v/>
      </c>
      <c r="DC1318" s="48" t="str">
        <f t="shared" ca="1" si="1407"/>
        <v/>
      </c>
      <c r="DD1318" s="48" t="str">
        <f t="shared" ca="1" si="1408"/>
        <v/>
      </c>
      <c r="DE1318" s="48" t="str">
        <f t="shared" ca="1" si="1409"/>
        <v/>
      </c>
      <c r="DF1318" s="48">
        <f ca="1">IF(AND(CX1318&gt;0,DB1318&lt;&gt;""),MAX($DF$1303:DF1317)+1,0)</f>
        <v>0</v>
      </c>
    </row>
    <row r="1319" spans="102:110" x14ac:dyDescent="0.3">
      <c r="CX1319" s="48">
        <f t="shared" ca="1" si="1403"/>
        <v>0</v>
      </c>
      <c r="CY1319" s="48" t="str">
        <f t="shared" ca="1" si="1402"/>
        <v/>
      </c>
      <c r="CZ1319" s="48" t="e">
        <f t="shared" ca="1" si="1404"/>
        <v>#N/A</v>
      </c>
      <c r="DA1319" s="48" t="str">
        <f t="shared" ca="1" si="1405"/>
        <v/>
      </c>
      <c r="DB1319" s="48" t="str">
        <f t="shared" ca="1" si="1406"/>
        <v/>
      </c>
      <c r="DC1319" s="48" t="str">
        <f t="shared" ca="1" si="1407"/>
        <v/>
      </c>
      <c r="DD1319" s="48" t="str">
        <f t="shared" ca="1" si="1408"/>
        <v/>
      </c>
      <c r="DE1319" s="48" t="str">
        <f t="shared" ca="1" si="1409"/>
        <v/>
      </c>
      <c r="DF1319" s="48">
        <f ca="1">IF(AND(CX1319&gt;0,DB1319&lt;&gt;""),MAX($DF$1303:DF1318)+1,0)</f>
        <v>0</v>
      </c>
    </row>
    <row r="1320" spans="102:110" x14ac:dyDescent="0.3">
      <c r="CX1320" s="48">
        <f t="shared" ca="1" si="1403"/>
        <v>0</v>
      </c>
      <c r="CY1320" s="48" t="str">
        <f t="shared" ca="1" si="1402"/>
        <v/>
      </c>
      <c r="CZ1320" s="48" t="e">
        <f t="shared" ca="1" si="1404"/>
        <v>#N/A</v>
      </c>
      <c r="DA1320" s="48" t="str">
        <f t="shared" ca="1" si="1405"/>
        <v/>
      </c>
      <c r="DB1320" s="48" t="str">
        <f t="shared" ca="1" si="1406"/>
        <v/>
      </c>
      <c r="DC1320" s="48" t="str">
        <f t="shared" ca="1" si="1407"/>
        <v/>
      </c>
      <c r="DD1320" s="48" t="str">
        <f t="shared" ca="1" si="1408"/>
        <v/>
      </c>
      <c r="DE1320" s="48" t="str">
        <f t="shared" ca="1" si="1409"/>
        <v/>
      </c>
      <c r="DF1320" s="48">
        <f ca="1">IF(AND(CX1320&gt;0,DB1320&lt;&gt;""),MAX($DF$1303:DF1319)+1,0)</f>
        <v>0</v>
      </c>
    </row>
    <row r="1321" spans="102:110" x14ac:dyDescent="0.3">
      <c r="CX1321" s="48">
        <f t="shared" ca="1" si="1403"/>
        <v>0</v>
      </c>
      <c r="CY1321" s="48" t="str">
        <f t="shared" ca="1" si="1402"/>
        <v/>
      </c>
      <c r="CZ1321" s="48" t="e">
        <f t="shared" ca="1" si="1404"/>
        <v>#N/A</v>
      </c>
      <c r="DA1321" s="48" t="str">
        <f t="shared" ca="1" si="1405"/>
        <v/>
      </c>
      <c r="DB1321" s="48" t="str">
        <f t="shared" ca="1" si="1406"/>
        <v/>
      </c>
      <c r="DC1321" s="48" t="str">
        <f t="shared" ca="1" si="1407"/>
        <v/>
      </c>
      <c r="DD1321" s="48" t="str">
        <f t="shared" ca="1" si="1408"/>
        <v/>
      </c>
      <c r="DE1321" s="48" t="str">
        <f t="shared" ca="1" si="1409"/>
        <v/>
      </c>
      <c r="DF1321" s="48">
        <f ca="1">IF(AND(CX1321&gt;0,DB1321&lt;&gt;""),MAX($DF$1303:DF1320)+1,0)</f>
        <v>0</v>
      </c>
    </row>
    <row r="1322" spans="102:110" x14ac:dyDescent="0.3">
      <c r="CX1322" s="48">
        <f t="shared" ca="1" si="1403"/>
        <v>0</v>
      </c>
      <c r="CY1322" s="48" t="str">
        <f t="shared" ca="1" si="1402"/>
        <v/>
      </c>
      <c r="CZ1322" s="48" t="e">
        <f t="shared" ca="1" si="1404"/>
        <v>#N/A</v>
      </c>
      <c r="DA1322" s="48" t="str">
        <f t="shared" ca="1" si="1405"/>
        <v/>
      </c>
      <c r="DB1322" s="48" t="str">
        <f t="shared" ca="1" si="1406"/>
        <v/>
      </c>
      <c r="DC1322" s="48" t="str">
        <f t="shared" ca="1" si="1407"/>
        <v/>
      </c>
      <c r="DD1322" s="48" t="str">
        <f t="shared" ca="1" si="1408"/>
        <v/>
      </c>
      <c r="DE1322" s="48" t="str">
        <f t="shared" ca="1" si="1409"/>
        <v/>
      </c>
      <c r="DF1322" s="48">
        <f ca="1">IF(AND(CX1322&gt;0,DB1322&lt;&gt;""),MAX($DF$1303:DF1321)+1,0)</f>
        <v>0</v>
      </c>
    </row>
    <row r="1323" spans="102:110" x14ac:dyDescent="0.3">
      <c r="CX1323" s="48">
        <f t="shared" ca="1" si="1403"/>
        <v>0</v>
      </c>
      <c r="CY1323" s="48" t="str">
        <f t="shared" ca="1" si="1402"/>
        <v/>
      </c>
      <c r="CZ1323" s="48" t="e">
        <f t="shared" ca="1" si="1404"/>
        <v>#N/A</v>
      </c>
      <c r="DA1323" s="48" t="str">
        <f t="shared" ca="1" si="1405"/>
        <v/>
      </c>
      <c r="DB1323" s="48" t="str">
        <f t="shared" ca="1" si="1406"/>
        <v/>
      </c>
      <c r="DC1323" s="48" t="str">
        <f t="shared" ca="1" si="1407"/>
        <v/>
      </c>
      <c r="DD1323" s="48" t="str">
        <f t="shared" ca="1" si="1408"/>
        <v/>
      </c>
      <c r="DE1323" s="48" t="str">
        <f t="shared" ca="1" si="1409"/>
        <v/>
      </c>
      <c r="DF1323" s="48">
        <f ca="1">IF(AND(CX1323&gt;0,DB1323&lt;&gt;""),MAX($DF$1303:DF1322)+1,0)</f>
        <v>0</v>
      </c>
    </row>
    <row r="1324" spans="102:110" x14ac:dyDescent="0.3">
      <c r="CX1324" s="48">
        <f t="shared" ca="1" si="1403"/>
        <v>0</v>
      </c>
      <c r="CY1324" s="48" t="str">
        <f t="shared" ca="1" si="1402"/>
        <v/>
      </c>
      <c r="CZ1324" s="48" t="e">
        <f t="shared" ca="1" si="1404"/>
        <v>#N/A</v>
      </c>
      <c r="DA1324" s="48" t="str">
        <f t="shared" ca="1" si="1405"/>
        <v/>
      </c>
      <c r="DB1324" s="48" t="str">
        <f t="shared" ca="1" si="1406"/>
        <v/>
      </c>
      <c r="DC1324" s="48" t="str">
        <f t="shared" ca="1" si="1407"/>
        <v/>
      </c>
      <c r="DD1324" s="48" t="str">
        <f t="shared" ca="1" si="1408"/>
        <v/>
      </c>
      <c r="DE1324" s="48" t="str">
        <f t="shared" ca="1" si="1409"/>
        <v/>
      </c>
      <c r="DF1324" s="48">
        <f ca="1">IF(AND(CX1324&gt;0,DB1324&lt;&gt;""),MAX($DF$1303:DF1323)+1,0)</f>
        <v>0</v>
      </c>
    </row>
    <row r="1325" spans="102:110" x14ac:dyDescent="0.3">
      <c r="CX1325" s="48">
        <f t="shared" ca="1" si="1403"/>
        <v>0</v>
      </c>
      <c r="CY1325" s="48" t="str">
        <f t="shared" ca="1" si="1402"/>
        <v/>
      </c>
      <c r="CZ1325" s="48" t="e">
        <f t="shared" ca="1" si="1404"/>
        <v>#N/A</v>
      </c>
      <c r="DA1325" s="48" t="str">
        <f t="shared" ca="1" si="1405"/>
        <v/>
      </c>
      <c r="DB1325" s="48" t="str">
        <f t="shared" ca="1" si="1406"/>
        <v/>
      </c>
      <c r="DC1325" s="48" t="str">
        <f t="shared" ca="1" si="1407"/>
        <v/>
      </c>
      <c r="DD1325" s="48" t="str">
        <f t="shared" ca="1" si="1408"/>
        <v/>
      </c>
      <c r="DE1325" s="48" t="str">
        <f t="shared" ca="1" si="1409"/>
        <v/>
      </c>
      <c r="DF1325" s="48">
        <f ca="1">IF(AND(CX1325&gt;0,DB1325&lt;&gt;""),MAX($DF$1303:DF1324)+1,0)</f>
        <v>0</v>
      </c>
    </row>
    <row r="1326" spans="102:110" x14ac:dyDescent="0.3">
      <c r="CX1326" s="48">
        <f t="shared" ca="1" si="1403"/>
        <v>0</v>
      </c>
      <c r="CY1326" s="48" t="str">
        <f t="shared" ca="1" si="1402"/>
        <v/>
      </c>
      <c r="CZ1326" s="48" t="e">
        <f t="shared" ca="1" si="1404"/>
        <v>#N/A</v>
      </c>
      <c r="DA1326" s="48" t="str">
        <f t="shared" ca="1" si="1405"/>
        <v/>
      </c>
      <c r="DB1326" s="48" t="str">
        <f t="shared" ca="1" si="1406"/>
        <v/>
      </c>
      <c r="DC1326" s="48" t="str">
        <f t="shared" ca="1" si="1407"/>
        <v/>
      </c>
      <c r="DD1326" s="48" t="str">
        <f t="shared" ca="1" si="1408"/>
        <v/>
      </c>
      <c r="DE1326" s="48" t="str">
        <f t="shared" ca="1" si="1409"/>
        <v/>
      </c>
      <c r="DF1326" s="48">
        <f ca="1">IF(AND(CX1326&gt;0,DB1326&lt;&gt;""),MAX($DF$1303:DF1325)+1,0)</f>
        <v>0</v>
      </c>
    </row>
    <row r="1327" spans="102:110" x14ac:dyDescent="0.3">
      <c r="CX1327" s="48">
        <f t="shared" ca="1" si="1403"/>
        <v>0</v>
      </c>
      <c r="CY1327" s="48" t="str">
        <f t="shared" ca="1" si="1402"/>
        <v/>
      </c>
      <c r="CZ1327" s="48" t="e">
        <f t="shared" ca="1" si="1404"/>
        <v>#N/A</v>
      </c>
      <c r="DA1327" s="48" t="str">
        <f t="shared" ca="1" si="1405"/>
        <v/>
      </c>
      <c r="DB1327" s="48" t="str">
        <f t="shared" ca="1" si="1406"/>
        <v/>
      </c>
      <c r="DC1327" s="48" t="str">
        <f t="shared" ca="1" si="1407"/>
        <v/>
      </c>
      <c r="DD1327" s="48" t="str">
        <f t="shared" ca="1" si="1408"/>
        <v/>
      </c>
      <c r="DE1327" s="48" t="str">
        <f t="shared" ca="1" si="1409"/>
        <v/>
      </c>
      <c r="DF1327" s="48">
        <f ca="1">IF(AND(CX1327&gt;0,DB1327&lt;&gt;""),MAX($DF$1303:DF1326)+1,0)</f>
        <v>0</v>
      </c>
    </row>
    <row r="1328" spans="102:110" x14ac:dyDescent="0.3">
      <c r="CX1328" s="48">
        <f t="shared" ca="1" si="1403"/>
        <v>0</v>
      </c>
      <c r="CY1328" s="48" t="str">
        <f t="shared" ca="1" si="1402"/>
        <v/>
      </c>
      <c r="CZ1328" s="48" t="e">
        <f t="shared" ca="1" si="1404"/>
        <v>#N/A</v>
      </c>
      <c r="DA1328" s="48" t="str">
        <f t="shared" ca="1" si="1405"/>
        <v/>
      </c>
      <c r="DB1328" s="48" t="str">
        <f t="shared" ca="1" si="1406"/>
        <v/>
      </c>
      <c r="DC1328" s="48" t="str">
        <f t="shared" ca="1" si="1407"/>
        <v/>
      </c>
      <c r="DD1328" s="48" t="str">
        <f t="shared" ca="1" si="1408"/>
        <v/>
      </c>
      <c r="DE1328" s="48" t="str">
        <f t="shared" ca="1" si="1409"/>
        <v/>
      </c>
      <c r="DF1328" s="48">
        <f ca="1">IF(AND(CX1328&gt;0,DB1328&lt;&gt;""),MAX($DF$1303:DF1327)+1,0)</f>
        <v>0</v>
      </c>
    </row>
    <row r="1329" spans="102:110" x14ac:dyDescent="0.3">
      <c r="CX1329" s="48">
        <f t="shared" ca="1" si="1403"/>
        <v>0</v>
      </c>
      <c r="CY1329" s="48" t="str">
        <f t="shared" ca="1" si="1402"/>
        <v/>
      </c>
      <c r="CZ1329" s="48" t="e">
        <f t="shared" ca="1" si="1404"/>
        <v>#N/A</v>
      </c>
      <c r="DA1329" s="48" t="str">
        <f t="shared" ca="1" si="1405"/>
        <v/>
      </c>
      <c r="DB1329" s="48" t="str">
        <f t="shared" ca="1" si="1406"/>
        <v/>
      </c>
      <c r="DC1329" s="48" t="str">
        <f t="shared" ca="1" si="1407"/>
        <v/>
      </c>
      <c r="DD1329" s="48" t="str">
        <f t="shared" ca="1" si="1408"/>
        <v/>
      </c>
      <c r="DE1329" s="48" t="str">
        <f t="shared" ca="1" si="1409"/>
        <v/>
      </c>
      <c r="DF1329" s="48">
        <f ca="1">IF(AND(CX1329&gt;0,DB1329&lt;&gt;""),MAX($DF$1303:DF1328)+1,0)</f>
        <v>0</v>
      </c>
    </row>
    <row r="1330" spans="102:110" x14ac:dyDescent="0.3">
      <c r="CX1330" s="48">
        <f t="shared" ca="1" si="1403"/>
        <v>0</v>
      </c>
      <c r="CY1330" s="48" t="str">
        <f t="shared" ca="1" si="1402"/>
        <v/>
      </c>
      <c r="CZ1330" s="48" t="e">
        <f t="shared" ca="1" si="1404"/>
        <v>#N/A</v>
      </c>
      <c r="DA1330" s="48" t="str">
        <f t="shared" ca="1" si="1405"/>
        <v/>
      </c>
      <c r="DB1330" s="48" t="str">
        <f t="shared" ca="1" si="1406"/>
        <v/>
      </c>
      <c r="DC1330" s="48" t="str">
        <f t="shared" ca="1" si="1407"/>
        <v/>
      </c>
      <c r="DD1330" s="48" t="str">
        <f t="shared" ca="1" si="1408"/>
        <v/>
      </c>
      <c r="DE1330" s="48" t="str">
        <f t="shared" ca="1" si="1409"/>
        <v/>
      </c>
      <c r="DF1330" s="48">
        <f ca="1">IF(AND(CX1330&gt;0,DB1330&lt;&gt;""),MAX($DF$1303:DF1329)+1,0)</f>
        <v>0</v>
      </c>
    </row>
    <row r="1331" spans="102:110" x14ac:dyDescent="0.3">
      <c r="CX1331" s="48">
        <f t="shared" ca="1" si="1403"/>
        <v>0</v>
      </c>
      <c r="CY1331" s="48" t="str">
        <f t="shared" ca="1" si="1402"/>
        <v/>
      </c>
      <c r="CZ1331" s="48" t="e">
        <f t="shared" ca="1" si="1404"/>
        <v>#N/A</v>
      </c>
      <c r="DA1331" s="48" t="str">
        <f t="shared" ca="1" si="1405"/>
        <v/>
      </c>
      <c r="DB1331" s="48" t="str">
        <f t="shared" ca="1" si="1406"/>
        <v/>
      </c>
      <c r="DC1331" s="48" t="str">
        <f t="shared" ca="1" si="1407"/>
        <v/>
      </c>
      <c r="DD1331" s="48" t="str">
        <f t="shared" ca="1" si="1408"/>
        <v/>
      </c>
      <c r="DE1331" s="48" t="str">
        <f t="shared" ca="1" si="1409"/>
        <v/>
      </c>
      <c r="DF1331" s="48">
        <f ca="1">IF(AND(CX1331&gt;0,DB1331&lt;&gt;""),MAX($DF$1303:DF1330)+1,0)</f>
        <v>0</v>
      </c>
    </row>
    <row r="1332" spans="102:110" x14ac:dyDescent="0.3">
      <c r="CX1332" s="48">
        <f ca="1">$DF$1</f>
        <v>0</v>
      </c>
      <c r="CY1332" s="48" t="str">
        <f t="shared" ca="1" si="1402"/>
        <v/>
      </c>
      <c r="CZ1332" s="48" t="e">
        <f t="shared" ca="1" si="1404"/>
        <v>#N/A</v>
      </c>
      <c r="DA1332" s="48" t="str">
        <f t="shared" ca="1" si="1405"/>
        <v/>
      </c>
      <c r="DB1332" s="48" t="str">
        <f t="shared" ca="1" si="1406"/>
        <v/>
      </c>
      <c r="DC1332" s="48" t="str">
        <f t="shared" ca="1" si="1407"/>
        <v/>
      </c>
      <c r="DD1332" s="48" t="str">
        <f t="shared" ca="1" si="1408"/>
        <v/>
      </c>
      <c r="DE1332" s="48" t="str">
        <f t="shared" ca="1" si="1409"/>
        <v/>
      </c>
      <c r="DF1332" s="48">
        <f ca="1">IF(AND(CX1332&gt;0,DB1332&lt;&gt;""),MAX($DF$1303:DF1331)+1,0)</f>
        <v>0</v>
      </c>
    </row>
    <row r="1333" spans="102:110" x14ac:dyDescent="0.3">
      <c r="CX1333" s="48">
        <f t="shared" ca="1" si="1403"/>
        <v>0</v>
      </c>
      <c r="CY1333" s="48" t="str">
        <f t="shared" ca="1" si="1402"/>
        <v/>
      </c>
      <c r="CZ1333" s="48" t="e">
        <f t="shared" ca="1" si="1404"/>
        <v>#N/A</v>
      </c>
      <c r="DA1333" s="48" t="str">
        <f t="shared" ca="1" si="1405"/>
        <v/>
      </c>
      <c r="DB1333" s="48" t="str">
        <f t="shared" ca="1" si="1406"/>
        <v/>
      </c>
      <c r="DC1333" s="48" t="str">
        <f t="shared" ca="1" si="1407"/>
        <v/>
      </c>
      <c r="DD1333" s="48" t="str">
        <f t="shared" ca="1" si="1408"/>
        <v/>
      </c>
      <c r="DE1333" s="48" t="str">
        <f t="shared" ca="1" si="1409"/>
        <v/>
      </c>
      <c r="DF1333" s="48">
        <f ca="1">IF(AND(CX1333&gt;0,DB1333&lt;&gt;""),MAX($DF$1303:DF1332)+1,0)</f>
        <v>0</v>
      </c>
    </row>
    <row r="1334" spans="102:110" x14ac:dyDescent="0.3">
      <c r="CX1334" s="48">
        <f t="shared" ca="1" si="1403"/>
        <v>0</v>
      </c>
      <c r="CY1334" s="48" t="str">
        <f t="shared" ca="1" si="1402"/>
        <v/>
      </c>
      <c r="CZ1334" s="48" t="e">
        <f t="shared" ca="1" si="1404"/>
        <v>#N/A</v>
      </c>
      <c r="DA1334" s="48" t="str">
        <f t="shared" ca="1" si="1405"/>
        <v/>
      </c>
      <c r="DB1334" s="48" t="str">
        <f t="shared" ca="1" si="1406"/>
        <v/>
      </c>
      <c r="DC1334" s="48" t="str">
        <f t="shared" ca="1" si="1407"/>
        <v/>
      </c>
      <c r="DD1334" s="48" t="str">
        <f t="shared" ca="1" si="1408"/>
        <v/>
      </c>
      <c r="DE1334" s="48" t="str">
        <f t="shared" ca="1" si="1409"/>
        <v/>
      </c>
      <c r="DF1334" s="48">
        <f ca="1">IF(AND(CX1334&gt;0,DB1334&lt;&gt;""),MAX($DF$1303:DF1333)+1,0)</f>
        <v>0</v>
      </c>
    </row>
    <row r="1335" spans="102:110" x14ac:dyDescent="0.3">
      <c r="CX1335" s="48">
        <f t="shared" ca="1" si="1403"/>
        <v>0</v>
      </c>
      <c r="CY1335" s="48" t="str">
        <f t="shared" ca="1" si="1402"/>
        <v/>
      </c>
      <c r="CZ1335" s="48" t="e">
        <f t="shared" ca="1" si="1404"/>
        <v>#N/A</v>
      </c>
      <c r="DA1335" s="48" t="str">
        <f t="shared" ca="1" si="1405"/>
        <v/>
      </c>
      <c r="DB1335" s="48" t="str">
        <f t="shared" ca="1" si="1406"/>
        <v/>
      </c>
      <c r="DC1335" s="48" t="str">
        <f t="shared" ca="1" si="1407"/>
        <v/>
      </c>
      <c r="DD1335" s="48" t="str">
        <f t="shared" ca="1" si="1408"/>
        <v/>
      </c>
      <c r="DE1335" s="48" t="str">
        <f t="shared" ca="1" si="1409"/>
        <v/>
      </c>
      <c r="DF1335" s="48">
        <f ca="1">IF(AND(CX1335&gt;0,DB1335&lt;&gt;""),MAX($DF$1303:DF1334)+1,0)</f>
        <v>0</v>
      </c>
    </row>
    <row r="1336" spans="102:110" x14ac:dyDescent="0.3">
      <c r="CX1336" s="48">
        <f t="shared" ca="1" si="1403"/>
        <v>0</v>
      </c>
      <c r="CY1336" s="48" t="str">
        <f t="shared" ca="1" si="1402"/>
        <v/>
      </c>
      <c r="CZ1336" s="48" t="e">
        <f t="shared" ca="1" si="1404"/>
        <v>#N/A</v>
      </c>
      <c r="DA1336" s="48" t="str">
        <f t="shared" ca="1" si="1405"/>
        <v/>
      </c>
      <c r="DB1336" s="48" t="str">
        <f t="shared" ca="1" si="1406"/>
        <v/>
      </c>
      <c r="DC1336" s="48" t="str">
        <f t="shared" ca="1" si="1407"/>
        <v/>
      </c>
      <c r="DD1336" s="48" t="str">
        <f t="shared" ca="1" si="1408"/>
        <v/>
      </c>
      <c r="DE1336" s="48" t="str">
        <f t="shared" ca="1" si="1409"/>
        <v/>
      </c>
      <c r="DF1336" s="48">
        <f ca="1">IF(AND(CX1336&gt;0,DB1336&lt;&gt;""),MAX($DF$1303:DF1335)+1,0)</f>
        <v>0</v>
      </c>
    </row>
    <row r="1337" spans="102:110" x14ac:dyDescent="0.3">
      <c r="CX1337" s="48">
        <f t="shared" ca="1" si="1403"/>
        <v>0</v>
      </c>
      <c r="CY1337" s="48" t="str">
        <f t="shared" ca="1" si="1402"/>
        <v/>
      </c>
      <c r="CZ1337" s="48" t="e">
        <f t="shared" ca="1" si="1404"/>
        <v>#N/A</v>
      </c>
      <c r="DA1337" s="48" t="str">
        <f t="shared" ca="1" si="1405"/>
        <v/>
      </c>
      <c r="DB1337" s="48" t="str">
        <f t="shared" ca="1" si="1406"/>
        <v/>
      </c>
      <c r="DC1337" s="48" t="str">
        <f t="shared" ca="1" si="1407"/>
        <v/>
      </c>
      <c r="DD1337" s="48" t="str">
        <f t="shared" ca="1" si="1408"/>
        <v/>
      </c>
      <c r="DE1337" s="48" t="str">
        <f t="shared" ca="1" si="1409"/>
        <v/>
      </c>
      <c r="DF1337" s="48">
        <f ca="1">IF(AND(CX1337&gt;0,DB1337&lt;&gt;""),MAX($DF$1303:DF1336)+1,0)</f>
        <v>0</v>
      </c>
    </row>
    <row r="1338" spans="102:110" x14ac:dyDescent="0.3">
      <c r="CX1338" s="48">
        <f t="shared" ca="1" si="1403"/>
        <v>0</v>
      </c>
      <c r="CY1338" s="48" t="str">
        <f t="shared" ca="1" si="1402"/>
        <v/>
      </c>
      <c r="CZ1338" s="48" t="e">
        <f t="shared" ca="1" si="1404"/>
        <v>#N/A</v>
      </c>
      <c r="DA1338" s="48" t="str">
        <f t="shared" ca="1" si="1405"/>
        <v/>
      </c>
      <c r="DB1338" s="48" t="str">
        <f t="shared" ca="1" si="1406"/>
        <v/>
      </c>
      <c r="DC1338" s="48" t="str">
        <f t="shared" ca="1" si="1407"/>
        <v/>
      </c>
      <c r="DD1338" s="48" t="str">
        <f t="shared" ca="1" si="1408"/>
        <v/>
      </c>
      <c r="DE1338" s="48" t="str">
        <f t="shared" ca="1" si="1409"/>
        <v/>
      </c>
      <c r="DF1338" s="48">
        <f ca="1">IF(AND(CX1338&gt;0,DB1338&lt;&gt;""),MAX($DF$1303:DF1337)+1,0)</f>
        <v>0</v>
      </c>
    </row>
    <row r="1339" spans="102:110" x14ac:dyDescent="0.3">
      <c r="CX1339" s="48">
        <f t="shared" ca="1" si="1403"/>
        <v>0</v>
      </c>
      <c r="DB1339" s="48" t="str">
        <f ca="1">IF(CX1338&lt;&gt;$DF$1,"","MASTRO")</f>
        <v>MASTRO</v>
      </c>
      <c r="DF1339" s="48">
        <f ca="1">IF(AND(CX1339&gt;0,DB1339&lt;&gt;""),MAX($DF$1303:DF1338)+1,0)</f>
        <v>0</v>
      </c>
    </row>
  </sheetData>
  <phoneticPr fontId="70" type="noConversion"/>
  <pageMargins left="0.7" right="0.7" top="0.75" bottom="0.75" header="0.3" footer="0.3"/>
  <pageSetup paperSize="9" orientation="portrait" horizontalDpi="300" verticalDpi="300" r:id="rId1"/>
  <ignoredErrors>
    <ignoredError sqref="R4:R9 BY1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38379C34E518499E7C884F777A2BA2" ma:contentTypeVersion="5" ma:contentTypeDescription="Creare un nuovo documento." ma:contentTypeScope="" ma:versionID="2218dbac0dccd2d2271096a1ea656581">
  <xsd:schema xmlns:xsd="http://www.w3.org/2001/XMLSchema" xmlns:xs="http://www.w3.org/2001/XMLSchema" xmlns:p="http://schemas.microsoft.com/office/2006/metadata/properties" xmlns:ns3="f6e7eb8c-52f1-4fb4-9000-0c38b6454748" xmlns:ns4="40a1157b-be5f-4903-a92d-5e0975d8bfc9" targetNamespace="http://schemas.microsoft.com/office/2006/metadata/properties" ma:root="true" ma:fieldsID="f9548cf04f29de4a8babaf7830e6fb6d" ns3:_="" ns4:_="">
    <xsd:import namespace="f6e7eb8c-52f1-4fb4-9000-0c38b6454748"/>
    <xsd:import namespace="40a1157b-be5f-4903-a92d-5e0975d8bf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7eb8c-52f1-4fb4-9000-0c38b64547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1157b-be5f-4903-a92d-5e0975d8b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44B82B-B411-4EC8-87E4-8EF50D1E1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e7eb8c-52f1-4fb4-9000-0c38b6454748"/>
    <ds:schemaRef ds:uri="40a1157b-be5f-4903-a92d-5e0975d8b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D2652A-3149-4608-B754-BB1E265085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C3C62D-1329-4DB5-8614-BEBF612C6578}">
  <ds:schemaRefs>
    <ds:schemaRef ds:uri="http://schemas.microsoft.com/office/2006/documentManagement/types"/>
    <ds:schemaRef ds:uri="http://schemas.microsoft.com/office/infopath/2007/PartnerControls"/>
    <ds:schemaRef ds:uri="f6e7eb8c-52f1-4fb4-9000-0c38b6454748"/>
    <ds:schemaRef ds:uri="http://purl.org/dc/elements/1.1/"/>
    <ds:schemaRef ds:uri="http://schemas.microsoft.com/office/2006/metadata/properties"/>
    <ds:schemaRef ds:uri="40a1157b-be5f-4903-a92d-5e0975d8bfc9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50</vt:i4>
      </vt:variant>
    </vt:vector>
  </HeadingPairs>
  <TitlesOfParts>
    <vt:vector size="58" baseType="lpstr">
      <vt:lpstr>PIANO_DEI_CONTI</vt:lpstr>
      <vt:lpstr>LIBRO_GIORNALE</vt:lpstr>
      <vt:lpstr>CONTI_DI_MASTRO</vt:lpstr>
      <vt:lpstr>SIT._CONTABILE</vt:lpstr>
      <vt:lpstr>SIT.PATR._SIT.ECON.</vt:lpstr>
      <vt:lpstr>BILANCIO</vt:lpstr>
      <vt:lpstr>VALORI_INIZIALI</vt:lpstr>
      <vt:lpstr>COPIA</vt:lpstr>
      <vt:lpstr>anno_CORRENTE</vt:lpstr>
      <vt:lpstr>anno_inizio</vt:lpstr>
      <vt:lpstr>ANNO_SELEZIONATO</vt:lpstr>
      <vt:lpstr>PIANO_DEI_CONTI!Area_stampa</vt:lpstr>
      <vt:lpstr>ATTIVO</vt:lpstr>
      <vt:lpstr>AVERE</vt:lpstr>
      <vt:lpstr>avere_grezzo</vt:lpstr>
      <vt:lpstr>bilancio</vt:lpstr>
      <vt:lpstr>CLASSIFICAZIONE</vt:lpstr>
      <vt:lpstr>CODICE</vt:lpstr>
      <vt:lpstr>CODICE_BILANCIO</vt:lpstr>
      <vt:lpstr>CONTI_APERTI</vt:lpstr>
      <vt:lpstr>DARE</vt:lpstr>
      <vt:lpstr>dare_grezzo</vt:lpstr>
      <vt:lpstr>DATA</vt:lpstr>
      <vt:lpstr>data_grezzo</vt:lpstr>
      <vt:lpstr>DEN_G</vt:lpstr>
      <vt:lpstr>den_grezzo</vt:lpstr>
      <vt:lpstr>DEN_PDC</vt:lpstr>
      <vt:lpstr>DESCRIZIONE</vt:lpstr>
      <vt:lpstr>dest_grezzo</vt:lpstr>
      <vt:lpstr>DESTINAZIONE</vt:lpstr>
      <vt:lpstr>ECCEDENZA</vt:lpstr>
      <vt:lpstr>ECONOMICO</vt:lpstr>
      <vt:lpstr>ELENCO_CONTI</vt:lpstr>
      <vt:lpstr>FINE_A_PC</vt:lpstr>
      <vt:lpstr>FINE_AC</vt:lpstr>
      <vt:lpstr>FINE_ANNO_PREC</vt:lpstr>
      <vt:lpstr>FINE_PERIODO</vt:lpstr>
      <vt:lpstr>giornale_grezzo</vt:lpstr>
      <vt:lpstr>GIORNI</vt:lpstr>
      <vt:lpstr>INIZIO_A_PC</vt:lpstr>
      <vt:lpstr>INIZIO_AC</vt:lpstr>
      <vt:lpstr>INIZIO_ANNO_PREC</vt:lpstr>
      <vt:lpstr>LIBRO_GIORNALE</vt:lpstr>
      <vt:lpstr>MESI</vt:lpstr>
      <vt:lpstr>NASCONDI_RIGHE</vt:lpstr>
      <vt:lpstr>NATURA</vt:lpstr>
      <vt:lpstr>Num._riga</vt:lpstr>
      <vt:lpstr>PASSIVO</vt:lpstr>
      <vt:lpstr>PATRIMONIO_REDDITO</vt:lpstr>
      <vt:lpstr>PDC</vt:lpstr>
      <vt:lpstr>progressivo</vt:lpstr>
      <vt:lpstr>RAGRUPPAMENTO</vt:lpstr>
      <vt:lpstr>RIGHE_TRA_I_PROSPETTI</vt:lpstr>
      <vt:lpstr>LIBRO_GIORNALE!Titoli_stampa</vt:lpstr>
      <vt:lpstr>PIANO_DEI_CONTI!Titoli_stampa</vt:lpstr>
      <vt:lpstr>SIT._CONTABILE!Titoli_stampa</vt:lpstr>
      <vt:lpstr>VALORI_INIZIALI!Titoli_stampa</vt:lpstr>
      <vt:lpstr>VALORI_INIZIALI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MYAccounting</dc:creator>
  <cp:lastModifiedBy>Giuseppe</cp:lastModifiedBy>
  <cp:lastPrinted>2024-08-30T17:53:02Z</cp:lastPrinted>
  <dcterms:created xsi:type="dcterms:W3CDTF">2020-02-17T18:27:20Z</dcterms:created>
  <dcterms:modified xsi:type="dcterms:W3CDTF">2026-03-26T17:58:38Z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0x0101004E38379C34E518499E7C884F777A2BA2</vt:lpwstr>
  </property>
</Properties>
</file>